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 sheetId="1" r:id="rId4"/>
    <sheet state="visible" name="Leveler" sheetId="2" r:id="rId5"/>
    <sheet state="hidden" name="PossibleSpells" sheetId="3" r:id="rId6"/>
    <sheet state="visible" name="SpellBook" sheetId="4" r:id="rId7"/>
    <sheet state="visible" name="Backpack" sheetId="5" r:id="rId8"/>
    <sheet state="visible" name="PiggyBank" sheetId="6" r:id="rId9"/>
    <sheet state="visible" name="BackStory" sheetId="7" r:id="rId10"/>
    <sheet state="visible" name="LearnedSpellsNatPowers" sheetId="8" r:id="rId11"/>
    <sheet state="visible" name="Achievements" sheetId="9" r:id="rId12"/>
    <sheet state="visible" name="Quest_Tracker" sheetId="10" r:id="rId13"/>
    <sheet state="visible" name="Locations_Visited" sheetId="11" r:id="rId14"/>
    <sheet state="hidden" name="Config" sheetId="12" r:id="rId15"/>
    <sheet state="visible" name="MyGuildInfo" sheetId="13" r:id="rId16"/>
    <sheet state="visible" name="Quests" sheetId="14" r:id="rId17"/>
    <sheet state="visible" name="Factions" sheetId="15" r:id="rId18"/>
    <sheet state="visible" name="Curses" sheetId="16" r:id="rId19"/>
    <sheet state="visible" name="Diseases" sheetId="17" r:id="rId20"/>
    <sheet state="visible" name="Guilds" sheetId="18" r:id="rId21"/>
    <sheet state="hidden" name="GuildMembers" sheetId="19" r:id="rId22"/>
    <sheet state="hidden" name="Cursed" sheetId="20" r:id="rId23"/>
    <sheet state="hidden" name="Diseased" sheetId="21" r:id="rId24"/>
    <sheet state="hidden" name="CharLoaderList" sheetId="22" r:id="rId25"/>
    <sheet state="visible" name="Classes" sheetId="23" r:id="rId26"/>
    <sheet state="visible" name="EnhancedClasses" sheetId="24" r:id="rId27"/>
    <sheet state="visible" name="Races" sheetId="25" r:id="rId28"/>
    <sheet state="visible" name="EntityTypes" sheetId="26" r:id="rId29"/>
    <sheet state="visible" name="Spells" sheetId="27" r:id="rId30"/>
    <sheet state="hidden" name="ClassCombo" sheetId="28" r:id="rId31"/>
    <sheet state="hidden" name="Items" sheetId="29" r:id="rId32"/>
    <sheet state="hidden" name="Equipment" sheetId="30" r:id="rId33"/>
    <sheet state="hidden" name="Equipconvert" sheetId="31" r:id="rId34"/>
    <sheet state="visible" name="AstrologicalSigns" sheetId="32" r:id="rId35"/>
    <sheet state="hidden" name="ItemEquipCombine" sheetId="33" r:id="rId36"/>
    <sheet state="hidden" name="Alignment" sheetId="34" r:id="rId37"/>
    <sheet state="hidden" name="NotorietyCombined" sheetId="35" r:id="rId38"/>
    <sheet state="hidden" name="Towns" sheetId="36" r:id="rId39"/>
    <sheet state="hidden" name="StarterTowns" sheetId="37" r:id="rId40"/>
    <sheet state="hidden" name="MoneyRates" sheetId="38" r:id="rId41"/>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1">
      <text>
        <t xml:space="preserve">Add up all the damage and put that here.
Example Your Helmet has x2 DMG and your Legs have x3 DMG you would put 5 in this box</t>
      </text>
    </comment>
    <comment authorId="0" ref="M12">
      <text>
        <t xml:space="preserve">This is for adding flat dmage increases. Example your Ring1 give +1500 DMG and your feet give you +200 DMG, you would put 1700 in this box.</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Please do not use special characters or emoji's in your name</t>
      </text>
    </comment>
  </commentList>
</comments>
</file>

<file path=xl/sharedStrings.xml><?xml version="1.0" encoding="utf-8"?>
<sst xmlns="http://schemas.openxmlformats.org/spreadsheetml/2006/main" count="372" uniqueCount="258">
  <si>
    <t>Insert Image into cell here for a picture/potrait</t>
  </si>
  <si>
    <t>HP-Taken</t>
  </si>
  <si>
    <t>SP-Spent</t>
  </si>
  <si>
    <t>Hunger-Spent</t>
  </si>
  <si>
    <t>Thirst-Spent</t>
  </si>
  <si>
    <t>Energy-Spent</t>
  </si>
  <si>
    <t>DMG Calculator</t>
  </si>
  <si>
    <t>DMG multiplier:</t>
  </si>
  <si>
    <t>Attack</t>
  </si>
  <si>
    <t>Defense</t>
  </si>
  <si>
    <t>Accuracy</t>
  </si>
  <si>
    <t>Charisma</t>
  </si>
  <si>
    <t>Flat DMG Add:</t>
  </si>
  <si>
    <t>Base DMG:</t>
  </si>
  <si>
    <t>Wisdom</t>
  </si>
  <si>
    <t>Constitution</t>
  </si>
  <si>
    <t>Evasion</t>
  </si>
  <si>
    <t>Intimidation</t>
  </si>
  <si>
    <t>Calc DMG:</t>
  </si>
  <si>
    <t>Curses:</t>
  </si>
  <si>
    <t>Tomes:</t>
  </si>
  <si>
    <t>Diseases:</t>
  </si>
  <si>
    <t>Damage Orb:</t>
  </si>
  <si>
    <t>Spell (Counters):</t>
  </si>
  <si>
    <t>Equipped Items</t>
  </si>
  <si>
    <t>Name</t>
  </si>
  <si>
    <t>Description</t>
  </si>
  <si>
    <t>Type</t>
  </si>
  <si>
    <t>Abilities</t>
  </si>
  <si>
    <t>👑 (1) Head:</t>
  </si>
  <si>
    <t>Head</t>
  </si>
  <si>
    <t>📿 (1) Neck:</t>
  </si>
  <si>
    <t>Neck</t>
  </si>
  <si>
    <t>📿 (2) Neck:</t>
  </si>
  <si>
    <t>📿 (3) Neck:</t>
  </si>
  <si>
    <t>🎒(1) Shoulders</t>
  </si>
  <si>
    <t>Shoulders</t>
  </si>
  <si>
    <t>🧥 (1) Torso:</t>
  </si>
  <si>
    <t>Torso</t>
  </si>
  <si>
    <t>💪(1) Arms</t>
  </si>
  <si>
    <t>Arms</t>
  </si>
  <si>
    <t>🖐 (1) L. Hand:</t>
  </si>
  <si>
    <t>Hand</t>
  </si>
  <si>
    <t>🖐 (1) R. Hand:</t>
  </si>
  <si>
    <t>💍 (1) Fingers:</t>
  </si>
  <si>
    <t>Ring</t>
  </si>
  <si>
    <t>💍 (2) Fingers:</t>
  </si>
  <si>
    <t>💍 (3) Fingers:</t>
  </si>
  <si>
    <t>💍 (4) Fingers:</t>
  </si>
  <si>
    <t>💍 (5) Fingers:</t>
  </si>
  <si>
    <t>💍 (6) Fingers:</t>
  </si>
  <si>
    <t>💍 (7) Fingers:</t>
  </si>
  <si>
    <t>💍 (8) Fingers:</t>
  </si>
  <si>
    <t>💍 (9) Fingers:</t>
  </si>
  <si>
    <t>💍 (10) Fingers:</t>
  </si>
  <si>
    <t>👖 (1) Legs:</t>
  </si>
  <si>
    <t>Legs</t>
  </si>
  <si>
    <t>🥾 (1) Feet:</t>
  </si>
  <si>
    <t>Feet</t>
  </si>
  <si>
    <t>⚒ SUB CLASSES</t>
  </si>
  <si>
    <t>Blacksmith</t>
  </si>
  <si>
    <t>Breeder</t>
  </si>
  <si>
    <t>Level:</t>
  </si>
  <si>
    <t>Enchanter</t>
  </si>
  <si>
    <t>Crafter</t>
  </si>
  <si>
    <t>Alchemist</t>
  </si>
  <si>
    <t>Farmer</t>
  </si>
  <si>
    <t>Chef</t>
  </si>
  <si>
    <t>Miner</t>
  </si>
  <si>
    <t>Spira Guard</t>
  </si>
  <si>
    <t>Fisherman</t>
  </si>
  <si>
    <t>Rank:</t>
  </si>
  <si>
    <t>Tier:</t>
  </si>
  <si>
    <t>Achievements</t>
  </si>
  <si>
    <t>Title Equip</t>
  </si>
  <si>
    <t>Notoriety Gained</t>
  </si>
  <si>
    <t>Bounty</t>
  </si>
  <si>
    <t>📜Quest Name</t>
  </si>
  <si>
    <t>Completed?</t>
  </si>
  <si>
    <t>Location</t>
  </si>
  <si>
    <t>Base Rolled Stats</t>
  </si>
  <si>
    <t>Racial Bonus</t>
  </si>
  <si>
    <t>Class Bonus</t>
  </si>
  <si>
    <t>Human Check</t>
  </si>
  <si>
    <t>Half Race</t>
  </si>
  <si>
    <t>Race:</t>
  </si>
  <si>
    <t>Half Class</t>
  </si>
  <si>
    <t>Class:</t>
  </si>
  <si>
    <t>Half Race:</t>
  </si>
  <si>
    <t>Half Class:</t>
  </si>
  <si>
    <t>Fire</t>
  </si>
  <si>
    <t>Enhanced Class:</t>
  </si>
  <si>
    <t>Water</t>
  </si>
  <si>
    <t>Starting Town:</t>
  </si>
  <si>
    <t>Spell Slots Number:</t>
  </si>
  <si>
    <t>Enhanced Half Class:</t>
  </si>
  <si>
    <t>Storm</t>
  </si>
  <si>
    <t>HP</t>
  </si>
  <si>
    <t>Character Name:</t>
  </si>
  <si>
    <t>Select Element1:</t>
  </si>
  <si>
    <t>Earth</t>
  </si>
  <si>
    <t>SP</t>
  </si>
  <si>
    <t>Sex:</t>
  </si>
  <si>
    <t>Astrological Sign:</t>
  </si>
  <si>
    <t>Select Element2:</t>
  </si>
  <si>
    <t>Light</t>
  </si>
  <si>
    <t>Hunger</t>
  </si>
  <si>
    <t>Age:</t>
  </si>
  <si>
    <t>Ability:</t>
  </si>
  <si>
    <t>Select Element3:</t>
  </si>
  <si>
    <t>Dark</t>
  </si>
  <si>
    <t>Thirst</t>
  </si>
  <si>
    <t>Height:</t>
  </si>
  <si>
    <t>Spirit</t>
  </si>
  <si>
    <t>Energy</t>
  </si>
  <si>
    <t>Weight:</t>
  </si>
  <si>
    <t>Time Spell Rank:</t>
  </si>
  <si>
    <t>Order</t>
  </si>
  <si>
    <t>Alignment:</t>
  </si>
  <si>
    <t>Chaos</t>
  </si>
  <si>
    <t>Nature</t>
  </si>
  <si>
    <t>Level</t>
  </si>
  <si>
    <t>Perk Points Total</t>
  </si>
  <si>
    <t>Resistances:</t>
  </si>
  <si>
    <t>DB ID:</t>
  </si>
  <si>
    <t>Physical</t>
  </si>
  <si>
    <t>Vulnerabilities:</t>
  </si>
  <si>
    <t>Melee</t>
  </si>
  <si>
    <t>Other Bonuses:</t>
  </si>
  <si>
    <t>Loyalty Score:</t>
  </si>
  <si>
    <t>Beta_V2-2</t>
  </si>
  <si>
    <t>Ranged</t>
  </si>
  <si>
    <t>Creature Type Override:</t>
  </si>
  <si>
    <t>Stasis</t>
  </si>
  <si>
    <t>Twilight</t>
  </si>
  <si>
    <t>Mobility</t>
  </si>
  <si>
    <t>Voodoo</t>
  </si>
  <si>
    <t>Blood</t>
  </si>
  <si>
    <t>Bonus:</t>
  </si>
  <si>
    <t>Delta</t>
  </si>
  <si>
    <t>Total:</t>
  </si>
  <si>
    <t>Zen</t>
  </si>
  <si>
    <t>Time</t>
  </si>
  <si>
    <t>Faction:</t>
  </si>
  <si>
    <t>Astral</t>
  </si>
  <si>
    <t>Abilities:</t>
  </si>
  <si>
    <t>Celestial</t>
  </si>
  <si>
    <t>Acoustic</t>
  </si>
  <si>
    <t>Equipment Def Add</t>
  </si>
  <si>
    <t>Equipment Atk Add</t>
  </si>
  <si>
    <t>Equipment Acc Add</t>
  </si>
  <si>
    <t>Equipment HP Add</t>
  </si>
  <si>
    <t>Equipment SP Add</t>
  </si>
  <si>
    <t>Equipment Hung Add</t>
  </si>
  <si>
    <t>Equipment Thirst Add</t>
  </si>
  <si>
    <t>Equipment Energy Add</t>
  </si>
  <si>
    <t>Neck 1</t>
  </si>
  <si>
    <t>Neck 2</t>
  </si>
  <si>
    <t>Neck 3</t>
  </si>
  <si>
    <t>L Hand</t>
  </si>
  <si>
    <t>R Hand</t>
  </si>
  <si>
    <t>Fingers 1</t>
  </si>
  <si>
    <t>Fingers 2</t>
  </si>
  <si>
    <t>Fingers 3</t>
  </si>
  <si>
    <t>Fingers 4</t>
  </si>
  <si>
    <t>Fingers 5</t>
  </si>
  <si>
    <t>Fingers 6</t>
  </si>
  <si>
    <t>Fingers 7</t>
  </si>
  <si>
    <t>Fingers 8</t>
  </si>
  <si>
    <t>Fingers 9</t>
  </si>
  <si>
    <t>Fingers 10</t>
  </si>
  <si>
    <t>Tomes</t>
  </si>
  <si>
    <t>Element</t>
  </si>
  <si>
    <t>Enabled</t>
  </si>
  <si>
    <t>Rank</t>
  </si>
  <si>
    <t>Fire:</t>
  </si>
  <si>
    <t>Water:</t>
  </si>
  <si>
    <t>Storm:</t>
  </si>
  <si>
    <t>Earth:</t>
  </si>
  <si>
    <t>Light:</t>
  </si>
  <si>
    <t>Dark:</t>
  </si>
  <si>
    <t>Spirit:</t>
  </si>
  <si>
    <t>Order:</t>
  </si>
  <si>
    <t>Chaos:</t>
  </si>
  <si>
    <t>Nature:</t>
  </si>
  <si>
    <t>Physical:</t>
  </si>
  <si>
    <t>Melee:</t>
  </si>
  <si>
    <t>Ranged:</t>
  </si>
  <si>
    <t>Stasis:</t>
  </si>
  <si>
    <t>Twilight:</t>
  </si>
  <si>
    <t>Voodoo:</t>
  </si>
  <si>
    <t>Blood:</t>
  </si>
  <si>
    <t>Delta:</t>
  </si>
  <si>
    <t>Zen:</t>
  </si>
  <si>
    <t>Time:</t>
  </si>
  <si>
    <t>Astral:</t>
  </si>
  <si>
    <t>Celestial:</t>
  </si>
  <si>
    <t>Acoustic:</t>
  </si>
  <si>
    <t>Elements</t>
  </si>
  <si>
    <t>Class</t>
  </si>
  <si>
    <t>EnhancedClass</t>
  </si>
  <si>
    <t>Race</t>
  </si>
  <si>
    <t>OtherAdds</t>
  </si>
  <si>
    <t>MaxRankLevel</t>
  </si>
  <si>
    <t>Spell Select</t>
  </si>
  <si>
    <t>SP Cost</t>
  </si>
  <si>
    <t>HP Cost</t>
  </si>
  <si>
    <t>Effect</t>
  </si>
  <si>
    <t>Target Amount</t>
  </si>
  <si>
    <t>Selected Spells</t>
  </si>
  <si>
    <t>Slot</t>
  </si>
  <si>
    <t>Level Requirement</t>
  </si>
  <si>
    <t>Estimated Price</t>
  </si>
  <si>
    <t>Item/Equipment Finder:</t>
  </si>
  <si>
    <t>Max Storage Size</t>
  </si>
  <si>
    <t>Amount</t>
  </si>
  <si>
    <t>Forge Amount</t>
  </si>
  <si>
    <t>Max Mana Potion</t>
  </si>
  <si>
    <t>Restores 100SP</t>
  </si>
  <si>
    <t>Item</t>
  </si>
  <si>
    <t>Melomel (Mead w/ fruit added)</t>
  </si>
  <si>
    <t>Restores 50 Thirst and hunger +25 energy</t>
  </si>
  <si>
    <t>Blue Steel Sword</t>
  </si>
  <si>
    <t>Sword</t>
  </si>
  <si>
    <t>DMG: +1000, Water DMG: +1000</t>
  </si>
  <si>
    <t>Trading Value</t>
  </si>
  <si>
    <t>Gilder</t>
  </si>
  <si>
    <t>To</t>
  </si>
  <si>
    <t>Equals</t>
  </si>
  <si>
    <t>Your Currency</t>
  </si>
  <si>
    <t>Gilders (G)</t>
  </si>
  <si>
    <t>SeaCoin (SC)</t>
  </si>
  <si>
    <t>Crystals (C)</t>
  </si>
  <si>
    <t>Frost Coins (FC)</t>
  </si>
  <si>
    <t>Undead Coins (UC)</t>
  </si>
  <si>
    <t>Halloween Coins (HC)</t>
  </si>
  <si>
    <t>Backstory</t>
  </si>
  <si>
    <t>Put in Custom learned spells/powers below to show up in spellbook</t>
  </si>
  <si>
    <t>Progress</t>
  </si>
  <si>
    <t>Completed</t>
  </si>
  <si>
    <t>Quest name</t>
  </si>
  <si>
    <t>Quest description</t>
  </si>
  <si>
    <t>Quest Type</t>
  </si>
  <si>
    <t>Value</t>
  </si>
  <si>
    <t>Active</t>
  </si>
  <si>
    <t>Failed</t>
  </si>
  <si>
    <t>Town</t>
  </si>
  <si>
    <t>World</t>
  </si>
  <si>
    <t>MobFinder:</t>
  </si>
  <si>
    <t>1HXoAI5UG3zq1UHqU5n7fPdbQk93qOha2VQb1r7iRi1o</t>
  </si>
  <si>
    <t>MainDirectory:</t>
  </si>
  <si>
    <t>1g_AeDkwsPncYqeTMHcCDZCjj6wqB0sW_-miBSQqz6gk</t>
  </si>
  <si>
    <t>CharDB:</t>
  </si>
  <si>
    <t>1mNoojYCRU_5eQ4skcH3ywN5n3JMKPeua1AFji0FLWdI</t>
  </si>
  <si>
    <t>CharLink:</t>
  </si>
  <si>
    <t>1QgDXPf_fVPQK32N3-ewUmWSk-z6KUKh-D92vz-WAs3A</t>
  </si>
  <si>
    <t>Guild</t>
  </si>
  <si>
    <t>Guild Quests Completed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</si>
</sst>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m/d/yyyy"/>
  </numFmts>
  <fonts count="20">
    <font>
      <sz val="10.0"/>
      <color rgb="FF000000"/>
      <name val="Arial"/>
      <scheme val="minor"/>
    </font>
    <font>
      <sz val="11.0"/>
      <color theme="1"/>
      <name val="Arial"/>
    </font>
    <font/>
    <font>
      <i/>
      <sz val="8.0"/>
      <color theme="1"/>
      <name val="Arial"/>
    </font>
    <font>
      <color theme="1"/>
      <name val="Arial"/>
      <scheme val="minor"/>
    </font>
    <font>
      <b/>
      <color theme="1"/>
      <name val="Arial"/>
      <scheme val="minor"/>
    </font>
    <font>
      <b/>
      <sz val="11.0"/>
      <color theme="1"/>
      <name val="Arial"/>
    </font>
    <font>
      <b/>
      <sz val="18.0"/>
      <color theme="1"/>
      <name val="Arial"/>
    </font>
    <font>
      <color theme="1"/>
      <name val="Arial"/>
    </font>
    <font>
      <b/>
      <color theme="1"/>
      <name val="Arial"/>
    </font>
    <font>
      <b/>
      <sz val="11.0"/>
      <color rgb="FF0B0080"/>
      <name val="Arial"/>
    </font>
    <font>
      <b/>
      <sz val="11.0"/>
      <color rgb="FF000000"/>
      <name val="Arial"/>
    </font>
    <font>
      <sz val="10.0"/>
      <color rgb="FF000000"/>
      <name val="Arial"/>
    </font>
    <font>
      <b/>
      <u/>
      <sz val="11.0"/>
      <color rgb="FF4A86E8"/>
      <name val="Arial"/>
    </font>
    <font>
      <sz val="11.0"/>
      <color rgb="FF000000"/>
      <name val="Arial"/>
    </font>
    <font>
      <b/>
      <color rgb="FF000000"/>
      <name val="Arial"/>
    </font>
    <font>
      <b/>
      <sz val="9.0"/>
      <color theme="1"/>
      <name val="Arial"/>
      <scheme val="minor"/>
    </font>
    <font>
      <b/>
      <sz val="24.0"/>
      <color theme="1"/>
      <name val="Arial"/>
      <scheme val="minor"/>
    </font>
    <font>
      <b/>
      <sz val="17.0"/>
      <color theme="1"/>
      <name val="Arial"/>
      <scheme val="minor"/>
    </font>
    <font>
      <sz val="9.0"/>
      <color rgb="FF000000"/>
      <name val="&quot;Google Sans Mono&quot;"/>
    </font>
  </fonts>
  <fills count="8">
    <fill>
      <patternFill patternType="none"/>
    </fill>
    <fill>
      <patternFill patternType="lightGray"/>
    </fill>
    <fill>
      <patternFill patternType="solid">
        <fgColor rgb="FFFFFFFF"/>
        <bgColor rgb="FFFFFFFF"/>
      </patternFill>
    </fill>
    <fill>
      <patternFill patternType="solid">
        <fgColor rgb="FFCC0000"/>
        <bgColor rgb="FFCC0000"/>
      </patternFill>
    </fill>
    <fill>
      <patternFill patternType="solid">
        <fgColor rgb="FF6D9EEB"/>
        <bgColor rgb="FF6D9EEB"/>
      </patternFill>
    </fill>
    <fill>
      <patternFill patternType="solid">
        <fgColor rgb="FFFCE8B2"/>
        <bgColor rgb="FFFCE8B2"/>
      </patternFill>
    </fill>
    <fill>
      <patternFill patternType="solid">
        <fgColor rgb="FFB4A7D6"/>
        <bgColor rgb="FFB4A7D6"/>
      </patternFill>
    </fill>
    <fill>
      <patternFill patternType="solid">
        <fgColor rgb="FFD9EAD3"/>
        <bgColor rgb="FFD9EAD3"/>
      </patternFill>
    </fill>
  </fills>
  <borders count="15">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top style="thin">
        <color rgb="FF000000"/>
      </top>
    </border>
    <border>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29">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2" fillId="0" fontId="2" numFmtId="0" xfId="0" applyBorder="1" applyFont="1"/>
    <xf borderId="3" fillId="0" fontId="1" numFmtId="0" xfId="0" applyAlignment="1" applyBorder="1" applyFont="1">
      <alignment shrinkToFit="0" vertical="top" wrapText="1"/>
    </xf>
    <xf borderId="4" fillId="0" fontId="2" numFmtId="0" xfId="0" applyBorder="1" applyFont="1"/>
    <xf borderId="1" fillId="0" fontId="3"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7" fillId="0" fontId="2" numFmtId="0" xfId="0" applyBorder="1" applyFont="1"/>
    <xf borderId="1" fillId="0" fontId="1" numFmtId="0" xfId="0" applyAlignment="1" applyBorder="1" applyFont="1">
      <alignment readingOrder="0" shrinkToFit="0" vertical="bottom" wrapText="1"/>
    </xf>
    <xf borderId="1" fillId="2" fontId="1" numFmtId="0" xfId="0" applyAlignment="1" applyBorder="1" applyFill="1" applyFont="1">
      <alignment readingOrder="0" shrinkToFit="0" vertical="bottom" wrapText="1"/>
    </xf>
    <xf borderId="8" fillId="0" fontId="1" numFmtId="0" xfId="0" applyAlignment="1" applyBorder="1" applyFont="1">
      <alignment shrinkToFit="0" vertical="bottom" wrapText="1"/>
    </xf>
    <xf borderId="5" fillId="0" fontId="1" numFmtId="0" xfId="0" applyAlignment="1" applyBorder="1" applyFont="1">
      <alignment shrinkToFit="0" vertical="bottom" wrapText="1"/>
    </xf>
    <xf borderId="1" fillId="0" fontId="1" numFmtId="0" xfId="0" applyAlignment="1" applyBorder="1" applyFont="1">
      <alignment shrinkToFit="0" vertical="bottom" wrapText="1"/>
    </xf>
    <xf borderId="0" fillId="3" fontId="4" numFmtId="0" xfId="0" applyAlignment="1" applyFill="1" applyFont="1">
      <alignment readingOrder="0"/>
    </xf>
    <xf borderId="0" fillId="4" fontId="4" numFmtId="0" xfId="0" applyAlignment="1" applyFill="1" applyFont="1">
      <alignment readingOrder="0"/>
    </xf>
    <xf borderId="0" fillId="5" fontId="4" numFmtId="0" xfId="0" applyAlignment="1" applyFill="1" applyFont="1">
      <alignment readingOrder="0"/>
    </xf>
    <xf borderId="1" fillId="0" fontId="5" numFmtId="0" xfId="0" applyAlignment="1" applyBorder="1" applyFont="1">
      <alignment horizontal="center" readingOrder="0"/>
    </xf>
    <xf borderId="8" fillId="6" fontId="1" numFmtId="0" xfId="0" applyAlignment="1" applyBorder="1" applyFill="1" applyFont="1">
      <alignment shrinkToFit="0" vertical="bottom" wrapText="1"/>
    </xf>
    <xf borderId="0" fillId="0" fontId="4" numFmtId="0" xfId="0" applyAlignment="1" applyFont="1">
      <alignment readingOrder="0"/>
    </xf>
    <xf borderId="3" fillId="0" fontId="4" numFmtId="0" xfId="0" applyAlignment="1" applyBorder="1" applyFont="1">
      <alignment readingOrder="0"/>
    </xf>
    <xf borderId="4" fillId="0" fontId="4" numFmtId="0" xfId="0" applyAlignment="1" applyBorder="1" applyFont="1">
      <alignment readingOrder="0"/>
    </xf>
    <xf borderId="0" fillId="6" fontId="4" numFmtId="0" xfId="0" applyAlignment="1" applyFont="1">
      <alignment readingOrder="0"/>
    </xf>
    <xf borderId="9" fillId="0" fontId="4" numFmtId="0" xfId="0" applyAlignment="1" applyBorder="1" applyFont="1">
      <alignment readingOrder="0"/>
    </xf>
    <xf borderId="10" fillId="0" fontId="4" numFmtId="0" xfId="0" applyBorder="1" applyFont="1"/>
    <xf borderId="1" fillId="6" fontId="1" numFmtId="0" xfId="0" applyAlignment="1" applyBorder="1" applyFont="1">
      <alignment shrinkToFit="0" vertical="bottom" wrapText="1"/>
    </xf>
    <xf borderId="6" fillId="0" fontId="4" numFmtId="0" xfId="0" applyAlignment="1" applyBorder="1" applyFont="1">
      <alignment readingOrder="0"/>
    </xf>
    <xf borderId="7" fillId="0" fontId="4" numFmtId="0" xfId="0" applyAlignment="1" applyBorder="1" applyFont="1">
      <alignment readingOrder="0"/>
    </xf>
    <xf borderId="1" fillId="3" fontId="6" numFmtId="0" xfId="0" applyAlignment="1" applyBorder="1" applyFont="1">
      <alignment shrinkToFit="0" vertical="bottom" wrapText="1"/>
    </xf>
    <xf borderId="1" fillId="4" fontId="6" numFmtId="0" xfId="0" applyAlignment="1" applyBorder="1" applyFont="1">
      <alignment shrinkToFit="0" vertical="bottom" wrapText="1"/>
    </xf>
    <xf borderId="1" fillId="0" fontId="4" numFmtId="0" xfId="0" applyAlignment="1" applyBorder="1" applyFont="1">
      <alignment readingOrder="0"/>
    </xf>
    <xf borderId="2" fillId="0" fontId="4" numFmtId="3" xfId="0" applyBorder="1" applyFont="1" applyNumberFormat="1"/>
    <xf borderId="1" fillId="5" fontId="1" numFmtId="0" xfId="0" applyAlignment="1" applyBorder="1" applyFont="1">
      <alignment shrinkToFit="0" vertical="bottom" wrapText="1"/>
    </xf>
    <xf borderId="1" fillId="0" fontId="6" numFmtId="0" xfId="0" applyAlignment="1" applyBorder="1" applyFont="1">
      <alignment shrinkToFit="0" vertical="bottom" wrapText="1"/>
    </xf>
    <xf borderId="3" fillId="0" fontId="6" numFmtId="0" xfId="0" applyAlignment="1" applyBorder="1" applyFont="1">
      <alignment readingOrder="0" shrinkToFit="0" vertical="bottom" wrapText="1"/>
    </xf>
    <xf borderId="4"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2" fillId="0" fontId="4" numFmtId="0" xfId="0" applyBorder="1" applyFont="1"/>
    <xf borderId="8" fillId="0" fontId="1" numFmtId="0" xfId="0" applyAlignment="1" applyBorder="1" applyFont="1">
      <alignment horizontal="center" readingOrder="0" shrinkToFit="0" vertical="center" wrapText="1"/>
    </xf>
    <xf borderId="8" fillId="0" fontId="1" numFmtId="0" xfId="0" applyAlignment="1" applyBorder="1" applyFont="1">
      <alignment horizontal="center" shrinkToFit="0" vertical="center" wrapText="1"/>
    </xf>
    <xf borderId="10" fillId="0" fontId="1" numFmtId="0" xfId="0" applyAlignment="1" applyBorder="1" applyFont="1">
      <alignment horizontal="left" shrinkToFit="0" vertical="top" wrapText="1"/>
    </xf>
    <xf borderId="8" fillId="0" fontId="4" numFmtId="0" xfId="0" applyBorder="1" applyFont="1"/>
    <xf borderId="10" fillId="0" fontId="2" numFmtId="0" xfId="0" applyBorder="1" applyFont="1"/>
    <xf borderId="1" fillId="0" fontId="7" numFmtId="0" xfId="0" applyAlignment="1" applyBorder="1" applyFont="1">
      <alignment horizontal="center" readingOrder="0" vertical="bottom"/>
    </xf>
    <xf borderId="0" fillId="0" fontId="8" numFmtId="0" xfId="0" applyAlignment="1" applyFont="1">
      <alignment vertical="bottom"/>
    </xf>
    <xf borderId="0" fillId="0" fontId="5" numFmtId="0" xfId="0" applyAlignment="1" applyFont="1">
      <alignment horizontal="center" readingOrder="0"/>
    </xf>
    <xf borderId="0" fillId="0" fontId="9" numFmtId="0" xfId="0" applyAlignment="1" applyFont="1">
      <alignment horizontal="center" readingOrder="0" vertical="bottom"/>
    </xf>
    <xf borderId="8" fillId="0" fontId="1" numFmtId="0" xfId="0" applyAlignment="1" applyBorder="1" applyFont="1">
      <alignment readingOrder="0" shrinkToFit="0" vertical="bottom" wrapText="1"/>
    </xf>
    <xf borderId="8" fillId="0" fontId="8" numFmtId="0" xfId="0" applyAlignment="1" applyBorder="1" applyFont="1">
      <alignment readingOrder="0" vertical="bottom"/>
    </xf>
    <xf borderId="0" fillId="0" fontId="4" numFmtId="0" xfId="0" applyFont="1"/>
    <xf borderId="0" fillId="0" fontId="4" numFmtId="0" xfId="0" applyAlignment="1" applyFont="1">
      <alignment shrinkToFit="0" wrapText="1"/>
    </xf>
    <xf borderId="8" fillId="0" fontId="4" numFmtId="0" xfId="0" applyAlignment="1" applyBorder="1" applyFont="1">
      <alignment readingOrder="0"/>
    </xf>
    <xf borderId="8" fillId="0" fontId="8" numFmtId="0" xfId="0" applyAlignment="1" applyBorder="1" applyFont="1">
      <alignment vertical="bottom"/>
    </xf>
    <xf borderId="0" fillId="0" fontId="10" numFmtId="0" xfId="0" applyAlignment="1" applyFont="1">
      <alignment readingOrder="0"/>
    </xf>
    <xf borderId="0" fillId="0" fontId="11" numFmtId="0" xfId="0" applyAlignment="1" applyFont="1">
      <alignment horizontal="right" readingOrder="0"/>
    </xf>
    <xf borderId="0" fillId="0" fontId="4" numFmtId="0" xfId="0" applyAlignment="1" applyFont="1">
      <alignment horizontal="right" readingOrder="0"/>
    </xf>
    <xf borderId="0" fillId="0" fontId="12" numFmtId="0" xfId="0" applyAlignment="1" applyFont="1">
      <alignment horizontal="right" readingOrder="0"/>
    </xf>
    <xf borderId="0" fillId="0" fontId="13" numFmtId="0" xfId="0" applyAlignment="1" applyFont="1">
      <alignment horizontal="right" readingOrder="0"/>
    </xf>
    <xf borderId="0" fillId="0" fontId="14" numFmtId="0" xfId="0" applyAlignment="1" applyFont="1">
      <alignment horizontal="left"/>
    </xf>
    <xf borderId="0" fillId="0" fontId="11" numFmtId="0" xfId="0" applyAlignment="1" applyFont="1">
      <alignment horizontal="left" readingOrder="0"/>
    </xf>
    <xf borderId="8" fillId="0" fontId="14" numFmtId="0" xfId="0" applyAlignment="1" applyBorder="1" applyFont="1">
      <alignment horizontal="left" shrinkToFit="0" wrapText="1"/>
    </xf>
    <xf borderId="8" fillId="0" fontId="4" numFmtId="0" xfId="0" applyAlignment="1" applyBorder="1" applyFont="1">
      <alignment horizontal="center" shrinkToFit="0" vertical="center" wrapText="1"/>
    </xf>
    <xf borderId="8" fillId="0" fontId="4" numFmtId="164" xfId="0" applyAlignment="1" applyBorder="1" applyFont="1" applyNumberFormat="1">
      <alignment shrinkToFit="0" wrapText="1"/>
    </xf>
    <xf borderId="8" fillId="0" fontId="4" numFmtId="164" xfId="0" applyAlignment="1" applyBorder="1" applyFont="1" applyNumberFormat="1">
      <alignment horizontal="center" shrinkToFit="0" vertical="center" wrapText="1"/>
    </xf>
    <xf borderId="1" fillId="0" fontId="4" numFmtId="0" xfId="0" applyAlignment="1" applyBorder="1" applyFont="1">
      <alignment readingOrder="0" shrinkToFit="0" wrapText="1"/>
    </xf>
    <xf borderId="8" fillId="0" fontId="4" numFmtId="0" xfId="0" applyAlignment="1" applyBorder="1" applyFont="1">
      <alignment shrinkToFit="0" wrapText="0"/>
    </xf>
    <xf borderId="8" fillId="0" fontId="4" numFmtId="0" xfId="0" applyAlignment="1" applyBorder="1" applyFont="1">
      <alignment horizontal="center"/>
    </xf>
    <xf borderId="8" fillId="0" fontId="4" numFmtId="0" xfId="0" applyAlignment="1" applyBorder="1" applyFont="1">
      <alignment horizontal="center" shrinkToFit="0" wrapText="1"/>
    </xf>
    <xf borderId="0" fillId="0" fontId="4" numFmtId="0" xfId="0" applyAlignment="1" applyFont="1">
      <alignment readingOrder="0"/>
    </xf>
    <xf borderId="8" fillId="0" fontId="4" numFmtId="0" xfId="0" applyAlignment="1" applyBorder="1" applyFont="1">
      <alignment shrinkToFit="0" wrapText="1"/>
    </xf>
    <xf borderId="0" fillId="0" fontId="5" numFmtId="0" xfId="0" applyAlignment="1" applyFont="1">
      <alignment readingOrder="0"/>
    </xf>
    <xf borderId="0" fillId="0" fontId="8" numFmtId="0" xfId="0" applyAlignment="1" applyFont="1">
      <alignment horizontal="right" readingOrder="0"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49" xfId="0" applyAlignment="1" applyFont="1" applyNumberFormat="1">
      <alignment vertical="bottom"/>
    </xf>
    <xf borderId="0" fillId="0" fontId="8" numFmtId="0" xfId="0" applyAlignment="1" applyFont="1">
      <alignment vertical="bottom"/>
    </xf>
    <xf borderId="0" fillId="0" fontId="4" numFmtId="0" xfId="0" applyAlignment="1" applyFont="1">
      <alignment horizontal="left" readingOrder="0"/>
    </xf>
    <xf borderId="0" fillId="2" fontId="15" numFmtId="0" xfId="0" applyAlignment="1" applyFont="1">
      <alignment horizontal="left" readingOrder="0"/>
    </xf>
    <xf borderId="3" fillId="0" fontId="5" numFmtId="0" xfId="0" applyAlignment="1" applyBorder="1" applyFont="1">
      <alignment readingOrder="0"/>
    </xf>
    <xf borderId="9" fillId="0" fontId="5" numFmtId="0" xfId="0" applyAlignment="1" applyBorder="1" applyFont="1">
      <alignment horizontal="right" readingOrder="0"/>
    </xf>
    <xf borderId="9" fillId="0" fontId="5" numFmtId="0" xfId="0" applyAlignment="1" applyBorder="1" applyFont="1">
      <alignment horizontal="center" readingOrder="0"/>
    </xf>
    <xf borderId="9" fillId="0" fontId="4" numFmtId="0" xfId="0" applyAlignment="1" applyBorder="1" applyFont="1">
      <alignment shrinkToFit="0" vertical="top" wrapText="1"/>
    </xf>
    <xf borderId="9" fillId="0" fontId="2" numFmtId="0" xfId="0" applyBorder="1" applyFont="1"/>
    <xf borderId="0" fillId="0" fontId="5" numFmtId="0" xfId="0" applyAlignment="1" applyFont="1">
      <alignment horizontal="right" readingOrder="0"/>
    </xf>
    <xf borderId="0" fillId="0" fontId="4" numFmtId="0" xfId="0" applyAlignment="1" applyFont="1">
      <alignment horizontal="center" readingOrder="0"/>
    </xf>
    <xf borderId="0" fillId="0" fontId="4" numFmtId="0" xfId="0" applyAlignment="1" applyFont="1">
      <alignment horizontal="center"/>
    </xf>
    <xf borderId="0" fillId="0" fontId="16" numFmtId="0" xfId="0" applyAlignment="1" applyFont="1">
      <alignment readingOrder="0"/>
    </xf>
    <xf borderId="0" fillId="7" fontId="5" numFmtId="0" xfId="0" applyAlignment="1" applyFill="1" applyFont="1">
      <alignment horizontal="center" readingOrder="0"/>
    </xf>
    <xf borderId="11" fillId="0" fontId="4" numFmtId="0" xfId="0" applyAlignment="1" applyBorder="1" applyFont="1">
      <alignment horizontal="center"/>
    </xf>
    <xf borderId="3" fillId="0" fontId="5" numFmtId="0" xfId="0" applyAlignment="1" applyBorder="1" applyFont="1">
      <alignment horizontal="right" readingOrder="0"/>
    </xf>
    <xf borderId="11" fillId="0" fontId="4" numFmtId="0" xfId="0" applyAlignment="1" applyBorder="1" applyFont="1">
      <alignment readingOrder="0"/>
    </xf>
    <xf borderId="11" fillId="0" fontId="4" numFmtId="0" xfId="0" applyBorder="1" applyFont="1"/>
    <xf borderId="4" fillId="0" fontId="4" numFmtId="0" xfId="0" applyBorder="1" applyFont="1"/>
    <xf borderId="9" fillId="0" fontId="4" numFmtId="0" xfId="0" applyBorder="1" applyFont="1"/>
    <xf borderId="6" fillId="0" fontId="4" numFmtId="0" xfId="0" applyBorder="1" applyFont="1"/>
    <xf borderId="12" fillId="0" fontId="4" numFmtId="0" xfId="0" applyAlignment="1" applyBorder="1" applyFont="1">
      <alignment shrinkToFit="0" wrapText="1"/>
    </xf>
    <xf borderId="12" fillId="0" fontId="2" numFmtId="0" xfId="0" applyBorder="1" applyFont="1"/>
    <xf borderId="12" fillId="0" fontId="5" numFmtId="0" xfId="0" applyAlignment="1" applyBorder="1" applyFont="1">
      <alignment horizontal="center"/>
    </xf>
    <xf borderId="12" fillId="0" fontId="5" numFmtId="0" xfId="0" applyAlignment="1" applyBorder="1" applyFont="1">
      <alignment horizontal="center"/>
    </xf>
    <xf borderId="0" fillId="0" fontId="5" numFmtId="0" xfId="0" applyAlignment="1" applyFont="1">
      <alignment horizontal="center"/>
    </xf>
    <xf borderId="8" fillId="0" fontId="5" numFmtId="0" xfId="0" applyAlignment="1" applyBorder="1" applyFont="1">
      <alignment horizontal="center" readingOrder="0"/>
    </xf>
    <xf borderId="13" fillId="0" fontId="4" numFmtId="0" xfId="0" applyAlignment="1" applyBorder="1" applyFont="1">
      <alignment readingOrder="0"/>
    </xf>
    <xf borderId="13" fillId="0" fontId="4" numFmtId="0" xfId="0" applyBorder="1" applyFont="1"/>
    <xf borderId="14" fillId="0" fontId="4" numFmtId="0" xfId="0" applyBorder="1" applyFont="1"/>
    <xf borderId="0" fillId="0" fontId="5" numFmtId="0" xfId="0" applyAlignment="1" applyFont="1">
      <alignment horizontal="center"/>
    </xf>
    <xf borderId="0" fillId="0" fontId="4" numFmtId="0" xfId="0" applyAlignment="1" applyFont="1">
      <alignment readingOrder="0"/>
    </xf>
    <xf borderId="0" fillId="0" fontId="4" numFmtId="164" xfId="0" applyFont="1" applyNumberFormat="1"/>
    <xf borderId="0" fillId="0" fontId="8" numFmtId="0" xfId="0" applyAlignment="1" applyFont="1">
      <alignment horizontal="right" vertical="bottom"/>
    </xf>
    <xf borderId="0" fillId="0" fontId="8" numFmtId="164" xfId="0" applyAlignment="1" applyFont="1" applyNumberFormat="1">
      <alignment vertical="bottom"/>
    </xf>
    <xf borderId="0" fillId="0" fontId="8" numFmtId="0" xfId="0" applyAlignment="1" applyFont="1">
      <alignment shrinkToFit="0" vertical="bottom" wrapText="0"/>
    </xf>
    <xf borderId="0" fillId="0" fontId="8" numFmtId="0" xfId="0" applyAlignment="1" applyFont="1">
      <alignment shrinkToFit="0" vertical="bottom" wrapText="0"/>
    </xf>
    <xf borderId="0" fillId="0" fontId="8" numFmtId="164" xfId="0" applyAlignment="1" applyFont="1" applyNumberFormat="1">
      <alignment horizontal="right" vertical="bottom"/>
    </xf>
    <xf borderId="0" fillId="0" fontId="4" numFmtId="164" xfId="0" applyFont="1" applyNumberFormat="1"/>
    <xf borderId="0" fillId="0" fontId="4" numFmtId="164" xfId="0" applyAlignment="1" applyFont="1" applyNumberFormat="1">
      <alignment readingOrder="0"/>
    </xf>
    <xf borderId="1" fillId="0" fontId="1" numFmtId="0" xfId="0" applyAlignment="1" applyBorder="1" applyFont="1">
      <alignment shrinkToFit="0" vertical="top" wrapText="1"/>
    </xf>
    <xf borderId="8" fillId="2" fontId="1" numFmtId="0" xfId="0" applyAlignment="1" applyBorder="1" applyFont="1">
      <alignment shrinkToFit="0" vertical="bottom" wrapText="1"/>
    </xf>
    <xf borderId="1" fillId="0" fontId="17" numFmtId="0" xfId="0" applyAlignment="1" applyBorder="1" applyFont="1">
      <alignment horizontal="center" readingOrder="0"/>
    </xf>
    <xf borderId="9" fillId="0" fontId="4" numFmtId="0" xfId="0" applyAlignment="1" applyBorder="1" applyFont="1">
      <alignment readingOrder="0" shrinkToFit="0" vertical="top" wrapText="1"/>
    </xf>
    <xf borderId="0" fillId="0" fontId="18" numFmtId="0" xfId="0" applyAlignment="1" applyFont="1">
      <alignment horizontal="center" readingOrder="0"/>
    </xf>
    <xf borderId="0" fillId="0" fontId="8" numFmtId="0" xfId="0" applyAlignment="1" applyFont="1">
      <alignment readingOrder="0"/>
    </xf>
    <xf borderId="0" fillId="0" fontId="8" numFmtId="0" xfId="0" applyFont="1"/>
    <xf borderId="0" fillId="0" fontId="4" numFmtId="0" xfId="0" applyAlignment="1" applyFont="1">
      <alignment horizontal="center" vertical="center"/>
    </xf>
    <xf borderId="0" fillId="0" fontId="4" numFmtId="0" xfId="0" applyAlignment="1" applyFont="1">
      <alignment horizontal="left" shrinkToFit="0" vertical="center" wrapText="1"/>
    </xf>
    <xf borderId="0" fillId="0" fontId="4" numFmtId="0" xfId="0" applyAlignment="1" applyFont="1">
      <alignment horizontal="center" shrinkToFit="0" vertical="center" wrapText="1"/>
    </xf>
    <xf borderId="0" fillId="0" fontId="4" numFmtId="165" xfId="0" applyFont="1" applyNumberFormat="1"/>
    <xf borderId="0" fillId="0" fontId="4" numFmtId="3" xfId="0" applyFont="1" applyNumberFormat="1"/>
    <xf borderId="0" fillId="0" fontId="4" numFmtId="1" xfId="0" applyFont="1" applyNumberFormat="1"/>
    <xf borderId="0" fillId="0" fontId="4" numFmtId="49" xfId="0" applyFont="1" applyNumberFormat="1"/>
    <xf borderId="0" fillId="2" fontId="19" numFmtId="0" xfId="0" applyFont="1"/>
  </cellXfs>
  <cellStyles count="1">
    <cellStyle xfId="0" name="Normal" builtinId="0"/>
  </cellStyles>
  <dxfs count="3">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1371600</xdr:colOff>
      <xdr:row>11</xdr:row>
      <xdr:rowOff>161925</xdr:rowOff>
    </xdr:from>
    <xdr:ext cx="1362075" cy="219075"/>
    <xdr:sp>
      <xdr:nvSpPr>
        <xdr:cNvPr id="3" name="Shape 3"/>
        <xdr:cNvSpPr txBox="1"/>
      </xdr:nvSpPr>
      <xdr:spPr>
        <a:xfrm>
          <a:off x="140100" y="270200"/>
          <a:ext cx="2321700" cy="400200"/>
        </a:xfrm>
        <a:prstGeom prst="rect">
          <a:avLst/>
        </a:prstGeom>
        <a:solidFill>
          <a:srgbClr val="00FF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Load</a:t>
          </a:r>
          <a:endParaRPr sz="1400"/>
        </a:p>
      </xdr:txBody>
    </xdr:sp>
    <xdr:clientData fLocksWithSheet="0"/>
  </xdr:oneCellAnchor>
  <xdr:oneCellAnchor>
    <xdr:from>
      <xdr:col>7</xdr:col>
      <xdr:colOff>1371600</xdr:colOff>
      <xdr:row>12</xdr:row>
      <xdr:rowOff>180975</xdr:rowOff>
    </xdr:from>
    <xdr:ext cx="1362075" cy="219075"/>
    <xdr:sp>
      <xdr:nvSpPr>
        <xdr:cNvPr id="4" name="Shape 4"/>
        <xdr:cNvSpPr txBox="1"/>
      </xdr:nvSpPr>
      <xdr:spPr>
        <a:xfrm>
          <a:off x="520375" y="430300"/>
          <a:ext cx="2071500" cy="400200"/>
        </a:xfrm>
        <a:prstGeom prst="rect">
          <a:avLst/>
        </a:prstGeom>
        <a:solidFill>
          <a:srgbClr val="CC00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Save</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38"/>
    <col customWidth="1" min="3" max="4" width="18.0"/>
    <col customWidth="1" min="5" max="5" width="23.13"/>
  </cols>
  <sheetData>
    <row r="5" ht="18.75" customHeight="1">
      <c r="B5" s="1" t="str">
        <f>"👤 Name: "&amp;Leveler!F5</f>
        <v>👤 Name: </v>
      </c>
      <c r="C5" s="2"/>
      <c r="D5" s="3" t="str">
        <f>IFERROR(__xludf.DUMMYFUNCTION("""📜 Titles:""&amp;CHAR(10)&amp;IFNA(QUERY($C$77:$D$135,""Select D where C = True""))"),"📜 Titles:
")</f>
        <v>📜 Titles:
</v>
      </c>
      <c r="E5" s="4"/>
    </row>
    <row r="6" ht="196.5" customHeight="1">
      <c r="B6" s="5" t="s">
        <v>0</v>
      </c>
      <c r="C6" s="6"/>
      <c r="D6" s="7"/>
      <c r="E6" s="8"/>
    </row>
    <row r="7">
      <c r="B7" s="9" t="str">
        <f>"♀️♂️ Sex:"&amp;Leveler!F6&amp;" 
🧓👵 Age:"&amp;Leveler!F7&amp;"
📈 Height:"&amp;Leveler!F8&amp;"
⚖️ Weight:"&amp;Leveler!F9</f>
        <v>♀️♂️ Sex: 
🧓👵 Age:
📈 Height:
⚖️ Weight:</v>
      </c>
      <c r="C7" s="2"/>
      <c r="D7" s="10" t="str">
        <f>IFERROR(__xludf.DUMMYFUNCTION("""🧧 Guild 1: ""&amp;MyGuildInfo!A2&amp;CHAR(10)&amp;""Rank: ""&amp;MyGuildInfo!B2&amp;CHAR(10)&amp;""Completed Quests: ""&amp;CHAR(10)&amp;""- ""&amp;REGEXREPLACE(MyGuildInfo!C2,""\n"",CHAR(10)&amp;""- "")&amp;CHAR(10)&amp;CHAR(10)&amp;
""🧧 Guild 2: ""&amp;MyGuildInfo!A3&amp;CHAR(10)&amp;""Rank: ""&amp;MyGuildInfo!B3&amp;CH"&amp;"AR(10)&amp;""Completed Quests: ""&amp;CHAR(10)&amp;""- ""&amp;REGEXREPLACE(MyGuildInfo!C3,""\n"",CHAR(10)&amp;""- "")&amp;CHAR(10)&amp;CHAR(10)&amp;
""🧧 Guild 3: ""&amp;MyGuildInfo!A4&amp;CHAR(10)&amp;""Rank: ""&amp;MyGuildInfo!B4&amp;CHAR(10)&amp;""Completed Quests: ""&amp;CHAR(10)&amp;""- ""&amp;REGEXREPLACE(MyGuildInf"&amp;"o!C4,""\n"",CHAR(10)&amp;""- "")"),"🧧 Guild 1: 
Rank: 
Completed Quests: 
- 
🧧 Guild 2: 
Rank: 
Completed Quests: 
- 
🧧 Guild 3: 
Rank: 
Completed Quests: 
- ")</f>
        <v>🧧 Guild 1: 
Rank: 
Completed Quests: 
- 
🧧 Guild 2: 
Rank: 
Completed Quests: 
- 
🧧 Guild 3: 
Rank: 
Completed Quests: 
- </v>
      </c>
      <c r="E7" s="2"/>
    </row>
    <row r="8">
      <c r="B8" s="11" t="str">
        <f>"⭐ Level: "&amp;Leveler!B13</f>
        <v>⭐ Level: 1</v>
      </c>
      <c r="C8" s="11" t="str">
        <f>"Total Perk Points: "&amp;Leveler!C13</f>
        <v>Total Perk Points: 0</v>
      </c>
      <c r="D8" s="12" t="str">
        <f>"Entity Type: "&amp;IF(ISBLANK(Leveler!$F$15),IF(Leveler!$F$2,VLOOKUP(Leveler!$H$2,Races!$A$2:$AX1019,MATCH("EntityType",Races!$A$1:$AX$1,0),FALSE),VLOOKUP(Leveler!$H$1,Races!$A$2:$AX1019,MATCH("EntityType",Races!$A$1:$AX$1,0),FALSE)),Leveler!$F$15)</f>
        <v>#N/A</v>
      </c>
      <c r="E8" s="2"/>
    </row>
    <row r="9">
      <c r="B9" s="11" t="str">
        <f>"🤝 Loyalty Score: "&amp;Leveler!H14</f>
        <v>🤝 Loyalty Score: </v>
      </c>
      <c r="C9" s="13" t="str">
        <f>"🏰 Starter Town: "&amp;Leveler!F4</f>
        <v>🏰 Starter Town: </v>
      </c>
      <c r="D9" s="6"/>
      <c r="E9" s="2"/>
    </row>
    <row r="10">
      <c r="B10" s="13" t="str">
        <f>"🧞‍♂️ Race: "&amp;IF(Leveler!F2,Leveler!H1&amp;CHAR(10)&amp;"Half Race: "&amp;Leveler!H2,Leveler!H1)</f>
        <v>🧞‍♂️ Race: </v>
      </c>
      <c r="C10" s="2"/>
      <c r="D10" s="13" t="str">
        <f>"🏹 Class: "&amp;IF(Leveler!I2,Leveler!K1&amp;CHAR(10)&amp;"Half Class: "&amp;Leveler!K2,Leveler!K1)</f>
        <v>🏹 Class: </v>
      </c>
      <c r="E10" s="2"/>
      <c r="F10" s="14" t="s">
        <v>1</v>
      </c>
      <c r="G10" s="15" t="s">
        <v>2</v>
      </c>
      <c r="H10" s="16" t="s">
        <v>3</v>
      </c>
      <c r="I10" s="16" t="s">
        <v>4</v>
      </c>
      <c r="J10" s="16" t="s">
        <v>5</v>
      </c>
      <c r="L10" s="17" t="s">
        <v>6</v>
      </c>
      <c r="M10" s="2"/>
    </row>
    <row r="11">
      <c r="B11" s="18" t="str">
        <f>"⚔️ Attack: "&amp;Leveler!B18+F13</f>
        <v>#N/A</v>
      </c>
      <c r="C11" s="18" t="str">
        <f>"🛡️ Defense: "&amp;Leveler!C18+G13</f>
        <v>#N/A</v>
      </c>
      <c r="D11" s="18" t="str">
        <f>"🎯 Accuracy: "&amp;Leveler!D18+H13</f>
        <v>#N/A</v>
      </c>
      <c r="E11" s="18" t="str">
        <f>"😇[P] Charisma: "&amp;Leveler!E20+I13</f>
        <v>#N/A</v>
      </c>
      <c r="F11" s="19">
        <v>0.0</v>
      </c>
      <c r="G11" s="19">
        <v>0.0</v>
      </c>
      <c r="H11" s="19">
        <v>0.0</v>
      </c>
      <c r="I11" s="19">
        <v>0.0</v>
      </c>
      <c r="J11" s="19">
        <v>0.0</v>
      </c>
      <c r="L11" s="20" t="s">
        <v>7</v>
      </c>
      <c r="M11" s="21">
        <v>1.0</v>
      </c>
    </row>
    <row r="12">
      <c r="B12" s="18" t="str">
        <f>"🤯[P] Wisdom: "&amp;Leveler!F20+F15</f>
        <v>#N/A</v>
      </c>
      <c r="C12" s="18" t="str">
        <f>"❤️[P] Constitution: "&amp;Leveler!G20+G15</f>
        <v>#N/A</v>
      </c>
      <c r="D12" s="18" t="str">
        <f>"🏃‍♀️[P] Evasion: "&amp;Leveler!H20+H15</f>
        <v>#N/A</v>
      </c>
      <c r="E12" s="18" t="str">
        <f>"😈[P] Intimidation: "&amp;Leveler!I20+I15</f>
        <v>#N/A</v>
      </c>
      <c r="F12" s="22" t="s">
        <v>8</v>
      </c>
      <c r="G12" s="22" t="s">
        <v>9</v>
      </c>
      <c r="H12" s="22" t="s">
        <v>10</v>
      </c>
      <c r="I12" s="22" t="s">
        <v>11</v>
      </c>
      <c r="L12" s="23" t="s">
        <v>12</v>
      </c>
      <c r="M12" s="24"/>
    </row>
    <row r="13">
      <c r="B13" s="13"/>
      <c r="C13" s="2"/>
      <c r="D13" s="25" t="str">
        <f>"🏊‍♀🏃‍♀️[P]  Mobility: "&amp;Leveler!J20</f>
        <v>#N/A</v>
      </c>
      <c r="E13" s="2"/>
      <c r="F13" s="19">
        <v>0.0</v>
      </c>
      <c r="G13" s="19">
        <v>0.0</v>
      </c>
      <c r="H13" s="19">
        <v>0.0</v>
      </c>
      <c r="I13" s="19">
        <v>0.0</v>
      </c>
      <c r="L13" s="26" t="s">
        <v>13</v>
      </c>
      <c r="M13" s="27"/>
    </row>
    <row r="14">
      <c r="B14" s="28" t="str">
        <f>"❤️ HP: "&amp;Leveler!B23-F11&amp;"/"&amp;Leveler!B23</f>
        <v>#N/A</v>
      </c>
      <c r="C14" s="2"/>
      <c r="D14" s="29" t="str">
        <f>"🧪 SP: "&amp;Leveler!C23-G11&amp;"/"&amp;Leveler!C23</f>
        <v>#N/A</v>
      </c>
      <c r="E14" s="2"/>
      <c r="F14" s="22" t="s">
        <v>14</v>
      </c>
      <c r="G14" s="22" t="s">
        <v>15</v>
      </c>
      <c r="H14" s="22" t="s">
        <v>16</v>
      </c>
      <c r="I14" s="22" t="s">
        <v>17</v>
      </c>
      <c r="L14" s="30" t="s">
        <v>18</v>
      </c>
      <c r="M14" s="31">
        <f>(M12+M13)*M11</f>
        <v>0</v>
      </c>
    </row>
    <row r="15">
      <c r="B15" s="32" t="str">
        <f>"🍗 Hunger: "&amp;Leveler!D23-H11&amp;"/"&amp;Leveler!D23</f>
        <v>#N/A</v>
      </c>
      <c r="C15" s="2"/>
      <c r="D15" s="32" t="str">
        <f>"💧 Thirst: "&amp;Leveler!E23-I11&amp;"/"&amp;Leveler!E23</f>
        <v>#N/A</v>
      </c>
      <c r="E15" s="2"/>
      <c r="F15" s="19">
        <v>0.0</v>
      </c>
      <c r="G15" s="19">
        <v>0.0</v>
      </c>
      <c r="H15" s="19">
        <v>0.0</v>
      </c>
      <c r="I15" s="19">
        <v>0.0</v>
      </c>
    </row>
    <row r="16">
      <c r="B16" s="32" t="str">
        <f>"⚡ Energy: "&amp;Leveler!F23-J11&amp;"/"&amp;Leveler!F23</f>
        <v>#N/A</v>
      </c>
      <c r="C16" s="2"/>
      <c r="D16" s="13" t="str">
        <f>"🐟 Astrological Sign: "&amp;Leveler!I6</f>
        <v>🐟 Astrological Sign: </v>
      </c>
      <c r="E16" s="2"/>
    </row>
    <row r="17">
      <c r="B17" s="33" t="str">
        <f>"🎭 Alignment: "&amp;Leveler!F10</f>
        <v>🎭 Alignment: </v>
      </c>
      <c r="C17" s="6"/>
      <c r="D17" s="6"/>
      <c r="E17" s="2"/>
    </row>
    <row r="18">
      <c r="B18" s="13" t="str">
        <f>"🧞‍♂️ Race Bonuses: "&amp;IF(ISBLANK(Leveler!$F$15),IF(Leveler!$F$2,VLOOKUP(Leveler!$H$2,Races!$A$2:$AX1019,MATCH("EntityType",Races!$A$1:$AX$1,0),FALSE),VLOOKUP(Leveler!$H$1,Races!$A$2:$AX1019,MATCH("EntityType",Races!$A$1:$AX$1,0),FALSE)),Leveler!$F$15)&amp;": "&amp;VLOOKUP(IF(ISBLANK(Leveler!$F$15),IF(Leveler!$F$2,VLOOKUP(Leveler!$H$2,Races!$A$2:$AX1019,MATCH("EntityType",Races!$A$1:$AX$1,0),FALSE),VLOOKUP(Leveler!$H$1,Races!$A$2:$AX1019,MATCH("EntityType",Races!$A$1:$AX$1,0),FALSE)),Leveler!$F$15),EntityTypes!$A$2:$AX1019,MATCH("Abilities",EntityTypes!$A$1:$AX$1,0),FALSE)&amp;CHAR(10)&amp;VLOOKUP(Leveler!$H$1,Races!$A$2:$R1019,MATCH("StatBonus",Races!$A$1:$R$1,0),FALSE)&amp;CHAR(10)&amp;IF(Leveler!$F$2,VLOOKUP(Leveler!$H$2,Races!$A$2:$R1019,MATCH("Ability",Races!$A$1:$R$1,0),FALSE),VLOOKUP(Leveler!$H$1,Races!$A$2:$R1019,MATCH("Ability",Races!$A$1:$R$1,0),FALSE))</f>
        <v>#N/A</v>
      </c>
      <c r="C18" s="6"/>
      <c r="D18" s="6"/>
      <c r="E18" s="2"/>
    </row>
    <row r="19">
      <c r="B19" s="13" t="str">
        <f>"Class Bonuses: "&amp;VLOOKUP(Leveler!$K$1,Classes!$A$2:$R1019,MATCH("SpellRank",Classes!$A$1:$R$1,0),FALSE)&amp;CHAR(10)&amp;IF(Leveler!$I$2,VLOOKUP(Leveler!$K$2,Classes!$A$2:$R1019,MATCH("Ability",Classes!$A$1:$R$1,0),FALSE),VLOOKUP(Leveler!$K$1,Classes!$A$2:$R1019,MATCH("Ability",Classes!$A$1:$R$1,0),FALSE))&amp;IF(Leveler!B13&gt;199,CHAR(10)&amp;CHAR(10)&amp;"Enhanced Class Bonuses: "&amp;VLOOKUP(Leveler!$K$3,EnhancedClasses!$B$2:$R1019,MATCH("SpellRank",EnhancedClasses!$B$1:$R$1,0),FALSE)&amp;CHAR(10)&amp;IF(Leveler!$I$2,VLOOKUP(Leveler!$K$4,EnhancedClasses!$B$2:$R1019,MATCH("Ability1",EnhancedClasses!$B$1:$R$1,0),FALSE)&amp;CHAR(10)&amp;VLOOKUP(Leveler!$K$4,EnhancedClasses!$B$2:$R1019,MATCH("Ability2",EnhancedClasses!$B$1:$R$1,0),FALSE)&amp;CHAR(10)&amp;VLOOKUP(Leveler!$K$4,EnhancedClasses!$B$2:$R1019,MATCH("Ability3",EnhancedClasses!$B$1:$R$1,0),FALSE)&amp;CHAR(10)&amp;VLOOKUP(Leveler!$K$4,EnhancedClasses!$B$2:$R1019,MATCH("Ability4",EnhancedClasses!$B$1:$R$1,0),FALSE),VLOOKUP(Leveler!$K$3,EnhancedClasses!$B$2:$R1019,MATCH("Ability1",EnhancedClasses!$B$1:$R$1,0),FALSE)&amp;CHAR(10)&amp;VLOOKUP(Leveler!$K$3,EnhancedClasses!$B$2:$R1019,MATCH("Ability2",EnhancedClasses!$B$1:$R$1,0),FALSE)&amp;CHAR(10)&amp;VLOOKUP(Leveler!$K$3,EnhancedClasses!$B$2:$R1019,MATCH("Ability3",EnhancedClasses!$B$1:$R$1,0),FALSE)&amp;CHAR(10)&amp;VLOOKUP(Leveler!$K$3,EnhancedClasses!$B$2:$R1019,MATCH("Ability4",EnhancedClasses!$B$1:$R$1,0),FALSE)),"")</f>
        <v>#N/A</v>
      </c>
      <c r="C19" s="6"/>
      <c r="D19" s="6"/>
      <c r="E19" s="2"/>
    </row>
    <row r="20">
      <c r="B20" s="13" t="str">
        <f>"Other Bonuses: "&amp;Leveler!F14</f>
        <v>Other Bonuses: </v>
      </c>
      <c r="C20" s="6"/>
      <c r="D20" s="6"/>
      <c r="E20" s="2"/>
    </row>
    <row r="21">
      <c r="B21" s="13" t="str">
        <f>"Resistances: "&amp;Leveler!H12&amp;CHAR(10)&amp;"Vulnerabilities: "&amp;Leveler!H13</f>
        <v>Resistances: 
Vulnerabilities: </v>
      </c>
      <c r="C21" s="6"/>
      <c r="D21" s="6"/>
      <c r="E21" s="2"/>
    </row>
    <row r="22">
      <c r="B22" s="34" t="s">
        <v>19</v>
      </c>
      <c r="C22" s="35"/>
      <c r="D22" s="36" t="s">
        <v>20</v>
      </c>
      <c r="E22" s="36" t="s">
        <v>21</v>
      </c>
      <c r="F22" s="37"/>
      <c r="G22" s="36" t="s">
        <v>22</v>
      </c>
      <c r="H22" s="2"/>
    </row>
    <row r="23">
      <c r="B23" s="38" t="str">
        <f>IFERROR(__xludf.DUMMYFUNCTION("ifna(ARRAY_CONSTRAIN(QUERY(Cursed!A2:C1019,""Select B where A = '""""""&amp;Leveler!F5&amp;""""""'""),9,1))"),"")</f>
        <v/>
      </c>
      <c r="C23" s="39" t="str">
        <f>ifna(HYPERLINK("#gid=81054943&amp;range="&amp;REPLACE(REPLACE(Address(CELL("row",VLOOKUP($B23,Curses!$A$2:$B$900,2,FALSE)),CELL("col",VLOOKUP($B23,Curses!$A$2:$B$900,2,FALSE))),1,1,""),2,1,""),VLOOKUP($B23,Curses!$A$2:$B$900,2,FALSE)))</f>
        <v/>
      </c>
      <c r="D23" s="40" t="str">
        <f>IFERROR(__xludf.DUMMYFUNCTION("ifna(TEXTJOIN(CHAR(10),TRUE,ARRAYFORMULA(transpose(query(transpose(QUERY(Leveler!A53:C74,""Select A,C where B = True"")),,COLUMNS(QUERY(Leveler!A53:C74,""Select A,C where B = True"")))))))"),"")</f>
        <v/>
      </c>
      <c r="E23" s="11" t="str">
        <f>IFERROR(__xludf.DUMMYFUNCTION("ifna(ARRAY_CONSTRAIN(QUERY(Diseased!A2:C1019,""Select B where A = '""""""&amp;Leveler!F5&amp;""""""'""),9,1))"),"")</f>
        <v/>
      </c>
      <c r="F23" s="41" t="str">
        <f>ifna(HYPERLINK("#gid=372774058&amp;range="&amp;REPLACE(REPLACE(Address(CELL("row",VLOOKUP($E23,Diseases!$A$2:$B$900,2,FALSE)),CELL("col",VLOOKUP($E23,Diseases!$A$2:$B$900,2,FALSE))),1,1,""),2,1,""),VLOOKUP($E23,Diseases!$A$2:$B$900,2,FALSE)))</f>
        <v/>
      </c>
      <c r="G23" s="13" t="str">
        <f>Leveler!F12</f>
        <v/>
      </c>
      <c r="H23" s="2"/>
    </row>
    <row r="24">
      <c r="B24" s="38"/>
      <c r="C24" s="39" t="str">
        <f>ifna(HYPERLINK("#gid=81054943&amp;range="&amp;REPLACE(REPLACE(Address(CELL("row",VLOOKUP($B24,Curses!$A$2:$B$900,2,FALSE)),CELL("col",VLOOKUP($B24,Curses!$A$2:$B$900,2,FALSE))),1,1,""),2,1,""),VLOOKUP($B24,Curses!$A$2:$B$900,2,FALSE)))</f>
        <v/>
      </c>
      <c r="D24" s="42"/>
      <c r="E24" s="41"/>
      <c r="F24" s="41"/>
      <c r="G24" s="36" t="s">
        <v>23</v>
      </c>
      <c r="H24" s="2"/>
    </row>
    <row r="25">
      <c r="B25" s="38"/>
      <c r="C25" s="39" t="str">
        <f>ifna(HYPERLINK("#gid=81054943&amp;range="&amp;REPLACE(REPLACE(Address(CELL("row",VLOOKUP($B25,Curses!$A$2:$B$900,2,FALSE)),CELL("col",VLOOKUP($B25,Curses!$A$2:$B$900,2,FALSE))),1,1,""),2,1,""),VLOOKUP($B25,Curses!$A$2:$B$900,2,FALSE)))</f>
        <v/>
      </c>
      <c r="D25" s="42"/>
      <c r="E25" s="41"/>
      <c r="F25" s="41"/>
      <c r="G25" s="13" t="str">
        <f>Leveler!F13</f>
        <v/>
      </c>
      <c r="H25" s="2"/>
    </row>
    <row r="26">
      <c r="B26" s="38"/>
      <c r="C26" s="39" t="str">
        <f>ifna(HYPERLINK("#gid=81054943&amp;range="&amp;REPLACE(REPLACE(Address(CELL("row",VLOOKUP($B26,Curses!$A$2:$B$900,2,FALSE)),CELL("col",VLOOKUP($B26,Curses!$A$2:$B$900,2,FALSE))),1,1,""),2,1,""),VLOOKUP($B26,Curses!$A$2:$B$900,2,FALSE)))</f>
        <v/>
      </c>
      <c r="D26" s="42"/>
      <c r="E26" s="41"/>
      <c r="F26" s="41"/>
    </row>
    <row r="27">
      <c r="B27" s="38"/>
      <c r="C27" s="39" t="str">
        <f>ifna(HYPERLINK("#gid=81054943&amp;range="&amp;REPLACE(REPLACE(Address(CELL("row",VLOOKUP($B27,Curses!$A$2:$B$900,2,FALSE)),CELL("col",VLOOKUP($B27,Curses!$A$2:$B$900,2,FALSE))),1,1,""),2,1,""),VLOOKUP($B27,Curses!$A$2:$B$900,2,FALSE)))</f>
        <v/>
      </c>
      <c r="D27" s="42"/>
      <c r="E27" s="41"/>
      <c r="F27" s="41"/>
    </row>
    <row r="28">
      <c r="B28" s="38"/>
      <c r="C28" s="39" t="str">
        <f>ifna(HYPERLINK("#gid=81054943&amp;range="&amp;REPLACE(REPLACE(Address(CELL("row",VLOOKUP($B28,Curses!$A$2:$B$900,2,FALSE)),CELL("col",VLOOKUP($B28,Curses!$A$2:$B$900,2,FALSE))),1,1,""),2,1,""),VLOOKUP($B28,Curses!$A$2:$B$900,2,FALSE)))</f>
        <v/>
      </c>
      <c r="D28" s="42"/>
      <c r="E28" s="11"/>
      <c r="F28" s="41"/>
    </row>
    <row r="29">
      <c r="B29" s="38"/>
      <c r="C29" s="39" t="str">
        <f>ifna(HYPERLINK("#gid=81054943&amp;range="&amp;REPLACE(REPLACE(Address(CELL("row",VLOOKUP($B29,Curses!$A$2:$B$900,2,FALSE)),CELL("col",VLOOKUP($B29,Curses!$A$2:$B$900,2,FALSE))),1,1,""),2,1,""),VLOOKUP($B29,Curses!$A$2:$B$900,2,FALSE)))</f>
        <v/>
      </c>
      <c r="D29" s="42"/>
      <c r="E29" s="11"/>
      <c r="F29" s="41"/>
    </row>
    <row r="30">
      <c r="B30" s="38"/>
      <c r="C30" s="39" t="str">
        <f>ifna(HYPERLINK("#gid=81054943&amp;range="&amp;REPLACE(REPLACE(Address(CELL("row",VLOOKUP($B30,Curses!$A$2:$B$900,2,FALSE)),CELL("col",VLOOKUP($B30,Curses!$A$2:$B$900,2,FALSE))),1,1,""),2,1,""),VLOOKUP($B30,Curses!$A$2:$B$900,2,FALSE)))</f>
        <v/>
      </c>
      <c r="D30" s="42"/>
      <c r="E30" s="11"/>
      <c r="F30" s="41"/>
    </row>
    <row r="31">
      <c r="B31" s="38"/>
      <c r="C31" s="39" t="str">
        <f>ifna(HYPERLINK("#gid=81054943&amp;range="&amp;REPLACE(REPLACE(Address(CELL("row",VLOOKUP($B31,Curses!$A$2:$B$900,2,FALSE)),CELL("col",VLOOKUP($B31,Curses!$A$2:$B$900,2,FALSE))),1,1,""),2,1,""),VLOOKUP($B31,Curses!$A$2:$B$900,2,FALSE)))</f>
        <v/>
      </c>
      <c r="D31" s="8"/>
      <c r="E31" s="11"/>
      <c r="F31" s="41"/>
    </row>
    <row r="33">
      <c r="B33" s="43" t="s">
        <v>24</v>
      </c>
      <c r="C33" s="6"/>
      <c r="D33" s="6"/>
      <c r="E33" s="2"/>
      <c r="F33" s="44"/>
      <c r="G33" s="44"/>
      <c r="H33" s="44"/>
      <c r="I33" s="44"/>
      <c r="J33" s="44"/>
      <c r="K33" s="44"/>
      <c r="L33" s="44"/>
    </row>
    <row r="34">
      <c r="C34" s="45" t="s">
        <v>25</v>
      </c>
      <c r="D34" s="45" t="s">
        <v>26</v>
      </c>
      <c r="E34" s="45" t="s">
        <v>27</v>
      </c>
      <c r="F34" s="46" t="s">
        <v>28</v>
      </c>
      <c r="G34" s="44"/>
      <c r="H34" s="44"/>
      <c r="I34" s="44"/>
      <c r="J34" s="44"/>
      <c r="K34" s="44"/>
      <c r="L34" s="44"/>
    </row>
    <row r="35">
      <c r="B35" s="47" t="s">
        <v>29</v>
      </c>
      <c r="C35" s="48"/>
      <c r="D35" s="49" t="str">
        <f>IFERROR(VLOOKUP($C35,Backpack!$B$10:$G1019,MATCH(D$34,Backpack!$B$9:$G$9,0),FALSE),"")</f>
        <v/>
      </c>
      <c r="E35" s="49" t="str">
        <f>IFERROR(VLOOKUP($C35,Backpack!$B$10:$G1019,MATCH(E$34,Backpack!$B$9:$G$9,0),FALSE),"")</f>
        <v/>
      </c>
      <c r="F35" s="49" t="str">
        <f>IFERROR(VLOOKUP($C35,Backpack!$B$10:$G1019,MATCH(F$34,Backpack!$B$9:$G$9,0),FALSE),"")</f>
        <v/>
      </c>
      <c r="G35" s="50"/>
      <c r="H35" s="50"/>
      <c r="I35" s="50"/>
      <c r="J35" s="44"/>
      <c r="K35" s="44"/>
      <c r="L35" s="44"/>
      <c r="T35" s="19" t="s">
        <v>30</v>
      </c>
      <c r="U35" s="49" t="str">
        <f>IF(ISBLANK($C35),"",IF(IFERROR(VLOOKUP($C35,Backpack!$B$10:$G1019,MATCH("Slot",Backpack!$B$9:$G$9,0),FALSE),"")=T35,FALSE,TRUE))</f>
        <v/>
      </c>
      <c r="V35" s="49" t="str">
        <f>IF(ISBLANK($C35),"",IF(Value(IFERROR(VLOOKUP($C35,Backpack!$B$10:$G1019,MATCH("Level Requirement",Backpack!$B$9:$G$9,0),FALSE),""))&gt;Leveler!$B$13,TRUE,FALSE))</f>
        <v/>
      </c>
    </row>
    <row r="36">
      <c r="B36" s="47" t="s">
        <v>31</v>
      </c>
      <c r="C36" s="48"/>
      <c r="D36" s="49" t="str">
        <f>IFERROR(VLOOKUP($C36,Backpack!$B$10:$G1019,MATCH(D$34,Backpack!$B$9:$G$9,0),FALSE),"")</f>
        <v/>
      </c>
      <c r="E36" s="49" t="str">
        <f>IFERROR(VLOOKUP($C36,Backpack!$B$10:$G1019,MATCH(E$34,Backpack!$B$9:$G$9,0),FALSE),"")</f>
        <v/>
      </c>
      <c r="F36" s="49" t="str">
        <f>IFERROR(VLOOKUP($C36,Backpack!$B$10:$G1019,MATCH(F$34,Backpack!$B$9:$G$9,0),FALSE),"")</f>
        <v/>
      </c>
      <c r="G36" s="50"/>
      <c r="H36" s="50"/>
      <c r="I36" s="50"/>
      <c r="J36" s="44"/>
      <c r="K36" s="44"/>
      <c r="L36" s="44"/>
      <c r="T36" s="19" t="s">
        <v>32</v>
      </c>
      <c r="U36" s="49" t="str">
        <f>IF(ISBLANK($C36),"",IF(IFERROR(VLOOKUP($C36,Backpack!$B$10:$G1019,MATCH("Slot",Backpack!$B$9:$G$9,0),FALSE),"")=T36,FALSE,TRUE))</f>
        <v/>
      </c>
      <c r="V36" s="49" t="str">
        <f>IF(ISBLANK($C36),"",IF(Value(IFERROR(VLOOKUP($C36,Backpack!$B$10:$G1019,MATCH("Level Requirement",Backpack!$B$9:$G$9,0),FALSE),""))&gt;Leveler!$B$13,TRUE,FALSE))</f>
        <v/>
      </c>
    </row>
    <row r="37">
      <c r="B37" s="51" t="s">
        <v>33</v>
      </c>
      <c r="C37" s="48"/>
      <c r="D37" s="49" t="str">
        <f>IFERROR(VLOOKUP($C37,Backpack!$B$10:$G1019,MATCH(D$34,Backpack!$B$9:$G$9,0),FALSE),"")</f>
        <v/>
      </c>
      <c r="E37" s="49" t="str">
        <f>IFERROR(VLOOKUP($C37,Backpack!$B$10:$G1019,MATCH(E$34,Backpack!$B$9:$G$9,0),FALSE),"")</f>
        <v/>
      </c>
      <c r="F37" s="49" t="str">
        <f>IFERROR(VLOOKUP($C37,Backpack!$B$10:$G1019,MATCH(F$34,Backpack!$B$9:$G$9,0),FALSE),"")</f>
        <v/>
      </c>
      <c r="G37" s="50"/>
      <c r="H37" s="50"/>
      <c r="I37" s="50"/>
      <c r="J37" s="44"/>
      <c r="K37" s="44"/>
      <c r="L37" s="44"/>
      <c r="T37" s="19" t="s">
        <v>32</v>
      </c>
      <c r="U37" s="49" t="str">
        <f>IF(ISBLANK($C37),"",IF(IFERROR(VLOOKUP($C37,Backpack!$B$10:$G1019,MATCH("Slot",Backpack!$B$9:$G$9,0),FALSE),"")=T37,FALSE,TRUE))</f>
        <v/>
      </c>
      <c r="V37" s="49" t="str">
        <f>IF(ISBLANK($C37),"",IF(Value(IFERROR(VLOOKUP($C37,Backpack!$B$10:$G1019,MATCH("Level Requirement",Backpack!$B$9:$G$9,0),FALSE),""))&gt;Leveler!$B$13,TRUE,FALSE))</f>
        <v/>
      </c>
    </row>
    <row r="38">
      <c r="B38" s="51" t="s">
        <v>34</v>
      </c>
      <c r="C38" s="48"/>
      <c r="D38" s="49" t="str">
        <f>IFERROR(VLOOKUP($C38,Backpack!$B$10:$G1019,MATCH(D$34,Backpack!$B$9:$G$9,0),FALSE),"")</f>
        <v/>
      </c>
      <c r="E38" s="49" t="str">
        <f>IFERROR(VLOOKUP($C38,Backpack!$B$10:$G1019,MATCH(E$34,Backpack!$B$9:$G$9,0),FALSE),"")</f>
        <v/>
      </c>
      <c r="F38" s="49" t="str">
        <f>IFERROR(VLOOKUP($C38,Backpack!$B$10:$G1019,MATCH(F$34,Backpack!$B$9:$G$9,0),FALSE),"")</f>
        <v/>
      </c>
      <c r="G38" s="50"/>
      <c r="H38" s="50"/>
      <c r="I38" s="50"/>
      <c r="J38" s="44"/>
      <c r="K38" s="44"/>
      <c r="L38" s="44"/>
      <c r="T38" s="19" t="s">
        <v>32</v>
      </c>
      <c r="U38" s="49" t="str">
        <f>IF(ISBLANK($C38),"",IF(IFERROR(VLOOKUP($C38,Backpack!$B$10:$G1019,MATCH("Slot",Backpack!$B$9:$G$9,0),FALSE),"")=T38,FALSE,TRUE))</f>
        <v/>
      </c>
      <c r="V38" s="49" t="str">
        <f>IF(ISBLANK($C38),"",IF(Value(IFERROR(VLOOKUP($C38,Backpack!$B$10:$G1019,MATCH("Level Requirement",Backpack!$B$9:$G$9,0),FALSE),""))&gt;Leveler!$B$13,TRUE,FALSE))</f>
        <v/>
      </c>
    </row>
    <row r="39">
      <c r="B39" s="47" t="s">
        <v>35</v>
      </c>
      <c r="C39" s="48"/>
      <c r="D39" s="49" t="str">
        <f>IFERROR(VLOOKUP($C39,Backpack!$B$10:$G1019,MATCH(D$34,Backpack!$B$9:$G$9,0),FALSE),"")</f>
        <v/>
      </c>
      <c r="E39" s="49" t="str">
        <f>IFERROR(VLOOKUP($C39,Backpack!$B$10:$G1019,MATCH(E$34,Backpack!$B$9:$G$9,0),FALSE),"")</f>
        <v/>
      </c>
      <c r="F39" s="49" t="str">
        <f>IFERROR(VLOOKUP($C39,Backpack!$B$10:$G1019,MATCH(F$34,Backpack!$B$9:$G$9,0),FALSE),"")</f>
        <v/>
      </c>
      <c r="G39" s="50"/>
      <c r="H39" s="50"/>
      <c r="I39" s="50"/>
      <c r="T39" s="19" t="s">
        <v>36</v>
      </c>
      <c r="U39" s="49" t="str">
        <f>IF(ISBLANK($C39),"",IF(IFERROR(VLOOKUP($C39,Backpack!$B$10:$G1019,MATCH("Slot",Backpack!$B$9:$G$9,0),FALSE),"")=T39,FALSE,TRUE))</f>
        <v/>
      </c>
      <c r="V39" s="49" t="str">
        <f>IF(ISBLANK($C39),"",IF(Value(IFERROR(VLOOKUP($C39,Backpack!$B$10:$G1019,MATCH("Level Requirement",Backpack!$B$9:$G$9,0),FALSE),""))&gt;Leveler!$B$13,TRUE,FALSE))</f>
        <v/>
      </c>
    </row>
    <row r="40">
      <c r="B40" s="47" t="s">
        <v>37</v>
      </c>
      <c r="C40" s="52"/>
      <c r="D40" s="49" t="str">
        <f>IFERROR(VLOOKUP($C40,Backpack!$B$10:$G1019,MATCH(D$34,Backpack!$B$9:$G$9,0),FALSE),"")</f>
        <v/>
      </c>
      <c r="E40" s="49" t="str">
        <f>IFERROR(VLOOKUP($C40,Backpack!$B$10:$G1019,MATCH(E$34,Backpack!$B$9:$G$9,0),FALSE),"")</f>
        <v/>
      </c>
      <c r="F40" s="49" t="str">
        <f>IFERROR(VLOOKUP($C40,Backpack!$B$10:$G1019,MATCH(F$34,Backpack!$B$9:$G$9,0),FALSE),"")</f>
        <v/>
      </c>
      <c r="G40" s="50"/>
      <c r="H40" s="50"/>
      <c r="I40" s="50"/>
      <c r="T40" s="19" t="s">
        <v>38</v>
      </c>
      <c r="U40" s="49" t="str">
        <f>IF(ISBLANK($C40),"",IF(IFERROR(VLOOKUP($C40,Backpack!$B$10:$G1019,MATCH("Slot",Backpack!$B$9:$G$9,0),FALSE),"")=T40,FALSE,TRUE))</f>
        <v/>
      </c>
      <c r="V40" s="49" t="str">
        <f>IF(ISBLANK($C40),"",IF(Value(IFERROR(VLOOKUP($C40,Backpack!$B$10:$G1019,MATCH("Level Requirement",Backpack!$B$9:$G$9,0),FALSE),""))&gt;Leveler!$B$13,TRUE,FALSE))</f>
        <v/>
      </c>
    </row>
    <row r="41">
      <c r="B41" s="47" t="s">
        <v>39</v>
      </c>
      <c r="C41" s="52"/>
      <c r="D41" s="49" t="str">
        <f>IFERROR(VLOOKUP($C41,Backpack!$B$10:$G1019,MATCH(D$34,Backpack!$B$9:$G$9,0),FALSE),"")</f>
        <v/>
      </c>
      <c r="E41" s="49" t="str">
        <f>IFERROR(VLOOKUP($C41,Backpack!$B$10:$G1019,MATCH(E$34,Backpack!$B$9:$G$9,0),FALSE),"")</f>
        <v/>
      </c>
      <c r="F41" s="49" t="str">
        <f>IFERROR(VLOOKUP($C41,Backpack!$B$10:$G1019,MATCH(F$34,Backpack!$B$9:$G$9,0),FALSE),"")</f>
        <v/>
      </c>
      <c r="G41" s="50"/>
      <c r="H41" s="50"/>
      <c r="I41" s="50"/>
      <c r="T41" s="19" t="s">
        <v>40</v>
      </c>
      <c r="U41" s="49" t="str">
        <f>IF(ISBLANK($C41),"",IF(IFERROR(VLOOKUP($C41,Backpack!$B$10:$G1019,MATCH("Slot",Backpack!$B$9:$G$9,0),FALSE),"")=T41,FALSE,TRUE))</f>
        <v/>
      </c>
      <c r="V41" s="49" t="str">
        <f>IF(ISBLANK($C41),"",IF(Value(IFERROR(VLOOKUP($C41,Backpack!$B$10:$G1019,MATCH("Level Requirement",Backpack!$B$9:$G$9,0),FALSE),""))&gt;Leveler!$B$13,TRUE,FALSE))</f>
        <v/>
      </c>
    </row>
    <row r="42">
      <c r="B42" s="47" t="s">
        <v>41</v>
      </c>
      <c r="C42" s="48"/>
      <c r="D42" s="49" t="str">
        <f>IFERROR(VLOOKUP($C42,Backpack!$B$10:$G1019,MATCH(D$34,Backpack!$B$9:$G$9,0),FALSE),"")</f>
        <v/>
      </c>
      <c r="E42" s="49" t="str">
        <f>IFERROR(VLOOKUP($C42,Backpack!$B$10:$G1019,MATCH(E$34,Backpack!$B$9:$G$9,0),FALSE),"")</f>
        <v/>
      </c>
      <c r="F42" s="49" t="str">
        <f>IFERROR(VLOOKUP($C42,Backpack!$B$10:$G1019,MATCH(F$34,Backpack!$B$9:$G$9,0),FALSE),"")</f>
        <v/>
      </c>
      <c r="G42" s="50"/>
      <c r="H42" s="50"/>
      <c r="I42" s="50"/>
      <c r="J42" s="44"/>
      <c r="K42" s="44"/>
      <c r="L42" s="44"/>
      <c r="T42" s="19" t="s">
        <v>42</v>
      </c>
      <c r="U42" s="49" t="str">
        <f>IF(ISBLANK($C42),"",IF(IFERROR(VLOOKUP($C42,Backpack!$B$10:$G1019,MATCH("Slot",Backpack!$B$9:$G$9,0),FALSE),"")=T42,FALSE,TRUE))</f>
        <v/>
      </c>
      <c r="V42" s="49" t="str">
        <f>IF(ISBLANK($C42),"",IF(Value(IFERROR(VLOOKUP($C42,Backpack!$B$10:$G1019,MATCH("Level Requirement",Backpack!$B$9:$G$9,0),FALSE),""))&gt;Leveler!$B$13,TRUE,FALSE))</f>
        <v/>
      </c>
    </row>
    <row r="43">
      <c r="B43" s="47" t="s">
        <v>43</v>
      </c>
      <c r="C43" s="52"/>
      <c r="D43" s="49" t="str">
        <f>IFERROR(VLOOKUP($C43,Backpack!$B$10:$G1019,MATCH(D$34,Backpack!$B$9:$G$9,0),FALSE),"")</f>
        <v/>
      </c>
      <c r="E43" s="49" t="str">
        <f>IFERROR(VLOOKUP($C43,Backpack!$B$10:$G1019,MATCH(E$34,Backpack!$B$9:$G$9,0),FALSE),"")</f>
        <v/>
      </c>
      <c r="F43" s="49" t="str">
        <f>IFERROR(VLOOKUP($C43,Backpack!$B$10:$G1019,MATCH(F$34,Backpack!$B$9:$G$9,0),FALSE),"")</f>
        <v/>
      </c>
      <c r="G43" s="50"/>
      <c r="H43" s="50"/>
      <c r="I43" s="50"/>
      <c r="J43" s="44"/>
      <c r="K43" s="44"/>
      <c r="L43" s="44"/>
      <c r="T43" s="19" t="s">
        <v>42</v>
      </c>
      <c r="U43" s="49" t="str">
        <f>IF(ISBLANK($C43),"",IF(IFERROR(VLOOKUP($C43,Backpack!$B$10:$G1019,MATCH("Slot",Backpack!$B$9:$G$9,0),FALSE),"")=T43,FALSE,TRUE))</f>
        <v/>
      </c>
      <c r="V43" s="49" t="str">
        <f>IF(ISBLANK($C43),"",IF(Value(IFERROR(VLOOKUP($C43,Backpack!$B$10:$G1019,MATCH("Level Requirement",Backpack!$B$9:$G$9,0),FALSE),""))&gt;Leveler!$B$13,TRUE,FALSE))</f>
        <v/>
      </c>
    </row>
    <row r="44">
      <c r="B44" s="47" t="s">
        <v>44</v>
      </c>
      <c r="C44" s="52"/>
      <c r="D44" s="49" t="str">
        <f>IFERROR(VLOOKUP($C44,Backpack!$B$10:$G1019,MATCH(D$34,Backpack!$B$9:$G$9,0),FALSE),"")</f>
        <v/>
      </c>
      <c r="E44" s="49" t="str">
        <f>IFERROR(VLOOKUP($C44,Backpack!$B$10:$G1019,MATCH(E$34,Backpack!$B$9:$G$9,0),FALSE),"")</f>
        <v/>
      </c>
      <c r="F44" s="49" t="str">
        <f>IFERROR(VLOOKUP($C44,Backpack!$B$10:$G1019,MATCH(F$34,Backpack!$B$9:$G$9,0),FALSE),"")</f>
        <v/>
      </c>
      <c r="G44" s="50"/>
      <c r="H44" s="50"/>
      <c r="I44" s="50"/>
      <c r="T44" s="19" t="s">
        <v>45</v>
      </c>
      <c r="U44" s="49" t="str">
        <f>IF(ISBLANK($C44),"",IF(IFERROR(VLOOKUP($C44,Backpack!$B$10:$G1019,MATCH("Slot",Backpack!$B$9:$G$9,0),FALSE),"")=T44,FALSE,TRUE))</f>
        <v/>
      </c>
      <c r="V44" s="49" t="str">
        <f>IF(ISBLANK($C44),"",IF(Value(IFERROR(VLOOKUP($C44,Backpack!$B$10:$G1019,MATCH("Level Requirement",Backpack!$B$9:$G$9,0),FALSE),""))&gt;Leveler!$B$13,TRUE,FALSE))</f>
        <v/>
      </c>
    </row>
    <row r="45">
      <c r="B45" s="47" t="s">
        <v>46</v>
      </c>
      <c r="C45" s="52"/>
      <c r="D45" s="49" t="str">
        <f>IFERROR(VLOOKUP($C45,Backpack!$B$10:$G1019,MATCH(D$34,Backpack!$B$9:$G$9,0),FALSE),"")</f>
        <v/>
      </c>
      <c r="E45" s="49" t="str">
        <f>IFERROR(VLOOKUP($C45,Backpack!$B$10:$G1019,MATCH(E$34,Backpack!$B$9:$G$9,0),FALSE),"")</f>
        <v/>
      </c>
      <c r="F45" s="49" t="str">
        <f>IFERROR(VLOOKUP($C45,Backpack!$B$10:$G1019,MATCH(F$34,Backpack!$B$9:$G$9,0),FALSE),"")</f>
        <v/>
      </c>
      <c r="G45" s="50"/>
      <c r="H45" s="50"/>
      <c r="I45" s="50"/>
      <c r="T45" s="19" t="s">
        <v>45</v>
      </c>
      <c r="U45" s="49" t="str">
        <f>IF(ISBLANK($C45),"",IF(IFERROR(VLOOKUP($C45,Backpack!$B$10:$G1019,MATCH("Slot",Backpack!$B$9:$G$9,0),FALSE),"")=T45,FALSE,TRUE))</f>
        <v/>
      </c>
      <c r="V45" s="49" t="str">
        <f>IF(ISBLANK($C45),"",IF(Value(IFERROR(VLOOKUP($C45,Backpack!$B$10:$G1019,MATCH("Level Requirement",Backpack!$B$9:$G$9,0),FALSE),""))&gt;Leveler!$B$13,TRUE,FALSE))</f>
        <v/>
      </c>
    </row>
    <row r="46">
      <c r="B46" s="47" t="s">
        <v>47</v>
      </c>
      <c r="C46" s="52"/>
      <c r="D46" s="49" t="str">
        <f>IFERROR(VLOOKUP($C46,Backpack!$B$10:$G1019,MATCH(D$34,Backpack!$B$9:$G$9,0),FALSE),"")</f>
        <v/>
      </c>
      <c r="E46" s="49" t="str">
        <f>IFERROR(VLOOKUP($C46,Backpack!$B$10:$G1019,MATCH(E$34,Backpack!$B$9:$G$9,0),FALSE),"")</f>
        <v/>
      </c>
      <c r="F46" s="49" t="str">
        <f>IFERROR(VLOOKUP($C46,Backpack!$B$10:$G1019,MATCH(F$34,Backpack!$B$9:$G$9,0),FALSE),"")</f>
        <v/>
      </c>
      <c r="G46" s="50"/>
      <c r="H46" s="50"/>
      <c r="I46" s="50"/>
      <c r="T46" s="19" t="s">
        <v>45</v>
      </c>
      <c r="U46" s="49" t="str">
        <f>IF(ISBLANK($C46),"",IF(IFERROR(VLOOKUP($C46,Backpack!$B$10:$G1019,MATCH("Slot",Backpack!$B$9:$G$9,0),FALSE),"")=T46,FALSE,TRUE))</f>
        <v/>
      </c>
      <c r="V46" s="49" t="str">
        <f>IF(ISBLANK($C46),"",IF(Value(IFERROR(VLOOKUP($C46,Backpack!$B$10:$G1019,MATCH("Level Requirement",Backpack!$B$9:$G$9,0),FALSE),""))&gt;Leveler!$B$13,TRUE,FALSE))</f>
        <v/>
      </c>
    </row>
    <row r="47">
      <c r="B47" s="47" t="s">
        <v>48</v>
      </c>
      <c r="C47" s="52"/>
      <c r="D47" s="49" t="str">
        <f>IFERROR(VLOOKUP($C47,Backpack!$B$10:$G1019,MATCH(D$34,Backpack!$B$9:$G$9,0),FALSE),"")</f>
        <v/>
      </c>
      <c r="E47" s="49" t="str">
        <f>IFERROR(VLOOKUP($C47,Backpack!$B$10:$G1019,MATCH(E$34,Backpack!$B$9:$G$9,0),FALSE),"")</f>
        <v/>
      </c>
      <c r="F47" s="49" t="str">
        <f>IFERROR(VLOOKUP($C47,Backpack!$B$10:$G1019,MATCH(F$34,Backpack!$B$9:$G$9,0),FALSE),"")</f>
        <v/>
      </c>
      <c r="G47" s="50"/>
      <c r="H47" s="50"/>
      <c r="I47" s="50"/>
      <c r="T47" s="19" t="s">
        <v>45</v>
      </c>
      <c r="U47" s="49" t="str">
        <f>IF(ISBLANK($C47),"",IF(IFERROR(VLOOKUP($C47,Backpack!$B$10:$G1019,MATCH("Slot",Backpack!$B$9:$G$9,0),FALSE),"")=T47,FALSE,TRUE))</f>
        <v/>
      </c>
      <c r="V47" s="49" t="str">
        <f>IF(ISBLANK($C47),"",IF(Value(IFERROR(VLOOKUP($C47,Backpack!$B$10:$G1019,MATCH("Level Requirement",Backpack!$B$9:$G$9,0),FALSE),""))&gt;Leveler!$B$13,TRUE,FALSE))</f>
        <v/>
      </c>
    </row>
    <row r="48">
      <c r="B48" s="47" t="s">
        <v>49</v>
      </c>
      <c r="C48" s="48"/>
      <c r="D48" s="49" t="str">
        <f>IFERROR(VLOOKUP($C48,Backpack!$B$10:$G1019,MATCH(D$34,Backpack!$B$9:$G$9,0),FALSE),"")</f>
        <v/>
      </c>
      <c r="E48" s="49" t="str">
        <f>IFERROR(VLOOKUP($C48,Backpack!$B$10:$G1019,MATCH(E$34,Backpack!$B$9:$G$9,0),FALSE),"")</f>
        <v/>
      </c>
      <c r="F48" s="49" t="str">
        <f>IFERROR(VLOOKUP($C48,Backpack!$B$10:$G1019,MATCH(F$34,Backpack!$B$9:$G$9,0),FALSE),"")</f>
        <v/>
      </c>
      <c r="G48" s="50"/>
      <c r="H48" s="50"/>
      <c r="I48" s="50"/>
      <c r="T48" s="19" t="s">
        <v>45</v>
      </c>
      <c r="U48" s="49" t="str">
        <f>IF(ISBLANK($C48),"",IF(IFERROR(VLOOKUP($C48,Backpack!$B$10:$G1019,MATCH("Slot",Backpack!$B$9:$G$9,0),FALSE),"")=T48,FALSE,TRUE))</f>
        <v/>
      </c>
      <c r="V48" s="49" t="str">
        <f>IF(ISBLANK($C48),"",IF(Value(IFERROR(VLOOKUP($C48,Backpack!$B$10:$G1019,MATCH("Level Requirement",Backpack!$B$9:$G$9,0),FALSE),""))&gt;Leveler!$B$13,TRUE,FALSE))</f>
        <v/>
      </c>
    </row>
    <row r="49">
      <c r="B49" s="47" t="s">
        <v>50</v>
      </c>
      <c r="C49" s="52"/>
      <c r="D49" s="49" t="str">
        <f>IFERROR(VLOOKUP($C49,Backpack!$B$10:$G1019,MATCH(D$34,Backpack!$B$9:$G$9,0),FALSE),"")</f>
        <v/>
      </c>
      <c r="E49" s="49" t="str">
        <f>IFERROR(VLOOKUP($C49,Backpack!$B$10:$G1019,MATCH(E$34,Backpack!$B$9:$G$9,0),FALSE),"")</f>
        <v/>
      </c>
      <c r="F49" s="49" t="str">
        <f>IFERROR(VLOOKUP($C49,Backpack!$B$10:$G1019,MATCH(F$34,Backpack!$B$9:$G$9,0),FALSE),"")</f>
        <v/>
      </c>
      <c r="G49" s="50"/>
      <c r="H49" s="50"/>
      <c r="I49" s="50"/>
      <c r="T49" s="19" t="s">
        <v>45</v>
      </c>
      <c r="U49" s="49" t="str">
        <f>IF(ISBLANK($C49),"",IF(IFERROR(VLOOKUP($C49,Backpack!$B$10:$G1019,MATCH("Slot",Backpack!$B$9:$G$9,0),FALSE),"")=T49,FALSE,TRUE))</f>
        <v/>
      </c>
      <c r="V49" s="49" t="str">
        <f>IF(ISBLANK($C49),"",IF(Value(IFERROR(VLOOKUP($C49,Backpack!$B$10:$G1019,MATCH("Level Requirement",Backpack!$B$9:$G$9,0),FALSE),""))&gt;Leveler!$B$13,TRUE,FALSE))</f>
        <v/>
      </c>
    </row>
    <row r="50">
      <c r="B50" s="47" t="s">
        <v>51</v>
      </c>
      <c r="C50" s="52"/>
      <c r="D50" s="49" t="str">
        <f>IFERROR(VLOOKUP($C50,Backpack!$B$10:$G1019,MATCH(D$34,Backpack!$B$9:$G$9,0),FALSE),"")</f>
        <v/>
      </c>
      <c r="E50" s="49" t="str">
        <f>IFERROR(VLOOKUP($C50,Backpack!$B$10:$G1019,MATCH(E$34,Backpack!$B$9:$G$9,0),FALSE),"")</f>
        <v/>
      </c>
      <c r="F50" s="49" t="str">
        <f>IFERROR(VLOOKUP($C50,Backpack!$B$10:$G1019,MATCH(F$34,Backpack!$B$9:$G$9,0),FALSE),"")</f>
        <v/>
      </c>
      <c r="G50" s="50"/>
      <c r="H50" s="50"/>
      <c r="I50" s="50"/>
      <c r="T50" s="19" t="s">
        <v>45</v>
      </c>
      <c r="U50" s="49" t="str">
        <f>IF(ISBLANK($C50),"",IF(IFERROR(VLOOKUP($C50,Backpack!$B$10:$G1019,MATCH("Slot",Backpack!$B$9:$G$9,0),FALSE),"")=T50,FALSE,TRUE))</f>
        <v/>
      </c>
      <c r="V50" s="49" t="str">
        <f>IF(ISBLANK($C50),"",IF(Value(IFERROR(VLOOKUP($C50,Backpack!$B$10:$G1019,MATCH("Level Requirement",Backpack!$B$9:$G$9,0),FALSE),""))&gt;Leveler!$B$13,TRUE,FALSE))</f>
        <v/>
      </c>
    </row>
    <row r="51">
      <c r="B51" s="47" t="s">
        <v>52</v>
      </c>
      <c r="C51" s="52"/>
      <c r="D51" s="49" t="str">
        <f>IFERROR(VLOOKUP($C51,Backpack!$B$10:$G1019,MATCH(D$34,Backpack!$B$9:$G$9,0),FALSE),"")</f>
        <v/>
      </c>
      <c r="E51" s="49" t="str">
        <f>IFERROR(VLOOKUP($C51,Backpack!$B$10:$G1019,MATCH(E$34,Backpack!$B$9:$G$9,0),FALSE),"")</f>
        <v/>
      </c>
      <c r="F51" s="49" t="str">
        <f>IFERROR(VLOOKUP($C51,Backpack!$B$10:$G1019,MATCH(F$34,Backpack!$B$9:$G$9,0),FALSE),"")</f>
        <v/>
      </c>
      <c r="G51" s="50"/>
      <c r="H51" s="50"/>
      <c r="I51" s="50"/>
      <c r="T51" s="19" t="s">
        <v>45</v>
      </c>
      <c r="U51" s="49" t="str">
        <f>IF(ISBLANK($C51),"",IF(IFERROR(VLOOKUP($C51,Backpack!$B$10:$G1019,MATCH("Slot",Backpack!$B$9:$G$9,0),FALSE),"")=T51,FALSE,TRUE))</f>
        <v/>
      </c>
      <c r="V51" s="49" t="str">
        <f>IF(ISBLANK($C51),"",IF(Value(IFERROR(VLOOKUP($C51,Backpack!$B$10:$G1019,MATCH("Level Requirement",Backpack!$B$9:$G$9,0),FALSE),""))&gt;Leveler!$B$13,TRUE,FALSE))</f>
        <v/>
      </c>
    </row>
    <row r="52">
      <c r="B52" s="47" t="s">
        <v>53</v>
      </c>
      <c r="C52" s="52"/>
      <c r="D52" s="49" t="str">
        <f>IFERROR(VLOOKUP($C52,Backpack!$B$10:$G1019,MATCH(D$34,Backpack!$B$9:$G$9,0),FALSE),"")</f>
        <v/>
      </c>
      <c r="E52" s="49" t="str">
        <f>IFERROR(VLOOKUP($C52,Backpack!$B$10:$G1019,MATCH(E$34,Backpack!$B$9:$G$9,0),FALSE),"")</f>
        <v/>
      </c>
      <c r="F52" s="49" t="str">
        <f>IFERROR(VLOOKUP($C52,Backpack!$B$10:$G1019,MATCH(F$34,Backpack!$B$9:$G$9,0),FALSE),"")</f>
        <v/>
      </c>
      <c r="G52" s="50"/>
      <c r="H52" s="50"/>
      <c r="I52" s="50"/>
      <c r="T52" s="19" t="s">
        <v>45</v>
      </c>
      <c r="U52" s="49" t="str">
        <f>IF(ISBLANK($C52),"",IF(IFERROR(VLOOKUP($C52,Backpack!$B$10:$G1019,MATCH("Slot",Backpack!$B$9:$G$9,0),FALSE),"")=T52,FALSE,TRUE))</f>
        <v/>
      </c>
      <c r="V52" s="49" t="str">
        <f>IF(ISBLANK($C52),"",IF(Value(IFERROR(VLOOKUP($C52,Backpack!$B$10:$G1019,MATCH("Level Requirement",Backpack!$B$9:$G$9,0),FALSE),""))&gt;Leveler!$B$13,TRUE,FALSE))</f>
        <v/>
      </c>
    </row>
    <row r="53">
      <c r="B53" s="47" t="s">
        <v>54</v>
      </c>
      <c r="C53" s="52"/>
      <c r="D53" s="49" t="str">
        <f>IFERROR(VLOOKUP($C53,Backpack!$B$10:$G1019,MATCH(D$34,Backpack!$B$9:$G$9,0),FALSE),"")</f>
        <v/>
      </c>
      <c r="E53" s="49" t="str">
        <f>IFERROR(VLOOKUP($C53,Backpack!$B$10:$G1019,MATCH(E$34,Backpack!$B$9:$G$9,0),FALSE),"")</f>
        <v/>
      </c>
      <c r="F53" s="49" t="str">
        <f>IFERROR(VLOOKUP($C53,Backpack!$B$10:$G1019,MATCH(F$34,Backpack!$B$9:$G$9,0),FALSE),"")</f>
        <v/>
      </c>
      <c r="G53" s="50"/>
      <c r="H53" s="50"/>
      <c r="I53" s="50"/>
      <c r="T53" s="19" t="s">
        <v>45</v>
      </c>
      <c r="U53" s="49" t="str">
        <f>IF(ISBLANK($C53),"",IF(IFERROR(VLOOKUP($C53,Backpack!$B$10:$G1019,MATCH("Slot",Backpack!$B$9:$G$9,0),FALSE),"")=T53,FALSE,TRUE))</f>
        <v/>
      </c>
      <c r="V53" s="49" t="str">
        <f>IF(ISBLANK($C53),"",IF(Value(IFERROR(VLOOKUP($C53,Backpack!$B$10:$G1019,MATCH("Level Requirement",Backpack!$B$9:$G$9,0),FALSE),""))&gt;Leveler!$B$13,TRUE,FALSE))</f>
        <v/>
      </c>
    </row>
    <row r="54">
      <c r="B54" s="47" t="s">
        <v>55</v>
      </c>
      <c r="C54" s="52"/>
      <c r="D54" s="49" t="str">
        <f>IFERROR(VLOOKUP($C54,Backpack!$B$10:$G1019,MATCH(D$34,Backpack!$B$9:$G$9,0),FALSE),"")</f>
        <v/>
      </c>
      <c r="E54" s="49" t="str">
        <f>IFERROR(VLOOKUP($C54,Backpack!$B$10:$G1019,MATCH(E$34,Backpack!$B$9:$G$9,0),FALSE),"")</f>
        <v/>
      </c>
      <c r="F54" s="49" t="str">
        <f>IFERROR(VLOOKUP($C54,Backpack!$B$10:$G1019,MATCH(F$34,Backpack!$B$9:$G$9,0),FALSE),"")</f>
        <v/>
      </c>
      <c r="G54" s="50"/>
      <c r="H54" s="50"/>
      <c r="I54" s="50"/>
      <c r="T54" s="19" t="s">
        <v>56</v>
      </c>
      <c r="U54" s="49" t="str">
        <f>IF(ISBLANK($C54),"",IF(IFERROR(VLOOKUP($C54,Backpack!$B$10:$G1019,MATCH("Slot",Backpack!$B$9:$G$9,0),FALSE),"")=T54,FALSE,TRUE))</f>
        <v/>
      </c>
      <c r="V54" s="49" t="str">
        <f>IF(ISBLANK($C54),"",IF(Value(IFERROR(VLOOKUP($C54,Backpack!$B$10:$G1019,MATCH("Level Requirement",Backpack!$B$9:$G$9,0),FALSE),""))&gt;Leveler!$B$13,TRUE,FALSE))</f>
        <v/>
      </c>
    </row>
    <row r="55">
      <c r="B55" s="47" t="s">
        <v>57</v>
      </c>
      <c r="C55" s="52"/>
      <c r="D55" s="49" t="str">
        <f>IFERROR(VLOOKUP($C55,Backpack!$B$10:$G1019,MATCH(D$34,Backpack!$B$9:$G$9,0),FALSE),"")</f>
        <v/>
      </c>
      <c r="E55" s="49" t="str">
        <f>IFERROR(VLOOKUP($C55,Backpack!$B$10:$G1019,MATCH(E$34,Backpack!$B$9:$G$9,0),FALSE),"")</f>
        <v/>
      </c>
      <c r="F55" s="49" t="str">
        <f>IFERROR(VLOOKUP($C55,Backpack!$B$10:$G1019,MATCH(F$34,Backpack!$B$9:$G$9,0),FALSE),"")</f>
        <v/>
      </c>
      <c r="G55" s="50"/>
      <c r="H55" s="50"/>
      <c r="I55" s="50"/>
      <c r="T55" s="19" t="s">
        <v>58</v>
      </c>
      <c r="U55" s="49" t="str">
        <f>IF(ISBLANK($C55),"",IF(IFERROR(VLOOKUP($C55,Backpack!$B$10:$G1019,MATCH("Slot",Backpack!$B$9:$G$9,0),FALSE),"")=T55,FALSE,TRUE))</f>
        <v/>
      </c>
      <c r="V55" s="49" t="str">
        <f>IF(ISBLANK($C55),"",IF(Value(IFERROR(VLOOKUP($C55,Backpack!$B$10:$G1019,MATCH("Level Requirement",Backpack!$B$9:$G$9,0),FALSE),""))&gt;Leveler!$B$13,TRUE,FALSE))</f>
        <v/>
      </c>
    </row>
    <row r="57">
      <c r="B57" s="53" t="s">
        <v>59</v>
      </c>
    </row>
    <row r="58">
      <c r="B58" s="54" t="s">
        <v>60</v>
      </c>
      <c r="C58" s="19" t="b">
        <v>0</v>
      </c>
      <c r="D58" s="54" t="s">
        <v>61</v>
      </c>
      <c r="E58" s="19" t="b">
        <v>0</v>
      </c>
    </row>
    <row r="59">
      <c r="B59" s="55" t="s">
        <v>62</v>
      </c>
      <c r="D59" s="56" t="s">
        <v>62</v>
      </c>
    </row>
    <row r="60">
      <c r="B60" s="54"/>
    </row>
    <row r="61">
      <c r="B61" s="54" t="s">
        <v>63</v>
      </c>
      <c r="C61" s="19" t="b">
        <v>0</v>
      </c>
      <c r="D61" s="54" t="s">
        <v>64</v>
      </c>
      <c r="E61" s="19" t="b">
        <v>0</v>
      </c>
    </row>
    <row r="62">
      <c r="B62" s="55" t="s">
        <v>62</v>
      </c>
      <c r="D62" s="56" t="s">
        <v>62</v>
      </c>
    </row>
    <row r="63">
      <c r="B63" s="54"/>
    </row>
    <row r="64">
      <c r="B64" s="54" t="s">
        <v>65</v>
      </c>
      <c r="C64" s="19" t="b">
        <v>0</v>
      </c>
      <c r="D64" s="54" t="s">
        <v>66</v>
      </c>
      <c r="E64" s="19" t="b">
        <v>0</v>
      </c>
    </row>
    <row r="65">
      <c r="B65" s="55" t="s">
        <v>62</v>
      </c>
      <c r="D65" s="56" t="s">
        <v>62</v>
      </c>
    </row>
    <row r="66">
      <c r="B66" s="54"/>
    </row>
    <row r="67">
      <c r="B67" s="54" t="s">
        <v>67</v>
      </c>
      <c r="C67" s="19" t="b">
        <v>0</v>
      </c>
      <c r="D67" s="54" t="s">
        <v>68</v>
      </c>
      <c r="E67" s="19" t="b">
        <v>0</v>
      </c>
    </row>
    <row r="68">
      <c r="B68" s="55" t="s">
        <v>62</v>
      </c>
      <c r="D68" s="56" t="s">
        <v>62</v>
      </c>
    </row>
    <row r="69">
      <c r="B69" s="54"/>
    </row>
    <row r="70">
      <c r="B70" s="54" t="s">
        <v>69</v>
      </c>
      <c r="C70" s="19" t="b">
        <v>0</v>
      </c>
      <c r="D70" s="54" t="s">
        <v>70</v>
      </c>
      <c r="E70" s="19" t="b">
        <v>0</v>
      </c>
    </row>
    <row r="71">
      <c r="B71" s="55" t="s">
        <v>71</v>
      </c>
      <c r="C71" s="49"/>
      <c r="D71" s="56" t="s">
        <v>62</v>
      </c>
    </row>
    <row r="72">
      <c r="B72" s="55" t="s">
        <v>72</v>
      </c>
    </row>
    <row r="73">
      <c r="B73" s="57" t="str">
        <f>HYPERLINK("https://docs.google.com/spreadsheets/d/1eSUtUwW_74KQVD7cwEk5N1aAXJ6VaYm26Np7dzqyft8", "Wanted Board")</f>
        <v>Wanted Board</v>
      </c>
    </row>
    <row r="74">
      <c r="B74" s="58"/>
    </row>
    <row r="75">
      <c r="B75" s="58"/>
    </row>
    <row r="76">
      <c r="B76" s="59" t="s">
        <v>73</v>
      </c>
      <c r="C76" s="45" t="s">
        <v>74</v>
      </c>
      <c r="D76" s="45" t="s">
        <v>75</v>
      </c>
      <c r="E76" s="45" t="s">
        <v>26</v>
      </c>
      <c r="F76" s="45" t="s">
        <v>76</v>
      </c>
      <c r="H76" s="45" t="s">
        <v>77</v>
      </c>
      <c r="J76" s="45" t="s">
        <v>26</v>
      </c>
      <c r="K76" s="45" t="s">
        <v>78</v>
      </c>
      <c r="L76" s="45" t="s">
        <v>27</v>
      </c>
      <c r="M76" s="45" t="s">
        <v>79</v>
      </c>
    </row>
    <row r="77">
      <c r="B77" s="60" t="str">
        <f>IFERROR(__xludf.DUMMYFUNCTION("ifna(QUERY(Achievements!A2:G1019,""Select A where G = True""))"),"")</f>
        <v/>
      </c>
      <c r="C77" s="19" t="b">
        <v>0</v>
      </c>
      <c r="D77" s="61" t="str">
        <f>IFERROR(__xludf.DUMMYFUNCTION("ifna(ARRAYFORMULA(QUERY(to_text(NotorietyCombined!A2:G1019),""Select Col2,Col3,Col5 where Col1 = '""""""&amp;Leveler!F5&amp;""""""'"")))"),"")</f>
        <v/>
      </c>
      <c r="E77" s="62"/>
      <c r="F77" s="63"/>
      <c r="H77" s="64" t="str">
        <f>IFERROR(__xludf.DUMMYFUNCTION("ifna(QUERY(Quest_Tracker!A2:I1019,""Select A where G = True Or I = True""))"),"")</f>
        <v/>
      </c>
      <c r="I77" s="2"/>
      <c r="J77" s="65" t="str">
        <f>ifna(HYPERLINK("#gid=1523906944&amp;range="&amp;REPLACE(REPLACE(Address(CELL("row",VLOOKUP($H77,Quest_Tracker!$A$2:$B$900,2,FALSE)),CELL("col",VLOOKUP($H77,Quest_Tracker!$A$2:$B$900,2,FALSE))),1,1,""),2,1,""),VLOOKUP($H77,Quest_Tracker!$A$2:$B$900,2,FALSE)))</f>
        <v/>
      </c>
      <c r="K77" s="66" t="str">
        <f>ifna(VLOOKUP($H77,Quest_Tracker!$A$2:$I$900,9,FALSE))</f>
        <v/>
      </c>
      <c r="L77" s="66" t="str">
        <f>ifna(VLOOKUP($H77,Quest_Tracker!$A$2:$I$900,3,FALSE))</f>
        <v/>
      </c>
      <c r="M77" s="67" t="str">
        <f>ifna(VLOOKUP($H77,Quest_Tracker!$A$2:$I$900,4,FALSE))</f>
        <v/>
      </c>
    </row>
    <row r="78">
      <c r="B78" s="60"/>
      <c r="C78" s="19" t="b">
        <v>0</v>
      </c>
      <c r="D78" s="61"/>
      <c r="E78" s="62"/>
      <c r="F78" s="63"/>
      <c r="H78" s="64"/>
      <c r="I78" s="2"/>
      <c r="J78" s="41" t="str">
        <f>ifna(HYPERLINK("#gid=1523906944&amp;range="&amp;REPLACE(REPLACE(Address(CELL("row",VLOOKUP($H78,Quest_Tracker!$A$2:$B$900,2,FALSE)),CELL("col",VLOOKUP($H78,Quest_Tracker!$A$2:$B$900,2,FALSE))),1,1,""),2,1,""),VLOOKUP($H78,Quest_Tracker!$A$2:$B$900,2,FALSE)))</f>
        <v/>
      </c>
      <c r="K78" s="66" t="str">
        <f>ifna(VLOOKUP($H78,Quest_Tracker!$A$2:$I$900,9,FALSE))</f>
        <v/>
      </c>
      <c r="L78" s="66" t="str">
        <f>ifna(VLOOKUP($H78,Quest_Tracker!$A$2:$I$900,3,FALSE))</f>
        <v/>
      </c>
      <c r="M78" s="67" t="str">
        <f>ifna(VLOOKUP($H78,Quest_Tracker!$A$2:$I$900,4,FALSE))</f>
        <v/>
      </c>
      <c r="N78" s="68"/>
    </row>
    <row r="79">
      <c r="B79" s="60"/>
      <c r="C79" s="49" t="b">
        <v>0</v>
      </c>
      <c r="D79" s="61"/>
      <c r="E79" s="62"/>
      <c r="F79" s="63"/>
      <c r="H79" s="64"/>
      <c r="I79" s="2"/>
      <c r="J79" s="41" t="str">
        <f>ifna(HYPERLINK("#gid=1523906944&amp;range="&amp;REPLACE(REPLACE(Address(CELL("row",VLOOKUP($H79,Quest_Tracker!$A$2:$B$900,2,FALSE)),CELL("col",VLOOKUP($H79,Quest_Tracker!$A$2:$B$900,2,FALSE))),1,1,""),2,1,""),VLOOKUP($H79,Quest_Tracker!$A$2:$B$900,2,FALSE)))</f>
        <v/>
      </c>
      <c r="K79" s="66" t="str">
        <f>ifna(VLOOKUP($H79,Quest_Tracker!$A$2:$I$900,9,FALSE))</f>
        <v/>
      </c>
      <c r="L79" s="66" t="str">
        <f>ifna(VLOOKUP($H79,Quest_Tracker!$A$2:$I$900,3,FALSE))</f>
        <v/>
      </c>
      <c r="M79" s="67" t="str">
        <f>ifna(VLOOKUP($H79,Quest_Tracker!$A$2:$I$900,4,FALSE))</f>
        <v/>
      </c>
    </row>
    <row r="80">
      <c r="B80" s="69"/>
      <c r="C80" s="49" t="b">
        <v>0</v>
      </c>
      <c r="D80" s="61"/>
      <c r="E80" s="62"/>
      <c r="F80" s="63"/>
      <c r="H80" s="64"/>
      <c r="I80" s="2"/>
      <c r="J80" s="41" t="str">
        <f>ifna(HYPERLINK("#gid=1523906944&amp;range="&amp;REPLACE(REPLACE(Address(CELL("row",VLOOKUP($H80,Quest_Tracker!$A$2:$B$900,2,FALSE)),CELL("col",VLOOKUP($H80,Quest_Tracker!$A$2:$B$900,2,FALSE))),1,1,""),2,1,""),VLOOKUP($H80,Quest_Tracker!$A$2:$B$900,2,FALSE)))</f>
        <v/>
      </c>
      <c r="K80" s="66" t="str">
        <f>ifna(VLOOKUP($H80,Quest_Tracker!$A$2:$I$900,9,FALSE))</f>
        <v/>
      </c>
      <c r="L80" s="66" t="str">
        <f>ifna(VLOOKUP($H80,Quest_Tracker!$A$2:$I$900,3,FALSE))</f>
        <v/>
      </c>
      <c r="M80" s="67" t="str">
        <f>ifna(VLOOKUP($H80,Quest_Tracker!$A$2:$I$900,4,FALSE))</f>
        <v/>
      </c>
    </row>
    <row r="81">
      <c r="B81" s="69"/>
      <c r="C81" s="49" t="b">
        <v>0</v>
      </c>
      <c r="D81" s="61"/>
      <c r="E81" s="62"/>
      <c r="F81" s="63"/>
      <c r="H81" s="64"/>
      <c r="I81" s="2"/>
      <c r="J81" s="41" t="str">
        <f>ifna(HYPERLINK("#gid=1523906944&amp;range="&amp;REPLACE(REPLACE(Address(CELL("row",VLOOKUP($H81,Quest_Tracker!$A$2:$B$900,2,FALSE)),CELL("col",VLOOKUP($H81,Quest_Tracker!$A$2:$B$900,2,FALSE))),1,1,""),2,1,""),VLOOKUP($H81,Quest_Tracker!$A$2:$B$900,2,FALSE)))</f>
        <v/>
      </c>
      <c r="K81" s="66" t="str">
        <f>ifna(VLOOKUP($H81,Quest_Tracker!$A$2:$I$900,9,FALSE))</f>
        <v/>
      </c>
      <c r="L81" s="66" t="str">
        <f>ifna(VLOOKUP($H81,Quest_Tracker!$A$2:$I$900,3,FALSE))</f>
        <v/>
      </c>
      <c r="M81" s="67" t="str">
        <f>ifna(VLOOKUP($H81,Quest_Tracker!$A$2:$I$900,4,FALSE))</f>
        <v/>
      </c>
    </row>
    <row r="82">
      <c r="B82" s="69"/>
      <c r="C82" s="49" t="b">
        <v>0</v>
      </c>
      <c r="D82" s="61"/>
      <c r="E82" s="62"/>
      <c r="F82" s="63"/>
      <c r="H82" s="64"/>
      <c r="I82" s="2"/>
      <c r="J82" s="41" t="str">
        <f>ifna(HYPERLINK("#gid=1523906944&amp;range="&amp;REPLACE(REPLACE(Address(CELL("row",VLOOKUP($H82,Quest_Tracker!$A$2:$B$900,2,FALSE)),CELL("col",VLOOKUP($H82,Quest_Tracker!$A$2:$B$900,2,FALSE))),1,1,""),2,1,""),VLOOKUP($H82,Quest_Tracker!$A$2:$B$900,2,FALSE)))</f>
        <v/>
      </c>
      <c r="K82" s="66" t="str">
        <f>ifna(VLOOKUP($H82,Quest_Tracker!$A$2:$I$900,9,FALSE))</f>
        <v/>
      </c>
      <c r="L82" s="66" t="str">
        <f>ifna(VLOOKUP($H82,Quest_Tracker!$A$2:$I$900,3,FALSE))</f>
        <v/>
      </c>
      <c r="M82" s="67" t="str">
        <f>ifna(VLOOKUP($H82,Quest_Tracker!$A$2:$I$900,4,FALSE))</f>
        <v/>
      </c>
    </row>
    <row r="83">
      <c r="B83" s="69"/>
      <c r="C83" s="49" t="b">
        <v>0</v>
      </c>
      <c r="D83" s="61"/>
      <c r="E83" s="62"/>
      <c r="F83" s="63"/>
      <c r="H83" s="64"/>
      <c r="I83" s="2"/>
      <c r="J83" s="41" t="str">
        <f>ifna(HYPERLINK("#gid=1523906944&amp;range="&amp;REPLACE(REPLACE(Address(CELL("row",VLOOKUP($H83,Quest_Tracker!$A$2:$B$900,2,FALSE)),CELL("col",VLOOKUP($H83,Quest_Tracker!$A$2:$B$900,2,FALSE))),1,1,""),2,1,""),VLOOKUP($H83,Quest_Tracker!$A$2:$B$900,2,FALSE)))</f>
        <v/>
      </c>
      <c r="K83" s="66" t="str">
        <f>ifna(VLOOKUP($H83,Quest_Tracker!$A$2:$I$900,9,FALSE))</f>
        <v/>
      </c>
      <c r="L83" s="66" t="str">
        <f>ifna(VLOOKUP($H83,Quest_Tracker!$A$2:$I$900,3,FALSE))</f>
        <v/>
      </c>
      <c r="M83" s="67" t="str">
        <f>ifna(VLOOKUP($H83,Quest_Tracker!$A$2:$I$900,4,FALSE))</f>
        <v/>
      </c>
    </row>
    <row r="84">
      <c r="B84" s="69"/>
      <c r="C84" s="49" t="b">
        <v>0</v>
      </c>
      <c r="D84" s="61"/>
      <c r="E84" s="62"/>
      <c r="F84" s="63"/>
      <c r="H84" s="64"/>
      <c r="I84" s="2"/>
      <c r="J84" s="41" t="str">
        <f>ifna(HYPERLINK("#gid=1523906944&amp;range="&amp;REPLACE(REPLACE(Address(CELL("row",VLOOKUP($H84,Quest_Tracker!$A$2:$B$900,2,FALSE)),CELL("col",VLOOKUP($H84,Quest_Tracker!$A$2:$B$900,2,FALSE))),1,1,""),2,1,""),VLOOKUP($H84,Quest_Tracker!$A$2:$B$900,2,FALSE)))</f>
        <v/>
      </c>
      <c r="K84" s="66" t="str">
        <f>ifna(VLOOKUP($H84,Quest_Tracker!$A$2:$I$900,9,FALSE))</f>
        <v/>
      </c>
      <c r="L84" s="66" t="str">
        <f>ifna(VLOOKUP($H84,Quest_Tracker!$A$2:$I$900,3,FALSE))</f>
        <v/>
      </c>
      <c r="M84" s="67" t="str">
        <f>ifna(VLOOKUP($H84,Quest_Tracker!$A$2:$I$900,4,FALSE))</f>
        <v/>
      </c>
    </row>
    <row r="85">
      <c r="B85" s="69"/>
      <c r="C85" s="49" t="b">
        <v>0</v>
      </c>
      <c r="D85" s="61"/>
      <c r="E85" s="62"/>
      <c r="F85" s="63"/>
      <c r="H85" s="64"/>
      <c r="I85" s="2"/>
      <c r="J85" s="41" t="str">
        <f>ifna(HYPERLINK("#gid=1523906944&amp;range="&amp;REPLACE(REPLACE(Address(CELL("row",VLOOKUP($H85,Quest_Tracker!$A$2:$B$900,2,FALSE)),CELL("col",VLOOKUP($H85,Quest_Tracker!$A$2:$B$900,2,FALSE))),1,1,""),2,1,""),VLOOKUP($H85,Quest_Tracker!$A$2:$B$900,2,FALSE)))</f>
        <v/>
      </c>
      <c r="K85" s="66" t="str">
        <f>ifna(VLOOKUP($H85,Quest_Tracker!$A$2:$I$900,9,FALSE))</f>
        <v/>
      </c>
      <c r="L85" s="66" t="str">
        <f>ifna(VLOOKUP($H85,Quest_Tracker!$A$2:$I$900,3,FALSE))</f>
        <v/>
      </c>
      <c r="M85" s="67" t="str">
        <f>ifna(VLOOKUP($H85,Quest_Tracker!$A$2:$I$900,4,FALSE))</f>
        <v/>
      </c>
    </row>
    <row r="86">
      <c r="B86" s="69"/>
      <c r="C86" s="49" t="b">
        <v>0</v>
      </c>
      <c r="D86" s="61"/>
      <c r="E86" s="62"/>
      <c r="F86" s="63"/>
      <c r="H86" s="64"/>
      <c r="I86" s="2"/>
      <c r="J86" s="41" t="str">
        <f>ifna(HYPERLINK("#gid=1523906944&amp;range="&amp;REPLACE(REPLACE(Address(CELL("row",VLOOKUP($H86,Quest_Tracker!$A$2:$B$900,2,FALSE)),CELL("col",VLOOKUP($H86,Quest_Tracker!$A$2:$B$900,2,FALSE))),1,1,""),2,1,""),VLOOKUP($H86,Quest_Tracker!$A$2:$B$900,2,FALSE)))</f>
        <v/>
      </c>
      <c r="K86" s="66" t="str">
        <f>ifna(VLOOKUP($H86,Quest_Tracker!$A$2:$I$900,9,FALSE))</f>
        <v/>
      </c>
      <c r="L86" s="66" t="str">
        <f>ifna(VLOOKUP($H86,Quest_Tracker!$A$2:$I$900,3,FALSE))</f>
        <v/>
      </c>
      <c r="M86" s="67" t="str">
        <f>ifna(VLOOKUP($H86,Quest_Tracker!$A$2:$I$900,4,FALSE))</f>
        <v/>
      </c>
    </row>
    <row r="87">
      <c r="B87" s="69"/>
      <c r="C87" s="49" t="b">
        <v>0</v>
      </c>
      <c r="D87" s="61"/>
      <c r="E87" s="62"/>
      <c r="F87" s="63"/>
      <c r="H87" s="64"/>
      <c r="I87" s="2"/>
      <c r="J87" s="41" t="str">
        <f>ifna(HYPERLINK("#gid=1523906944&amp;range="&amp;REPLACE(REPLACE(Address(CELL("row",VLOOKUP($H87,Quest_Tracker!$A$2:$B$900,2,FALSE)),CELL("col",VLOOKUP($H87,Quest_Tracker!$A$2:$B$900,2,FALSE))),1,1,""),2,1,""),VLOOKUP($H87,Quest_Tracker!$A$2:$B$900,2,FALSE)))</f>
        <v/>
      </c>
      <c r="K87" s="66" t="str">
        <f>ifna(VLOOKUP($H87,Quest_Tracker!$A$2:$I$900,9,FALSE))</f>
        <v/>
      </c>
      <c r="L87" s="66" t="str">
        <f>ifna(VLOOKUP($H87,Quest_Tracker!$A$2:$I$900,3,FALSE))</f>
        <v/>
      </c>
      <c r="M87" s="67" t="str">
        <f>ifna(VLOOKUP($H87,Quest_Tracker!$A$2:$I$900,4,FALSE))</f>
        <v/>
      </c>
    </row>
    <row r="88">
      <c r="B88" s="69"/>
      <c r="C88" s="49" t="b">
        <v>0</v>
      </c>
      <c r="D88" s="61"/>
      <c r="E88" s="62"/>
      <c r="F88" s="63"/>
      <c r="H88" s="64"/>
      <c r="I88" s="2"/>
      <c r="J88" s="41" t="str">
        <f>ifna(HYPERLINK("#gid=1523906944&amp;range="&amp;REPLACE(REPLACE(Address(CELL("row",VLOOKUP($H88,Quest_Tracker!$A$2:$B$900,2,FALSE)),CELL("col",VLOOKUP($H88,Quest_Tracker!$A$2:$B$900,2,FALSE))),1,1,""),2,1,""),VLOOKUP($H88,Quest_Tracker!$A$2:$B$900,2,FALSE)))</f>
        <v/>
      </c>
      <c r="K88" s="66" t="str">
        <f>ifna(VLOOKUP($H88,Quest_Tracker!$A$2:$I$900,9,FALSE))</f>
        <v/>
      </c>
      <c r="L88" s="66" t="str">
        <f>ifna(VLOOKUP($H88,Quest_Tracker!$A$2:$I$900,3,FALSE))</f>
        <v/>
      </c>
      <c r="M88" s="67" t="str">
        <f>ifna(VLOOKUP($H88,Quest_Tracker!$A$2:$I$900,4,FALSE))</f>
        <v/>
      </c>
    </row>
    <row r="89">
      <c r="B89" s="69"/>
      <c r="C89" s="49" t="b">
        <v>0</v>
      </c>
      <c r="D89" s="61"/>
      <c r="E89" s="62"/>
      <c r="F89" s="63"/>
      <c r="H89" s="64"/>
      <c r="I89" s="2"/>
      <c r="J89" s="41" t="str">
        <f>ifna(HYPERLINK("#gid=1523906944&amp;range="&amp;REPLACE(REPLACE(Address(CELL("row",VLOOKUP($H89,Quest_Tracker!$A$2:$B$900,2,FALSE)),CELL("col",VLOOKUP($H89,Quest_Tracker!$A$2:$B$900,2,FALSE))),1,1,""),2,1,""),VLOOKUP($H89,Quest_Tracker!$A$2:$B$900,2,FALSE)))</f>
        <v/>
      </c>
      <c r="K89" s="66" t="str">
        <f>ifna(VLOOKUP($H89,Quest_Tracker!$A$2:$I$900,9,FALSE))</f>
        <v/>
      </c>
      <c r="L89" s="66" t="str">
        <f>ifna(VLOOKUP($H89,Quest_Tracker!$A$2:$I$900,3,FALSE))</f>
        <v/>
      </c>
      <c r="M89" s="67" t="str">
        <f>ifna(VLOOKUP($H89,Quest_Tracker!$A$2:$I$900,4,FALSE))</f>
        <v/>
      </c>
    </row>
    <row r="90">
      <c r="B90" s="69"/>
      <c r="C90" s="49" t="b">
        <v>0</v>
      </c>
      <c r="D90" s="61"/>
      <c r="E90" s="62"/>
      <c r="F90" s="63"/>
      <c r="H90" s="64"/>
      <c r="I90" s="2"/>
      <c r="J90" s="41" t="str">
        <f>ifna(HYPERLINK("#gid=1523906944&amp;range="&amp;REPLACE(REPLACE(Address(CELL("row",VLOOKUP($H90,Quest_Tracker!$A$2:$B$900,2,FALSE)),CELL("col",VLOOKUP($H90,Quest_Tracker!$A$2:$B$900,2,FALSE))),1,1,""),2,1,""),VLOOKUP($H90,Quest_Tracker!$A$2:$B$900,2,FALSE)))</f>
        <v/>
      </c>
      <c r="K90" s="66" t="str">
        <f>ifna(VLOOKUP($H90,Quest_Tracker!$A$2:$I$900,9,FALSE))</f>
        <v/>
      </c>
      <c r="L90" s="66" t="str">
        <f>ifna(VLOOKUP($H90,Quest_Tracker!$A$2:$I$900,3,FALSE))</f>
        <v/>
      </c>
      <c r="M90" s="67" t="str">
        <f>ifna(VLOOKUP($H90,Quest_Tracker!$A$2:$I$900,4,FALSE))</f>
        <v/>
      </c>
    </row>
    <row r="91">
      <c r="B91" s="69"/>
      <c r="C91" s="49" t="b">
        <v>0</v>
      </c>
      <c r="D91" s="61"/>
      <c r="E91" s="62"/>
      <c r="F91" s="63"/>
      <c r="H91" s="64"/>
      <c r="I91" s="2"/>
      <c r="J91" s="41" t="str">
        <f>ifna(HYPERLINK("#gid=1523906944&amp;range="&amp;REPLACE(REPLACE(Address(CELL("row",VLOOKUP($H91,Quest_Tracker!$A$2:$B$900,2,FALSE)),CELL("col",VLOOKUP($H91,Quest_Tracker!$A$2:$B$900,2,FALSE))),1,1,""),2,1,""),VLOOKUP($H91,Quest_Tracker!$A$2:$B$900,2,FALSE)))</f>
        <v/>
      </c>
      <c r="K91" s="66" t="str">
        <f>ifna(VLOOKUP($H91,Quest_Tracker!$A$2:$I$900,9,FALSE))</f>
        <v/>
      </c>
      <c r="L91" s="66" t="str">
        <f>ifna(VLOOKUP($H91,Quest_Tracker!$A$2:$I$900,3,FALSE))</f>
        <v/>
      </c>
      <c r="M91" s="67" t="str">
        <f>ifna(VLOOKUP($H91,Quest_Tracker!$A$2:$I$900,4,FALSE))</f>
        <v/>
      </c>
    </row>
    <row r="92">
      <c r="B92" s="69"/>
      <c r="C92" s="49" t="b">
        <v>0</v>
      </c>
      <c r="D92" s="61"/>
      <c r="E92" s="62"/>
      <c r="F92" s="63"/>
      <c r="H92" s="64"/>
      <c r="I92" s="2"/>
      <c r="J92" s="41" t="str">
        <f>ifna(HYPERLINK("#gid=1523906944&amp;range="&amp;REPLACE(REPLACE(Address(CELL("row",VLOOKUP($H92,Quest_Tracker!$A$2:$B$900,2,FALSE)),CELL("col",VLOOKUP($H92,Quest_Tracker!$A$2:$B$900,2,FALSE))),1,1,""),2,1,""),VLOOKUP($H92,Quest_Tracker!$A$2:$B$900,2,FALSE)))</f>
        <v/>
      </c>
      <c r="K92" s="66" t="str">
        <f>ifna(VLOOKUP($H92,Quest_Tracker!$A$2:$I$900,9,FALSE))</f>
        <v/>
      </c>
      <c r="L92" s="66" t="str">
        <f>ifna(VLOOKUP($H92,Quest_Tracker!$A$2:$I$900,3,FALSE))</f>
        <v/>
      </c>
      <c r="M92" s="67" t="str">
        <f>ifna(VLOOKUP($H92,Quest_Tracker!$A$2:$I$900,4,FALSE))</f>
        <v/>
      </c>
    </row>
    <row r="93">
      <c r="B93" s="69"/>
      <c r="C93" s="49" t="b">
        <v>0</v>
      </c>
      <c r="D93" s="61"/>
      <c r="E93" s="62"/>
      <c r="F93" s="63"/>
      <c r="H93" s="64"/>
      <c r="I93" s="2"/>
      <c r="J93" s="41" t="str">
        <f>ifna(HYPERLINK("#gid=1523906944&amp;range="&amp;REPLACE(REPLACE(Address(CELL("row",VLOOKUP($H93,Quest_Tracker!$A$2:$B$900,2,FALSE)),CELL("col",VLOOKUP($H93,Quest_Tracker!$A$2:$B$900,2,FALSE))),1,1,""),2,1,""),VLOOKUP($H93,Quest_Tracker!$A$2:$B$900,2,FALSE)))</f>
        <v/>
      </c>
      <c r="K93" s="66" t="str">
        <f>ifna(VLOOKUP($H93,Quest_Tracker!$A$2:$I$900,9,FALSE))</f>
        <v/>
      </c>
      <c r="L93" s="66" t="str">
        <f>ifna(VLOOKUP($H93,Quest_Tracker!$A$2:$I$900,3,FALSE))</f>
        <v/>
      </c>
      <c r="M93" s="67" t="str">
        <f>ifna(VLOOKUP($H93,Quest_Tracker!$A$2:$I$900,4,FALSE))</f>
        <v/>
      </c>
    </row>
    <row r="94">
      <c r="B94" s="69"/>
      <c r="C94" s="49" t="b">
        <v>0</v>
      </c>
      <c r="D94" s="61"/>
      <c r="E94" s="62"/>
      <c r="F94" s="63"/>
      <c r="H94" s="64"/>
      <c r="I94" s="2"/>
      <c r="J94" s="41" t="str">
        <f>ifna(HYPERLINK("#gid=1523906944&amp;range="&amp;REPLACE(REPLACE(Address(CELL("row",VLOOKUP($H94,Quest_Tracker!$A$2:$B$900,2,FALSE)),CELL("col",VLOOKUP($H94,Quest_Tracker!$A$2:$B$900,2,FALSE))),1,1,""),2,1,""),VLOOKUP($H94,Quest_Tracker!$A$2:$B$900,2,FALSE)))</f>
        <v/>
      </c>
      <c r="K94" s="66" t="str">
        <f>ifna(VLOOKUP($H94,Quest_Tracker!$A$2:$I$900,9,FALSE))</f>
        <v/>
      </c>
      <c r="L94" s="66" t="str">
        <f>ifna(VLOOKUP($H94,Quest_Tracker!$A$2:$I$900,3,FALSE))</f>
        <v/>
      </c>
      <c r="M94" s="67" t="str">
        <f>ifna(VLOOKUP($H94,Quest_Tracker!$A$2:$I$900,4,FALSE))</f>
        <v/>
      </c>
    </row>
    <row r="95">
      <c r="B95" s="69"/>
      <c r="C95" s="49" t="b">
        <v>0</v>
      </c>
      <c r="D95" s="61"/>
      <c r="E95" s="62"/>
      <c r="F95" s="63"/>
      <c r="H95" s="64"/>
      <c r="I95" s="2"/>
      <c r="J95" s="41" t="str">
        <f>ifna(HYPERLINK("#gid=1523906944&amp;range="&amp;REPLACE(REPLACE(Address(CELL("row",VLOOKUP($H95,Quest_Tracker!$A$2:$B$900,2,FALSE)),CELL("col",VLOOKUP($H95,Quest_Tracker!$A$2:$B$900,2,FALSE))),1,1,""),2,1,""),VLOOKUP($H95,Quest_Tracker!$A$2:$B$900,2,FALSE)))</f>
        <v/>
      </c>
      <c r="K95" s="66" t="str">
        <f>ifna(VLOOKUP($H95,Quest_Tracker!$A$2:$I$900,9,FALSE))</f>
        <v/>
      </c>
      <c r="L95" s="66" t="str">
        <f>ifna(VLOOKUP($H95,Quest_Tracker!$A$2:$I$900,3,FALSE))</f>
        <v/>
      </c>
      <c r="M95" s="67" t="str">
        <f>ifna(VLOOKUP($H95,Quest_Tracker!$A$2:$I$900,4,FALSE))</f>
        <v/>
      </c>
    </row>
    <row r="96">
      <c r="B96" s="69"/>
      <c r="C96" s="49" t="b">
        <v>0</v>
      </c>
      <c r="D96" s="61"/>
      <c r="E96" s="62"/>
      <c r="F96" s="63"/>
      <c r="H96" s="64"/>
      <c r="I96" s="2"/>
      <c r="J96" s="41" t="str">
        <f>ifna(HYPERLINK("#gid=1523906944&amp;range="&amp;REPLACE(REPLACE(Address(CELL("row",VLOOKUP($H96,Quest_Tracker!$A$2:$B$900,2,FALSE)),CELL("col",VLOOKUP($H96,Quest_Tracker!$A$2:$B$900,2,FALSE))),1,1,""),2,1,""),VLOOKUP($H96,Quest_Tracker!$A$2:$B$900,2,FALSE)))</f>
        <v/>
      </c>
      <c r="K96" s="66" t="str">
        <f>ifna(VLOOKUP($H96,Quest_Tracker!$A$2:$I$900,9,FALSE))</f>
        <v/>
      </c>
      <c r="L96" s="66" t="str">
        <f>ifna(VLOOKUP($H96,Quest_Tracker!$A$2:$I$900,3,FALSE))</f>
        <v/>
      </c>
      <c r="M96" s="67" t="str">
        <f>ifna(VLOOKUP($H96,Quest_Tracker!$A$2:$I$900,4,FALSE))</f>
        <v/>
      </c>
    </row>
    <row r="97">
      <c r="B97" s="69"/>
      <c r="C97" s="49" t="b">
        <v>0</v>
      </c>
      <c r="D97" s="61"/>
      <c r="E97" s="62"/>
      <c r="F97" s="63"/>
      <c r="H97" s="64"/>
      <c r="I97" s="2"/>
      <c r="J97" s="41" t="str">
        <f>ifna(HYPERLINK("#gid=1523906944&amp;range="&amp;REPLACE(REPLACE(Address(CELL("row",VLOOKUP($H97,Quest_Tracker!$A$2:$B$900,2,FALSE)),CELL("col",VLOOKUP($H97,Quest_Tracker!$A$2:$B$900,2,FALSE))),1,1,""),2,1,""),VLOOKUP($H97,Quest_Tracker!$A$2:$B$900,2,FALSE)))</f>
        <v/>
      </c>
      <c r="K97" s="66" t="str">
        <f>ifna(VLOOKUP($H97,Quest_Tracker!$A$2:$I$900,9,FALSE))</f>
        <v/>
      </c>
      <c r="L97" s="66" t="str">
        <f>ifna(VLOOKUP($H97,Quest_Tracker!$A$2:$I$900,3,FALSE))</f>
        <v/>
      </c>
      <c r="M97" s="67" t="str">
        <f>ifna(VLOOKUP($H97,Quest_Tracker!$A$2:$I$900,4,FALSE))</f>
        <v/>
      </c>
    </row>
    <row r="98">
      <c r="B98" s="69"/>
      <c r="C98" s="49" t="b">
        <v>0</v>
      </c>
      <c r="D98" s="61"/>
      <c r="E98" s="62"/>
      <c r="F98" s="63"/>
      <c r="H98" s="64"/>
      <c r="I98" s="2"/>
      <c r="J98" s="41" t="str">
        <f>ifna(HYPERLINK("#gid=1523906944&amp;range="&amp;REPLACE(REPLACE(Address(CELL("row",VLOOKUP($H98,Quest_Tracker!$A$2:$B$900,2,FALSE)),CELL("col",VLOOKUP($H98,Quest_Tracker!$A$2:$B$900,2,FALSE))),1,1,""),2,1,""),VLOOKUP($H98,Quest_Tracker!$A$2:$B$900,2,FALSE)))</f>
        <v/>
      </c>
      <c r="K98" s="66" t="str">
        <f>ifna(VLOOKUP($H98,Quest_Tracker!$A$2:$I$900,9,FALSE))</f>
        <v/>
      </c>
      <c r="L98" s="66" t="str">
        <f>ifna(VLOOKUP($H98,Quest_Tracker!$A$2:$I$900,3,FALSE))</f>
        <v/>
      </c>
      <c r="M98" s="67" t="str">
        <f>ifna(VLOOKUP($H98,Quest_Tracker!$A$2:$I$900,4,FALSE))</f>
        <v/>
      </c>
    </row>
    <row r="99">
      <c r="B99" s="69"/>
      <c r="C99" s="49" t="b">
        <v>0</v>
      </c>
      <c r="D99" s="61"/>
      <c r="E99" s="62"/>
      <c r="F99" s="63"/>
      <c r="H99" s="64"/>
      <c r="I99" s="2"/>
      <c r="J99" s="41" t="str">
        <f>ifna(HYPERLINK("#gid=1523906944&amp;range="&amp;REPLACE(REPLACE(Address(CELL("row",VLOOKUP($H99,Quest_Tracker!$A$2:$B$900,2,FALSE)),CELL("col",VLOOKUP($H99,Quest_Tracker!$A$2:$B$900,2,FALSE))),1,1,""),2,1,""),VLOOKUP($H99,Quest_Tracker!$A$2:$B$900,2,FALSE)))</f>
        <v/>
      </c>
      <c r="K99" s="66" t="str">
        <f>ifna(VLOOKUP($H99,Quest_Tracker!$A$2:$I$900,9,FALSE))</f>
        <v/>
      </c>
      <c r="L99" s="66" t="str">
        <f>ifna(VLOOKUP($H99,Quest_Tracker!$A$2:$I$900,3,FALSE))</f>
        <v/>
      </c>
      <c r="M99" s="67" t="str">
        <f>ifna(VLOOKUP($H99,Quest_Tracker!$A$2:$I$900,4,FALSE))</f>
        <v/>
      </c>
    </row>
    <row r="100">
      <c r="B100" s="69"/>
      <c r="C100" s="49" t="b">
        <v>0</v>
      </c>
      <c r="D100" s="61"/>
      <c r="E100" s="62"/>
      <c r="F100" s="63"/>
      <c r="H100" s="64"/>
      <c r="I100" s="2"/>
      <c r="J100" s="41" t="str">
        <f>ifna(HYPERLINK("#gid=1523906944&amp;range="&amp;REPLACE(REPLACE(Address(CELL("row",VLOOKUP($H100,Quest_Tracker!$A$2:$B$900,2,FALSE)),CELL("col",VLOOKUP($H100,Quest_Tracker!$A$2:$B$900,2,FALSE))),1,1,""),2,1,""),VLOOKUP($H100,Quest_Tracker!$A$2:$B$900,2,FALSE)))</f>
        <v/>
      </c>
      <c r="K100" s="66" t="str">
        <f>ifna(VLOOKUP($H100,Quest_Tracker!$A$2:$I$900,9,FALSE))</f>
        <v/>
      </c>
      <c r="L100" s="66" t="str">
        <f>ifna(VLOOKUP($H100,Quest_Tracker!$A$2:$I$900,3,FALSE))</f>
        <v/>
      </c>
      <c r="M100" s="67" t="str">
        <f>ifna(VLOOKUP($H100,Quest_Tracker!$A$2:$I$900,4,FALSE))</f>
        <v/>
      </c>
    </row>
    <row r="101">
      <c r="B101" s="69"/>
      <c r="C101" s="49" t="b">
        <v>0</v>
      </c>
      <c r="D101" s="61"/>
      <c r="E101" s="62"/>
      <c r="F101" s="63"/>
      <c r="H101" s="64"/>
      <c r="I101" s="2"/>
      <c r="J101" s="41" t="str">
        <f>ifna(HYPERLINK("#gid=1523906944&amp;range="&amp;REPLACE(REPLACE(Address(CELL("row",VLOOKUP($H101,Quest_Tracker!$A$2:$B$900,2,FALSE)),CELL("col",VLOOKUP($H101,Quest_Tracker!$A$2:$B$900,2,FALSE))),1,1,""),2,1,""),VLOOKUP($H101,Quest_Tracker!$A$2:$B$900,2,FALSE)))</f>
        <v/>
      </c>
      <c r="K101" s="66" t="str">
        <f>ifna(VLOOKUP($H101,Quest_Tracker!$A$2:$I$900,9,FALSE))</f>
        <v/>
      </c>
      <c r="L101" s="66" t="str">
        <f>ifna(VLOOKUP($H101,Quest_Tracker!$A$2:$I$900,3,FALSE))</f>
        <v/>
      </c>
      <c r="M101" s="67" t="str">
        <f>ifna(VLOOKUP($H101,Quest_Tracker!$A$2:$I$900,4,FALSE))</f>
        <v/>
      </c>
    </row>
    <row r="102">
      <c r="B102" s="69"/>
      <c r="C102" s="49" t="b">
        <v>0</v>
      </c>
      <c r="D102" s="61"/>
      <c r="E102" s="62"/>
      <c r="F102" s="63"/>
      <c r="H102" s="64"/>
      <c r="I102" s="2"/>
      <c r="J102" s="41" t="str">
        <f>ifna(HYPERLINK("#gid=1523906944&amp;range="&amp;REPLACE(REPLACE(Address(CELL("row",VLOOKUP($H102,Quest_Tracker!$A$2:$B$900,2,FALSE)),CELL("col",VLOOKUP($H102,Quest_Tracker!$A$2:$B$900,2,FALSE))),1,1,""),2,1,""),VLOOKUP($H102,Quest_Tracker!$A$2:$B$900,2,FALSE)))</f>
        <v/>
      </c>
      <c r="K102" s="66" t="str">
        <f>ifna(VLOOKUP($H102,Quest_Tracker!$A$2:$I$900,9,FALSE))</f>
        <v/>
      </c>
      <c r="L102" s="66" t="str">
        <f>ifna(VLOOKUP($H102,Quest_Tracker!$A$2:$I$900,3,FALSE))</f>
        <v/>
      </c>
      <c r="M102" s="67" t="str">
        <f>ifna(VLOOKUP($H102,Quest_Tracker!$A$2:$I$900,4,FALSE))</f>
        <v/>
      </c>
    </row>
    <row r="103">
      <c r="B103" s="69"/>
      <c r="C103" s="49" t="b">
        <v>0</v>
      </c>
      <c r="D103" s="61"/>
      <c r="E103" s="62"/>
      <c r="F103" s="63"/>
      <c r="H103" s="64"/>
      <c r="I103" s="2"/>
      <c r="J103" s="41" t="str">
        <f>ifna(HYPERLINK("#gid=1523906944&amp;range="&amp;REPLACE(REPLACE(Address(CELL("row",VLOOKUP($H103,Quest_Tracker!$A$2:$B$900,2,FALSE)),CELL("col",VLOOKUP($H103,Quest_Tracker!$A$2:$B$900,2,FALSE))),1,1,""),2,1,""),VLOOKUP($H103,Quest_Tracker!$A$2:$B$900,2,FALSE)))</f>
        <v/>
      </c>
      <c r="K103" s="66" t="str">
        <f>ifna(VLOOKUP($H103,Quest_Tracker!$A$2:$I$900,9,FALSE))</f>
        <v/>
      </c>
      <c r="L103" s="66" t="str">
        <f>ifna(VLOOKUP($H103,Quest_Tracker!$A$2:$I$900,3,FALSE))</f>
        <v/>
      </c>
      <c r="M103" s="67" t="str">
        <f>ifna(VLOOKUP($H103,Quest_Tracker!$A$2:$I$900,4,FALSE))</f>
        <v/>
      </c>
    </row>
    <row r="104">
      <c r="B104" s="69"/>
      <c r="C104" s="49" t="b">
        <v>0</v>
      </c>
      <c r="D104" s="61"/>
      <c r="E104" s="62"/>
      <c r="F104" s="63"/>
      <c r="H104" s="64"/>
      <c r="I104" s="2"/>
      <c r="J104" s="41" t="str">
        <f>ifna(HYPERLINK("#gid=1523906944&amp;range="&amp;REPLACE(REPLACE(Address(CELL("row",VLOOKUP($H104,Quest_Tracker!$A$2:$B$900,2,FALSE)),CELL("col",VLOOKUP($H104,Quest_Tracker!$A$2:$B$900,2,FALSE))),1,1,""),2,1,""),VLOOKUP($H104,Quest_Tracker!$A$2:$B$900,2,FALSE)))</f>
        <v/>
      </c>
      <c r="K104" s="66" t="str">
        <f>ifna(VLOOKUP($H104,Quest_Tracker!$A$2:$I$900,9,FALSE))</f>
        <v/>
      </c>
      <c r="L104" s="66" t="str">
        <f>ifna(VLOOKUP($H104,Quest_Tracker!$A$2:$I$900,3,FALSE))</f>
        <v/>
      </c>
      <c r="M104" s="67" t="str">
        <f>ifna(VLOOKUP($H104,Quest_Tracker!$A$2:$I$900,4,FALSE))</f>
        <v/>
      </c>
    </row>
    <row r="105">
      <c r="B105" s="69"/>
      <c r="C105" s="49" t="b">
        <v>0</v>
      </c>
      <c r="D105" s="61"/>
      <c r="E105" s="62"/>
      <c r="F105" s="63"/>
      <c r="H105" s="64"/>
      <c r="I105" s="2"/>
      <c r="J105" s="41" t="str">
        <f>ifna(HYPERLINK("#gid=1523906944&amp;range="&amp;REPLACE(REPLACE(Address(CELL("row",VLOOKUP($H105,Quest_Tracker!$A$2:$B$900,2,FALSE)),CELL("col",VLOOKUP($H105,Quest_Tracker!$A$2:$B$900,2,FALSE))),1,1,""),2,1,""),VLOOKUP($H105,Quest_Tracker!$A$2:$B$900,2,FALSE)))</f>
        <v/>
      </c>
      <c r="K105" s="66" t="str">
        <f>ifna(VLOOKUP($H105,Quest_Tracker!$A$2:$I$900,9,FALSE))</f>
        <v/>
      </c>
      <c r="L105" s="66" t="str">
        <f>ifna(VLOOKUP($H105,Quest_Tracker!$A$2:$I$900,3,FALSE))</f>
        <v/>
      </c>
      <c r="M105" s="67" t="str">
        <f>ifna(VLOOKUP($H105,Quest_Tracker!$A$2:$I$900,4,FALSE))</f>
        <v/>
      </c>
    </row>
    <row r="106">
      <c r="B106" s="69"/>
      <c r="C106" s="49" t="b">
        <v>0</v>
      </c>
      <c r="D106" s="61"/>
      <c r="E106" s="62"/>
      <c r="F106" s="63"/>
      <c r="H106" s="64"/>
      <c r="I106" s="2"/>
      <c r="J106" s="41" t="str">
        <f>ifna(HYPERLINK("#gid=1523906944&amp;range="&amp;REPLACE(REPLACE(Address(CELL("row",VLOOKUP($H106,Quest_Tracker!$A$2:$B$900,2,FALSE)),CELL("col",VLOOKUP($H106,Quest_Tracker!$A$2:$B$900,2,FALSE))),1,1,""),2,1,""),VLOOKUP($H106,Quest_Tracker!$A$2:$B$900,2,FALSE)))</f>
        <v/>
      </c>
      <c r="K106" s="66" t="str">
        <f>ifna(VLOOKUP($H106,Quest_Tracker!$A$2:$I$900,9,FALSE))</f>
        <v/>
      </c>
      <c r="L106" s="66" t="str">
        <f>ifna(VLOOKUP($H106,Quest_Tracker!$A$2:$I$900,3,FALSE))</f>
        <v/>
      </c>
      <c r="M106" s="67" t="str">
        <f>ifna(VLOOKUP($H106,Quest_Tracker!$A$2:$I$900,4,FALSE))</f>
        <v/>
      </c>
    </row>
    <row r="107">
      <c r="B107" s="69"/>
      <c r="C107" s="49" t="b">
        <v>0</v>
      </c>
      <c r="D107" s="61"/>
      <c r="E107" s="62"/>
      <c r="F107" s="63"/>
      <c r="H107" s="64"/>
      <c r="I107" s="2"/>
      <c r="J107" s="41" t="str">
        <f>ifna(HYPERLINK("#gid=1523906944&amp;range="&amp;REPLACE(REPLACE(Address(CELL("row",VLOOKUP($H107,Quest_Tracker!$A$2:$B$900,2,FALSE)),CELL("col",VLOOKUP($H107,Quest_Tracker!$A$2:$B$900,2,FALSE))),1,1,""),2,1,""),VLOOKUP($H107,Quest_Tracker!$A$2:$B$900,2,FALSE)))</f>
        <v/>
      </c>
      <c r="K107" s="66" t="str">
        <f>ifna(VLOOKUP($H107,Quest_Tracker!$A$2:$I$900,9,FALSE))</f>
        <v/>
      </c>
      <c r="L107" s="66" t="str">
        <f>ifna(VLOOKUP($H107,Quest_Tracker!$A$2:$I$900,3,FALSE))</f>
        <v/>
      </c>
      <c r="M107" s="67" t="str">
        <f>ifna(VLOOKUP($H107,Quest_Tracker!$A$2:$I$900,4,FALSE))</f>
        <v/>
      </c>
    </row>
    <row r="108">
      <c r="B108" s="69"/>
      <c r="C108" s="49" t="b">
        <v>0</v>
      </c>
      <c r="D108" s="61"/>
      <c r="E108" s="62"/>
      <c r="F108" s="63"/>
      <c r="H108" s="64"/>
      <c r="I108" s="2"/>
      <c r="J108" s="41" t="str">
        <f>ifna(HYPERLINK("#gid=1523906944&amp;range="&amp;REPLACE(REPLACE(Address(CELL("row",VLOOKUP($H108,Quest_Tracker!$A$2:$B$900,2,FALSE)),CELL("col",VLOOKUP($H108,Quest_Tracker!$A$2:$B$900,2,FALSE))),1,1,""),2,1,""),VLOOKUP($H108,Quest_Tracker!$A$2:$B$900,2,FALSE)))</f>
        <v/>
      </c>
      <c r="K108" s="66" t="str">
        <f>ifna(VLOOKUP($H108,Quest_Tracker!$A$2:$I$900,9,FALSE))</f>
        <v/>
      </c>
      <c r="L108" s="66" t="str">
        <f>ifna(VLOOKUP($H108,Quest_Tracker!$A$2:$I$900,3,FALSE))</f>
        <v/>
      </c>
      <c r="M108" s="67" t="str">
        <f>ifna(VLOOKUP($H108,Quest_Tracker!$A$2:$I$900,4,FALSE))</f>
        <v/>
      </c>
    </row>
    <row r="109">
      <c r="B109" s="69"/>
      <c r="C109" s="49" t="b">
        <v>0</v>
      </c>
      <c r="D109" s="61"/>
      <c r="E109" s="62"/>
      <c r="F109" s="63"/>
      <c r="H109" s="64"/>
      <c r="I109" s="2"/>
      <c r="J109" s="41" t="str">
        <f>ifna(HYPERLINK("#gid=1523906944&amp;range="&amp;REPLACE(REPLACE(Address(CELL("row",VLOOKUP($H109,Quest_Tracker!$A$2:$B$900,2,FALSE)),CELL("col",VLOOKUP($H109,Quest_Tracker!$A$2:$B$900,2,FALSE))),1,1,""),2,1,""),VLOOKUP($H109,Quest_Tracker!$A$2:$B$900,2,FALSE)))</f>
        <v/>
      </c>
      <c r="K109" s="66" t="str">
        <f>ifna(VLOOKUP($H109,Quest_Tracker!$A$2:$I$900,9,FALSE))</f>
        <v/>
      </c>
      <c r="L109" s="66" t="str">
        <f>ifna(VLOOKUP($H109,Quest_Tracker!$A$2:$I$900,3,FALSE))</f>
        <v/>
      </c>
      <c r="M109" s="67" t="str">
        <f>ifna(VLOOKUP($H109,Quest_Tracker!$A$2:$I$900,4,FALSE))</f>
        <v/>
      </c>
    </row>
    <row r="110">
      <c r="B110" s="69"/>
      <c r="C110" s="49" t="b">
        <v>0</v>
      </c>
      <c r="D110" s="61"/>
      <c r="E110" s="62"/>
      <c r="F110" s="63"/>
      <c r="H110" s="64"/>
      <c r="I110" s="2"/>
      <c r="J110" s="41" t="str">
        <f>ifna(HYPERLINK("#gid=1523906944&amp;range="&amp;REPLACE(REPLACE(Address(CELL("row",VLOOKUP($H110,Quest_Tracker!$A$2:$B$900,2,FALSE)),CELL("col",VLOOKUP($H110,Quest_Tracker!$A$2:$B$900,2,FALSE))),1,1,""),2,1,""),VLOOKUP($H110,Quest_Tracker!$A$2:$B$900,2,FALSE)))</f>
        <v/>
      </c>
      <c r="K110" s="66" t="str">
        <f>ifna(VLOOKUP($H110,Quest_Tracker!$A$2:$I$900,9,FALSE))</f>
        <v/>
      </c>
      <c r="L110" s="66" t="str">
        <f>ifna(VLOOKUP($H110,Quest_Tracker!$A$2:$I$900,3,FALSE))</f>
        <v/>
      </c>
      <c r="M110" s="67" t="str">
        <f>ifna(VLOOKUP($H110,Quest_Tracker!$A$2:$I$900,4,FALSE))</f>
        <v/>
      </c>
    </row>
    <row r="111">
      <c r="B111" s="69"/>
      <c r="C111" s="49" t="b">
        <v>0</v>
      </c>
      <c r="D111" s="61"/>
      <c r="E111" s="62"/>
      <c r="F111" s="63"/>
      <c r="H111" s="64"/>
      <c r="I111" s="2"/>
      <c r="J111" s="41" t="str">
        <f>ifna(HYPERLINK("#gid=1523906944&amp;range="&amp;REPLACE(REPLACE(Address(CELL("row",VLOOKUP($H111,Quest_Tracker!$A$2:$B$900,2,FALSE)),CELL("col",VLOOKUP($H111,Quest_Tracker!$A$2:$B$900,2,FALSE))),1,1,""),2,1,""),VLOOKUP($H111,Quest_Tracker!$A$2:$B$900,2,FALSE)))</f>
        <v/>
      </c>
      <c r="K111" s="66" t="str">
        <f>ifna(VLOOKUP($H111,Quest_Tracker!$A$2:$I$900,9,FALSE))</f>
        <v/>
      </c>
      <c r="L111" s="66" t="str">
        <f>ifna(VLOOKUP($H111,Quest_Tracker!$A$2:$I$900,3,FALSE))</f>
        <v/>
      </c>
      <c r="M111" s="67" t="str">
        <f>ifna(VLOOKUP($H111,Quest_Tracker!$A$2:$I$900,4,FALSE))</f>
        <v/>
      </c>
    </row>
    <row r="112">
      <c r="B112" s="69"/>
      <c r="C112" s="49" t="b">
        <v>0</v>
      </c>
      <c r="D112" s="61"/>
      <c r="E112" s="62"/>
      <c r="F112" s="63"/>
      <c r="H112" s="64"/>
      <c r="I112" s="2"/>
      <c r="J112" s="41" t="str">
        <f>ifna(HYPERLINK("#gid=1523906944&amp;range="&amp;REPLACE(REPLACE(Address(CELL("row",VLOOKUP($H112,Quest_Tracker!$A$2:$B$900,2,FALSE)),CELL("col",VLOOKUP($H112,Quest_Tracker!$A$2:$B$900,2,FALSE))),1,1,""),2,1,""),VLOOKUP($H112,Quest_Tracker!$A$2:$B$900,2,FALSE)))</f>
        <v/>
      </c>
      <c r="K112" s="66" t="str">
        <f>ifna(VLOOKUP($H112,Quest_Tracker!$A$2:$I$900,9,FALSE))</f>
        <v/>
      </c>
      <c r="L112" s="66" t="str">
        <f>ifna(VLOOKUP($H112,Quest_Tracker!$A$2:$I$900,3,FALSE))</f>
        <v/>
      </c>
      <c r="M112" s="67" t="str">
        <f>ifna(VLOOKUP($H112,Quest_Tracker!$A$2:$I$900,4,FALSE))</f>
        <v/>
      </c>
    </row>
    <row r="113">
      <c r="B113" s="69"/>
      <c r="C113" s="49" t="b">
        <v>0</v>
      </c>
      <c r="D113" s="61"/>
      <c r="E113" s="62"/>
      <c r="F113" s="63"/>
      <c r="H113" s="64"/>
      <c r="I113" s="2"/>
      <c r="J113" s="41" t="str">
        <f>ifna(HYPERLINK("#gid=1523906944&amp;range="&amp;REPLACE(REPLACE(Address(CELL("row",VLOOKUP($H113,Quest_Tracker!$A$2:$B$900,2,FALSE)),CELL("col",VLOOKUP($H113,Quest_Tracker!$A$2:$B$900,2,FALSE))),1,1,""),2,1,""),VLOOKUP($H113,Quest_Tracker!$A$2:$B$900,2,FALSE)))</f>
        <v/>
      </c>
      <c r="K113" s="66" t="str">
        <f>ifna(VLOOKUP($H113,Quest_Tracker!$A$2:$I$900,9,FALSE))</f>
        <v/>
      </c>
      <c r="L113" s="66" t="str">
        <f>ifna(VLOOKUP($H113,Quest_Tracker!$A$2:$I$900,3,FALSE))</f>
        <v/>
      </c>
      <c r="M113" s="67" t="str">
        <f>ifna(VLOOKUP($H113,Quest_Tracker!$A$2:$I$900,4,FALSE))</f>
        <v/>
      </c>
    </row>
    <row r="114">
      <c r="B114" s="69"/>
      <c r="C114" s="49" t="b">
        <v>0</v>
      </c>
      <c r="D114" s="61"/>
      <c r="E114" s="62"/>
      <c r="F114" s="63"/>
      <c r="H114" s="64"/>
      <c r="I114" s="2"/>
      <c r="J114" s="41" t="str">
        <f>ifna(HYPERLINK("#gid=1523906944&amp;range="&amp;REPLACE(REPLACE(Address(CELL("row",VLOOKUP($H114,Quest_Tracker!$A$2:$B$900,2,FALSE)),CELL("col",VLOOKUP($H114,Quest_Tracker!$A$2:$B$900,2,FALSE))),1,1,""),2,1,""),VLOOKUP($H114,Quest_Tracker!$A$2:$B$900,2,FALSE)))</f>
        <v/>
      </c>
      <c r="K114" s="66" t="str">
        <f>ifna(VLOOKUP($H114,Quest_Tracker!$A$2:$I$900,9,FALSE))</f>
        <v/>
      </c>
      <c r="L114" s="66" t="str">
        <f>ifna(VLOOKUP($H114,Quest_Tracker!$A$2:$I$900,3,FALSE))</f>
        <v/>
      </c>
      <c r="M114" s="67" t="str">
        <f>ifna(VLOOKUP($H114,Quest_Tracker!$A$2:$I$900,4,FALSE))</f>
        <v/>
      </c>
    </row>
    <row r="115">
      <c r="B115" s="69"/>
      <c r="C115" s="49" t="b">
        <v>0</v>
      </c>
      <c r="D115" s="61"/>
      <c r="E115" s="62"/>
      <c r="F115" s="63"/>
      <c r="H115" s="64"/>
      <c r="I115" s="2"/>
      <c r="J115" s="41" t="str">
        <f>ifna(HYPERLINK("#gid=1523906944&amp;range="&amp;REPLACE(REPLACE(Address(CELL("row",VLOOKUP($H115,Quest_Tracker!$A$2:$B$900,2,FALSE)),CELL("col",VLOOKUP($H115,Quest_Tracker!$A$2:$B$900,2,FALSE))),1,1,""),2,1,""),VLOOKUP($H115,Quest_Tracker!$A$2:$B$900,2,FALSE)))</f>
        <v/>
      </c>
      <c r="K115" s="66" t="str">
        <f>ifna(VLOOKUP($H115,Quest_Tracker!$A$2:$I$900,9,FALSE))</f>
        <v/>
      </c>
      <c r="L115" s="66" t="str">
        <f>ifna(VLOOKUP($H115,Quest_Tracker!$A$2:$I$900,3,FALSE))</f>
        <v/>
      </c>
      <c r="M115" s="67" t="str">
        <f>ifna(VLOOKUP($H115,Quest_Tracker!$A$2:$I$900,4,FALSE))</f>
        <v/>
      </c>
    </row>
    <row r="116">
      <c r="B116" s="69"/>
      <c r="C116" s="49" t="b">
        <v>0</v>
      </c>
      <c r="D116" s="61"/>
      <c r="E116" s="62"/>
      <c r="F116" s="63"/>
      <c r="H116" s="64"/>
      <c r="I116" s="2"/>
      <c r="J116" s="41" t="str">
        <f>ifna(HYPERLINK("#gid=1523906944&amp;range="&amp;REPLACE(REPLACE(Address(CELL("row",VLOOKUP($H116,Quest_Tracker!$A$2:$B$900,2,FALSE)),CELL("col",VLOOKUP($H116,Quest_Tracker!$A$2:$B$900,2,FALSE))),1,1,""),2,1,""),VLOOKUP($H116,Quest_Tracker!$A$2:$B$900,2,FALSE)))</f>
        <v/>
      </c>
      <c r="K116" s="66" t="str">
        <f>ifna(VLOOKUP($H116,Quest_Tracker!$A$2:$I$900,9,FALSE))</f>
        <v/>
      </c>
      <c r="L116" s="66" t="str">
        <f>ifna(VLOOKUP($H116,Quest_Tracker!$A$2:$I$900,3,FALSE))</f>
        <v/>
      </c>
      <c r="M116" s="67" t="str">
        <f>ifna(VLOOKUP($H116,Quest_Tracker!$A$2:$I$900,4,FALSE))</f>
        <v/>
      </c>
    </row>
    <row r="117">
      <c r="B117" s="69"/>
      <c r="C117" s="49" t="b">
        <v>0</v>
      </c>
      <c r="D117" s="61"/>
      <c r="E117" s="62"/>
      <c r="F117" s="63"/>
      <c r="H117" s="64"/>
      <c r="I117" s="2"/>
      <c r="J117" s="41" t="str">
        <f>ifna(HYPERLINK("#gid=1523906944&amp;range="&amp;REPLACE(REPLACE(Address(CELL("row",VLOOKUP($H117,Quest_Tracker!$A$2:$B$900,2,FALSE)),CELL("col",VLOOKUP($H117,Quest_Tracker!$A$2:$B$900,2,FALSE))),1,1,""),2,1,""),VLOOKUP($H117,Quest_Tracker!$A$2:$B$900,2,FALSE)))</f>
        <v/>
      </c>
      <c r="K117" s="66" t="str">
        <f>ifna(VLOOKUP($H117,Quest_Tracker!$A$2:$I$900,9,FALSE))</f>
        <v/>
      </c>
      <c r="L117" s="66" t="str">
        <f>ifna(VLOOKUP($H117,Quest_Tracker!$A$2:$I$900,3,FALSE))</f>
        <v/>
      </c>
      <c r="M117" s="67" t="str">
        <f>ifna(VLOOKUP($H117,Quest_Tracker!$A$2:$I$900,4,FALSE))</f>
        <v/>
      </c>
    </row>
    <row r="118">
      <c r="B118" s="69"/>
      <c r="C118" s="49" t="b">
        <v>0</v>
      </c>
      <c r="D118" s="61"/>
      <c r="E118" s="62"/>
      <c r="F118" s="63"/>
      <c r="H118" s="64"/>
      <c r="I118" s="2"/>
      <c r="J118" s="41" t="str">
        <f>ifna(HYPERLINK("#gid=1523906944&amp;range="&amp;REPLACE(REPLACE(Address(CELL("row",VLOOKUP($H118,Quest_Tracker!$A$2:$B$900,2,FALSE)),CELL("col",VLOOKUP($H118,Quest_Tracker!$A$2:$B$900,2,FALSE))),1,1,""),2,1,""),VLOOKUP($H118,Quest_Tracker!$A$2:$B$900,2,FALSE)))</f>
        <v/>
      </c>
      <c r="K118" s="66" t="str">
        <f>ifna(VLOOKUP($H118,Quest_Tracker!$A$2:$I$900,9,FALSE))</f>
        <v/>
      </c>
      <c r="L118" s="66" t="str">
        <f>ifna(VLOOKUP($H118,Quest_Tracker!$A$2:$I$900,3,FALSE))</f>
        <v/>
      </c>
      <c r="M118" s="67" t="str">
        <f>ifna(VLOOKUP($H118,Quest_Tracker!$A$2:$I$900,4,FALSE))</f>
        <v/>
      </c>
    </row>
    <row r="119">
      <c r="B119" s="69"/>
      <c r="C119" s="49" t="b">
        <v>0</v>
      </c>
      <c r="D119" s="61"/>
      <c r="E119" s="62"/>
      <c r="F119" s="63"/>
      <c r="H119" s="64"/>
      <c r="I119" s="2"/>
      <c r="J119" s="41" t="str">
        <f>ifna(HYPERLINK("#gid=1523906944&amp;range="&amp;REPLACE(REPLACE(Address(CELL("row",VLOOKUP($H119,Quest_Tracker!$A$2:$B$900,2,FALSE)),CELL("col",VLOOKUP($H119,Quest_Tracker!$A$2:$B$900,2,FALSE))),1,1,""),2,1,""),VLOOKUP($H119,Quest_Tracker!$A$2:$B$900,2,FALSE)))</f>
        <v/>
      </c>
      <c r="K119" s="66" t="str">
        <f>ifna(VLOOKUP($H119,Quest_Tracker!$A$2:$I$900,9,FALSE))</f>
        <v/>
      </c>
      <c r="L119" s="66" t="str">
        <f>ifna(VLOOKUP($H119,Quest_Tracker!$A$2:$I$900,3,FALSE))</f>
        <v/>
      </c>
      <c r="M119" s="67" t="str">
        <f>ifna(VLOOKUP($H119,Quest_Tracker!$A$2:$I$900,4,FALSE))</f>
        <v/>
      </c>
    </row>
    <row r="120">
      <c r="B120" s="69"/>
      <c r="C120" s="49" t="b">
        <v>0</v>
      </c>
      <c r="D120" s="61"/>
      <c r="E120" s="62"/>
      <c r="F120" s="63"/>
      <c r="H120" s="64"/>
      <c r="I120" s="2"/>
      <c r="J120" s="41" t="str">
        <f>ifna(HYPERLINK("#gid=1523906944&amp;range="&amp;REPLACE(REPLACE(Address(CELL("row",VLOOKUP($H120,Quest_Tracker!$A$2:$B$900,2,FALSE)),CELL("col",VLOOKUP($H120,Quest_Tracker!$A$2:$B$900,2,FALSE))),1,1,""),2,1,""),VLOOKUP($H120,Quest_Tracker!$A$2:$B$900,2,FALSE)))</f>
        <v/>
      </c>
      <c r="K120" s="66" t="str">
        <f>ifna(VLOOKUP($H120,Quest_Tracker!$A$2:$I$900,9,FALSE))</f>
        <v/>
      </c>
      <c r="L120" s="66" t="str">
        <f>ifna(VLOOKUP($H120,Quest_Tracker!$A$2:$I$900,3,FALSE))</f>
        <v/>
      </c>
      <c r="M120" s="67" t="str">
        <f>ifna(VLOOKUP($H120,Quest_Tracker!$A$2:$I$900,4,FALSE))</f>
        <v/>
      </c>
    </row>
    <row r="121">
      <c r="B121" s="69"/>
      <c r="C121" s="49" t="b">
        <v>0</v>
      </c>
      <c r="D121" s="61"/>
      <c r="E121" s="62"/>
      <c r="F121" s="63"/>
      <c r="H121" s="64"/>
      <c r="I121" s="2"/>
      <c r="J121" s="41" t="str">
        <f>ifna(HYPERLINK("#gid=1523906944&amp;range="&amp;REPLACE(REPLACE(Address(CELL("row",VLOOKUP($H121,Quest_Tracker!$A$2:$B$900,2,FALSE)),CELL("col",VLOOKUP($H121,Quest_Tracker!$A$2:$B$900,2,FALSE))),1,1,""),2,1,""),VLOOKUP($H121,Quest_Tracker!$A$2:$B$900,2,FALSE)))</f>
        <v/>
      </c>
      <c r="K121" s="66" t="str">
        <f>ifna(VLOOKUP($H121,Quest_Tracker!$A$2:$I$900,9,FALSE))</f>
        <v/>
      </c>
      <c r="L121" s="66" t="str">
        <f>ifna(VLOOKUP($H121,Quest_Tracker!$A$2:$I$900,3,FALSE))</f>
        <v/>
      </c>
      <c r="M121" s="67" t="str">
        <f>ifna(VLOOKUP($H121,Quest_Tracker!$A$2:$I$900,4,FALSE))</f>
        <v/>
      </c>
    </row>
    <row r="122">
      <c r="B122" s="69"/>
      <c r="C122" s="49" t="b">
        <v>0</v>
      </c>
      <c r="D122" s="61"/>
      <c r="E122" s="62"/>
      <c r="F122" s="63"/>
      <c r="H122" s="64"/>
      <c r="I122" s="2"/>
      <c r="J122" s="41" t="str">
        <f>ifna(HYPERLINK("#gid=1523906944&amp;range="&amp;REPLACE(REPLACE(Address(CELL("row",VLOOKUP($H122,Quest_Tracker!$A$2:$B$900,2,FALSE)),CELL("col",VLOOKUP($H122,Quest_Tracker!$A$2:$B$900,2,FALSE))),1,1,""),2,1,""),VLOOKUP($H122,Quest_Tracker!$A$2:$B$900,2,FALSE)))</f>
        <v/>
      </c>
      <c r="K122" s="66" t="str">
        <f>ifna(VLOOKUP($H122,Quest_Tracker!$A$2:$I$900,9,FALSE))</f>
        <v/>
      </c>
      <c r="L122" s="66" t="str">
        <f>ifna(VLOOKUP($H122,Quest_Tracker!$A$2:$I$900,3,FALSE))</f>
        <v/>
      </c>
      <c r="M122" s="67" t="str">
        <f>ifna(VLOOKUP($H122,Quest_Tracker!$A$2:$I$900,4,FALSE))</f>
        <v/>
      </c>
    </row>
    <row r="123">
      <c r="B123" s="69"/>
      <c r="C123" s="49" t="b">
        <v>0</v>
      </c>
      <c r="D123" s="61"/>
      <c r="E123" s="62"/>
      <c r="F123" s="63"/>
      <c r="H123" s="64"/>
      <c r="I123" s="2"/>
      <c r="J123" s="41" t="str">
        <f>ifna(HYPERLINK("#gid=1523906944&amp;range="&amp;REPLACE(REPLACE(Address(CELL("row",VLOOKUP($H123,Quest_Tracker!$A$2:$B$900,2,FALSE)),CELL("col",VLOOKUP($H123,Quest_Tracker!$A$2:$B$900,2,FALSE))),1,1,""),2,1,""),VLOOKUP($H123,Quest_Tracker!$A$2:$B$900,2,FALSE)))</f>
        <v/>
      </c>
      <c r="K123" s="66" t="str">
        <f>ifna(VLOOKUP($H123,Quest_Tracker!$A$2:$I$900,9,FALSE))</f>
        <v/>
      </c>
      <c r="L123" s="66" t="str">
        <f>ifna(VLOOKUP($H123,Quest_Tracker!$A$2:$I$900,3,FALSE))</f>
        <v/>
      </c>
      <c r="M123" s="67" t="str">
        <f>ifna(VLOOKUP($H123,Quest_Tracker!$A$2:$I$900,4,FALSE))</f>
        <v/>
      </c>
    </row>
    <row r="124">
      <c r="B124" s="69"/>
      <c r="C124" s="49" t="b">
        <v>0</v>
      </c>
      <c r="D124" s="61"/>
      <c r="E124" s="62"/>
      <c r="F124" s="63"/>
      <c r="H124" s="64"/>
      <c r="I124" s="2"/>
      <c r="J124" s="41" t="str">
        <f>ifna(HYPERLINK("#gid=1523906944&amp;range="&amp;REPLACE(REPLACE(Address(CELL("row",VLOOKUP($H124,Quest_Tracker!$A$2:$B$900,2,FALSE)),CELL("col",VLOOKUP($H124,Quest_Tracker!$A$2:$B$900,2,FALSE))),1,1,""),2,1,""),VLOOKUP($H124,Quest_Tracker!$A$2:$B$900,2,FALSE)))</f>
        <v/>
      </c>
      <c r="K124" s="66" t="str">
        <f>ifna(VLOOKUP($H124,Quest_Tracker!$A$2:$I$900,9,FALSE))</f>
        <v/>
      </c>
      <c r="L124" s="66" t="str">
        <f>ifna(VLOOKUP($H124,Quest_Tracker!$A$2:$I$900,3,FALSE))</f>
        <v/>
      </c>
      <c r="M124" s="67" t="str">
        <f>ifna(VLOOKUP($H124,Quest_Tracker!$A$2:$I$900,4,FALSE))</f>
        <v/>
      </c>
    </row>
    <row r="125">
      <c r="B125" s="69"/>
      <c r="C125" s="49" t="b">
        <v>0</v>
      </c>
      <c r="D125" s="61"/>
      <c r="E125" s="62"/>
      <c r="F125" s="63"/>
      <c r="H125" s="64"/>
      <c r="I125" s="2"/>
      <c r="J125" s="41" t="str">
        <f>ifna(HYPERLINK("#gid=1523906944&amp;range="&amp;REPLACE(REPLACE(Address(CELL("row",VLOOKUP($H125,Quest_Tracker!$A$2:$B$900,2,FALSE)),CELL("col",VLOOKUP($H125,Quest_Tracker!$A$2:$B$900,2,FALSE))),1,1,""),2,1,""),VLOOKUP($H125,Quest_Tracker!$A$2:$B$900,2,FALSE)))</f>
        <v/>
      </c>
      <c r="K125" s="66" t="str">
        <f>ifna(VLOOKUP($H125,Quest_Tracker!$A$2:$I$900,9,FALSE))</f>
        <v/>
      </c>
      <c r="L125" s="66" t="str">
        <f>ifna(VLOOKUP($H125,Quest_Tracker!$A$2:$I$900,3,FALSE))</f>
        <v/>
      </c>
      <c r="M125" s="67" t="str">
        <f>ifna(VLOOKUP($H125,Quest_Tracker!$A$2:$I$900,4,FALSE))</f>
        <v/>
      </c>
    </row>
    <row r="126">
      <c r="B126" s="69"/>
      <c r="C126" s="49" t="b">
        <v>0</v>
      </c>
      <c r="D126" s="61"/>
      <c r="E126" s="62"/>
      <c r="F126" s="63"/>
      <c r="H126" s="64"/>
      <c r="I126" s="2"/>
      <c r="J126" s="41" t="str">
        <f>ifna(HYPERLINK("#gid=1523906944&amp;range="&amp;REPLACE(REPLACE(Address(CELL("row",VLOOKUP($H126,Quest_Tracker!$A$2:$B$900,2,FALSE)),CELL("col",VLOOKUP($H126,Quest_Tracker!$A$2:$B$900,2,FALSE))),1,1,""),2,1,""),VLOOKUP($H126,Quest_Tracker!$A$2:$B$900,2,FALSE)))</f>
        <v/>
      </c>
      <c r="K126" s="66" t="str">
        <f>ifna(VLOOKUP($H126,Quest_Tracker!$A$2:$I$900,9,FALSE))</f>
        <v/>
      </c>
      <c r="L126" s="66" t="str">
        <f>ifna(VLOOKUP($H126,Quest_Tracker!$A$2:$I$900,3,FALSE))</f>
        <v/>
      </c>
      <c r="M126" s="67" t="str">
        <f>ifna(VLOOKUP($H126,Quest_Tracker!$A$2:$I$900,4,FALSE))</f>
        <v/>
      </c>
    </row>
    <row r="127">
      <c r="B127" s="69"/>
      <c r="C127" s="49" t="b">
        <v>0</v>
      </c>
      <c r="D127" s="61"/>
      <c r="E127" s="62"/>
      <c r="F127" s="63"/>
      <c r="H127" s="64"/>
      <c r="I127" s="2"/>
      <c r="J127" s="41" t="str">
        <f>ifna(HYPERLINK("#gid=1523906944&amp;range="&amp;REPLACE(REPLACE(Address(CELL("row",VLOOKUP($H127,Quest_Tracker!$A$2:$B$900,2,FALSE)),CELL("col",VLOOKUP($H127,Quest_Tracker!$A$2:$B$900,2,FALSE))),1,1,""),2,1,""),VLOOKUP($H127,Quest_Tracker!$A$2:$B$900,2,FALSE)))</f>
        <v/>
      </c>
      <c r="K127" s="66" t="str">
        <f>ifna(VLOOKUP($H127,Quest_Tracker!$A$2:$I$900,9,FALSE))</f>
        <v/>
      </c>
      <c r="L127" s="66" t="str">
        <f>ifna(VLOOKUP($H127,Quest_Tracker!$A$2:$I$900,3,FALSE))</f>
        <v/>
      </c>
      <c r="M127" s="67" t="str">
        <f>ifna(VLOOKUP($H127,Quest_Tracker!$A$2:$I$900,4,FALSE))</f>
        <v/>
      </c>
    </row>
    <row r="128">
      <c r="B128" s="69"/>
      <c r="C128" s="49" t="b">
        <v>0</v>
      </c>
      <c r="D128" s="61"/>
      <c r="E128" s="62"/>
      <c r="F128" s="63"/>
      <c r="H128" s="64"/>
      <c r="I128" s="2"/>
      <c r="J128" s="41" t="str">
        <f>ifna(HYPERLINK("#gid=1523906944&amp;range="&amp;REPLACE(REPLACE(Address(CELL("row",VLOOKUP($H128,Quest_Tracker!$A$2:$B$900,2,FALSE)),CELL("col",VLOOKUP($H128,Quest_Tracker!$A$2:$B$900,2,FALSE))),1,1,""),2,1,""),VLOOKUP($H128,Quest_Tracker!$A$2:$B$900,2,FALSE)))</f>
        <v/>
      </c>
      <c r="K128" s="66" t="str">
        <f>ifna(VLOOKUP($H128,Quest_Tracker!$A$2:$I$900,9,FALSE))</f>
        <v/>
      </c>
      <c r="L128" s="66" t="str">
        <f>ifna(VLOOKUP($H128,Quest_Tracker!$A$2:$I$900,3,FALSE))</f>
        <v/>
      </c>
      <c r="M128" s="67" t="str">
        <f>ifna(VLOOKUP($H128,Quest_Tracker!$A$2:$I$900,4,FALSE))</f>
        <v/>
      </c>
    </row>
    <row r="129">
      <c r="B129" s="69"/>
      <c r="C129" s="49" t="b">
        <v>0</v>
      </c>
      <c r="D129" s="61"/>
      <c r="E129" s="62"/>
      <c r="F129" s="63"/>
      <c r="H129" s="64"/>
      <c r="I129" s="2"/>
      <c r="J129" s="41" t="str">
        <f>ifna(HYPERLINK("#gid=1523906944&amp;range="&amp;REPLACE(REPLACE(Address(CELL("row",VLOOKUP($H129,Quest_Tracker!$A$2:$B$900,2,FALSE)),CELL("col",VLOOKUP($H129,Quest_Tracker!$A$2:$B$900,2,FALSE))),1,1,""),2,1,""),VLOOKUP($H129,Quest_Tracker!$A$2:$B$900,2,FALSE)))</f>
        <v/>
      </c>
      <c r="K129" s="66" t="str">
        <f>ifna(VLOOKUP($H129,Quest_Tracker!$A$2:$I$900,9,FALSE))</f>
        <v/>
      </c>
      <c r="L129" s="66" t="str">
        <f>ifna(VLOOKUP($H129,Quest_Tracker!$A$2:$I$900,3,FALSE))</f>
        <v/>
      </c>
      <c r="M129" s="67" t="str">
        <f>ifna(VLOOKUP($H129,Quest_Tracker!$A$2:$I$900,4,FALSE))</f>
        <v/>
      </c>
    </row>
    <row r="130">
      <c r="B130" s="69"/>
      <c r="C130" s="49" t="b">
        <v>0</v>
      </c>
      <c r="D130" s="61"/>
      <c r="E130" s="62"/>
      <c r="F130" s="63"/>
      <c r="H130" s="64"/>
      <c r="I130" s="2"/>
      <c r="J130" s="41" t="str">
        <f>ifna(HYPERLINK("#gid=1523906944&amp;range="&amp;REPLACE(REPLACE(Address(CELL("row",VLOOKUP($H130,Quest_Tracker!$A$2:$B$900,2,FALSE)),CELL("col",VLOOKUP($H130,Quest_Tracker!$A$2:$B$900,2,FALSE))),1,1,""),2,1,""),VLOOKUP($H130,Quest_Tracker!$A$2:$B$900,2,FALSE)))</f>
        <v/>
      </c>
      <c r="K130" s="66" t="str">
        <f>ifna(VLOOKUP($H130,Quest_Tracker!$A$2:$I$900,9,FALSE))</f>
        <v/>
      </c>
      <c r="L130" s="66" t="str">
        <f>ifna(VLOOKUP($H130,Quest_Tracker!$A$2:$I$900,3,FALSE))</f>
        <v/>
      </c>
      <c r="M130" s="67" t="str">
        <f>ifna(VLOOKUP($H130,Quest_Tracker!$A$2:$I$900,4,FALSE))</f>
        <v/>
      </c>
    </row>
    <row r="131">
      <c r="B131" s="69"/>
      <c r="C131" s="49" t="b">
        <v>0</v>
      </c>
      <c r="D131" s="61"/>
      <c r="E131" s="62"/>
      <c r="F131" s="63"/>
      <c r="H131" s="64"/>
      <c r="I131" s="2"/>
      <c r="J131" s="41" t="str">
        <f>ifna(HYPERLINK("#gid=1523906944&amp;range="&amp;REPLACE(REPLACE(Address(CELL("row",VLOOKUP($H131,Quest_Tracker!$A$2:$B$900,2,FALSE)),CELL("col",VLOOKUP($H131,Quest_Tracker!$A$2:$B$900,2,FALSE))),1,1,""),2,1,""),VLOOKUP($H131,Quest_Tracker!$A$2:$B$900,2,FALSE)))</f>
        <v/>
      </c>
      <c r="K131" s="66" t="str">
        <f>ifna(VLOOKUP($H131,Quest_Tracker!$A$2:$I$900,9,FALSE))</f>
        <v/>
      </c>
      <c r="L131" s="66" t="str">
        <f>ifna(VLOOKUP($H131,Quest_Tracker!$A$2:$I$900,3,FALSE))</f>
        <v/>
      </c>
      <c r="M131" s="67" t="str">
        <f>ifna(VLOOKUP($H131,Quest_Tracker!$A$2:$I$900,4,FALSE))</f>
        <v/>
      </c>
    </row>
    <row r="132">
      <c r="B132" s="69"/>
      <c r="C132" s="49" t="b">
        <v>0</v>
      </c>
      <c r="D132" s="61"/>
      <c r="E132" s="62"/>
      <c r="F132" s="63"/>
      <c r="H132" s="64"/>
      <c r="I132" s="2"/>
      <c r="J132" s="41" t="str">
        <f>ifna(HYPERLINK("#gid=1523906944&amp;range="&amp;REPLACE(REPLACE(Address(CELL("row",VLOOKUP($H132,Quest_Tracker!$A$2:$B$900,2,FALSE)),CELL("col",VLOOKUP($H132,Quest_Tracker!$A$2:$B$900,2,FALSE))),1,1,""),2,1,""),VLOOKUP($H132,Quest_Tracker!$A$2:$B$900,2,FALSE)))</f>
        <v/>
      </c>
      <c r="K132" s="66" t="str">
        <f>ifna(VLOOKUP($H132,Quest_Tracker!$A$2:$I$900,9,FALSE))</f>
        <v/>
      </c>
      <c r="L132" s="66" t="str">
        <f>ifna(VLOOKUP($H132,Quest_Tracker!$A$2:$I$900,3,FALSE))</f>
        <v/>
      </c>
      <c r="M132" s="67" t="str">
        <f>ifna(VLOOKUP($H132,Quest_Tracker!$A$2:$I$900,4,FALSE))</f>
        <v/>
      </c>
    </row>
    <row r="133">
      <c r="B133" s="69"/>
      <c r="C133" s="49" t="b">
        <v>0</v>
      </c>
      <c r="D133" s="61"/>
      <c r="E133" s="62"/>
      <c r="F133" s="63"/>
      <c r="H133" s="64"/>
      <c r="I133" s="2"/>
      <c r="J133" s="41" t="str">
        <f>ifna(HYPERLINK("#gid=1523906944&amp;range="&amp;REPLACE(REPLACE(Address(CELL("row",VLOOKUP($H133,Quest_Tracker!$A$2:$B$900,2,FALSE)),CELL("col",VLOOKUP($H133,Quest_Tracker!$A$2:$B$900,2,FALSE))),1,1,""),2,1,""),VLOOKUP($H133,Quest_Tracker!$A$2:$B$900,2,FALSE)))</f>
        <v/>
      </c>
      <c r="K133" s="66" t="str">
        <f>ifna(VLOOKUP($H133,Quest_Tracker!$A$2:$I$900,9,FALSE))</f>
        <v/>
      </c>
      <c r="L133" s="66" t="str">
        <f>ifna(VLOOKUP($H133,Quest_Tracker!$A$2:$I$900,3,FALSE))</f>
        <v/>
      </c>
      <c r="M133" s="67" t="str">
        <f>ifna(VLOOKUP($H133,Quest_Tracker!$A$2:$I$900,4,FALSE))</f>
        <v/>
      </c>
    </row>
    <row r="134">
      <c r="B134" s="69"/>
      <c r="C134" s="49" t="b">
        <v>0</v>
      </c>
      <c r="D134" s="61"/>
      <c r="E134" s="62"/>
      <c r="F134" s="63"/>
      <c r="H134" s="64"/>
      <c r="I134" s="2"/>
      <c r="J134" s="41" t="str">
        <f>ifna(HYPERLINK("#gid=1523906944&amp;range="&amp;REPLACE(REPLACE(Address(CELL("row",VLOOKUP($H134,Quest_Tracker!$A$2:$B$900,2,FALSE)),CELL("col",VLOOKUP($H134,Quest_Tracker!$A$2:$B$900,2,FALSE))),1,1,""),2,1,""),VLOOKUP($H134,Quest_Tracker!$A$2:$B$900,2,FALSE)))</f>
        <v/>
      </c>
      <c r="K134" s="66" t="str">
        <f>ifna(VLOOKUP($H134,Quest_Tracker!$A$2:$I$900,9,FALSE))</f>
        <v/>
      </c>
      <c r="L134" s="66" t="str">
        <f>ifna(VLOOKUP($H134,Quest_Tracker!$A$2:$I$900,3,FALSE))</f>
        <v/>
      </c>
      <c r="M134" s="67" t="str">
        <f>ifna(VLOOKUP($H134,Quest_Tracker!$A$2:$I$900,4,FALSE))</f>
        <v/>
      </c>
    </row>
    <row r="135">
      <c r="B135" s="69"/>
      <c r="C135" s="49" t="b">
        <v>0</v>
      </c>
      <c r="D135" s="61"/>
      <c r="E135" s="62"/>
      <c r="F135" s="63"/>
      <c r="H135" s="64"/>
      <c r="I135" s="2"/>
      <c r="J135" s="41" t="str">
        <f>ifna(HYPERLINK("#gid=1523906944&amp;range="&amp;REPLACE(REPLACE(Address(CELL("row",VLOOKUP($H135,Quest_Tracker!$A$2:$B$900,2,FALSE)),CELL("col",VLOOKUP($H135,Quest_Tracker!$A$2:$B$900,2,FALSE))),1,1,""),2,1,""),VLOOKUP($H135,Quest_Tracker!$A$2:$B$900,2,FALSE)))</f>
        <v/>
      </c>
      <c r="K135" s="66" t="str">
        <f>ifna(VLOOKUP($H135,Quest_Tracker!$A$2:$I$900,9,FALSE))</f>
        <v/>
      </c>
      <c r="L135" s="66" t="str">
        <f>ifna(VLOOKUP($H135,Quest_Tracker!$A$2:$I$900,3,FALSE))</f>
        <v/>
      </c>
      <c r="M135" s="67" t="str">
        <f>ifna(VLOOKUP($H135,Quest_Tracker!$A$2:$I$900,4,FALSE))</f>
        <v/>
      </c>
    </row>
  </sheetData>
  <mergeCells count="89">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9:I129"/>
    <mergeCell ref="H130:I130"/>
    <mergeCell ref="H131:I131"/>
    <mergeCell ref="H132:I132"/>
    <mergeCell ref="H133:I133"/>
    <mergeCell ref="H134:I134"/>
    <mergeCell ref="H135:I135"/>
    <mergeCell ref="H122:I122"/>
    <mergeCell ref="H123:I123"/>
    <mergeCell ref="H124:I124"/>
    <mergeCell ref="H125:I125"/>
    <mergeCell ref="H126:I126"/>
    <mergeCell ref="H127:I127"/>
    <mergeCell ref="H128:I128"/>
    <mergeCell ref="B10:C10"/>
    <mergeCell ref="D10:E10"/>
    <mergeCell ref="L10:M10"/>
    <mergeCell ref="B5:C5"/>
    <mergeCell ref="D5:E6"/>
    <mergeCell ref="B6:C6"/>
    <mergeCell ref="B7:C7"/>
    <mergeCell ref="D7:E7"/>
    <mergeCell ref="D8:E8"/>
    <mergeCell ref="C9:E9"/>
    <mergeCell ref="D16:E16"/>
    <mergeCell ref="B17:E17"/>
    <mergeCell ref="B18:E18"/>
    <mergeCell ref="B19:E19"/>
    <mergeCell ref="B20:E20"/>
    <mergeCell ref="B21:E21"/>
    <mergeCell ref="G22:H22"/>
    <mergeCell ref="D23:D31"/>
    <mergeCell ref="B33:E33"/>
    <mergeCell ref="B13:C13"/>
    <mergeCell ref="D13:E13"/>
    <mergeCell ref="B14:C14"/>
    <mergeCell ref="D14:E14"/>
    <mergeCell ref="B15:C15"/>
    <mergeCell ref="D15:E15"/>
    <mergeCell ref="B16:C16"/>
    <mergeCell ref="G23:H23"/>
    <mergeCell ref="G24:H24"/>
    <mergeCell ref="G25:H25"/>
    <mergeCell ref="H76:I76"/>
    <mergeCell ref="H77:I77"/>
    <mergeCell ref="H78:I78"/>
    <mergeCell ref="H79:I79"/>
    <mergeCell ref="H80:I80"/>
    <mergeCell ref="H81:I81"/>
    <mergeCell ref="H82:I82"/>
    <mergeCell ref="H83:I83"/>
    <mergeCell ref="H84:I84"/>
    <mergeCell ref="H85:I85"/>
    <mergeCell ref="H86:I86"/>
  </mergeCells>
  <conditionalFormatting sqref="C35:C55">
    <cfRule type="expression" dxfId="0" priority="1">
      <formula>IF(U35,True,False)</formula>
    </cfRule>
  </conditionalFormatting>
  <conditionalFormatting sqref="C35:C55">
    <cfRule type="expression" dxfId="0" priority="2">
      <formula>IF(V35,TRUE,FALSE)</formula>
    </cfRule>
  </conditionalFormatting>
  <conditionalFormatting sqref="C71">
    <cfRule type="expression" dxfId="1" priority="3">
      <formula>if(AND(C71="Private",C72&gt;=20),True,   if(AND(C71="Private First Class",C72&gt;=40),True,  if(AND(C71="Specialist",C72&gt;=60),True,  if(AND(C71="Corporal",C72&gt;=80),True,  if(AND(C71="Sergeant",C72&gt;=100),True,  if(AND(C71="Staff Sergeant",C72&gt;=120),True,  if(AND(C71="Sergeant First Class",C72&gt;=140),True,  if(AND(C71="Master Sergeant",C72&gt;=160),True,  if(AND(C71="First Sergeant",C72&gt;=180),True,  if(AND(C71="Sergeant Major",C72&gt;=200),True,  if(AND(C71="Command Sergeant",C72&gt;=220),True,  if(AND(C71="Sergeant Major of Spira",C72&gt;=240),True,  if(AND(C71="Second Lieutenant",C72&gt;=260),True,  if(AND(C71="First Lieutenant",C72&gt;=280),True,  if(AND(C71="Captain",C72&gt;=300),True,  if(AND(C71="Major",C72&gt;=320),True,  if(AND(C71="Lieutenant Colonel",C72&gt;=340),True,  if(AND(C71="Colonel",C72&gt;=360),True,  if(AND(C71="Brigadier General",C72&gt;=380),True,  if(AND(C71="Major General",C72&gt;=400),True,  if(AND(C71="Lieutenant General",C72&gt;=420),True,  if(AND(C71="General ",C72&gt;=420),True,   False))))))))))))))))))))))</formula>
    </cfRule>
  </conditionalFormatting>
  <dataValidations>
    <dataValidation type="list" allowBlank="1" sqref="C35:C55">
      <formula1>Backpack!$B$10:$B1019</formula1>
    </dataValidation>
    <dataValidation type="list" allowBlank="1" sqref="C71">
      <formula1>"Bounty Hunter,Private,Private First Class,Specialist,Corporal,Sergeant,Staff Sergeant,Sergeant First Class,Master Sergeant,First Sergeant,Sergeant Major,Command Sergeant,Sergeant Major of Spira,Second Lieutenant,First Lieutenant,Captain,Major,Lieutenant C"&amp;"olonel,Colonel,Brigadier General,Major General,Lieutenant General,General,General of Spira,Lord of Spira"</formula1>
    </dataValidation>
    <dataValidation type="decimal" operator="greaterThanOrEqual" allowBlank="1" showDropDown="1" showErrorMessage="1" sqref="M11">
      <formula1>1.0</formula1>
    </dataValidation>
    <dataValidation type="decimal" operator="greaterThanOrEqual" allowBlank="1" showDropDown="1" sqref="F11:J11">
      <formula1>0.0</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3" width="16.5"/>
    <col customWidth="1" min="4" max="4" width="16.88"/>
    <col customWidth="1" min="5" max="5" width="18.25"/>
    <col customWidth="1" min="6" max="6" width="16.0"/>
    <col customWidth="1" min="7" max="7" width="18.0"/>
    <col customWidth="1" min="8" max="8" width="18.38"/>
    <col customWidth="1" min="9" max="10" width="19.38"/>
    <col customWidth="1" min="11" max="11" width="16.5"/>
    <col hidden="1" min="14" max="27" width="12.63"/>
  </cols>
  <sheetData>
    <row r="1">
      <c r="B1" s="45" t="s">
        <v>80</v>
      </c>
      <c r="C1" s="45" t="s">
        <v>81</v>
      </c>
      <c r="D1" s="45" t="s">
        <v>82</v>
      </c>
      <c r="E1" s="45" t="s">
        <v>83</v>
      </c>
      <c r="F1" s="45" t="s">
        <v>84</v>
      </c>
      <c r="G1" s="70" t="s">
        <v>85</v>
      </c>
      <c r="H1" s="49"/>
      <c r="I1" s="45" t="s">
        <v>86</v>
      </c>
      <c r="J1" s="70" t="s">
        <v>87</v>
      </c>
      <c r="K1" s="49"/>
      <c r="P1" s="49" t="str">
        <f>VLOOKUP($K$1,Classes!$A$2:$AX993,MATCH("eleselect",Classes!$A1:$AX$1,0),FALSE)</f>
        <v>#N/A</v>
      </c>
      <c r="Q1" s="49" t="str">
        <f>IFNA(VLOOKUP($K$3,EnhancedClasses!$B$2:$AX993,MATCH("eleselect",EnhancedClasses!$B1:$AX$1,0),FALSE),"")</f>
        <v/>
      </c>
    </row>
    <row r="2">
      <c r="A2" s="70" t="s">
        <v>8</v>
      </c>
      <c r="B2" s="71">
        <v>1.0</v>
      </c>
      <c r="C2" s="72" t="str">
        <f>VLOOKUP($H$1,Races!$A$2:$AX993,MATCH($A2,Races!$A$1:$AX$1,0),FALSE)</f>
        <v>#N/A</v>
      </c>
      <c r="D2" s="49" t="str">
        <f>if((VLOOKUP($K$1,Classes!$A$2:$AN993,MATCH($A2,Classes!$A$1:$AN$1,0),FALSE)+IF($B$13&gt;199,VLOOKUP($K$3,EnhancedClasses!$B$2:$AS993,MATCH($A2,EnhancedClasses!$B$1:$AS$1,0),FALSE),""))=0,"",(VLOOKUP($K$1,Classes!$A$2:$AN993,MATCH($A2,Classes!$A$1:$AN$1,0),FALSE)+IF($I$2,IF($B$13&gt;199,VLOOKUP($K$4,EnhancedClasses!$B$2:$AS993,MATCH($A2,EnhancedClasses!$B$1:$AS$1,0),FALSE),""),IF($B$13&gt;199,VLOOKUP($K$3,EnhancedClasses!$B$2:$AS993,MATCH($A2,EnhancedClasses!$B$1:$AS$1,0),FALSE),""))))</f>
        <v>#N/A</v>
      </c>
      <c r="E2" s="49" t="b">
        <f>OR(ISNUMBER(SEARCH("Human",$H$1)),IF($F$2,ISNUMBER(SEARCH("Human",$H$2)),FALSE))</f>
        <v>0</v>
      </c>
      <c r="F2" s="19" t="b">
        <v>0</v>
      </c>
      <c r="G2" s="70" t="s">
        <v>88</v>
      </c>
      <c r="H2" s="49"/>
      <c r="I2" s="19" t="b">
        <v>0</v>
      </c>
      <c r="J2" s="70" t="s">
        <v>89</v>
      </c>
      <c r="K2" s="19"/>
      <c r="S2" s="73" t="s">
        <v>90</v>
      </c>
      <c r="T2" s="72"/>
      <c r="U2" s="44"/>
      <c r="V2" s="72"/>
      <c r="W2" s="44" t="str">
        <f>IFERROR(__xludf.DUMMYFUNCTION("QUERY(PossibleSpells!$A$2:$G$24,""Select A,G where G &gt; 0"")"),"#N/A")</f>
        <v>#N/A</v>
      </c>
      <c r="X2" s="74"/>
      <c r="Y2" s="75"/>
      <c r="Z2" s="44"/>
      <c r="AA2" s="44"/>
      <c r="AB2" s="72"/>
    </row>
    <row r="3">
      <c r="A3" s="70" t="s">
        <v>9</v>
      </c>
      <c r="B3" s="71">
        <v>1.0</v>
      </c>
      <c r="C3" s="72" t="str">
        <f>VLOOKUP($H$1,Races!$A$2:$AX993,MATCH($A3,Races!$A$1:$AX$1,0),FALSE)</f>
        <v>#N/A</v>
      </c>
      <c r="D3" s="49" t="str">
        <f>if((VLOOKUP($K$1,Classes!$A$2:$AN993,MATCH($A3,Classes!$A$1:$AN$1,0),FALSE)+IF($B$13&gt;199,VLOOKUP($K$3,EnhancedClasses!$B$2:$AS993,MATCH($A3,EnhancedClasses!$B$1:$AS$1,0),FALSE),""))=0,"",(VLOOKUP($K$1,Classes!$A$2:$AN993,MATCH($A3,Classes!$A$1:$AN$1,0),FALSE)+IF($I$2,IF($B$13&gt;199,VLOOKUP($K$4,EnhancedClasses!$B$2:$AS993,MATCH($A3,EnhancedClasses!$B$1:$AS$1,0),FALSE),""),IF($B$13&gt;199,VLOOKUP($K$3,EnhancedClasses!$B$2:$AS993,MATCH($A3,EnhancedClasses!$B$1:$AS$1,0),FALSE),""))))</f>
        <v>#N/A</v>
      </c>
      <c r="J3" s="70" t="s">
        <v>91</v>
      </c>
      <c r="K3" s="49"/>
      <c r="N3" s="49" t="str">
        <f>IFERROR(__xludf.DUMMYFUNCTION("FILTER(EnhancedClasses!$A$2:$B993,EnhancedClasses!$A$2:$A993=$K$1)"),"")</f>
        <v/>
      </c>
      <c r="O3" s="49"/>
      <c r="P3" s="49" t="str">
        <f>IFERROR(__xludf.DUMMYFUNCTION("FILTER(EnhancedClasses!$A$2:$B993,EnhancedClasses!$A$2:$A993=$K$2)"),"")</f>
        <v/>
      </c>
      <c r="Q3" s="49"/>
      <c r="S3" s="73" t="s">
        <v>92</v>
      </c>
      <c r="T3" s="72"/>
      <c r="U3" s="44"/>
      <c r="V3" s="72"/>
      <c r="W3" s="44"/>
      <c r="X3" s="74"/>
      <c r="Y3" s="75"/>
      <c r="Z3" s="44"/>
      <c r="AA3" s="44"/>
      <c r="AB3" s="72"/>
    </row>
    <row r="4">
      <c r="A4" s="70" t="s">
        <v>10</v>
      </c>
      <c r="B4" s="71">
        <v>1.0</v>
      </c>
      <c r="C4" s="72" t="str">
        <f>VLOOKUP($H$1,Races!$A$2:$AX993,MATCH($A4,Races!$A$1:$AX$1,0),FALSE)</f>
        <v>#N/A</v>
      </c>
      <c r="D4" s="49" t="str">
        <f>if((VLOOKUP($K$1,Classes!$A$2:$AN993,MATCH($A4,Classes!$A$1:$AN$1,0),FALSE)+IF($B$13&gt;199,VLOOKUP($K$3,EnhancedClasses!$B$2:$AS993,MATCH($A4,EnhancedClasses!$B$1:$AS$1,0),FALSE),""))=0,"",(VLOOKUP($K$1,Classes!$A$2:$AN993,MATCH($A4,Classes!$A$1:$AN$1,0),FALSE)+IF($I$2,IF($B$13&gt;199,VLOOKUP($K$4,EnhancedClasses!$B$2:$AS993,MATCH($A4,EnhancedClasses!$B$1:$AS$1,0),FALSE),""),IF($B$13&gt;199,VLOOKUP($K$3,EnhancedClasses!$B$2:$AS993,MATCH($A4,EnhancedClasses!$B$1:$AS$1,0),FALSE),""))))</f>
        <v>#N/A</v>
      </c>
      <c r="E4" s="70" t="s">
        <v>93</v>
      </c>
      <c r="F4" s="49"/>
      <c r="H4" s="70" t="s">
        <v>94</v>
      </c>
      <c r="I4" s="76">
        <v>6.0</v>
      </c>
      <c r="J4" s="77" t="s">
        <v>95</v>
      </c>
      <c r="K4" s="19"/>
      <c r="N4" s="49"/>
      <c r="O4" s="49"/>
      <c r="P4" s="49"/>
      <c r="Q4" s="49"/>
      <c r="S4" s="73" t="s">
        <v>96</v>
      </c>
      <c r="T4" s="72"/>
      <c r="U4" s="44"/>
      <c r="V4" s="72"/>
      <c r="W4" s="44"/>
      <c r="X4" s="74"/>
      <c r="Y4" s="75"/>
      <c r="Z4" s="44"/>
      <c r="AA4" s="44"/>
      <c r="AB4" s="72"/>
    </row>
    <row r="5">
      <c r="A5" s="70" t="s">
        <v>97</v>
      </c>
      <c r="B5" s="71">
        <v>1.0</v>
      </c>
      <c r="C5" s="72" t="str">
        <f>VLOOKUP($H$1,Races!$A$2:$AX993,MATCH($A5,Races!$A$1:$AX$1,0),FALSE)</f>
        <v>#N/A</v>
      </c>
      <c r="D5" s="49" t="str">
        <f>if((VLOOKUP($K$1,Classes!$A$2:$AN993,MATCH($A5,Classes!$A$1:$AN$1,0),FALSE)+IF($B$13&gt;199,VLOOKUP($K$3,EnhancedClasses!$B$2:$AS993,MATCH($A5,EnhancedClasses!$B$1:$AS$1,0),FALSE),""))=0,"",(VLOOKUP($K$1,Classes!$A$2:$AN993,MATCH($A5,Classes!$A$1:$AN$1,0),FALSE)+IF($I$2,IF($B$13&gt;199,VLOOKUP($K$4,EnhancedClasses!$B$2:$AS993,MATCH($A5,EnhancedClasses!$B$1:$AS$1,0),FALSE),""),IF($B$13&gt;199,VLOOKUP($K$3,EnhancedClasses!$B$2:$AS993,MATCH($A5,EnhancedClasses!$B$1:$AS$1,0),FALSE),""))))</f>
        <v>#N/A</v>
      </c>
      <c r="E5" s="70" t="s">
        <v>98</v>
      </c>
      <c r="F5" s="49"/>
      <c r="J5" s="70" t="s">
        <v>99</v>
      </c>
      <c r="K5" s="49"/>
      <c r="N5" s="49"/>
      <c r="O5" s="49"/>
      <c r="P5" s="49"/>
      <c r="Q5" s="49"/>
      <c r="S5" s="73" t="s">
        <v>100</v>
      </c>
      <c r="T5" s="72"/>
      <c r="U5" s="44"/>
      <c r="V5" s="44"/>
      <c r="W5" s="44"/>
      <c r="X5" s="74"/>
      <c r="Y5" s="75"/>
      <c r="Z5" s="44"/>
      <c r="AA5" s="44"/>
      <c r="AB5" s="72"/>
    </row>
    <row r="6">
      <c r="A6" s="70" t="s">
        <v>101</v>
      </c>
      <c r="B6" s="71">
        <v>1.0</v>
      </c>
      <c r="C6" s="72" t="str">
        <f>VLOOKUP($H$1,Races!$A$2:$AX993,MATCH($A6,Races!$A$1:$AX$1,0),FALSE)</f>
        <v>#N/A</v>
      </c>
      <c r="D6" s="49" t="str">
        <f>if((VLOOKUP($K$1,Classes!$A$2:$AN993,MATCH($A6,Classes!$A$1:$AN$1,0),FALSE)+IF($B$13&gt;199,VLOOKUP($K$3,EnhancedClasses!$B$2:$AS993,MATCH($A6,EnhancedClasses!$B$1:$AS$1,0),FALSE),""))=0,"",(VLOOKUP($K$1,Classes!$A$2:$AN993,MATCH($A6,Classes!$A$1:$AN$1,0),FALSE)+IF($I$2,IF($B$13&gt;199,VLOOKUP($K$4,EnhancedClasses!$B$2:$AS993,MATCH($A6,EnhancedClasses!$B$1:$AS$1,0),FALSE),""),IF($B$13&gt;199,VLOOKUP($K$3,EnhancedClasses!$B$2:$AS993,MATCH($A6,EnhancedClasses!$B$1:$AS$1,0),FALSE),""))))</f>
        <v>#N/A</v>
      </c>
      <c r="E6" s="70" t="s">
        <v>102</v>
      </c>
      <c r="F6" s="76"/>
      <c r="H6" s="78" t="s">
        <v>103</v>
      </c>
      <c r="I6" s="21"/>
      <c r="J6" s="70" t="s">
        <v>104</v>
      </c>
      <c r="K6" s="49"/>
      <c r="N6" s="49"/>
      <c r="O6" s="49"/>
      <c r="P6" s="49"/>
      <c r="Q6" s="49"/>
      <c r="S6" s="73" t="s">
        <v>105</v>
      </c>
      <c r="T6" s="72"/>
      <c r="U6" s="44"/>
      <c r="V6" s="72"/>
      <c r="W6" s="44"/>
      <c r="X6" s="74"/>
      <c r="Y6" s="75"/>
      <c r="Z6" s="44"/>
      <c r="AA6" s="44"/>
      <c r="AB6" s="72"/>
    </row>
    <row r="7">
      <c r="A7" s="70" t="s">
        <v>106</v>
      </c>
      <c r="B7" s="71">
        <v>1.0</v>
      </c>
      <c r="C7" s="72" t="str">
        <f>VLOOKUP($H$1,Races!$A$2:$AX993,MATCH($A7,Races!$A$1:$AX$1,0),FALSE)</f>
        <v>#N/A</v>
      </c>
      <c r="D7" s="49" t="str">
        <f>if((VLOOKUP($K$1,Classes!$A$2:$AN993,MATCH($A7,Classes!$A$1:$AN$1,0),FALSE)+IF($B$13&gt;199,VLOOKUP($K$3,EnhancedClasses!$B$2:$AS993,MATCH($A7,EnhancedClasses!$B$1:$AS$1,0),FALSE),""))=0,"",(VLOOKUP($K$1,Classes!$A$2:$AN993,MATCH($A7,Classes!$A$1:$AN$1,0),FALSE)+IF($I$2,IF($B$13&gt;199,VLOOKUP($K$4,EnhancedClasses!$B$2:$AS993,MATCH($A7,EnhancedClasses!$B$1:$AS$1,0),FALSE),""),IF($B$13&gt;199,VLOOKUP($K$3,EnhancedClasses!$B$2:$AS993,MATCH($A7,EnhancedClasses!$B$1:$AS$1,0),FALSE),""))))</f>
        <v>#N/A</v>
      </c>
      <c r="E7" s="70" t="s">
        <v>107</v>
      </c>
      <c r="F7" s="76"/>
      <c r="H7" s="79" t="s">
        <v>108</v>
      </c>
      <c r="I7" s="24" t="str">
        <f>IFERROR(VLOOKUP($I$6,AstrologicalSigns!$A$2:$D993,2,FALSE),"")</f>
        <v/>
      </c>
      <c r="J7" s="70" t="s">
        <v>109</v>
      </c>
      <c r="K7" s="49"/>
      <c r="N7" s="49"/>
      <c r="O7" s="49"/>
      <c r="P7" s="49"/>
      <c r="Q7" s="49"/>
      <c r="S7" s="73" t="s">
        <v>110</v>
      </c>
      <c r="T7" s="72"/>
      <c r="U7" s="44"/>
      <c r="V7" s="72"/>
      <c r="W7" s="44"/>
      <c r="X7" s="74"/>
      <c r="Y7" s="75"/>
      <c r="Z7" s="44"/>
      <c r="AA7" s="44"/>
      <c r="AB7" s="72"/>
    </row>
    <row r="8">
      <c r="A8" s="70" t="s">
        <v>111</v>
      </c>
      <c r="B8" s="71">
        <v>1.0</v>
      </c>
      <c r="C8" s="72" t="str">
        <f>VLOOKUP($H$1,Races!$A$2:$AX993,MATCH($A8,Races!$A$1:$AX$1,0),FALSE)</f>
        <v>#N/A</v>
      </c>
      <c r="D8" s="49" t="str">
        <f>if((VLOOKUP($K$1,Classes!$A$2:$AN993,MATCH($A8,Classes!$A$1:$AN$1,0),FALSE)+IF($B$13&gt;199,VLOOKUP($K$3,EnhancedClasses!$B$2:$AS993,MATCH($A8,EnhancedClasses!$B$1:$AS$1,0),FALSE),""))=0,"",(VLOOKUP($K$1,Classes!$A$2:$AN993,MATCH($A8,Classes!$A$1:$AN$1,0),FALSE)+IF($I$2,IF($B$13&gt;199,VLOOKUP($K$4,EnhancedClasses!$B$2:$AS993,MATCH($A8,EnhancedClasses!$B$1:$AS$1,0),FALSE),""),IF($B$13&gt;199,VLOOKUP($K$3,EnhancedClasses!$B$2:$AS993,MATCH($A8,EnhancedClasses!$B$1:$AS$1,0),FALSE),""))))</f>
        <v>#N/A</v>
      </c>
      <c r="E8" s="70" t="s">
        <v>112</v>
      </c>
      <c r="F8" s="76"/>
      <c r="H8" s="80" t="s">
        <v>26</v>
      </c>
      <c r="I8" s="42"/>
      <c r="N8" s="49"/>
      <c r="O8" s="49"/>
      <c r="P8" s="49"/>
      <c r="Q8" s="49"/>
      <c r="S8" s="73" t="s">
        <v>113</v>
      </c>
      <c r="T8" s="72"/>
      <c r="U8" s="44"/>
      <c r="V8" s="44"/>
      <c r="W8" s="44"/>
      <c r="X8" s="74"/>
      <c r="Y8" s="75"/>
      <c r="Z8" s="44"/>
      <c r="AA8" s="44"/>
      <c r="AB8" s="72"/>
    </row>
    <row r="9">
      <c r="A9" s="70" t="s">
        <v>114</v>
      </c>
      <c r="B9" s="71">
        <v>1.0</v>
      </c>
      <c r="C9" s="72" t="str">
        <f>VLOOKUP($H$1,Races!$A$2:$AX993,MATCH($A9,Races!$A$1:$AX$1,0),FALSE)</f>
        <v>#N/A</v>
      </c>
      <c r="D9" s="49" t="str">
        <f>if((VLOOKUP($K$1,Classes!$A$2:$AN993,MATCH($A9,Classes!$A$1:$AN$1,0),FALSE)+IF($B$13&gt;199,VLOOKUP($K$3,EnhancedClasses!$B$2:$AS993,MATCH($A9,EnhancedClasses!$B$1:$AS$1,0),FALSE),""))=0,"",(VLOOKUP($K$1,Classes!$A$2:$AN993,MATCH($A9,Classes!$A$1:$AN$1,0),FALSE)+IF($I$2,IF($B$13&gt;199,VLOOKUP($K$4,EnhancedClasses!$B$2:$AS993,MATCH($A9,EnhancedClasses!$B$1:$AS$1,0),FALSE),""),IF($B$13&gt;199,VLOOKUP($K$3,EnhancedClasses!$B$2:$AS993,MATCH($A9,EnhancedClasses!$B$1:$AS$1,0),FALSE),""))))</f>
        <v>#N/A</v>
      </c>
      <c r="E9" s="70" t="s">
        <v>115</v>
      </c>
      <c r="F9" s="76"/>
      <c r="H9" s="81" t="str">
        <f>IFERROR(VLOOKUP($I$6,AstrologicalSigns!$A$2:$D993,3,FALSE),"")</f>
        <v/>
      </c>
      <c r="I9" s="42"/>
      <c r="J9" s="70" t="s">
        <v>116</v>
      </c>
      <c r="N9" s="49"/>
      <c r="O9" s="49"/>
      <c r="P9" s="49"/>
      <c r="Q9" s="49"/>
      <c r="S9" s="73" t="s">
        <v>117</v>
      </c>
      <c r="T9" s="72"/>
      <c r="U9" s="44"/>
      <c r="V9" s="44"/>
      <c r="W9" s="44"/>
      <c r="X9" s="44"/>
      <c r="Y9" s="75"/>
      <c r="Z9" s="44"/>
      <c r="AA9" s="44"/>
      <c r="AB9" s="72"/>
    </row>
    <row r="10">
      <c r="E10" s="70" t="s">
        <v>118</v>
      </c>
      <c r="F10" s="49"/>
      <c r="H10" s="82"/>
      <c r="I10" s="42"/>
      <c r="N10" s="49"/>
      <c r="O10" s="49"/>
      <c r="P10" s="49"/>
      <c r="Q10" s="49"/>
      <c r="S10" s="73" t="s">
        <v>119</v>
      </c>
      <c r="T10" s="72"/>
      <c r="U10" s="44"/>
      <c r="V10" s="44"/>
      <c r="W10" s="44"/>
      <c r="X10" s="44"/>
      <c r="Y10" s="75"/>
      <c r="Z10" s="44"/>
      <c r="AA10" s="44"/>
      <c r="AB10" s="72"/>
    </row>
    <row r="11" ht="18.75" customHeight="1">
      <c r="H11" s="7"/>
      <c r="I11" s="8"/>
      <c r="N11" s="49"/>
      <c r="O11" s="49"/>
      <c r="P11" s="49"/>
      <c r="Q11" s="49"/>
      <c r="S11" s="73" t="s">
        <v>120</v>
      </c>
      <c r="T11" s="72"/>
      <c r="U11" s="44"/>
      <c r="V11" s="44"/>
      <c r="W11" s="44"/>
      <c r="X11" s="44"/>
      <c r="Y11" s="75"/>
      <c r="Z11" s="44"/>
      <c r="AA11" s="44"/>
      <c r="AB11" s="72"/>
    </row>
    <row r="12">
      <c r="B12" s="45" t="s">
        <v>121</v>
      </c>
      <c r="C12" s="45" t="s">
        <v>122</v>
      </c>
      <c r="E12" s="70" t="str">
        <f>"Damage Orb ("&amp;IF(ISBLANK(F12),0,1)&amp;"/1):"</f>
        <v>Damage Orb (0/1):</v>
      </c>
      <c r="F12" s="19"/>
      <c r="G12" s="70" t="s">
        <v>123</v>
      </c>
      <c r="H12" s="19"/>
      <c r="I12" s="83" t="s">
        <v>124</v>
      </c>
      <c r="J12" s="19" t="str">
        <f>Config!B3</f>
        <v>1mNoojYCRU_5eQ4skcH3ywN5n3JMKPeua1AFji0FLWdI</v>
      </c>
      <c r="N12" s="49"/>
      <c r="O12" s="49"/>
      <c r="P12" s="49"/>
      <c r="Q12" s="49"/>
      <c r="S12" s="73" t="s">
        <v>125</v>
      </c>
      <c r="T12" s="72"/>
      <c r="U12" s="44"/>
      <c r="V12" s="44"/>
      <c r="W12" s="44"/>
      <c r="X12" s="44"/>
      <c r="Y12" s="75"/>
      <c r="Z12" s="44"/>
      <c r="AA12" s="44"/>
      <c r="AB12" s="72"/>
    </row>
    <row r="13">
      <c r="B13" s="84">
        <v>1.0</v>
      </c>
      <c r="C13" s="85">
        <f>(Rounddown(B13/10)*5)</f>
        <v>0</v>
      </c>
      <c r="E13" s="70" t="s">
        <v>23</v>
      </c>
      <c r="F13" s="19"/>
      <c r="G13" s="70" t="s">
        <v>126</v>
      </c>
      <c r="H13" s="19"/>
      <c r="J13" s="49"/>
      <c r="N13" s="49"/>
      <c r="O13" s="49"/>
      <c r="P13" s="49"/>
      <c r="Q13" s="49"/>
      <c r="S13" s="73" t="s">
        <v>127</v>
      </c>
      <c r="T13" s="72"/>
      <c r="U13" s="44"/>
      <c r="V13" s="44"/>
      <c r="W13" s="44"/>
      <c r="X13" s="44"/>
      <c r="Y13" s="75"/>
      <c r="Z13" s="44"/>
      <c r="AA13" s="44"/>
      <c r="AB13" s="72"/>
    </row>
    <row r="14">
      <c r="C14" s="49" t="str">
        <f>SUM(E18:J18)&amp;"/"&amp;C13</f>
        <v>0/0</v>
      </c>
      <c r="E14" s="70" t="s">
        <v>128</v>
      </c>
      <c r="F14" s="19"/>
      <c r="G14" s="70" t="s">
        <v>129</v>
      </c>
      <c r="H14" s="19"/>
      <c r="J14" s="19" t="s">
        <v>130</v>
      </c>
      <c r="N14" s="49"/>
      <c r="O14" s="49"/>
      <c r="P14" s="49"/>
      <c r="Q14" s="49"/>
      <c r="S14" s="73" t="s">
        <v>131</v>
      </c>
      <c r="T14" s="72"/>
      <c r="U14" s="44"/>
      <c r="V14" s="44"/>
      <c r="W14" s="44"/>
      <c r="X14" s="44"/>
      <c r="Y14" s="75"/>
      <c r="Z14" s="44"/>
      <c r="AA14" s="44"/>
      <c r="AB14" s="72"/>
    </row>
    <row r="15">
      <c r="C15" s="49" t="str">
        <f>"Free Points:"&amp;(SUM(C13)-SUM(E18:J18))</f>
        <v>Free Points:0</v>
      </c>
      <c r="E15" s="86" t="s">
        <v>132</v>
      </c>
      <c r="F15" s="49"/>
      <c r="N15" s="49"/>
      <c r="O15" s="49"/>
      <c r="P15" s="49"/>
      <c r="Q15" s="49"/>
      <c r="S15" s="73" t="s">
        <v>133</v>
      </c>
      <c r="T15" s="72"/>
      <c r="U15" s="44"/>
      <c r="V15" s="44"/>
      <c r="W15" s="44"/>
      <c r="X15" s="44"/>
      <c r="Y15" s="75"/>
      <c r="Z15" s="44"/>
      <c r="AA15" s="44"/>
      <c r="AB15" s="72"/>
    </row>
    <row r="16">
      <c r="N16" s="49"/>
      <c r="O16" s="49"/>
      <c r="P16" s="49"/>
      <c r="Q16" s="49"/>
      <c r="S16" s="73" t="s">
        <v>134</v>
      </c>
      <c r="T16" s="72"/>
      <c r="U16" s="44"/>
      <c r="V16" s="44"/>
      <c r="W16" s="44"/>
      <c r="X16" s="44"/>
      <c r="Y16" s="75"/>
      <c r="Z16" s="44"/>
      <c r="AA16" s="44"/>
      <c r="AB16" s="72"/>
    </row>
    <row r="17">
      <c r="B17" s="45" t="s">
        <v>8</v>
      </c>
      <c r="C17" s="45" t="s">
        <v>9</v>
      </c>
      <c r="D17" s="45" t="s">
        <v>10</v>
      </c>
      <c r="E17" s="87" t="s">
        <v>11</v>
      </c>
      <c r="F17" s="87" t="s">
        <v>14</v>
      </c>
      <c r="G17" s="87" t="s">
        <v>15</v>
      </c>
      <c r="H17" s="87" t="s">
        <v>16</v>
      </c>
      <c r="I17" s="87" t="s">
        <v>17</v>
      </c>
      <c r="J17" s="87" t="s">
        <v>135</v>
      </c>
      <c r="K17" s="45"/>
      <c r="N17" s="49"/>
      <c r="O17" s="49"/>
      <c r="P17" s="49"/>
      <c r="Q17" s="49"/>
      <c r="S17" s="73" t="s">
        <v>136</v>
      </c>
      <c r="T17" s="72"/>
      <c r="U17" s="44"/>
      <c r="V17" s="44"/>
      <c r="W17" s="44"/>
      <c r="X17" s="44"/>
      <c r="Y17" s="75"/>
      <c r="Z17" s="44"/>
      <c r="AA17" s="44"/>
      <c r="AB17" s="72"/>
    </row>
    <row r="18">
      <c r="B18" s="85" t="str">
        <f>(B2+C2+D2)+((B13-1)*IF(E2,2,1))+SUM(C28:C48)</f>
        <v>#N/A</v>
      </c>
      <c r="C18" s="85" t="str">
        <f>(B3+C3+D3)+((B13-1)*IF(E2,2,1))+SUM(B28:B48)</f>
        <v>#N/A</v>
      </c>
      <c r="D18" s="85" t="str">
        <f>(B4+C4+D4)+((B13-1)*IF(E2,2,1))+SUM(D28:D48)</f>
        <v>#N/A</v>
      </c>
      <c r="E18" s="84"/>
      <c r="F18" s="84"/>
      <c r="G18" s="84"/>
      <c r="H18" s="84"/>
      <c r="I18" s="84"/>
      <c r="J18" s="84"/>
      <c r="K18" s="85"/>
      <c r="N18" s="49"/>
      <c r="O18" s="49"/>
      <c r="P18" s="49"/>
      <c r="Q18" s="49"/>
      <c r="S18" s="73" t="s">
        <v>137</v>
      </c>
      <c r="T18" s="72"/>
      <c r="U18" s="44"/>
      <c r="V18" s="44"/>
      <c r="W18" s="44"/>
      <c r="X18" s="44"/>
      <c r="Y18" s="75"/>
      <c r="Z18" s="44"/>
      <c r="AA18" s="44"/>
      <c r="AB18" s="72"/>
    </row>
    <row r="19">
      <c r="D19" s="83" t="s">
        <v>138</v>
      </c>
      <c r="E19" s="84"/>
      <c r="F19" s="84"/>
      <c r="G19" s="84"/>
      <c r="H19" s="84"/>
      <c r="I19" s="84"/>
      <c r="J19" s="84"/>
      <c r="N19" s="49"/>
      <c r="O19" s="49"/>
      <c r="P19" s="49"/>
      <c r="Q19" s="49"/>
      <c r="S19" s="73" t="s">
        <v>139</v>
      </c>
      <c r="T19" s="72"/>
      <c r="U19" s="44"/>
      <c r="V19" s="44"/>
      <c r="W19" s="44"/>
      <c r="X19" s="44"/>
      <c r="Y19" s="75"/>
      <c r="Z19" s="44"/>
      <c r="AA19" s="44"/>
      <c r="AB19" s="72"/>
    </row>
    <row r="20">
      <c r="D20" s="83" t="s">
        <v>140</v>
      </c>
      <c r="E20" s="88" t="str">
        <f>VALUE(IF($I$2,VLOOKUP($K$2,Classes!$A$2:$AN993,MATCH(E$17,Classes!$A$1:$AN$1,0),FALSE),VLOOKUP($K$1,Classes!$A$2:$AN993,MATCH(E$17,Classes!$A$1:$AN$1,0),FALSE))+VLOOKUP($H$1,Races!$A$2:$R993,MATCH(E$17,Races!$A$1:$R$1,0),FALSE)+E$18)+E19+IF($I$2,if($B$13&gt;199,VLOOKUP($K$4,EnhancedClasses!$B$2:$AS993,MATCH(E$17,EnhancedClasses!$B$1:$AS$1,0),FALSE),""),if($B$13&gt;199,VLOOKUP($K$3,EnhancedClasses!$B$2:$AS993,MATCH(E$17,EnhancedClasses!$B$1:$AS$1,0),FALSE),""))</f>
        <v>#N/A</v>
      </c>
      <c r="F20" s="88" t="str">
        <f>VALUE(IF($I$2,VLOOKUP($K$2,Classes!$A$2:$AN993,MATCH(F$17,Classes!$A$1:$AN$1,0),FALSE),VLOOKUP($K$1,Classes!$A$2:$AN993,MATCH(F$17,Classes!$A$1:$AN$1,0),FALSE))+VLOOKUP($H$1,Races!$A$2:$R993,MATCH(F$17,Races!$A$1:$R$1,0),FALSE)+F$18)+F19+IF($I$2,if($B$13&gt;199,VLOOKUP($K$4,EnhancedClasses!$B$2:$AS993,MATCH(F$17,EnhancedClasses!$B$1:$AS$1,0),FALSE),""),if($B$13&gt;199,VLOOKUP($K$3,EnhancedClasses!$B$2:$AS993,MATCH(F$17,EnhancedClasses!$B$1:$AS$1,0),FALSE),""))</f>
        <v>#N/A</v>
      </c>
      <c r="G20" s="88" t="str">
        <f>VALUE(IF($I$2,VLOOKUP($K$2,Classes!$A$2:$AN993,MATCH(G$17,Classes!$A$1:$AN$1,0),FALSE),VLOOKUP($K$1,Classes!$A$2:$AN993,MATCH(G$17,Classes!$A$1:$AN$1,0),FALSE))+VLOOKUP($H$1,Races!$A$2:$R993,MATCH(G$17,Races!$A$1:$R$1,0),FALSE)+G$18)+G19+IF($I$2,if($B$13&gt;199,VLOOKUP($K$4,EnhancedClasses!$B$2:$AS993,MATCH(G$17,EnhancedClasses!$B$1:$AS$1,0),FALSE),""),if($B$13&gt;199,VLOOKUP($K$3,EnhancedClasses!$B$2:$AS993,MATCH(G$17,EnhancedClasses!$B$1:$AS$1,0),FALSE),""))</f>
        <v>#N/A</v>
      </c>
      <c r="H20" s="88" t="str">
        <f>VALUE(IF($I$2,VLOOKUP($K$2,Classes!$A$2:$AN993,MATCH(H$17,Classes!$A$1:$AN$1,0),FALSE),VLOOKUP($K$1,Classes!$A$2:$AN993,MATCH(H$17,Classes!$A$1:$AN$1,0),FALSE))+VLOOKUP($H$1,Races!$A$2:$R993,MATCH(H$17,Races!$A$1:$R$1,0),FALSE)+H$18)+H19+IF($I$2,if($B$13&gt;199,VLOOKUP($K$4,EnhancedClasses!$B$2:$AS993,MATCH(H$17,EnhancedClasses!$B$1:$AS$1,0),FALSE),""),if($B$13&gt;199,VLOOKUP($K$3,EnhancedClasses!$B$2:$AS993,MATCH(H$17,EnhancedClasses!$B$1:$AS$1,0),FALSE),""))</f>
        <v>#N/A</v>
      </c>
      <c r="I20" s="88" t="str">
        <f>VALUE(IF($I$2,VLOOKUP($K$2,Classes!$A$2:$AN993,MATCH(I$17,Classes!$A$1:$AN$1,0),FALSE),VLOOKUP($K$1,Classes!$A$2:$AN993,MATCH(I$17,Classes!$A$1:$AN$1,0),FALSE))+VLOOKUP($H$1,Races!$A$2:$R993,MATCH(I$17,Races!$A$1:$R$1,0),FALSE)+I$18)+I19+IF($I$2,if($B$13&gt;199,VLOOKUP($K$4,EnhancedClasses!$B$2:$AS993,MATCH(I$17,EnhancedClasses!$B$1:$AS$1,0),FALSE),""),if($B$13&gt;199,VLOOKUP($K$3,EnhancedClasses!$B$2:$AS993,MATCH(I$17,EnhancedClasses!$B$1:$AS$1,0),FALSE),""))</f>
        <v>#N/A</v>
      </c>
      <c r="J20" s="88" t="str">
        <f>VALUE(IF($I$2,VLOOKUP($K$2,Classes!$A$2:$AN993,MATCH(J$17,Classes!$A$1:$AN$1,0),FALSE),VLOOKUP($K$1,Classes!$A$2:$AN993,MATCH(J$17,Classes!$A$1:$AN$1,0),FALSE))+VLOOKUP($H$1,Races!$A$2:$R993,MATCH(J$17,Races!$A$1:$R$1,0),FALSE)+J$18)+J19+IF($I$2,if($B$13&gt;199,VLOOKUP($K$4,EnhancedClasses!$B$2:$AS993,MATCH(J$17,EnhancedClasses!$B$1:$AS$1,0),FALSE),""),if($B$13&gt;199,VLOOKUP($K$3,EnhancedClasses!$B$2:$AS993,MATCH(J$17,EnhancedClasses!$B$1:$AS$1,0),FALSE),""))</f>
        <v>#N/A</v>
      </c>
      <c r="N20" s="49"/>
      <c r="O20" s="49"/>
      <c r="P20" s="49"/>
      <c r="Q20" s="49"/>
      <c r="S20" s="73" t="s">
        <v>141</v>
      </c>
      <c r="T20" s="44"/>
      <c r="U20" s="44"/>
      <c r="V20" s="44"/>
      <c r="W20" s="44"/>
      <c r="X20" s="44"/>
      <c r="Y20" s="75"/>
      <c r="Z20" s="44"/>
      <c r="AA20" s="44"/>
      <c r="AB20" s="72"/>
    </row>
    <row r="21">
      <c r="N21" s="49"/>
      <c r="O21" s="49"/>
      <c r="P21" s="49"/>
      <c r="Q21" s="49"/>
      <c r="S21" s="73" t="s">
        <v>142</v>
      </c>
      <c r="T21" s="44"/>
      <c r="U21" s="44"/>
      <c r="V21" s="44"/>
      <c r="W21" s="44"/>
      <c r="X21" s="44"/>
      <c r="Y21" s="75"/>
      <c r="Z21" s="44"/>
      <c r="AA21" s="44"/>
      <c r="AB21" s="72"/>
    </row>
    <row r="22">
      <c r="B22" s="45" t="s">
        <v>97</v>
      </c>
      <c r="C22" s="45" t="s">
        <v>101</v>
      </c>
      <c r="D22" s="45" t="s">
        <v>106</v>
      </c>
      <c r="E22" s="45" t="s">
        <v>111</v>
      </c>
      <c r="F22" s="45" t="s">
        <v>114</v>
      </c>
      <c r="H22" s="89" t="s">
        <v>143</v>
      </c>
      <c r="I22" s="90"/>
      <c r="J22" s="91"/>
      <c r="K22" s="91"/>
      <c r="L22" s="92"/>
      <c r="N22" s="49"/>
      <c r="O22" s="49"/>
      <c r="P22" s="49"/>
      <c r="Q22" s="49"/>
      <c r="S22" s="73" t="s">
        <v>144</v>
      </c>
      <c r="T22" s="72"/>
      <c r="U22" s="44"/>
      <c r="V22" s="44"/>
      <c r="W22" s="44"/>
      <c r="X22" s="44"/>
      <c r="Y22" s="75"/>
      <c r="Z22" s="44"/>
      <c r="AA22" s="44"/>
      <c r="AB22" s="72"/>
    </row>
    <row r="23">
      <c r="B23" s="85" t="str">
        <f>(B5+C5+D5)+((B13-1)*IF(E2,2,1))+(G20*5)+SUM(E28:E48)</f>
        <v>#N/A</v>
      </c>
      <c r="C23" s="85" t="str">
        <f>(B6+C6+D6)+((B13-1)*IF(E2,2,1))+(G20*5)+SUM(F28:F48)</f>
        <v>#N/A</v>
      </c>
      <c r="D23" s="85" t="str">
        <f>(B7+C7+D7)+((B13-1)*IF(E2,2,1))+SUM(G28:G48)</f>
        <v>#N/A</v>
      </c>
      <c r="E23" s="85" t="str">
        <f>(B8+C8+D8)+((B13-1)*IF(E2,2,1))+SUM(H28:H48)</f>
        <v>#N/A</v>
      </c>
      <c r="F23" s="85" t="str">
        <f>(B9+C9+D9)+((B13-1)*IF(E2,2,1))+SUM(I28:I48)</f>
        <v>#N/A</v>
      </c>
      <c r="H23" s="79" t="s">
        <v>145</v>
      </c>
      <c r="I23" s="50" t="str">
        <f>IFERROR(VLOOKUP($I$22,Factions!$A$2:$Z993,MATCH("Faction Ability 1",Factions!$A$1:$Z$1,0),FALSE)&amp;" - "&amp;VLOOKUP($I$22,Factions!$A$2:$Z993,MATCH("Ability Description 1",Factions!$A$1:$Z$1,0),FALSE),"")</f>
        <v/>
      </c>
      <c r="L23" s="42"/>
      <c r="N23" s="49"/>
      <c r="O23" s="49"/>
      <c r="P23" s="49"/>
      <c r="Q23" s="49"/>
      <c r="S23" s="73" t="s">
        <v>146</v>
      </c>
      <c r="T23" s="72"/>
      <c r="U23" s="44"/>
      <c r="V23" s="44"/>
      <c r="W23" s="44"/>
      <c r="X23" s="44"/>
      <c r="Y23" s="75"/>
      <c r="Z23" s="72"/>
      <c r="AA23" s="44"/>
      <c r="AB23" s="72"/>
    </row>
    <row r="24">
      <c r="A24" s="83"/>
      <c r="H24" s="93"/>
      <c r="I24" s="50" t="str">
        <f>IFERROR(VLOOKUP($I$22,Factions!$A$2:$Z993,MATCH("Faction Ability 2",Factions!$A$1:$Z$1,0),FALSE)&amp;" - "&amp;VLOOKUP($I$22,Factions!$A$2:$Z993,MATCH("Ability Description 2",Factions!$A$1:$Z$1,0),FALSE),"")</f>
        <v/>
      </c>
      <c r="L24" s="42"/>
      <c r="N24" s="49"/>
      <c r="O24" s="49"/>
      <c r="P24" s="49"/>
      <c r="Q24" s="49"/>
      <c r="S24" s="73" t="s">
        <v>147</v>
      </c>
      <c r="T24" s="44"/>
      <c r="U24" s="44"/>
      <c r="V24" s="44"/>
      <c r="W24" s="44"/>
      <c r="X24" s="44"/>
      <c r="Y24" s="75"/>
      <c r="Z24" s="44"/>
      <c r="AA24" s="44"/>
      <c r="AB24" s="72"/>
    </row>
    <row r="25">
      <c r="A25" s="83"/>
      <c r="H25" s="94"/>
      <c r="I25" s="95" t="str">
        <f>IFERROR(VLOOKUP($I$22,Factions!$A$2:$Z993,MATCH("Faction Ability 3",Factions!$A$1:$Z$1,0),FALSE)&amp;" - "&amp;VLOOKUP($I$22,Factions!$A$2:$Z993,MATCH("Ability Description 3",Factions!$A$1:$Z$1,0),FALSE),"")</f>
        <v/>
      </c>
      <c r="J25" s="96"/>
      <c r="K25" s="96"/>
      <c r="L25" s="8"/>
      <c r="N25" s="49"/>
      <c r="O25" s="49"/>
      <c r="P25" s="49"/>
      <c r="Q25" s="49"/>
    </row>
    <row r="26">
      <c r="A26" s="83"/>
      <c r="N26" s="49"/>
      <c r="O26" s="49"/>
      <c r="P26" s="49"/>
      <c r="Q26" s="49"/>
      <c r="S26" s="49" t="b">
        <f>IF(ISBLANK($F$10),FALSE,IF(VLOOKUP($I$22,Factions!$A$2:$Z993,MATCH($F$10,Factions!$A$1:$Z$1,0),FALSE),FALSE,TRUE))</f>
        <v>0</v>
      </c>
    </row>
    <row r="27">
      <c r="B27" s="70" t="s">
        <v>148</v>
      </c>
      <c r="C27" s="70" t="s">
        <v>149</v>
      </c>
      <c r="D27" s="70" t="s">
        <v>150</v>
      </c>
      <c r="E27" s="70" t="s">
        <v>151</v>
      </c>
      <c r="F27" s="70" t="s">
        <v>152</v>
      </c>
      <c r="G27" s="70" t="s">
        <v>153</v>
      </c>
      <c r="H27" s="70" t="s">
        <v>154</v>
      </c>
      <c r="I27" s="70" t="s">
        <v>155</v>
      </c>
      <c r="N27" s="49"/>
      <c r="O27" s="49"/>
      <c r="P27" s="49"/>
      <c r="Q27" s="49"/>
    </row>
    <row r="28">
      <c r="A28" s="84" t="s">
        <v>30</v>
      </c>
      <c r="B28" s="55"/>
      <c r="C28" s="55"/>
      <c r="D28" s="55"/>
      <c r="E28" s="55"/>
      <c r="F28" s="55"/>
      <c r="G28" s="55"/>
      <c r="H28" s="55"/>
      <c r="I28" s="55"/>
      <c r="N28" s="49"/>
      <c r="O28" s="49"/>
      <c r="P28" s="49"/>
      <c r="Q28" s="49"/>
    </row>
    <row r="29">
      <c r="A29" s="84" t="s">
        <v>156</v>
      </c>
      <c r="B29" s="55"/>
      <c r="C29" s="55"/>
      <c r="D29" s="55"/>
      <c r="E29" s="55"/>
      <c r="F29" s="55"/>
      <c r="G29" s="55"/>
      <c r="H29" s="55"/>
      <c r="I29" s="55"/>
      <c r="N29" s="49"/>
      <c r="O29" s="49"/>
      <c r="P29" s="49"/>
      <c r="Q29" s="49"/>
    </row>
    <row r="30">
      <c r="A30" s="84" t="s">
        <v>157</v>
      </c>
      <c r="B30" s="55"/>
      <c r="C30" s="55"/>
      <c r="D30" s="55"/>
      <c r="E30" s="55"/>
      <c r="F30" s="55"/>
      <c r="G30" s="55"/>
      <c r="H30" s="55"/>
      <c r="I30" s="55"/>
      <c r="N30" s="49"/>
      <c r="O30" s="49"/>
      <c r="P30" s="49"/>
      <c r="Q30" s="49"/>
    </row>
    <row r="31">
      <c r="A31" s="84" t="s">
        <v>158</v>
      </c>
      <c r="B31" s="55"/>
      <c r="C31" s="55"/>
      <c r="D31" s="55"/>
      <c r="E31" s="55"/>
      <c r="F31" s="55"/>
      <c r="G31" s="55"/>
      <c r="H31" s="55"/>
      <c r="I31" s="55"/>
      <c r="N31" s="49"/>
      <c r="O31" s="49"/>
      <c r="P31" s="49"/>
      <c r="Q31" s="49"/>
    </row>
    <row r="32">
      <c r="A32" s="84" t="s">
        <v>36</v>
      </c>
      <c r="B32" s="55"/>
      <c r="C32" s="55"/>
      <c r="D32" s="55"/>
      <c r="E32" s="55"/>
      <c r="F32" s="55"/>
      <c r="G32" s="55"/>
      <c r="H32" s="55"/>
      <c r="I32" s="55"/>
      <c r="N32" s="49"/>
      <c r="O32" s="49"/>
      <c r="P32" s="49"/>
      <c r="Q32" s="49"/>
    </row>
    <row r="33">
      <c r="A33" s="84" t="s">
        <v>38</v>
      </c>
      <c r="B33" s="55"/>
      <c r="C33" s="55"/>
      <c r="D33" s="55"/>
      <c r="E33" s="55"/>
      <c r="F33" s="55"/>
      <c r="G33" s="55"/>
      <c r="H33" s="55"/>
      <c r="I33" s="55"/>
      <c r="N33" s="49"/>
      <c r="O33" s="49"/>
      <c r="P33" s="49"/>
      <c r="Q33" s="49"/>
    </row>
    <row r="34">
      <c r="A34" s="84" t="s">
        <v>40</v>
      </c>
      <c r="B34" s="55"/>
      <c r="C34" s="55"/>
      <c r="D34" s="55"/>
      <c r="E34" s="55"/>
      <c r="F34" s="55"/>
      <c r="G34" s="55"/>
      <c r="H34" s="55"/>
      <c r="I34" s="55"/>
      <c r="N34" s="49"/>
      <c r="O34" s="49"/>
      <c r="P34" s="49"/>
      <c r="Q34" s="49"/>
    </row>
    <row r="35">
      <c r="A35" s="84" t="s">
        <v>159</v>
      </c>
      <c r="B35" s="55"/>
      <c r="C35" s="55"/>
      <c r="D35" s="55"/>
      <c r="E35" s="55"/>
      <c r="F35" s="55"/>
      <c r="G35" s="55"/>
      <c r="H35" s="55"/>
      <c r="I35" s="55"/>
      <c r="N35" s="49"/>
      <c r="O35" s="49"/>
      <c r="P35" s="49"/>
      <c r="Q35" s="49"/>
    </row>
    <row r="36">
      <c r="A36" s="84" t="s">
        <v>160</v>
      </c>
      <c r="B36" s="55"/>
      <c r="C36" s="55"/>
      <c r="D36" s="55"/>
      <c r="E36" s="55"/>
      <c r="F36" s="55"/>
      <c r="G36" s="55"/>
      <c r="H36" s="55"/>
      <c r="I36" s="55"/>
      <c r="N36" s="49"/>
      <c r="O36" s="49"/>
      <c r="P36" s="49"/>
      <c r="Q36" s="49"/>
    </row>
    <row r="37">
      <c r="A37" s="84" t="s">
        <v>161</v>
      </c>
      <c r="B37" s="55"/>
      <c r="C37" s="55"/>
      <c r="D37" s="55"/>
      <c r="E37" s="55"/>
      <c r="F37" s="55"/>
      <c r="G37" s="55"/>
      <c r="H37" s="55"/>
      <c r="I37" s="55"/>
      <c r="N37" s="49"/>
      <c r="O37" s="49"/>
      <c r="P37" s="49"/>
      <c r="Q37" s="49"/>
    </row>
    <row r="38">
      <c r="A38" s="84" t="s">
        <v>162</v>
      </c>
      <c r="B38" s="55"/>
      <c r="C38" s="55"/>
      <c r="D38" s="55"/>
      <c r="E38" s="55"/>
      <c r="F38" s="55"/>
      <c r="G38" s="55"/>
      <c r="H38" s="55"/>
      <c r="I38" s="55"/>
      <c r="N38" s="49"/>
      <c r="O38" s="49"/>
      <c r="P38" s="49"/>
      <c r="Q38" s="49"/>
    </row>
    <row r="39">
      <c r="A39" s="84" t="s">
        <v>163</v>
      </c>
      <c r="B39" s="55"/>
      <c r="C39" s="55"/>
      <c r="D39" s="55"/>
      <c r="E39" s="55"/>
      <c r="F39" s="55"/>
      <c r="G39" s="55"/>
      <c r="H39" s="55"/>
      <c r="I39" s="55"/>
      <c r="N39" s="49"/>
      <c r="O39" s="49"/>
      <c r="P39" s="49"/>
      <c r="Q39" s="49"/>
    </row>
    <row r="40">
      <c r="A40" s="84" t="s">
        <v>164</v>
      </c>
      <c r="B40" s="55"/>
      <c r="C40" s="55"/>
      <c r="D40" s="55"/>
      <c r="E40" s="55"/>
      <c r="F40" s="55"/>
      <c r="G40" s="55"/>
      <c r="H40" s="55"/>
      <c r="I40" s="55"/>
      <c r="N40" s="49"/>
      <c r="O40" s="49"/>
      <c r="P40" s="49"/>
      <c r="Q40" s="49"/>
    </row>
    <row r="41">
      <c r="A41" s="84" t="s">
        <v>165</v>
      </c>
      <c r="B41" s="55"/>
      <c r="C41" s="55"/>
      <c r="D41" s="55"/>
      <c r="E41" s="55"/>
      <c r="F41" s="55"/>
      <c r="G41" s="55"/>
      <c r="H41" s="55"/>
      <c r="I41" s="55"/>
      <c r="N41" s="49"/>
      <c r="O41" s="49"/>
      <c r="P41" s="49"/>
      <c r="Q41" s="49"/>
    </row>
    <row r="42">
      <c r="A42" s="84" t="s">
        <v>166</v>
      </c>
      <c r="B42" s="55"/>
      <c r="C42" s="55"/>
      <c r="D42" s="55"/>
      <c r="E42" s="55"/>
      <c r="F42" s="55"/>
      <c r="G42" s="55"/>
      <c r="H42" s="55"/>
      <c r="I42" s="55"/>
      <c r="N42" s="49"/>
      <c r="O42" s="49"/>
      <c r="P42" s="49"/>
      <c r="Q42" s="49"/>
    </row>
    <row r="43">
      <c r="A43" s="84" t="s">
        <v>167</v>
      </c>
      <c r="B43" s="55"/>
      <c r="C43" s="55"/>
      <c r="D43" s="55"/>
      <c r="E43" s="55"/>
      <c r="F43" s="55"/>
      <c r="G43" s="55"/>
      <c r="H43" s="55"/>
      <c r="I43" s="55"/>
      <c r="N43" s="49"/>
      <c r="O43" s="49"/>
      <c r="P43" s="49"/>
      <c r="Q43" s="49"/>
    </row>
    <row r="44">
      <c r="A44" s="84" t="s">
        <v>168</v>
      </c>
      <c r="B44" s="55"/>
      <c r="C44" s="55"/>
      <c r="D44" s="55"/>
      <c r="E44" s="55"/>
      <c r="F44" s="55"/>
      <c r="G44" s="55"/>
      <c r="H44" s="55"/>
      <c r="I44" s="55"/>
      <c r="N44" s="49"/>
      <c r="O44" s="49"/>
      <c r="P44" s="49"/>
      <c r="Q44" s="49"/>
    </row>
    <row r="45">
      <c r="A45" s="84" t="s">
        <v>169</v>
      </c>
      <c r="B45" s="55"/>
      <c r="C45" s="55"/>
      <c r="D45" s="55"/>
      <c r="E45" s="55"/>
      <c r="F45" s="55"/>
      <c r="G45" s="55"/>
      <c r="H45" s="55"/>
      <c r="I45" s="55"/>
      <c r="N45" s="49"/>
      <c r="O45" s="49"/>
      <c r="P45" s="49"/>
      <c r="Q45" s="49"/>
    </row>
    <row r="46">
      <c r="A46" s="84" t="s">
        <v>170</v>
      </c>
      <c r="B46" s="55"/>
      <c r="C46" s="55"/>
      <c r="D46" s="55"/>
      <c r="E46" s="55"/>
      <c r="F46" s="55"/>
      <c r="G46" s="55"/>
      <c r="H46" s="55"/>
      <c r="I46" s="55"/>
      <c r="N46" s="49"/>
      <c r="O46" s="49"/>
      <c r="P46" s="49"/>
      <c r="Q46" s="49"/>
    </row>
    <row r="47">
      <c r="A47" s="84" t="s">
        <v>56</v>
      </c>
      <c r="B47" s="55"/>
      <c r="C47" s="55"/>
      <c r="D47" s="55"/>
      <c r="E47" s="55"/>
      <c r="F47" s="55"/>
      <c r="G47" s="55"/>
      <c r="H47" s="55"/>
      <c r="I47" s="55"/>
      <c r="N47" s="49"/>
      <c r="O47" s="49"/>
      <c r="P47" s="49"/>
      <c r="Q47" s="49"/>
    </row>
    <row r="48">
      <c r="A48" s="84" t="s">
        <v>58</v>
      </c>
      <c r="B48" s="55"/>
      <c r="C48" s="55"/>
      <c r="D48" s="55"/>
      <c r="E48" s="55"/>
      <c r="F48" s="55"/>
      <c r="G48" s="55"/>
      <c r="H48" s="55"/>
      <c r="I48" s="55"/>
      <c r="N48" s="49"/>
      <c r="O48" s="49"/>
      <c r="P48" s="49"/>
      <c r="Q48" s="49"/>
    </row>
    <row r="49">
      <c r="N49" s="49"/>
      <c r="O49" s="49"/>
      <c r="P49" s="49"/>
      <c r="Q49" s="49"/>
    </row>
    <row r="50">
      <c r="N50" s="49"/>
      <c r="O50" s="49"/>
      <c r="P50" s="49"/>
      <c r="Q50" s="49"/>
    </row>
    <row r="51">
      <c r="B51" s="45" t="s">
        <v>171</v>
      </c>
      <c r="N51" s="49"/>
      <c r="O51" s="49"/>
      <c r="P51" s="49"/>
      <c r="Q51" s="49"/>
    </row>
    <row r="52">
      <c r="A52" s="45" t="s">
        <v>172</v>
      </c>
      <c r="B52" s="45" t="s">
        <v>173</v>
      </c>
      <c r="C52" s="45" t="s">
        <v>174</v>
      </c>
      <c r="E52" s="45"/>
      <c r="N52" s="49"/>
      <c r="O52" s="49"/>
      <c r="P52" s="49"/>
      <c r="Q52" s="49"/>
    </row>
    <row r="53">
      <c r="A53" s="19" t="s">
        <v>175</v>
      </c>
      <c r="B53" s="19" t="b">
        <v>0</v>
      </c>
      <c r="C53" s="49"/>
      <c r="N53" s="49"/>
      <c r="O53" s="49"/>
      <c r="P53" s="49"/>
      <c r="Q53" s="49"/>
    </row>
    <row r="54">
      <c r="A54" s="19" t="s">
        <v>176</v>
      </c>
      <c r="B54" s="19" t="b">
        <v>0</v>
      </c>
      <c r="C54" s="49"/>
      <c r="N54" s="49"/>
      <c r="O54" s="49"/>
      <c r="P54" s="49"/>
      <c r="Q54" s="49"/>
    </row>
    <row r="55">
      <c r="A55" s="19" t="s">
        <v>177</v>
      </c>
      <c r="B55" s="19" t="b">
        <v>0</v>
      </c>
      <c r="C55" s="49"/>
      <c r="N55" s="49"/>
      <c r="O55" s="49"/>
      <c r="P55" s="49"/>
      <c r="Q55" s="49"/>
    </row>
    <row r="56">
      <c r="A56" s="19" t="s">
        <v>178</v>
      </c>
      <c r="B56" s="19" t="b">
        <v>0</v>
      </c>
      <c r="C56" s="49"/>
      <c r="N56" s="49"/>
      <c r="O56" s="49"/>
      <c r="P56" s="49"/>
      <c r="Q56" s="49"/>
    </row>
    <row r="57">
      <c r="A57" s="19" t="s">
        <v>179</v>
      </c>
      <c r="B57" s="19" t="b">
        <v>0</v>
      </c>
      <c r="C57" s="49"/>
      <c r="N57" s="49"/>
      <c r="O57" s="49"/>
      <c r="P57" s="49"/>
      <c r="Q57" s="49"/>
    </row>
    <row r="58">
      <c r="A58" s="19" t="s">
        <v>180</v>
      </c>
      <c r="B58" s="19" t="b">
        <v>0</v>
      </c>
      <c r="C58" s="49"/>
      <c r="N58" s="49"/>
      <c r="O58" s="49"/>
      <c r="P58" s="49"/>
      <c r="Q58" s="49"/>
    </row>
    <row r="59">
      <c r="A59" s="19" t="s">
        <v>181</v>
      </c>
      <c r="B59" s="19" t="b">
        <v>0</v>
      </c>
      <c r="C59" s="49"/>
      <c r="N59" s="49"/>
      <c r="O59" s="49"/>
      <c r="P59" s="49"/>
      <c r="Q59" s="49"/>
    </row>
    <row r="60">
      <c r="A60" s="19" t="s">
        <v>182</v>
      </c>
      <c r="B60" s="19" t="b">
        <v>0</v>
      </c>
      <c r="C60" s="49"/>
      <c r="N60" s="49"/>
      <c r="O60" s="49"/>
      <c r="P60" s="49"/>
      <c r="Q60" s="49"/>
    </row>
    <row r="61">
      <c r="A61" s="19" t="s">
        <v>183</v>
      </c>
      <c r="B61" s="19" t="b">
        <v>0</v>
      </c>
      <c r="C61" s="49"/>
      <c r="N61" s="49"/>
      <c r="O61" s="49"/>
      <c r="P61" s="49"/>
      <c r="Q61" s="49"/>
    </row>
    <row r="62">
      <c r="A62" s="19" t="s">
        <v>184</v>
      </c>
      <c r="B62" s="19" t="b">
        <v>0</v>
      </c>
      <c r="C62" s="49"/>
      <c r="N62" s="49"/>
      <c r="O62" s="49"/>
      <c r="P62" s="49"/>
      <c r="Q62" s="49"/>
    </row>
    <row r="63">
      <c r="A63" s="19" t="s">
        <v>185</v>
      </c>
      <c r="B63" s="19" t="b">
        <v>0</v>
      </c>
      <c r="C63" s="49"/>
      <c r="N63" s="49"/>
      <c r="O63" s="49"/>
      <c r="P63" s="49"/>
      <c r="Q63" s="49"/>
    </row>
    <row r="64">
      <c r="A64" s="19" t="s">
        <v>186</v>
      </c>
      <c r="B64" s="19" t="b">
        <v>0</v>
      </c>
      <c r="C64" s="49"/>
      <c r="N64" s="49"/>
      <c r="O64" s="49"/>
      <c r="P64" s="49"/>
      <c r="Q64" s="49"/>
    </row>
    <row r="65">
      <c r="A65" s="19" t="s">
        <v>187</v>
      </c>
      <c r="B65" s="19" t="b">
        <v>0</v>
      </c>
      <c r="C65" s="49"/>
      <c r="N65" s="49"/>
      <c r="O65" s="49"/>
      <c r="P65" s="49"/>
      <c r="Q65" s="49"/>
    </row>
    <row r="66">
      <c r="A66" s="19" t="s">
        <v>188</v>
      </c>
      <c r="B66" s="19" t="b">
        <v>0</v>
      </c>
      <c r="C66" s="49"/>
      <c r="N66" s="49"/>
      <c r="O66" s="49"/>
      <c r="P66" s="49"/>
      <c r="Q66" s="49"/>
    </row>
    <row r="67">
      <c r="A67" s="19" t="s">
        <v>189</v>
      </c>
      <c r="B67" s="19" t="b">
        <v>0</v>
      </c>
      <c r="C67" s="49"/>
      <c r="N67" s="49"/>
      <c r="O67" s="49"/>
      <c r="P67" s="49"/>
      <c r="Q67" s="49"/>
    </row>
    <row r="68">
      <c r="A68" s="19" t="s">
        <v>190</v>
      </c>
      <c r="B68" s="19" t="b">
        <v>0</v>
      </c>
      <c r="C68" s="49"/>
      <c r="N68" s="49"/>
      <c r="O68" s="49"/>
      <c r="P68" s="49"/>
      <c r="Q68" s="49"/>
    </row>
    <row r="69">
      <c r="A69" s="19" t="s">
        <v>191</v>
      </c>
      <c r="B69" s="19" t="b">
        <v>0</v>
      </c>
      <c r="C69" s="49"/>
      <c r="N69" s="49"/>
      <c r="O69" s="49"/>
      <c r="P69" s="49"/>
      <c r="Q69" s="49"/>
    </row>
    <row r="70">
      <c r="A70" s="19" t="s">
        <v>192</v>
      </c>
      <c r="B70" s="19" t="b">
        <v>0</v>
      </c>
      <c r="C70" s="49"/>
      <c r="N70" s="49"/>
      <c r="O70" s="49"/>
      <c r="P70" s="49"/>
      <c r="Q70" s="49"/>
    </row>
    <row r="71">
      <c r="A71" s="19" t="s">
        <v>193</v>
      </c>
      <c r="B71" s="19" t="b">
        <v>0</v>
      </c>
      <c r="C71" s="49"/>
      <c r="N71" s="49"/>
      <c r="O71" s="49"/>
      <c r="P71" s="49"/>
      <c r="Q71" s="49"/>
    </row>
    <row r="72">
      <c r="A72" s="19" t="s">
        <v>194</v>
      </c>
      <c r="B72" s="19" t="b">
        <v>0</v>
      </c>
      <c r="C72" s="49"/>
      <c r="N72" s="49"/>
      <c r="O72" s="49"/>
      <c r="P72" s="49"/>
      <c r="Q72" s="49"/>
    </row>
    <row r="73">
      <c r="A73" s="19" t="s">
        <v>195</v>
      </c>
      <c r="B73" s="19" t="b">
        <v>0</v>
      </c>
      <c r="C73" s="49"/>
      <c r="N73" s="49"/>
      <c r="O73" s="49"/>
      <c r="P73" s="49"/>
      <c r="Q73" s="49"/>
    </row>
    <row r="74">
      <c r="A74" s="19" t="s">
        <v>196</v>
      </c>
      <c r="B74" s="19" t="b">
        <v>0</v>
      </c>
      <c r="C74" s="49"/>
      <c r="N74" s="49"/>
      <c r="O74" s="49"/>
      <c r="P74" s="49"/>
      <c r="Q74" s="49"/>
    </row>
    <row r="75">
      <c r="A75" s="19" t="s">
        <v>197</v>
      </c>
      <c r="B75" s="19" t="b">
        <v>0</v>
      </c>
      <c r="C75" s="49"/>
      <c r="N75" s="49"/>
      <c r="O75" s="49"/>
      <c r="P75" s="49"/>
      <c r="Q75" s="49"/>
    </row>
    <row r="76">
      <c r="N76" s="49"/>
      <c r="O76" s="49"/>
      <c r="P76" s="49"/>
      <c r="Q76" s="49"/>
    </row>
    <row r="77">
      <c r="N77" s="49"/>
      <c r="O77" s="49"/>
      <c r="P77" s="49"/>
      <c r="Q77" s="49"/>
    </row>
    <row r="78">
      <c r="N78" s="49"/>
      <c r="O78" s="49"/>
      <c r="P78" s="49"/>
      <c r="Q78" s="49"/>
    </row>
    <row r="79">
      <c r="N79" s="49"/>
      <c r="O79" s="49"/>
      <c r="P79" s="49"/>
      <c r="Q79" s="49"/>
    </row>
    <row r="80">
      <c r="N80" s="49"/>
      <c r="O80" s="49"/>
      <c r="P80" s="49"/>
      <c r="Q80" s="49"/>
    </row>
    <row r="81">
      <c r="N81" s="49"/>
      <c r="O81" s="49"/>
      <c r="P81" s="49"/>
      <c r="Q81" s="49"/>
    </row>
    <row r="82">
      <c r="N82" s="49"/>
      <c r="O82" s="49"/>
      <c r="P82" s="49"/>
      <c r="Q82" s="49"/>
    </row>
    <row r="83">
      <c r="N83" s="49"/>
      <c r="O83" s="49"/>
      <c r="P83" s="49"/>
      <c r="Q83" s="49"/>
    </row>
    <row r="84">
      <c r="N84" s="49"/>
      <c r="O84" s="49"/>
      <c r="P84" s="49"/>
      <c r="Q84" s="49"/>
    </row>
    <row r="85">
      <c r="N85" s="49"/>
      <c r="O85" s="49"/>
      <c r="P85" s="49"/>
      <c r="Q85" s="49"/>
    </row>
    <row r="86">
      <c r="N86" s="49"/>
      <c r="O86" s="49"/>
      <c r="P86" s="49"/>
      <c r="Q86" s="49"/>
    </row>
    <row r="87">
      <c r="N87" s="49"/>
      <c r="O87" s="49"/>
      <c r="P87" s="49"/>
      <c r="Q87" s="49"/>
    </row>
    <row r="88">
      <c r="N88" s="49"/>
      <c r="O88" s="49"/>
      <c r="P88" s="49"/>
      <c r="Q88" s="49"/>
    </row>
    <row r="89">
      <c r="N89" s="49"/>
      <c r="O89" s="49"/>
      <c r="P89" s="49"/>
      <c r="Q89" s="49"/>
    </row>
    <row r="90">
      <c r="N90" s="49"/>
      <c r="O90" s="49"/>
      <c r="P90" s="49"/>
      <c r="Q90" s="49"/>
    </row>
    <row r="91">
      <c r="N91" s="49"/>
      <c r="O91" s="49"/>
      <c r="P91" s="49"/>
      <c r="Q91" s="49"/>
    </row>
    <row r="92">
      <c r="N92" s="49"/>
      <c r="O92" s="49"/>
      <c r="P92" s="49"/>
      <c r="Q92" s="49"/>
    </row>
    <row r="93">
      <c r="N93" s="49"/>
      <c r="O93" s="49"/>
      <c r="P93" s="49"/>
      <c r="Q93" s="49"/>
    </row>
    <row r="94">
      <c r="N94" s="49"/>
      <c r="O94" s="49"/>
      <c r="P94" s="49"/>
      <c r="Q94" s="49"/>
    </row>
    <row r="95">
      <c r="N95" s="49"/>
      <c r="O95" s="49"/>
      <c r="P95" s="49"/>
      <c r="Q95" s="49"/>
    </row>
    <row r="96">
      <c r="N96" s="49"/>
      <c r="O96" s="49"/>
      <c r="P96" s="49"/>
      <c r="Q96" s="49"/>
    </row>
    <row r="97">
      <c r="N97" s="49"/>
      <c r="O97" s="49"/>
      <c r="P97" s="49"/>
      <c r="Q97" s="49"/>
    </row>
    <row r="98">
      <c r="N98" s="49"/>
      <c r="O98" s="49"/>
      <c r="P98" s="49"/>
      <c r="Q98" s="49"/>
    </row>
    <row r="99">
      <c r="N99" s="49"/>
      <c r="O99" s="49"/>
      <c r="P99" s="49"/>
      <c r="Q99" s="49"/>
    </row>
    <row r="100">
      <c r="N100" s="49"/>
      <c r="O100" s="49"/>
      <c r="P100" s="49"/>
      <c r="Q100" s="49"/>
    </row>
    <row r="101">
      <c r="N101" s="49"/>
      <c r="O101" s="49"/>
      <c r="P101" s="49"/>
      <c r="Q101" s="49"/>
    </row>
    <row r="102">
      <c r="N102" s="49"/>
      <c r="O102" s="49"/>
      <c r="P102" s="49"/>
      <c r="Q102" s="49"/>
    </row>
    <row r="103">
      <c r="N103" s="49"/>
      <c r="O103" s="49"/>
      <c r="P103" s="49"/>
      <c r="Q103" s="49"/>
    </row>
    <row r="104">
      <c r="N104" s="49"/>
      <c r="O104" s="49"/>
      <c r="P104" s="49"/>
      <c r="Q104" s="49"/>
    </row>
    <row r="105">
      <c r="N105" s="49"/>
      <c r="O105" s="49"/>
      <c r="P105" s="49"/>
      <c r="Q105" s="49"/>
    </row>
    <row r="106">
      <c r="N106" s="49"/>
      <c r="O106" s="49"/>
      <c r="P106" s="49"/>
      <c r="Q106" s="49"/>
    </row>
    <row r="107">
      <c r="N107" s="49"/>
      <c r="O107" s="49"/>
      <c r="P107" s="49"/>
      <c r="Q107" s="49"/>
    </row>
    <row r="108">
      <c r="N108" s="49"/>
      <c r="O108" s="49"/>
      <c r="P108" s="49"/>
      <c r="Q108" s="49"/>
    </row>
    <row r="109">
      <c r="N109" s="49"/>
      <c r="O109" s="49"/>
      <c r="P109" s="49"/>
      <c r="Q109" s="49"/>
    </row>
    <row r="110">
      <c r="N110" s="49"/>
      <c r="O110" s="49"/>
      <c r="P110" s="49"/>
      <c r="Q110" s="49"/>
    </row>
    <row r="111">
      <c r="N111" s="49"/>
      <c r="O111" s="49"/>
      <c r="P111" s="49"/>
      <c r="Q111" s="49"/>
    </row>
    <row r="112">
      <c r="N112" s="49"/>
      <c r="O112" s="49"/>
      <c r="P112" s="49"/>
      <c r="Q112" s="49"/>
    </row>
    <row r="113">
      <c r="N113" s="49"/>
      <c r="O113" s="49"/>
      <c r="P113" s="49"/>
      <c r="Q113" s="49"/>
    </row>
    <row r="114">
      <c r="N114" s="49"/>
      <c r="O114" s="49"/>
      <c r="P114" s="49"/>
      <c r="Q114" s="49"/>
    </row>
    <row r="115">
      <c r="N115" s="49"/>
      <c r="O115" s="49"/>
      <c r="P115" s="49"/>
      <c r="Q115" s="49"/>
    </row>
    <row r="116">
      <c r="N116" s="49"/>
      <c r="O116" s="49"/>
      <c r="P116" s="49"/>
      <c r="Q116" s="49"/>
    </row>
    <row r="117">
      <c r="N117" s="49"/>
      <c r="O117" s="49"/>
      <c r="P117" s="49"/>
      <c r="Q117" s="49"/>
    </row>
    <row r="118">
      <c r="N118" s="49"/>
      <c r="O118" s="49"/>
      <c r="P118" s="49"/>
      <c r="Q118" s="49"/>
    </row>
    <row r="119">
      <c r="N119" s="49"/>
      <c r="O119" s="49"/>
      <c r="P119" s="49"/>
      <c r="Q119" s="49"/>
    </row>
    <row r="120">
      <c r="N120" s="49"/>
      <c r="O120" s="49"/>
      <c r="P120" s="49"/>
      <c r="Q120" s="49"/>
    </row>
    <row r="121">
      <c r="N121" s="49"/>
      <c r="O121" s="49"/>
      <c r="P121" s="49"/>
      <c r="Q121" s="49"/>
    </row>
    <row r="122">
      <c r="N122" s="49"/>
      <c r="O122" s="49"/>
      <c r="P122" s="49"/>
      <c r="Q122" s="49"/>
    </row>
    <row r="123">
      <c r="N123" s="49"/>
      <c r="O123" s="49"/>
      <c r="P123" s="49"/>
      <c r="Q123" s="49"/>
    </row>
    <row r="124">
      <c r="N124" s="49"/>
      <c r="O124" s="49"/>
      <c r="P124" s="49"/>
      <c r="Q124" s="49"/>
    </row>
    <row r="125">
      <c r="N125" s="49"/>
      <c r="O125" s="49"/>
      <c r="P125" s="49"/>
      <c r="Q125" s="49"/>
    </row>
    <row r="126">
      <c r="N126" s="49"/>
      <c r="O126" s="49"/>
      <c r="P126" s="49"/>
      <c r="Q126" s="49"/>
    </row>
    <row r="127">
      <c r="N127" s="49"/>
      <c r="O127" s="49"/>
      <c r="P127" s="49"/>
      <c r="Q127" s="49"/>
    </row>
    <row r="128">
      <c r="N128" s="49"/>
      <c r="O128" s="49"/>
      <c r="P128" s="49"/>
      <c r="Q128" s="49"/>
    </row>
    <row r="129">
      <c r="N129" s="49"/>
      <c r="O129" s="49"/>
      <c r="P129" s="49"/>
      <c r="Q129" s="49"/>
    </row>
    <row r="130">
      <c r="N130" s="49"/>
      <c r="O130" s="49"/>
      <c r="P130" s="49"/>
      <c r="Q130" s="49"/>
    </row>
    <row r="131">
      <c r="N131" s="49"/>
      <c r="O131" s="49"/>
      <c r="P131" s="49"/>
      <c r="Q131" s="49"/>
    </row>
    <row r="132">
      <c r="N132" s="49"/>
      <c r="O132" s="49"/>
      <c r="P132" s="49"/>
      <c r="Q132" s="49"/>
    </row>
    <row r="133">
      <c r="N133" s="49"/>
      <c r="O133" s="49"/>
      <c r="P133" s="49"/>
      <c r="Q133" s="49"/>
    </row>
    <row r="134">
      <c r="N134" s="49"/>
      <c r="O134" s="49"/>
      <c r="P134" s="49"/>
      <c r="Q134" s="49"/>
    </row>
    <row r="135">
      <c r="N135" s="49"/>
      <c r="O135" s="49"/>
      <c r="P135" s="49"/>
      <c r="Q135" s="49"/>
    </row>
    <row r="136">
      <c r="N136" s="49"/>
      <c r="O136" s="49"/>
      <c r="P136" s="49"/>
      <c r="Q136" s="49"/>
    </row>
    <row r="137">
      <c r="N137" s="49"/>
      <c r="O137" s="49"/>
      <c r="P137" s="49"/>
      <c r="Q137" s="49"/>
    </row>
    <row r="138">
      <c r="N138" s="49"/>
      <c r="O138" s="49"/>
      <c r="P138" s="49"/>
      <c r="Q138" s="49"/>
    </row>
    <row r="139">
      <c r="N139" s="49"/>
      <c r="O139" s="49"/>
      <c r="P139" s="49"/>
      <c r="Q139" s="49"/>
    </row>
    <row r="140">
      <c r="N140" s="49"/>
      <c r="O140" s="49"/>
      <c r="P140" s="49"/>
      <c r="Q140" s="49"/>
    </row>
    <row r="141">
      <c r="N141" s="49"/>
      <c r="O141" s="49"/>
      <c r="P141" s="49"/>
      <c r="Q141" s="49"/>
    </row>
    <row r="142">
      <c r="N142" s="49"/>
      <c r="O142" s="49"/>
      <c r="P142" s="49"/>
      <c r="Q142" s="49"/>
    </row>
    <row r="143">
      <c r="N143" s="49"/>
      <c r="O143" s="49"/>
      <c r="P143" s="49"/>
      <c r="Q143" s="49"/>
    </row>
    <row r="144">
      <c r="N144" s="49"/>
      <c r="O144" s="49"/>
      <c r="P144" s="49"/>
      <c r="Q144" s="49"/>
    </row>
    <row r="145">
      <c r="N145" s="49"/>
      <c r="O145" s="49"/>
      <c r="P145" s="49"/>
      <c r="Q145" s="49"/>
    </row>
    <row r="146">
      <c r="N146" s="49"/>
      <c r="O146" s="49"/>
      <c r="P146" s="49"/>
      <c r="Q146" s="49"/>
    </row>
    <row r="147">
      <c r="N147" s="49"/>
      <c r="O147" s="49"/>
      <c r="P147" s="49"/>
      <c r="Q147" s="49"/>
    </row>
    <row r="148">
      <c r="N148" s="49"/>
      <c r="O148" s="49"/>
      <c r="P148" s="49"/>
      <c r="Q148" s="49"/>
    </row>
    <row r="149">
      <c r="N149" s="49"/>
      <c r="O149" s="49"/>
      <c r="P149" s="49"/>
      <c r="Q149" s="49"/>
    </row>
    <row r="150">
      <c r="N150" s="49"/>
      <c r="O150" s="49"/>
      <c r="P150" s="49"/>
      <c r="Q150" s="49"/>
    </row>
    <row r="151">
      <c r="N151" s="49"/>
      <c r="O151" s="49"/>
      <c r="P151" s="49"/>
      <c r="Q151" s="49"/>
    </row>
    <row r="152">
      <c r="N152" s="49"/>
      <c r="O152" s="49"/>
      <c r="P152" s="49"/>
      <c r="Q152" s="49"/>
    </row>
    <row r="153">
      <c r="N153" s="49"/>
      <c r="O153" s="49"/>
      <c r="P153" s="49"/>
      <c r="Q153" s="49"/>
    </row>
    <row r="154">
      <c r="N154" s="49"/>
      <c r="O154" s="49"/>
      <c r="P154" s="49"/>
      <c r="Q154" s="49"/>
    </row>
    <row r="155">
      <c r="N155" s="49"/>
      <c r="O155" s="49"/>
      <c r="P155" s="49"/>
      <c r="Q155" s="49"/>
    </row>
    <row r="156">
      <c r="N156" s="49"/>
      <c r="O156" s="49"/>
      <c r="P156" s="49"/>
      <c r="Q156" s="49"/>
    </row>
    <row r="157">
      <c r="N157" s="49"/>
      <c r="O157" s="49"/>
      <c r="P157" s="49"/>
      <c r="Q157" s="49"/>
    </row>
    <row r="158">
      <c r="N158" s="49"/>
      <c r="O158" s="49"/>
      <c r="P158" s="49"/>
      <c r="Q158" s="49"/>
    </row>
    <row r="159">
      <c r="N159" s="49"/>
      <c r="O159" s="49"/>
      <c r="P159" s="49"/>
      <c r="Q159" s="49"/>
    </row>
    <row r="160">
      <c r="N160" s="49"/>
      <c r="O160" s="49"/>
      <c r="P160" s="49"/>
      <c r="Q160" s="49"/>
    </row>
    <row r="161">
      <c r="N161" s="49"/>
      <c r="O161" s="49"/>
      <c r="P161" s="49"/>
      <c r="Q161" s="49"/>
    </row>
    <row r="162">
      <c r="N162" s="49"/>
      <c r="O162" s="49"/>
      <c r="P162" s="49"/>
      <c r="Q162" s="49"/>
    </row>
    <row r="163">
      <c r="N163" s="49"/>
      <c r="O163" s="49"/>
      <c r="P163" s="49"/>
      <c r="Q163" s="49"/>
    </row>
    <row r="164">
      <c r="N164" s="49"/>
      <c r="O164" s="49"/>
      <c r="P164" s="49"/>
      <c r="Q164" s="49"/>
    </row>
    <row r="165">
      <c r="N165" s="49"/>
      <c r="O165" s="49"/>
      <c r="P165" s="49"/>
      <c r="Q165" s="49"/>
    </row>
    <row r="166">
      <c r="N166" s="49"/>
      <c r="O166" s="49"/>
      <c r="P166" s="49"/>
      <c r="Q166" s="49"/>
    </row>
    <row r="167">
      <c r="N167" s="49"/>
      <c r="O167" s="49"/>
      <c r="P167" s="49"/>
      <c r="Q167" s="49"/>
    </row>
    <row r="168">
      <c r="N168" s="49"/>
      <c r="O168" s="49"/>
      <c r="P168" s="49"/>
      <c r="Q168" s="49"/>
    </row>
    <row r="169">
      <c r="N169" s="49"/>
      <c r="O169" s="49"/>
      <c r="P169" s="49"/>
      <c r="Q169" s="49"/>
    </row>
    <row r="170">
      <c r="N170" s="49"/>
      <c r="O170" s="49"/>
      <c r="P170" s="49"/>
      <c r="Q170" s="49"/>
    </row>
    <row r="171">
      <c r="N171" s="49"/>
      <c r="O171" s="49"/>
      <c r="P171" s="49"/>
      <c r="Q171" s="49"/>
    </row>
    <row r="172">
      <c r="N172" s="49"/>
      <c r="O172" s="49"/>
      <c r="P172" s="49"/>
      <c r="Q172" s="49"/>
    </row>
    <row r="173">
      <c r="N173" s="49"/>
      <c r="O173" s="49"/>
      <c r="P173" s="49"/>
      <c r="Q173" s="49"/>
    </row>
    <row r="174">
      <c r="N174" s="49"/>
      <c r="O174" s="49"/>
      <c r="P174" s="49"/>
      <c r="Q174" s="49"/>
    </row>
    <row r="175">
      <c r="N175" s="49"/>
      <c r="O175" s="49"/>
      <c r="P175" s="49"/>
      <c r="Q175" s="49"/>
    </row>
    <row r="176">
      <c r="N176" s="49"/>
      <c r="O176" s="49"/>
      <c r="P176" s="49"/>
      <c r="Q176" s="49"/>
    </row>
    <row r="177">
      <c r="N177" s="49"/>
      <c r="O177" s="49"/>
      <c r="P177" s="49"/>
      <c r="Q177" s="49"/>
    </row>
    <row r="178">
      <c r="N178" s="49"/>
      <c r="O178" s="49"/>
      <c r="P178" s="49"/>
      <c r="Q178" s="49"/>
    </row>
    <row r="179">
      <c r="N179" s="49"/>
      <c r="O179" s="49"/>
      <c r="P179" s="49"/>
      <c r="Q179" s="49"/>
    </row>
    <row r="180">
      <c r="N180" s="49"/>
      <c r="O180" s="49"/>
      <c r="P180" s="49"/>
      <c r="Q180" s="49"/>
    </row>
    <row r="181">
      <c r="N181" s="49"/>
      <c r="O181" s="49"/>
      <c r="P181" s="49"/>
      <c r="Q181" s="49"/>
    </row>
    <row r="182">
      <c r="N182" s="49"/>
      <c r="O182" s="49"/>
      <c r="P182" s="49"/>
      <c r="Q182" s="49"/>
    </row>
    <row r="183">
      <c r="N183" s="49"/>
      <c r="O183" s="49"/>
      <c r="P183" s="49"/>
      <c r="Q183" s="49"/>
    </row>
    <row r="184">
      <c r="N184" s="49"/>
      <c r="O184" s="49"/>
      <c r="P184" s="49"/>
      <c r="Q184" s="49"/>
    </row>
    <row r="185">
      <c r="N185" s="49"/>
      <c r="O185" s="49"/>
      <c r="P185" s="49"/>
      <c r="Q185" s="49"/>
    </row>
    <row r="186">
      <c r="N186" s="49"/>
      <c r="O186" s="49"/>
      <c r="P186" s="49"/>
      <c r="Q186" s="49"/>
    </row>
    <row r="187">
      <c r="N187" s="49"/>
      <c r="O187" s="49"/>
      <c r="P187" s="49"/>
      <c r="Q187" s="49"/>
    </row>
    <row r="188">
      <c r="N188" s="49"/>
      <c r="O188" s="49"/>
      <c r="P188" s="49"/>
      <c r="Q188" s="49"/>
    </row>
    <row r="189">
      <c r="N189" s="49"/>
      <c r="O189" s="49"/>
      <c r="P189" s="49"/>
      <c r="Q189" s="49"/>
    </row>
    <row r="190">
      <c r="N190" s="49"/>
      <c r="O190" s="49"/>
      <c r="P190" s="49"/>
      <c r="Q190" s="49"/>
    </row>
    <row r="191">
      <c r="N191" s="49"/>
      <c r="O191" s="49"/>
      <c r="P191" s="49"/>
      <c r="Q191" s="49"/>
    </row>
    <row r="192">
      <c r="N192" s="49"/>
      <c r="O192" s="49"/>
      <c r="P192" s="49"/>
      <c r="Q192" s="49"/>
    </row>
    <row r="193">
      <c r="N193" s="49"/>
      <c r="O193" s="49"/>
      <c r="P193" s="49"/>
      <c r="Q193" s="49"/>
    </row>
    <row r="194">
      <c r="N194" s="49"/>
      <c r="O194" s="49"/>
      <c r="P194" s="49"/>
      <c r="Q194" s="49"/>
    </row>
    <row r="195">
      <c r="N195" s="49"/>
      <c r="O195" s="49"/>
      <c r="P195" s="49"/>
      <c r="Q195" s="49"/>
    </row>
    <row r="196">
      <c r="N196" s="49"/>
      <c r="O196" s="49"/>
      <c r="P196" s="49"/>
      <c r="Q196" s="49"/>
    </row>
    <row r="197">
      <c r="N197" s="49"/>
      <c r="O197" s="49"/>
      <c r="P197" s="49"/>
      <c r="Q197" s="49"/>
    </row>
    <row r="198">
      <c r="N198" s="49"/>
      <c r="O198" s="49"/>
      <c r="P198" s="49"/>
      <c r="Q198" s="49"/>
    </row>
    <row r="199">
      <c r="N199" s="49"/>
      <c r="O199" s="49"/>
      <c r="P199" s="49"/>
      <c r="Q199" s="49"/>
    </row>
    <row r="200">
      <c r="N200" s="49"/>
      <c r="O200" s="49"/>
      <c r="P200" s="49"/>
      <c r="Q200" s="49"/>
    </row>
    <row r="201">
      <c r="N201" s="49"/>
      <c r="O201" s="49"/>
      <c r="P201" s="49"/>
      <c r="Q201" s="49"/>
    </row>
    <row r="202">
      <c r="N202" s="49"/>
      <c r="O202" s="49"/>
      <c r="P202" s="49"/>
      <c r="Q202" s="49"/>
    </row>
    <row r="203">
      <c r="N203" s="49"/>
      <c r="O203" s="49"/>
      <c r="P203" s="49"/>
      <c r="Q203" s="49"/>
    </row>
    <row r="204">
      <c r="N204" s="49"/>
      <c r="O204" s="49"/>
      <c r="P204" s="49"/>
      <c r="Q204" s="49"/>
    </row>
    <row r="205">
      <c r="N205" s="49"/>
      <c r="O205" s="49"/>
      <c r="P205" s="49"/>
      <c r="Q205" s="49"/>
    </row>
    <row r="206">
      <c r="N206" s="49"/>
      <c r="O206" s="49"/>
      <c r="P206" s="49"/>
      <c r="Q206" s="49"/>
    </row>
    <row r="207">
      <c r="N207" s="49"/>
      <c r="O207" s="49"/>
      <c r="P207" s="49"/>
      <c r="Q207" s="49"/>
    </row>
    <row r="208">
      <c r="N208" s="49"/>
      <c r="O208" s="49"/>
      <c r="P208" s="49"/>
      <c r="Q208" s="49"/>
    </row>
    <row r="209">
      <c r="N209" s="49"/>
      <c r="O209" s="49"/>
      <c r="P209" s="49"/>
      <c r="Q209" s="49"/>
    </row>
    <row r="210">
      <c r="N210" s="49"/>
      <c r="O210" s="49"/>
      <c r="P210" s="49"/>
      <c r="Q210" s="49"/>
    </row>
    <row r="211">
      <c r="N211" s="49"/>
      <c r="O211" s="49"/>
      <c r="P211" s="49"/>
      <c r="Q211" s="49"/>
    </row>
    <row r="212">
      <c r="N212" s="49"/>
      <c r="O212" s="49"/>
      <c r="P212" s="49"/>
      <c r="Q212" s="49"/>
    </row>
    <row r="213">
      <c r="N213" s="49"/>
      <c r="O213" s="49"/>
      <c r="P213" s="49"/>
      <c r="Q213" s="49"/>
    </row>
    <row r="214">
      <c r="N214" s="49"/>
      <c r="O214" s="49"/>
      <c r="P214" s="49"/>
      <c r="Q214" s="49"/>
    </row>
    <row r="215">
      <c r="N215" s="49"/>
      <c r="O215" s="49"/>
      <c r="P215" s="49"/>
      <c r="Q215" s="49"/>
    </row>
    <row r="216">
      <c r="N216" s="49"/>
      <c r="O216" s="49"/>
      <c r="P216" s="49"/>
      <c r="Q216" s="49"/>
    </row>
    <row r="217">
      <c r="N217" s="49"/>
      <c r="O217" s="49"/>
      <c r="P217" s="49"/>
      <c r="Q217" s="49"/>
    </row>
    <row r="218">
      <c r="N218" s="49"/>
      <c r="O218" s="49"/>
      <c r="P218" s="49"/>
      <c r="Q218" s="49"/>
    </row>
    <row r="219">
      <c r="N219" s="49"/>
      <c r="O219" s="49"/>
      <c r="P219" s="49"/>
      <c r="Q219" s="49"/>
    </row>
    <row r="220">
      <c r="N220" s="49"/>
      <c r="O220" s="49"/>
      <c r="P220" s="49"/>
      <c r="Q220" s="49"/>
    </row>
    <row r="221">
      <c r="N221" s="49"/>
      <c r="O221" s="49"/>
      <c r="P221" s="49"/>
      <c r="Q221" s="49"/>
    </row>
    <row r="222">
      <c r="N222" s="49"/>
      <c r="O222" s="49"/>
      <c r="P222" s="49"/>
      <c r="Q222" s="49"/>
    </row>
    <row r="223">
      <c r="N223" s="49"/>
      <c r="O223" s="49"/>
      <c r="P223" s="49"/>
      <c r="Q223" s="49"/>
    </row>
    <row r="224">
      <c r="N224" s="49"/>
      <c r="O224" s="49"/>
      <c r="P224" s="49"/>
      <c r="Q224" s="49"/>
    </row>
    <row r="225">
      <c r="N225" s="49"/>
      <c r="O225" s="49"/>
      <c r="P225" s="49"/>
      <c r="Q225" s="49"/>
    </row>
    <row r="226">
      <c r="N226" s="49"/>
      <c r="O226" s="49"/>
      <c r="P226" s="49"/>
      <c r="Q226" s="49"/>
    </row>
    <row r="227">
      <c r="N227" s="49"/>
      <c r="O227" s="49"/>
      <c r="P227" s="49"/>
      <c r="Q227" s="49"/>
    </row>
    <row r="228">
      <c r="N228" s="49"/>
      <c r="O228" s="49"/>
      <c r="P228" s="49"/>
      <c r="Q228" s="49"/>
    </row>
    <row r="229">
      <c r="N229" s="49"/>
      <c r="O229" s="49"/>
      <c r="P229" s="49"/>
      <c r="Q229" s="49"/>
    </row>
    <row r="230">
      <c r="N230" s="49"/>
      <c r="O230" s="49"/>
      <c r="P230" s="49"/>
      <c r="Q230" s="49"/>
    </row>
    <row r="231">
      <c r="N231" s="49"/>
      <c r="O231" s="49"/>
      <c r="P231" s="49"/>
      <c r="Q231" s="49"/>
    </row>
    <row r="232">
      <c r="N232" s="49"/>
      <c r="O232" s="49"/>
      <c r="P232" s="49"/>
      <c r="Q232" s="49"/>
    </row>
    <row r="233">
      <c r="N233" s="49"/>
      <c r="O233" s="49"/>
      <c r="P233" s="49"/>
      <c r="Q233" s="49"/>
    </row>
    <row r="234">
      <c r="N234" s="49"/>
      <c r="O234" s="49"/>
      <c r="P234" s="49"/>
      <c r="Q234" s="49"/>
    </row>
    <row r="235">
      <c r="N235" s="49"/>
      <c r="O235" s="49"/>
      <c r="P235" s="49"/>
      <c r="Q235" s="49"/>
    </row>
    <row r="236">
      <c r="N236" s="49"/>
      <c r="O236" s="49"/>
      <c r="P236" s="49"/>
      <c r="Q236" s="49"/>
    </row>
    <row r="237">
      <c r="N237" s="49"/>
      <c r="O237" s="49"/>
      <c r="P237" s="49"/>
      <c r="Q237" s="49"/>
    </row>
    <row r="238">
      <c r="N238" s="49"/>
      <c r="O238" s="49"/>
      <c r="P238" s="49"/>
      <c r="Q238" s="49"/>
    </row>
    <row r="239">
      <c r="N239" s="49"/>
      <c r="O239" s="49"/>
      <c r="P239" s="49"/>
      <c r="Q239" s="49"/>
    </row>
    <row r="240">
      <c r="N240" s="49"/>
      <c r="O240" s="49"/>
      <c r="P240" s="49"/>
      <c r="Q240" s="49"/>
    </row>
    <row r="241">
      <c r="N241" s="49"/>
      <c r="O241" s="49"/>
      <c r="P241" s="49"/>
      <c r="Q241" s="49"/>
    </row>
    <row r="242">
      <c r="N242" s="49"/>
      <c r="O242" s="49"/>
      <c r="P242" s="49"/>
      <c r="Q242" s="49"/>
    </row>
    <row r="243">
      <c r="N243" s="49"/>
      <c r="O243" s="49"/>
      <c r="P243" s="49"/>
      <c r="Q243" s="49"/>
    </row>
    <row r="244">
      <c r="N244" s="49"/>
      <c r="O244" s="49"/>
      <c r="P244" s="49"/>
      <c r="Q244" s="49"/>
    </row>
    <row r="245">
      <c r="N245" s="49"/>
      <c r="O245" s="49"/>
      <c r="P245" s="49"/>
      <c r="Q245" s="49"/>
    </row>
    <row r="246">
      <c r="N246" s="49"/>
      <c r="O246" s="49"/>
      <c r="P246" s="49"/>
      <c r="Q246" s="49"/>
    </row>
    <row r="247">
      <c r="N247" s="49"/>
      <c r="O247" s="49"/>
      <c r="P247" s="49"/>
      <c r="Q247" s="49"/>
    </row>
    <row r="248">
      <c r="N248" s="49"/>
      <c r="O248" s="49"/>
      <c r="P248" s="49"/>
      <c r="Q248" s="49"/>
    </row>
    <row r="249">
      <c r="N249" s="49"/>
      <c r="O249" s="49"/>
      <c r="P249" s="49"/>
      <c r="Q249" s="49"/>
    </row>
    <row r="250">
      <c r="N250" s="49"/>
      <c r="O250" s="49"/>
      <c r="P250" s="49"/>
      <c r="Q250" s="49"/>
    </row>
    <row r="251">
      <c r="N251" s="49"/>
      <c r="O251" s="49"/>
      <c r="P251" s="49"/>
      <c r="Q251" s="49"/>
    </row>
    <row r="252">
      <c r="N252" s="49"/>
      <c r="O252" s="49"/>
      <c r="P252" s="49"/>
      <c r="Q252" s="49"/>
    </row>
    <row r="253">
      <c r="N253" s="49"/>
      <c r="O253" s="49"/>
      <c r="P253" s="49"/>
      <c r="Q253" s="49"/>
    </row>
    <row r="254">
      <c r="N254" s="49"/>
      <c r="O254" s="49"/>
      <c r="P254" s="49"/>
      <c r="Q254" s="49"/>
    </row>
    <row r="255">
      <c r="N255" s="49"/>
      <c r="O255" s="49"/>
      <c r="P255" s="49"/>
      <c r="Q255" s="49"/>
    </row>
    <row r="256">
      <c r="N256" s="49"/>
      <c r="O256" s="49"/>
      <c r="P256" s="49"/>
      <c r="Q256" s="49"/>
    </row>
    <row r="257">
      <c r="N257" s="49"/>
      <c r="O257" s="49"/>
      <c r="P257" s="49"/>
      <c r="Q257" s="49"/>
    </row>
    <row r="258">
      <c r="N258" s="49"/>
      <c r="O258" s="49"/>
      <c r="P258" s="49"/>
      <c r="Q258" s="49"/>
    </row>
    <row r="259">
      <c r="N259" s="49"/>
      <c r="O259" s="49"/>
      <c r="P259" s="49"/>
      <c r="Q259" s="49"/>
    </row>
    <row r="260">
      <c r="N260" s="49"/>
      <c r="O260" s="49"/>
      <c r="P260" s="49"/>
      <c r="Q260" s="49"/>
    </row>
    <row r="261">
      <c r="N261" s="49"/>
      <c r="O261" s="49"/>
      <c r="P261" s="49"/>
      <c r="Q261" s="49"/>
    </row>
    <row r="262">
      <c r="N262" s="49"/>
      <c r="O262" s="49"/>
      <c r="P262" s="49"/>
      <c r="Q262" s="49"/>
    </row>
    <row r="263">
      <c r="N263" s="49"/>
      <c r="O263" s="49"/>
      <c r="P263" s="49"/>
      <c r="Q263" s="49"/>
    </row>
    <row r="264">
      <c r="N264" s="49"/>
      <c r="O264" s="49"/>
      <c r="P264" s="49"/>
      <c r="Q264" s="49"/>
    </row>
    <row r="265">
      <c r="N265" s="49"/>
      <c r="O265" s="49"/>
      <c r="P265" s="49"/>
      <c r="Q265" s="49"/>
    </row>
    <row r="266">
      <c r="N266" s="49"/>
      <c r="O266" s="49"/>
      <c r="P266" s="49"/>
      <c r="Q266" s="49"/>
    </row>
    <row r="267">
      <c r="N267" s="49"/>
      <c r="O267" s="49"/>
      <c r="P267" s="49"/>
      <c r="Q267" s="49"/>
    </row>
    <row r="268">
      <c r="N268" s="49"/>
      <c r="O268" s="49"/>
      <c r="P268" s="49"/>
      <c r="Q268" s="49"/>
    </row>
    <row r="269">
      <c r="N269" s="49"/>
      <c r="O269" s="49"/>
      <c r="P269" s="49"/>
      <c r="Q269" s="49"/>
    </row>
    <row r="270">
      <c r="N270" s="49"/>
      <c r="O270" s="49"/>
      <c r="P270" s="49"/>
      <c r="Q270" s="49"/>
    </row>
    <row r="271">
      <c r="N271" s="49"/>
      <c r="O271" s="49"/>
      <c r="P271" s="49"/>
      <c r="Q271" s="49"/>
    </row>
    <row r="272">
      <c r="N272" s="49"/>
      <c r="O272" s="49"/>
      <c r="P272" s="49"/>
      <c r="Q272" s="49"/>
    </row>
    <row r="273">
      <c r="N273" s="49"/>
      <c r="O273" s="49"/>
      <c r="P273" s="49"/>
      <c r="Q273" s="49"/>
    </row>
    <row r="274">
      <c r="N274" s="49"/>
      <c r="O274" s="49"/>
      <c r="P274" s="49"/>
      <c r="Q274" s="49"/>
    </row>
    <row r="275">
      <c r="N275" s="49"/>
      <c r="O275" s="49"/>
      <c r="P275" s="49"/>
      <c r="Q275" s="49"/>
    </row>
    <row r="276">
      <c r="N276" s="49"/>
      <c r="O276" s="49"/>
      <c r="P276" s="49"/>
      <c r="Q276" s="49"/>
    </row>
    <row r="277">
      <c r="N277" s="49"/>
      <c r="O277" s="49"/>
      <c r="P277" s="49"/>
      <c r="Q277" s="49"/>
    </row>
    <row r="278">
      <c r="N278" s="49"/>
      <c r="O278" s="49"/>
      <c r="P278" s="49"/>
      <c r="Q278" s="49"/>
    </row>
    <row r="279">
      <c r="N279" s="49"/>
      <c r="O279" s="49"/>
      <c r="P279" s="49"/>
      <c r="Q279" s="49"/>
    </row>
    <row r="280">
      <c r="N280" s="49"/>
      <c r="O280" s="49"/>
      <c r="P280" s="49"/>
      <c r="Q280" s="49"/>
    </row>
    <row r="281">
      <c r="N281" s="49"/>
      <c r="O281" s="49"/>
      <c r="P281" s="49"/>
      <c r="Q281" s="49"/>
    </row>
    <row r="282">
      <c r="N282" s="49"/>
      <c r="O282" s="49"/>
      <c r="P282" s="49"/>
      <c r="Q282" s="49"/>
    </row>
    <row r="283">
      <c r="N283" s="49"/>
      <c r="O283" s="49"/>
      <c r="P283" s="49"/>
      <c r="Q283" s="49"/>
    </row>
    <row r="284">
      <c r="N284" s="49"/>
      <c r="O284" s="49"/>
      <c r="P284" s="49"/>
      <c r="Q284" s="49"/>
    </row>
    <row r="285">
      <c r="N285" s="49"/>
      <c r="O285" s="49"/>
      <c r="P285" s="49"/>
      <c r="Q285" s="49"/>
    </row>
    <row r="286">
      <c r="N286" s="49"/>
      <c r="O286" s="49"/>
      <c r="P286" s="49"/>
      <c r="Q286" s="49"/>
    </row>
    <row r="287">
      <c r="N287" s="49"/>
      <c r="O287" s="49"/>
      <c r="P287" s="49"/>
      <c r="Q287" s="49"/>
    </row>
    <row r="288">
      <c r="N288" s="49"/>
      <c r="O288" s="49"/>
      <c r="P288" s="49"/>
      <c r="Q288" s="49"/>
    </row>
    <row r="289">
      <c r="N289" s="49"/>
      <c r="O289" s="49"/>
      <c r="P289" s="49"/>
      <c r="Q289" s="49"/>
    </row>
    <row r="290">
      <c r="N290" s="49"/>
      <c r="O290" s="49"/>
      <c r="P290" s="49"/>
      <c r="Q290" s="49"/>
    </row>
    <row r="291">
      <c r="N291" s="49"/>
      <c r="O291" s="49"/>
      <c r="P291" s="49"/>
      <c r="Q291" s="49"/>
    </row>
    <row r="292">
      <c r="N292" s="49"/>
      <c r="O292" s="49"/>
      <c r="P292" s="49"/>
      <c r="Q292" s="49"/>
    </row>
    <row r="293">
      <c r="N293" s="49"/>
      <c r="O293" s="49"/>
      <c r="P293" s="49"/>
      <c r="Q293" s="49"/>
    </row>
    <row r="294">
      <c r="N294" s="49"/>
      <c r="O294" s="49"/>
      <c r="P294" s="49"/>
      <c r="Q294" s="49"/>
    </row>
    <row r="295">
      <c r="N295" s="49"/>
      <c r="O295" s="49"/>
      <c r="P295" s="49"/>
      <c r="Q295" s="49"/>
    </row>
    <row r="296">
      <c r="N296" s="49"/>
      <c r="O296" s="49"/>
      <c r="P296" s="49"/>
      <c r="Q296" s="49"/>
    </row>
    <row r="297">
      <c r="N297" s="49"/>
      <c r="O297" s="49"/>
      <c r="P297" s="49"/>
      <c r="Q297" s="49"/>
    </row>
    <row r="298">
      <c r="N298" s="49"/>
      <c r="O298" s="49"/>
      <c r="P298" s="49"/>
      <c r="Q298" s="49"/>
    </row>
    <row r="299">
      <c r="N299" s="49"/>
      <c r="O299" s="49"/>
      <c r="P299" s="49"/>
      <c r="Q299" s="49"/>
    </row>
    <row r="300">
      <c r="N300" s="49"/>
      <c r="O300" s="49"/>
      <c r="P300" s="49"/>
      <c r="Q300" s="49"/>
    </row>
    <row r="301">
      <c r="N301" s="49"/>
      <c r="O301" s="49"/>
      <c r="P301" s="49"/>
      <c r="Q301" s="49"/>
    </row>
    <row r="302">
      <c r="N302" s="49"/>
      <c r="O302" s="49"/>
      <c r="P302" s="49"/>
      <c r="Q302" s="49"/>
    </row>
    <row r="303">
      <c r="N303" s="49"/>
      <c r="O303" s="49"/>
      <c r="P303" s="49"/>
      <c r="Q303" s="49"/>
    </row>
    <row r="304">
      <c r="N304" s="49"/>
      <c r="O304" s="49"/>
      <c r="P304" s="49"/>
      <c r="Q304" s="49"/>
    </row>
    <row r="305">
      <c r="N305" s="49"/>
      <c r="O305" s="49"/>
      <c r="P305" s="49"/>
      <c r="Q305" s="49"/>
    </row>
    <row r="306">
      <c r="N306" s="49"/>
      <c r="O306" s="49"/>
      <c r="P306" s="49"/>
      <c r="Q306" s="49"/>
    </row>
    <row r="307">
      <c r="N307" s="49"/>
      <c r="O307" s="49"/>
      <c r="P307" s="49"/>
      <c r="Q307" s="49"/>
    </row>
    <row r="308">
      <c r="N308" s="49"/>
      <c r="O308" s="49"/>
      <c r="P308" s="49"/>
      <c r="Q308" s="49"/>
    </row>
    <row r="309">
      <c r="N309" s="49"/>
      <c r="O309" s="49"/>
      <c r="P309" s="49"/>
      <c r="Q309" s="49"/>
    </row>
    <row r="310">
      <c r="N310" s="49"/>
      <c r="O310" s="49"/>
      <c r="P310" s="49"/>
      <c r="Q310" s="49"/>
    </row>
    <row r="311">
      <c r="N311" s="49"/>
      <c r="O311" s="49"/>
      <c r="P311" s="49"/>
      <c r="Q311" s="49"/>
    </row>
    <row r="312">
      <c r="N312" s="49"/>
      <c r="O312" s="49"/>
      <c r="P312" s="49"/>
      <c r="Q312" s="49"/>
    </row>
    <row r="313">
      <c r="N313" s="49"/>
      <c r="O313" s="49"/>
      <c r="P313" s="49"/>
      <c r="Q313" s="49"/>
    </row>
    <row r="314">
      <c r="N314" s="49"/>
      <c r="O314" s="49"/>
      <c r="P314" s="49"/>
      <c r="Q314" s="49"/>
    </row>
    <row r="315">
      <c r="N315" s="49"/>
      <c r="O315" s="49"/>
      <c r="P315" s="49"/>
      <c r="Q315" s="49"/>
    </row>
    <row r="316">
      <c r="N316" s="49"/>
      <c r="O316" s="49"/>
      <c r="P316" s="49"/>
      <c r="Q316" s="49"/>
    </row>
    <row r="317">
      <c r="N317" s="49"/>
      <c r="O317" s="49"/>
      <c r="P317" s="49"/>
      <c r="Q317" s="49"/>
    </row>
    <row r="318">
      <c r="N318" s="49"/>
      <c r="O318" s="49"/>
      <c r="P318" s="49"/>
      <c r="Q318" s="49"/>
    </row>
    <row r="319">
      <c r="N319" s="49"/>
      <c r="O319" s="49"/>
      <c r="P319" s="49"/>
      <c r="Q319" s="49"/>
    </row>
    <row r="320">
      <c r="N320" s="49"/>
      <c r="O320" s="49"/>
      <c r="P320" s="49"/>
      <c r="Q320" s="49"/>
    </row>
    <row r="321">
      <c r="N321" s="49"/>
      <c r="O321" s="49"/>
      <c r="P321" s="49"/>
      <c r="Q321" s="49"/>
    </row>
    <row r="322">
      <c r="N322" s="49"/>
      <c r="O322" s="49"/>
      <c r="P322" s="49"/>
      <c r="Q322" s="49"/>
    </row>
    <row r="323">
      <c r="N323" s="49"/>
      <c r="O323" s="49"/>
      <c r="P323" s="49"/>
      <c r="Q323" s="49"/>
    </row>
    <row r="324">
      <c r="N324" s="49"/>
      <c r="O324" s="49"/>
      <c r="P324" s="49"/>
      <c r="Q324" s="49"/>
    </row>
    <row r="325">
      <c r="N325" s="49"/>
      <c r="O325" s="49"/>
      <c r="P325" s="49"/>
      <c r="Q325" s="49"/>
    </row>
    <row r="326">
      <c r="N326" s="49"/>
      <c r="O326" s="49"/>
      <c r="P326" s="49"/>
      <c r="Q326" s="49"/>
    </row>
    <row r="327">
      <c r="N327" s="49"/>
      <c r="O327" s="49"/>
      <c r="P327" s="49"/>
      <c r="Q327" s="49"/>
    </row>
    <row r="328">
      <c r="N328" s="49"/>
      <c r="O328" s="49"/>
      <c r="P328" s="49"/>
      <c r="Q328" s="49"/>
    </row>
    <row r="329">
      <c r="N329" s="49"/>
      <c r="O329" s="49"/>
      <c r="P329" s="49"/>
      <c r="Q329" s="49"/>
    </row>
    <row r="330">
      <c r="N330" s="49"/>
      <c r="O330" s="49"/>
      <c r="P330" s="49"/>
      <c r="Q330" s="49"/>
    </row>
    <row r="331">
      <c r="N331" s="49"/>
      <c r="O331" s="49"/>
      <c r="P331" s="49"/>
      <c r="Q331" s="49"/>
    </row>
    <row r="332">
      <c r="N332" s="49"/>
      <c r="O332" s="49"/>
      <c r="P332" s="49"/>
      <c r="Q332" s="49"/>
    </row>
    <row r="333">
      <c r="N333" s="49"/>
      <c r="O333" s="49"/>
      <c r="P333" s="49"/>
      <c r="Q333" s="49"/>
    </row>
    <row r="334">
      <c r="N334" s="49"/>
      <c r="O334" s="49"/>
      <c r="P334" s="49"/>
      <c r="Q334" s="49"/>
    </row>
    <row r="335">
      <c r="N335" s="49"/>
      <c r="O335" s="49"/>
      <c r="P335" s="49"/>
      <c r="Q335" s="49"/>
    </row>
    <row r="336">
      <c r="N336" s="49"/>
      <c r="O336" s="49"/>
      <c r="P336" s="49"/>
      <c r="Q336" s="49"/>
    </row>
    <row r="337">
      <c r="N337" s="49"/>
      <c r="O337" s="49"/>
      <c r="P337" s="49"/>
      <c r="Q337" s="49"/>
    </row>
    <row r="338">
      <c r="N338" s="49"/>
      <c r="O338" s="49"/>
      <c r="P338" s="49"/>
      <c r="Q338" s="49"/>
    </row>
    <row r="339">
      <c r="N339" s="49"/>
      <c r="O339" s="49"/>
      <c r="P339" s="49"/>
      <c r="Q339" s="49"/>
    </row>
    <row r="340">
      <c r="N340" s="49"/>
      <c r="O340" s="49"/>
      <c r="P340" s="49"/>
      <c r="Q340" s="49"/>
    </row>
    <row r="341">
      <c r="N341" s="49"/>
      <c r="O341" s="49"/>
      <c r="P341" s="49"/>
      <c r="Q341" s="49"/>
    </row>
    <row r="342">
      <c r="N342" s="49"/>
      <c r="O342" s="49"/>
      <c r="P342" s="49"/>
      <c r="Q342" s="49"/>
    </row>
    <row r="343">
      <c r="N343" s="49"/>
      <c r="O343" s="49"/>
      <c r="P343" s="49"/>
      <c r="Q343" s="49"/>
    </row>
    <row r="344">
      <c r="N344" s="49"/>
      <c r="O344" s="49"/>
      <c r="P344" s="49"/>
      <c r="Q344" s="49"/>
    </row>
    <row r="345">
      <c r="N345" s="49"/>
      <c r="O345" s="49"/>
      <c r="P345" s="49"/>
      <c r="Q345" s="49"/>
    </row>
    <row r="346">
      <c r="N346" s="49"/>
      <c r="O346" s="49"/>
      <c r="P346" s="49"/>
      <c r="Q346" s="49"/>
    </row>
    <row r="347">
      <c r="N347" s="49"/>
      <c r="O347" s="49"/>
      <c r="P347" s="49"/>
      <c r="Q347" s="49"/>
    </row>
    <row r="348">
      <c r="N348" s="49"/>
      <c r="O348" s="49"/>
      <c r="P348" s="49"/>
      <c r="Q348" s="49"/>
    </row>
    <row r="349">
      <c r="N349" s="49"/>
      <c r="O349" s="49"/>
      <c r="P349" s="49"/>
      <c r="Q349" s="49"/>
    </row>
    <row r="350">
      <c r="N350" s="49"/>
      <c r="O350" s="49"/>
      <c r="P350" s="49"/>
      <c r="Q350" s="49"/>
    </row>
    <row r="351">
      <c r="N351" s="49"/>
      <c r="O351" s="49"/>
      <c r="P351" s="49"/>
      <c r="Q351" s="49"/>
    </row>
    <row r="352">
      <c r="N352" s="49"/>
      <c r="O352" s="49"/>
      <c r="P352" s="49"/>
      <c r="Q352" s="49"/>
    </row>
    <row r="353">
      <c r="N353" s="49"/>
      <c r="O353" s="49"/>
      <c r="P353" s="49"/>
      <c r="Q353" s="49"/>
    </row>
    <row r="354">
      <c r="N354" s="49"/>
      <c r="O354" s="49"/>
      <c r="P354" s="49"/>
      <c r="Q354" s="49"/>
    </row>
    <row r="355">
      <c r="N355" s="49"/>
      <c r="O355" s="49"/>
      <c r="P355" s="49"/>
      <c r="Q355" s="49"/>
    </row>
    <row r="356">
      <c r="N356" s="49"/>
      <c r="O356" s="49"/>
      <c r="P356" s="49"/>
      <c r="Q356" s="49"/>
    </row>
    <row r="357">
      <c r="N357" s="49"/>
      <c r="O357" s="49"/>
      <c r="P357" s="49"/>
      <c r="Q357" s="49"/>
    </row>
    <row r="358">
      <c r="N358" s="49"/>
      <c r="O358" s="49"/>
      <c r="P358" s="49"/>
      <c r="Q358" s="49"/>
    </row>
    <row r="359">
      <c r="N359" s="49"/>
      <c r="O359" s="49"/>
      <c r="P359" s="49"/>
      <c r="Q359" s="49"/>
    </row>
    <row r="360">
      <c r="N360" s="49"/>
      <c r="O360" s="49"/>
      <c r="P360" s="49"/>
      <c r="Q360" s="49"/>
    </row>
    <row r="361">
      <c r="N361" s="49"/>
      <c r="O361" s="49"/>
      <c r="P361" s="49"/>
      <c r="Q361" s="49"/>
    </row>
    <row r="362">
      <c r="N362" s="49"/>
      <c r="O362" s="49"/>
      <c r="P362" s="49"/>
      <c r="Q362" s="49"/>
    </row>
    <row r="363">
      <c r="N363" s="49"/>
      <c r="O363" s="49"/>
      <c r="P363" s="49"/>
      <c r="Q363" s="49"/>
    </row>
    <row r="364">
      <c r="N364" s="49"/>
      <c r="O364" s="49"/>
      <c r="P364" s="49"/>
      <c r="Q364" s="49"/>
    </row>
    <row r="365">
      <c r="N365" s="49"/>
      <c r="O365" s="49"/>
      <c r="P365" s="49"/>
      <c r="Q365" s="49"/>
    </row>
    <row r="366">
      <c r="N366" s="49"/>
      <c r="O366" s="49"/>
      <c r="P366" s="49"/>
      <c r="Q366" s="49"/>
    </row>
    <row r="367">
      <c r="N367" s="49"/>
      <c r="O367" s="49"/>
      <c r="P367" s="49"/>
      <c r="Q367" s="49"/>
    </row>
    <row r="368">
      <c r="N368" s="49"/>
      <c r="O368" s="49"/>
      <c r="P368" s="49"/>
      <c r="Q368" s="49"/>
    </row>
    <row r="369">
      <c r="N369" s="49"/>
      <c r="O369" s="49"/>
      <c r="P369" s="49"/>
      <c r="Q369" s="49"/>
    </row>
    <row r="370">
      <c r="N370" s="49"/>
      <c r="O370" s="49"/>
      <c r="P370" s="49"/>
      <c r="Q370" s="49"/>
    </row>
    <row r="371">
      <c r="N371" s="49"/>
      <c r="O371" s="49"/>
      <c r="P371" s="49"/>
      <c r="Q371" s="49"/>
    </row>
    <row r="372">
      <c r="N372" s="49"/>
      <c r="O372" s="49"/>
      <c r="P372" s="49"/>
      <c r="Q372" s="49"/>
    </row>
    <row r="373">
      <c r="N373" s="49"/>
      <c r="O373" s="49"/>
      <c r="P373" s="49"/>
      <c r="Q373" s="49"/>
    </row>
    <row r="374">
      <c r="N374" s="49"/>
      <c r="O374" s="49"/>
      <c r="P374" s="49"/>
      <c r="Q374" s="49"/>
    </row>
    <row r="375">
      <c r="N375" s="49"/>
      <c r="O375" s="49"/>
      <c r="P375" s="49"/>
      <c r="Q375" s="49"/>
    </row>
    <row r="376">
      <c r="N376" s="49"/>
      <c r="O376" s="49"/>
      <c r="P376" s="49"/>
      <c r="Q376" s="49"/>
    </row>
    <row r="377">
      <c r="N377" s="49"/>
      <c r="O377" s="49"/>
      <c r="P377" s="49"/>
      <c r="Q377" s="49"/>
    </row>
    <row r="378">
      <c r="N378" s="49"/>
      <c r="O378" s="49"/>
      <c r="P378" s="49"/>
      <c r="Q378" s="49"/>
    </row>
    <row r="379">
      <c r="N379" s="49"/>
      <c r="O379" s="49"/>
      <c r="P379" s="49"/>
      <c r="Q379" s="49"/>
    </row>
    <row r="380">
      <c r="N380" s="49"/>
      <c r="O380" s="49"/>
      <c r="P380" s="49"/>
      <c r="Q380" s="49"/>
    </row>
    <row r="381">
      <c r="N381" s="49"/>
      <c r="O381" s="49"/>
      <c r="P381" s="49"/>
      <c r="Q381" s="49"/>
    </row>
    <row r="382">
      <c r="N382" s="49"/>
      <c r="O382" s="49"/>
      <c r="P382" s="49"/>
      <c r="Q382" s="49"/>
    </row>
    <row r="383">
      <c r="N383" s="49"/>
      <c r="O383" s="49"/>
      <c r="P383" s="49"/>
      <c r="Q383" s="49"/>
    </row>
    <row r="384">
      <c r="N384" s="49"/>
      <c r="O384" s="49"/>
      <c r="P384" s="49"/>
      <c r="Q384" s="49"/>
    </row>
    <row r="385">
      <c r="N385" s="49"/>
      <c r="O385" s="49"/>
      <c r="P385" s="49"/>
      <c r="Q385" s="49"/>
    </row>
    <row r="386">
      <c r="N386" s="49"/>
      <c r="O386" s="49"/>
      <c r="P386" s="49"/>
      <c r="Q386" s="49"/>
    </row>
    <row r="387">
      <c r="N387" s="49"/>
      <c r="O387" s="49"/>
      <c r="P387" s="49"/>
      <c r="Q387" s="49"/>
    </row>
    <row r="388">
      <c r="N388" s="49"/>
      <c r="O388" s="49"/>
      <c r="P388" s="49"/>
      <c r="Q388" s="49"/>
    </row>
    <row r="389">
      <c r="N389" s="49"/>
      <c r="O389" s="49"/>
      <c r="P389" s="49"/>
      <c r="Q389" s="49"/>
    </row>
    <row r="390">
      <c r="N390" s="49"/>
      <c r="O390" s="49"/>
      <c r="P390" s="49"/>
      <c r="Q390" s="49"/>
    </row>
    <row r="391">
      <c r="N391" s="49"/>
      <c r="O391" s="49"/>
      <c r="P391" s="49"/>
      <c r="Q391" s="49"/>
    </row>
    <row r="392">
      <c r="N392" s="49"/>
      <c r="O392" s="49"/>
      <c r="P392" s="49"/>
      <c r="Q392" s="49"/>
    </row>
    <row r="393">
      <c r="N393" s="49"/>
      <c r="O393" s="49"/>
      <c r="P393" s="49"/>
      <c r="Q393" s="49"/>
    </row>
    <row r="394">
      <c r="N394" s="49"/>
      <c r="O394" s="49"/>
      <c r="P394" s="49"/>
      <c r="Q394" s="49"/>
    </row>
    <row r="395">
      <c r="N395" s="49"/>
      <c r="O395" s="49"/>
      <c r="P395" s="49"/>
      <c r="Q395" s="49"/>
    </row>
    <row r="396">
      <c r="N396" s="49"/>
      <c r="O396" s="49"/>
      <c r="P396" s="49"/>
      <c r="Q396" s="49"/>
    </row>
    <row r="397">
      <c r="N397" s="49"/>
      <c r="O397" s="49"/>
      <c r="P397" s="49"/>
      <c r="Q397" s="49"/>
    </row>
    <row r="398">
      <c r="N398" s="49"/>
      <c r="O398" s="49"/>
      <c r="P398" s="49"/>
      <c r="Q398" s="49"/>
    </row>
    <row r="399">
      <c r="N399" s="49"/>
      <c r="O399" s="49"/>
      <c r="P399" s="49"/>
      <c r="Q399" s="49"/>
    </row>
    <row r="400">
      <c r="N400" s="49"/>
      <c r="O400" s="49"/>
      <c r="P400" s="49"/>
      <c r="Q400" s="49"/>
    </row>
    <row r="401">
      <c r="N401" s="49"/>
      <c r="O401" s="49"/>
      <c r="P401" s="49"/>
      <c r="Q401" s="49"/>
    </row>
    <row r="402">
      <c r="N402" s="49"/>
      <c r="O402" s="49"/>
      <c r="P402" s="49"/>
      <c r="Q402" s="49"/>
    </row>
    <row r="403">
      <c r="N403" s="49"/>
      <c r="O403" s="49"/>
      <c r="P403" s="49"/>
      <c r="Q403" s="49"/>
    </row>
    <row r="404">
      <c r="N404" s="49"/>
      <c r="O404" s="49"/>
      <c r="P404" s="49"/>
      <c r="Q404" s="49"/>
    </row>
    <row r="405">
      <c r="N405" s="49"/>
      <c r="O405" s="49"/>
      <c r="P405" s="49"/>
      <c r="Q405" s="49"/>
    </row>
    <row r="406">
      <c r="N406" s="49"/>
      <c r="O406" s="49"/>
      <c r="P406" s="49"/>
      <c r="Q406" s="49"/>
    </row>
    <row r="407">
      <c r="N407" s="49"/>
      <c r="O407" s="49"/>
      <c r="P407" s="49"/>
      <c r="Q407" s="49"/>
    </row>
    <row r="408">
      <c r="N408" s="49"/>
      <c r="O408" s="49"/>
      <c r="P408" s="49"/>
      <c r="Q408" s="49"/>
    </row>
    <row r="409">
      <c r="N409" s="49"/>
      <c r="O409" s="49"/>
      <c r="P409" s="49"/>
      <c r="Q409" s="49"/>
    </row>
    <row r="410">
      <c r="N410" s="49"/>
      <c r="O410" s="49"/>
      <c r="P410" s="49"/>
      <c r="Q410" s="49"/>
    </row>
    <row r="411">
      <c r="N411" s="49"/>
      <c r="O411" s="49"/>
      <c r="P411" s="49"/>
      <c r="Q411" s="49"/>
    </row>
    <row r="412">
      <c r="N412" s="49"/>
      <c r="O412" s="49"/>
      <c r="P412" s="49"/>
      <c r="Q412" s="49"/>
    </row>
    <row r="413">
      <c r="N413" s="49"/>
      <c r="O413" s="49"/>
      <c r="P413" s="49"/>
      <c r="Q413" s="49"/>
    </row>
    <row r="414">
      <c r="N414" s="49"/>
      <c r="O414" s="49"/>
      <c r="P414" s="49"/>
      <c r="Q414" s="49"/>
    </row>
    <row r="415">
      <c r="N415" s="49"/>
      <c r="O415" s="49"/>
      <c r="P415" s="49"/>
      <c r="Q415" s="49"/>
    </row>
    <row r="416">
      <c r="N416" s="49"/>
      <c r="O416" s="49"/>
      <c r="P416" s="49"/>
      <c r="Q416" s="49"/>
    </row>
    <row r="417">
      <c r="N417" s="49"/>
      <c r="O417" s="49"/>
      <c r="P417" s="49"/>
      <c r="Q417" s="49"/>
    </row>
    <row r="418">
      <c r="N418" s="49"/>
      <c r="O418" s="49"/>
      <c r="P418" s="49"/>
      <c r="Q418" s="49"/>
    </row>
    <row r="419">
      <c r="N419" s="49"/>
      <c r="O419" s="49"/>
      <c r="P419" s="49"/>
      <c r="Q419" s="49"/>
    </row>
    <row r="420">
      <c r="N420" s="49"/>
      <c r="O420" s="49"/>
      <c r="P420" s="49"/>
      <c r="Q420" s="49"/>
    </row>
    <row r="421">
      <c r="N421" s="49"/>
      <c r="O421" s="49"/>
      <c r="P421" s="49"/>
      <c r="Q421" s="49"/>
    </row>
    <row r="422">
      <c r="N422" s="49"/>
      <c r="O422" s="49"/>
      <c r="P422" s="49"/>
      <c r="Q422" s="49"/>
    </row>
    <row r="423">
      <c r="N423" s="49"/>
      <c r="O423" s="49"/>
      <c r="P423" s="49"/>
      <c r="Q423" s="49"/>
    </row>
    <row r="424">
      <c r="N424" s="49"/>
      <c r="O424" s="49"/>
      <c r="P424" s="49"/>
      <c r="Q424" s="49"/>
    </row>
    <row r="425">
      <c r="N425" s="49"/>
      <c r="O425" s="49"/>
      <c r="P425" s="49"/>
      <c r="Q425" s="49"/>
    </row>
    <row r="426">
      <c r="N426" s="49"/>
      <c r="O426" s="49"/>
      <c r="P426" s="49"/>
      <c r="Q426" s="49"/>
    </row>
    <row r="427">
      <c r="N427" s="49"/>
      <c r="O427" s="49"/>
      <c r="P427" s="49"/>
      <c r="Q427" s="49"/>
    </row>
    <row r="428">
      <c r="N428" s="49"/>
      <c r="O428" s="49"/>
      <c r="P428" s="49"/>
      <c r="Q428" s="49"/>
    </row>
    <row r="429">
      <c r="N429" s="49"/>
      <c r="O429" s="49"/>
      <c r="P429" s="49"/>
      <c r="Q429" s="49"/>
    </row>
    <row r="430">
      <c r="N430" s="49"/>
      <c r="O430" s="49"/>
      <c r="P430" s="49"/>
      <c r="Q430" s="49"/>
    </row>
    <row r="431">
      <c r="N431" s="49"/>
      <c r="O431" s="49"/>
      <c r="P431" s="49"/>
      <c r="Q431" s="49"/>
    </row>
    <row r="432">
      <c r="N432" s="49"/>
      <c r="O432" s="49"/>
      <c r="P432" s="49"/>
      <c r="Q432" s="49"/>
    </row>
    <row r="433">
      <c r="N433" s="49"/>
      <c r="O433" s="49"/>
      <c r="P433" s="49"/>
      <c r="Q433" s="49"/>
    </row>
    <row r="434">
      <c r="N434" s="49"/>
      <c r="O434" s="49"/>
      <c r="P434" s="49"/>
      <c r="Q434" s="49"/>
    </row>
    <row r="435">
      <c r="N435" s="49"/>
      <c r="O435" s="49"/>
      <c r="P435" s="49"/>
      <c r="Q435" s="49"/>
    </row>
    <row r="436">
      <c r="N436" s="49"/>
      <c r="O436" s="49"/>
      <c r="P436" s="49"/>
      <c r="Q436" s="49"/>
    </row>
    <row r="437">
      <c r="N437" s="49"/>
      <c r="O437" s="49"/>
      <c r="P437" s="49"/>
      <c r="Q437" s="49"/>
    </row>
    <row r="438">
      <c r="N438" s="49"/>
      <c r="O438" s="49"/>
      <c r="P438" s="49"/>
      <c r="Q438" s="49"/>
    </row>
    <row r="439">
      <c r="N439" s="49"/>
      <c r="O439" s="49"/>
      <c r="P439" s="49"/>
      <c r="Q439" s="49"/>
    </row>
    <row r="440">
      <c r="N440" s="49"/>
      <c r="O440" s="49"/>
      <c r="P440" s="49"/>
      <c r="Q440" s="49"/>
    </row>
    <row r="441">
      <c r="N441" s="49"/>
      <c r="O441" s="49"/>
      <c r="P441" s="49"/>
      <c r="Q441" s="49"/>
    </row>
    <row r="442">
      <c r="N442" s="49"/>
      <c r="O442" s="49"/>
      <c r="P442" s="49"/>
      <c r="Q442" s="49"/>
    </row>
    <row r="443">
      <c r="N443" s="49"/>
      <c r="O443" s="49"/>
      <c r="P443" s="49"/>
      <c r="Q443" s="49"/>
    </row>
    <row r="444">
      <c r="N444" s="49"/>
      <c r="O444" s="49"/>
      <c r="P444" s="49"/>
      <c r="Q444" s="49"/>
    </row>
    <row r="445">
      <c r="N445" s="49"/>
      <c r="O445" s="49"/>
      <c r="P445" s="49"/>
      <c r="Q445" s="49"/>
    </row>
    <row r="446">
      <c r="N446" s="49"/>
      <c r="O446" s="49"/>
      <c r="P446" s="49"/>
      <c r="Q446" s="49"/>
    </row>
    <row r="447">
      <c r="N447" s="49"/>
      <c r="O447" s="49"/>
      <c r="P447" s="49"/>
      <c r="Q447" s="49"/>
    </row>
    <row r="448">
      <c r="N448" s="49"/>
      <c r="O448" s="49"/>
      <c r="P448" s="49"/>
      <c r="Q448" s="49"/>
    </row>
    <row r="449">
      <c r="N449" s="49"/>
      <c r="O449" s="49"/>
      <c r="P449" s="49"/>
      <c r="Q449" s="49"/>
    </row>
    <row r="450">
      <c r="N450" s="49"/>
      <c r="O450" s="49"/>
      <c r="P450" s="49"/>
      <c r="Q450" s="49"/>
    </row>
    <row r="451">
      <c r="N451" s="49"/>
      <c r="O451" s="49"/>
      <c r="P451" s="49"/>
      <c r="Q451" s="49"/>
    </row>
    <row r="452">
      <c r="N452" s="49"/>
      <c r="O452" s="49"/>
      <c r="P452" s="49"/>
      <c r="Q452" s="49"/>
    </row>
    <row r="453">
      <c r="N453" s="49"/>
      <c r="O453" s="49"/>
      <c r="P453" s="49"/>
      <c r="Q453" s="49"/>
    </row>
    <row r="454">
      <c r="N454" s="49"/>
      <c r="O454" s="49"/>
      <c r="P454" s="49"/>
      <c r="Q454" s="49"/>
    </row>
    <row r="455">
      <c r="N455" s="49"/>
      <c r="O455" s="49"/>
      <c r="P455" s="49"/>
      <c r="Q455" s="49"/>
    </row>
    <row r="456">
      <c r="N456" s="49"/>
      <c r="O456" s="49"/>
      <c r="P456" s="49"/>
      <c r="Q456" s="49"/>
    </row>
    <row r="457">
      <c r="N457" s="49"/>
      <c r="O457" s="49"/>
      <c r="P457" s="49"/>
      <c r="Q457" s="49"/>
    </row>
    <row r="458">
      <c r="N458" s="49"/>
      <c r="O458" s="49"/>
      <c r="P458" s="49"/>
      <c r="Q458" s="49"/>
    </row>
    <row r="459">
      <c r="N459" s="49"/>
      <c r="O459" s="49"/>
      <c r="P459" s="49"/>
      <c r="Q459" s="49"/>
    </row>
    <row r="460">
      <c r="N460" s="49"/>
      <c r="O460" s="49"/>
      <c r="P460" s="49"/>
      <c r="Q460" s="49"/>
    </row>
    <row r="461">
      <c r="N461" s="49"/>
      <c r="O461" s="49"/>
      <c r="P461" s="49"/>
      <c r="Q461" s="49"/>
    </row>
    <row r="462">
      <c r="N462" s="49"/>
      <c r="O462" s="49"/>
      <c r="P462" s="49"/>
      <c r="Q462" s="49"/>
    </row>
    <row r="463">
      <c r="N463" s="49"/>
      <c r="O463" s="49"/>
      <c r="P463" s="49"/>
      <c r="Q463" s="49"/>
    </row>
    <row r="464">
      <c r="N464" s="49"/>
      <c r="O464" s="49"/>
      <c r="P464" s="49"/>
      <c r="Q464" s="49"/>
    </row>
    <row r="465">
      <c r="N465" s="49"/>
      <c r="O465" s="49"/>
      <c r="P465" s="49"/>
      <c r="Q465" s="49"/>
    </row>
    <row r="466">
      <c r="N466" s="49"/>
      <c r="O466" s="49"/>
      <c r="P466" s="49"/>
      <c r="Q466" s="49"/>
    </row>
    <row r="467">
      <c r="N467" s="49"/>
      <c r="O467" s="49"/>
      <c r="P467" s="49"/>
      <c r="Q467" s="49"/>
    </row>
    <row r="468">
      <c r="N468" s="49"/>
      <c r="O468" s="49"/>
      <c r="P468" s="49"/>
      <c r="Q468" s="49"/>
    </row>
    <row r="469">
      <c r="N469" s="49"/>
      <c r="O469" s="49"/>
      <c r="P469" s="49"/>
      <c r="Q469" s="49"/>
    </row>
    <row r="470">
      <c r="N470" s="49"/>
      <c r="O470" s="49"/>
      <c r="P470" s="49"/>
      <c r="Q470" s="49"/>
    </row>
    <row r="471">
      <c r="N471" s="49"/>
      <c r="O471" s="49"/>
      <c r="P471" s="49"/>
      <c r="Q471" s="49"/>
    </row>
    <row r="472">
      <c r="N472" s="49"/>
      <c r="O472" s="49"/>
      <c r="P472" s="49"/>
      <c r="Q472" s="49"/>
    </row>
    <row r="473">
      <c r="N473" s="49"/>
      <c r="O473" s="49"/>
      <c r="P473" s="49"/>
      <c r="Q473" s="49"/>
    </row>
    <row r="474">
      <c r="N474" s="49"/>
      <c r="O474" s="49"/>
      <c r="P474" s="49"/>
      <c r="Q474" s="49"/>
    </row>
    <row r="475">
      <c r="N475" s="49"/>
      <c r="O475" s="49"/>
      <c r="P475" s="49"/>
      <c r="Q475" s="49"/>
    </row>
    <row r="476">
      <c r="N476" s="49"/>
      <c r="O476" s="49"/>
      <c r="P476" s="49"/>
      <c r="Q476" s="49"/>
    </row>
    <row r="477">
      <c r="N477" s="49"/>
      <c r="O477" s="49"/>
      <c r="P477" s="49"/>
      <c r="Q477" s="49"/>
    </row>
    <row r="478">
      <c r="N478" s="49"/>
      <c r="O478" s="49"/>
      <c r="P478" s="49"/>
      <c r="Q478" s="49"/>
    </row>
    <row r="479">
      <c r="N479" s="49"/>
      <c r="O479" s="49"/>
      <c r="P479" s="49"/>
      <c r="Q479" s="49"/>
    </row>
    <row r="480">
      <c r="N480" s="49"/>
      <c r="O480" s="49"/>
      <c r="P480" s="49"/>
      <c r="Q480" s="49"/>
    </row>
    <row r="481">
      <c r="N481" s="49"/>
      <c r="O481" s="49"/>
      <c r="P481" s="49"/>
      <c r="Q481" s="49"/>
    </row>
    <row r="482">
      <c r="N482" s="49"/>
      <c r="O482" s="49"/>
      <c r="P482" s="49"/>
      <c r="Q482" s="49"/>
    </row>
    <row r="483">
      <c r="N483" s="49"/>
      <c r="O483" s="49"/>
      <c r="P483" s="49"/>
      <c r="Q483" s="49"/>
    </row>
    <row r="484">
      <c r="N484" s="49"/>
      <c r="O484" s="49"/>
      <c r="P484" s="49"/>
      <c r="Q484" s="49"/>
    </row>
    <row r="485">
      <c r="N485" s="49"/>
      <c r="O485" s="49"/>
      <c r="P485" s="49"/>
      <c r="Q485" s="49"/>
    </row>
    <row r="486">
      <c r="N486" s="49"/>
      <c r="O486" s="49"/>
      <c r="P486" s="49"/>
      <c r="Q486" s="49"/>
    </row>
    <row r="487">
      <c r="N487" s="49"/>
      <c r="O487" s="49"/>
      <c r="P487" s="49"/>
      <c r="Q487" s="49"/>
    </row>
    <row r="488">
      <c r="N488" s="49"/>
      <c r="O488" s="49"/>
      <c r="P488" s="49"/>
      <c r="Q488" s="49"/>
    </row>
    <row r="489">
      <c r="N489" s="49"/>
      <c r="O489" s="49"/>
      <c r="P489" s="49"/>
      <c r="Q489" s="49"/>
    </row>
    <row r="490">
      <c r="N490" s="49"/>
      <c r="O490" s="49"/>
      <c r="P490" s="49"/>
      <c r="Q490" s="49"/>
    </row>
    <row r="491">
      <c r="N491" s="49"/>
      <c r="O491" s="49"/>
      <c r="P491" s="49"/>
      <c r="Q491" s="49"/>
    </row>
    <row r="492">
      <c r="N492" s="49"/>
      <c r="O492" s="49"/>
      <c r="P492" s="49"/>
      <c r="Q492" s="49"/>
    </row>
    <row r="493">
      <c r="N493" s="49"/>
      <c r="O493" s="49"/>
      <c r="P493" s="49"/>
      <c r="Q493" s="49"/>
    </row>
    <row r="494">
      <c r="N494" s="49"/>
      <c r="O494" s="49"/>
      <c r="P494" s="49"/>
      <c r="Q494" s="49"/>
    </row>
    <row r="495">
      <c r="N495" s="49"/>
      <c r="O495" s="49"/>
      <c r="P495" s="49"/>
      <c r="Q495" s="49"/>
    </row>
    <row r="496">
      <c r="N496" s="49"/>
      <c r="O496" s="49"/>
      <c r="P496" s="49"/>
      <c r="Q496" s="49"/>
    </row>
    <row r="497">
      <c r="N497" s="49"/>
      <c r="O497" s="49"/>
      <c r="P497" s="49"/>
      <c r="Q497" s="49"/>
    </row>
    <row r="498">
      <c r="N498" s="49"/>
      <c r="O498" s="49"/>
      <c r="P498" s="49"/>
      <c r="Q498" s="49"/>
    </row>
    <row r="499">
      <c r="N499" s="49"/>
      <c r="O499" s="49"/>
      <c r="P499" s="49"/>
      <c r="Q499" s="49"/>
    </row>
    <row r="500">
      <c r="N500" s="49"/>
      <c r="O500" s="49"/>
      <c r="P500" s="49"/>
      <c r="Q500" s="49"/>
    </row>
    <row r="501">
      <c r="N501" s="49"/>
      <c r="O501" s="49"/>
      <c r="P501" s="49"/>
      <c r="Q501" s="49"/>
    </row>
    <row r="502">
      <c r="N502" s="49"/>
      <c r="O502" s="49"/>
      <c r="P502" s="49"/>
      <c r="Q502" s="49"/>
    </row>
    <row r="503">
      <c r="N503" s="49"/>
      <c r="O503" s="49"/>
      <c r="P503" s="49"/>
      <c r="Q503" s="49"/>
    </row>
    <row r="504">
      <c r="N504" s="49"/>
      <c r="O504" s="49"/>
      <c r="P504" s="49"/>
      <c r="Q504" s="49"/>
    </row>
    <row r="505">
      <c r="N505" s="49"/>
      <c r="O505" s="49"/>
      <c r="P505" s="49"/>
      <c r="Q505" s="49"/>
    </row>
    <row r="506">
      <c r="N506" s="49"/>
      <c r="O506" s="49"/>
      <c r="P506" s="49"/>
      <c r="Q506" s="49"/>
    </row>
    <row r="507">
      <c r="N507" s="49"/>
      <c r="O507" s="49"/>
      <c r="P507" s="49"/>
      <c r="Q507" s="49"/>
    </row>
    <row r="508">
      <c r="N508" s="49"/>
      <c r="O508" s="49"/>
      <c r="P508" s="49"/>
      <c r="Q508" s="49"/>
    </row>
    <row r="509">
      <c r="N509" s="49"/>
      <c r="O509" s="49"/>
      <c r="P509" s="49"/>
      <c r="Q509" s="49"/>
    </row>
    <row r="510">
      <c r="N510" s="49"/>
      <c r="O510" s="49"/>
      <c r="P510" s="49"/>
      <c r="Q510" s="49"/>
    </row>
    <row r="511">
      <c r="N511" s="49"/>
      <c r="O511" s="49"/>
      <c r="P511" s="49"/>
      <c r="Q511" s="49"/>
    </row>
    <row r="512">
      <c r="N512" s="49"/>
      <c r="O512" s="49"/>
      <c r="P512" s="49"/>
      <c r="Q512" s="49"/>
    </row>
    <row r="513">
      <c r="N513" s="49"/>
      <c r="O513" s="49"/>
      <c r="P513" s="49"/>
      <c r="Q513" s="49"/>
    </row>
    <row r="514">
      <c r="N514" s="49"/>
      <c r="O514" s="49"/>
      <c r="P514" s="49"/>
      <c r="Q514" s="49"/>
    </row>
    <row r="515">
      <c r="N515" s="49"/>
      <c r="O515" s="49"/>
      <c r="P515" s="49"/>
      <c r="Q515" s="49"/>
    </row>
    <row r="516">
      <c r="N516" s="49"/>
      <c r="O516" s="49"/>
      <c r="P516" s="49"/>
      <c r="Q516" s="49"/>
    </row>
    <row r="517">
      <c r="N517" s="49"/>
      <c r="O517" s="49"/>
      <c r="P517" s="49"/>
      <c r="Q517" s="49"/>
    </row>
    <row r="518">
      <c r="N518" s="49"/>
      <c r="O518" s="49"/>
      <c r="P518" s="49"/>
      <c r="Q518" s="49"/>
    </row>
    <row r="519">
      <c r="N519" s="49"/>
      <c r="O519" s="49"/>
      <c r="P519" s="49"/>
      <c r="Q519" s="49"/>
    </row>
    <row r="520">
      <c r="N520" s="49"/>
      <c r="O520" s="49"/>
      <c r="P520" s="49"/>
      <c r="Q520" s="49"/>
    </row>
    <row r="521">
      <c r="N521" s="49"/>
      <c r="O521" s="49"/>
      <c r="P521" s="49"/>
      <c r="Q521" s="49"/>
    </row>
    <row r="522">
      <c r="N522" s="49"/>
      <c r="O522" s="49"/>
      <c r="P522" s="49"/>
      <c r="Q522" s="49"/>
    </row>
    <row r="523">
      <c r="N523" s="49"/>
      <c r="O523" s="49"/>
      <c r="P523" s="49"/>
      <c r="Q523" s="49"/>
    </row>
    <row r="524">
      <c r="N524" s="49"/>
      <c r="O524" s="49"/>
      <c r="P524" s="49"/>
      <c r="Q524" s="49"/>
    </row>
    <row r="525">
      <c r="N525" s="49"/>
      <c r="O525" s="49"/>
      <c r="P525" s="49"/>
      <c r="Q525" s="49"/>
    </row>
    <row r="526">
      <c r="N526" s="49"/>
      <c r="O526" s="49"/>
      <c r="P526" s="49"/>
      <c r="Q526" s="49"/>
    </row>
    <row r="527">
      <c r="N527" s="49"/>
      <c r="O527" s="49"/>
      <c r="P527" s="49"/>
      <c r="Q527" s="49"/>
    </row>
    <row r="528">
      <c r="N528" s="49"/>
      <c r="O528" s="49"/>
      <c r="P528" s="49"/>
      <c r="Q528" s="49"/>
    </row>
    <row r="529">
      <c r="N529" s="49"/>
      <c r="O529" s="49"/>
      <c r="P529" s="49"/>
      <c r="Q529" s="49"/>
    </row>
    <row r="530">
      <c r="N530" s="49"/>
      <c r="O530" s="49"/>
      <c r="P530" s="49"/>
      <c r="Q530" s="49"/>
    </row>
    <row r="531">
      <c r="N531" s="49"/>
      <c r="O531" s="49"/>
      <c r="P531" s="49"/>
      <c r="Q531" s="49"/>
    </row>
    <row r="532">
      <c r="N532" s="49"/>
      <c r="O532" s="49"/>
      <c r="P532" s="49"/>
      <c r="Q532" s="49"/>
    </row>
    <row r="533">
      <c r="N533" s="49"/>
      <c r="O533" s="49"/>
      <c r="P533" s="49"/>
      <c r="Q533" s="49"/>
    </row>
    <row r="534">
      <c r="N534" s="49"/>
      <c r="O534" s="49"/>
      <c r="P534" s="49"/>
      <c r="Q534" s="49"/>
    </row>
    <row r="535">
      <c r="N535" s="49"/>
      <c r="O535" s="49"/>
      <c r="P535" s="49"/>
      <c r="Q535" s="49"/>
    </row>
    <row r="536">
      <c r="N536" s="49"/>
      <c r="O536" s="49"/>
      <c r="P536" s="49"/>
      <c r="Q536" s="49"/>
    </row>
    <row r="537">
      <c r="N537" s="49"/>
      <c r="O537" s="49"/>
      <c r="P537" s="49"/>
      <c r="Q537" s="49"/>
    </row>
    <row r="538">
      <c r="N538" s="49"/>
      <c r="O538" s="49"/>
      <c r="P538" s="49"/>
      <c r="Q538" s="49"/>
    </row>
    <row r="539">
      <c r="N539" s="49"/>
      <c r="O539" s="49"/>
      <c r="P539" s="49"/>
      <c r="Q539" s="49"/>
    </row>
    <row r="540">
      <c r="N540" s="49"/>
      <c r="O540" s="49"/>
      <c r="P540" s="49"/>
      <c r="Q540" s="49"/>
    </row>
    <row r="541">
      <c r="N541" s="49"/>
      <c r="O541" s="49"/>
      <c r="P541" s="49"/>
      <c r="Q541" s="49"/>
    </row>
    <row r="542">
      <c r="N542" s="49"/>
      <c r="O542" s="49"/>
      <c r="P542" s="49"/>
      <c r="Q542" s="49"/>
    </row>
    <row r="543">
      <c r="N543" s="49"/>
      <c r="O543" s="49"/>
      <c r="P543" s="49"/>
      <c r="Q543" s="49"/>
    </row>
    <row r="544">
      <c r="N544" s="49"/>
      <c r="O544" s="49"/>
      <c r="P544" s="49"/>
      <c r="Q544" s="49"/>
    </row>
    <row r="545">
      <c r="N545" s="49"/>
      <c r="O545" s="49"/>
      <c r="P545" s="49"/>
      <c r="Q545" s="49"/>
    </row>
    <row r="546">
      <c r="N546" s="49"/>
      <c r="O546" s="49"/>
      <c r="P546" s="49"/>
      <c r="Q546" s="49"/>
    </row>
    <row r="547">
      <c r="N547" s="49"/>
      <c r="O547" s="49"/>
      <c r="P547" s="49"/>
      <c r="Q547" s="49"/>
    </row>
    <row r="548">
      <c r="N548" s="49"/>
      <c r="O548" s="49"/>
      <c r="P548" s="49"/>
      <c r="Q548" s="49"/>
    </row>
    <row r="549">
      <c r="N549" s="49"/>
      <c r="O549" s="49"/>
      <c r="P549" s="49"/>
      <c r="Q549" s="49"/>
    </row>
    <row r="550">
      <c r="N550" s="49"/>
      <c r="O550" s="49"/>
      <c r="P550" s="49"/>
      <c r="Q550" s="49"/>
    </row>
    <row r="551">
      <c r="N551" s="49"/>
      <c r="O551" s="49"/>
      <c r="P551" s="49"/>
      <c r="Q551" s="49"/>
    </row>
    <row r="552">
      <c r="N552" s="49"/>
      <c r="O552" s="49"/>
      <c r="P552" s="49"/>
      <c r="Q552" s="49"/>
    </row>
    <row r="553">
      <c r="N553" s="49"/>
      <c r="O553" s="49"/>
      <c r="P553" s="49"/>
      <c r="Q553" s="49"/>
    </row>
    <row r="554">
      <c r="N554" s="49"/>
      <c r="O554" s="49"/>
      <c r="P554" s="49"/>
      <c r="Q554" s="49"/>
    </row>
    <row r="555">
      <c r="N555" s="49"/>
      <c r="O555" s="49"/>
      <c r="P555" s="49"/>
      <c r="Q555" s="49"/>
    </row>
    <row r="556">
      <c r="N556" s="49"/>
      <c r="O556" s="49"/>
      <c r="P556" s="49"/>
      <c r="Q556" s="49"/>
    </row>
    <row r="557">
      <c r="N557" s="49"/>
      <c r="O557" s="49"/>
      <c r="P557" s="49"/>
      <c r="Q557" s="49"/>
    </row>
    <row r="558">
      <c r="N558" s="49"/>
      <c r="O558" s="49"/>
      <c r="P558" s="49"/>
      <c r="Q558" s="49"/>
    </row>
    <row r="559">
      <c r="N559" s="49"/>
      <c r="O559" s="49"/>
      <c r="P559" s="49"/>
      <c r="Q559" s="49"/>
    </row>
    <row r="560">
      <c r="N560" s="49"/>
      <c r="O560" s="49"/>
      <c r="P560" s="49"/>
      <c r="Q560" s="49"/>
    </row>
    <row r="561">
      <c r="N561" s="49"/>
      <c r="O561" s="49"/>
      <c r="P561" s="49"/>
      <c r="Q561" s="49"/>
    </row>
    <row r="562">
      <c r="N562" s="49"/>
      <c r="O562" s="49"/>
      <c r="P562" s="49"/>
      <c r="Q562" s="49"/>
    </row>
    <row r="563">
      <c r="N563" s="49"/>
      <c r="O563" s="49"/>
      <c r="P563" s="49"/>
      <c r="Q563" s="49"/>
    </row>
    <row r="564">
      <c r="N564" s="49"/>
      <c r="O564" s="49"/>
      <c r="P564" s="49"/>
      <c r="Q564" s="49"/>
    </row>
    <row r="565">
      <c r="N565" s="49"/>
      <c r="O565" s="49"/>
      <c r="P565" s="49"/>
      <c r="Q565" s="49"/>
    </row>
    <row r="566">
      <c r="N566" s="49"/>
      <c r="O566" s="49"/>
      <c r="P566" s="49"/>
      <c r="Q566" s="49"/>
    </row>
    <row r="567">
      <c r="N567" s="49"/>
      <c r="O567" s="49"/>
      <c r="P567" s="49"/>
      <c r="Q567" s="49"/>
    </row>
    <row r="568">
      <c r="N568" s="49"/>
      <c r="O568" s="49"/>
      <c r="P568" s="49"/>
      <c r="Q568" s="49"/>
    </row>
    <row r="569">
      <c r="N569" s="49"/>
      <c r="O569" s="49"/>
      <c r="P569" s="49"/>
      <c r="Q569" s="49"/>
    </row>
    <row r="570">
      <c r="N570" s="49"/>
      <c r="O570" s="49"/>
      <c r="P570" s="49"/>
      <c r="Q570" s="49"/>
    </row>
    <row r="571">
      <c r="N571" s="49"/>
      <c r="O571" s="49"/>
      <c r="P571" s="49"/>
      <c r="Q571" s="49"/>
    </row>
    <row r="572">
      <c r="N572" s="49"/>
      <c r="O572" s="49"/>
      <c r="P572" s="49"/>
      <c r="Q572" s="49"/>
    </row>
    <row r="573">
      <c r="N573" s="49"/>
      <c r="O573" s="49"/>
      <c r="P573" s="49"/>
      <c r="Q573" s="49"/>
    </row>
    <row r="574">
      <c r="N574" s="49"/>
      <c r="O574" s="49"/>
      <c r="P574" s="49"/>
      <c r="Q574" s="49"/>
    </row>
    <row r="575">
      <c r="N575" s="49"/>
      <c r="O575" s="49"/>
      <c r="P575" s="49"/>
      <c r="Q575" s="49"/>
    </row>
    <row r="576">
      <c r="N576" s="49"/>
      <c r="O576" s="49"/>
      <c r="P576" s="49"/>
      <c r="Q576" s="49"/>
    </row>
    <row r="577">
      <c r="N577" s="49"/>
      <c r="O577" s="49"/>
      <c r="P577" s="49"/>
      <c r="Q577" s="49"/>
    </row>
    <row r="578">
      <c r="N578" s="49"/>
      <c r="O578" s="49"/>
      <c r="P578" s="49"/>
      <c r="Q578" s="49"/>
    </row>
    <row r="579">
      <c r="N579" s="49"/>
      <c r="O579" s="49"/>
      <c r="P579" s="49"/>
      <c r="Q579" s="49"/>
    </row>
    <row r="580">
      <c r="N580" s="49"/>
      <c r="O580" s="49"/>
      <c r="P580" s="49"/>
      <c r="Q580" s="49"/>
    </row>
    <row r="581">
      <c r="N581" s="49"/>
      <c r="O581" s="49"/>
      <c r="P581" s="49"/>
      <c r="Q581" s="49"/>
    </row>
    <row r="582">
      <c r="N582" s="49"/>
      <c r="O582" s="49"/>
      <c r="P582" s="49"/>
      <c r="Q582" s="49"/>
    </row>
    <row r="583">
      <c r="N583" s="49"/>
      <c r="O583" s="49"/>
      <c r="P583" s="49"/>
      <c r="Q583" s="49"/>
    </row>
    <row r="584">
      <c r="N584" s="49"/>
      <c r="O584" s="49"/>
      <c r="P584" s="49"/>
      <c r="Q584" s="49"/>
    </row>
    <row r="585">
      <c r="N585" s="49"/>
      <c r="O585" s="49"/>
      <c r="P585" s="49"/>
      <c r="Q585" s="49"/>
    </row>
    <row r="586">
      <c r="N586" s="49"/>
      <c r="O586" s="49"/>
      <c r="P586" s="49"/>
      <c r="Q586" s="49"/>
    </row>
    <row r="587">
      <c r="N587" s="49"/>
      <c r="O587" s="49"/>
      <c r="P587" s="49"/>
      <c r="Q587" s="49"/>
    </row>
    <row r="588">
      <c r="N588" s="49"/>
      <c r="O588" s="49"/>
      <c r="P588" s="49"/>
      <c r="Q588" s="49"/>
    </row>
    <row r="589">
      <c r="N589" s="49"/>
      <c r="O589" s="49"/>
      <c r="P589" s="49"/>
      <c r="Q589" s="49"/>
    </row>
    <row r="590">
      <c r="N590" s="49"/>
      <c r="O590" s="49"/>
      <c r="P590" s="49"/>
      <c r="Q590" s="49"/>
    </row>
    <row r="591">
      <c r="N591" s="49"/>
      <c r="O591" s="49"/>
      <c r="P591" s="49"/>
      <c r="Q591" s="49"/>
    </row>
    <row r="592">
      <c r="N592" s="49"/>
      <c r="O592" s="49"/>
      <c r="P592" s="49"/>
      <c r="Q592" s="49"/>
    </row>
    <row r="593">
      <c r="N593" s="49"/>
      <c r="O593" s="49"/>
      <c r="P593" s="49"/>
      <c r="Q593" s="49"/>
    </row>
    <row r="594">
      <c r="N594" s="49"/>
      <c r="O594" s="49"/>
      <c r="P594" s="49"/>
      <c r="Q594" s="49"/>
    </row>
    <row r="595">
      <c r="N595" s="49"/>
      <c r="O595" s="49"/>
      <c r="P595" s="49"/>
      <c r="Q595" s="49"/>
    </row>
    <row r="596">
      <c r="N596" s="49"/>
      <c r="O596" s="49"/>
      <c r="P596" s="49"/>
      <c r="Q596" s="49"/>
    </row>
    <row r="597">
      <c r="N597" s="49"/>
      <c r="O597" s="49"/>
      <c r="P597" s="49"/>
      <c r="Q597" s="49"/>
    </row>
    <row r="598">
      <c r="N598" s="49"/>
      <c r="O598" s="49"/>
      <c r="P598" s="49"/>
      <c r="Q598" s="49"/>
    </row>
    <row r="599">
      <c r="N599" s="49"/>
      <c r="O599" s="49"/>
      <c r="P599" s="49"/>
      <c r="Q599" s="49"/>
    </row>
    <row r="600">
      <c r="N600" s="49"/>
      <c r="O600" s="49"/>
      <c r="P600" s="49"/>
      <c r="Q600" s="49"/>
    </row>
    <row r="601">
      <c r="N601" s="49"/>
      <c r="O601" s="49"/>
      <c r="P601" s="49"/>
      <c r="Q601" s="49"/>
    </row>
    <row r="602">
      <c r="N602" s="49"/>
      <c r="O602" s="49"/>
      <c r="P602" s="49"/>
      <c r="Q602" s="49"/>
    </row>
    <row r="603">
      <c r="N603" s="49"/>
      <c r="O603" s="49"/>
      <c r="P603" s="49"/>
      <c r="Q603" s="49"/>
    </row>
    <row r="604">
      <c r="N604" s="49"/>
      <c r="O604" s="49"/>
      <c r="P604" s="49"/>
      <c r="Q604" s="49"/>
    </row>
    <row r="605">
      <c r="N605" s="49"/>
      <c r="O605" s="49"/>
      <c r="P605" s="49"/>
      <c r="Q605" s="49"/>
    </row>
    <row r="606">
      <c r="N606" s="49"/>
      <c r="O606" s="49"/>
      <c r="P606" s="49"/>
      <c r="Q606" s="49"/>
    </row>
    <row r="607">
      <c r="N607" s="49"/>
      <c r="O607" s="49"/>
      <c r="P607" s="49"/>
      <c r="Q607" s="49"/>
    </row>
    <row r="608">
      <c r="N608" s="49"/>
      <c r="O608" s="49"/>
      <c r="P608" s="49"/>
      <c r="Q608" s="49"/>
    </row>
    <row r="609">
      <c r="N609" s="49"/>
      <c r="O609" s="49"/>
      <c r="P609" s="49"/>
      <c r="Q609" s="49"/>
    </row>
    <row r="610">
      <c r="N610" s="49"/>
      <c r="O610" s="49"/>
      <c r="P610" s="49"/>
      <c r="Q610" s="49"/>
    </row>
    <row r="611">
      <c r="N611" s="49"/>
      <c r="O611" s="49"/>
      <c r="P611" s="49"/>
      <c r="Q611" s="49"/>
    </row>
    <row r="612">
      <c r="N612" s="49"/>
      <c r="O612" s="49"/>
      <c r="P612" s="49"/>
      <c r="Q612" s="49"/>
    </row>
    <row r="613">
      <c r="N613" s="49"/>
      <c r="O613" s="49"/>
      <c r="P613" s="49"/>
      <c r="Q613" s="49"/>
    </row>
    <row r="614">
      <c r="N614" s="49"/>
      <c r="O614" s="49"/>
      <c r="P614" s="49"/>
      <c r="Q614" s="49"/>
    </row>
    <row r="615">
      <c r="N615" s="49"/>
      <c r="O615" s="49"/>
      <c r="P615" s="49"/>
      <c r="Q615" s="49"/>
    </row>
    <row r="616">
      <c r="N616" s="49"/>
      <c r="O616" s="49"/>
      <c r="P616" s="49"/>
      <c r="Q616" s="49"/>
    </row>
    <row r="617">
      <c r="N617" s="49"/>
      <c r="O617" s="49"/>
      <c r="P617" s="49"/>
      <c r="Q617" s="49"/>
    </row>
    <row r="618">
      <c r="N618" s="49"/>
      <c r="O618" s="49"/>
      <c r="P618" s="49"/>
      <c r="Q618" s="49"/>
    </row>
    <row r="619">
      <c r="N619" s="49"/>
      <c r="O619" s="49"/>
      <c r="P619" s="49"/>
      <c r="Q619" s="49"/>
    </row>
    <row r="620">
      <c r="N620" s="49"/>
      <c r="O620" s="49"/>
      <c r="P620" s="49"/>
      <c r="Q620" s="49"/>
    </row>
    <row r="621">
      <c r="N621" s="49"/>
      <c r="O621" s="49"/>
      <c r="P621" s="49"/>
      <c r="Q621" s="49"/>
    </row>
    <row r="622">
      <c r="N622" s="49"/>
      <c r="O622" s="49"/>
      <c r="P622" s="49"/>
      <c r="Q622" s="49"/>
    </row>
    <row r="623">
      <c r="N623" s="49"/>
      <c r="O623" s="49"/>
      <c r="P623" s="49"/>
      <c r="Q623" s="49"/>
    </row>
    <row r="624">
      <c r="N624" s="49"/>
      <c r="O624" s="49"/>
      <c r="P624" s="49"/>
      <c r="Q624" s="49"/>
    </row>
    <row r="625">
      <c r="N625" s="49"/>
      <c r="O625" s="49"/>
      <c r="P625" s="49"/>
      <c r="Q625" s="49"/>
    </row>
    <row r="626">
      <c r="N626" s="49"/>
      <c r="O626" s="49"/>
      <c r="P626" s="49"/>
      <c r="Q626" s="49"/>
    </row>
    <row r="627">
      <c r="N627" s="49"/>
      <c r="O627" s="49"/>
      <c r="P627" s="49"/>
      <c r="Q627" s="49"/>
    </row>
    <row r="628">
      <c r="N628" s="49"/>
      <c r="O628" s="49"/>
      <c r="P628" s="49"/>
      <c r="Q628" s="49"/>
    </row>
    <row r="629">
      <c r="N629" s="49"/>
      <c r="O629" s="49"/>
      <c r="P629" s="49"/>
      <c r="Q629" s="49"/>
    </row>
    <row r="630">
      <c r="N630" s="49"/>
      <c r="O630" s="49"/>
      <c r="P630" s="49"/>
      <c r="Q630" s="49"/>
    </row>
    <row r="631">
      <c r="N631" s="49"/>
      <c r="O631" s="49"/>
      <c r="P631" s="49"/>
      <c r="Q631" s="49"/>
    </row>
    <row r="632">
      <c r="N632" s="49"/>
      <c r="O632" s="49"/>
      <c r="P632" s="49"/>
      <c r="Q632" s="49"/>
    </row>
    <row r="633">
      <c r="N633" s="49"/>
      <c r="O633" s="49"/>
      <c r="P633" s="49"/>
      <c r="Q633" s="49"/>
    </row>
    <row r="634">
      <c r="N634" s="49"/>
      <c r="O634" s="49"/>
      <c r="P634" s="49"/>
      <c r="Q634" s="49"/>
    </row>
    <row r="635">
      <c r="N635" s="49"/>
      <c r="O635" s="49"/>
      <c r="P635" s="49"/>
      <c r="Q635" s="49"/>
    </row>
    <row r="636">
      <c r="N636" s="49"/>
      <c r="O636" s="49"/>
      <c r="P636" s="49"/>
      <c r="Q636" s="49"/>
    </row>
    <row r="637">
      <c r="N637" s="49"/>
      <c r="O637" s="49"/>
      <c r="P637" s="49"/>
      <c r="Q637" s="49"/>
    </row>
    <row r="638">
      <c r="N638" s="49"/>
      <c r="O638" s="49"/>
      <c r="P638" s="49"/>
      <c r="Q638" s="49"/>
    </row>
    <row r="639">
      <c r="N639" s="49"/>
      <c r="O639" s="49"/>
      <c r="P639" s="49"/>
      <c r="Q639" s="49"/>
    </row>
    <row r="640">
      <c r="N640" s="49"/>
      <c r="O640" s="49"/>
      <c r="P640" s="49"/>
      <c r="Q640" s="49"/>
    </row>
    <row r="641">
      <c r="N641" s="49"/>
      <c r="O641" s="49"/>
      <c r="P641" s="49"/>
      <c r="Q641" s="49"/>
    </row>
    <row r="642">
      <c r="N642" s="49"/>
      <c r="O642" s="49"/>
      <c r="P642" s="49"/>
      <c r="Q642" s="49"/>
    </row>
    <row r="643">
      <c r="N643" s="49"/>
      <c r="O643" s="49"/>
      <c r="P643" s="49"/>
      <c r="Q643" s="49"/>
    </row>
    <row r="644">
      <c r="N644" s="49"/>
      <c r="O644" s="49"/>
      <c r="P644" s="49"/>
      <c r="Q644" s="49"/>
    </row>
    <row r="645">
      <c r="N645" s="49"/>
      <c r="O645" s="49"/>
      <c r="P645" s="49"/>
      <c r="Q645" s="49"/>
    </row>
    <row r="646">
      <c r="N646" s="49"/>
      <c r="O646" s="49"/>
      <c r="P646" s="49"/>
      <c r="Q646" s="49"/>
    </row>
    <row r="647">
      <c r="N647" s="49"/>
      <c r="O647" s="49"/>
      <c r="P647" s="49"/>
      <c r="Q647" s="49"/>
    </row>
    <row r="648">
      <c r="N648" s="49"/>
      <c r="O648" s="49"/>
      <c r="P648" s="49"/>
      <c r="Q648" s="49"/>
    </row>
    <row r="649">
      <c r="N649" s="49"/>
      <c r="O649" s="49"/>
      <c r="P649" s="49"/>
      <c r="Q649" s="49"/>
    </row>
    <row r="650">
      <c r="N650" s="49"/>
      <c r="O650" s="49"/>
      <c r="P650" s="49"/>
      <c r="Q650" s="49"/>
    </row>
    <row r="651">
      <c r="N651" s="49"/>
      <c r="O651" s="49"/>
      <c r="P651" s="49"/>
      <c r="Q651" s="49"/>
    </row>
    <row r="652">
      <c r="N652" s="49"/>
      <c r="O652" s="49"/>
      <c r="P652" s="49"/>
      <c r="Q652" s="49"/>
    </row>
    <row r="653">
      <c r="N653" s="49"/>
      <c r="O653" s="49"/>
      <c r="P653" s="49"/>
      <c r="Q653" s="49"/>
    </row>
    <row r="654">
      <c r="N654" s="49"/>
      <c r="O654" s="49"/>
      <c r="P654" s="49"/>
      <c r="Q654" s="49"/>
    </row>
    <row r="655">
      <c r="N655" s="49"/>
      <c r="O655" s="49"/>
      <c r="P655" s="49"/>
      <c r="Q655" s="49"/>
    </row>
    <row r="656">
      <c r="N656" s="49"/>
      <c r="O656" s="49"/>
      <c r="P656" s="49"/>
      <c r="Q656" s="49"/>
    </row>
    <row r="657">
      <c r="N657" s="49"/>
      <c r="O657" s="49"/>
      <c r="P657" s="49"/>
      <c r="Q657" s="49"/>
    </row>
    <row r="658">
      <c r="N658" s="49"/>
      <c r="O658" s="49"/>
      <c r="P658" s="49"/>
      <c r="Q658" s="49"/>
    </row>
    <row r="659">
      <c r="N659" s="49"/>
      <c r="O659" s="49"/>
      <c r="P659" s="49"/>
      <c r="Q659" s="49"/>
    </row>
    <row r="660">
      <c r="N660" s="49"/>
      <c r="O660" s="49"/>
      <c r="P660" s="49"/>
      <c r="Q660" s="49"/>
    </row>
    <row r="661">
      <c r="N661" s="49"/>
      <c r="O661" s="49"/>
      <c r="P661" s="49"/>
      <c r="Q661" s="49"/>
    </row>
    <row r="662">
      <c r="N662" s="49"/>
      <c r="O662" s="49"/>
      <c r="P662" s="49"/>
      <c r="Q662" s="49"/>
    </row>
    <row r="663">
      <c r="N663" s="49"/>
      <c r="O663" s="49"/>
      <c r="P663" s="49"/>
      <c r="Q663" s="49"/>
    </row>
    <row r="664">
      <c r="N664" s="49"/>
      <c r="O664" s="49"/>
      <c r="P664" s="49"/>
      <c r="Q664" s="49"/>
    </row>
    <row r="665">
      <c r="N665" s="49"/>
      <c r="O665" s="49"/>
      <c r="P665" s="49"/>
      <c r="Q665" s="49"/>
    </row>
    <row r="666">
      <c r="N666" s="49"/>
      <c r="O666" s="49"/>
      <c r="P666" s="49"/>
      <c r="Q666" s="49"/>
    </row>
    <row r="667">
      <c r="N667" s="49"/>
      <c r="O667" s="49"/>
      <c r="P667" s="49"/>
      <c r="Q667" s="49"/>
    </row>
    <row r="668">
      <c r="N668" s="49"/>
      <c r="O668" s="49"/>
      <c r="P668" s="49"/>
      <c r="Q668" s="49"/>
    </row>
    <row r="669">
      <c r="N669" s="49"/>
      <c r="O669" s="49"/>
      <c r="P669" s="49"/>
      <c r="Q669" s="49"/>
    </row>
    <row r="670">
      <c r="N670" s="49"/>
      <c r="O670" s="49"/>
      <c r="P670" s="49"/>
      <c r="Q670" s="49"/>
    </row>
    <row r="671">
      <c r="N671" s="49"/>
      <c r="O671" s="49"/>
      <c r="P671" s="49"/>
      <c r="Q671" s="49"/>
    </row>
    <row r="672">
      <c r="N672" s="49"/>
      <c r="O672" s="49"/>
      <c r="P672" s="49"/>
      <c r="Q672" s="49"/>
    </row>
    <row r="673">
      <c r="N673" s="49"/>
      <c r="O673" s="49"/>
      <c r="P673" s="49"/>
      <c r="Q673" s="49"/>
    </row>
    <row r="674">
      <c r="N674" s="49"/>
      <c r="O674" s="49"/>
      <c r="P674" s="49"/>
      <c r="Q674" s="49"/>
    </row>
    <row r="675">
      <c r="N675" s="49"/>
      <c r="O675" s="49"/>
      <c r="P675" s="49"/>
      <c r="Q675" s="49"/>
    </row>
    <row r="676">
      <c r="N676" s="49"/>
      <c r="O676" s="49"/>
      <c r="P676" s="49"/>
      <c r="Q676" s="49"/>
    </row>
    <row r="677">
      <c r="N677" s="49"/>
      <c r="O677" s="49"/>
      <c r="P677" s="49"/>
      <c r="Q677" s="49"/>
    </row>
    <row r="678">
      <c r="N678" s="49"/>
      <c r="O678" s="49"/>
      <c r="P678" s="49"/>
      <c r="Q678" s="49"/>
    </row>
    <row r="679">
      <c r="N679" s="49"/>
      <c r="O679" s="49"/>
      <c r="P679" s="49"/>
      <c r="Q679" s="49"/>
    </row>
    <row r="680">
      <c r="N680" s="49"/>
      <c r="O680" s="49"/>
      <c r="P680" s="49"/>
      <c r="Q680" s="49"/>
    </row>
    <row r="681">
      <c r="N681" s="49"/>
      <c r="O681" s="49"/>
      <c r="P681" s="49"/>
      <c r="Q681" s="49"/>
    </row>
    <row r="682">
      <c r="N682" s="49"/>
      <c r="O682" s="49"/>
      <c r="P682" s="49"/>
      <c r="Q682" s="49"/>
    </row>
    <row r="683">
      <c r="N683" s="49"/>
      <c r="O683" s="49"/>
      <c r="P683" s="49"/>
      <c r="Q683" s="49"/>
    </row>
    <row r="684">
      <c r="N684" s="49"/>
      <c r="O684" s="49"/>
      <c r="P684" s="49"/>
      <c r="Q684" s="49"/>
    </row>
    <row r="685">
      <c r="N685" s="49"/>
      <c r="O685" s="49"/>
      <c r="P685" s="49"/>
      <c r="Q685" s="49"/>
    </row>
    <row r="686">
      <c r="N686" s="49"/>
      <c r="O686" s="49"/>
      <c r="P686" s="49"/>
      <c r="Q686" s="49"/>
    </row>
    <row r="687">
      <c r="N687" s="49"/>
      <c r="O687" s="49"/>
      <c r="P687" s="49"/>
      <c r="Q687" s="49"/>
    </row>
    <row r="688">
      <c r="N688" s="49"/>
      <c r="O688" s="49"/>
      <c r="P688" s="49"/>
      <c r="Q688" s="49"/>
    </row>
    <row r="689">
      <c r="N689" s="49"/>
      <c r="O689" s="49"/>
      <c r="P689" s="49"/>
      <c r="Q689" s="49"/>
    </row>
    <row r="690">
      <c r="N690" s="49"/>
      <c r="O690" s="49"/>
      <c r="P690" s="49"/>
      <c r="Q690" s="49"/>
    </row>
    <row r="691">
      <c r="N691" s="49"/>
      <c r="O691" s="49"/>
      <c r="P691" s="49"/>
      <c r="Q691" s="49"/>
    </row>
    <row r="692">
      <c r="N692" s="49"/>
      <c r="O692" s="49"/>
      <c r="P692" s="49"/>
      <c r="Q692" s="49"/>
    </row>
    <row r="693">
      <c r="N693" s="49"/>
      <c r="O693" s="49"/>
      <c r="P693" s="49"/>
      <c r="Q693" s="49"/>
    </row>
    <row r="694">
      <c r="N694" s="49"/>
      <c r="O694" s="49"/>
      <c r="P694" s="49"/>
      <c r="Q694" s="49"/>
    </row>
    <row r="695">
      <c r="N695" s="49"/>
      <c r="O695" s="49"/>
      <c r="P695" s="49"/>
      <c r="Q695" s="49"/>
    </row>
    <row r="696">
      <c r="N696" s="49"/>
      <c r="O696" s="49"/>
      <c r="P696" s="49"/>
      <c r="Q696" s="49"/>
    </row>
    <row r="697">
      <c r="N697" s="49"/>
      <c r="O697" s="49"/>
      <c r="P697" s="49"/>
      <c r="Q697" s="49"/>
    </row>
    <row r="698">
      <c r="N698" s="49"/>
      <c r="O698" s="49"/>
      <c r="P698" s="49"/>
      <c r="Q698" s="49"/>
    </row>
    <row r="699">
      <c r="N699" s="49"/>
      <c r="O699" s="49"/>
      <c r="P699" s="49"/>
      <c r="Q699" s="49"/>
    </row>
    <row r="700">
      <c r="N700" s="49"/>
      <c r="O700" s="49"/>
      <c r="P700" s="49"/>
      <c r="Q700" s="49"/>
    </row>
    <row r="701">
      <c r="N701" s="49"/>
      <c r="O701" s="49"/>
      <c r="P701" s="49"/>
      <c r="Q701" s="49"/>
    </row>
    <row r="702">
      <c r="N702" s="49"/>
      <c r="O702" s="49"/>
      <c r="P702" s="49"/>
      <c r="Q702" s="49"/>
    </row>
    <row r="703">
      <c r="N703" s="49"/>
      <c r="O703" s="49"/>
      <c r="P703" s="49"/>
      <c r="Q703" s="49"/>
    </row>
    <row r="704">
      <c r="N704" s="49"/>
      <c r="O704" s="49"/>
      <c r="P704" s="49"/>
      <c r="Q704" s="49"/>
    </row>
    <row r="705">
      <c r="N705" s="49"/>
      <c r="O705" s="49"/>
      <c r="P705" s="49"/>
      <c r="Q705" s="49"/>
    </row>
    <row r="706">
      <c r="N706" s="49"/>
      <c r="O706" s="49"/>
      <c r="P706" s="49"/>
      <c r="Q706" s="49"/>
    </row>
    <row r="707">
      <c r="N707" s="49"/>
      <c r="O707" s="49"/>
      <c r="P707" s="49"/>
      <c r="Q707" s="49"/>
    </row>
    <row r="708">
      <c r="N708" s="49"/>
      <c r="O708" s="49"/>
      <c r="P708" s="49"/>
      <c r="Q708" s="49"/>
    </row>
    <row r="709">
      <c r="N709" s="49"/>
      <c r="O709" s="49"/>
      <c r="P709" s="49"/>
      <c r="Q709" s="49"/>
    </row>
    <row r="710">
      <c r="N710" s="49"/>
      <c r="O710" s="49"/>
      <c r="P710" s="49"/>
      <c r="Q710" s="49"/>
    </row>
    <row r="711">
      <c r="N711" s="49"/>
      <c r="O711" s="49"/>
      <c r="P711" s="49"/>
      <c r="Q711" s="49"/>
    </row>
    <row r="712">
      <c r="N712" s="49"/>
      <c r="O712" s="49"/>
      <c r="P712" s="49"/>
      <c r="Q712" s="49"/>
    </row>
    <row r="713">
      <c r="N713" s="49"/>
      <c r="O713" s="49"/>
      <c r="P713" s="49"/>
      <c r="Q713" s="49"/>
    </row>
    <row r="714">
      <c r="N714" s="49"/>
      <c r="O714" s="49"/>
      <c r="P714" s="49"/>
      <c r="Q714" s="49"/>
    </row>
    <row r="715">
      <c r="N715" s="49"/>
      <c r="O715" s="49"/>
      <c r="P715" s="49"/>
      <c r="Q715" s="49"/>
    </row>
    <row r="716">
      <c r="N716" s="49"/>
      <c r="O716" s="49"/>
      <c r="P716" s="49"/>
      <c r="Q716" s="49"/>
    </row>
    <row r="717">
      <c r="N717" s="49"/>
      <c r="O717" s="49"/>
      <c r="P717" s="49"/>
      <c r="Q717" s="49"/>
    </row>
    <row r="718">
      <c r="N718" s="49"/>
      <c r="O718" s="49"/>
      <c r="P718" s="49"/>
      <c r="Q718" s="49"/>
    </row>
    <row r="719">
      <c r="N719" s="49"/>
      <c r="O719" s="49"/>
      <c r="P719" s="49"/>
      <c r="Q719" s="49"/>
    </row>
    <row r="720">
      <c r="N720" s="49"/>
      <c r="O720" s="49"/>
      <c r="P720" s="49"/>
      <c r="Q720" s="49"/>
    </row>
    <row r="721">
      <c r="N721" s="49"/>
      <c r="O721" s="49"/>
      <c r="P721" s="49"/>
      <c r="Q721" s="49"/>
    </row>
    <row r="722">
      <c r="N722" s="49"/>
      <c r="O722" s="49"/>
      <c r="P722" s="49"/>
      <c r="Q722" s="49"/>
    </row>
    <row r="723">
      <c r="N723" s="49"/>
      <c r="O723" s="49"/>
      <c r="P723" s="49"/>
      <c r="Q723" s="49"/>
    </row>
    <row r="724">
      <c r="N724" s="49"/>
      <c r="O724" s="49"/>
      <c r="P724" s="49"/>
      <c r="Q724" s="49"/>
    </row>
    <row r="725">
      <c r="N725" s="49"/>
      <c r="O725" s="49"/>
      <c r="P725" s="49"/>
      <c r="Q725" s="49"/>
    </row>
    <row r="726">
      <c r="N726" s="49"/>
      <c r="O726" s="49"/>
      <c r="P726" s="49"/>
      <c r="Q726" s="49"/>
    </row>
    <row r="727">
      <c r="N727" s="49"/>
      <c r="O727" s="49"/>
      <c r="P727" s="49"/>
      <c r="Q727" s="49"/>
    </row>
    <row r="728">
      <c r="N728" s="49"/>
      <c r="O728" s="49"/>
      <c r="P728" s="49"/>
      <c r="Q728" s="49"/>
    </row>
    <row r="729">
      <c r="N729" s="49"/>
      <c r="O729" s="49"/>
      <c r="P729" s="49"/>
      <c r="Q729" s="49"/>
    </row>
    <row r="730">
      <c r="N730" s="49"/>
      <c r="O730" s="49"/>
      <c r="P730" s="49"/>
      <c r="Q730" s="49"/>
    </row>
    <row r="731">
      <c r="N731" s="49"/>
      <c r="O731" s="49"/>
      <c r="P731" s="49"/>
      <c r="Q731" s="49"/>
    </row>
    <row r="732">
      <c r="N732" s="49"/>
      <c r="O732" s="49"/>
      <c r="P732" s="49"/>
      <c r="Q732" s="49"/>
    </row>
    <row r="733">
      <c r="N733" s="49"/>
      <c r="O733" s="49"/>
      <c r="P733" s="49"/>
      <c r="Q733" s="49"/>
    </row>
    <row r="734">
      <c r="N734" s="49"/>
      <c r="O734" s="49"/>
      <c r="P734" s="49"/>
      <c r="Q734" s="49"/>
    </row>
    <row r="735">
      <c r="N735" s="49"/>
      <c r="O735" s="49"/>
      <c r="P735" s="49"/>
      <c r="Q735" s="49"/>
    </row>
    <row r="736">
      <c r="N736" s="49"/>
      <c r="O736" s="49"/>
      <c r="P736" s="49"/>
      <c r="Q736" s="49"/>
    </row>
    <row r="737">
      <c r="N737" s="49"/>
      <c r="O737" s="49"/>
      <c r="P737" s="49"/>
      <c r="Q737" s="49"/>
    </row>
    <row r="738">
      <c r="N738" s="49"/>
      <c r="O738" s="49"/>
      <c r="P738" s="49"/>
      <c r="Q738" s="49"/>
    </row>
    <row r="739">
      <c r="N739" s="49"/>
      <c r="O739" s="49"/>
      <c r="P739" s="49"/>
      <c r="Q739" s="49"/>
    </row>
    <row r="740">
      <c r="N740" s="49"/>
      <c r="O740" s="49"/>
      <c r="P740" s="49"/>
      <c r="Q740" s="49"/>
    </row>
    <row r="741">
      <c r="N741" s="49"/>
      <c r="O741" s="49"/>
      <c r="P741" s="49"/>
      <c r="Q741" s="49"/>
    </row>
    <row r="742">
      <c r="N742" s="49"/>
      <c r="O742" s="49"/>
      <c r="P742" s="49"/>
      <c r="Q742" s="49"/>
    </row>
    <row r="743">
      <c r="N743" s="49"/>
      <c r="O743" s="49"/>
      <c r="P743" s="49"/>
      <c r="Q743" s="49"/>
    </row>
    <row r="744">
      <c r="N744" s="49"/>
      <c r="O744" s="49"/>
      <c r="P744" s="49"/>
      <c r="Q744" s="49"/>
    </row>
    <row r="745">
      <c r="N745" s="49"/>
      <c r="O745" s="49"/>
      <c r="P745" s="49"/>
      <c r="Q745" s="49"/>
    </row>
    <row r="746">
      <c r="N746" s="49"/>
      <c r="O746" s="49"/>
      <c r="P746" s="49"/>
      <c r="Q746" s="49"/>
    </row>
    <row r="747">
      <c r="N747" s="49"/>
      <c r="O747" s="49"/>
      <c r="P747" s="49"/>
      <c r="Q747" s="49"/>
    </row>
    <row r="748">
      <c r="N748" s="49"/>
      <c r="O748" s="49"/>
      <c r="P748" s="49"/>
      <c r="Q748" s="49"/>
    </row>
    <row r="749">
      <c r="N749" s="49"/>
      <c r="O749" s="49"/>
      <c r="P749" s="49"/>
      <c r="Q749" s="49"/>
    </row>
    <row r="750">
      <c r="N750" s="49"/>
      <c r="O750" s="49"/>
      <c r="P750" s="49"/>
      <c r="Q750" s="49"/>
    </row>
    <row r="751">
      <c r="N751" s="49"/>
      <c r="O751" s="49"/>
      <c r="P751" s="49"/>
      <c r="Q751" s="49"/>
    </row>
    <row r="752">
      <c r="N752" s="49"/>
      <c r="O752" s="49"/>
      <c r="P752" s="49"/>
      <c r="Q752" s="49"/>
    </row>
    <row r="753">
      <c r="N753" s="49"/>
      <c r="O753" s="49"/>
      <c r="P753" s="49"/>
      <c r="Q753" s="49"/>
    </row>
    <row r="754">
      <c r="N754" s="49"/>
      <c r="O754" s="49"/>
      <c r="P754" s="49"/>
      <c r="Q754" s="49"/>
    </row>
    <row r="755">
      <c r="N755" s="49"/>
      <c r="O755" s="49"/>
      <c r="P755" s="49"/>
      <c r="Q755" s="49"/>
    </row>
    <row r="756">
      <c r="N756" s="49"/>
      <c r="O756" s="49"/>
      <c r="P756" s="49"/>
      <c r="Q756" s="49"/>
    </row>
    <row r="757">
      <c r="N757" s="49"/>
      <c r="O757" s="49"/>
      <c r="P757" s="49"/>
      <c r="Q757" s="49"/>
    </row>
    <row r="758">
      <c r="N758" s="49"/>
      <c r="O758" s="49"/>
      <c r="P758" s="49"/>
      <c r="Q758" s="49"/>
    </row>
    <row r="759">
      <c r="N759" s="49"/>
      <c r="O759" s="49"/>
      <c r="P759" s="49"/>
      <c r="Q759" s="49"/>
    </row>
    <row r="760">
      <c r="N760" s="49"/>
      <c r="O760" s="49"/>
      <c r="P760" s="49"/>
      <c r="Q760" s="49"/>
    </row>
    <row r="761">
      <c r="N761" s="49"/>
      <c r="O761" s="49"/>
      <c r="P761" s="49"/>
      <c r="Q761" s="49"/>
    </row>
    <row r="762">
      <c r="N762" s="49"/>
      <c r="O762" s="49"/>
      <c r="P762" s="49"/>
      <c r="Q762" s="49"/>
    </row>
    <row r="763">
      <c r="N763" s="49"/>
      <c r="O763" s="49"/>
      <c r="P763" s="49"/>
      <c r="Q763" s="49"/>
    </row>
    <row r="764">
      <c r="N764" s="49"/>
      <c r="O764" s="49"/>
      <c r="P764" s="49"/>
      <c r="Q764" s="49"/>
    </row>
    <row r="765">
      <c r="N765" s="49"/>
      <c r="O765" s="49"/>
      <c r="P765" s="49"/>
      <c r="Q765" s="49"/>
    </row>
    <row r="766">
      <c r="N766" s="49"/>
      <c r="O766" s="49"/>
      <c r="P766" s="49"/>
      <c r="Q766" s="49"/>
    </row>
    <row r="767">
      <c r="N767" s="49"/>
      <c r="O767" s="49"/>
      <c r="P767" s="49"/>
      <c r="Q767" s="49"/>
    </row>
    <row r="768">
      <c r="N768" s="49"/>
      <c r="O768" s="49"/>
      <c r="P768" s="49"/>
      <c r="Q768" s="49"/>
    </row>
    <row r="769">
      <c r="N769" s="49"/>
      <c r="O769" s="49"/>
      <c r="P769" s="49"/>
      <c r="Q769" s="49"/>
    </row>
    <row r="770">
      <c r="N770" s="49"/>
      <c r="O770" s="49"/>
      <c r="P770" s="49"/>
      <c r="Q770" s="49"/>
    </row>
    <row r="771">
      <c r="N771" s="49"/>
      <c r="O771" s="49"/>
      <c r="P771" s="49"/>
      <c r="Q771" s="49"/>
    </row>
    <row r="772">
      <c r="N772" s="49"/>
      <c r="O772" s="49"/>
      <c r="P772" s="49"/>
      <c r="Q772" s="49"/>
    </row>
    <row r="773">
      <c r="N773" s="49"/>
      <c r="O773" s="49"/>
      <c r="P773" s="49"/>
      <c r="Q773" s="49"/>
    </row>
    <row r="774">
      <c r="N774" s="49"/>
      <c r="O774" s="49"/>
      <c r="P774" s="49"/>
      <c r="Q774" s="49"/>
    </row>
    <row r="775">
      <c r="N775" s="49"/>
      <c r="O775" s="49"/>
      <c r="P775" s="49"/>
      <c r="Q775" s="49"/>
    </row>
    <row r="776">
      <c r="N776" s="49"/>
      <c r="O776" s="49"/>
      <c r="P776" s="49"/>
      <c r="Q776" s="49"/>
    </row>
    <row r="777">
      <c r="N777" s="49"/>
      <c r="O777" s="49"/>
      <c r="P777" s="49"/>
      <c r="Q777" s="49"/>
    </row>
    <row r="778">
      <c r="N778" s="49"/>
      <c r="O778" s="49"/>
      <c r="P778" s="49"/>
      <c r="Q778" s="49"/>
    </row>
    <row r="779">
      <c r="N779" s="49"/>
      <c r="O779" s="49"/>
      <c r="P779" s="49"/>
      <c r="Q779" s="49"/>
    </row>
    <row r="780">
      <c r="N780" s="49"/>
      <c r="O780" s="49"/>
      <c r="P780" s="49"/>
      <c r="Q780" s="49"/>
    </row>
    <row r="781">
      <c r="N781" s="49"/>
      <c r="O781" s="49"/>
      <c r="P781" s="49"/>
      <c r="Q781" s="49"/>
    </row>
    <row r="782">
      <c r="N782" s="49"/>
      <c r="O782" s="49"/>
      <c r="P782" s="49"/>
      <c r="Q782" s="49"/>
    </row>
    <row r="783">
      <c r="N783" s="49"/>
      <c r="O783" s="49"/>
      <c r="P783" s="49"/>
      <c r="Q783" s="49"/>
    </row>
    <row r="784">
      <c r="N784" s="49"/>
      <c r="O784" s="49"/>
      <c r="P784" s="49"/>
      <c r="Q784" s="49"/>
    </row>
    <row r="785">
      <c r="N785" s="49"/>
      <c r="O785" s="49"/>
      <c r="P785" s="49"/>
      <c r="Q785" s="49"/>
    </row>
    <row r="786">
      <c r="N786" s="49"/>
      <c r="O786" s="49"/>
      <c r="P786" s="49"/>
      <c r="Q786" s="49"/>
    </row>
    <row r="787">
      <c r="N787" s="49"/>
      <c r="O787" s="49"/>
      <c r="P787" s="49"/>
      <c r="Q787" s="49"/>
    </row>
    <row r="788">
      <c r="N788" s="49"/>
      <c r="O788" s="49"/>
      <c r="P788" s="49"/>
      <c r="Q788" s="49"/>
    </row>
    <row r="789">
      <c r="N789" s="49"/>
      <c r="O789" s="49"/>
      <c r="P789" s="49"/>
      <c r="Q789" s="49"/>
    </row>
    <row r="790">
      <c r="N790" s="49"/>
      <c r="O790" s="49"/>
      <c r="P790" s="49"/>
      <c r="Q790" s="49"/>
    </row>
    <row r="791">
      <c r="N791" s="49"/>
      <c r="O791" s="49"/>
      <c r="P791" s="49"/>
      <c r="Q791" s="49"/>
    </row>
    <row r="792">
      <c r="N792" s="49"/>
      <c r="O792" s="49"/>
      <c r="P792" s="49"/>
      <c r="Q792" s="49"/>
    </row>
    <row r="793">
      <c r="N793" s="49"/>
      <c r="O793" s="49"/>
      <c r="P793" s="49"/>
      <c r="Q793" s="49"/>
    </row>
    <row r="794">
      <c r="N794" s="49"/>
      <c r="O794" s="49"/>
      <c r="P794" s="49"/>
      <c r="Q794" s="49"/>
    </row>
    <row r="795">
      <c r="N795" s="49"/>
      <c r="O795" s="49"/>
      <c r="P795" s="49"/>
      <c r="Q795" s="49"/>
    </row>
    <row r="796">
      <c r="N796" s="49"/>
      <c r="O796" s="49"/>
      <c r="P796" s="49"/>
      <c r="Q796" s="49"/>
    </row>
    <row r="797">
      <c r="N797" s="49"/>
      <c r="O797" s="49"/>
      <c r="P797" s="49"/>
      <c r="Q797" s="49"/>
    </row>
    <row r="798">
      <c r="N798" s="49"/>
      <c r="O798" s="49"/>
      <c r="P798" s="49"/>
      <c r="Q798" s="49"/>
    </row>
    <row r="799">
      <c r="N799" s="49"/>
      <c r="O799" s="49"/>
      <c r="P799" s="49"/>
      <c r="Q799" s="49"/>
    </row>
    <row r="800">
      <c r="N800" s="49"/>
      <c r="O800" s="49"/>
      <c r="P800" s="49"/>
      <c r="Q800" s="49"/>
    </row>
    <row r="801">
      <c r="N801" s="49"/>
      <c r="O801" s="49"/>
      <c r="P801" s="49"/>
      <c r="Q801" s="49"/>
    </row>
    <row r="802">
      <c r="N802" s="49"/>
      <c r="O802" s="49"/>
      <c r="P802" s="49"/>
      <c r="Q802" s="49"/>
    </row>
    <row r="803">
      <c r="N803" s="49"/>
      <c r="O803" s="49"/>
      <c r="P803" s="49"/>
      <c r="Q803" s="49"/>
    </row>
    <row r="804">
      <c r="N804" s="49"/>
      <c r="O804" s="49"/>
      <c r="P804" s="49"/>
      <c r="Q804" s="49"/>
    </row>
    <row r="805">
      <c r="N805" s="49"/>
      <c r="O805" s="49"/>
      <c r="P805" s="49"/>
      <c r="Q805" s="49"/>
    </row>
    <row r="806">
      <c r="N806" s="49"/>
      <c r="O806" s="49"/>
      <c r="P806" s="49"/>
      <c r="Q806" s="49"/>
    </row>
    <row r="807">
      <c r="N807" s="49"/>
      <c r="O807" s="49"/>
      <c r="P807" s="49"/>
      <c r="Q807" s="49"/>
    </row>
    <row r="808">
      <c r="N808" s="49"/>
      <c r="O808" s="49"/>
      <c r="P808" s="49"/>
      <c r="Q808" s="49"/>
    </row>
    <row r="809">
      <c r="N809" s="49"/>
      <c r="O809" s="49"/>
      <c r="P809" s="49"/>
      <c r="Q809" s="49"/>
    </row>
    <row r="810">
      <c r="N810" s="49"/>
      <c r="O810" s="49"/>
      <c r="P810" s="49"/>
      <c r="Q810" s="49"/>
    </row>
    <row r="811">
      <c r="N811" s="49"/>
      <c r="O811" s="49"/>
      <c r="P811" s="49"/>
      <c r="Q811" s="49"/>
    </row>
    <row r="812">
      <c r="N812" s="49"/>
      <c r="O812" s="49"/>
      <c r="P812" s="49"/>
      <c r="Q812" s="49"/>
    </row>
    <row r="813">
      <c r="N813" s="49"/>
      <c r="O813" s="49"/>
      <c r="P813" s="49"/>
      <c r="Q813" s="49"/>
    </row>
    <row r="814">
      <c r="N814" s="49"/>
      <c r="O814" s="49"/>
      <c r="P814" s="49"/>
      <c r="Q814" s="49"/>
    </row>
    <row r="815">
      <c r="N815" s="49"/>
      <c r="O815" s="49"/>
      <c r="P815" s="49"/>
      <c r="Q815" s="49"/>
    </row>
    <row r="816">
      <c r="N816" s="49"/>
      <c r="O816" s="49"/>
      <c r="P816" s="49"/>
      <c r="Q816" s="49"/>
    </row>
    <row r="817">
      <c r="N817" s="49"/>
      <c r="O817" s="49"/>
      <c r="P817" s="49"/>
      <c r="Q817" s="49"/>
    </row>
    <row r="818">
      <c r="N818" s="49"/>
      <c r="O818" s="49"/>
      <c r="P818" s="49"/>
      <c r="Q818" s="49"/>
    </row>
    <row r="819">
      <c r="N819" s="49"/>
      <c r="O819" s="49"/>
      <c r="P819" s="49"/>
      <c r="Q819" s="49"/>
    </row>
    <row r="820">
      <c r="N820" s="49"/>
      <c r="O820" s="49"/>
      <c r="P820" s="49"/>
      <c r="Q820" s="49"/>
    </row>
    <row r="821">
      <c r="N821" s="49"/>
      <c r="O821" s="49"/>
      <c r="P821" s="49"/>
      <c r="Q821" s="49"/>
    </row>
    <row r="822">
      <c r="N822" s="49"/>
      <c r="O822" s="49"/>
      <c r="P822" s="49"/>
      <c r="Q822" s="49"/>
    </row>
    <row r="823">
      <c r="N823" s="49"/>
      <c r="O823" s="49"/>
      <c r="P823" s="49"/>
      <c r="Q823" s="49"/>
    </row>
    <row r="824">
      <c r="N824" s="49"/>
      <c r="O824" s="49"/>
      <c r="P824" s="49"/>
      <c r="Q824" s="49"/>
    </row>
    <row r="825">
      <c r="N825" s="49"/>
      <c r="O825" s="49"/>
      <c r="P825" s="49"/>
      <c r="Q825" s="49"/>
    </row>
    <row r="826">
      <c r="N826" s="49"/>
      <c r="O826" s="49"/>
      <c r="P826" s="49"/>
      <c r="Q826" s="49"/>
    </row>
    <row r="827">
      <c r="N827" s="49"/>
      <c r="O827" s="49"/>
      <c r="P827" s="49"/>
      <c r="Q827" s="49"/>
    </row>
    <row r="828">
      <c r="N828" s="49"/>
      <c r="O828" s="49"/>
      <c r="P828" s="49"/>
      <c r="Q828" s="49"/>
    </row>
    <row r="829">
      <c r="N829" s="49"/>
      <c r="O829" s="49"/>
      <c r="P829" s="49"/>
      <c r="Q829" s="49"/>
    </row>
    <row r="830">
      <c r="N830" s="49"/>
      <c r="O830" s="49"/>
      <c r="P830" s="49"/>
      <c r="Q830" s="49"/>
    </row>
    <row r="831">
      <c r="N831" s="49"/>
      <c r="O831" s="49"/>
      <c r="P831" s="49"/>
      <c r="Q831" s="49"/>
    </row>
    <row r="832">
      <c r="N832" s="49"/>
      <c r="O832" s="49"/>
      <c r="P832" s="49"/>
      <c r="Q832" s="49"/>
    </row>
    <row r="833">
      <c r="N833" s="49"/>
      <c r="O833" s="49"/>
      <c r="P833" s="49"/>
      <c r="Q833" s="49"/>
    </row>
    <row r="834">
      <c r="N834" s="49"/>
      <c r="O834" s="49"/>
      <c r="P834" s="49"/>
      <c r="Q834" s="49"/>
    </row>
    <row r="835">
      <c r="N835" s="49"/>
      <c r="O835" s="49"/>
      <c r="P835" s="49"/>
      <c r="Q835" s="49"/>
    </row>
    <row r="836">
      <c r="N836" s="49"/>
      <c r="O836" s="49"/>
      <c r="P836" s="49"/>
      <c r="Q836" s="49"/>
    </row>
    <row r="837">
      <c r="N837" s="49"/>
      <c r="O837" s="49"/>
      <c r="P837" s="49"/>
      <c r="Q837" s="49"/>
    </row>
    <row r="838">
      <c r="N838" s="49"/>
      <c r="O838" s="49"/>
      <c r="P838" s="49"/>
      <c r="Q838" s="49"/>
    </row>
    <row r="839">
      <c r="N839" s="49"/>
      <c r="O839" s="49"/>
      <c r="P839" s="49"/>
      <c r="Q839" s="49"/>
    </row>
    <row r="840">
      <c r="N840" s="49"/>
      <c r="O840" s="49"/>
      <c r="P840" s="49"/>
      <c r="Q840" s="49"/>
    </row>
    <row r="841">
      <c r="N841" s="49"/>
      <c r="O841" s="49"/>
      <c r="P841" s="49"/>
      <c r="Q841" s="49"/>
    </row>
    <row r="842">
      <c r="N842" s="49"/>
      <c r="O842" s="49"/>
      <c r="P842" s="49"/>
      <c r="Q842" s="49"/>
    </row>
    <row r="843">
      <c r="N843" s="49"/>
      <c r="O843" s="49"/>
      <c r="P843" s="49"/>
      <c r="Q843" s="49"/>
    </row>
    <row r="844">
      <c r="N844" s="49"/>
      <c r="O844" s="49"/>
      <c r="P844" s="49"/>
      <c r="Q844" s="49"/>
    </row>
    <row r="845">
      <c r="N845" s="49"/>
      <c r="O845" s="49"/>
      <c r="P845" s="49"/>
      <c r="Q845" s="49"/>
    </row>
    <row r="846">
      <c r="N846" s="49"/>
      <c r="O846" s="49"/>
      <c r="P846" s="49"/>
      <c r="Q846" s="49"/>
    </row>
    <row r="847">
      <c r="N847" s="49"/>
      <c r="O847" s="49"/>
      <c r="P847" s="49"/>
      <c r="Q847" s="49"/>
    </row>
    <row r="848">
      <c r="N848" s="49"/>
      <c r="O848" s="49"/>
      <c r="P848" s="49"/>
      <c r="Q848" s="49"/>
    </row>
    <row r="849">
      <c r="N849" s="49"/>
      <c r="O849" s="49"/>
      <c r="P849" s="49"/>
      <c r="Q849" s="49"/>
    </row>
    <row r="850">
      <c r="N850" s="49"/>
      <c r="O850" s="49"/>
      <c r="P850" s="49"/>
      <c r="Q850" s="49"/>
    </row>
    <row r="851">
      <c r="N851" s="49"/>
      <c r="O851" s="49"/>
      <c r="P851" s="49"/>
      <c r="Q851" s="49"/>
    </row>
    <row r="852">
      <c r="N852" s="49"/>
      <c r="O852" s="49"/>
      <c r="P852" s="49"/>
      <c r="Q852" s="49"/>
    </row>
    <row r="853">
      <c r="N853" s="49"/>
      <c r="O853" s="49"/>
      <c r="P853" s="49"/>
      <c r="Q853" s="49"/>
    </row>
    <row r="854">
      <c r="N854" s="49"/>
      <c r="O854" s="49"/>
      <c r="P854" s="49"/>
      <c r="Q854" s="49"/>
    </row>
    <row r="855">
      <c r="N855" s="49"/>
      <c r="O855" s="49"/>
      <c r="P855" s="49"/>
      <c r="Q855" s="49"/>
    </row>
    <row r="856">
      <c r="N856" s="49"/>
      <c r="O856" s="49"/>
      <c r="P856" s="49"/>
      <c r="Q856" s="49"/>
    </row>
    <row r="857">
      <c r="N857" s="49"/>
      <c r="O857" s="49"/>
      <c r="P857" s="49"/>
      <c r="Q857" s="49"/>
    </row>
    <row r="858">
      <c r="N858" s="49"/>
      <c r="O858" s="49"/>
      <c r="P858" s="49"/>
      <c r="Q858" s="49"/>
    </row>
    <row r="859">
      <c r="N859" s="49"/>
      <c r="O859" s="49"/>
      <c r="P859" s="49"/>
      <c r="Q859" s="49"/>
    </row>
    <row r="860">
      <c r="N860" s="49"/>
      <c r="O860" s="49"/>
      <c r="P860" s="49"/>
      <c r="Q860" s="49"/>
    </row>
    <row r="861">
      <c r="N861" s="49"/>
      <c r="O861" s="49"/>
      <c r="P861" s="49"/>
      <c r="Q861" s="49"/>
    </row>
    <row r="862">
      <c r="N862" s="49"/>
      <c r="O862" s="49"/>
      <c r="P862" s="49"/>
      <c r="Q862" s="49"/>
    </row>
    <row r="863">
      <c r="N863" s="49"/>
      <c r="O863" s="49"/>
      <c r="P863" s="49"/>
      <c r="Q863" s="49"/>
    </row>
    <row r="864">
      <c r="N864" s="49"/>
      <c r="O864" s="49"/>
      <c r="P864" s="49"/>
      <c r="Q864" s="49"/>
    </row>
    <row r="865">
      <c r="N865" s="49"/>
      <c r="O865" s="49"/>
      <c r="P865" s="49"/>
      <c r="Q865" s="49"/>
    </row>
    <row r="866">
      <c r="N866" s="49"/>
      <c r="O866" s="49"/>
      <c r="P866" s="49"/>
      <c r="Q866" s="49"/>
    </row>
    <row r="867">
      <c r="N867" s="49"/>
      <c r="O867" s="49"/>
      <c r="P867" s="49"/>
      <c r="Q867" s="49"/>
    </row>
    <row r="868">
      <c r="N868" s="49"/>
      <c r="O868" s="49"/>
      <c r="P868" s="49"/>
      <c r="Q868" s="49"/>
    </row>
    <row r="869">
      <c r="N869" s="49"/>
      <c r="O869" s="49"/>
      <c r="P869" s="49"/>
      <c r="Q869" s="49"/>
    </row>
    <row r="870">
      <c r="N870" s="49"/>
      <c r="O870" s="49"/>
      <c r="P870" s="49"/>
      <c r="Q870" s="49"/>
    </row>
    <row r="871">
      <c r="N871" s="49"/>
      <c r="O871" s="49"/>
      <c r="P871" s="49"/>
      <c r="Q871" s="49"/>
    </row>
    <row r="872">
      <c r="N872" s="49"/>
      <c r="O872" s="49"/>
      <c r="P872" s="49"/>
      <c r="Q872" s="49"/>
    </row>
    <row r="873">
      <c r="N873" s="49"/>
      <c r="O873" s="49"/>
      <c r="P873" s="49"/>
      <c r="Q873" s="49"/>
    </row>
    <row r="874">
      <c r="N874" s="49"/>
      <c r="O874" s="49"/>
      <c r="P874" s="49"/>
      <c r="Q874" s="49"/>
    </row>
    <row r="875">
      <c r="N875" s="49"/>
      <c r="O875" s="49"/>
      <c r="P875" s="49"/>
      <c r="Q875" s="49"/>
    </row>
    <row r="876">
      <c r="N876" s="49"/>
      <c r="O876" s="49"/>
      <c r="P876" s="49"/>
      <c r="Q876" s="49"/>
    </row>
    <row r="877">
      <c r="N877" s="49"/>
      <c r="O877" s="49"/>
      <c r="P877" s="49"/>
      <c r="Q877" s="49"/>
    </row>
    <row r="878">
      <c r="N878" s="49"/>
      <c r="O878" s="49"/>
      <c r="P878" s="49"/>
      <c r="Q878" s="49"/>
    </row>
    <row r="879">
      <c r="N879" s="49"/>
      <c r="O879" s="49"/>
      <c r="P879" s="49"/>
      <c r="Q879" s="49"/>
    </row>
    <row r="880">
      <c r="N880" s="49"/>
      <c r="O880" s="49"/>
      <c r="P880" s="49"/>
      <c r="Q880" s="49"/>
    </row>
    <row r="881">
      <c r="N881" s="49"/>
      <c r="O881" s="49"/>
      <c r="P881" s="49"/>
      <c r="Q881" s="49"/>
    </row>
    <row r="882">
      <c r="N882" s="49"/>
      <c r="O882" s="49"/>
      <c r="P882" s="49"/>
      <c r="Q882" s="49"/>
    </row>
    <row r="883">
      <c r="N883" s="49"/>
      <c r="O883" s="49"/>
      <c r="P883" s="49"/>
      <c r="Q883" s="49"/>
    </row>
    <row r="884">
      <c r="N884" s="49"/>
      <c r="O884" s="49"/>
      <c r="P884" s="49"/>
      <c r="Q884" s="49"/>
    </row>
    <row r="885">
      <c r="N885" s="49"/>
      <c r="O885" s="49"/>
      <c r="P885" s="49"/>
      <c r="Q885" s="49"/>
    </row>
    <row r="886">
      <c r="N886" s="49"/>
      <c r="O886" s="49"/>
      <c r="P886" s="49"/>
      <c r="Q886" s="49"/>
    </row>
    <row r="887">
      <c r="N887" s="49"/>
      <c r="O887" s="49"/>
      <c r="P887" s="49"/>
      <c r="Q887" s="49"/>
    </row>
    <row r="888">
      <c r="N888" s="49"/>
      <c r="O888" s="49"/>
      <c r="P888" s="49"/>
      <c r="Q888" s="49"/>
    </row>
    <row r="889">
      <c r="N889" s="49"/>
      <c r="O889" s="49"/>
      <c r="P889" s="49"/>
      <c r="Q889" s="49"/>
    </row>
    <row r="890">
      <c r="N890" s="49"/>
      <c r="O890" s="49"/>
      <c r="P890" s="49"/>
      <c r="Q890" s="49"/>
    </row>
    <row r="891">
      <c r="N891" s="49"/>
      <c r="O891" s="49"/>
      <c r="P891" s="49"/>
      <c r="Q891" s="49"/>
    </row>
    <row r="892">
      <c r="N892" s="49"/>
      <c r="O892" s="49"/>
      <c r="P892" s="49"/>
      <c r="Q892" s="49"/>
    </row>
    <row r="893">
      <c r="N893" s="49"/>
      <c r="O893" s="49"/>
      <c r="P893" s="49"/>
      <c r="Q893" s="49"/>
    </row>
    <row r="894">
      <c r="N894" s="49"/>
      <c r="O894" s="49"/>
      <c r="P894" s="49"/>
      <c r="Q894" s="49"/>
    </row>
    <row r="895">
      <c r="N895" s="49"/>
      <c r="O895" s="49"/>
      <c r="P895" s="49"/>
      <c r="Q895" s="49"/>
    </row>
    <row r="896">
      <c r="N896" s="49"/>
      <c r="O896" s="49"/>
      <c r="P896" s="49"/>
      <c r="Q896" s="49"/>
    </row>
    <row r="897">
      <c r="N897" s="49"/>
      <c r="O897" s="49"/>
      <c r="P897" s="49"/>
      <c r="Q897" s="49"/>
    </row>
    <row r="898">
      <c r="N898" s="49"/>
      <c r="O898" s="49"/>
      <c r="P898" s="49"/>
      <c r="Q898" s="49"/>
    </row>
    <row r="899">
      <c r="N899" s="49"/>
      <c r="O899" s="49"/>
      <c r="P899" s="49"/>
      <c r="Q899" s="49"/>
    </row>
    <row r="900">
      <c r="N900" s="49"/>
      <c r="O900" s="49"/>
      <c r="P900" s="49"/>
      <c r="Q900" s="49"/>
    </row>
    <row r="901">
      <c r="N901" s="49"/>
      <c r="O901" s="49"/>
      <c r="P901" s="49"/>
      <c r="Q901" s="49"/>
    </row>
    <row r="902">
      <c r="N902" s="49"/>
      <c r="O902" s="49"/>
      <c r="P902" s="49"/>
      <c r="Q902" s="49"/>
    </row>
    <row r="903">
      <c r="N903" s="49"/>
      <c r="O903" s="49"/>
      <c r="P903" s="49"/>
      <c r="Q903" s="49"/>
    </row>
    <row r="904">
      <c r="N904" s="49"/>
      <c r="O904" s="49"/>
      <c r="P904" s="49"/>
      <c r="Q904" s="49"/>
    </row>
    <row r="905">
      <c r="N905" s="49"/>
      <c r="O905" s="49"/>
      <c r="P905" s="49"/>
      <c r="Q905" s="49"/>
    </row>
    <row r="906">
      <c r="N906" s="49"/>
      <c r="O906" s="49"/>
      <c r="P906" s="49"/>
      <c r="Q906" s="49"/>
    </row>
    <row r="907">
      <c r="N907" s="49"/>
      <c r="O907" s="49"/>
      <c r="P907" s="49"/>
      <c r="Q907" s="49"/>
    </row>
    <row r="908">
      <c r="N908" s="49"/>
      <c r="O908" s="49"/>
      <c r="P908" s="49"/>
      <c r="Q908" s="49"/>
    </row>
    <row r="909">
      <c r="N909" s="49"/>
      <c r="O909" s="49"/>
      <c r="P909" s="49"/>
      <c r="Q909" s="49"/>
    </row>
    <row r="910">
      <c r="N910" s="49"/>
      <c r="O910" s="49"/>
      <c r="P910" s="49"/>
      <c r="Q910" s="49"/>
    </row>
    <row r="911">
      <c r="N911" s="49"/>
      <c r="O911" s="49"/>
      <c r="P911" s="49"/>
      <c r="Q911" s="49"/>
    </row>
    <row r="912">
      <c r="N912" s="49"/>
      <c r="O912" s="49"/>
      <c r="P912" s="49"/>
      <c r="Q912" s="49"/>
    </row>
    <row r="913">
      <c r="N913" s="49"/>
      <c r="O913" s="49"/>
      <c r="P913" s="49"/>
      <c r="Q913" s="49"/>
    </row>
    <row r="914">
      <c r="N914" s="49"/>
      <c r="O914" s="49"/>
      <c r="P914" s="49"/>
      <c r="Q914" s="49"/>
    </row>
    <row r="915">
      <c r="N915" s="49"/>
      <c r="O915" s="49"/>
      <c r="P915" s="49"/>
      <c r="Q915" s="49"/>
    </row>
    <row r="916">
      <c r="N916" s="49"/>
      <c r="O916" s="49"/>
      <c r="P916" s="49"/>
      <c r="Q916" s="49"/>
    </row>
    <row r="917">
      <c r="N917" s="49"/>
      <c r="O917" s="49"/>
      <c r="P917" s="49"/>
      <c r="Q917" s="49"/>
    </row>
    <row r="918">
      <c r="N918" s="49"/>
      <c r="O918" s="49"/>
      <c r="P918" s="49"/>
      <c r="Q918" s="49"/>
    </row>
    <row r="919">
      <c r="N919" s="49"/>
      <c r="O919" s="49"/>
      <c r="P919" s="49"/>
      <c r="Q919" s="49"/>
    </row>
    <row r="920">
      <c r="N920" s="49"/>
      <c r="O920" s="49"/>
      <c r="P920" s="49"/>
      <c r="Q920" s="49"/>
    </row>
    <row r="921">
      <c r="N921" s="49"/>
      <c r="O921" s="49"/>
      <c r="P921" s="49"/>
      <c r="Q921" s="49"/>
    </row>
    <row r="922">
      <c r="N922" s="49"/>
      <c r="O922" s="49"/>
      <c r="P922" s="49"/>
      <c r="Q922" s="49"/>
    </row>
    <row r="923">
      <c r="N923" s="49"/>
      <c r="O923" s="49"/>
      <c r="P923" s="49"/>
      <c r="Q923" s="49"/>
    </row>
    <row r="924">
      <c r="N924" s="49"/>
      <c r="O924" s="49"/>
      <c r="P924" s="49"/>
      <c r="Q924" s="49"/>
    </row>
    <row r="925">
      <c r="N925" s="49"/>
      <c r="O925" s="49"/>
      <c r="P925" s="49"/>
      <c r="Q925" s="49"/>
    </row>
    <row r="926">
      <c r="N926" s="49"/>
      <c r="O926" s="49"/>
      <c r="P926" s="49"/>
      <c r="Q926" s="49"/>
    </row>
    <row r="927">
      <c r="N927" s="49"/>
      <c r="O927" s="49"/>
      <c r="P927" s="49"/>
      <c r="Q927" s="49"/>
    </row>
    <row r="928">
      <c r="N928" s="49"/>
      <c r="O928" s="49"/>
      <c r="P928" s="49"/>
      <c r="Q928" s="49"/>
    </row>
    <row r="929">
      <c r="N929" s="49"/>
      <c r="O929" s="49"/>
      <c r="P929" s="49"/>
      <c r="Q929" s="49"/>
    </row>
    <row r="930">
      <c r="N930" s="49"/>
      <c r="O930" s="49"/>
      <c r="P930" s="49"/>
      <c r="Q930" s="49"/>
    </row>
    <row r="931">
      <c r="N931" s="49"/>
      <c r="O931" s="49"/>
      <c r="P931" s="49"/>
      <c r="Q931" s="49"/>
    </row>
    <row r="932">
      <c r="N932" s="49"/>
      <c r="O932" s="49"/>
      <c r="P932" s="49"/>
      <c r="Q932" s="49"/>
    </row>
    <row r="933">
      <c r="N933" s="49"/>
      <c r="O933" s="49"/>
      <c r="P933" s="49"/>
      <c r="Q933" s="49"/>
    </row>
    <row r="934">
      <c r="N934" s="49"/>
      <c r="O934" s="49"/>
      <c r="P934" s="49"/>
      <c r="Q934" s="49"/>
    </row>
    <row r="935">
      <c r="N935" s="49"/>
      <c r="O935" s="49"/>
      <c r="P935" s="49"/>
      <c r="Q935" s="49"/>
    </row>
    <row r="936">
      <c r="N936" s="49"/>
      <c r="O936" s="49"/>
      <c r="P936" s="49"/>
      <c r="Q936" s="49"/>
    </row>
    <row r="937">
      <c r="N937" s="49"/>
      <c r="O937" s="49"/>
      <c r="P937" s="49"/>
      <c r="Q937" s="49"/>
    </row>
    <row r="938">
      <c r="N938" s="49"/>
      <c r="O938" s="49"/>
      <c r="P938" s="49"/>
      <c r="Q938" s="49"/>
    </row>
    <row r="939">
      <c r="N939" s="49"/>
      <c r="O939" s="49"/>
      <c r="P939" s="49"/>
      <c r="Q939" s="49"/>
    </row>
    <row r="940">
      <c r="N940" s="49"/>
      <c r="O940" s="49"/>
      <c r="P940" s="49"/>
      <c r="Q940" s="49"/>
    </row>
    <row r="941">
      <c r="N941" s="49"/>
      <c r="O941" s="49"/>
      <c r="P941" s="49"/>
      <c r="Q941" s="49"/>
    </row>
    <row r="942">
      <c r="N942" s="49"/>
      <c r="O942" s="49"/>
      <c r="P942" s="49"/>
      <c r="Q942" s="49"/>
    </row>
    <row r="943">
      <c r="N943" s="49"/>
      <c r="O943" s="49"/>
      <c r="P943" s="49"/>
      <c r="Q943" s="49"/>
    </row>
    <row r="944">
      <c r="N944" s="49"/>
      <c r="O944" s="49"/>
      <c r="P944" s="49"/>
      <c r="Q944" s="49"/>
    </row>
    <row r="945">
      <c r="N945" s="49"/>
      <c r="O945" s="49"/>
      <c r="P945" s="49"/>
      <c r="Q945" s="49"/>
    </row>
    <row r="946">
      <c r="N946" s="49"/>
      <c r="O946" s="49"/>
      <c r="P946" s="49"/>
      <c r="Q946" s="49"/>
    </row>
    <row r="947">
      <c r="N947" s="49"/>
      <c r="O947" s="49"/>
      <c r="P947" s="49"/>
      <c r="Q947" s="49"/>
    </row>
    <row r="948">
      <c r="N948" s="49"/>
      <c r="O948" s="49"/>
      <c r="P948" s="49"/>
      <c r="Q948" s="49"/>
    </row>
    <row r="949">
      <c r="N949" s="49"/>
      <c r="O949" s="49"/>
      <c r="P949" s="49"/>
      <c r="Q949" s="49"/>
    </row>
    <row r="950">
      <c r="N950" s="49"/>
      <c r="O950" s="49"/>
      <c r="P950" s="49"/>
      <c r="Q950" s="49"/>
    </row>
    <row r="951">
      <c r="N951" s="49"/>
      <c r="O951" s="49"/>
      <c r="P951" s="49"/>
      <c r="Q951" s="49"/>
    </row>
    <row r="952">
      <c r="N952" s="49"/>
      <c r="O952" s="49"/>
      <c r="P952" s="49"/>
      <c r="Q952" s="49"/>
    </row>
    <row r="953">
      <c r="N953" s="49"/>
      <c r="O953" s="49"/>
      <c r="P953" s="49"/>
      <c r="Q953" s="49"/>
    </row>
    <row r="954">
      <c r="N954" s="49"/>
      <c r="O954" s="49"/>
      <c r="P954" s="49"/>
      <c r="Q954" s="49"/>
    </row>
    <row r="955">
      <c r="N955" s="49"/>
      <c r="O955" s="49"/>
      <c r="P955" s="49"/>
      <c r="Q955" s="49"/>
    </row>
    <row r="956">
      <c r="N956" s="49"/>
      <c r="O956" s="49"/>
      <c r="P956" s="49"/>
      <c r="Q956" s="49"/>
    </row>
  </sheetData>
  <mergeCells count="5">
    <mergeCell ref="H8:I8"/>
    <mergeCell ref="H9:I11"/>
    <mergeCell ref="I23:L23"/>
    <mergeCell ref="I24:L24"/>
    <mergeCell ref="I25:L25"/>
  </mergeCells>
  <conditionalFormatting sqref="H2">
    <cfRule type="expression" dxfId="0" priority="1">
      <formula>OR(AND($F$2,ISBLANK($H$2)),AND(IF($F$2,FALSE,TRUE),IF(ISBLANK($H$2),FALSE,TRUE)))</formula>
    </cfRule>
  </conditionalFormatting>
  <conditionalFormatting sqref="K2">
    <cfRule type="expression" dxfId="0" priority="2">
      <formula>OR(AND($I$2,ISBLANK($K$2)),AND(IF($I$2,FALSE,TRUE),IF(ISBLANK($K$2),FALSE,TRUE)))</formula>
    </cfRule>
  </conditionalFormatting>
  <conditionalFormatting sqref="C14">
    <cfRule type="expression" dxfId="0" priority="3">
      <formula>IF((C13-SUM(E18:J18))&lt;0,TRUE,FALSE)</formula>
    </cfRule>
  </conditionalFormatting>
  <conditionalFormatting sqref="C15">
    <cfRule type="expression" dxfId="0" priority="4">
      <formula>IF((C13-SUM(E18:J18))&lt;0,TRUE,FALSE)</formula>
    </cfRule>
  </conditionalFormatting>
  <conditionalFormatting sqref="K5">
    <cfRule type="expression" dxfId="0" priority="5">
      <formula>AND($P$1&gt;0,OR(ISBLANK($K$5),ISNUMBER(SEARCH("Zen",$K$5)),ISNUMBER(SEARCH("Time",$K$5)),AND(ISNUMBER(SEARCH("Acoustic",$K$5)),IF(ISNUMBER(SEARCH("Bard",$K$1)),FALSE,TRUE))))</formula>
    </cfRule>
  </conditionalFormatting>
  <conditionalFormatting sqref="K6">
    <cfRule type="expression" dxfId="0" priority="6">
      <formula>AND($P$1&gt;1,OR(ISBLANK($K$6),ISNUMBER(SEARCH("Zen",$K$6)),ISNUMBER(SEARCH("Time",$K$6)),AND(ISNUMBER(SEARCH("Acoustic",$K$6)),IF(ISNUMBER(SEARCH("Bard",$K$1)),FALSE,TRUE))))</formula>
    </cfRule>
  </conditionalFormatting>
  <conditionalFormatting sqref="K7">
    <cfRule type="expression" dxfId="0" priority="7">
      <formula>AND($P$1&gt;2,OR(ISBLANK($K$7),ISNUMBER(SEARCH("Zen",$K$7)),ISNUMBER(SEARCH("Time",$K$7)),AND(ISNUMBER(SEARCH("Acoustic",$K$7)),IF(ISNUMBER(SEARCH("Bard",$K$1)),FALSE,TRUE))))</formula>
    </cfRule>
  </conditionalFormatting>
  <conditionalFormatting sqref="K3">
    <cfRule type="expression" dxfId="0" priority="8">
      <formula>AND($B$13&gt;199,ISBLANK($K$3))</formula>
    </cfRule>
  </conditionalFormatting>
  <conditionalFormatting sqref="K3">
    <cfRule type="expression" dxfId="0" priority="9">
      <formula>AND($B$13&lt;200,IF(ISBLANK($K$3),FLASE,TRUE))</formula>
    </cfRule>
  </conditionalFormatting>
  <conditionalFormatting sqref="B2:B9">
    <cfRule type="containsBlanks" dxfId="0" priority="10">
      <formula>LEN(TRIM(B2))=0</formula>
    </cfRule>
  </conditionalFormatting>
  <conditionalFormatting sqref="I6">
    <cfRule type="containsBlanks" dxfId="0" priority="11">
      <formula>LEN(TRIM(I6))=0</formula>
    </cfRule>
  </conditionalFormatting>
  <conditionalFormatting sqref="H1">
    <cfRule type="containsBlanks" dxfId="0" priority="12">
      <formula>LEN(TRIM(H1))=0</formula>
    </cfRule>
  </conditionalFormatting>
  <conditionalFormatting sqref="K1">
    <cfRule type="containsBlanks" dxfId="0" priority="13">
      <formula>LEN(TRIM(K1))=0</formula>
    </cfRule>
  </conditionalFormatting>
  <conditionalFormatting sqref="K4">
    <cfRule type="expression" dxfId="0" priority="14">
      <formula>AND(AND($I$2,ISBLANK($K$4)),$B$13&gt;199)</formula>
    </cfRule>
  </conditionalFormatting>
  <conditionalFormatting sqref="K4">
    <cfRule type="expression" dxfId="0" priority="15">
      <formula>AND($B$13&lt;200,IF(ISBLANK($K$4),FLASE,TRUE))</formula>
    </cfRule>
  </conditionalFormatting>
  <conditionalFormatting sqref="F4:F10">
    <cfRule type="containsBlanks" dxfId="0" priority="16">
      <formula>LEN(TRIM(F4))=0</formula>
    </cfRule>
  </conditionalFormatting>
  <conditionalFormatting sqref="B53:B75">
    <cfRule type="expression" dxfId="0" priority="17">
      <formula>If(AND(B53,ISBLANK(C53)),True,False)</formula>
    </cfRule>
  </conditionalFormatting>
  <conditionalFormatting sqref="C53:C75">
    <cfRule type="expression" dxfId="0" priority="18">
      <formula>AND(IF($B53,FALSE,TRUE),IF(ISBLANK($C53),FALSE,TRUE))</formula>
    </cfRule>
  </conditionalFormatting>
  <conditionalFormatting sqref="K6">
    <cfRule type="expression" dxfId="0" priority="19">
      <formula>IF($P$1&gt;1,FALSE,IF(ISBLANK($K$6),FALSE,TRUE))</formula>
    </cfRule>
  </conditionalFormatting>
  <conditionalFormatting sqref="K7">
    <cfRule type="expression" dxfId="0" priority="20">
      <formula>IF($P$1&gt;2,FALSE,IF(ISBLANK($K$7),FALSE,TRUE))</formula>
    </cfRule>
  </conditionalFormatting>
  <conditionalFormatting sqref="K5">
    <cfRule type="expression" dxfId="0" priority="21">
      <formula>IF($P$1&gt;0,FALSE,IF(ISBLANK($K$5),FALSE,TRUE))</formula>
    </cfRule>
  </conditionalFormatting>
  <conditionalFormatting sqref="I22">
    <cfRule type="expression" dxfId="0" priority="22">
      <formula>$S$26</formula>
    </cfRule>
  </conditionalFormatting>
  <dataValidations>
    <dataValidation type="list" allowBlank="1" sqref="F4">
      <formula1>StarterTowns!$A$1:$A993</formula1>
    </dataValidation>
    <dataValidation type="list" allowBlank="1" sqref="K4">
      <formula1>$Q$3:$Q993</formula1>
    </dataValidation>
    <dataValidation type="decimal" allowBlank="1" showDropDown="1" showInputMessage="1" showErrorMessage="1" prompt="Spell levels are between 1 and 9" sqref="C53:C75">
      <formula1>1.0</formula1>
      <formula2>9.0</formula2>
    </dataValidation>
    <dataValidation type="list" allowBlank="1" sqref="J13">
      <formula1>CharLoaderList!$A:$A</formula1>
    </dataValidation>
    <dataValidation type="list" allowBlank="1" sqref="I6">
      <formula1>AstrologicalSigns!$A$2:$A993</formula1>
    </dataValidation>
    <dataValidation type="list" allowBlank="1" sqref="K1:K2">
      <formula1>Classes!$A$2:$A993</formula1>
    </dataValidation>
    <dataValidation type="list" allowBlank="1" showErrorMessage="1" sqref="F15">
      <formula1>EntityTypes!$A$2:$A993</formula1>
    </dataValidation>
    <dataValidation type="list" allowBlank="1" sqref="K3">
      <formula1>$O$3:$O$8</formula1>
    </dataValidation>
    <dataValidation type="list" allowBlank="1" sqref="K5:K7">
      <formula1>Leveler!$S$2:$S$24</formula1>
    </dataValidation>
    <dataValidation type="list" allowBlank="1" showErrorMessage="1" sqref="F10">
      <formula1>Alignment!$A$2:$A993</formula1>
    </dataValidation>
    <dataValidation type="list" allowBlank="1" sqref="I22">
      <formula1>Factions!$A$2:$A993</formula1>
    </dataValidation>
    <dataValidation type="decimal" allowBlank="1" showDropDown="1" showInputMessage="1" showErrorMessage="1" prompt="Can only put in a MAX of 5 points!" sqref="E18:F18 H18:J18">
      <formula1>0.0</formula1>
      <formula2>5.0</formula2>
    </dataValidation>
    <dataValidation type="list" allowBlank="1" sqref="H1:H2">
      <formula1>Races!$A$2:$A993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198</v>
      </c>
      <c r="B1" s="19" t="s">
        <v>199</v>
      </c>
      <c r="C1" s="19" t="s">
        <v>200</v>
      </c>
      <c r="D1" s="19" t="s">
        <v>201</v>
      </c>
      <c r="E1" s="19" t="s">
        <v>171</v>
      </c>
      <c r="F1" s="19" t="s">
        <v>202</v>
      </c>
      <c r="G1" s="19" t="s">
        <v>203</v>
      </c>
    </row>
    <row r="2">
      <c r="A2" s="75" t="s">
        <v>90</v>
      </c>
      <c r="B2" s="49" t="str">
        <f>IF(VLOOKUP(Leveler!$K$1,Classes!$A$2:$AX1000,MATCH($A2,Classes!$A$1:$AX$1,0),FALSE)&gt;0,IF($B$26,IF(ISNUMBER(MATCH($A2,$B$27:$B$29,0)),VLOOKUP(Leveler!$K$1,Classes!$A$2:$AX1000,MATCH($A2,Classes!$A$1:$AX$1,0),false),0),VLOOKUP(Leveler!$K$1,Classes!$A$2:$AX1000,MATCH($A2,Classes!$A$1:$AX$1,0),FALSE)),0)</f>
        <v>#N/A</v>
      </c>
      <c r="C2" s="49">
        <f>IF(Leveler!$B$13&gt;199,IF(VLOOKUP(Leveler!$K$3,EnhancedClasses!$B$2:$AX1000,MATCH($A2,EnhancedClasses!$B$1:$AX$1,0),FALSE)&gt;0,VLOOKUP(Leveler!$K$3,EnhancedClasses!$B$2:$AX1000,MATCH($A2,EnhancedClasses!$B$1:$AX$1,0),FALSE),0),0)</f>
        <v>0</v>
      </c>
      <c r="D2" s="49" t="str">
        <f>IF(IF(Leveler!$F$2,VLOOKUP(Leveler!$H$2,Races!$A$2:$AX1000,MATCH($A2,Races!$A$1:$AX$1,0),FALSE),VLOOKUP(Leveler!$H$1,Races!$A$2:$AX1000,MATCH($A2,Races!$A$1:$AX$1,0),FALSE))&gt;0,IF(Leveler!$F$2,VLOOKUP(Leveler!$H$2,Races!$A$2:$AX1000,MATCH($A2,Races!$A$1:$AX$1,0),FALSE),VLOOKUP(Leveler!$H$1,Races!$A$2:$AX1000,MATCH($A2,Races!$A$1:$AX$1,0),FALSE)),0)</f>
        <v>#N/A</v>
      </c>
      <c r="E2" s="49">
        <f>IF(Leveler!B53,Leveler!C53,0)</f>
        <v>0</v>
      </c>
      <c r="F2" s="19">
        <v>0.0</v>
      </c>
      <c r="G2" s="49" t="str">
        <f t="shared" ref="G2:G24" si="1">MAX(B2:F2)</f>
        <v>#N/A</v>
      </c>
      <c r="H2" s="49" t="str">
        <f>IFERROR(__xludf.DUMMYFUNCTION("QUERY(A2:G24,""Select A,G where G &gt; 0"")"),"#N/A")</f>
        <v>#N/A</v>
      </c>
    </row>
    <row r="3">
      <c r="A3" s="75" t="s">
        <v>92</v>
      </c>
      <c r="B3" s="49" t="str">
        <f>IF(VLOOKUP(Leveler!$K$1,Classes!$A$2:$AX1000,MATCH($A3,Classes!$A$1:$AX$1,0),FALSE)&gt;0,IF($B$26,IF(ISNUMBER(MATCH($A3,$B$27:$B$29,0)),VLOOKUP(Leveler!$K$1,Classes!$A$2:$AX1000,MATCH($A3,Classes!$A$1:$AX$1,0),false),0),VLOOKUP(Leveler!$K$1,Classes!$A$2:$AX1000,MATCH($A3,Classes!$A$1:$AX$1,0),FALSE)),0)</f>
        <v>#N/A</v>
      </c>
      <c r="C3" s="49">
        <f>IF(Leveler!$B$13&gt;199,IF(VLOOKUP(Leveler!$K$3,EnhancedClasses!$B$2:$AX1000,MATCH($A3,EnhancedClasses!$B$1:$AX$1,0),FALSE)&gt;0,VLOOKUP(Leveler!$K$3,EnhancedClasses!$B$2:$AX1000,MATCH($A3,EnhancedClasses!$B$1:$AX$1,0),FALSE),0),0)</f>
        <v>0</v>
      </c>
      <c r="D3" s="49" t="str">
        <f>IF(IF(Leveler!$F$2,VLOOKUP(Leveler!$H$2,Races!$A$2:$AX1000,MATCH($A3,Races!$A$1:$AX$1,0),FALSE),VLOOKUP(Leveler!$H$1,Races!$A$2:$AX1000,MATCH($A3,Races!$A$1:$AX$1,0),FALSE))&gt;0,IF(Leveler!$F$2,VLOOKUP(Leveler!$H$2,Races!$A$2:$AX1000,MATCH($A3,Races!$A$1:$AX$1,0),FALSE),VLOOKUP(Leveler!$H$1,Races!$A$2:$AX1000,MATCH($A3,Races!$A$1:$AX$1,0),FALSE)),0)</f>
        <v>#N/A</v>
      </c>
      <c r="E3" s="49">
        <f>IF(Leveler!B54,Leveler!C54,0)</f>
        <v>0</v>
      </c>
      <c r="F3" s="19">
        <v>0.0</v>
      </c>
      <c r="G3" s="49" t="str">
        <f t="shared" si="1"/>
        <v>#N/A</v>
      </c>
    </row>
    <row r="4">
      <c r="A4" s="75" t="s">
        <v>96</v>
      </c>
      <c r="B4" s="49" t="str">
        <f>IF(VLOOKUP(Leveler!$K$1,Classes!$A$2:$AX1000,MATCH($A4,Classes!$A$1:$AX$1,0),FALSE)&gt;0,IF($B$26,IF(ISNUMBER(MATCH($A4,$B$27:$B$29,0)),VLOOKUP(Leveler!$K$1,Classes!$A$2:$AX1000,MATCH($A4,Classes!$A$1:$AX$1,0),false),0),VLOOKUP(Leveler!$K$1,Classes!$A$2:$AX1000,MATCH($A4,Classes!$A$1:$AX$1,0),FALSE)),0)</f>
        <v>#N/A</v>
      </c>
      <c r="C4" s="49">
        <f>IF(Leveler!$B$13&gt;199,IF(VLOOKUP(Leveler!$K$3,EnhancedClasses!$B$2:$AX1000,MATCH($A4,EnhancedClasses!$B$1:$AX$1,0),FALSE)&gt;0,VLOOKUP(Leveler!$K$3,EnhancedClasses!$B$2:$AX1000,MATCH($A4,EnhancedClasses!$B$1:$AX$1,0),FALSE),0),0)</f>
        <v>0</v>
      </c>
      <c r="D4" s="49" t="str">
        <f>IF(IF(Leveler!$F$2,VLOOKUP(Leveler!$H$2,Races!$A$2:$AX1000,MATCH($A4,Races!$A$1:$AX$1,0),FALSE),VLOOKUP(Leveler!$H$1,Races!$A$2:$AX1000,MATCH($A4,Races!$A$1:$AX$1,0),FALSE))&gt;0,IF(Leveler!$F$2,VLOOKUP(Leveler!$H$2,Races!$A$2:$AX1000,MATCH($A4,Races!$A$1:$AX$1,0),FALSE),VLOOKUP(Leveler!$H$1,Races!$A$2:$AX1000,MATCH($A4,Races!$A$1:$AX$1,0),FALSE)),0)</f>
        <v>#N/A</v>
      </c>
      <c r="E4" s="49">
        <f>IF(Leveler!B55,Leveler!C55,0)</f>
        <v>0</v>
      </c>
      <c r="F4" s="19">
        <v>0.0</v>
      </c>
      <c r="G4" s="49" t="str">
        <f t="shared" si="1"/>
        <v>#N/A</v>
      </c>
    </row>
    <row r="5">
      <c r="A5" s="75" t="s">
        <v>100</v>
      </c>
      <c r="B5" s="49" t="str">
        <f>IF(VLOOKUP(Leveler!$K$1,Classes!$A$2:$AX1000,MATCH($A5,Classes!$A$1:$AX$1,0),FALSE)&gt;0,IF($B$26,IF(ISNUMBER(MATCH($A5,$B$27:$B$29,0)),VLOOKUP(Leveler!$K$1,Classes!$A$2:$AX1000,MATCH($A5,Classes!$A$1:$AX$1,0),false),0),VLOOKUP(Leveler!$K$1,Classes!$A$2:$AX1000,MATCH($A5,Classes!$A$1:$AX$1,0),FALSE)),0)</f>
        <v>#N/A</v>
      </c>
      <c r="C5" s="49">
        <f>IF(Leveler!$B$13&gt;199,IF(VLOOKUP(Leveler!$K$3,EnhancedClasses!$B$2:$AX1000,MATCH($A5,EnhancedClasses!$B$1:$AX$1,0),FALSE)&gt;0,VLOOKUP(Leveler!$K$3,EnhancedClasses!$B$2:$AX1000,MATCH($A5,EnhancedClasses!$B$1:$AX$1,0),FALSE),0),0)</f>
        <v>0</v>
      </c>
      <c r="D5" s="49" t="str">
        <f>IF(IF(Leveler!$F$2,VLOOKUP(Leveler!$H$2,Races!$A$2:$AX1000,MATCH($A5,Races!$A$1:$AX$1,0),FALSE),VLOOKUP(Leveler!$H$1,Races!$A$2:$AX1000,MATCH($A5,Races!$A$1:$AX$1,0),FALSE))&gt;0,IF(Leveler!$F$2,VLOOKUP(Leveler!$H$2,Races!$A$2:$AX1000,MATCH($A5,Races!$A$1:$AX$1,0),FALSE),VLOOKUP(Leveler!$H$1,Races!$A$2:$AX1000,MATCH($A5,Races!$A$1:$AX$1,0),FALSE)),0)</f>
        <v>#N/A</v>
      </c>
      <c r="E5" s="49">
        <f>IF(Leveler!B56,Leveler!C56,0)</f>
        <v>0</v>
      </c>
      <c r="F5" s="19">
        <v>0.0</v>
      </c>
      <c r="G5" s="49" t="str">
        <f t="shared" si="1"/>
        <v>#N/A</v>
      </c>
    </row>
    <row r="6">
      <c r="A6" s="75" t="s">
        <v>105</v>
      </c>
      <c r="B6" s="49" t="str">
        <f>IF(VLOOKUP(Leveler!$K$1,Classes!$A$2:$AX1000,MATCH($A6,Classes!$A$1:$AX$1,0),FALSE)&gt;0,IF($B$26,IF(ISNUMBER(MATCH($A6,$B$27:$B$29,0)),VLOOKUP(Leveler!$K$1,Classes!$A$2:$AX1000,MATCH($A6,Classes!$A$1:$AX$1,0),false),0),VLOOKUP(Leveler!$K$1,Classes!$A$2:$AX1000,MATCH($A6,Classes!$A$1:$AX$1,0),FALSE)),0)</f>
        <v>#N/A</v>
      </c>
      <c r="C6" s="49">
        <f>IF(Leveler!$B$13&gt;199,IF(VLOOKUP(Leveler!$K$3,EnhancedClasses!$B$2:$AX1000,MATCH($A6,EnhancedClasses!$B$1:$AX$1,0),FALSE)&gt;0,VLOOKUP(Leveler!$K$3,EnhancedClasses!$B$2:$AX1000,MATCH($A6,EnhancedClasses!$B$1:$AX$1,0),FALSE),0),0)</f>
        <v>0</v>
      </c>
      <c r="D6" s="49" t="str">
        <f>IF(IF(Leveler!$F$2,VLOOKUP(Leveler!$H$2,Races!$A$2:$AX1000,MATCH($A6,Races!$A$1:$AX$1,0),FALSE),VLOOKUP(Leveler!$H$1,Races!$A$2:$AX1000,MATCH($A6,Races!$A$1:$AX$1,0),FALSE))&gt;0,IF(Leveler!$F$2,VLOOKUP(Leveler!$H$2,Races!$A$2:$AX1000,MATCH($A6,Races!$A$1:$AX$1,0),FALSE),VLOOKUP(Leveler!$H$1,Races!$A$2:$AX1000,MATCH($A6,Races!$A$1:$AX$1,0),FALSE)),0)</f>
        <v>#N/A</v>
      </c>
      <c r="E6" s="49">
        <f>IF(Leveler!B57,Leveler!C57,0)</f>
        <v>0</v>
      </c>
      <c r="F6" s="19">
        <v>0.0</v>
      </c>
      <c r="G6" s="49" t="str">
        <f t="shared" si="1"/>
        <v>#N/A</v>
      </c>
    </row>
    <row r="7">
      <c r="A7" s="75" t="s">
        <v>110</v>
      </c>
      <c r="B7" s="49" t="str">
        <f>IF(VLOOKUP(Leveler!$K$1,Classes!$A$2:$AX1000,MATCH($A7,Classes!$A$1:$AX$1,0),FALSE)&gt;0,IF($B$26,IF(ISNUMBER(MATCH($A7,$B$27:$B$29,0)),VLOOKUP(Leveler!$K$1,Classes!$A$2:$AX1000,MATCH($A7,Classes!$A$1:$AX$1,0),false),0),VLOOKUP(Leveler!$K$1,Classes!$A$2:$AX1000,MATCH($A7,Classes!$A$1:$AX$1,0),FALSE)),0)</f>
        <v>#N/A</v>
      </c>
      <c r="C7" s="49">
        <f>IF(Leveler!$B$13&gt;199,IF(VLOOKUP(Leveler!$K$3,EnhancedClasses!$B$2:$AX1000,MATCH($A7,EnhancedClasses!$B$1:$AX$1,0),FALSE)&gt;0,VLOOKUP(Leveler!$K$3,EnhancedClasses!$B$2:$AX1000,MATCH($A7,EnhancedClasses!$B$1:$AX$1,0),FALSE),0),0)</f>
        <v>0</v>
      </c>
      <c r="D7" s="49" t="str">
        <f>IF(IF(Leveler!$F$2,VLOOKUP(Leveler!$H$2,Races!$A$2:$AX1000,MATCH($A7,Races!$A$1:$AX$1,0),FALSE),VLOOKUP(Leveler!$H$1,Races!$A$2:$AX1000,MATCH($A7,Races!$A$1:$AX$1,0),FALSE))&gt;0,IF(Leveler!$F$2,VLOOKUP(Leveler!$H$2,Races!$A$2:$AX1000,MATCH($A7,Races!$A$1:$AX$1,0),FALSE),VLOOKUP(Leveler!$H$1,Races!$A$2:$AX1000,MATCH($A7,Races!$A$1:$AX$1,0),FALSE)),0)</f>
        <v>#N/A</v>
      </c>
      <c r="E7" s="49">
        <f>IF(Leveler!B58,Leveler!C58,0)</f>
        <v>0</v>
      </c>
      <c r="F7" s="19">
        <v>0.0</v>
      </c>
      <c r="G7" s="49" t="str">
        <f t="shared" si="1"/>
        <v>#N/A</v>
      </c>
    </row>
    <row r="8">
      <c r="A8" s="75" t="s">
        <v>113</v>
      </c>
      <c r="B8" s="49" t="str">
        <f>IF(VLOOKUP(Leveler!$K$1,Classes!$A$2:$AX1000,MATCH($A8,Classes!$A$1:$AX$1,0),FALSE)&gt;0,IF($B$26,IF(ISNUMBER(MATCH($A8,$B$27:$B$29,0)),VLOOKUP(Leveler!$K$1,Classes!$A$2:$AX1000,MATCH($A8,Classes!$A$1:$AX$1,0),false),0),VLOOKUP(Leveler!$K$1,Classes!$A$2:$AX1000,MATCH($A8,Classes!$A$1:$AX$1,0),FALSE)),0)</f>
        <v>#N/A</v>
      </c>
      <c r="C8" s="49">
        <f>IF(Leveler!$B$13&gt;199,IF(VLOOKUP(Leveler!$K$3,EnhancedClasses!$B$2:$AX1000,MATCH($A8,EnhancedClasses!$B$1:$AX$1,0),FALSE)&gt;0,VLOOKUP(Leveler!$K$3,EnhancedClasses!$B$2:$AX1000,MATCH($A8,EnhancedClasses!$B$1:$AX$1,0),FALSE),0),0)</f>
        <v>0</v>
      </c>
      <c r="D8" s="49" t="str">
        <f>IF(IF(Leveler!$F$2,VLOOKUP(Leveler!$H$2,Races!$A$2:$AX1000,MATCH($A8,Races!$A$1:$AX$1,0),FALSE),VLOOKUP(Leveler!$H$1,Races!$A$2:$AX1000,MATCH($A8,Races!$A$1:$AX$1,0),FALSE))&gt;0,IF(Leveler!$F$2,VLOOKUP(Leveler!$H$2,Races!$A$2:$AX1000,MATCH($A8,Races!$A$1:$AX$1,0),FALSE),VLOOKUP(Leveler!$H$1,Races!$A$2:$AX1000,MATCH($A8,Races!$A$1:$AX$1,0),FALSE)),0)</f>
        <v>#N/A</v>
      </c>
      <c r="E8" s="49">
        <f>IF(Leveler!B59,Leveler!C59,0)</f>
        <v>0</v>
      </c>
      <c r="F8" s="19">
        <v>0.0</v>
      </c>
      <c r="G8" s="49" t="str">
        <f t="shared" si="1"/>
        <v>#N/A</v>
      </c>
    </row>
    <row r="9">
      <c r="A9" s="75" t="s">
        <v>117</v>
      </c>
      <c r="B9" s="49" t="str">
        <f>IF(VLOOKUP(Leveler!$K$1,Classes!$A$2:$AX1000,MATCH($A9,Classes!$A$1:$AX$1,0),FALSE)&gt;0,IF($B$26,IF(ISNUMBER(MATCH($A9,$B$27:$B$29,0)),VLOOKUP(Leveler!$K$1,Classes!$A$2:$AX1000,MATCH($A9,Classes!$A$1:$AX$1,0),false),0),VLOOKUP(Leveler!$K$1,Classes!$A$2:$AX1000,MATCH($A9,Classes!$A$1:$AX$1,0),FALSE)),0)</f>
        <v>#N/A</v>
      </c>
      <c r="C9" s="49">
        <f>IF(Leveler!$B$13&gt;199,IF(VLOOKUP(Leveler!$K$3,EnhancedClasses!$B$2:$AX1000,MATCH($A9,EnhancedClasses!$B$1:$AX$1,0),FALSE)&gt;0,VLOOKUP(Leveler!$K$3,EnhancedClasses!$B$2:$AX1000,MATCH($A9,EnhancedClasses!$B$1:$AX$1,0),FALSE),0),0)</f>
        <v>0</v>
      </c>
      <c r="D9" s="49" t="str">
        <f>IF(IF(Leveler!$F$2,VLOOKUP(Leveler!$H$2,Races!$A$2:$AX1000,MATCH($A9,Races!$A$1:$AX$1,0),FALSE),VLOOKUP(Leveler!$H$1,Races!$A$2:$AX1000,MATCH($A9,Races!$A$1:$AX$1,0),FALSE))&gt;0,IF(Leveler!$F$2,VLOOKUP(Leveler!$H$2,Races!$A$2:$AX1000,MATCH($A9,Races!$A$1:$AX$1,0),FALSE),VLOOKUP(Leveler!$H$1,Races!$A$2:$AX1000,MATCH($A9,Races!$A$1:$AX$1,0),FALSE)),0)</f>
        <v>#N/A</v>
      </c>
      <c r="E9" s="49">
        <f>IF(Leveler!B60,Leveler!C60,0)</f>
        <v>0</v>
      </c>
      <c r="F9" s="19">
        <v>0.0</v>
      </c>
      <c r="G9" s="49" t="str">
        <f t="shared" si="1"/>
        <v>#N/A</v>
      </c>
    </row>
    <row r="10">
      <c r="A10" s="75" t="s">
        <v>119</v>
      </c>
      <c r="B10" s="49" t="str">
        <f>IF(VLOOKUP(Leveler!$K$1,Classes!$A$2:$AX1000,MATCH($A10,Classes!$A$1:$AX$1,0),FALSE)&gt;0,IF($B$26,IF(ISNUMBER(MATCH($A10,$B$27:$B$29,0)),VLOOKUP(Leveler!$K$1,Classes!$A$2:$AX1000,MATCH($A10,Classes!$A$1:$AX$1,0),false),0),VLOOKUP(Leveler!$K$1,Classes!$A$2:$AX1000,MATCH($A10,Classes!$A$1:$AX$1,0),FALSE)),0)</f>
        <v>#N/A</v>
      </c>
      <c r="C10" s="49">
        <f>IF(Leveler!$B$13&gt;199,IF(VLOOKUP(Leveler!$K$3,EnhancedClasses!$B$2:$AX1000,MATCH($A10,EnhancedClasses!$B$1:$AX$1,0),FALSE)&gt;0,VLOOKUP(Leveler!$K$3,EnhancedClasses!$B$2:$AX1000,MATCH($A10,EnhancedClasses!$B$1:$AX$1,0),FALSE),0),0)</f>
        <v>0</v>
      </c>
      <c r="D10" s="49" t="str">
        <f>IF(IF(Leveler!$F$2,VLOOKUP(Leveler!$H$2,Races!$A$2:$AX1000,MATCH($A10,Races!$A$1:$AX$1,0),FALSE),VLOOKUP(Leveler!$H$1,Races!$A$2:$AX1000,MATCH($A10,Races!$A$1:$AX$1,0),FALSE))&gt;0,IF(Leveler!$F$2,VLOOKUP(Leveler!$H$2,Races!$A$2:$AX1000,MATCH($A10,Races!$A$1:$AX$1,0),FALSE),VLOOKUP(Leveler!$H$1,Races!$A$2:$AX1000,MATCH($A10,Races!$A$1:$AX$1,0),FALSE)),0)</f>
        <v>#N/A</v>
      </c>
      <c r="E10" s="49">
        <f>IF(Leveler!B61,Leveler!C61,0)</f>
        <v>0</v>
      </c>
      <c r="F10" s="19">
        <v>0.0</v>
      </c>
      <c r="G10" s="49" t="str">
        <f t="shared" si="1"/>
        <v>#N/A</v>
      </c>
    </row>
    <row r="11">
      <c r="A11" s="75" t="s">
        <v>120</v>
      </c>
      <c r="B11" s="49" t="str">
        <f>IF(VLOOKUP(Leveler!$K$1,Classes!$A$2:$AX1000,MATCH($A11,Classes!$A$1:$AX$1,0),FALSE)&gt;0,IF($B$26,IF(ISNUMBER(MATCH($A11,$B$27:$B$29,0)),VLOOKUP(Leveler!$K$1,Classes!$A$2:$AX1000,MATCH($A11,Classes!$A$1:$AX$1,0),false),0),VLOOKUP(Leveler!$K$1,Classes!$A$2:$AX1000,MATCH($A11,Classes!$A$1:$AX$1,0),FALSE)),0)</f>
        <v>#N/A</v>
      </c>
      <c r="C11" s="49">
        <f>IF(Leveler!$B$13&gt;199,IF(VLOOKUP(Leveler!$K$3,EnhancedClasses!$B$2:$AX1000,MATCH($A11,EnhancedClasses!$B$1:$AX$1,0),FALSE)&gt;0,VLOOKUP(Leveler!$K$3,EnhancedClasses!$B$2:$AX1000,MATCH($A11,EnhancedClasses!$B$1:$AX$1,0),FALSE),0),0)</f>
        <v>0</v>
      </c>
      <c r="D11" s="49" t="str">
        <f>IF(IF(Leveler!$F$2,VLOOKUP(Leveler!$H$2,Races!$A$2:$AX1000,MATCH($A11,Races!$A$1:$AX$1,0),FALSE),VLOOKUP(Leveler!$H$1,Races!$A$2:$AX1000,MATCH($A11,Races!$A$1:$AX$1,0),FALSE))&gt;0,IF(Leveler!$F$2,VLOOKUP(Leveler!$H$2,Races!$A$2:$AX1000,MATCH($A11,Races!$A$1:$AX$1,0),FALSE),VLOOKUP(Leveler!$H$1,Races!$A$2:$AX1000,MATCH($A11,Races!$A$1:$AX$1,0),FALSE)),0)</f>
        <v>#N/A</v>
      </c>
      <c r="E11" s="49">
        <f>IF(Leveler!B62,Leveler!C62,0)</f>
        <v>0</v>
      </c>
      <c r="F11" s="19">
        <v>0.0</v>
      </c>
      <c r="G11" s="49" t="str">
        <f t="shared" si="1"/>
        <v>#N/A</v>
      </c>
    </row>
    <row r="12">
      <c r="A12" s="75" t="s">
        <v>125</v>
      </c>
      <c r="B12" s="49" t="str">
        <f>IF(VLOOKUP(Leveler!$K$1,Classes!$A$2:$AX1000,MATCH($A12,Classes!$A$1:$AX$1,0),FALSE)&gt;0,IF($B$26,IF(ISNUMBER(MATCH($A12,$B$27:$B$29,0)),VLOOKUP(Leveler!$K$1,Classes!$A$2:$AX1000,MATCH($A12,Classes!$A$1:$AX$1,0),false),0),VLOOKUP(Leveler!$K$1,Classes!$A$2:$AX1000,MATCH($A12,Classes!$A$1:$AX$1,0),FALSE)),0)</f>
        <v>#N/A</v>
      </c>
      <c r="C12" s="49">
        <f>IF(Leveler!$B$13&gt;199,IF(VLOOKUP(Leveler!$K$3,EnhancedClasses!$B$2:$AX1000,MATCH($A12,EnhancedClasses!$B$1:$AX$1,0),FALSE)&gt;0,VLOOKUP(Leveler!$K$3,EnhancedClasses!$B$2:$AX1000,MATCH($A12,EnhancedClasses!$B$1:$AX$1,0),FALSE),0),0)</f>
        <v>0</v>
      </c>
      <c r="D12" s="49" t="str">
        <f>IF(IF(Leveler!$F$2,VLOOKUP(Leveler!$H$2,Races!$A$2:$AX1000,MATCH($A12,Races!$A$1:$AX$1,0),FALSE),VLOOKUP(Leveler!$H$1,Races!$A$2:$AX1000,MATCH($A12,Races!$A$1:$AX$1,0),FALSE))&gt;0,IF(Leveler!$F$2,VLOOKUP(Leveler!$H$2,Races!$A$2:$AX1000,MATCH($A12,Races!$A$1:$AX$1,0),FALSE),VLOOKUP(Leveler!$H$1,Races!$A$2:$AX1000,MATCH($A12,Races!$A$1:$AX$1,0),FALSE)),0)</f>
        <v>#N/A</v>
      </c>
      <c r="E12" s="49">
        <f>IF(Leveler!B63,Leveler!C63,0)</f>
        <v>0</v>
      </c>
      <c r="F12" s="19">
        <v>0.0</v>
      </c>
      <c r="G12" s="49" t="str">
        <f t="shared" si="1"/>
        <v>#N/A</v>
      </c>
    </row>
    <row r="13">
      <c r="A13" s="75" t="s">
        <v>127</v>
      </c>
      <c r="B13" s="49" t="str">
        <f>IF(VLOOKUP(Leveler!$K$1,Classes!$A$2:$AX1000,MATCH($A13,Classes!$A$1:$AX$1,0),FALSE)&gt;0,IF($B$26,IF(ISNUMBER(MATCH($A13,$B$27:$B$29,0)),VLOOKUP(Leveler!$K$1,Classes!$A$2:$AX1000,MATCH($A13,Classes!$A$1:$AX$1,0),false),0),VLOOKUP(Leveler!$K$1,Classes!$A$2:$AX1000,MATCH($A13,Classes!$A$1:$AX$1,0),FALSE)),0)</f>
        <v>#N/A</v>
      </c>
      <c r="C13" s="49">
        <f>IF(Leveler!$B$13&gt;199,IF(VLOOKUP(Leveler!$K$3,EnhancedClasses!$B$2:$AX1000,MATCH($A13,EnhancedClasses!$B$1:$AX$1,0),FALSE)&gt;0,VLOOKUP(Leveler!$K$3,EnhancedClasses!$B$2:$AX1000,MATCH($A13,EnhancedClasses!$B$1:$AX$1,0),FALSE),0),0)</f>
        <v>0</v>
      </c>
      <c r="D13" s="49" t="str">
        <f>IF(IF(Leveler!$F$2,VLOOKUP(Leveler!$H$2,Races!$A$2:$AX1000,MATCH($A13,Races!$A$1:$AX$1,0),FALSE),VLOOKUP(Leveler!$H$1,Races!$A$2:$AX1000,MATCH($A13,Races!$A$1:$AX$1,0),FALSE))&gt;0,IF(Leveler!$F$2,VLOOKUP(Leveler!$H$2,Races!$A$2:$AX1000,MATCH($A13,Races!$A$1:$AX$1,0),FALSE),VLOOKUP(Leveler!$H$1,Races!$A$2:$AX1000,MATCH($A13,Races!$A$1:$AX$1,0),FALSE)),0)</f>
        <v>#N/A</v>
      </c>
      <c r="E13" s="49">
        <f>IF(Leveler!B64,Leveler!C64,0)</f>
        <v>0</v>
      </c>
      <c r="F13" s="19">
        <v>0.0</v>
      </c>
      <c r="G13" s="49" t="str">
        <f t="shared" si="1"/>
        <v>#N/A</v>
      </c>
    </row>
    <row r="14">
      <c r="A14" s="75" t="s">
        <v>131</v>
      </c>
      <c r="B14" s="49" t="str">
        <f>IF(VLOOKUP(Leveler!$K$1,Classes!$A$2:$AX1000,MATCH($A14,Classes!$A$1:$AX$1,0),FALSE)&gt;0,IF($B$26,IF(ISNUMBER(MATCH($A14,$B$27:$B$29,0)),VLOOKUP(Leveler!$K$1,Classes!$A$2:$AX1000,MATCH($A14,Classes!$A$1:$AX$1,0),false),0),VLOOKUP(Leveler!$K$1,Classes!$A$2:$AX1000,MATCH($A14,Classes!$A$1:$AX$1,0),FALSE)),0)</f>
        <v>#N/A</v>
      </c>
      <c r="C14" s="49">
        <f>IF(Leveler!$B$13&gt;199,IF(VLOOKUP(Leveler!$K$3,EnhancedClasses!$B$2:$AX1000,MATCH($A14,EnhancedClasses!$B$1:$AX$1,0),FALSE)&gt;0,VLOOKUP(Leveler!$K$3,EnhancedClasses!$B$2:$AX1000,MATCH($A14,EnhancedClasses!$B$1:$AX$1,0),FALSE),0),0)</f>
        <v>0</v>
      </c>
      <c r="D14" s="49" t="str">
        <f>IF(IF(Leveler!$F$2,VLOOKUP(Leveler!$H$2,Races!$A$2:$AX1000,MATCH($A14,Races!$A$1:$AX$1,0),FALSE),VLOOKUP(Leveler!$H$1,Races!$A$2:$AX1000,MATCH($A14,Races!$A$1:$AX$1,0),FALSE))&gt;0,IF(Leveler!$F$2,VLOOKUP(Leveler!$H$2,Races!$A$2:$AX1000,MATCH($A14,Races!$A$1:$AX$1,0),FALSE),VLOOKUP(Leveler!$H$1,Races!$A$2:$AX1000,MATCH($A14,Races!$A$1:$AX$1,0),FALSE)),0)</f>
        <v>#N/A</v>
      </c>
      <c r="E14" s="49">
        <f>IF(Leveler!B65,Leveler!C65,0)</f>
        <v>0</v>
      </c>
      <c r="F14" s="19">
        <v>0.0</v>
      </c>
      <c r="G14" s="49" t="str">
        <f t="shared" si="1"/>
        <v>#N/A</v>
      </c>
    </row>
    <row r="15">
      <c r="A15" s="75" t="s">
        <v>133</v>
      </c>
      <c r="B15" s="49" t="str">
        <f>IF(VLOOKUP(Leveler!$K$1,Classes!$A$2:$AX1000,MATCH($A15,Classes!$A$1:$AX$1,0),FALSE)&gt;0,IF($B$26,IF(ISNUMBER(MATCH($A15,$B$27:$B$29,0)),VLOOKUP(Leveler!$K$1,Classes!$A$2:$AX1000,MATCH($A15,Classes!$A$1:$AX$1,0),false),0),VLOOKUP(Leveler!$K$1,Classes!$A$2:$AX1000,MATCH($A15,Classes!$A$1:$AX$1,0),FALSE)),0)</f>
        <v>#N/A</v>
      </c>
      <c r="C15" s="49">
        <f>IF(Leveler!$B$13&gt;199,IF(VLOOKUP(Leveler!$K$3,EnhancedClasses!$B$2:$AX1000,MATCH($A15,EnhancedClasses!$B$1:$AX$1,0),FALSE)&gt;0,VLOOKUP(Leveler!$K$3,EnhancedClasses!$B$2:$AX1000,MATCH($A15,EnhancedClasses!$B$1:$AX$1,0),FALSE),0),0)</f>
        <v>0</v>
      </c>
      <c r="D15" s="49" t="str">
        <f>IF(IF(Leveler!$F$2,VLOOKUP(Leveler!$H$2,Races!$A$2:$AX1000,MATCH($A15,Races!$A$1:$AX$1,0),FALSE),VLOOKUP(Leveler!$H$1,Races!$A$2:$AX1000,MATCH($A15,Races!$A$1:$AX$1,0),FALSE))&gt;0,IF(Leveler!$F$2,VLOOKUP(Leveler!$H$2,Races!$A$2:$AX1000,MATCH($A15,Races!$A$1:$AX$1,0),FALSE),VLOOKUP(Leveler!$H$1,Races!$A$2:$AX1000,MATCH($A15,Races!$A$1:$AX$1,0),FALSE)),0)</f>
        <v>#N/A</v>
      </c>
      <c r="E15" s="49">
        <f>IF(Leveler!B66,Leveler!C66,0)</f>
        <v>0</v>
      </c>
      <c r="F15" s="19">
        <v>0.0</v>
      </c>
      <c r="G15" s="49" t="str">
        <f t="shared" si="1"/>
        <v>#N/A</v>
      </c>
    </row>
    <row r="16">
      <c r="A16" s="75" t="s">
        <v>134</v>
      </c>
      <c r="B16" s="49" t="str">
        <f>IF(VLOOKUP(Leveler!$K$1,Classes!$A$2:$AX1000,MATCH($A16,Classes!$A$1:$AX$1,0),FALSE)&gt;0,IF($B$26,IF(ISNUMBER(MATCH($A16,$B$27:$B$29,0)),VLOOKUP(Leveler!$K$1,Classes!$A$2:$AX1000,MATCH($A16,Classes!$A$1:$AX$1,0),false),0),VLOOKUP(Leveler!$K$1,Classes!$A$2:$AX1000,MATCH($A16,Classes!$A$1:$AX$1,0),FALSE)),0)</f>
        <v>#N/A</v>
      </c>
      <c r="C16" s="49">
        <f>IF(Leveler!$B$13&gt;199,IF(VLOOKUP(Leveler!$K$3,EnhancedClasses!$B$2:$AX1000,MATCH($A16,EnhancedClasses!$B$1:$AX$1,0),FALSE)&gt;0,VLOOKUP(Leveler!$K$3,EnhancedClasses!$B$2:$AX1000,MATCH($A16,EnhancedClasses!$B$1:$AX$1,0),FALSE),0),0)</f>
        <v>0</v>
      </c>
      <c r="D16" s="49" t="str">
        <f>IF(IF(Leveler!$F$2,VLOOKUP(Leveler!$H$2,Races!$A$2:$AX1000,MATCH($A16,Races!$A$1:$AX$1,0),FALSE),VLOOKUP(Leveler!$H$1,Races!$A$2:$AX1000,MATCH($A16,Races!$A$1:$AX$1,0),FALSE))&gt;0,IF(Leveler!$F$2,VLOOKUP(Leveler!$H$2,Races!$A$2:$AX1000,MATCH($A16,Races!$A$1:$AX$1,0),FALSE),VLOOKUP(Leveler!$H$1,Races!$A$2:$AX1000,MATCH($A16,Races!$A$1:$AX$1,0),FALSE)),0)</f>
        <v>#N/A</v>
      </c>
      <c r="E16" s="49">
        <f>IF(Leveler!B67,Leveler!C67,0)</f>
        <v>0</v>
      </c>
      <c r="F16" s="19">
        <v>0.0</v>
      </c>
      <c r="G16" s="49" t="str">
        <f t="shared" si="1"/>
        <v>#N/A</v>
      </c>
    </row>
    <row r="17">
      <c r="A17" s="75" t="s">
        <v>136</v>
      </c>
      <c r="B17" s="49" t="str">
        <f>IF(VLOOKUP(Leveler!$K$1,Classes!$A$2:$AX1000,MATCH($A17,Classes!$A$1:$AX$1,0),FALSE)&gt;0,IF($B$26,IF(ISNUMBER(MATCH($A17,$B$27:$B$29,0)),VLOOKUP(Leveler!$K$1,Classes!$A$2:$AX1000,MATCH($A17,Classes!$A$1:$AX$1,0),false),0),VLOOKUP(Leveler!$K$1,Classes!$A$2:$AX1000,MATCH($A17,Classes!$A$1:$AX$1,0),FALSE)),0)</f>
        <v>#N/A</v>
      </c>
      <c r="C17" s="49">
        <f>IF(Leveler!$B$13&gt;199,IF(VLOOKUP(Leveler!$K$3,EnhancedClasses!$B$2:$AX1000,MATCH($A17,EnhancedClasses!$B$1:$AX$1,0),FALSE)&gt;0,VLOOKUP(Leveler!$K$3,EnhancedClasses!$B$2:$AX1000,MATCH($A17,EnhancedClasses!$B$1:$AX$1,0),FALSE),0),0)</f>
        <v>0</v>
      </c>
      <c r="D17" s="49" t="str">
        <f>IF(IF(Leveler!$F$2,VLOOKUP(Leveler!$H$2,Races!$A$2:$AX1000,MATCH($A17,Races!$A$1:$AX$1,0),FALSE),VLOOKUP(Leveler!$H$1,Races!$A$2:$AX1000,MATCH($A17,Races!$A$1:$AX$1,0),FALSE))&gt;0,IF(Leveler!$F$2,VLOOKUP(Leveler!$H$2,Races!$A$2:$AX1000,MATCH($A17,Races!$A$1:$AX$1,0),FALSE),VLOOKUP(Leveler!$H$1,Races!$A$2:$AX1000,MATCH($A17,Races!$A$1:$AX$1,0),FALSE)),0)</f>
        <v>#N/A</v>
      </c>
      <c r="E17" s="49">
        <f>IF(Leveler!B68,Leveler!C68,0)</f>
        <v>0</v>
      </c>
      <c r="F17" s="19">
        <v>0.0</v>
      </c>
      <c r="G17" s="49" t="str">
        <f t="shared" si="1"/>
        <v>#N/A</v>
      </c>
    </row>
    <row r="18">
      <c r="A18" s="75" t="s">
        <v>137</v>
      </c>
      <c r="B18" s="49" t="str">
        <f>IF(VLOOKUP(Leveler!$K$1,Classes!$A$2:$AX1000,MATCH($A18,Classes!$A$1:$AX$1,0),FALSE)&gt;0,IF($B$26,IF(ISNUMBER(MATCH($A18,$B$27:$B$29,0)),VLOOKUP(Leveler!$K$1,Classes!$A$2:$AX1000,MATCH($A18,Classes!$A$1:$AX$1,0),false),0),VLOOKUP(Leveler!$K$1,Classes!$A$2:$AX1000,MATCH($A18,Classes!$A$1:$AX$1,0),FALSE)),0)</f>
        <v>#N/A</v>
      </c>
      <c r="C18" s="49">
        <f>IF(Leveler!$B$13&gt;199,IF(VLOOKUP(Leveler!$K$3,EnhancedClasses!$B$2:$AX1000,MATCH($A18,EnhancedClasses!$B$1:$AX$1,0),FALSE)&gt;0,VLOOKUP(Leveler!$K$3,EnhancedClasses!$B$2:$AX1000,MATCH($A18,EnhancedClasses!$B$1:$AX$1,0),FALSE),0),0)</f>
        <v>0</v>
      </c>
      <c r="D18" s="49" t="str">
        <f>IF(IF(Leveler!$F$2,VLOOKUP(Leveler!$H$2,Races!$A$2:$AX1000,MATCH($A18,Races!$A$1:$AX$1,0),FALSE),VLOOKUP(Leveler!$H$1,Races!$A$2:$AX1000,MATCH($A18,Races!$A$1:$AX$1,0),FALSE))&gt;0,IF(Leveler!$F$2,VLOOKUP(Leveler!$H$2,Races!$A$2:$AX1000,MATCH($A18,Races!$A$1:$AX$1,0),FALSE),VLOOKUP(Leveler!$H$1,Races!$A$2:$AX1000,MATCH($A18,Races!$A$1:$AX$1,0),FALSE)),0)</f>
        <v>#N/A</v>
      </c>
      <c r="E18" s="49">
        <f>IF(Leveler!B69,Leveler!C69,0)</f>
        <v>0</v>
      </c>
      <c r="F18" s="19">
        <v>0.0</v>
      </c>
      <c r="G18" s="49" t="str">
        <f t="shared" si="1"/>
        <v>#N/A</v>
      </c>
    </row>
    <row r="19">
      <c r="A19" s="75" t="s">
        <v>139</v>
      </c>
      <c r="B19" s="49" t="str">
        <f>IF(VLOOKUP(Leveler!$K$1,Classes!$A$2:$AX1000,MATCH($A19,Classes!$A$1:$AX$1,0),FALSE)&gt;0,IF($B$26,IF(ISNUMBER(MATCH($A19,$B$27:$B$29,0)),VLOOKUP(Leveler!$K$1,Classes!$A$2:$AX1000,MATCH($A19,Classes!$A$1:$AX$1,0),false),0),VLOOKUP(Leveler!$K$1,Classes!$A$2:$AX1000,MATCH($A19,Classes!$A$1:$AX$1,0),FALSE)),0)</f>
        <v>#N/A</v>
      </c>
      <c r="C19" s="49">
        <f>IF(Leveler!$B$13&gt;199,IF(VLOOKUP(Leveler!$K$3,EnhancedClasses!$B$2:$AX1000,MATCH($A19,EnhancedClasses!$B$1:$AX$1,0),FALSE)&gt;0,VLOOKUP(Leveler!$K$3,EnhancedClasses!$B$2:$AX1000,MATCH($A19,EnhancedClasses!$B$1:$AX$1,0),FALSE),0),0)</f>
        <v>0</v>
      </c>
      <c r="D19" s="49" t="str">
        <f>IF(IF(Leveler!$F$2,VLOOKUP(Leveler!$H$2,Races!$A$2:$AX1000,MATCH($A19,Races!$A$1:$AX$1,0),FALSE),VLOOKUP(Leveler!$H$1,Races!$A$2:$AX1000,MATCH($A19,Races!$A$1:$AX$1,0),FALSE))&gt;0,IF(Leveler!$F$2,VLOOKUP(Leveler!$H$2,Races!$A$2:$AX1000,MATCH($A19,Races!$A$1:$AX$1,0),FALSE),VLOOKUP(Leveler!$H$1,Races!$A$2:$AX1000,MATCH($A19,Races!$A$1:$AX$1,0),FALSE)),0)</f>
        <v>#N/A</v>
      </c>
      <c r="E19" s="49">
        <f>IF(Leveler!B70,Leveler!C70,0)</f>
        <v>0</v>
      </c>
      <c r="F19" s="19">
        <v>0.0</v>
      </c>
      <c r="G19" s="49" t="str">
        <f t="shared" si="1"/>
        <v>#N/A</v>
      </c>
    </row>
    <row r="20">
      <c r="A20" s="75" t="s">
        <v>141</v>
      </c>
      <c r="B20" s="49" t="str">
        <f>IF(VLOOKUP(Leveler!$K$1,Classes!$A$2:$AX1000,MATCH($A20,Classes!$A$1:$AX$1,0),FALSE)&gt;0,IF($B$26,IF(ISNUMBER(MATCH($A20,$B$27:$B$29,0)),VLOOKUP(Leveler!$K$1,Classes!$A$2:$AX1000,MATCH($A20,Classes!$A$1:$AX$1,0),false),0),VLOOKUP(Leveler!$K$1,Classes!$A$2:$AX1000,MATCH($A20,Classes!$A$1:$AX$1,0),FALSE)),0)</f>
        <v>#N/A</v>
      </c>
      <c r="C20" s="49">
        <f>IF(Leveler!$B$13&gt;199,IF(VLOOKUP(Leveler!$K$3,EnhancedClasses!$B$2:$AX1000,MATCH($A20,EnhancedClasses!$B$1:$AX$1,0),FALSE)&gt;0,VLOOKUP(Leveler!$K$3,EnhancedClasses!$B$2:$AX1000,MATCH($A20,EnhancedClasses!$B$1:$AX$1,0),FALSE),0),0)</f>
        <v>0</v>
      </c>
      <c r="D20" s="49" t="str">
        <f>IF(IF(Leveler!$F$2,VLOOKUP(Leveler!$H$2,Races!$A$2:$AX1000,MATCH($A20,Races!$A$1:$AX$1,0),FALSE),VLOOKUP(Leveler!$H$1,Races!$A$2:$AX1000,MATCH($A20,Races!$A$1:$AX$1,0),FALSE))&gt;0,IF(Leveler!$F$2,VLOOKUP(Leveler!$H$2,Races!$A$2:$AX1000,MATCH($A20,Races!$A$1:$AX$1,0),FALSE),VLOOKUP(Leveler!$H$1,Races!$A$2:$AX1000,MATCH($A20,Races!$A$1:$AX$1,0),FALSE)),0)</f>
        <v>#N/A</v>
      </c>
      <c r="E20" s="49">
        <f>IF(Leveler!B71,Leveler!C71,0)</f>
        <v>0</v>
      </c>
      <c r="F20" s="19">
        <v>0.0</v>
      </c>
      <c r="G20" s="49" t="str">
        <f t="shared" si="1"/>
        <v>#N/A</v>
      </c>
    </row>
    <row r="21">
      <c r="A21" s="75" t="s">
        <v>142</v>
      </c>
      <c r="B21" s="49" t="str">
        <f>IF(VLOOKUP(Leveler!$K$1,Classes!$A$2:$AX1000,MATCH($A21,Classes!$A$1:$AX$1,0),FALSE)&gt;0,IF($B$26,IF(ISNUMBER(MATCH($A21,$B$27:$B$29,0)),VLOOKUP(Leveler!$K$1,Classes!$A$2:$AX1000,MATCH($A21,Classes!$A$1:$AX$1,0),false),0),VLOOKUP(Leveler!$K$1,Classes!$A$2:$AX1000,MATCH($A21,Classes!$A$1:$AX$1,0),FALSE)),0)</f>
        <v>#N/A</v>
      </c>
      <c r="C21" s="49">
        <f>IF(Leveler!$B$13&gt;199,IF(VLOOKUP(Leveler!$K$3,EnhancedClasses!$B$2:$AX1000,MATCH($A21,EnhancedClasses!$B$1:$AX$1,0),FALSE)&gt;0,VLOOKUP(Leveler!$K$3,EnhancedClasses!$B$2:$AX1000,MATCH($A21,EnhancedClasses!$B$1:$AX$1,0),FALSE),0),0)</f>
        <v>0</v>
      </c>
      <c r="D21" s="49" t="str">
        <f>IF(IF(Leveler!$F$2,VLOOKUP(Leveler!$H$2,Races!$A$2:$AX1000,MATCH($A21,Races!$A$1:$AX$1,0),FALSE),VLOOKUP(Leveler!$H$1,Races!$A$2:$AX1000,MATCH($A21,Races!$A$1:$AX$1,0),FALSE))&gt;0,IF(Leveler!$F$2,VLOOKUP(Leveler!$H$2,Races!$A$2:$AX1000,MATCH($A21,Races!$A$1:$AX$1,0),FALSE),VLOOKUP(Leveler!$H$1,Races!$A$2:$AX1000,MATCH($A21,Races!$A$1:$AX$1,0),FALSE)),0)</f>
        <v>#N/A</v>
      </c>
      <c r="E21" s="49">
        <f>IF(Leveler!B72,Leveler!C72,0)</f>
        <v>0</v>
      </c>
      <c r="F21" s="49">
        <f>IF(Leveler!K9&gt;0,Leveler!K9,0)</f>
        <v>0</v>
      </c>
      <c r="G21" s="49" t="str">
        <f t="shared" si="1"/>
        <v>#N/A</v>
      </c>
    </row>
    <row r="22">
      <c r="A22" s="75" t="s">
        <v>144</v>
      </c>
      <c r="B22" s="49" t="str">
        <f>IF(VLOOKUP(Leveler!$K$1,Classes!$A$2:$AX1000,MATCH($A22,Classes!$A$1:$AX$1,0),FALSE)&gt;0,IF($B$26,IF(ISNUMBER(MATCH($A22,$B$27:$B$29,0)),VLOOKUP(Leveler!$K$1,Classes!$A$2:$AX1000,MATCH($A22,Classes!$A$1:$AX$1,0),false),0),VLOOKUP(Leveler!$K$1,Classes!$A$2:$AX1000,MATCH($A22,Classes!$A$1:$AX$1,0),FALSE)),0)</f>
        <v>#N/A</v>
      </c>
      <c r="C22" s="49">
        <f>IF(Leveler!$B$13&gt;199,IF(VLOOKUP(Leveler!$K$3,EnhancedClasses!$B$2:$AX1000,MATCH($A22,EnhancedClasses!$B$1:$AX$1,0),FALSE)&gt;0,VLOOKUP(Leveler!$K$3,EnhancedClasses!$B$2:$AX1000,MATCH($A22,EnhancedClasses!$B$1:$AX$1,0),FALSE),0),0)</f>
        <v>0</v>
      </c>
      <c r="D22" s="49" t="str">
        <f>IF(IF(Leveler!$F$2,VLOOKUP(Leveler!$H$2,Races!$A$2:$AX1000,MATCH($A22,Races!$A$1:$AX$1,0),FALSE),VLOOKUP(Leveler!$H$1,Races!$A$2:$AX1000,MATCH($A22,Races!$A$1:$AX$1,0),FALSE))&gt;0,IF(Leveler!$F$2,VLOOKUP(Leveler!$H$2,Races!$A$2:$AX1000,MATCH($A22,Races!$A$1:$AX$1,0),FALSE),VLOOKUP(Leveler!$H$1,Races!$A$2:$AX1000,MATCH($A22,Races!$A$1:$AX$1,0),FALSE)),0)</f>
        <v>#N/A</v>
      </c>
      <c r="E22" s="49">
        <f>IF(Leveler!B73,Leveler!C73,0)</f>
        <v>0</v>
      </c>
      <c r="F22" s="19">
        <v>0.0</v>
      </c>
      <c r="G22" s="49" t="str">
        <f t="shared" si="1"/>
        <v>#N/A</v>
      </c>
    </row>
    <row r="23">
      <c r="A23" s="75" t="s">
        <v>146</v>
      </c>
      <c r="B23" s="49" t="str">
        <f>IF(VLOOKUP(Leveler!$K$1,Classes!$A$2:$AX1000,MATCH($A23,Classes!$A$1:$AX$1,0),FALSE)&gt;0,IF($B$26,IF(ISNUMBER(MATCH($A23,$B$27:$B$29,0)),VLOOKUP(Leveler!$K$1,Classes!$A$2:$AX1000,MATCH($A23,Classes!$A$1:$AX$1,0),false),0),VLOOKUP(Leveler!$K$1,Classes!$A$2:$AX1000,MATCH($A23,Classes!$A$1:$AX$1,0),FALSE)),0)</f>
        <v>#N/A</v>
      </c>
      <c r="C23" s="49">
        <f>IF(Leveler!$B$13&gt;199,IF(VLOOKUP(Leveler!$K$3,EnhancedClasses!$B$2:$AX1000,MATCH($A23,EnhancedClasses!$B$1:$AX$1,0),FALSE)&gt;0,VLOOKUP(Leveler!$K$3,EnhancedClasses!$B$2:$AX1000,MATCH($A23,EnhancedClasses!$B$1:$AX$1,0),FALSE),0),0)</f>
        <v>0</v>
      </c>
      <c r="D23" s="49" t="str">
        <f>IF(IF(Leveler!$F$2,VLOOKUP(Leveler!$H$2,Races!$A$2:$AX1000,MATCH($A23,Races!$A$1:$AX$1,0),FALSE),VLOOKUP(Leveler!$H$1,Races!$A$2:$AX1000,MATCH($A23,Races!$A$1:$AX$1,0),FALSE))&gt;0,IF(Leveler!$F$2,VLOOKUP(Leveler!$H$2,Races!$A$2:$AX1000,MATCH($A23,Races!$A$1:$AX$1,0),FALSE),VLOOKUP(Leveler!$H$1,Races!$A$2:$AX1000,MATCH($A23,Races!$A$1:$AX$1,0),FALSE)),0)</f>
        <v>#N/A</v>
      </c>
      <c r="E23" s="49">
        <f>IF(Leveler!B74,Leveler!C74,0)</f>
        <v>0</v>
      </c>
      <c r="F23" s="49">
        <f>IF(Leveler!B13&gt;199,9,0)</f>
        <v>0</v>
      </c>
      <c r="G23" s="49" t="str">
        <f t="shared" si="1"/>
        <v>#N/A</v>
      </c>
    </row>
    <row r="24">
      <c r="A24" s="75" t="s">
        <v>147</v>
      </c>
      <c r="B24" s="49" t="str">
        <f>IF(VLOOKUP(Leveler!$K$1,Classes!$A$2:$AX1000,MATCH($A24,Classes!$A$1:$AX$1,0),FALSE)&gt;0,IF($B$26,IF(ISNUMBER(MATCH($A24,$B$27:$B$29,0)),VLOOKUP(Leveler!$K$1,Classes!$A$2:$AX1000,MATCH($A24,Classes!$A$1:$AX$1,0),false),0),VLOOKUP(Leveler!$K$1,Classes!$A$2:$AX1000,MATCH($A24,Classes!$A$1:$AX$1,0),FALSE)),0)</f>
        <v>#N/A</v>
      </c>
      <c r="C24" s="49">
        <f>IF(Leveler!$B$13&gt;199,IF(VLOOKUP(Leveler!$K$3,EnhancedClasses!$B$2:$AX1000,MATCH($A24,EnhancedClasses!$B$1:$AX$1,0),FALSE)&gt;0,VLOOKUP(Leveler!$K$3,EnhancedClasses!$B$2:$AX1000,MATCH($A24,EnhancedClasses!$B$1:$AX$1,0),FALSE),0),0)</f>
        <v>0</v>
      </c>
      <c r="D24" s="49" t="str">
        <f>IF(IF(Leveler!$F$2,VLOOKUP(Leveler!$H$2,Races!$A$2:$AX1000,MATCH($A24,Races!$A$1:$AX$1,0),FALSE),VLOOKUP(Leveler!$H$1,Races!$A$2:$AX1000,MATCH($A24,Races!$A$1:$AX$1,0),FALSE))&gt;0,IF(Leveler!$F$2,VLOOKUP(Leveler!$H$2,Races!$A$2:$AX1000,MATCH($A24,Races!$A$1:$AX$1,0),FALSE),VLOOKUP(Leveler!$H$1,Races!$A$2:$AX1000,MATCH($A24,Races!$A$1:$AX$1,0),FALSE)),0)</f>
        <v>#N/A</v>
      </c>
      <c r="E24" s="49">
        <f>IF(Leveler!B75,Leveler!C75,0)</f>
        <v>0</v>
      </c>
      <c r="F24" s="19">
        <v>0.0</v>
      </c>
      <c r="G24" s="49" t="str">
        <f t="shared" si="1"/>
        <v>#N/A</v>
      </c>
    </row>
    <row r="26">
      <c r="A26" s="19" t="s">
        <v>204</v>
      </c>
      <c r="B26" s="49" t="b">
        <f>IF(OR(ISNUMBER(SEARCH("Sorcerer",Leveler!$K$1)),ISNUMBER(SEARCH("Mage",Leveler!$K$1)),ISNUMBER(SEARCH("Wizard",Leveler!$K$1)),ISNUMBER(SEARCH("Witch",Leveler!$K$1)),ISNUMBER(SEARCH("Bard",Leveler!$K$1))),True,False)</f>
        <v>0</v>
      </c>
    </row>
    <row r="27">
      <c r="A27" s="19">
        <v>1.0</v>
      </c>
      <c r="B27" s="49" t="b">
        <f>IF($B$26,Leveler!$K5)</f>
        <v>0</v>
      </c>
    </row>
    <row r="28">
      <c r="A28" s="19">
        <v>2.0</v>
      </c>
      <c r="B28" s="49" t="b">
        <f>IF($B$26,Leveler!$K6)</f>
        <v>0</v>
      </c>
    </row>
    <row r="29">
      <c r="A29" s="19">
        <v>3.0</v>
      </c>
      <c r="B29" s="49" t="b">
        <f>IF($B$26,Leveler!$K7)</f>
        <v>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6" max="6" width="18.38"/>
    <col customWidth="1" min="10" max="10" width="21.13"/>
    <col hidden="1" min="11" max="11" width="12.63"/>
  </cols>
  <sheetData>
    <row r="1">
      <c r="A1" s="97" t="s">
        <v>25</v>
      </c>
      <c r="B1" s="97" t="s">
        <v>174</v>
      </c>
      <c r="C1" s="98" t="s">
        <v>205</v>
      </c>
      <c r="D1" s="98" t="s">
        <v>206</v>
      </c>
      <c r="E1" s="98" t="s">
        <v>207</v>
      </c>
      <c r="F1" s="98" t="s">
        <v>27</v>
      </c>
      <c r="G1" s="98" t="s">
        <v>208</v>
      </c>
      <c r="H1" s="98" t="s">
        <v>172</v>
      </c>
      <c r="I1" s="99"/>
      <c r="J1" s="19" t="str">
        <f>COUNTA(J3:J50)&amp;"/"&amp;K1</f>
        <v>0/6</v>
      </c>
      <c r="K1" s="49">
        <f>Leveler!I4</f>
        <v>6</v>
      </c>
    </row>
    <row r="2">
      <c r="A2" s="49" t="str">
        <f>IFERROR(__xludf.DUMMYFUNCTION("SORT(ARRAYFORMULA({IFNA(VLOOKUP(Unique(VSTACK(QUERY(Spells!A2:N1001,""Select A where (B&lt;=""&amp;IF(OR(LEN(Leveler!X2)&lt;1,ISBLANK(Leveler!X2)),0,Leveler!X2)&amp;"" AND H='""&amp;IF(ISBLANK(Leveler!W2),""Nothing"",Leveler!W2)&amp;""' AND J &lt;&gt; TRUE) 
OR (B&lt;=""&amp;IF(OR(LEN(Leve"&amp;"ler!X3)&lt;1,ISBLANK(Leveler!X3)),0,Leveler!X3)&amp;""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H='""&amp;IF(ISBLA"&amp;"NK(Leveler!W6),""Nothing"",Leveler!W6)&amp;""' AND J &lt;&gt; TRUE)
OR (B&lt;=""&amp;IF(OR(LEN(Leveler!X7)&lt;1,ISBLANK(Leveler!X7)),0,Leveler!X7)&amp;"" AND H='""&amp;IF(ISBLANK(Leveler!W7),""Nothing"",Leveler!W7)&amp;""' AND J &lt;&gt; TRUE)
OR (B&lt;=""&amp;IF(OR(LEN(Leveler!X8)&lt;1,ISBLANK(Leveler"&amp;"!X8)),0,Leveler!X8)&amp;""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(B&lt;=""&amp;IF(OR(LEN(Leveler!X13)&lt;1,ISBLANK(Leveler!X13)),0"&amp;",Leveler!X13)&amp;""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(B&lt;=""&amp;IF(OR(LEN(Leveler!X18)&lt;1,ISBLANK(Leveler!X18)),0"&amp;",Leveler!X18)&amp;""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(B&lt;=""&amp;IF(OR(LEN(Leveler!X23)&lt;1,ISBLANK(Leveler!X23)),0"&amp;",Leveler!X23)&amp;"" AND H='""&amp;IF(ISBLANK(Leveler!W23),""Nothing"",Leveler!W23)&amp;""' AND J &lt;&gt; TRUE)
OR (B&lt;=""&amp;IF(OR(LEN(Leveler!X24)&lt;1,ISBLANK(Leveler!X24)),0,Leveler!X24)&amp;"" AND H='""&amp;IF(ISBLANK(Leveler!W24),""Nothing"",Leveler!W24)&amp;""' AND J &lt;&gt; TRUE)
""),IFN"&amp;"A(QUERY(LearnedSpellsNatPowers!A4:H1001,""Select A Where A IS NOT NULL"")))),Spells!A2:H1001,1,FALSE))
,
IFNA(VLOOKUP(Unique(VSTACK(QUERY(Spells!A2:N1001,""Select A where (B&lt;=""&amp;IF(OR(LEN(Leveler!X2)&lt;1,ISBLANK(Leveler!X2)),0,Leveler!X2)&amp;"" AND H='""&amp;IF(IS"&amp;"BLANK(Leveler!W2),""Nothing"",Leveler!W2)&amp;""' AND J &lt;&gt; TRUE) 
OR (B&lt;=""&amp;IF(OR(LEN(Leveler!X3)&lt;1,ISBLANK(Leveler!X3)),0,Leveler!X3)&amp;"" AND H='""&amp;IF(ISBLANK(Leveler!W3),""Nothing"",Leveler!W3)&amp;""' AND J &lt;&gt; TRUE)
OR (B&lt;=""&amp;IF(OR(LEN(Leveler!X4)&lt;1,ISBLANK(Lev"&amp;"eler!X4)),0,Leveler!X4)&amp;""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H='""&amp;IF(ISBLANK(Leveler!W7),""Noth"&amp;"ing"",Leveler!W7)&amp;""'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NULL"")))),Spells!A2:H1001,2,FALSE))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NULL"")))),Spells!"&amp;"A2:H1001,3,FALSE))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NULL"")))),Spells!A2:H1001,4,FALSE))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NULL"")))),Spells!A2:H1001,5,FALSE))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NULL"")))),Spells!"&amp;"A2:H1001,6,FALSE))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NULL"")))),Spells!A2:H1001,7,FALSE))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NULL"")))),Spells!A2:H1001,8,FALSE))
}),8,TRUE,1,TRUE)"),"")</f>
        <v/>
      </c>
      <c r="B2" s="49"/>
      <c r="C2" s="49"/>
      <c r="D2" s="49"/>
      <c r="E2" s="49"/>
      <c r="F2" s="49"/>
      <c r="G2" s="49"/>
      <c r="H2" s="49"/>
      <c r="J2" s="100" t="s">
        <v>209</v>
      </c>
      <c r="V2" s="19"/>
    </row>
    <row r="3">
      <c r="A3" s="49"/>
      <c r="B3" s="49"/>
      <c r="C3" s="49"/>
      <c r="D3" s="49"/>
      <c r="E3" s="49"/>
      <c r="F3" s="49"/>
      <c r="G3" s="49"/>
      <c r="H3" s="49"/>
      <c r="J3" s="101"/>
    </row>
    <row r="4">
      <c r="J4" s="101"/>
    </row>
    <row r="5">
      <c r="J5" s="101"/>
    </row>
    <row r="6">
      <c r="J6" s="101"/>
    </row>
    <row r="7">
      <c r="J7" s="101"/>
    </row>
    <row r="8">
      <c r="J8" s="101"/>
    </row>
    <row r="9">
      <c r="J9" s="101"/>
    </row>
    <row r="10">
      <c r="J10" s="102"/>
    </row>
    <row r="11">
      <c r="J11" s="102"/>
    </row>
    <row r="12">
      <c r="J12" s="102"/>
    </row>
    <row r="13">
      <c r="J13" s="102"/>
    </row>
    <row r="14">
      <c r="J14" s="102"/>
    </row>
    <row r="15">
      <c r="J15" s="101"/>
    </row>
    <row r="16">
      <c r="J16" s="102"/>
    </row>
    <row r="17">
      <c r="J17" s="102"/>
    </row>
    <row r="18">
      <c r="J18" s="102"/>
    </row>
    <row r="19">
      <c r="J19" s="102"/>
    </row>
    <row r="20">
      <c r="J20" s="102"/>
    </row>
    <row r="21">
      <c r="J21" s="102"/>
    </row>
    <row r="22">
      <c r="J22" s="102"/>
    </row>
    <row r="23">
      <c r="J23" s="102"/>
    </row>
    <row r="24">
      <c r="J24" s="102"/>
    </row>
    <row r="25">
      <c r="J25" s="102"/>
    </row>
    <row r="26">
      <c r="J26" s="102"/>
    </row>
    <row r="27">
      <c r="J27" s="102"/>
    </row>
    <row r="28">
      <c r="J28" s="102"/>
    </row>
    <row r="29">
      <c r="J29" s="102"/>
    </row>
    <row r="30">
      <c r="J30" s="102"/>
    </row>
    <row r="31">
      <c r="J31" s="102"/>
    </row>
    <row r="32">
      <c r="J32" s="102"/>
    </row>
    <row r="33">
      <c r="J33" s="102"/>
    </row>
    <row r="34">
      <c r="J34" s="102"/>
    </row>
    <row r="35">
      <c r="J35" s="102"/>
    </row>
    <row r="36">
      <c r="J36" s="102"/>
    </row>
    <row r="37">
      <c r="J37" s="102"/>
    </row>
    <row r="38">
      <c r="J38" s="102"/>
    </row>
    <row r="39">
      <c r="J39" s="102"/>
    </row>
    <row r="40">
      <c r="J40" s="102"/>
    </row>
    <row r="41">
      <c r="J41" s="102"/>
    </row>
    <row r="42">
      <c r="J42" s="102"/>
    </row>
    <row r="43">
      <c r="J43" s="102"/>
    </row>
    <row r="44">
      <c r="J44" s="102"/>
    </row>
    <row r="45">
      <c r="J45" s="102"/>
    </row>
    <row r="46">
      <c r="J46" s="102"/>
    </row>
    <row r="47">
      <c r="J47" s="102"/>
    </row>
    <row r="48">
      <c r="J48" s="102"/>
    </row>
    <row r="49">
      <c r="J49" s="102"/>
    </row>
    <row r="50">
      <c r="J50" s="103"/>
    </row>
  </sheetData>
  <conditionalFormatting sqref="J1">
    <cfRule type="expression" dxfId="0" priority="1">
      <formula>IF(COUNTA(J3:J50)&gt;K1,TRUE,FALSE)</formula>
    </cfRule>
  </conditionalFormatting>
  <conditionalFormatting sqref="J3:J50">
    <cfRule type="expression" dxfId="0" priority="2">
      <formula>IF(COUNTA($J$3:$J$50)&gt;$K$1,TRUE,FALSE)</formula>
    </cfRule>
  </conditionalFormatting>
  <conditionalFormatting sqref="J3:J50">
    <cfRule type="expression" dxfId="2" priority="3">
      <formula>COUNTIF($J$3:$J$50,J3)&gt;1</formula>
    </cfRule>
  </conditionalFormatting>
  <conditionalFormatting sqref="A2:A1001">
    <cfRule type="expression" dxfId="1" priority="4">
      <formula>COUNTIF($J$3:$J$50,A2)&gt;0</formula>
    </cfRule>
  </conditionalFormatting>
  <dataValidations>
    <dataValidation type="list" allowBlank="1" sqref="J3:J50">
      <formula1>SpellBook!$A$2:$A1001</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9.63"/>
    <col customWidth="1" min="2" max="2" width="21.63"/>
    <col customWidth="1" min="3" max="3" width="17.38"/>
    <col customWidth="1" min="6" max="6" width="15.5"/>
    <col customWidth="1" min="7" max="7" width="74.25"/>
    <col customWidth="1" min="8" max="8" width="15.0"/>
    <col hidden="1" min="15" max="28" width="12.63"/>
  </cols>
  <sheetData>
    <row r="1">
      <c r="A1" s="83"/>
      <c r="B1" s="104" t="s">
        <v>25</v>
      </c>
      <c r="P1" s="49">
        <f>Leveler!$B$13</f>
        <v>1</v>
      </c>
      <c r="U1" s="19" t="s">
        <v>25</v>
      </c>
      <c r="V1" s="105" t="s">
        <v>26</v>
      </c>
      <c r="W1" s="19" t="s">
        <v>27</v>
      </c>
      <c r="X1" s="105" t="s">
        <v>210</v>
      </c>
      <c r="Y1" s="105" t="s">
        <v>211</v>
      </c>
      <c r="Z1" s="105" t="s">
        <v>28</v>
      </c>
      <c r="AA1" s="105" t="s">
        <v>212</v>
      </c>
    </row>
    <row r="2">
      <c r="A2" s="83" t="s">
        <v>213</v>
      </c>
      <c r="B2" s="49"/>
      <c r="C2" s="45" t="s">
        <v>26</v>
      </c>
      <c r="D2" s="45" t="s">
        <v>27</v>
      </c>
      <c r="E2" s="45" t="s">
        <v>210</v>
      </c>
      <c r="F2" s="45" t="s">
        <v>211</v>
      </c>
      <c r="G2" s="45" t="s">
        <v>28</v>
      </c>
      <c r="H2" s="45" t="s">
        <v>212</v>
      </c>
      <c r="U2" s="44" t="str">
        <f>B2</f>
        <v/>
      </c>
      <c r="V2" s="44" t="str">
        <f>IFERROR(VLOOKUP($B$2,ItemEquipCombine!$A$2:$AH1070,MATCH("Description",ItemEquipCombine!$A$1:$AH$1,0),FALSE),"")</f>
        <v/>
      </c>
      <c r="W2" s="44" t="str">
        <f>IFERROR(VLOOKUP($B$2,ItemEquipCombine!$A$2:$AH1070,MATCH("Type",ItemEquipCombine!$A$1:$AH$1,0),FALSE),"")</f>
        <v/>
      </c>
      <c r="X2" s="44" t="str">
        <f>IFERROR(VLOOKUP($B$2,ItemEquipCombine!$A$2:$AH1070,MATCH("Slot",Equipconvert!$A$1:$AH$1,0),FALSE),"")</f>
        <v/>
      </c>
      <c r="Y2" s="44" t="str">
        <f>IFERROR(VLOOKUP($B$2,ItemEquipCombine!$A$2:$AH1070,MATCH("Level Requirement",ItemEquipCombine!$A$1:$AH$1,0),FALSE),"")</f>
        <v/>
      </c>
      <c r="Z2" s="44" t="str">
        <f>IFERROR(VLOOKUP($B$2,ItemEquipCombine!$A$2:$AH1070,MATCH("Abilities",ItemEquipCombine!$A$1:$AH$1,0),FALSE),"")</f>
        <v/>
      </c>
      <c r="AA2" s="44" t="str">
        <f>IFERROR(VLOOKUP($B$2,ItemEquipCombine!$A$2:$AH1070,MATCH("Estimated Price",ItemEquipCombine!$A$1:$AH$1,0),FALSE),"")</f>
        <v/>
      </c>
    </row>
    <row r="3">
      <c r="A3" s="49" t="str">
        <f>IFERROR(__xludf.DUMMYFUNCTION("FILTER($T$2:$AA$2,1)"),"")</f>
        <v/>
      </c>
      <c r="B3" s="49"/>
      <c r="C3" s="49" t="str">
        <f>IFERROR(__xludf.DUMMYFUNCTION("""COMPUTED_VALUE"""),"")</f>
        <v/>
      </c>
      <c r="D3" s="49" t="str">
        <f>IFERROR(__xludf.DUMMYFUNCTION("""COMPUTED_VALUE"""),"")</f>
        <v/>
      </c>
      <c r="E3" s="49" t="str">
        <f>IFERROR(__xludf.DUMMYFUNCTION("""COMPUTED_VALUE"""),"")</f>
        <v/>
      </c>
      <c r="F3" s="49" t="str">
        <f>IFERROR(__xludf.DUMMYFUNCTION("""COMPUTED_VALUE"""),"")</f>
        <v/>
      </c>
      <c r="G3" s="49" t="str">
        <f>IFERROR(__xludf.DUMMYFUNCTION("""COMPUTED_VALUE"""),"")</f>
        <v/>
      </c>
      <c r="H3" s="106" t="str">
        <f>IFERROR(__xludf.DUMMYFUNCTION("""COMPUTED_VALUE"""),"")</f>
        <v/>
      </c>
    </row>
    <row r="7">
      <c r="B7" s="45" t="s">
        <v>214</v>
      </c>
    </row>
    <row r="8">
      <c r="A8" s="19" t="str">
        <f>"Storage: "&amp;counta(B10:B1070)&amp;"/"&amp;B8</f>
        <v>Storage: 3/70</v>
      </c>
      <c r="B8" s="19">
        <v>70.0</v>
      </c>
    </row>
    <row r="9">
      <c r="A9" s="45" t="s">
        <v>215</v>
      </c>
      <c r="B9" s="45" t="s">
        <v>25</v>
      </c>
      <c r="C9" s="45" t="s">
        <v>26</v>
      </c>
      <c r="D9" s="45" t="s">
        <v>27</v>
      </c>
      <c r="E9" s="45" t="s">
        <v>210</v>
      </c>
      <c r="F9" s="45" t="s">
        <v>211</v>
      </c>
      <c r="G9" s="45" t="s">
        <v>28</v>
      </c>
      <c r="H9" s="45" t="s">
        <v>212</v>
      </c>
      <c r="I9" s="45" t="s">
        <v>216</v>
      </c>
    </row>
    <row r="10">
      <c r="A10" s="107">
        <v>100.0</v>
      </c>
      <c r="B10" s="49" t="s">
        <v>217</v>
      </c>
      <c r="C10" s="49" t="s">
        <v>218</v>
      </c>
      <c r="D10" s="49" t="s">
        <v>219</v>
      </c>
      <c r="E10" s="44"/>
      <c r="F10" s="44"/>
      <c r="G10" s="44"/>
      <c r="H10" s="108"/>
      <c r="I10" s="44"/>
    </row>
    <row r="11">
      <c r="A11" s="107">
        <v>100.0</v>
      </c>
      <c r="B11" s="75" t="s">
        <v>220</v>
      </c>
      <c r="C11" s="109" t="s">
        <v>221</v>
      </c>
      <c r="D11" s="44"/>
      <c r="E11" s="44"/>
      <c r="F11" s="44"/>
      <c r="G11" s="44"/>
      <c r="H11" s="108"/>
      <c r="I11" s="44"/>
    </row>
    <row r="12">
      <c r="A12" s="107">
        <v>1.0</v>
      </c>
      <c r="B12" s="49" t="s">
        <v>222</v>
      </c>
      <c r="D12" s="49" t="s">
        <v>223</v>
      </c>
      <c r="E12" s="49" t="s">
        <v>42</v>
      </c>
      <c r="F12" s="49">
        <v>40.0</v>
      </c>
      <c r="G12" s="49" t="s">
        <v>224</v>
      </c>
      <c r="H12" s="106">
        <v>60000.0</v>
      </c>
      <c r="I12" s="44"/>
    </row>
    <row r="13">
      <c r="A13" s="44"/>
      <c r="B13" s="44"/>
      <c r="C13" s="44"/>
      <c r="D13" s="44"/>
      <c r="E13" s="44"/>
      <c r="F13" s="44"/>
      <c r="G13" s="44"/>
      <c r="H13" s="44"/>
      <c r="I13" s="44"/>
    </row>
    <row r="14">
      <c r="A14" s="72"/>
      <c r="B14" s="110"/>
      <c r="C14" s="44"/>
      <c r="D14" s="44"/>
      <c r="E14" s="44"/>
      <c r="F14" s="72"/>
      <c r="G14" s="44"/>
      <c r="H14" s="108"/>
      <c r="I14" s="72"/>
    </row>
    <row r="15">
      <c r="A15" s="72"/>
      <c r="B15" s="110"/>
      <c r="C15" s="44"/>
      <c r="D15" s="44"/>
      <c r="E15" s="44"/>
      <c r="F15" s="72"/>
      <c r="G15" s="44"/>
      <c r="H15" s="111"/>
      <c r="I15" s="72"/>
    </row>
    <row r="16">
      <c r="A16" s="72"/>
      <c r="B16" s="110"/>
      <c r="C16" s="44"/>
      <c r="D16" s="44"/>
      <c r="E16" s="44"/>
      <c r="F16" s="72"/>
      <c r="G16" s="44"/>
      <c r="H16" s="111"/>
      <c r="I16" s="44"/>
    </row>
    <row r="17">
      <c r="A17" s="72"/>
      <c r="B17" s="110"/>
      <c r="C17" s="44"/>
      <c r="D17" s="44"/>
      <c r="E17" s="44"/>
      <c r="F17" s="72"/>
      <c r="G17" s="44"/>
      <c r="H17" s="111"/>
      <c r="I17" s="44"/>
    </row>
    <row r="18">
      <c r="A18" s="72"/>
      <c r="B18" s="110"/>
      <c r="C18" s="44"/>
      <c r="D18" s="44"/>
      <c r="E18" s="44"/>
      <c r="F18" s="72"/>
      <c r="G18" s="44"/>
      <c r="H18" s="111"/>
      <c r="I18" s="44"/>
    </row>
    <row r="19">
      <c r="A19" s="72"/>
      <c r="B19" s="110"/>
      <c r="C19" s="44"/>
      <c r="D19" s="44"/>
      <c r="E19" s="44"/>
      <c r="F19" s="72"/>
      <c r="G19" s="44"/>
      <c r="H19" s="111"/>
      <c r="I19" s="44"/>
    </row>
    <row r="20">
      <c r="A20" s="72"/>
      <c r="B20" s="44"/>
      <c r="C20" s="44"/>
      <c r="D20" s="44"/>
      <c r="E20" s="44"/>
      <c r="F20" s="44"/>
      <c r="G20" s="44"/>
      <c r="H20" s="108"/>
      <c r="I20" s="44"/>
    </row>
    <row r="21">
      <c r="A21" s="72"/>
      <c r="B21" s="44"/>
      <c r="C21" s="110"/>
      <c r="D21" s="44"/>
      <c r="E21" s="44"/>
      <c r="F21" s="44"/>
      <c r="G21" s="44"/>
      <c r="H21" s="108"/>
      <c r="I21" s="44"/>
    </row>
    <row r="22">
      <c r="A22" s="72"/>
      <c r="B22" s="110"/>
      <c r="C22" s="44"/>
      <c r="D22" s="44"/>
      <c r="E22" s="44"/>
      <c r="F22" s="72"/>
      <c r="G22" s="110"/>
      <c r="H22" s="108"/>
      <c r="I22" s="44"/>
    </row>
    <row r="23">
      <c r="A23" s="72"/>
      <c r="B23" s="44"/>
      <c r="C23" s="44"/>
      <c r="D23" s="44"/>
      <c r="E23" s="44"/>
      <c r="F23" s="44"/>
      <c r="G23" s="44"/>
      <c r="H23" s="108"/>
      <c r="I23" s="44"/>
    </row>
    <row r="24">
      <c r="A24" s="72"/>
      <c r="B24" s="44"/>
      <c r="C24" s="110"/>
      <c r="D24" s="44"/>
      <c r="E24" s="44"/>
      <c r="F24" s="44"/>
      <c r="G24" s="44"/>
      <c r="H24" s="108"/>
      <c r="I24" s="44"/>
    </row>
    <row r="25">
      <c r="A25" s="72"/>
      <c r="B25" s="44"/>
      <c r="C25" s="110"/>
      <c r="D25" s="44"/>
      <c r="E25" s="44"/>
      <c r="F25" s="44"/>
      <c r="G25" s="44"/>
      <c r="H25" s="108"/>
      <c r="I25" s="44"/>
    </row>
    <row r="26">
      <c r="A26" s="72"/>
      <c r="B26" s="110"/>
      <c r="C26" s="44"/>
      <c r="D26" s="44"/>
      <c r="E26" s="44"/>
      <c r="F26" s="44"/>
      <c r="G26" s="44"/>
      <c r="H26" s="108"/>
      <c r="I26" s="44"/>
    </row>
    <row r="27">
      <c r="A27" s="72"/>
      <c r="B27" s="44"/>
      <c r="C27" s="44"/>
      <c r="D27" s="44"/>
      <c r="E27" s="44"/>
      <c r="F27" s="44"/>
      <c r="G27" s="44"/>
      <c r="H27" s="108"/>
      <c r="I27" s="44"/>
    </row>
    <row r="28">
      <c r="A28" s="72"/>
      <c r="B28" s="44"/>
      <c r="C28" s="110"/>
      <c r="D28" s="44"/>
      <c r="E28" s="44"/>
      <c r="F28" s="44"/>
      <c r="G28" s="44"/>
      <c r="H28" s="108"/>
      <c r="I28" s="44"/>
    </row>
    <row r="29">
      <c r="A29" s="72"/>
      <c r="B29" s="44"/>
      <c r="C29" s="110"/>
      <c r="D29" s="44"/>
      <c r="E29" s="44"/>
      <c r="F29" s="44"/>
      <c r="G29" s="44"/>
      <c r="H29" s="108"/>
      <c r="I29" s="44"/>
    </row>
    <row r="30">
      <c r="A30" s="72"/>
      <c r="B30" s="110"/>
      <c r="C30" s="44"/>
      <c r="D30" s="44"/>
      <c r="E30" s="44"/>
      <c r="F30" s="44"/>
      <c r="G30" s="44"/>
      <c r="H30" s="108"/>
      <c r="I30" s="44"/>
    </row>
    <row r="31">
      <c r="A31" s="72"/>
      <c r="B31" s="44"/>
      <c r="C31" s="44"/>
      <c r="D31" s="44"/>
      <c r="E31" s="44"/>
      <c r="F31" s="44"/>
      <c r="G31" s="44"/>
      <c r="H31" s="108"/>
      <c r="I31" s="44"/>
    </row>
    <row r="32">
      <c r="A32" s="72"/>
      <c r="B32" s="44"/>
      <c r="C32" s="110"/>
      <c r="D32" s="44"/>
      <c r="E32" s="44"/>
      <c r="F32" s="44"/>
      <c r="G32" s="44"/>
      <c r="H32" s="108"/>
      <c r="I32" s="44"/>
    </row>
    <row r="33">
      <c r="A33" s="72"/>
      <c r="B33" s="44"/>
      <c r="C33" s="110"/>
      <c r="D33" s="44"/>
      <c r="E33" s="44"/>
      <c r="F33" s="44"/>
      <c r="G33" s="44"/>
      <c r="H33" s="108"/>
      <c r="I33" s="44"/>
    </row>
    <row r="34">
      <c r="A34" s="72"/>
      <c r="B34" s="44"/>
      <c r="C34" s="110"/>
      <c r="D34" s="44"/>
      <c r="E34" s="44"/>
      <c r="F34" s="44"/>
      <c r="G34" s="44"/>
      <c r="H34" s="108"/>
      <c r="I34" s="44"/>
    </row>
    <row r="35">
      <c r="A35" s="72"/>
      <c r="B35" s="44"/>
      <c r="C35" s="110"/>
      <c r="D35" s="44"/>
      <c r="E35" s="44"/>
      <c r="F35" s="44"/>
      <c r="G35" s="44"/>
      <c r="H35" s="108"/>
      <c r="I35" s="44"/>
    </row>
    <row r="36">
      <c r="A36" s="72"/>
      <c r="B36" s="44"/>
      <c r="C36" s="44"/>
      <c r="D36" s="44"/>
      <c r="E36" s="44"/>
      <c r="F36" s="44"/>
      <c r="G36" s="44"/>
      <c r="H36" s="108"/>
      <c r="I36" s="44"/>
    </row>
    <row r="37">
      <c r="A37" s="72"/>
      <c r="B37" s="110"/>
      <c r="C37" s="44"/>
      <c r="D37" s="44"/>
      <c r="E37" s="44"/>
      <c r="F37" s="44"/>
      <c r="G37" s="44"/>
      <c r="H37" s="108"/>
      <c r="I37" s="44"/>
    </row>
    <row r="38">
      <c r="A38" s="72"/>
      <c r="B38" s="44"/>
      <c r="C38" s="44"/>
      <c r="D38" s="44"/>
      <c r="E38" s="44"/>
      <c r="F38" s="44"/>
      <c r="G38" s="44"/>
      <c r="H38" s="108"/>
      <c r="I38" s="44"/>
    </row>
    <row r="39">
      <c r="A39" s="72"/>
      <c r="B39" s="44"/>
      <c r="C39" s="44"/>
      <c r="D39" s="44"/>
      <c r="E39" s="44"/>
      <c r="F39" s="44"/>
      <c r="G39" s="44"/>
      <c r="H39" s="108"/>
      <c r="I39" s="44"/>
    </row>
    <row r="40">
      <c r="A40" s="72"/>
      <c r="B40" s="44"/>
      <c r="C40" s="44"/>
      <c r="D40" s="44"/>
      <c r="E40" s="44"/>
      <c r="F40" s="44"/>
      <c r="G40" s="44"/>
      <c r="H40" s="108"/>
      <c r="I40" s="44"/>
    </row>
    <row r="41">
      <c r="A41" s="72"/>
      <c r="B41" s="110"/>
      <c r="C41" s="44"/>
      <c r="D41" s="44"/>
      <c r="E41" s="44"/>
      <c r="F41" s="72"/>
      <c r="G41" s="44"/>
      <c r="H41" s="111"/>
      <c r="I41" s="44"/>
    </row>
    <row r="42">
      <c r="A42" s="72"/>
      <c r="B42" s="44"/>
      <c r="C42" s="44"/>
      <c r="D42" s="44"/>
      <c r="E42" s="44"/>
      <c r="F42" s="72"/>
      <c r="G42" s="44"/>
      <c r="H42" s="111"/>
      <c r="I42" s="44"/>
    </row>
    <row r="43">
      <c r="A43" s="72"/>
      <c r="B43" s="110"/>
      <c r="C43" s="44"/>
      <c r="D43" s="44"/>
      <c r="E43" s="44"/>
      <c r="F43" s="44"/>
      <c r="G43" s="44"/>
      <c r="H43" s="108"/>
      <c r="I43" s="44"/>
    </row>
    <row r="44">
      <c r="A44" s="72"/>
      <c r="B44" s="110"/>
      <c r="C44" s="44"/>
      <c r="D44" s="44"/>
      <c r="E44" s="44"/>
      <c r="F44" s="44"/>
      <c r="G44" s="44"/>
      <c r="H44" s="108"/>
      <c r="I44" s="44"/>
    </row>
    <row r="45">
      <c r="A45" s="72"/>
      <c r="B45" s="110"/>
      <c r="C45" s="44"/>
      <c r="D45" s="44"/>
      <c r="E45" s="44"/>
      <c r="F45" s="44"/>
      <c r="G45" s="44"/>
      <c r="H45" s="108"/>
      <c r="I45" s="44"/>
    </row>
    <row r="46">
      <c r="A46" s="72"/>
      <c r="B46" s="110"/>
      <c r="C46" s="44"/>
      <c r="D46" s="44"/>
      <c r="E46" s="44"/>
      <c r="F46" s="44"/>
      <c r="G46" s="44"/>
      <c r="H46" s="108"/>
      <c r="I46" s="44"/>
    </row>
    <row r="47">
      <c r="A47" s="72"/>
      <c r="B47" s="44"/>
      <c r="C47" s="44"/>
      <c r="D47" s="44"/>
      <c r="E47" s="44"/>
      <c r="F47" s="44"/>
      <c r="G47" s="44"/>
      <c r="H47" s="108"/>
      <c r="I47" s="44"/>
    </row>
    <row r="48">
      <c r="A48" s="72"/>
      <c r="B48" s="44"/>
      <c r="C48" s="44"/>
      <c r="D48" s="44"/>
      <c r="E48" s="44"/>
      <c r="F48" s="44"/>
      <c r="G48" s="44"/>
      <c r="H48" s="108"/>
      <c r="I48" s="44"/>
    </row>
    <row r="49">
      <c r="A49" s="72"/>
      <c r="B49" s="44"/>
      <c r="C49" s="44"/>
      <c r="D49" s="44"/>
      <c r="E49" s="44"/>
      <c r="F49" s="44"/>
      <c r="G49" s="44"/>
      <c r="H49" s="108"/>
      <c r="I49" s="44"/>
    </row>
    <row r="50">
      <c r="A50" s="72"/>
      <c r="B50" s="44"/>
      <c r="C50" s="44"/>
      <c r="D50" s="44"/>
      <c r="E50" s="44"/>
      <c r="F50" s="44"/>
      <c r="G50" s="44"/>
      <c r="H50" s="108"/>
      <c r="I50" s="44"/>
    </row>
    <row r="51">
      <c r="A51" s="72"/>
      <c r="B51" s="44"/>
      <c r="C51" s="44"/>
      <c r="D51" s="44"/>
      <c r="E51" s="44"/>
      <c r="F51" s="44"/>
      <c r="G51" s="44"/>
      <c r="H51" s="108"/>
      <c r="I51" s="44"/>
    </row>
    <row r="52">
      <c r="A52" s="72"/>
      <c r="B52" s="44"/>
      <c r="C52" s="110"/>
      <c r="D52" s="44"/>
      <c r="E52" s="44"/>
      <c r="F52" s="44"/>
      <c r="G52" s="44"/>
      <c r="H52" s="108"/>
      <c r="I52" s="44"/>
    </row>
    <row r="53">
      <c r="A53" s="72"/>
      <c r="B53" s="44"/>
      <c r="C53" s="44"/>
      <c r="D53" s="44"/>
      <c r="E53" s="44"/>
      <c r="F53" s="44"/>
      <c r="G53" s="44"/>
      <c r="H53" s="108"/>
      <c r="I53" s="44"/>
    </row>
    <row r="54">
      <c r="A54" s="72"/>
      <c r="B54" s="44"/>
      <c r="C54" s="110"/>
      <c r="D54" s="44"/>
      <c r="E54" s="44"/>
      <c r="F54" s="44"/>
      <c r="G54" s="44"/>
      <c r="H54" s="108"/>
      <c r="I54" s="44"/>
    </row>
    <row r="55">
      <c r="A55" s="72"/>
      <c r="B55" s="44"/>
      <c r="C55" s="110"/>
      <c r="D55" s="44"/>
      <c r="E55" s="44"/>
      <c r="F55" s="44"/>
      <c r="G55" s="44"/>
      <c r="H55" s="108"/>
      <c r="I55" s="44"/>
    </row>
    <row r="56">
      <c r="A56" s="72"/>
      <c r="B56" s="44"/>
      <c r="C56" s="110"/>
      <c r="D56" s="44"/>
      <c r="E56" s="44"/>
      <c r="F56" s="44"/>
      <c r="G56" s="44"/>
      <c r="H56" s="108"/>
      <c r="I56" s="44"/>
    </row>
    <row r="57">
      <c r="A57" s="72"/>
      <c r="B57" s="44"/>
      <c r="C57" s="110"/>
      <c r="D57" s="44"/>
      <c r="E57" s="44"/>
      <c r="F57" s="44"/>
      <c r="G57" s="44"/>
      <c r="H57" s="108"/>
      <c r="I57" s="44"/>
    </row>
    <row r="58">
      <c r="A58" s="72"/>
      <c r="B58" s="44"/>
      <c r="C58" s="110"/>
      <c r="D58" s="44"/>
      <c r="E58" s="44"/>
      <c r="F58" s="44"/>
      <c r="G58" s="44"/>
      <c r="H58" s="108"/>
      <c r="I58" s="44"/>
    </row>
    <row r="59">
      <c r="A59" s="72"/>
      <c r="B59" s="44"/>
      <c r="C59" s="110"/>
      <c r="D59" s="44"/>
      <c r="E59" s="44"/>
      <c r="F59" s="44"/>
      <c r="G59" s="44"/>
      <c r="H59" s="108"/>
      <c r="I59" s="44"/>
    </row>
    <row r="60">
      <c r="A60" s="72"/>
      <c r="B60" s="44"/>
      <c r="C60" s="110"/>
      <c r="D60" s="44"/>
      <c r="E60" s="44"/>
      <c r="F60" s="44"/>
      <c r="G60" s="44"/>
      <c r="H60" s="108"/>
      <c r="I60" s="44"/>
    </row>
    <row r="61">
      <c r="A61" s="72"/>
      <c r="B61" s="44"/>
      <c r="C61" s="110"/>
      <c r="D61" s="44"/>
      <c r="E61" s="44"/>
      <c r="F61" s="44"/>
      <c r="G61" s="44"/>
      <c r="H61" s="108"/>
      <c r="I61" s="44"/>
    </row>
    <row r="62">
      <c r="A62" s="72"/>
      <c r="B62" s="44"/>
      <c r="C62" s="110"/>
      <c r="D62" s="44"/>
      <c r="E62" s="44"/>
      <c r="F62" s="44"/>
      <c r="G62" s="44"/>
      <c r="H62" s="108"/>
      <c r="I62" s="44"/>
    </row>
    <row r="63">
      <c r="A63" s="72"/>
      <c r="B63" s="44"/>
      <c r="C63" s="110"/>
      <c r="D63" s="44"/>
      <c r="E63" s="44"/>
      <c r="F63" s="44"/>
      <c r="G63" s="44"/>
      <c r="H63" s="108"/>
      <c r="I63" s="44"/>
    </row>
    <row r="64">
      <c r="A64" s="72"/>
      <c r="B64" s="44"/>
      <c r="C64" s="110"/>
      <c r="D64" s="44"/>
      <c r="E64" s="44"/>
      <c r="F64" s="44"/>
      <c r="G64" s="44"/>
      <c r="H64" s="108"/>
      <c r="I64" s="44"/>
    </row>
    <row r="65">
      <c r="A65" s="72"/>
      <c r="B65" s="44"/>
      <c r="C65" s="110"/>
      <c r="D65" s="44"/>
      <c r="E65" s="44"/>
      <c r="F65" s="44"/>
      <c r="G65" s="44"/>
      <c r="H65" s="108"/>
      <c r="I65" s="44"/>
    </row>
    <row r="66">
      <c r="A66" s="72"/>
      <c r="B66" s="44"/>
      <c r="C66" s="110"/>
      <c r="D66" s="44"/>
      <c r="E66" s="44"/>
      <c r="F66" s="44"/>
      <c r="G66" s="44"/>
      <c r="H66" s="108"/>
      <c r="I66" s="44"/>
    </row>
    <row r="67">
      <c r="A67" s="72"/>
      <c r="B67" s="44"/>
      <c r="C67" s="110"/>
      <c r="D67" s="44"/>
      <c r="E67" s="44"/>
      <c r="F67" s="44"/>
      <c r="G67" s="44"/>
      <c r="H67" s="108"/>
      <c r="I67" s="44"/>
    </row>
    <row r="68">
      <c r="A68" s="72"/>
      <c r="B68" s="44"/>
      <c r="C68" s="110"/>
      <c r="D68" s="44"/>
      <c r="E68" s="44"/>
      <c r="F68" s="44"/>
      <c r="G68" s="44"/>
      <c r="H68" s="108"/>
      <c r="I68" s="44"/>
    </row>
    <row r="69">
      <c r="A69" s="72"/>
      <c r="B69" s="44"/>
      <c r="C69" s="110"/>
      <c r="D69" s="44"/>
      <c r="E69" s="44"/>
      <c r="F69" s="44"/>
      <c r="G69" s="44"/>
      <c r="H69" s="108"/>
      <c r="I69" s="44"/>
    </row>
    <row r="70">
      <c r="A70" s="72"/>
      <c r="B70" s="44"/>
      <c r="C70" s="110"/>
      <c r="D70" s="44"/>
      <c r="E70" s="44"/>
      <c r="F70" s="44"/>
      <c r="G70" s="44"/>
      <c r="H70" s="108"/>
      <c r="I70" s="44"/>
    </row>
    <row r="71">
      <c r="A71" s="72"/>
      <c r="B71" s="44"/>
      <c r="C71" s="110"/>
      <c r="D71" s="44"/>
      <c r="E71" s="44"/>
      <c r="F71" s="44"/>
      <c r="G71" s="44"/>
      <c r="H71" s="108"/>
      <c r="I71" s="44"/>
    </row>
    <row r="72">
      <c r="A72" s="72"/>
      <c r="B72" s="44"/>
      <c r="C72" s="110"/>
      <c r="D72" s="44"/>
      <c r="E72" s="44"/>
      <c r="F72" s="44"/>
      <c r="G72" s="44"/>
      <c r="H72" s="108"/>
      <c r="I72" s="44"/>
    </row>
    <row r="73">
      <c r="A73" s="72"/>
      <c r="B73" s="44"/>
      <c r="C73" s="110"/>
      <c r="D73" s="44"/>
      <c r="E73" s="44"/>
      <c r="F73" s="44"/>
      <c r="G73" s="44"/>
      <c r="H73" s="108"/>
      <c r="I73" s="44"/>
    </row>
    <row r="74">
      <c r="A74" s="72"/>
      <c r="B74" s="44"/>
      <c r="C74" s="110"/>
      <c r="D74" s="44"/>
      <c r="E74" s="44"/>
      <c r="F74" s="44"/>
      <c r="G74" s="44"/>
      <c r="H74" s="108"/>
      <c r="I74" s="44"/>
    </row>
    <row r="75">
      <c r="A75" s="72"/>
      <c r="B75" s="44"/>
      <c r="C75" s="110"/>
      <c r="D75" s="44"/>
      <c r="E75" s="44"/>
      <c r="F75" s="44"/>
      <c r="G75" s="44"/>
      <c r="H75" s="108"/>
      <c r="I75" s="44"/>
    </row>
    <row r="76">
      <c r="A76" s="72"/>
      <c r="B76" s="44"/>
      <c r="C76" s="110"/>
      <c r="D76" s="44"/>
      <c r="E76" s="44"/>
      <c r="F76" s="44"/>
      <c r="G76" s="44"/>
      <c r="H76" s="108"/>
      <c r="I76" s="44"/>
    </row>
    <row r="77">
      <c r="A77" s="72"/>
      <c r="B77" s="44"/>
      <c r="C77" s="110"/>
      <c r="D77" s="44"/>
      <c r="E77" s="44"/>
      <c r="F77" s="44"/>
      <c r="G77" s="44"/>
      <c r="H77" s="108"/>
      <c r="I77" s="44"/>
    </row>
    <row r="78">
      <c r="A78" s="72"/>
      <c r="B78" s="44"/>
      <c r="C78" s="110"/>
      <c r="D78" s="44"/>
      <c r="E78" s="44"/>
      <c r="F78" s="44"/>
      <c r="G78" s="44"/>
      <c r="H78" s="108"/>
      <c r="I78" s="44"/>
    </row>
    <row r="79">
      <c r="A79" s="72"/>
      <c r="B79" s="44"/>
      <c r="C79" s="110"/>
      <c r="D79" s="44"/>
      <c r="E79" s="44"/>
      <c r="F79" s="44"/>
      <c r="G79" s="44"/>
      <c r="H79" s="108"/>
      <c r="I79" s="44"/>
    </row>
    <row r="80">
      <c r="A80" s="72"/>
      <c r="B80" s="44"/>
      <c r="C80" s="110"/>
      <c r="D80" s="44"/>
      <c r="E80" s="44"/>
      <c r="F80" s="44"/>
      <c r="G80" s="44"/>
      <c r="H80" s="108"/>
      <c r="I80" s="44"/>
    </row>
    <row r="81">
      <c r="A81" s="72"/>
      <c r="B81" s="44"/>
      <c r="C81" s="110"/>
      <c r="D81" s="44"/>
      <c r="E81" s="44"/>
      <c r="F81" s="44"/>
      <c r="G81" s="44"/>
      <c r="H81" s="108"/>
      <c r="I81" s="44"/>
    </row>
    <row r="82">
      <c r="A82" s="72"/>
      <c r="B82" s="44"/>
      <c r="C82" s="110"/>
      <c r="D82" s="44"/>
      <c r="E82" s="44"/>
      <c r="F82" s="44"/>
      <c r="G82" s="44"/>
      <c r="H82" s="108"/>
      <c r="I82" s="44"/>
    </row>
    <row r="83">
      <c r="A83" s="72"/>
      <c r="B83" s="44"/>
      <c r="C83" s="110"/>
      <c r="D83" s="44"/>
      <c r="E83" s="44"/>
      <c r="F83" s="44"/>
      <c r="G83" s="44"/>
      <c r="H83" s="108"/>
      <c r="I83" s="44"/>
    </row>
    <row r="84">
      <c r="A84" s="72"/>
      <c r="B84" s="44"/>
      <c r="C84" s="110"/>
      <c r="D84" s="44"/>
      <c r="E84" s="44"/>
      <c r="F84" s="44"/>
      <c r="G84" s="44"/>
      <c r="H84" s="108"/>
      <c r="I84" s="44"/>
    </row>
    <row r="85">
      <c r="A85" s="72"/>
      <c r="B85" s="44"/>
      <c r="C85" s="110"/>
      <c r="D85" s="44"/>
      <c r="E85" s="44"/>
      <c r="F85" s="44"/>
      <c r="G85" s="44"/>
      <c r="H85" s="108"/>
      <c r="I85" s="44"/>
    </row>
    <row r="86">
      <c r="A86" s="72"/>
      <c r="B86" s="110"/>
      <c r="C86" s="44"/>
      <c r="D86" s="44"/>
      <c r="E86" s="44"/>
      <c r="F86" s="72"/>
      <c r="G86" s="44"/>
      <c r="H86" s="111"/>
      <c r="I86" s="44"/>
    </row>
    <row r="87">
      <c r="A87" s="72"/>
      <c r="B87" s="110"/>
      <c r="C87" s="44"/>
      <c r="D87" s="44"/>
      <c r="E87" s="44"/>
      <c r="F87" s="72"/>
      <c r="G87" s="44"/>
      <c r="H87" s="111"/>
      <c r="I87" s="44"/>
    </row>
    <row r="88">
      <c r="A88" s="72"/>
      <c r="B88" s="44"/>
      <c r="C88" s="44"/>
      <c r="D88" s="44"/>
      <c r="E88" s="44"/>
      <c r="F88" s="44"/>
      <c r="G88" s="44"/>
      <c r="H88" s="108"/>
      <c r="I88" s="44"/>
    </row>
    <row r="89">
      <c r="A89" s="72"/>
      <c r="B89" s="44"/>
      <c r="C89" s="110"/>
      <c r="D89" s="44"/>
      <c r="E89" s="44"/>
      <c r="F89" s="44"/>
      <c r="G89" s="44"/>
      <c r="H89" s="111"/>
      <c r="I89" s="44"/>
    </row>
    <row r="90">
      <c r="A90" s="72"/>
      <c r="B90" s="44"/>
      <c r="C90" s="44"/>
      <c r="D90" s="44"/>
      <c r="E90" s="44"/>
      <c r="F90" s="44"/>
      <c r="G90" s="44"/>
      <c r="H90" s="108"/>
      <c r="I90" s="44"/>
    </row>
    <row r="91">
      <c r="A91" s="72"/>
      <c r="B91" s="44"/>
      <c r="C91" s="44"/>
      <c r="D91" s="44"/>
      <c r="E91" s="44"/>
      <c r="F91" s="44"/>
      <c r="G91" s="44"/>
      <c r="H91" s="108"/>
      <c r="I91" s="44"/>
    </row>
    <row r="92">
      <c r="A92" s="72"/>
      <c r="B92" s="110"/>
      <c r="C92" s="44"/>
      <c r="D92" s="44"/>
      <c r="E92" s="44"/>
      <c r="F92" s="72"/>
      <c r="G92" s="44"/>
      <c r="H92" s="111"/>
      <c r="I92" s="44"/>
    </row>
    <row r="93">
      <c r="A93" s="72"/>
      <c r="B93" s="44"/>
      <c r="C93" s="44"/>
      <c r="D93" s="44"/>
      <c r="E93" s="44"/>
      <c r="F93" s="72"/>
      <c r="G93" s="44"/>
      <c r="H93" s="111"/>
      <c r="I93" s="44"/>
    </row>
    <row r="94">
      <c r="A94" s="72"/>
      <c r="B94" s="110"/>
      <c r="C94" s="44"/>
      <c r="D94" s="44"/>
      <c r="E94" s="44"/>
      <c r="F94" s="72"/>
      <c r="G94" s="44"/>
      <c r="H94" s="111"/>
      <c r="I94" s="44"/>
    </row>
    <row r="95">
      <c r="A95" s="72"/>
      <c r="B95" s="44"/>
      <c r="C95" s="110"/>
      <c r="D95" s="44"/>
      <c r="E95" s="44"/>
      <c r="F95" s="44"/>
      <c r="G95" s="44"/>
      <c r="H95" s="108"/>
      <c r="I95" s="44"/>
    </row>
    <row r="96">
      <c r="A96" s="72"/>
      <c r="B96" s="44"/>
      <c r="C96" s="110"/>
      <c r="D96" s="44"/>
      <c r="E96" s="44"/>
      <c r="F96" s="44"/>
      <c r="G96" s="44"/>
      <c r="H96" s="108"/>
      <c r="I96" s="44"/>
    </row>
    <row r="97">
      <c r="A97" s="72"/>
      <c r="B97" s="44"/>
      <c r="C97" s="110"/>
      <c r="D97" s="44"/>
      <c r="E97" s="44"/>
      <c r="F97" s="44"/>
      <c r="G97" s="44"/>
      <c r="H97" s="108"/>
      <c r="I97" s="44"/>
    </row>
    <row r="98">
      <c r="A98" s="72"/>
      <c r="B98" s="44"/>
      <c r="C98" s="110"/>
      <c r="D98" s="44"/>
      <c r="E98" s="44"/>
      <c r="F98" s="44"/>
      <c r="G98" s="44"/>
      <c r="H98" s="108"/>
      <c r="I98" s="44"/>
    </row>
    <row r="99">
      <c r="A99" s="72"/>
      <c r="B99" s="44"/>
      <c r="C99" s="110"/>
      <c r="D99" s="44"/>
      <c r="E99" s="44"/>
      <c r="F99" s="44"/>
      <c r="G99" s="44"/>
      <c r="H99" s="108"/>
      <c r="I99" s="44"/>
    </row>
    <row r="100">
      <c r="A100" s="72"/>
      <c r="B100" s="44"/>
      <c r="C100" s="44"/>
      <c r="D100" s="44"/>
      <c r="E100" s="44"/>
      <c r="F100" s="44"/>
      <c r="G100" s="44"/>
      <c r="H100" s="108"/>
      <c r="I100" s="44"/>
    </row>
    <row r="101">
      <c r="A101" s="72"/>
      <c r="B101" s="110"/>
      <c r="C101" s="44"/>
      <c r="D101" s="44"/>
      <c r="E101" s="44"/>
      <c r="F101" s="72"/>
      <c r="G101" s="44"/>
      <c r="H101" s="111"/>
      <c r="I101" s="44"/>
    </row>
    <row r="102">
      <c r="A102" s="72"/>
      <c r="B102" s="44"/>
      <c r="C102" s="110"/>
      <c r="D102" s="44"/>
      <c r="E102" s="44"/>
      <c r="F102" s="44"/>
      <c r="G102" s="44"/>
      <c r="H102" s="108"/>
      <c r="I102" s="44"/>
    </row>
    <row r="103">
      <c r="A103" s="72"/>
      <c r="B103" s="44"/>
      <c r="C103" s="110"/>
      <c r="D103" s="44"/>
      <c r="E103" s="44"/>
      <c r="F103" s="44"/>
      <c r="G103" s="44"/>
      <c r="H103" s="108"/>
      <c r="I103" s="44"/>
    </row>
    <row r="104">
      <c r="A104" s="72"/>
      <c r="B104" s="44"/>
      <c r="C104" s="110"/>
      <c r="D104" s="44"/>
      <c r="E104" s="44"/>
      <c r="F104" s="44"/>
      <c r="G104" s="44"/>
      <c r="H104" s="108"/>
      <c r="I104" s="44"/>
    </row>
    <row r="105">
      <c r="A105" s="72"/>
      <c r="B105" s="110"/>
      <c r="C105" s="44"/>
      <c r="D105" s="44"/>
      <c r="E105" s="44"/>
      <c r="F105" s="72"/>
      <c r="G105" s="44"/>
      <c r="H105" s="111"/>
      <c r="I105" s="44"/>
    </row>
    <row r="106">
      <c r="A106" s="72"/>
      <c r="B106" s="44"/>
      <c r="C106" s="110"/>
      <c r="D106" s="44"/>
      <c r="E106" s="44"/>
      <c r="F106" s="44"/>
      <c r="G106" s="44"/>
      <c r="H106" s="108"/>
      <c r="I106" s="44"/>
    </row>
    <row r="107">
      <c r="A107" s="72"/>
      <c r="B107" s="110"/>
      <c r="C107" s="44"/>
      <c r="D107" s="44"/>
      <c r="E107" s="44"/>
      <c r="F107" s="72"/>
      <c r="G107" s="44"/>
      <c r="H107" s="111"/>
      <c r="I107" s="44"/>
    </row>
    <row r="108">
      <c r="A108" s="72"/>
      <c r="B108" s="110"/>
      <c r="C108" s="44"/>
      <c r="D108" s="44"/>
      <c r="E108" s="44"/>
      <c r="F108" s="44"/>
      <c r="G108" s="44"/>
      <c r="H108" s="108"/>
      <c r="I108" s="44"/>
    </row>
    <row r="109">
      <c r="A109" s="72"/>
      <c r="B109" s="110"/>
      <c r="C109" s="44"/>
      <c r="D109" s="44"/>
      <c r="E109" s="44"/>
      <c r="F109" s="72"/>
      <c r="G109" s="44"/>
      <c r="H109" s="111"/>
      <c r="I109" s="44"/>
    </row>
    <row r="110">
      <c r="A110" s="72"/>
      <c r="B110" s="110"/>
      <c r="C110" s="44"/>
      <c r="D110" s="44"/>
      <c r="E110" s="44"/>
      <c r="F110" s="72"/>
      <c r="G110" s="44"/>
      <c r="H110" s="111"/>
      <c r="I110" s="44"/>
    </row>
    <row r="111">
      <c r="A111" s="72"/>
      <c r="B111" s="110"/>
      <c r="C111" s="44"/>
      <c r="D111" s="44"/>
      <c r="E111" s="44"/>
      <c r="F111" s="72"/>
      <c r="G111" s="44"/>
      <c r="H111" s="111"/>
      <c r="I111" s="44"/>
    </row>
    <row r="112">
      <c r="A112" s="44"/>
      <c r="B112" s="44"/>
      <c r="C112" s="110"/>
      <c r="D112" s="44"/>
      <c r="E112" s="44"/>
      <c r="F112" s="44"/>
      <c r="G112" s="44"/>
      <c r="H112" s="108"/>
      <c r="I112" s="44"/>
    </row>
    <row r="113">
      <c r="A113" s="72"/>
      <c r="B113" s="44"/>
      <c r="C113" s="44"/>
      <c r="D113" s="44"/>
      <c r="E113" s="44"/>
      <c r="F113" s="72"/>
      <c r="G113" s="44"/>
      <c r="H113" s="111"/>
      <c r="I113" s="44"/>
    </row>
    <row r="114">
      <c r="A114" s="72"/>
      <c r="B114" s="44"/>
      <c r="C114" s="44"/>
      <c r="D114" s="44"/>
      <c r="E114" s="44"/>
      <c r="F114" s="72"/>
      <c r="G114" s="44"/>
      <c r="H114" s="111"/>
      <c r="I114" s="44"/>
    </row>
    <row r="115">
      <c r="A115" s="72"/>
      <c r="B115" s="110"/>
      <c r="C115" s="44"/>
      <c r="D115" s="44"/>
      <c r="E115" s="44"/>
      <c r="F115" s="72"/>
      <c r="G115" s="44"/>
      <c r="H115" s="111"/>
      <c r="I115" s="44"/>
    </row>
    <row r="116">
      <c r="A116" s="72"/>
      <c r="B116" s="44"/>
      <c r="C116" s="110"/>
      <c r="D116" s="44"/>
      <c r="E116" s="44"/>
      <c r="F116" s="44"/>
      <c r="G116" s="44"/>
      <c r="H116" s="108"/>
      <c r="I116" s="44"/>
    </row>
    <row r="117">
      <c r="A117" s="72"/>
      <c r="B117" s="44"/>
      <c r="C117" s="110"/>
      <c r="D117" s="44"/>
      <c r="E117" s="44"/>
      <c r="F117" s="44"/>
      <c r="G117" s="44"/>
      <c r="H117" s="108"/>
      <c r="I117" s="44"/>
    </row>
    <row r="118">
      <c r="A118" s="72"/>
      <c r="B118" s="110"/>
      <c r="C118" s="44"/>
      <c r="D118" s="44"/>
      <c r="E118" s="44"/>
      <c r="F118" s="72"/>
      <c r="G118" s="44"/>
      <c r="H118" s="111"/>
      <c r="I118" s="72"/>
    </row>
    <row r="119">
      <c r="A119" s="72"/>
      <c r="B119" s="110"/>
      <c r="C119" s="44"/>
      <c r="D119" s="44"/>
      <c r="E119" s="44"/>
      <c r="F119" s="72"/>
      <c r="G119" s="44"/>
      <c r="H119" s="111"/>
      <c r="I119" s="72"/>
    </row>
    <row r="120">
      <c r="A120" s="72"/>
      <c r="B120" s="110"/>
      <c r="C120" s="44"/>
      <c r="D120" s="44"/>
      <c r="E120" s="44"/>
      <c r="F120" s="72"/>
      <c r="G120" s="44"/>
      <c r="H120" s="111"/>
      <c r="I120" s="44"/>
    </row>
    <row r="121">
      <c r="A121" s="72"/>
      <c r="B121" s="44"/>
      <c r="C121" s="44"/>
      <c r="D121" s="44"/>
      <c r="E121" s="44"/>
      <c r="F121" s="44"/>
      <c r="G121" s="44"/>
      <c r="H121" s="108"/>
      <c r="I121" s="44"/>
    </row>
    <row r="122">
      <c r="A122" s="72"/>
      <c r="B122" s="110"/>
      <c r="C122" s="44"/>
      <c r="D122" s="44"/>
      <c r="E122" s="44"/>
      <c r="F122" s="72"/>
      <c r="G122" s="44"/>
      <c r="H122" s="111"/>
      <c r="I122" s="44"/>
    </row>
    <row r="123">
      <c r="A123" s="72"/>
      <c r="B123" s="110"/>
      <c r="C123" s="44"/>
      <c r="D123" s="44"/>
      <c r="E123" s="44"/>
      <c r="F123" s="44"/>
      <c r="G123" s="44"/>
      <c r="H123" s="108"/>
      <c r="I123" s="44"/>
    </row>
    <row r="124">
      <c r="A124" s="72"/>
      <c r="B124" s="110"/>
      <c r="C124" s="44"/>
      <c r="D124" s="44"/>
      <c r="E124" s="44"/>
      <c r="F124" s="72"/>
      <c r="G124" s="44"/>
      <c r="H124" s="111"/>
      <c r="I124" s="44"/>
    </row>
    <row r="125">
      <c r="A125" s="72"/>
      <c r="B125" s="44"/>
      <c r="C125" s="110"/>
      <c r="D125" s="44"/>
      <c r="E125" s="44"/>
      <c r="F125" s="44"/>
      <c r="G125" s="44"/>
      <c r="H125" s="108"/>
      <c r="I125" s="44"/>
    </row>
    <row r="126">
      <c r="A126" s="72"/>
      <c r="B126" s="110"/>
      <c r="C126" s="44"/>
      <c r="D126" s="44"/>
      <c r="E126" s="44"/>
      <c r="F126" s="72"/>
      <c r="G126" s="44"/>
      <c r="H126" s="111"/>
      <c r="I126" s="44"/>
    </row>
    <row r="127">
      <c r="A127" s="72"/>
      <c r="B127" s="44"/>
      <c r="C127" s="110"/>
      <c r="D127" s="44"/>
      <c r="E127" s="44"/>
      <c r="F127" s="44"/>
      <c r="G127" s="44"/>
      <c r="H127" s="108"/>
      <c r="I127" s="44"/>
    </row>
    <row r="128">
      <c r="A128" s="72"/>
      <c r="B128" s="44"/>
      <c r="C128" s="110"/>
      <c r="H128" s="112"/>
    </row>
    <row r="129">
      <c r="A129" s="72"/>
      <c r="B129" s="44"/>
      <c r="C129" s="110"/>
      <c r="H129" s="112"/>
    </row>
    <row r="130">
      <c r="H130" s="112"/>
    </row>
    <row r="131">
      <c r="H131" s="112"/>
    </row>
    <row r="132">
      <c r="H132" s="112"/>
    </row>
    <row r="133">
      <c r="H133" s="112"/>
    </row>
    <row r="134">
      <c r="H134" s="112"/>
    </row>
    <row r="135">
      <c r="H135" s="112"/>
    </row>
    <row r="136">
      <c r="H136" s="112"/>
    </row>
    <row r="137">
      <c r="H137" s="112"/>
    </row>
    <row r="138">
      <c r="H138" s="112"/>
    </row>
    <row r="139">
      <c r="H139" s="112"/>
    </row>
    <row r="140">
      <c r="H140" s="112"/>
    </row>
    <row r="141">
      <c r="H141" s="112"/>
    </row>
    <row r="142">
      <c r="H142" s="112"/>
    </row>
    <row r="143">
      <c r="H143" s="112"/>
    </row>
    <row r="144">
      <c r="H144" s="112"/>
    </row>
    <row r="145">
      <c r="H145" s="112"/>
    </row>
    <row r="146">
      <c r="H146" s="112"/>
    </row>
    <row r="147">
      <c r="H147" s="112"/>
    </row>
    <row r="148">
      <c r="H148" s="112"/>
    </row>
    <row r="149">
      <c r="H149" s="112"/>
    </row>
    <row r="150">
      <c r="H150" s="112"/>
    </row>
    <row r="151">
      <c r="H151" s="112"/>
    </row>
    <row r="152">
      <c r="H152" s="112"/>
    </row>
    <row r="153">
      <c r="H153" s="112"/>
    </row>
    <row r="154">
      <c r="H154" s="112"/>
    </row>
    <row r="155">
      <c r="H155" s="112"/>
    </row>
    <row r="156">
      <c r="H156" s="112"/>
    </row>
    <row r="157">
      <c r="H157" s="112"/>
    </row>
    <row r="158">
      <c r="H158" s="112"/>
    </row>
    <row r="159">
      <c r="H159" s="112"/>
    </row>
    <row r="160">
      <c r="H160" s="112"/>
    </row>
    <row r="161">
      <c r="H161" s="112"/>
    </row>
    <row r="162">
      <c r="H162" s="112"/>
    </row>
    <row r="163">
      <c r="H163" s="112"/>
    </row>
    <row r="164">
      <c r="H164" s="112"/>
    </row>
    <row r="165">
      <c r="H165" s="112"/>
    </row>
    <row r="166">
      <c r="H166" s="112"/>
    </row>
    <row r="167">
      <c r="H167" s="112"/>
    </row>
    <row r="168">
      <c r="H168" s="112"/>
    </row>
    <row r="169">
      <c r="H169" s="112"/>
    </row>
    <row r="170">
      <c r="H170" s="112"/>
    </row>
    <row r="171">
      <c r="H171" s="112"/>
    </row>
    <row r="172">
      <c r="H172" s="112"/>
    </row>
    <row r="173">
      <c r="H173" s="112"/>
    </row>
    <row r="174">
      <c r="H174" s="112"/>
    </row>
    <row r="175">
      <c r="H175" s="112"/>
    </row>
  </sheetData>
  <conditionalFormatting sqref="F10:F11 F13:F999">
    <cfRule type="cellIs" dxfId="0" priority="1" operator="greaterThan">
      <formula>$P$1</formula>
    </cfRule>
  </conditionalFormatting>
  <conditionalFormatting sqref="B8">
    <cfRule type="cellIs" dxfId="0" priority="2" operator="lessThan">
      <formula>counta(B10:B1070)</formula>
    </cfRule>
  </conditionalFormatting>
  <dataValidations>
    <dataValidation type="list" allowBlank="1" sqref="B2">
      <formula1>ItemEquipCombine!$A$1:$A1070</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7.75"/>
  </cols>
  <sheetData>
    <row r="1">
      <c r="C1" s="19" t="s">
        <v>225</v>
      </c>
    </row>
    <row r="2">
      <c r="B2" s="19" t="s">
        <v>226</v>
      </c>
      <c r="C2" s="84" t="s">
        <v>227</v>
      </c>
      <c r="D2" s="19" t="s">
        <v>226</v>
      </c>
    </row>
    <row r="3">
      <c r="B3" s="113">
        <v>100.0</v>
      </c>
      <c r="C3" s="84" t="s">
        <v>228</v>
      </c>
      <c r="D3" s="106">
        <f>(B3*(1/value(VLOOKUP(B2,MoneyRates!A:B,2,FALSE))))*value(VLOOKUP(D2,MoneyRates!A:B,2,FALSE))</f>
        <v>100</v>
      </c>
    </row>
    <row r="5">
      <c r="A5" s="45" t="s">
        <v>229</v>
      </c>
    </row>
    <row r="6">
      <c r="A6" s="19" t="s">
        <v>230</v>
      </c>
      <c r="B6" s="113">
        <v>100000.0</v>
      </c>
    </row>
    <row r="7">
      <c r="A7" s="19" t="s">
        <v>231</v>
      </c>
      <c r="B7" s="113">
        <v>0.0</v>
      </c>
    </row>
    <row r="8">
      <c r="A8" s="19" t="s">
        <v>232</v>
      </c>
      <c r="B8" s="113">
        <v>0.0</v>
      </c>
    </row>
    <row r="9">
      <c r="A9" s="19" t="s">
        <v>233</v>
      </c>
      <c r="B9" s="113">
        <v>0.0</v>
      </c>
    </row>
    <row r="10">
      <c r="A10" s="19" t="s">
        <v>234</v>
      </c>
      <c r="B10" s="113">
        <v>0.0</v>
      </c>
    </row>
    <row r="11">
      <c r="A11" s="19" t="s">
        <v>235</v>
      </c>
      <c r="B11" s="113">
        <v>0.0</v>
      </c>
    </row>
    <row r="12">
      <c r="B12" s="113"/>
    </row>
    <row r="13">
      <c r="B13" s="113"/>
    </row>
    <row r="14">
      <c r="B14" s="113"/>
    </row>
    <row r="15">
      <c r="B15" s="113"/>
    </row>
  </sheetData>
  <mergeCells count="1">
    <mergeCell ref="A5:B5"/>
  </mergeCells>
  <dataValidations>
    <dataValidation type="list" allowBlank="1" sqref="B2 D2">
      <formula1>MoneyRates!$A$1:$A$15</formula1>
    </dataValidation>
    <dataValidation type="decimal" operator="lessThanOrEqual" allowBlank="1" showDropDown="1" showInputMessage="1" showErrorMessage="1" prompt="You can only hold less than $900,000,000,000" sqref="B6:B15">
      <formula1>9.0E11</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2" max="2" width="23.5"/>
    <col customWidth="1" min="3" max="3" width="20.38"/>
    <col customWidth="1" min="4" max="4" width="22.88"/>
    <col customWidth="1" min="5" max="5" width="21.63"/>
  </cols>
  <sheetData>
    <row r="5">
      <c r="B5" s="1" t="str">
        <f>Character!B5</f>
        <v>👤 Name: </v>
      </c>
      <c r="C5" s="2"/>
      <c r="D5" s="114" t="str">
        <f>Character!D5</f>
        <v>📜 Titles:
</v>
      </c>
      <c r="E5" s="2"/>
    </row>
    <row r="6">
      <c r="B6" s="9" t="str">
        <f>Character!B7</f>
        <v>♀️♂️ Sex: 
🧓👵 Age:
📈 Height:
⚖️ Weight:</v>
      </c>
      <c r="C6" s="2"/>
      <c r="D6" s="10" t="str">
        <f>Character!D7</f>
        <v>🧧 Guild 1: 
Rank: 
Completed Quests: 
- 
🧧 Guild 2: 
Rank: 
Completed Quests: 
- 
🧧 Guild 3: 
Rank: 
Completed Quests: 
- </v>
      </c>
      <c r="E6" s="2"/>
    </row>
    <row r="7">
      <c r="B7" s="11" t="str">
        <f>Character!B8</f>
        <v>⭐ Level: 1</v>
      </c>
      <c r="C7" s="13" t="str">
        <f>"Total Perk Points: "&amp;Leveler!C13</f>
        <v>Total Perk Points: 0</v>
      </c>
      <c r="D7" s="6"/>
      <c r="E7" s="2"/>
    </row>
    <row r="8">
      <c r="B8" s="11" t="str">
        <f>Character!B9</f>
        <v>🤝 Loyalty Score: </v>
      </c>
      <c r="C8" s="13" t="str">
        <f>"🏰 Starter Town: "&amp;Leveler!F4</f>
        <v>🏰 Starter Town: </v>
      </c>
      <c r="D8" s="6"/>
      <c r="E8" s="2"/>
    </row>
    <row r="9">
      <c r="B9" s="13" t="str">
        <f>"🧞‍♂️ Race: "&amp;IF(Leveler!F2,Leveler!H1&amp;CHAR(10)&amp;"Half Race: "&amp;Leveler!H2,Leveler!H1)</f>
        <v>🧞‍♂️ Race: </v>
      </c>
      <c r="C9" s="2"/>
      <c r="D9" s="13" t="str">
        <f>"🏹 Class: "&amp;IF(Leveler!I2,Leveler!K1&amp;CHAR(10)&amp;"Half Class: "&amp;Leveler!K2,Leveler!K1)</f>
        <v>🏹 Class: </v>
      </c>
      <c r="E9" s="2"/>
    </row>
    <row r="10">
      <c r="B10" s="11" t="str">
        <f>"⚔️ Attack: "&amp;Leveler!B18+F12</f>
        <v>#N/A</v>
      </c>
      <c r="C10" s="11" t="str">
        <f>"🛡️ Defense: "&amp;Leveler!C18+G12</f>
        <v>#N/A</v>
      </c>
      <c r="D10" s="11" t="str">
        <f>"🎯 Accuracy: "&amp;Leveler!D18+H12</f>
        <v>#N/A</v>
      </c>
      <c r="E10" s="11" t="str">
        <f>"😇[P] Charisma: "&amp;Leveler!E20+I12</f>
        <v>#N/A</v>
      </c>
    </row>
    <row r="11">
      <c r="B11" s="115" t="str">
        <f>"🤯[P] Wisdom: "&amp;Leveler!F20+F14</f>
        <v>#N/A</v>
      </c>
      <c r="C11" s="11" t="str">
        <f>"❤️[P] Constitution: "&amp;Leveler!G20+G14</f>
        <v>#N/A</v>
      </c>
      <c r="D11" s="11" t="str">
        <f>"🏃‍♀️[P] Evasion: "&amp;Leveler!H20+H14</f>
        <v>#N/A</v>
      </c>
      <c r="E11" s="11" t="str">
        <f>"😈[P] Intimidation: "&amp;Leveler!I20+I14</f>
        <v>#N/A</v>
      </c>
    </row>
    <row r="12">
      <c r="B12" s="13" t="str">
        <f>"💡 Intelligence: "&amp;Leveler!K18</f>
        <v>💡 Intelligence: </v>
      </c>
      <c r="C12" s="2"/>
      <c r="D12" s="13" t="str">
        <f>"🏊‍♀🏃‍♀️[P]  Mobility: "&amp;Leveler!J20</f>
        <v>#N/A</v>
      </c>
      <c r="E12" s="2"/>
    </row>
    <row r="13">
      <c r="B13" s="33" t="str">
        <f>"❤️ HP: "&amp;Leveler!B23-F10&amp;"/"&amp;Leveler!B23</f>
        <v>#N/A</v>
      </c>
      <c r="C13" s="2"/>
      <c r="D13" s="33" t="str">
        <f>"🧪 SP: "&amp;Leveler!C23-G10&amp;"/"&amp;Leveler!C23</f>
        <v>#N/A</v>
      </c>
      <c r="E13" s="2"/>
    </row>
    <row r="14">
      <c r="B14" s="13" t="str">
        <f>"🍗 Hunger: "&amp;Leveler!D23-H10&amp;"/"&amp;Leveler!D23</f>
        <v>#N/A</v>
      </c>
      <c r="C14" s="2"/>
      <c r="D14" s="13" t="str">
        <f>"💧 Thirst: "&amp;Leveler!E23-I10&amp;"/"&amp;Leveler!E23</f>
        <v>#N/A</v>
      </c>
      <c r="E14" s="2"/>
    </row>
    <row r="15">
      <c r="B15" s="13" t="str">
        <f>"⚡ Energy: "&amp;Leveler!F23-J10&amp;"/"&amp;Leveler!F23</f>
        <v>#N/A</v>
      </c>
      <c r="C15" s="2"/>
      <c r="D15" s="13" t="str">
        <f>"🐟 Astrological Sign: "&amp;Leveler!I6</f>
        <v>🐟 Astrological Sign: </v>
      </c>
      <c r="E15" s="2"/>
    </row>
    <row r="16">
      <c r="B16" s="33" t="str">
        <f>Character!B17</f>
        <v>🎭 Alignment: </v>
      </c>
      <c r="C16" s="6"/>
      <c r="D16" s="6"/>
      <c r="E16" s="2"/>
    </row>
    <row r="17">
      <c r="B17" s="13" t="str">
        <f>"🧞‍♂️ Race Bonuses: "&amp;VLOOKUP(Leveler!$H$1,Races!$A$2:$R1000,MATCH("StatBonus",Races!$A$1:$R$1,0),FALSE)&amp;CHAR(10)&amp;IF(Leveler!$F$2,VLOOKUP(Leveler!$H$2,Races!$A$2:$R1000,MATCH("Ability",Races!$A$1:$R$1,0),FALSE),VLOOKUP(Leveler!$H$1,Races!$A$2:$R1000,MATCH("Ability",Races!$A$1:$R$1,0),FALSE))</f>
        <v>#N/A</v>
      </c>
      <c r="C17" s="6"/>
      <c r="D17" s="6"/>
      <c r="E17" s="2"/>
    </row>
    <row r="18">
      <c r="B18" s="13" t="str">
        <f>"Class Bonuses: "&amp;VLOOKUP(Leveler!$K$1,Classes!$A$2:$R1000,MATCH("SpellRank",Classes!$A$1:$R$1,0),FALSE)&amp;CHAR(10)&amp;IF(Leveler!$I$2,VLOOKUP(Leveler!$K$2,Classes!$A$2:$R1000,MATCH("Ability",Classes!$A$1:$R$1,0),FALSE),VLOOKUP(Leveler!$K$1,Classes!$A$2:$R1000,MATCH("Ability",Classes!$A$1:$R$1,0),FALSE))&amp;IF(Leveler!B13&gt;199,CHAR(10)&amp;CHAR(10)&amp;"Enhanced Class Bonuses: "&amp;VLOOKUP(Leveler!$K$3,EnhancedClasses!$B$2:$R1000,MATCH("SpellRank",EnhancedClasses!$B$1:$R$1,0),FALSE)&amp;CHAR(10)&amp;IF(Leveler!$I$2,VLOOKUP(Leveler!$K$4,EnhancedClasses!$B$2:$R1000,MATCH("Ability1",EnhancedClasses!$B$1:$R$1,0),FALSE)&amp;CHAR(10)&amp;VLOOKUP(Leveler!$K$4,EnhancedClasses!$B$2:$R1000,MATCH("Ability2",EnhancedClasses!$B$1:$R$1,0),FALSE)&amp;CHAR(10)&amp;VLOOKUP(Leveler!$K$4,EnhancedClasses!$B$2:$R1000,MATCH("Ability3",EnhancedClasses!$B$1:$R$1,0),FALSE)&amp;CHAR(10)&amp;VLOOKUP(Leveler!$K$4,EnhancedClasses!$B$2:$R1000,MATCH("Ability4",EnhancedClasses!$B$1:$R$1,0),FALSE),VLOOKUP(Leveler!$K$3,EnhancedClasses!$B$2:$R1000,MATCH("Ability1",EnhancedClasses!$B$1:$R$1,0),FALSE)&amp;CHAR(10)&amp;VLOOKUP(Leveler!$K$3,EnhancedClasses!$B$2:$R1000,MATCH("Ability2",EnhancedClasses!$B$1:$R$1,0),FALSE)&amp;CHAR(10)&amp;VLOOKUP(Leveler!$K$3,EnhancedClasses!$B$2:$R1000,MATCH("Ability3",EnhancedClasses!$B$1:$R$1,0),FALSE)&amp;CHAR(10)&amp;VLOOKUP(Leveler!$K$3,EnhancedClasses!$B$2:$R1000,MATCH("Ability4",EnhancedClasses!$B$1:$R$1,0),FALSE)),"")</f>
        <v>#N/A</v>
      </c>
      <c r="C18" s="6"/>
      <c r="D18" s="6"/>
      <c r="E18" s="2"/>
    </row>
    <row r="19">
      <c r="B19" s="13" t="str">
        <f>Character!B20</f>
        <v>Other Bonuses: </v>
      </c>
      <c r="C19" s="6"/>
      <c r="D19" s="6"/>
      <c r="E19" s="2"/>
    </row>
    <row r="20">
      <c r="B20" s="13" t="str">
        <f>Character!B21</f>
        <v>Resistances: 
Vulnerabilities: </v>
      </c>
      <c r="C20" s="6"/>
      <c r="D20" s="6"/>
      <c r="E20" s="2"/>
    </row>
    <row r="21">
      <c r="B21" s="116" t="s">
        <v>236</v>
      </c>
      <c r="C21" s="6"/>
      <c r="D21" s="6"/>
      <c r="E21" s="2"/>
    </row>
    <row r="22">
      <c r="B22" s="117"/>
      <c r="E22" s="42"/>
    </row>
    <row r="23">
      <c r="B23" s="82"/>
      <c r="E23" s="42"/>
    </row>
    <row r="24">
      <c r="B24" s="82"/>
      <c r="E24" s="42"/>
    </row>
    <row r="25">
      <c r="B25" s="82"/>
      <c r="E25" s="42"/>
    </row>
    <row r="26">
      <c r="B26" s="82"/>
      <c r="E26" s="42"/>
    </row>
    <row r="27">
      <c r="B27" s="82"/>
      <c r="E27" s="42"/>
    </row>
    <row r="28">
      <c r="B28" s="82"/>
      <c r="E28" s="42"/>
    </row>
    <row r="29">
      <c r="B29" s="82"/>
      <c r="E29" s="42"/>
    </row>
    <row r="30">
      <c r="B30" s="82"/>
      <c r="E30" s="42"/>
    </row>
    <row r="31">
      <c r="B31" s="82"/>
      <c r="E31" s="42"/>
    </row>
    <row r="32">
      <c r="B32" s="82"/>
      <c r="E32" s="42"/>
    </row>
    <row r="33">
      <c r="B33" s="82"/>
      <c r="E33" s="42"/>
    </row>
    <row r="34">
      <c r="B34" s="82"/>
      <c r="E34" s="42"/>
    </row>
    <row r="35">
      <c r="B35" s="82"/>
      <c r="E35" s="42"/>
    </row>
    <row r="36">
      <c r="B36" s="82"/>
      <c r="E36" s="42"/>
    </row>
    <row r="37">
      <c r="B37" s="82"/>
      <c r="E37" s="42"/>
    </row>
    <row r="38">
      <c r="B38" s="82"/>
      <c r="E38" s="42"/>
    </row>
    <row r="39">
      <c r="B39" s="82"/>
      <c r="E39" s="42"/>
    </row>
    <row r="40">
      <c r="B40" s="82"/>
      <c r="E40" s="42"/>
    </row>
    <row r="41">
      <c r="B41" s="82"/>
      <c r="E41" s="42"/>
    </row>
    <row r="42">
      <c r="B42" s="82"/>
      <c r="E42" s="42"/>
    </row>
    <row r="43">
      <c r="B43" s="82"/>
      <c r="E43" s="42"/>
    </row>
    <row r="44">
      <c r="B44" s="82"/>
      <c r="E44" s="42"/>
    </row>
    <row r="45">
      <c r="B45" s="82"/>
      <c r="E45" s="42"/>
    </row>
    <row r="46">
      <c r="B46" s="82"/>
      <c r="E46" s="42"/>
    </row>
    <row r="47">
      <c r="B47" s="82"/>
      <c r="E47" s="42"/>
    </row>
    <row r="48">
      <c r="B48" s="82"/>
      <c r="E48" s="42"/>
    </row>
    <row r="49">
      <c r="B49" s="82"/>
      <c r="E49" s="42"/>
    </row>
    <row r="50">
      <c r="B50" s="82"/>
      <c r="E50" s="42"/>
    </row>
    <row r="51">
      <c r="B51" s="82"/>
      <c r="E51" s="42"/>
    </row>
    <row r="52">
      <c r="B52" s="82"/>
      <c r="E52" s="42"/>
    </row>
    <row r="53">
      <c r="B53" s="82"/>
      <c r="E53" s="42"/>
    </row>
    <row r="54">
      <c r="B54" s="82"/>
      <c r="E54" s="42"/>
    </row>
    <row r="55">
      <c r="B55" s="7"/>
      <c r="C55" s="96"/>
      <c r="D55" s="96"/>
      <c r="E55" s="8"/>
    </row>
  </sheetData>
  <mergeCells count="23">
    <mergeCell ref="B5:C5"/>
    <mergeCell ref="D5:E5"/>
    <mergeCell ref="B6:C6"/>
    <mergeCell ref="D6:E6"/>
    <mergeCell ref="C7:E7"/>
    <mergeCell ref="C8:E8"/>
    <mergeCell ref="D9:E9"/>
    <mergeCell ref="B9:C9"/>
    <mergeCell ref="B12:C12"/>
    <mergeCell ref="D12:E12"/>
    <mergeCell ref="B13:C13"/>
    <mergeCell ref="D13:E13"/>
    <mergeCell ref="B14:C14"/>
    <mergeCell ref="D14:E14"/>
    <mergeCell ref="B21:E21"/>
    <mergeCell ref="B22:E55"/>
    <mergeCell ref="B15:C15"/>
    <mergeCell ref="D15:E15"/>
    <mergeCell ref="B16:E16"/>
    <mergeCell ref="B17:E17"/>
    <mergeCell ref="B18:E18"/>
    <mergeCell ref="B19:E19"/>
    <mergeCell ref="B20:E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27.0"/>
  </cols>
  <sheetData>
    <row r="1">
      <c r="A1" s="118" t="s">
        <v>237</v>
      </c>
      <c r="I1" s="99"/>
      <c r="J1" s="99"/>
    </row>
    <row r="2">
      <c r="A2" s="104"/>
      <c r="B2" s="104"/>
      <c r="C2" s="99"/>
      <c r="D2" s="99"/>
      <c r="E2" s="99"/>
      <c r="F2" s="99"/>
      <c r="G2" s="99"/>
      <c r="H2" s="99"/>
      <c r="I2" s="99"/>
      <c r="J2" s="99"/>
    </row>
    <row r="3">
      <c r="A3" s="104" t="s">
        <v>25</v>
      </c>
      <c r="B3" s="104" t="s">
        <v>174</v>
      </c>
      <c r="C3" s="99" t="s">
        <v>205</v>
      </c>
      <c r="D3" s="99" t="s">
        <v>206</v>
      </c>
      <c r="E3" s="99" t="s">
        <v>207</v>
      </c>
      <c r="F3" s="99" t="s">
        <v>27</v>
      </c>
      <c r="G3" s="99" t="s">
        <v>208</v>
      </c>
      <c r="H3" s="99" t="s">
        <v>172</v>
      </c>
      <c r="I3" s="99"/>
      <c r="J3" s="99"/>
    </row>
    <row r="4">
      <c r="A4" s="49"/>
      <c r="B4" s="49" t="str">
        <f>IFNA(VLOOKUP($A4,Spells!$A$2:$I1002,MATCH(B$3,Spells!$A$1:$I$1,0),FALSE))</f>
        <v/>
      </c>
      <c r="C4" s="49" t="str">
        <f>IFNA(VLOOKUP($A4,Spells!$A$2:$I1002,MATCH(C$3,Spells!$A$1:$I$1,0),FALSE))</f>
        <v/>
      </c>
      <c r="D4" s="49" t="str">
        <f>IFNA(VLOOKUP($A4,Spells!$A$2:$I1002,MATCH(D$3,Spells!$A$1:$I$1,0),FALSE))</f>
        <v/>
      </c>
      <c r="E4" s="49" t="str">
        <f>IFNA(VLOOKUP($A4,Spells!$A$2:$I1002,MATCH(E$3,Spells!$A$1:$I$1,0),FALSE))</f>
        <v/>
      </c>
      <c r="F4" s="49" t="str">
        <f>IFNA(VLOOKUP($A4,Spells!$A$2:$I1002,MATCH(F$3,Spells!$A$1:$I$1,0),FALSE))</f>
        <v/>
      </c>
      <c r="G4" s="49" t="str">
        <f>IFNA(VLOOKUP($A4,Spells!$A$2:$I1002,MATCH(G$3,Spells!$A$1:$I$1,0),FALSE))</f>
        <v/>
      </c>
      <c r="H4" s="49" t="str">
        <f>IFNA(VLOOKUP($A4,Spells!$A$2:$I1002,MATCH(H$3,Spells!$A$1:$I$1,0),FALSE))</f>
        <v/>
      </c>
    </row>
    <row r="5">
      <c r="A5" s="49"/>
      <c r="B5" s="49" t="str">
        <f>IFNA(VLOOKUP($A5,Spells!$A$2:$I1002,MATCH(B$3,Spells!$A$1:$I$1,0),FALSE))</f>
        <v/>
      </c>
      <c r="C5" s="49" t="str">
        <f>IFNA(VLOOKUP($A5,Spells!$A$2:$I1002,MATCH(C$3,Spells!$A$1:$I$1,0),FALSE))</f>
        <v/>
      </c>
      <c r="D5" s="49" t="str">
        <f>IFNA(VLOOKUP($A5,Spells!$A$2:$I1002,MATCH(D$3,Spells!$A$1:$I$1,0),FALSE))</f>
        <v/>
      </c>
      <c r="E5" s="49" t="str">
        <f>IFNA(VLOOKUP($A5,Spells!$A$2:$I1002,MATCH(E$3,Spells!$A$1:$I$1,0),FALSE))</f>
        <v/>
      </c>
      <c r="F5" s="49" t="str">
        <f>IFNA(VLOOKUP($A5,Spells!$A$2:$I1002,MATCH(F$3,Spells!$A$1:$I$1,0),FALSE))</f>
        <v/>
      </c>
      <c r="G5" s="49" t="str">
        <f>IFNA(VLOOKUP($A5,Spells!$A$2:$I1002,MATCH(G$3,Spells!$A$1:$I$1,0),FALSE))</f>
        <v/>
      </c>
      <c r="H5" s="49" t="str">
        <f>IFNA(VLOOKUP($A5,Spells!$A$2:$I1002,MATCH(H$3,Spells!$A$1:$I$1,0),FALSE))</f>
        <v/>
      </c>
    </row>
    <row r="6">
      <c r="A6" s="49"/>
      <c r="B6" s="49" t="str">
        <f>IFNA(VLOOKUP($A6,Spells!$A$2:$I1002,MATCH(B$3,Spells!$A$1:$I$1,0),FALSE))</f>
        <v/>
      </c>
      <c r="C6" s="49" t="str">
        <f>IFNA(VLOOKUP($A6,Spells!$A$2:$I1002,MATCH(C$3,Spells!$A$1:$I$1,0),FALSE))</f>
        <v/>
      </c>
      <c r="D6" s="49" t="str">
        <f>IFNA(VLOOKUP($A6,Spells!$A$2:$I1002,MATCH(D$3,Spells!$A$1:$I$1,0),FALSE))</f>
        <v/>
      </c>
      <c r="E6" s="49" t="str">
        <f>IFNA(VLOOKUP($A6,Spells!$A$2:$I1002,MATCH(E$3,Spells!$A$1:$I$1,0),FALSE))</f>
        <v/>
      </c>
      <c r="F6" s="49" t="str">
        <f>IFNA(VLOOKUP($A6,Spells!$A$2:$I1002,MATCH(F$3,Spells!$A$1:$I$1,0),FALSE))</f>
        <v/>
      </c>
      <c r="G6" s="49" t="str">
        <f>IFNA(VLOOKUP($A6,Spells!$A$2:$I1002,MATCH(G$3,Spells!$A$1:$I$1,0),FALSE))</f>
        <v/>
      </c>
      <c r="H6" s="49" t="str">
        <f>IFNA(VLOOKUP($A6,Spells!$A$2:$I1002,MATCH(H$3,Spells!$A$1:$I$1,0),FALSE))</f>
        <v/>
      </c>
    </row>
    <row r="7">
      <c r="A7" s="49"/>
      <c r="B7" s="49" t="str">
        <f>IFNA(VLOOKUP($A7,Spells!$A$2:$I1002,MATCH(B$3,Spells!$A$1:$I$1,0),FALSE))</f>
        <v/>
      </c>
      <c r="C7" s="49" t="str">
        <f>IFNA(VLOOKUP($A7,Spells!$A$2:$I1002,MATCH(C$3,Spells!$A$1:$I$1,0),FALSE))</f>
        <v/>
      </c>
      <c r="D7" s="49" t="str">
        <f>IFNA(VLOOKUP($A7,Spells!$A$2:$I1002,MATCH(D$3,Spells!$A$1:$I$1,0),FALSE))</f>
        <v/>
      </c>
      <c r="E7" s="49" t="str">
        <f>IFNA(VLOOKUP($A7,Spells!$A$2:$I1002,MATCH(E$3,Spells!$A$1:$I$1,0),FALSE))</f>
        <v/>
      </c>
      <c r="F7" s="49" t="str">
        <f>IFNA(VLOOKUP($A7,Spells!$A$2:$I1002,MATCH(F$3,Spells!$A$1:$I$1,0),FALSE))</f>
        <v/>
      </c>
      <c r="G7" s="49" t="str">
        <f>IFNA(VLOOKUP($A7,Spells!$A$2:$I1002,MATCH(G$3,Spells!$A$1:$I$1,0),FALSE))</f>
        <v/>
      </c>
      <c r="H7" s="49" t="str">
        <f>IFNA(VLOOKUP($A7,Spells!$A$2:$I1002,MATCH(H$3,Spells!$A$1:$I$1,0),FALSE))</f>
        <v/>
      </c>
    </row>
    <row r="8">
      <c r="A8" s="49"/>
      <c r="B8" s="49" t="str">
        <f>IFNA(VLOOKUP($A8,Spells!$A$2:$I1002,MATCH(B$3,Spells!$A$1:$I$1,0),FALSE))</f>
        <v/>
      </c>
      <c r="C8" s="49" t="str">
        <f>IFNA(VLOOKUP($A8,Spells!$A$2:$I1002,MATCH(C$3,Spells!$A$1:$I$1,0),FALSE))</f>
        <v/>
      </c>
      <c r="D8" s="49" t="str">
        <f>IFNA(VLOOKUP($A8,Spells!$A$2:$I1002,MATCH(D$3,Spells!$A$1:$I$1,0),FALSE))</f>
        <v/>
      </c>
      <c r="E8" s="49" t="str">
        <f>IFNA(VLOOKUP($A8,Spells!$A$2:$I1002,MATCH(E$3,Spells!$A$1:$I$1,0),FALSE))</f>
        <v/>
      </c>
      <c r="F8" s="49" t="str">
        <f>IFNA(VLOOKUP($A8,Spells!$A$2:$I1002,MATCH(F$3,Spells!$A$1:$I$1,0),FALSE))</f>
        <v/>
      </c>
      <c r="G8" s="49" t="str">
        <f>IFNA(VLOOKUP($A8,Spells!$A$2:$I1002,MATCH(G$3,Spells!$A$1:$I$1,0),FALSE))</f>
        <v/>
      </c>
      <c r="H8" s="49" t="str">
        <f>IFNA(VLOOKUP($A8,Spells!$A$2:$I1002,MATCH(H$3,Spells!$A$1:$I$1,0),FALSE))</f>
        <v/>
      </c>
    </row>
    <row r="9">
      <c r="A9" s="49"/>
      <c r="B9" s="49" t="str">
        <f>IFNA(VLOOKUP($A9,Spells!$A$2:$I1002,MATCH(B$3,Spells!$A$1:$I$1,0),FALSE))</f>
        <v/>
      </c>
      <c r="C9" s="49" t="str">
        <f>IFNA(VLOOKUP($A9,Spells!$A$2:$I1002,MATCH(C$3,Spells!$A$1:$I$1,0),FALSE))</f>
        <v/>
      </c>
      <c r="D9" s="49" t="str">
        <f>IFNA(VLOOKUP($A9,Spells!$A$2:$I1002,MATCH(D$3,Spells!$A$1:$I$1,0),FALSE))</f>
        <v/>
      </c>
      <c r="E9" s="49" t="str">
        <f>IFNA(VLOOKUP($A9,Spells!$A$2:$I1002,MATCH(E$3,Spells!$A$1:$I$1,0),FALSE))</f>
        <v/>
      </c>
      <c r="F9" s="49" t="str">
        <f>IFNA(VLOOKUP($A9,Spells!$A$2:$I1002,MATCH(F$3,Spells!$A$1:$I$1,0),FALSE))</f>
        <v/>
      </c>
      <c r="G9" s="49" t="str">
        <f>IFNA(VLOOKUP($A9,Spells!$A$2:$I1002,MATCH(G$3,Spells!$A$1:$I$1,0),FALSE))</f>
        <v/>
      </c>
      <c r="H9" s="49" t="str">
        <f>IFNA(VLOOKUP($A9,Spells!$A$2:$I1002,MATCH(H$3,Spells!$A$1:$I$1,0),FALSE))</f>
        <v/>
      </c>
    </row>
    <row r="10">
      <c r="A10" s="49"/>
      <c r="B10" s="49" t="str">
        <f>IFNA(VLOOKUP($A10,Spells!$A$2:$I1002,MATCH(B$3,Spells!$A$1:$I$1,0),FALSE))</f>
        <v/>
      </c>
      <c r="C10" s="49" t="str">
        <f>IFNA(VLOOKUP($A10,Spells!$A$2:$I1002,MATCH(C$3,Spells!$A$1:$I$1,0),FALSE))</f>
        <v/>
      </c>
      <c r="D10" s="49" t="str">
        <f>IFNA(VLOOKUP($A10,Spells!$A$2:$I1002,MATCH(D$3,Spells!$A$1:$I$1,0),FALSE))</f>
        <v/>
      </c>
      <c r="E10" s="49" t="str">
        <f>IFNA(VLOOKUP($A10,Spells!$A$2:$I1002,MATCH(E$3,Spells!$A$1:$I$1,0),FALSE))</f>
        <v/>
      </c>
      <c r="F10" s="49" t="str">
        <f>IFNA(VLOOKUP($A10,Spells!$A$2:$I1002,MATCH(F$3,Spells!$A$1:$I$1,0),FALSE))</f>
        <v/>
      </c>
      <c r="G10" s="49" t="str">
        <f>IFNA(VLOOKUP($A10,Spells!$A$2:$I1002,MATCH(G$3,Spells!$A$1:$I$1,0),FALSE))</f>
        <v/>
      </c>
      <c r="H10" s="49" t="str">
        <f>IFNA(VLOOKUP($A10,Spells!$A$2:$I1002,MATCH(H$3,Spells!$A$1:$I$1,0),FALSE))</f>
        <v/>
      </c>
    </row>
    <row r="11">
      <c r="A11" s="49"/>
      <c r="B11" s="49" t="str">
        <f>IFNA(VLOOKUP($A11,Spells!$A$2:$I1002,MATCH(B$3,Spells!$A$1:$I$1,0),FALSE))</f>
        <v/>
      </c>
      <c r="C11" s="49" t="str">
        <f>IFNA(VLOOKUP($A11,Spells!$A$2:$I1002,MATCH(C$3,Spells!$A$1:$I$1,0),FALSE))</f>
        <v/>
      </c>
      <c r="D11" s="49" t="str">
        <f>IFNA(VLOOKUP($A11,Spells!$A$2:$I1002,MATCH(D$3,Spells!$A$1:$I$1,0),FALSE))</f>
        <v/>
      </c>
      <c r="E11" s="49" t="str">
        <f>IFNA(VLOOKUP($A11,Spells!$A$2:$I1002,MATCH(E$3,Spells!$A$1:$I$1,0),FALSE))</f>
        <v/>
      </c>
      <c r="F11" s="49" t="str">
        <f>IFNA(VLOOKUP($A11,Spells!$A$2:$I1002,MATCH(F$3,Spells!$A$1:$I$1,0),FALSE))</f>
        <v/>
      </c>
      <c r="G11" s="49" t="str">
        <f>IFNA(VLOOKUP($A11,Spells!$A$2:$I1002,MATCH(G$3,Spells!$A$1:$I$1,0),FALSE))</f>
        <v/>
      </c>
      <c r="H11" s="49" t="str">
        <f>IFNA(VLOOKUP($A11,Spells!$A$2:$I1002,MATCH(H$3,Spells!$A$1:$I$1,0),FALSE))</f>
        <v/>
      </c>
    </row>
    <row r="12">
      <c r="A12" s="49"/>
      <c r="B12" s="49" t="str">
        <f>IFNA(VLOOKUP($A12,Spells!$A$2:$I1002,MATCH(B$3,Spells!$A$1:$I$1,0),FALSE))</f>
        <v/>
      </c>
      <c r="C12" s="49" t="str">
        <f>IFNA(VLOOKUP($A12,Spells!$A$2:$I1002,MATCH(C$3,Spells!$A$1:$I$1,0),FALSE))</f>
        <v/>
      </c>
      <c r="D12" s="49" t="str">
        <f>IFNA(VLOOKUP($A12,Spells!$A$2:$I1002,MATCH(D$3,Spells!$A$1:$I$1,0),FALSE))</f>
        <v/>
      </c>
      <c r="E12" s="49" t="str">
        <f>IFNA(VLOOKUP($A12,Spells!$A$2:$I1002,MATCH(E$3,Spells!$A$1:$I$1,0),FALSE))</f>
        <v/>
      </c>
      <c r="F12" s="49" t="str">
        <f>IFNA(VLOOKUP($A12,Spells!$A$2:$I1002,MATCH(F$3,Spells!$A$1:$I$1,0),FALSE))</f>
        <v/>
      </c>
      <c r="G12" s="49" t="str">
        <f>IFNA(VLOOKUP($A12,Spells!$A$2:$I1002,MATCH(G$3,Spells!$A$1:$I$1,0),FALSE))</f>
        <v/>
      </c>
      <c r="H12" s="49" t="str">
        <f>IFNA(VLOOKUP($A12,Spells!$A$2:$I1002,MATCH(H$3,Spells!$A$1:$I$1,0),FALSE))</f>
        <v/>
      </c>
    </row>
    <row r="13">
      <c r="A13" s="49"/>
      <c r="B13" s="49" t="str">
        <f>IFNA(VLOOKUP($A13,Spells!$A$2:$I1002,MATCH(B$3,Spells!$A$1:$I$1,0),FALSE))</f>
        <v/>
      </c>
      <c r="C13" s="49" t="str">
        <f>IFNA(VLOOKUP($A13,Spells!$A$2:$I1002,MATCH(C$3,Spells!$A$1:$I$1,0),FALSE))</f>
        <v/>
      </c>
      <c r="D13" s="49" t="str">
        <f>IFNA(VLOOKUP($A13,Spells!$A$2:$I1002,MATCH(D$3,Spells!$A$1:$I$1,0),FALSE))</f>
        <v/>
      </c>
      <c r="E13" s="49" t="str">
        <f>IFNA(VLOOKUP($A13,Spells!$A$2:$I1002,MATCH(E$3,Spells!$A$1:$I$1,0),FALSE))</f>
        <v/>
      </c>
      <c r="F13" s="49" t="str">
        <f>IFNA(VLOOKUP($A13,Spells!$A$2:$I1002,MATCH(F$3,Spells!$A$1:$I$1,0),FALSE))</f>
        <v/>
      </c>
      <c r="G13" s="49" t="str">
        <f>IFNA(VLOOKUP($A13,Spells!$A$2:$I1002,MATCH(G$3,Spells!$A$1:$I$1,0),FALSE))</f>
        <v/>
      </c>
      <c r="H13" s="49" t="str">
        <f>IFNA(VLOOKUP($A13,Spells!$A$2:$I1002,MATCH(H$3,Spells!$A$1:$I$1,0),FALSE))</f>
        <v/>
      </c>
    </row>
    <row r="14">
      <c r="A14" s="49"/>
      <c r="B14" s="49" t="str">
        <f>IFNA(VLOOKUP($A14,Spells!$A$2:$I1002,MATCH(B$3,Spells!$A$1:$I$1,0),FALSE))</f>
        <v/>
      </c>
      <c r="C14" s="49" t="str">
        <f>IFNA(VLOOKUP($A14,Spells!$A$2:$I1002,MATCH(C$3,Spells!$A$1:$I$1,0),FALSE))</f>
        <v/>
      </c>
      <c r="D14" s="49" t="str">
        <f>IFNA(VLOOKUP($A14,Spells!$A$2:$I1002,MATCH(D$3,Spells!$A$1:$I$1,0),FALSE))</f>
        <v/>
      </c>
      <c r="E14" s="49" t="str">
        <f>IFNA(VLOOKUP($A14,Spells!$A$2:$I1002,MATCH(E$3,Spells!$A$1:$I$1,0),FALSE))</f>
        <v/>
      </c>
      <c r="F14" s="49" t="str">
        <f>IFNA(VLOOKUP($A14,Spells!$A$2:$I1002,MATCH(F$3,Spells!$A$1:$I$1,0),FALSE))</f>
        <v/>
      </c>
      <c r="G14" s="49" t="str">
        <f>IFNA(VLOOKUP($A14,Spells!$A$2:$I1002,MATCH(G$3,Spells!$A$1:$I$1,0),FALSE))</f>
        <v/>
      </c>
      <c r="H14" s="49" t="str">
        <f>IFNA(VLOOKUP($A14,Spells!$A$2:$I1002,MATCH(H$3,Spells!$A$1:$I$1,0),FALSE))</f>
        <v/>
      </c>
    </row>
    <row r="15">
      <c r="A15" s="49"/>
      <c r="B15" s="49" t="str">
        <f>IFNA(VLOOKUP($A15,Spells!$A$2:$I1002,MATCH(B$3,Spells!$A$1:$I$1,0),FALSE))</f>
        <v/>
      </c>
      <c r="C15" s="49" t="str">
        <f>IFNA(VLOOKUP($A15,Spells!$A$2:$I1002,MATCH(C$3,Spells!$A$1:$I$1,0),FALSE))</f>
        <v/>
      </c>
      <c r="D15" s="49" t="str">
        <f>IFNA(VLOOKUP($A15,Spells!$A$2:$I1002,MATCH(D$3,Spells!$A$1:$I$1,0),FALSE))</f>
        <v/>
      </c>
      <c r="E15" s="49" t="str">
        <f>IFNA(VLOOKUP($A15,Spells!$A$2:$I1002,MATCH(E$3,Spells!$A$1:$I$1,0),FALSE))</f>
        <v/>
      </c>
      <c r="F15" s="49" t="str">
        <f>IFNA(VLOOKUP($A15,Spells!$A$2:$I1002,MATCH(F$3,Spells!$A$1:$I$1,0),FALSE))</f>
        <v/>
      </c>
      <c r="G15" s="49" t="str">
        <f>IFNA(VLOOKUP($A15,Spells!$A$2:$I1002,MATCH(G$3,Spells!$A$1:$I$1,0),FALSE))</f>
        <v/>
      </c>
      <c r="H15" s="49" t="str">
        <f>IFNA(VLOOKUP($A15,Spells!$A$2:$I1002,MATCH(H$3,Spells!$A$1:$I$1,0),FALSE))</f>
        <v/>
      </c>
    </row>
    <row r="16">
      <c r="A16" s="49"/>
      <c r="B16" s="49" t="str">
        <f>IFNA(VLOOKUP($A16,Spells!$A$2:$I1002,MATCH(B$3,Spells!$A$1:$I$1,0),FALSE))</f>
        <v/>
      </c>
      <c r="C16" s="49" t="str">
        <f>IFNA(VLOOKUP($A16,Spells!$A$2:$I1002,MATCH(C$3,Spells!$A$1:$I$1,0),FALSE))</f>
        <v/>
      </c>
      <c r="D16" s="49" t="str">
        <f>IFNA(VLOOKUP($A16,Spells!$A$2:$I1002,MATCH(D$3,Spells!$A$1:$I$1,0),FALSE))</f>
        <v/>
      </c>
      <c r="E16" s="49" t="str">
        <f>IFNA(VLOOKUP($A16,Spells!$A$2:$I1002,MATCH(E$3,Spells!$A$1:$I$1,0),FALSE))</f>
        <v/>
      </c>
      <c r="F16" s="49" t="str">
        <f>IFNA(VLOOKUP($A16,Spells!$A$2:$I1002,MATCH(F$3,Spells!$A$1:$I$1,0),FALSE))</f>
        <v/>
      </c>
      <c r="G16" s="49" t="str">
        <f>IFNA(VLOOKUP($A16,Spells!$A$2:$I1002,MATCH(G$3,Spells!$A$1:$I$1,0),FALSE))</f>
        <v/>
      </c>
      <c r="H16" s="49" t="str">
        <f>IFNA(VLOOKUP($A16,Spells!$A$2:$I1002,MATCH(H$3,Spells!$A$1:$I$1,0),FALSE))</f>
        <v/>
      </c>
    </row>
    <row r="17">
      <c r="A17" s="49"/>
      <c r="B17" s="49" t="str">
        <f>IFNA(VLOOKUP($A17,Spells!$A$2:$I1002,MATCH(B$3,Spells!$A$1:$I$1,0),FALSE))</f>
        <v/>
      </c>
      <c r="C17" s="49" t="str">
        <f>IFNA(VLOOKUP($A17,Spells!$A$2:$I1002,MATCH(C$3,Spells!$A$1:$I$1,0),FALSE))</f>
        <v/>
      </c>
      <c r="D17" s="49" t="str">
        <f>IFNA(VLOOKUP($A17,Spells!$A$2:$I1002,MATCH(D$3,Spells!$A$1:$I$1,0),FALSE))</f>
        <v/>
      </c>
      <c r="E17" s="49" t="str">
        <f>IFNA(VLOOKUP($A17,Spells!$A$2:$I1002,MATCH(E$3,Spells!$A$1:$I$1,0),FALSE))</f>
        <v/>
      </c>
      <c r="F17" s="49" t="str">
        <f>IFNA(VLOOKUP($A17,Spells!$A$2:$I1002,MATCH(F$3,Spells!$A$1:$I$1,0),FALSE))</f>
        <v/>
      </c>
      <c r="G17" s="49" t="str">
        <f>IFNA(VLOOKUP($A17,Spells!$A$2:$I1002,MATCH(G$3,Spells!$A$1:$I$1,0),FALSE))</f>
        <v/>
      </c>
      <c r="H17" s="49" t="str">
        <f>IFNA(VLOOKUP($A17,Spells!$A$2:$I1002,MATCH(H$3,Spells!$A$1:$I$1,0),FALSE))</f>
        <v/>
      </c>
    </row>
    <row r="18">
      <c r="A18" s="49"/>
      <c r="B18" s="49" t="str">
        <f>IFNA(VLOOKUP($A18,Spells!$A$2:$I1002,MATCH(B$3,Spells!$A$1:$I$1,0),FALSE))</f>
        <v/>
      </c>
      <c r="C18" s="49" t="str">
        <f>IFNA(VLOOKUP($A18,Spells!$A$2:$I1002,MATCH(C$3,Spells!$A$1:$I$1,0),FALSE))</f>
        <v/>
      </c>
      <c r="D18" s="49" t="str">
        <f>IFNA(VLOOKUP($A18,Spells!$A$2:$I1002,MATCH(D$3,Spells!$A$1:$I$1,0),FALSE))</f>
        <v/>
      </c>
      <c r="E18" s="49" t="str">
        <f>IFNA(VLOOKUP($A18,Spells!$A$2:$I1002,MATCH(E$3,Spells!$A$1:$I$1,0),FALSE))</f>
        <v/>
      </c>
      <c r="F18" s="49" t="str">
        <f>IFNA(VLOOKUP($A18,Spells!$A$2:$I1002,MATCH(F$3,Spells!$A$1:$I$1,0),FALSE))</f>
        <v/>
      </c>
      <c r="G18" s="49" t="str">
        <f>IFNA(VLOOKUP($A18,Spells!$A$2:$I1002,MATCH(G$3,Spells!$A$1:$I$1,0),FALSE))</f>
        <v/>
      </c>
      <c r="H18" s="49" t="str">
        <f>IFNA(VLOOKUP($A18,Spells!$A$2:$I1002,MATCH(H$3,Spells!$A$1:$I$1,0),FALSE))</f>
        <v/>
      </c>
    </row>
    <row r="19">
      <c r="A19" s="49"/>
      <c r="B19" s="49" t="str">
        <f>IFNA(VLOOKUP($A19,Spells!$A$2:$I1002,MATCH(B$3,Spells!$A$1:$I$1,0),FALSE))</f>
        <v/>
      </c>
      <c r="C19" s="49" t="str">
        <f>IFNA(VLOOKUP($A19,Spells!$A$2:$I1002,MATCH(C$3,Spells!$A$1:$I$1,0),FALSE))</f>
        <v/>
      </c>
      <c r="D19" s="49" t="str">
        <f>IFNA(VLOOKUP($A19,Spells!$A$2:$I1002,MATCH(D$3,Spells!$A$1:$I$1,0),FALSE))</f>
        <v/>
      </c>
      <c r="E19" s="49" t="str">
        <f>IFNA(VLOOKUP($A19,Spells!$A$2:$I1002,MATCH(E$3,Spells!$A$1:$I$1,0),FALSE))</f>
        <v/>
      </c>
      <c r="F19" s="49" t="str">
        <f>IFNA(VLOOKUP($A19,Spells!$A$2:$I1002,MATCH(F$3,Spells!$A$1:$I$1,0),FALSE))</f>
        <v/>
      </c>
      <c r="G19" s="49" t="str">
        <f>IFNA(VLOOKUP($A19,Spells!$A$2:$I1002,MATCH(G$3,Spells!$A$1:$I$1,0),FALSE))</f>
        <v/>
      </c>
      <c r="H19" s="49" t="str">
        <f>IFNA(VLOOKUP($A19,Spells!$A$2:$I1002,MATCH(H$3,Spells!$A$1:$I$1,0),FALSE))</f>
        <v/>
      </c>
    </row>
    <row r="20">
      <c r="A20" s="49"/>
      <c r="B20" s="49" t="str">
        <f>IFNA(VLOOKUP($A20,Spells!$A$2:$I1002,MATCH(B$3,Spells!$A$1:$I$1,0),FALSE))</f>
        <v/>
      </c>
      <c r="C20" s="49" t="str">
        <f>IFNA(VLOOKUP($A20,Spells!$A$2:$I1002,MATCH(C$3,Spells!$A$1:$I$1,0),FALSE))</f>
        <v/>
      </c>
      <c r="D20" s="49" t="str">
        <f>IFNA(VLOOKUP($A20,Spells!$A$2:$I1002,MATCH(D$3,Spells!$A$1:$I$1,0),FALSE))</f>
        <v/>
      </c>
      <c r="E20" s="49" t="str">
        <f>IFNA(VLOOKUP($A20,Spells!$A$2:$I1002,MATCH(E$3,Spells!$A$1:$I$1,0),FALSE))</f>
        <v/>
      </c>
      <c r="F20" s="49" t="str">
        <f>IFNA(VLOOKUP($A20,Spells!$A$2:$I1002,MATCH(F$3,Spells!$A$1:$I$1,0),FALSE))</f>
        <v/>
      </c>
      <c r="G20" s="49" t="str">
        <f>IFNA(VLOOKUP($A20,Spells!$A$2:$I1002,MATCH(G$3,Spells!$A$1:$I$1,0),FALSE))</f>
        <v/>
      </c>
      <c r="H20" s="49" t="str">
        <f>IFNA(VLOOKUP($A20,Spells!$A$2:$I1002,MATCH(H$3,Spells!$A$1:$I$1,0),FALSE))</f>
        <v/>
      </c>
    </row>
    <row r="21">
      <c r="A21" s="49"/>
      <c r="B21" s="49" t="str">
        <f>IFNA(VLOOKUP($A21,Spells!$A$2:$I1002,MATCH(B$3,Spells!$A$1:$I$1,0),FALSE))</f>
        <v/>
      </c>
      <c r="C21" s="49" t="str">
        <f>IFNA(VLOOKUP($A21,Spells!$A$2:$I1002,MATCH(C$3,Spells!$A$1:$I$1,0),FALSE))</f>
        <v/>
      </c>
      <c r="D21" s="49" t="str">
        <f>IFNA(VLOOKUP($A21,Spells!$A$2:$I1002,MATCH(D$3,Spells!$A$1:$I$1,0),FALSE))</f>
        <v/>
      </c>
      <c r="E21" s="49" t="str">
        <f>IFNA(VLOOKUP($A21,Spells!$A$2:$I1002,MATCH(E$3,Spells!$A$1:$I$1,0),FALSE))</f>
        <v/>
      </c>
      <c r="F21" s="49" t="str">
        <f>IFNA(VLOOKUP($A21,Spells!$A$2:$I1002,MATCH(F$3,Spells!$A$1:$I$1,0),FALSE))</f>
        <v/>
      </c>
      <c r="G21" s="49" t="str">
        <f>IFNA(VLOOKUP($A21,Spells!$A$2:$I1002,MATCH(G$3,Spells!$A$1:$I$1,0),FALSE))</f>
        <v/>
      </c>
      <c r="H21" s="49" t="str">
        <f>IFNA(VLOOKUP($A21,Spells!$A$2:$I1002,MATCH(H$3,Spells!$A$1:$I$1,0),FALSE))</f>
        <v/>
      </c>
    </row>
    <row r="22">
      <c r="A22" s="49"/>
      <c r="B22" s="49" t="str">
        <f>IFNA(VLOOKUP($A22,Spells!$A$2:$I1002,MATCH(B$3,Spells!$A$1:$I$1,0),FALSE))</f>
        <v/>
      </c>
      <c r="C22" s="49" t="str">
        <f>IFNA(VLOOKUP($A22,Spells!$A$2:$I1002,MATCH(C$3,Spells!$A$1:$I$1,0),FALSE))</f>
        <v/>
      </c>
      <c r="D22" s="49" t="str">
        <f>IFNA(VLOOKUP($A22,Spells!$A$2:$I1002,MATCH(D$3,Spells!$A$1:$I$1,0),FALSE))</f>
        <v/>
      </c>
      <c r="E22" s="49" t="str">
        <f>IFNA(VLOOKUP($A22,Spells!$A$2:$I1002,MATCH(E$3,Spells!$A$1:$I$1,0),FALSE))</f>
        <v/>
      </c>
      <c r="F22" s="49" t="str">
        <f>IFNA(VLOOKUP($A22,Spells!$A$2:$I1002,MATCH(F$3,Spells!$A$1:$I$1,0),FALSE))</f>
        <v/>
      </c>
      <c r="G22" s="49" t="str">
        <f>IFNA(VLOOKUP($A22,Spells!$A$2:$I1002,MATCH(G$3,Spells!$A$1:$I$1,0),FALSE))</f>
        <v/>
      </c>
      <c r="H22" s="49" t="str">
        <f>IFNA(VLOOKUP($A22,Spells!$A$2:$I1002,MATCH(H$3,Spells!$A$1:$I$1,0),FALSE))</f>
        <v/>
      </c>
    </row>
    <row r="23">
      <c r="A23" s="49"/>
      <c r="B23" s="49" t="str">
        <f>IFNA(VLOOKUP($A23,Spells!$A$2:$I1002,MATCH(B$3,Spells!$A$1:$I$1,0),FALSE))</f>
        <v/>
      </c>
      <c r="C23" s="49" t="str">
        <f>IFNA(VLOOKUP($A23,Spells!$A$2:$I1002,MATCH(C$3,Spells!$A$1:$I$1,0),FALSE))</f>
        <v/>
      </c>
      <c r="D23" s="49" t="str">
        <f>IFNA(VLOOKUP($A23,Spells!$A$2:$I1002,MATCH(D$3,Spells!$A$1:$I$1,0),FALSE))</f>
        <v/>
      </c>
      <c r="E23" s="49" t="str">
        <f>IFNA(VLOOKUP($A23,Spells!$A$2:$I1002,MATCH(E$3,Spells!$A$1:$I$1,0),FALSE))</f>
        <v/>
      </c>
      <c r="F23" s="49" t="str">
        <f>IFNA(VLOOKUP($A23,Spells!$A$2:$I1002,MATCH(F$3,Spells!$A$1:$I$1,0),FALSE))</f>
        <v/>
      </c>
      <c r="G23" s="49" t="str">
        <f>IFNA(VLOOKUP($A23,Spells!$A$2:$I1002,MATCH(G$3,Spells!$A$1:$I$1,0),FALSE))</f>
        <v/>
      </c>
      <c r="H23" s="49" t="str">
        <f>IFNA(VLOOKUP($A23,Spells!$A$2:$I1002,MATCH(H$3,Spells!$A$1:$I$1,0),FALSE))</f>
        <v/>
      </c>
    </row>
    <row r="24">
      <c r="A24" s="49"/>
      <c r="B24" s="49" t="str">
        <f>IFNA(VLOOKUP($A24,Spells!$A$2:$I1002,MATCH(B$3,Spells!$A$1:$I$1,0),FALSE))</f>
        <v/>
      </c>
      <c r="C24" s="49" t="str">
        <f>IFNA(VLOOKUP($A24,Spells!$A$2:$I1002,MATCH(C$3,Spells!$A$1:$I$1,0),FALSE))</f>
        <v/>
      </c>
      <c r="D24" s="49" t="str">
        <f>IFNA(VLOOKUP($A24,Spells!$A$2:$I1002,MATCH(D$3,Spells!$A$1:$I$1,0),FALSE))</f>
        <v/>
      </c>
      <c r="E24" s="49" t="str">
        <f>IFNA(VLOOKUP($A24,Spells!$A$2:$I1002,MATCH(E$3,Spells!$A$1:$I$1,0),FALSE))</f>
        <v/>
      </c>
      <c r="F24" s="49" t="str">
        <f>IFNA(VLOOKUP($A24,Spells!$A$2:$I1002,MATCH(F$3,Spells!$A$1:$I$1,0),FALSE))</f>
        <v/>
      </c>
      <c r="G24" s="49" t="str">
        <f>IFNA(VLOOKUP($A24,Spells!$A$2:$I1002,MATCH(G$3,Spells!$A$1:$I$1,0),FALSE))</f>
        <v/>
      </c>
      <c r="H24" s="49" t="str">
        <f>IFNA(VLOOKUP($A24,Spells!$A$2:$I1002,MATCH(H$3,Spells!$A$1:$I$1,0),FALSE))</f>
        <v/>
      </c>
    </row>
    <row r="25">
      <c r="A25" s="49"/>
      <c r="B25" s="49" t="str">
        <f>IFNA(VLOOKUP($A25,Spells!$A$2:$I1002,MATCH(B$3,Spells!$A$1:$I$1,0),FALSE))</f>
        <v/>
      </c>
      <c r="C25" s="49" t="str">
        <f>IFNA(VLOOKUP($A25,Spells!$A$2:$I1002,MATCH(C$3,Spells!$A$1:$I$1,0),FALSE))</f>
        <v/>
      </c>
      <c r="D25" s="49" t="str">
        <f>IFNA(VLOOKUP($A25,Spells!$A$2:$I1002,MATCH(D$3,Spells!$A$1:$I$1,0),FALSE))</f>
        <v/>
      </c>
      <c r="E25" s="49" t="str">
        <f>IFNA(VLOOKUP($A25,Spells!$A$2:$I1002,MATCH(E$3,Spells!$A$1:$I$1,0),FALSE))</f>
        <v/>
      </c>
      <c r="F25" s="49" t="str">
        <f>IFNA(VLOOKUP($A25,Spells!$A$2:$I1002,MATCH(F$3,Spells!$A$1:$I$1,0),FALSE))</f>
        <v/>
      </c>
      <c r="G25" s="49" t="str">
        <f>IFNA(VLOOKUP($A25,Spells!$A$2:$I1002,MATCH(G$3,Spells!$A$1:$I$1,0),FALSE))</f>
        <v/>
      </c>
      <c r="H25" s="49" t="str">
        <f>IFNA(VLOOKUP($A25,Spells!$A$2:$I1002,MATCH(H$3,Spells!$A$1:$I$1,0),FALSE))</f>
        <v/>
      </c>
    </row>
    <row r="26">
      <c r="A26" s="49"/>
      <c r="B26" s="49" t="str">
        <f>IFNA(VLOOKUP($A26,Spells!$A$2:$I1002,MATCH(B$3,Spells!$A$1:$I$1,0),FALSE))</f>
        <v/>
      </c>
      <c r="C26" s="49" t="str">
        <f>IFNA(VLOOKUP($A26,Spells!$A$2:$I1002,MATCH(C$3,Spells!$A$1:$I$1,0),FALSE))</f>
        <v/>
      </c>
      <c r="D26" s="49" t="str">
        <f>IFNA(VLOOKUP($A26,Spells!$A$2:$I1002,MATCH(D$3,Spells!$A$1:$I$1,0),FALSE))</f>
        <v/>
      </c>
      <c r="E26" s="49" t="str">
        <f>IFNA(VLOOKUP($A26,Spells!$A$2:$I1002,MATCH(E$3,Spells!$A$1:$I$1,0),FALSE))</f>
        <v/>
      </c>
      <c r="F26" s="49" t="str">
        <f>IFNA(VLOOKUP($A26,Spells!$A$2:$I1002,MATCH(F$3,Spells!$A$1:$I$1,0),FALSE))</f>
        <v/>
      </c>
      <c r="G26" s="49" t="str">
        <f>IFNA(VLOOKUP($A26,Spells!$A$2:$I1002,MATCH(G$3,Spells!$A$1:$I$1,0),FALSE))</f>
        <v/>
      </c>
      <c r="H26" s="49" t="str">
        <f>IFNA(VLOOKUP($A26,Spells!$A$2:$I1002,MATCH(H$3,Spells!$A$1:$I$1,0),FALSE))</f>
        <v/>
      </c>
    </row>
    <row r="27">
      <c r="A27" s="49"/>
      <c r="B27" s="49" t="str">
        <f>IFNA(VLOOKUP($A27,Spells!$A$2:$I1002,MATCH(B$3,Spells!$A$1:$I$1,0),FALSE))</f>
        <v/>
      </c>
      <c r="C27" s="49" t="str">
        <f>IFNA(VLOOKUP($A27,Spells!$A$2:$I1002,MATCH(C$3,Spells!$A$1:$I$1,0),FALSE))</f>
        <v/>
      </c>
      <c r="D27" s="49" t="str">
        <f>IFNA(VLOOKUP($A27,Spells!$A$2:$I1002,MATCH(D$3,Spells!$A$1:$I$1,0),FALSE))</f>
        <v/>
      </c>
      <c r="E27" s="49" t="str">
        <f>IFNA(VLOOKUP($A27,Spells!$A$2:$I1002,MATCH(E$3,Spells!$A$1:$I$1,0),FALSE))</f>
        <v/>
      </c>
      <c r="F27" s="49" t="str">
        <f>IFNA(VLOOKUP($A27,Spells!$A$2:$I1002,MATCH(F$3,Spells!$A$1:$I$1,0),FALSE))</f>
        <v/>
      </c>
      <c r="G27" s="49" t="str">
        <f>IFNA(VLOOKUP($A27,Spells!$A$2:$I1002,MATCH(G$3,Spells!$A$1:$I$1,0),FALSE))</f>
        <v/>
      </c>
      <c r="H27" s="49" t="str">
        <f>IFNA(VLOOKUP($A27,Spells!$A$2:$I1002,MATCH(H$3,Spells!$A$1:$I$1,0),FALSE))</f>
        <v/>
      </c>
    </row>
    <row r="28">
      <c r="A28" s="49"/>
      <c r="B28" s="49" t="str">
        <f>IFNA(VLOOKUP($A28,Spells!$A$2:$I1002,MATCH(B$3,Spells!$A$1:$I$1,0),FALSE))</f>
        <v/>
      </c>
      <c r="C28" s="49" t="str">
        <f>IFNA(VLOOKUP($A28,Spells!$A$2:$I1002,MATCH(C$3,Spells!$A$1:$I$1,0),FALSE))</f>
        <v/>
      </c>
      <c r="D28" s="49" t="str">
        <f>IFNA(VLOOKUP($A28,Spells!$A$2:$I1002,MATCH(D$3,Spells!$A$1:$I$1,0),FALSE))</f>
        <v/>
      </c>
      <c r="E28" s="49" t="str">
        <f>IFNA(VLOOKUP($A28,Spells!$A$2:$I1002,MATCH(E$3,Spells!$A$1:$I$1,0),FALSE))</f>
        <v/>
      </c>
      <c r="F28" s="49" t="str">
        <f>IFNA(VLOOKUP($A28,Spells!$A$2:$I1002,MATCH(F$3,Spells!$A$1:$I$1,0),FALSE))</f>
        <v/>
      </c>
      <c r="G28" s="49" t="str">
        <f>IFNA(VLOOKUP($A28,Spells!$A$2:$I1002,MATCH(G$3,Spells!$A$1:$I$1,0),FALSE))</f>
        <v/>
      </c>
      <c r="H28" s="49" t="str">
        <f>IFNA(VLOOKUP($A28,Spells!$A$2:$I1002,MATCH(H$3,Spells!$A$1:$I$1,0),FALSE))</f>
        <v/>
      </c>
    </row>
    <row r="29">
      <c r="A29" s="49"/>
      <c r="B29" s="49" t="str">
        <f>IFNA(VLOOKUP($A29,Spells!$A$2:$I1002,MATCH(B$3,Spells!$A$1:$I$1,0),FALSE))</f>
        <v/>
      </c>
      <c r="C29" s="49" t="str">
        <f>IFNA(VLOOKUP($A29,Spells!$A$2:$I1002,MATCH(C$3,Spells!$A$1:$I$1,0),FALSE))</f>
        <v/>
      </c>
      <c r="D29" s="49" t="str">
        <f>IFNA(VLOOKUP($A29,Spells!$A$2:$I1002,MATCH(D$3,Spells!$A$1:$I$1,0),FALSE))</f>
        <v/>
      </c>
      <c r="E29" s="49" t="str">
        <f>IFNA(VLOOKUP($A29,Spells!$A$2:$I1002,MATCH(E$3,Spells!$A$1:$I$1,0),FALSE))</f>
        <v/>
      </c>
      <c r="F29" s="49" t="str">
        <f>IFNA(VLOOKUP($A29,Spells!$A$2:$I1002,MATCH(F$3,Spells!$A$1:$I$1,0),FALSE))</f>
        <v/>
      </c>
      <c r="G29" s="49" t="str">
        <f>IFNA(VLOOKUP($A29,Spells!$A$2:$I1002,MATCH(G$3,Spells!$A$1:$I$1,0),FALSE))</f>
        <v/>
      </c>
      <c r="H29" s="49" t="str">
        <f>IFNA(VLOOKUP($A29,Spells!$A$2:$I1002,MATCH(H$3,Spells!$A$1:$I$1,0),FALSE))</f>
        <v/>
      </c>
    </row>
    <row r="30">
      <c r="A30" s="49"/>
      <c r="B30" s="49" t="str">
        <f>IFNA(VLOOKUP($A30,Spells!$A$2:$I1002,MATCH(B$3,Spells!$A$1:$I$1,0),FALSE))</f>
        <v/>
      </c>
      <c r="C30" s="49" t="str">
        <f>IFNA(VLOOKUP($A30,Spells!$A$2:$I1002,MATCH(C$3,Spells!$A$1:$I$1,0),FALSE))</f>
        <v/>
      </c>
      <c r="D30" s="49" t="str">
        <f>IFNA(VLOOKUP($A30,Spells!$A$2:$I1002,MATCH(D$3,Spells!$A$1:$I$1,0),FALSE))</f>
        <v/>
      </c>
      <c r="E30" s="49" t="str">
        <f>IFNA(VLOOKUP($A30,Spells!$A$2:$I1002,MATCH(E$3,Spells!$A$1:$I$1,0),FALSE))</f>
        <v/>
      </c>
      <c r="F30" s="49" t="str">
        <f>IFNA(VLOOKUP($A30,Spells!$A$2:$I1002,MATCH(F$3,Spells!$A$1:$I$1,0),FALSE))</f>
        <v/>
      </c>
      <c r="G30" s="49" t="str">
        <f>IFNA(VLOOKUP($A30,Spells!$A$2:$I1002,MATCH(G$3,Spells!$A$1:$I$1,0),FALSE))</f>
        <v/>
      </c>
      <c r="H30" s="49" t="str">
        <f>IFNA(VLOOKUP($A30,Spells!$A$2:$I1002,MATCH(H$3,Spells!$A$1:$I$1,0),FALSE))</f>
        <v/>
      </c>
    </row>
    <row r="31">
      <c r="A31" s="49"/>
      <c r="B31" s="49" t="str">
        <f>IFNA(VLOOKUP($A31,Spells!$A$2:$I1002,MATCH(B$3,Spells!$A$1:$I$1,0),FALSE))</f>
        <v/>
      </c>
      <c r="C31" s="49" t="str">
        <f>IFNA(VLOOKUP($A31,Spells!$A$2:$I1002,MATCH(C$3,Spells!$A$1:$I$1,0),FALSE))</f>
        <v/>
      </c>
      <c r="D31" s="49" t="str">
        <f>IFNA(VLOOKUP($A31,Spells!$A$2:$I1002,MATCH(D$3,Spells!$A$1:$I$1,0),FALSE))</f>
        <v/>
      </c>
      <c r="E31" s="49" t="str">
        <f>IFNA(VLOOKUP($A31,Spells!$A$2:$I1002,MATCH(E$3,Spells!$A$1:$I$1,0),FALSE))</f>
        <v/>
      </c>
      <c r="F31" s="49" t="str">
        <f>IFNA(VLOOKUP($A31,Spells!$A$2:$I1002,MATCH(F$3,Spells!$A$1:$I$1,0),FALSE))</f>
        <v/>
      </c>
      <c r="G31" s="49" t="str">
        <f>IFNA(VLOOKUP($A31,Spells!$A$2:$I1002,MATCH(G$3,Spells!$A$1:$I$1,0),FALSE))</f>
        <v/>
      </c>
      <c r="H31" s="49" t="str">
        <f>IFNA(VLOOKUP($A31,Spells!$A$2:$I1002,MATCH(H$3,Spells!$A$1:$I$1,0),FALSE))</f>
        <v/>
      </c>
    </row>
    <row r="32">
      <c r="A32" s="49"/>
      <c r="B32" s="49" t="str">
        <f>IFNA(VLOOKUP($A32,Spells!$A$2:$I1002,MATCH(B$3,Spells!$A$1:$I$1,0),FALSE))</f>
        <v/>
      </c>
      <c r="C32" s="49" t="str">
        <f>IFNA(VLOOKUP($A32,Spells!$A$2:$I1002,MATCH(C$3,Spells!$A$1:$I$1,0),FALSE))</f>
        <v/>
      </c>
      <c r="D32" s="49" t="str">
        <f>IFNA(VLOOKUP($A32,Spells!$A$2:$I1002,MATCH(D$3,Spells!$A$1:$I$1,0),FALSE))</f>
        <v/>
      </c>
      <c r="E32" s="49" t="str">
        <f>IFNA(VLOOKUP($A32,Spells!$A$2:$I1002,MATCH(E$3,Spells!$A$1:$I$1,0),FALSE))</f>
        <v/>
      </c>
      <c r="F32" s="49" t="str">
        <f>IFNA(VLOOKUP($A32,Spells!$A$2:$I1002,MATCH(F$3,Spells!$A$1:$I$1,0),FALSE))</f>
        <v/>
      </c>
      <c r="G32" s="49" t="str">
        <f>IFNA(VLOOKUP($A32,Spells!$A$2:$I1002,MATCH(G$3,Spells!$A$1:$I$1,0),FALSE))</f>
        <v/>
      </c>
      <c r="H32" s="49" t="str">
        <f>IFNA(VLOOKUP($A32,Spells!$A$2:$I1002,MATCH(H$3,Spells!$A$1:$I$1,0),FALSE))</f>
        <v/>
      </c>
    </row>
    <row r="33">
      <c r="A33" s="49"/>
      <c r="B33" s="49" t="str">
        <f>IFNA(VLOOKUP($A33,Spells!$A$2:$I1002,MATCH(B$3,Spells!$A$1:$I$1,0),FALSE))</f>
        <v/>
      </c>
      <c r="C33" s="49" t="str">
        <f>IFNA(VLOOKUP($A33,Spells!$A$2:$I1002,MATCH(C$3,Spells!$A$1:$I$1,0),FALSE))</f>
        <v/>
      </c>
      <c r="D33" s="49" t="str">
        <f>IFNA(VLOOKUP($A33,Spells!$A$2:$I1002,MATCH(D$3,Spells!$A$1:$I$1,0),FALSE))</f>
        <v/>
      </c>
      <c r="E33" s="49" t="str">
        <f>IFNA(VLOOKUP($A33,Spells!$A$2:$I1002,MATCH(E$3,Spells!$A$1:$I$1,0),FALSE))</f>
        <v/>
      </c>
      <c r="F33" s="49" t="str">
        <f>IFNA(VLOOKUP($A33,Spells!$A$2:$I1002,MATCH(F$3,Spells!$A$1:$I$1,0),FALSE))</f>
        <v/>
      </c>
      <c r="G33" s="49" t="str">
        <f>IFNA(VLOOKUP($A33,Spells!$A$2:$I1002,MATCH(G$3,Spells!$A$1:$I$1,0),FALSE))</f>
        <v/>
      </c>
      <c r="H33" s="49" t="str">
        <f>IFNA(VLOOKUP($A33,Spells!$A$2:$I1002,MATCH(H$3,Spells!$A$1:$I$1,0),FALSE))</f>
        <v/>
      </c>
    </row>
    <row r="34">
      <c r="A34" s="49"/>
      <c r="B34" s="49" t="str">
        <f>IFNA(VLOOKUP($A34,Spells!$A$2:$I1002,MATCH(B$3,Spells!$A$1:$I$1,0),FALSE))</f>
        <v/>
      </c>
      <c r="C34" s="49" t="str">
        <f>IFNA(VLOOKUP($A34,Spells!$A$2:$I1002,MATCH(C$3,Spells!$A$1:$I$1,0),FALSE))</f>
        <v/>
      </c>
      <c r="D34" s="49" t="str">
        <f>IFNA(VLOOKUP($A34,Spells!$A$2:$I1002,MATCH(D$3,Spells!$A$1:$I$1,0),FALSE))</f>
        <v/>
      </c>
      <c r="E34" s="49" t="str">
        <f>IFNA(VLOOKUP($A34,Spells!$A$2:$I1002,MATCH(E$3,Spells!$A$1:$I$1,0),FALSE))</f>
        <v/>
      </c>
      <c r="F34" s="49" t="str">
        <f>IFNA(VLOOKUP($A34,Spells!$A$2:$I1002,MATCH(F$3,Spells!$A$1:$I$1,0),FALSE))</f>
        <v/>
      </c>
      <c r="G34" s="49" t="str">
        <f>IFNA(VLOOKUP($A34,Spells!$A$2:$I1002,MATCH(G$3,Spells!$A$1:$I$1,0),FALSE))</f>
        <v/>
      </c>
      <c r="H34" s="49" t="str">
        <f>IFNA(VLOOKUP($A34,Spells!$A$2:$I1002,MATCH(H$3,Spells!$A$1:$I$1,0),FALSE))</f>
        <v/>
      </c>
    </row>
    <row r="35">
      <c r="A35" s="49"/>
      <c r="B35" s="49" t="str">
        <f>IFNA(VLOOKUP($A35,Spells!$A$2:$I1002,MATCH(B$3,Spells!$A$1:$I$1,0),FALSE))</f>
        <v/>
      </c>
      <c r="C35" s="49" t="str">
        <f>IFNA(VLOOKUP($A35,Spells!$A$2:$I1002,MATCH(C$3,Spells!$A$1:$I$1,0),FALSE))</f>
        <v/>
      </c>
      <c r="D35" s="49" t="str">
        <f>IFNA(VLOOKUP($A35,Spells!$A$2:$I1002,MATCH(D$3,Spells!$A$1:$I$1,0),FALSE))</f>
        <v/>
      </c>
      <c r="E35" s="49" t="str">
        <f>IFNA(VLOOKUP($A35,Spells!$A$2:$I1002,MATCH(E$3,Spells!$A$1:$I$1,0),FALSE))</f>
        <v/>
      </c>
      <c r="F35" s="49" t="str">
        <f>IFNA(VLOOKUP($A35,Spells!$A$2:$I1002,MATCH(F$3,Spells!$A$1:$I$1,0),FALSE))</f>
        <v/>
      </c>
      <c r="G35" s="49" t="str">
        <f>IFNA(VLOOKUP($A35,Spells!$A$2:$I1002,MATCH(G$3,Spells!$A$1:$I$1,0),FALSE))</f>
        <v/>
      </c>
      <c r="H35" s="49" t="str">
        <f>IFNA(VLOOKUP($A35,Spells!$A$2:$I1002,MATCH(H$3,Spells!$A$1:$I$1,0),FALSE))</f>
        <v/>
      </c>
    </row>
    <row r="36">
      <c r="A36" s="49"/>
      <c r="B36" s="49" t="str">
        <f>IFNA(VLOOKUP($A36,Spells!$A$2:$I1002,MATCH(B$3,Spells!$A$1:$I$1,0),FALSE))</f>
        <v/>
      </c>
      <c r="C36" s="49" t="str">
        <f>IFNA(VLOOKUP($A36,Spells!$A$2:$I1002,MATCH(C$3,Spells!$A$1:$I$1,0),FALSE))</f>
        <v/>
      </c>
      <c r="D36" s="49" t="str">
        <f>IFNA(VLOOKUP($A36,Spells!$A$2:$I1002,MATCH(D$3,Spells!$A$1:$I$1,0),FALSE))</f>
        <v/>
      </c>
      <c r="E36" s="49" t="str">
        <f>IFNA(VLOOKUP($A36,Spells!$A$2:$I1002,MATCH(E$3,Spells!$A$1:$I$1,0),FALSE))</f>
        <v/>
      </c>
      <c r="F36" s="49" t="str">
        <f>IFNA(VLOOKUP($A36,Spells!$A$2:$I1002,MATCH(F$3,Spells!$A$1:$I$1,0),FALSE))</f>
        <v/>
      </c>
      <c r="G36" s="49" t="str">
        <f>IFNA(VLOOKUP($A36,Spells!$A$2:$I1002,MATCH(G$3,Spells!$A$1:$I$1,0),FALSE))</f>
        <v/>
      </c>
      <c r="H36" s="49" t="str">
        <f>IFNA(VLOOKUP($A36,Spells!$A$2:$I1002,MATCH(H$3,Spells!$A$1:$I$1,0),FALSE))</f>
        <v/>
      </c>
    </row>
    <row r="37">
      <c r="A37" s="49"/>
      <c r="B37" s="49" t="str">
        <f>IFNA(VLOOKUP($A37,Spells!$A$2:$I1002,MATCH(B$3,Spells!$A$1:$I$1,0),FALSE))</f>
        <v/>
      </c>
      <c r="C37" s="49" t="str">
        <f>IFNA(VLOOKUP($A37,Spells!$A$2:$I1002,MATCH(C$3,Spells!$A$1:$I$1,0),FALSE))</f>
        <v/>
      </c>
      <c r="D37" s="49" t="str">
        <f>IFNA(VLOOKUP($A37,Spells!$A$2:$I1002,MATCH(D$3,Spells!$A$1:$I$1,0),FALSE))</f>
        <v/>
      </c>
      <c r="E37" s="49" t="str">
        <f>IFNA(VLOOKUP($A37,Spells!$A$2:$I1002,MATCH(E$3,Spells!$A$1:$I$1,0),FALSE))</f>
        <v/>
      </c>
      <c r="F37" s="49" t="str">
        <f>IFNA(VLOOKUP($A37,Spells!$A$2:$I1002,MATCH(F$3,Spells!$A$1:$I$1,0),FALSE))</f>
        <v/>
      </c>
      <c r="G37" s="49" t="str">
        <f>IFNA(VLOOKUP($A37,Spells!$A$2:$I1002,MATCH(G$3,Spells!$A$1:$I$1,0),FALSE))</f>
        <v/>
      </c>
      <c r="H37" s="49" t="str">
        <f>IFNA(VLOOKUP($A37,Spells!$A$2:$I1002,MATCH(H$3,Spells!$A$1:$I$1,0),FALSE))</f>
        <v/>
      </c>
    </row>
    <row r="38">
      <c r="A38" s="49"/>
      <c r="B38" s="49" t="str">
        <f>IFNA(VLOOKUP($A38,Spells!$A$2:$I1002,MATCH(B$3,Spells!$A$1:$I$1,0),FALSE))</f>
        <v/>
      </c>
      <c r="C38" s="49" t="str">
        <f>IFNA(VLOOKUP($A38,Spells!$A$2:$I1002,MATCH(C$3,Spells!$A$1:$I$1,0),FALSE))</f>
        <v/>
      </c>
      <c r="D38" s="49" t="str">
        <f>IFNA(VLOOKUP($A38,Spells!$A$2:$I1002,MATCH(D$3,Spells!$A$1:$I$1,0),FALSE))</f>
        <v/>
      </c>
      <c r="E38" s="49" t="str">
        <f>IFNA(VLOOKUP($A38,Spells!$A$2:$I1002,MATCH(E$3,Spells!$A$1:$I$1,0),FALSE))</f>
        <v/>
      </c>
      <c r="F38" s="49" t="str">
        <f>IFNA(VLOOKUP($A38,Spells!$A$2:$I1002,MATCH(F$3,Spells!$A$1:$I$1,0),FALSE))</f>
        <v/>
      </c>
      <c r="G38" s="49" t="str">
        <f>IFNA(VLOOKUP($A38,Spells!$A$2:$I1002,MATCH(G$3,Spells!$A$1:$I$1,0),FALSE))</f>
        <v/>
      </c>
      <c r="H38" s="49" t="str">
        <f>IFNA(VLOOKUP($A38,Spells!$A$2:$I1002,MATCH(H$3,Spells!$A$1:$I$1,0),FALSE))</f>
        <v/>
      </c>
    </row>
    <row r="39">
      <c r="A39" s="49"/>
      <c r="B39" s="49" t="str">
        <f>IFNA(VLOOKUP($A39,Spells!$A$2:$I1002,MATCH(B$3,Spells!$A$1:$I$1,0),FALSE))</f>
        <v/>
      </c>
      <c r="C39" s="49" t="str">
        <f>IFNA(VLOOKUP($A39,Spells!$A$2:$I1002,MATCH(C$3,Spells!$A$1:$I$1,0),FALSE))</f>
        <v/>
      </c>
      <c r="D39" s="49" t="str">
        <f>IFNA(VLOOKUP($A39,Spells!$A$2:$I1002,MATCH(D$3,Spells!$A$1:$I$1,0),FALSE))</f>
        <v/>
      </c>
      <c r="E39" s="49" t="str">
        <f>IFNA(VLOOKUP($A39,Spells!$A$2:$I1002,MATCH(E$3,Spells!$A$1:$I$1,0),FALSE))</f>
        <v/>
      </c>
      <c r="F39" s="49" t="str">
        <f>IFNA(VLOOKUP($A39,Spells!$A$2:$I1002,MATCH(F$3,Spells!$A$1:$I$1,0),FALSE))</f>
        <v/>
      </c>
      <c r="G39" s="49" t="str">
        <f>IFNA(VLOOKUP($A39,Spells!$A$2:$I1002,MATCH(G$3,Spells!$A$1:$I$1,0),FALSE))</f>
        <v/>
      </c>
      <c r="H39" s="49" t="str">
        <f>IFNA(VLOOKUP($A39,Spells!$A$2:$I1002,MATCH(H$3,Spells!$A$1:$I$1,0),FALSE))</f>
        <v/>
      </c>
    </row>
    <row r="40">
      <c r="A40" s="49"/>
      <c r="B40" s="49" t="str">
        <f>IFNA(VLOOKUP($A40,Spells!$A$2:$I1002,MATCH(B$3,Spells!$A$1:$I$1,0),FALSE))</f>
        <v/>
      </c>
      <c r="C40" s="49" t="str">
        <f>IFNA(VLOOKUP($A40,Spells!$A$2:$I1002,MATCH(C$3,Spells!$A$1:$I$1,0),FALSE))</f>
        <v/>
      </c>
      <c r="D40" s="49" t="str">
        <f>IFNA(VLOOKUP($A40,Spells!$A$2:$I1002,MATCH(D$3,Spells!$A$1:$I$1,0),FALSE))</f>
        <v/>
      </c>
      <c r="E40" s="49" t="str">
        <f>IFNA(VLOOKUP($A40,Spells!$A$2:$I1002,MATCH(E$3,Spells!$A$1:$I$1,0),FALSE))</f>
        <v/>
      </c>
      <c r="F40" s="49" t="str">
        <f>IFNA(VLOOKUP($A40,Spells!$A$2:$I1002,MATCH(F$3,Spells!$A$1:$I$1,0),FALSE))</f>
        <v/>
      </c>
      <c r="G40" s="49" t="str">
        <f>IFNA(VLOOKUP($A40,Spells!$A$2:$I1002,MATCH(G$3,Spells!$A$1:$I$1,0),FALSE))</f>
        <v/>
      </c>
      <c r="H40" s="49" t="str">
        <f>IFNA(VLOOKUP($A40,Spells!$A$2:$I1002,MATCH(H$3,Spells!$A$1:$I$1,0),FALSE))</f>
        <v/>
      </c>
    </row>
    <row r="41">
      <c r="A41" s="49"/>
      <c r="B41" s="49" t="str">
        <f>IFNA(VLOOKUP($A41,Spells!$A$2:$I1002,MATCH(B$3,Spells!$A$1:$I$1,0),FALSE))</f>
        <v/>
      </c>
      <c r="C41" s="49" t="str">
        <f>IFNA(VLOOKUP($A41,Spells!$A$2:$I1002,MATCH(C$3,Spells!$A$1:$I$1,0),FALSE))</f>
        <v/>
      </c>
      <c r="D41" s="49" t="str">
        <f>IFNA(VLOOKUP($A41,Spells!$A$2:$I1002,MATCH(D$3,Spells!$A$1:$I$1,0),FALSE))</f>
        <v/>
      </c>
      <c r="E41" s="49" t="str">
        <f>IFNA(VLOOKUP($A41,Spells!$A$2:$I1002,MATCH(E$3,Spells!$A$1:$I$1,0),FALSE))</f>
        <v/>
      </c>
      <c r="F41" s="49" t="str">
        <f>IFNA(VLOOKUP($A41,Spells!$A$2:$I1002,MATCH(F$3,Spells!$A$1:$I$1,0),FALSE))</f>
        <v/>
      </c>
      <c r="G41" s="49" t="str">
        <f>IFNA(VLOOKUP($A41,Spells!$A$2:$I1002,MATCH(G$3,Spells!$A$1:$I$1,0),FALSE))</f>
        <v/>
      </c>
      <c r="H41" s="49" t="str">
        <f>IFNA(VLOOKUP($A41,Spells!$A$2:$I1002,MATCH(H$3,Spells!$A$1:$I$1,0),FALSE))</f>
        <v/>
      </c>
    </row>
    <row r="42">
      <c r="A42" s="49"/>
      <c r="B42" s="49" t="str">
        <f>IFNA(VLOOKUP($A42,Spells!$A$2:$I1002,MATCH(B$3,Spells!$A$1:$I$1,0),FALSE))</f>
        <v/>
      </c>
      <c r="C42" s="49" t="str">
        <f>IFNA(VLOOKUP($A42,Spells!$A$2:$I1002,MATCH(C$3,Spells!$A$1:$I$1,0),FALSE))</f>
        <v/>
      </c>
      <c r="D42" s="49" t="str">
        <f>IFNA(VLOOKUP($A42,Spells!$A$2:$I1002,MATCH(D$3,Spells!$A$1:$I$1,0),FALSE))</f>
        <v/>
      </c>
      <c r="E42" s="49" t="str">
        <f>IFNA(VLOOKUP($A42,Spells!$A$2:$I1002,MATCH(E$3,Spells!$A$1:$I$1,0),FALSE))</f>
        <v/>
      </c>
      <c r="F42" s="49" t="str">
        <f>IFNA(VLOOKUP($A42,Spells!$A$2:$I1002,MATCH(F$3,Spells!$A$1:$I$1,0),FALSE))</f>
        <v/>
      </c>
      <c r="G42" s="49" t="str">
        <f>IFNA(VLOOKUP($A42,Spells!$A$2:$I1002,MATCH(G$3,Spells!$A$1:$I$1,0),FALSE))</f>
        <v/>
      </c>
      <c r="H42" s="49" t="str">
        <f>IFNA(VLOOKUP($A42,Spells!$A$2:$I1002,MATCH(H$3,Spells!$A$1:$I$1,0),FALSE))</f>
        <v/>
      </c>
    </row>
    <row r="43">
      <c r="A43" s="49"/>
      <c r="B43" s="49" t="str">
        <f>IFNA(VLOOKUP($A43,Spells!$A$2:$I1002,MATCH(B$3,Spells!$A$1:$I$1,0),FALSE))</f>
        <v/>
      </c>
      <c r="C43" s="49" t="str">
        <f>IFNA(VLOOKUP($A43,Spells!$A$2:$I1002,MATCH(C$3,Spells!$A$1:$I$1,0),FALSE))</f>
        <v/>
      </c>
      <c r="D43" s="49" t="str">
        <f>IFNA(VLOOKUP($A43,Spells!$A$2:$I1002,MATCH(D$3,Spells!$A$1:$I$1,0),FALSE))</f>
        <v/>
      </c>
      <c r="E43" s="49" t="str">
        <f>IFNA(VLOOKUP($A43,Spells!$A$2:$I1002,MATCH(E$3,Spells!$A$1:$I$1,0),FALSE))</f>
        <v/>
      </c>
      <c r="F43" s="49" t="str">
        <f>IFNA(VLOOKUP($A43,Spells!$A$2:$I1002,MATCH(F$3,Spells!$A$1:$I$1,0),FALSE))</f>
        <v/>
      </c>
      <c r="G43" s="49" t="str">
        <f>IFNA(VLOOKUP($A43,Spells!$A$2:$I1002,MATCH(G$3,Spells!$A$1:$I$1,0),FALSE))</f>
        <v/>
      </c>
      <c r="H43" s="49" t="str">
        <f>IFNA(VLOOKUP($A43,Spells!$A$2:$I1002,MATCH(H$3,Spells!$A$1:$I$1,0),FALSE))</f>
        <v/>
      </c>
    </row>
    <row r="44">
      <c r="A44" s="49"/>
      <c r="B44" s="49" t="str">
        <f>IFNA(VLOOKUP($A44,Spells!$A$2:$I1002,MATCH(B$3,Spells!$A$1:$I$1,0),FALSE))</f>
        <v/>
      </c>
      <c r="C44" s="49" t="str">
        <f>IFNA(VLOOKUP($A44,Spells!$A$2:$I1002,MATCH(C$3,Spells!$A$1:$I$1,0),FALSE))</f>
        <v/>
      </c>
      <c r="D44" s="49" t="str">
        <f>IFNA(VLOOKUP($A44,Spells!$A$2:$I1002,MATCH(D$3,Spells!$A$1:$I$1,0),FALSE))</f>
        <v/>
      </c>
      <c r="E44" s="49" t="str">
        <f>IFNA(VLOOKUP($A44,Spells!$A$2:$I1002,MATCH(E$3,Spells!$A$1:$I$1,0),FALSE))</f>
        <v/>
      </c>
      <c r="F44" s="49" t="str">
        <f>IFNA(VLOOKUP($A44,Spells!$A$2:$I1002,MATCH(F$3,Spells!$A$1:$I$1,0),FALSE))</f>
        <v/>
      </c>
      <c r="G44" s="49" t="str">
        <f>IFNA(VLOOKUP($A44,Spells!$A$2:$I1002,MATCH(G$3,Spells!$A$1:$I$1,0),FALSE))</f>
        <v/>
      </c>
      <c r="H44" s="49" t="str">
        <f>IFNA(VLOOKUP($A44,Spells!$A$2:$I1002,MATCH(H$3,Spells!$A$1:$I$1,0),FALSE))</f>
        <v/>
      </c>
    </row>
    <row r="45">
      <c r="A45" s="49"/>
      <c r="B45" s="49" t="str">
        <f>IFNA(VLOOKUP($A45,Spells!$A$2:$I1002,MATCH(B$3,Spells!$A$1:$I$1,0),FALSE))</f>
        <v/>
      </c>
      <c r="C45" s="49" t="str">
        <f>IFNA(VLOOKUP($A45,Spells!$A$2:$I1002,MATCH(C$3,Spells!$A$1:$I$1,0),FALSE))</f>
        <v/>
      </c>
      <c r="D45" s="49" t="str">
        <f>IFNA(VLOOKUP($A45,Spells!$A$2:$I1002,MATCH(D$3,Spells!$A$1:$I$1,0),FALSE))</f>
        <v/>
      </c>
      <c r="E45" s="49" t="str">
        <f>IFNA(VLOOKUP($A45,Spells!$A$2:$I1002,MATCH(E$3,Spells!$A$1:$I$1,0),FALSE))</f>
        <v/>
      </c>
      <c r="F45" s="49" t="str">
        <f>IFNA(VLOOKUP($A45,Spells!$A$2:$I1002,MATCH(F$3,Spells!$A$1:$I$1,0),FALSE))</f>
        <v/>
      </c>
      <c r="G45" s="49" t="str">
        <f>IFNA(VLOOKUP($A45,Spells!$A$2:$I1002,MATCH(G$3,Spells!$A$1:$I$1,0),FALSE))</f>
        <v/>
      </c>
      <c r="H45" s="49" t="str">
        <f>IFNA(VLOOKUP($A45,Spells!$A$2:$I1002,MATCH(H$3,Spells!$A$1:$I$1,0),FALSE))</f>
        <v/>
      </c>
    </row>
    <row r="46">
      <c r="A46" s="49"/>
      <c r="B46" s="49" t="str">
        <f>IFNA(VLOOKUP($A46,Spells!$A$2:$I1002,MATCH(B$3,Spells!$A$1:$I$1,0),FALSE))</f>
        <v/>
      </c>
      <c r="C46" s="49" t="str">
        <f>IFNA(VLOOKUP($A46,Spells!$A$2:$I1002,MATCH(C$3,Spells!$A$1:$I$1,0),FALSE))</f>
        <v/>
      </c>
      <c r="D46" s="49" t="str">
        <f>IFNA(VLOOKUP($A46,Spells!$A$2:$I1002,MATCH(D$3,Spells!$A$1:$I$1,0),FALSE))</f>
        <v/>
      </c>
      <c r="E46" s="49" t="str">
        <f>IFNA(VLOOKUP($A46,Spells!$A$2:$I1002,MATCH(E$3,Spells!$A$1:$I$1,0),FALSE))</f>
        <v/>
      </c>
      <c r="F46" s="49" t="str">
        <f>IFNA(VLOOKUP($A46,Spells!$A$2:$I1002,MATCH(F$3,Spells!$A$1:$I$1,0),FALSE))</f>
        <v/>
      </c>
      <c r="G46" s="49" t="str">
        <f>IFNA(VLOOKUP($A46,Spells!$A$2:$I1002,MATCH(G$3,Spells!$A$1:$I$1,0),FALSE))</f>
        <v/>
      </c>
      <c r="H46" s="49" t="str">
        <f>IFNA(VLOOKUP($A46,Spells!$A$2:$I1002,MATCH(H$3,Spells!$A$1:$I$1,0),FALSE))</f>
        <v/>
      </c>
    </row>
    <row r="47">
      <c r="A47" s="49"/>
      <c r="B47" s="49" t="str">
        <f>IFNA(VLOOKUP($A47,Spells!$A$2:$I1002,MATCH(B$3,Spells!$A$1:$I$1,0),FALSE))</f>
        <v/>
      </c>
      <c r="C47" s="49" t="str">
        <f>IFNA(VLOOKUP($A47,Spells!$A$2:$I1002,MATCH(C$3,Spells!$A$1:$I$1,0),FALSE))</f>
        <v/>
      </c>
      <c r="D47" s="49" t="str">
        <f>IFNA(VLOOKUP($A47,Spells!$A$2:$I1002,MATCH(D$3,Spells!$A$1:$I$1,0),FALSE))</f>
        <v/>
      </c>
      <c r="E47" s="49" t="str">
        <f>IFNA(VLOOKUP($A47,Spells!$A$2:$I1002,MATCH(E$3,Spells!$A$1:$I$1,0),FALSE))</f>
        <v/>
      </c>
      <c r="F47" s="49" t="str">
        <f>IFNA(VLOOKUP($A47,Spells!$A$2:$I1002,MATCH(F$3,Spells!$A$1:$I$1,0),FALSE))</f>
        <v/>
      </c>
      <c r="G47" s="49" t="str">
        <f>IFNA(VLOOKUP($A47,Spells!$A$2:$I1002,MATCH(G$3,Spells!$A$1:$I$1,0),FALSE))</f>
        <v/>
      </c>
      <c r="H47" s="49" t="str">
        <f>IFNA(VLOOKUP($A47,Spells!$A$2:$I1002,MATCH(H$3,Spells!$A$1:$I$1,0),FALSE))</f>
        <v/>
      </c>
    </row>
    <row r="48">
      <c r="A48" s="49"/>
      <c r="B48" s="49" t="str">
        <f>IFNA(VLOOKUP($A48,Spells!$A$2:$I1002,MATCH(B$3,Spells!$A$1:$I$1,0),FALSE))</f>
        <v/>
      </c>
      <c r="C48" s="49" t="str">
        <f>IFNA(VLOOKUP($A48,Spells!$A$2:$I1002,MATCH(C$3,Spells!$A$1:$I$1,0),FALSE))</f>
        <v/>
      </c>
      <c r="D48" s="49" t="str">
        <f>IFNA(VLOOKUP($A48,Spells!$A$2:$I1002,MATCH(D$3,Spells!$A$1:$I$1,0),FALSE))</f>
        <v/>
      </c>
      <c r="E48" s="49" t="str">
        <f>IFNA(VLOOKUP($A48,Spells!$A$2:$I1002,MATCH(E$3,Spells!$A$1:$I$1,0),FALSE))</f>
        <v/>
      </c>
      <c r="F48" s="49" t="str">
        <f>IFNA(VLOOKUP($A48,Spells!$A$2:$I1002,MATCH(F$3,Spells!$A$1:$I$1,0),FALSE))</f>
        <v/>
      </c>
      <c r="G48" s="49" t="str">
        <f>IFNA(VLOOKUP($A48,Spells!$A$2:$I1002,MATCH(G$3,Spells!$A$1:$I$1,0),FALSE))</f>
        <v/>
      </c>
      <c r="H48" s="49" t="str">
        <f>IFNA(VLOOKUP($A48,Spells!$A$2:$I1002,MATCH(H$3,Spells!$A$1:$I$1,0),FALSE))</f>
        <v/>
      </c>
    </row>
    <row r="49">
      <c r="A49" s="49"/>
      <c r="B49" s="49" t="str">
        <f>IFNA(VLOOKUP($A49,Spells!$A$2:$I1002,MATCH(B$3,Spells!$A$1:$I$1,0),FALSE))</f>
        <v/>
      </c>
      <c r="C49" s="49" t="str">
        <f>IFNA(VLOOKUP($A49,Spells!$A$2:$I1002,MATCH(C$3,Spells!$A$1:$I$1,0),FALSE))</f>
        <v/>
      </c>
      <c r="D49" s="49" t="str">
        <f>IFNA(VLOOKUP($A49,Spells!$A$2:$I1002,MATCH(D$3,Spells!$A$1:$I$1,0),FALSE))</f>
        <v/>
      </c>
      <c r="E49" s="49" t="str">
        <f>IFNA(VLOOKUP($A49,Spells!$A$2:$I1002,MATCH(E$3,Spells!$A$1:$I$1,0),FALSE))</f>
        <v/>
      </c>
      <c r="F49" s="49" t="str">
        <f>IFNA(VLOOKUP($A49,Spells!$A$2:$I1002,MATCH(F$3,Spells!$A$1:$I$1,0),FALSE))</f>
        <v/>
      </c>
      <c r="G49" s="49" t="str">
        <f>IFNA(VLOOKUP($A49,Spells!$A$2:$I1002,MATCH(G$3,Spells!$A$1:$I$1,0),FALSE))</f>
        <v/>
      </c>
      <c r="H49" s="49" t="str">
        <f>IFNA(VLOOKUP($A49,Spells!$A$2:$I1002,MATCH(H$3,Spells!$A$1:$I$1,0),FALSE))</f>
        <v/>
      </c>
    </row>
    <row r="50">
      <c r="A50" s="49"/>
      <c r="B50" s="49" t="str">
        <f>IFNA(VLOOKUP($A50,Spells!$A$2:$I1002,MATCH(B$3,Spells!$A$1:$I$1,0),FALSE))</f>
        <v/>
      </c>
      <c r="C50" s="49" t="str">
        <f>IFNA(VLOOKUP($A50,Spells!$A$2:$I1002,MATCH(C$3,Spells!$A$1:$I$1,0),FALSE))</f>
        <v/>
      </c>
      <c r="D50" s="49" t="str">
        <f>IFNA(VLOOKUP($A50,Spells!$A$2:$I1002,MATCH(D$3,Spells!$A$1:$I$1,0),FALSE))</f>
        <v/>
      </c>
      <c r="E50" s="49" t="str">
        <f>IFNA(VLOOKUP($A50,Spells!$A$2:$I1002,MATCH(E$3,Spells!$A$1:$I$1,0),FALSE))</f>
        <v/>
      </c>
      <c r="F50" s="49" t="str">
        <f>IFNA(VLOOKUP($A50,Spells!$A$2:$I1002,MATCH(F$3,Spells!$A$1:$I$1,0),FALSE))</f>
        <v/>
      </c>
      <c r="G50" s="49" t="str">
        <f>IFNA(VLOOKUP($A50,Spells!$A$2:$I1002,MATCH(G$3,Spells!$A$1:$I$1,0),FALSE))</f>
        <v/>
      </c>
      <c r="H50" s="49" t="str">
        <f>IFNA(VLOOKUP($A50,Spells!$A$2:$I1002,MATCH(H$3,Spells!$A$1:$I$1,0),FALSE))</f>
        <v/>
      </c>
    </row>
    <row r="51">
      <c r="A51" s="49"/>
      <c r="B51" s="49" t="str">
        <f>IFNA(VLOOKUP($A51,Spells!$A$2:$I1002,MATCH(B$3,Spells!$A$1:$I$1,0),FALSE))</f>
        <v/>
      </c>
      <c r="C51" s="49" t="str">
        <f>IFNA(VLOOKUP($A51,Spells!$A$2:$I1002,MATCH(C$3,Spells!$A$1:$I$1,0),FALSE))</f>
        <v/>
      </c>
      <c r="D51" s="49" t="str">
        <f>IFNA(VLOOKUP($A51,Spells!$A$2:$I1002,MATCH(D$3,Spells!$A$1:$I$1,0),FALSE))</f>
        <v/>
      </c>
      <c r="E51" s="49" t="str">
        <f>IFNA(VLOOKUP($A51,Spells!$A$2:$I1002,MATCH(E$3,Spells!$A$1:$I$1,0),FALSE))</f>
        <v/>
      </c>
      <c r="F51" s="49" t="str">
        <f>IFNA(VLOOKUP($A51,Spells!$A$2:$I1002,MATCH(F$3,Spells!$A$1:$I$1,0),FALSE))</f>
        <v/>
      </c>
      <c r="G51" s="49" t="str">
        <f>IFNA(VLOOKUP($A51,Spells!$A$2:$I1002,MATCH(G$3,Spells!$A$1:$I$1,0),FALSE))</f>
        <v/>
      </c>
      <c r="H51" s="49" t="str">
        <f>IFNA(VLOOKUP($A51,Spells!$A$2:$I1002,MATCH(H$3,Spells!$A$1:$I$1,0),FALSE))</f>
        <v/>
      </c>
    </row>
    <row r="52">
      <c r="A52" s="49"/>
      <c r="B52" s="49" t="str">
        <f>IFNA(VLOOKUP($A52,Spells!$A$2:$I1002,MATCH(B$3,Spells!$A$1:$I$1,0),FALSE))</f>
        <v/>
      </c>
      <c r="C52" s="49" t="str">
        <f>IFNA(VLOOKUP($A52,Spells!$A$2:$I1002,MATCH(C$3,Spells!$A$1:$I$1,0),FALSE))</f>
        <v/>
      </c>
      <c r="D52" s="49" t="str">
        <f>IFNA(VLOOKUP($A52,Spells!$A$2:$I1002,MATCH(D$3,Spells!$A$1:$I$1,0),FALSE))</f>
        <v/>
      </c>
      <c r="E52" s="49" t="str">
        <f>IFNA(VLOOKUP($A52,Spells!$A$2:$I1002,MATCH(E$3,Spells!$A$1:$I$1,0),FALSE))</f>
        <v/>
      </c>
      <c r="F52" s="49" t="str">
        <f>IFNA(VLOOKUP($A52,Spells!$A$2:$I1002,MATCH(F$3,Spells!$A$1:$I$1,0),FALSE))</f>
        <v/>
      </c>
      <c r="G52" s="49" t="str">
        <f>IFNA(VLOOKUP($A52,Spells!$A$2:$I1002,MATCH(G$3,Spells!$A$1:$I$1,0),FALSE))</f>
        <v/>
      </c>
      <c r="H52" s="49" t="str">
        <f>IFNA(VLOOKUP($A52,Spells!$A$2:$I1002,MATCH(H$3,Spells!$A$1:$I$1,0),FALSE))</f>
        <v/>
      </c>
    </row>
    <row r="53">
      <c r="A53" s="49"/>
      <c r="B53" s="49" t="str">
        <f>IFNA(VLOOKUP($A53,Spells!$A$2:$I1002,MATCH(B$3,Spells!$A$1:$I$1,0),FALSE))</f>
        <v/>
      </c>
      <c r="C53" s="49" t="str">
        <f>IFNA(VLOOKUP($A53,Spells!$A$2:$I1002,MATCH(C$3,Spells!$A$1:$I$1,0),FALSE))</f>
        <v/>
      </c>
      <c r="D53" s="49" t="str">
        <f>IFNA(VLOOKUP($A53,Spells!$A$2:$I1002,MATCH(D$3,Spells!$A$1:$I$1,0),FALSE))</f>
        <v/>
      </c>
      <c r="E53" s="49" t="str">
        <f>IFNA(VLOOKUP($A53,Spells!$A$2:$I1002,MATCH(E$3,Spells!$A$1:$I$1,0),FALSE))</f>
        <v/>
      </c>
      <c r="F53" s="49" t="str">
        <f>IFNA(VLOOKUP($A53,Spells!$A$2:$I1002,MATCH(F$3,Spells!$A$1:$I$1,0),FALSE))</f>
        <v/>
      </c>
      <c r="G53" s="49" t="str">
        <f>IFNA(VLOOKUP($A53,Spells!$A$2:$I1002,MATCH(G$3,Spells!$A$1:$I$1,0),FALSE))</f>
        <v/>
      </c>
      <c r="H53" s="49" t="str">
        <f>IFNA(VLOOKUP($A53,Spells!$A$2:$I1002,MATCH(H$3,Spells!$A$1:$I$1,0),FALSE))</f>
        <v/>
      </c>
    </row>
    <row r="54">
      <c r="A54" s="49"/>
      <c r="B54" s="49" t="str">
        <f>IFNA(VLOOKUP($A54,Spells!$A$2:$I1002,MATCH(B$3,Spells!$A$1:$I$1,0),FALSE))</f>
        <v/>
      </c>
      <c r="C54" s="49" t="str">
        <f>IFNA(VLOOKUP($A54,Spells!$A$2:$I1002,MATCH(C$3,Spells!$A$1:$I$1,0),FALSE))</f>
        <v/>
      </c>
      <c r="D54" s="49" t="str">
        <f>IFNA(VLOOKUP($A54,Spells!$A$2:$I1002,MATCH(D$3,Spells!$A$1:$I$1,0),FALSE))</f>
        <v/>
      </c>
      <c r="E54" s="49" t="str">
        <f>IFNA(VLOOKUP($A54,Spells!$A$2:$I1002,MATCH(E$3,Spells!$A$1:$I$1,0),FALSE))</f>
        <v/>
      </c>
      <c r="F54" s="49" t="str">
        <f>IFNA(VLOOKUP($A54,Spells!$A$2:$I1002,MATCH(F$3,Spells!$A$1:$I$1,0),FALSE))</f>
        <v/>
      </c>
      <c r="G54" s="49" t="str">
        <f>IFNA(VLOOKUP($A54,Spells!$A$2:$I1002,MATCH(G$3,Spells!$A$1:$I$1,0),FALSE))</f>
        <v/>
      </c>
      <c r="H54" s="49" t="str">
        <f>IFNA(VLOOKUP($A54,Spells!$A$2:$I1002,MATCH(H$3,Spells!$A$1:$I$1,0),FALSE))</f>
        <v/>
      </c>
    </row>
    <row r="55">
      <c r="A55" s="49"/>
      <c r="B55" s="49" t="str">
        <f>IFNA(VLOOKUP($A55,Spells!$A$2:$I1002,MATCH(B$3,Spells!$A$1:$I$1,0),FALSE))</f>
        <v/>
      </c>
      <c r="C55" s="49" t="str">
        <f>IFNA(VLOOKUP($A55,Spells!$A$2:$I1002,MATCH(C$3,Spells!$A$1:$I$1,0),FALSE))</f>
        <v/>
      </c>
      <c r="D55" s="49" t="str">
        <f>IFNA(VLOOKUP($A55,Spells!$A$2:$I1002,MATCH(D$3,Spells!$A$1:$I$1,0),FALSE))</f>
        <v/>
      </c>
      <c r="E55" s="49" t="str">
        <f>IFNA(VLOOKUP($A55,Spells!$A$2:$I1002,MATCH(E$3,Spells!$A$1:$I$1,0),FALSE))</f>
        <v/>
      </c>
      <c r="F55" s="49" t="str">
        <f>IFNA(VLOOKUP($A55,Spells!$A$2:$I1002,MATCH(F$3,Spells!$A$1:$I$1,0),FALSE))</f>
        <v/>
      </c>
      <c r="G55" s="49" t="str">
        <f>IFNA(VLOOKUP($A55,Spells!$A$2:$I1002,MATCH(G$3,Spells!$A$1:$I$1,0),FALSE))</f>
        <v/>
      </c>
      <c r="H55" s="49" t="str">
        <f>IFNA(VLOOKUP($A55,Spells!$A$2:$I1002,MATCH(H$3,Spells!$A$1:$I$1,0),FALSE))</f>
        <v/>
      </c>
    </row>
    <row r="56">
      <c r="A56" s="49"/>
      <c r="B56" s="49" t="str">
        <f>IFNA(VLOOKUP($A56,Spells!$A$2:$I1002,MATCH(B$3,Spells!$A$1:$I$1,0),FALSE))</f>
        <v/>
      </c>
      <c r="C56" s="49" t="str">
        <f>IFNA(VLOOKUP($A56,Spells!$A$2:$I1002,MATCH(C$3,Spells!$A$1:$I$1,0),FALSE))</f>
        <v/>
      </c>
      <c r="D56" s="49" t="str">
        <f>IFNA(VLOOKUP($A56,Spells!$A$2:$I1002,MATCH(D$3,Spells!$A$1:$I$1,0),FALSE))</f>
        <v/>
      </c>
      <c r="E56" s="49" t="str">
        <f>IFNA(VLOOKUP($A56,Spells!$A$2:$I1002,MATCH(E$3,Spells!$A$1:$I$1,0),FALSE))</f>
        <v/>
      </c>
      <c r="F56" s="49" t="str">
        <f>IFNA(VLOOKUP($A56,Spells!$A$2:$I1002,MATCH(F$3,Spells!$A$1:$I$1,0),FALSE))</f>
        <v/>
      </c>
      <c r="G56" s="49" t="str">
        <f>IFNA(VLOOKUP($A56,Spells!$A$2:$I1002,MATCH(G$3,Spells!$A$1:$I$1,0),FALSE))</f>
        <v/>
      </c>
      <c r="H56" s="49" t="str">
        <f>IFNA(VLOOKUP($A56,Spells!$A$2:$I1002,MATCH(H$3,Spells!$A$1:$I$1,0),FALSE))</f>
        <v/>
      </c>
    </row>
    <row r="57">
      <c r="A57" s="49"/>
      <c r="B57" s="49" t="str">
        <f>IFNA(VLOOKUP($A57,Spells!$A$2:$I1002,MATCH(B$3,Spells!$A$1:$I$1,0),FALSE))</f>
        <v/>
      </c>
      <c r="C57" s="49" t="str">
        <f>IFNA(VLOOKUP($A57,Spells!$A$2:$I1002,MATCH(C$3,Spells!$A$1:$I$1,0),FALSE))</f>
        <v/>
      </c>
      <c r="D57" s="49" t="str">
        <f>IFNA(VLOOKUP($A57,Spells!$A$2:$I1002,MATCH(D$3,Spells!$A$1:$I$1,0),FALSE))</f>
        <v/>
      </c>
      <c r="E57" s="49" t="str">
        <f>IFNA(VLOOKUP($A57,Spells!$A$2:$I1002,MATCH(E$3,Spells!$A$1:$I$1,0),FALSE))</f>
        <v/>
      </c>
      <c r="F57" s="49" t="str">
        <f>IFNA(VLOOKUP($A57,Spells!$A$2:$I1002,MATCH(F$3,Spells!$A$1:$I$1,0),FALSE))</f>
        <v/>
      </c>
      <c r="G57" s="49" t="str">
        <f>IFNA(VLOOKUP($A57,Spells!$A$2:$I1002,MATCH(G$3,Spells!$A$1:$I$1,0),FALSE))</f>
        <v/>
      </c>
      <c r="H57" s="49" t="str">
        <f>IFNA(VLOOKUP($A57,Spells!$A$2:$I1002,MATCH(H$3,Spells!$A$1:$I$1,0),FALSE))</f>
        <v/>
      </c>
    </row>
    <row r="58">
      <c r="A58" s="49"/>
      <c r="B58" s="49" t="str">
        <f>IFNA(VLOOKUP($A58,Spells!$A$2:$I1002,MATCH(B$3,Spells!$A$1:$I$1,0),FALSE))</f>
        <v/>
      </c>
      <c r="C58" s="49" t="str">
        <f>IFNA(VLOOKUP($A58,Spells!$A$2:$I1002,MATCH(C$3,Spells!$A$1:$I$1,0),FALSE))</f>
        <v/>
      </c>
      <c r="D58" s="49" t="str">
        <f>IFNA(VLOOKUP($A58,Spells!$A$2:$I1002,MATCH(D$3,Spells!$A$1:$I$1,0),FALSE))</f>
        <v/>
      </c>
      <c r="E58" s="49" t="str">
        <f>IFNA(VLOOKUP($A58,Spells!$A$2:$I1002,MATCH(E$3,Spells!$A$1:$I$1,0),FALSE))</f>
        <v/>
      </c>
      <c r="F58" s="49" t="str">
        <f>IFNA(VLOOKUP($A58,Spells!$A$2:$I1002,MATCH(F$3,Spells!$A$1:$I$1,0),FALSE))</f>
        <v/>
      </c>
      <c r="G58" s="49" t="str">
        <f>IFNA(VLOOKUP($A58,Spells!$A$2:$I1002,MATCH(G$3,Spells!$A$1:$I$1,0),FALSE))</f>
        <v/>
      </c>
      <c r="H58" s="49" t="str">
        <f>IFNA(VLOOKUP($A58,Spells!$A$2:$I1002,MATCH(H$3,Spells!$A$1:$I$1,0),FALSE))</f>
        <v/>
      </c>
    </row>
    <row r="59">
      <c r="A59" s="49"/>
      <c r="B59" s="49" t="str">
        <f>IFNA(VLOOKUP($A59,Spells!$A$2:$I1002,MATCH(B$3,Spells!$A$1:$I$1,0),FALSE))</f>
        <v/>
      </c>
      <c r="C59" s="49" t="str">
        <f>IFNA(VLOOKUP($A59,Spells!$A$2:$I1002,MATCH(C$3,Spells!$A$1:$I$1,0),FALSE))</f>
        <v/>
      </c>
      <c r="D59" s="49" t="str">
        <f>IFNA(VLOOKUP($A59,Spells!$A$2:$I1002,MATCH(D$3,Spells!$A$1:$I$1,0),FALSE))</f>
        <v/>
      </c>
      <c r="E59" s="49" t="str">
        <f>IFNA(VLOOKUP($A59,Spells!$A$2:$I1002,MATCH(E$3,Spells!$A$1:$I$1,0),FALSE))</f>
        <v/>
      </c>
      <c r="F59" s="49" t="str">
        <f>IFNA(VLOOKUP($A59,Spells!$A$2:$I1002,MATCH(F$3,Spells!$A$1:$I$1,0),FALSE))</f>
        <v/>
      </c>
      <c r="G59" s="49" t="str">
        <f>IFNA(VLOOKUP($A59,Spells!$A$2:$I1002,MATCH(G$3,Spells!$A$1:$I$1,0),FALSE))</f>
        <v/>
      </c>
      <c r="H59" s="49" t="str">
        <f>IFNA(VLOOKUP($A59,Spells!$A$2:$I1002,MATCH(H$3,Spells!$A$1:$I$1,0),FALSE))</f>
        <v/>
      </c>
    </row>
    <row r="60">
      <c r="A60" s="49"/>
      <c r="B60" s="49" t="str">
        <f>IFNA(VLOOKUP($A60,Spells!$A$2:$I1002,MATCH(B$3,Spells!$A$1:$I$1,0),FALSE))</f>
        <v/>
      </c>
      <c r="C60" s="49" t="str">
        <f>IFNA(VLOOKUP($A60,Spells!$A$2:$I1002,MATCH(C$3,Spells!$A$1:$I$1,0),FALSE))</f>
        <v/>
      </c>
      <c r="D60" s="49" t="str">
        <f>IFNA(VLOOKUP($A60,Spells!$A$2:$I1002,MATCH(D$3,Spells!$A$1:$I$1,0),FALSE))</f>
        <v/>
      </c>
      <c r="E60" s="49" t="str">
        <f>IFNA(VLOOKUP($A60,Spells!$A$2:$I1002,MATCH(E$3,Spells!$A$1:$I$1,0),FALSE))</f>
        <v/>
      </c>
      <c r="F60" s="49" t="str">
        <f>IFNA(VLOOKUP($A60,Spells!$A$2:$I1002,MATCH(F$3,Spells!$A$1:$I$1,0),FALSE))</f>
        <v/>
      </c>
      <c r="G60" s="49" t="str">
        <f>IFNA(VLOOKUP($A60,Spells!$A$2:$I1002,MATCH(G$3,Spells!$A$1:$I$1,0),FALSE))</f>
        <v/>
      </c>
      <c r="H60" s="49" t="str">
        <f>IFNA(VLOOKUP($A60,Spells!$A$2:$I1002,MATCH(H$3,Spells!$A$1:$I$1,0),FALSE))</f>
        <v/>
      </c>
    </row>
    <row r="61">
      <c r="A61" s="49"/>
      <c r="B61" s="49" t="str">
        <f>IFNA(VLOOKUP($A61,Spells!$A$2:$I1002,MATCH(B$3,Spells!$A$1:$I$1,0),FALSE))</f>
        <v/>
      </c>
      <c r="C61" s="49" t="str">
        <f>IFNA(VLOOKUP($A61,Spells!$A$2:$I1002,MATCH(C$3,Spells!$A$1:$I$1,0),FALSE))</f>
        <v/>
      </c>
      <c r="D61" s="49" t="str">
        <f>IFNA(VLOOKUP($A61,Spells!$A$2:$I1002,MATCH(D$3,Spells!$A$1:$I$1,0),FALSE))</f>
        <v/>
      </c>
      <c r="E61" s="49" t="str">
        <f>IFNA(VLOOKUP($A61,Spells!$A$2:$I1002,MATCH(E$3,Spells!$A$1:$I$1,0),FALSE))</f>
        <v/>
      </c>
      <c r="F61" s="49" t="str">
        <f>IFNA(VLOOKUP($A61,Spells!$A$2:$I1002,MATCH(F$3,Spells!$A$1:$I$1,0),FALSE))</f>
        <v/>
      </c>
      <c r="G61" s="49" t="str">
        <f>IFNA(VLOOKUP($A61,Spells!$A$2:$I1002,MATCH(G$3,Spells!$A$1:$I$1,0),FALSE))</f>
        <v/>
      </c>
      <c r="H61" s="49" t="str">
        <f>IFNA(VLOOKUP($A61,Spells!$A$2:$I1002,MATCH(H$3,Spells!$A$1:$I$1,0),FALSE))</f>
        <v/>
      </c>
    </row>
    <row r="62">
      <c r="A62" s="49"/>
      <c r="B62" s="49" t="str">
        <f>IFNA(VLOOKUP($A62,Spells!$A$2:$I1002,MATCH(B$3,Spells!$A$1:$I$1,0),FALSE))</f>
        <v/>
      </c>
      <c r="C62" s="49" t="str">
        <f>IFNA(VLOOKUP($A62,Spells!$A$2:$I1002,MATCH(C$3,Spells!$A$1:$I$1,0),FALSE))</f>
        <v/>
      </c>
      <c r="D62" s="49" t="str">
        <f>IFNA(VLOOKUP($A62,Spells!$A$2:$I1002,MATCH(D$3,Spells!$A$1:$I$1,0),FALSE))</f>
        <v/>
      </c>
      <c r="E62" s="49" t="str">
        <f>IFNA(VLOOKUP($A62,Spells!$A$2:$I1002,MATCH(E$3,Spells!$A$1:$I$1,0),FALSE))</f>
        <v/>
      </c>
      <c r="F62" s="49" t="str">
        <f>IFNA(VLOOKUP($A62,Spells!$A$2:$I1002,MATCH(F$3,Spells!$A$1:$I$1,0),FALSE))</f>
        <v/>
      </c>
      <c r="G62" s="49" t="str">
        <f>IFNA(VLOOKUP($A62,Spells!$A$2:$I1002,MATCH(G$3,Spells!$A$1:$I$1,0),FALSE))</f>
        <v/>
      </c>
      <c r="H62" s="49" t="str">
        <f>IFNA(VLOOKUP($A62,Spells!$A$2:$I1002,MATCH(H$3,Spells!$A$1:$I$1,0),FALSE))</f>
        <v/>
      </c>
    </row>
    <row r="63">
      <c r="A63" s="49"/>
      <c r="B63" s="49" t="str">
        <f>IFNA(VLOOKUP($A63,Spells!$A$2:$I1002,MATCH(B$3,Spells!$A$1:$I$1,0),FALSE))</f>
        <v/>
      </c>
      <c r="C63" s="49" t="str">
        <f>IFNA(VLOOKUP($A63,Spells!$A$2:$I1002,MATCH(C$3,Spells!$A$1:$I$1,0),FALSE))</f>
        <v/>
      </c>
      <c r="D63" s="49" t="str">
        <f>IFNA(VLOOKUP($A63,Spells!$A$2:$I1002,MATCH(D$3,Spells!$A$1:$I$1,0),FALSE))</f>
        <v/>
      </c>
      <c r="E63" s="49" t="str">
        <f>IFNA(VLOOKUP($A63,Spells!$A$2:$I1002,MATCH(E$3,Spells!$A$1:$I$1,0),FALSE))</f>
        <v/>
      </c>
      <c r="F63" s="49" t="str">
        <f>IFNA(VLOOKUP($A63,Spells!$A$2:$I1002,MATCH(F$3,Spells!$A$1:$I$1,0),FALSE))</f>
        <v/>
      </c>
      <c r="G63" s="49" t="str">
        <f>IFNA(VLOOKUP($A63,Spells!$A$2:$I1002,MATCH(G$3,Spells!$A$1:$I$1,0),FALSE))</f>
        <v/>
      </c>
      <c r="H63" s="49" t="str">
        <f>IFNA(VLOOKUP($A63,Spells!$A$2:$I1002,MATCH(H$3,Spells!$A$1:$I$1,0),FALSE))</f>
        <v/>
      </c>
    </row>
    <row r="64">
      <c r="A64" s="49"/>
      <c r="B64" s="49" t="str">
        <f>IFNA(VLOOKUP($A64,Spells!$A$2:$I1002,MATCH(B$3,Spells!$A$1:$I$1,0),FALSE))</f>
        <v/>
      </c>
      <c r="C64" s="49" t="str">
        <f>IFNA(VLOOKUP($A64,Spells!$A$2:$I1002,MATCH(C$3,Spells!$A$1:$I$1,0),FALSE))</f>
        <v/>
      </c>
      <c r="D64" s="49" t="str">
        <f>IFNA(VLOOKUP($A64,Spells!$A$2:$I1002,MATCH(D$3,Spells!$A$1:$I$1,0),FALSE))</f>
        <v/>
      </c>
      <c r="E64" s="49" t="str">
        <f>IFNA(VLOOKUP($A64,Spells!$A$2:$I1002,MATCH(E$3,Spells!$A$1:$I$1,0),FALSE))</f>
        <v/>
      </c>
      <c r="F64" s="49" t="str">
        <f>IFNA(VLOOKUP($A64,Spells!$A$2:$I1002,MATCH(F$3,Spells!$A$1:$I$1,0),FALSE))</f>
        <v/>
      </c>
      <c r="G64" s="49" t="str">
        <f>IFNA(VLOOKUP($A64,Spells!$A$2:$I1002,MATCH(G$3,Spells!$A$1:$I$1,0),FALSE))</f>
        <v/>
      </c>
      <c r="H64" s="49" t="str">
        <f>IFNA(VLOOKUP($A64,Spells!$A$2:$I1002,MATCH(H$3,Spells!$A$1:$I$1,0),FALSE))</f>
        <v/>
      </c>
    </row>
    <row r="65">
      <c r="A65" s="49"/>
      <c r="B65" s="49" t="str">
        <f>IFNA(VLOOKUP($A65,Spells!$A$2:$I1002,MATCH(B$3,Spells!$A$1:$I$1,0),FALSE))</f>
        <v/>
      </c>
      <c r="C65" s="49" t="str">
        <f>IFNA(VLOOKUP($A65,Spells!$A$2:$I1002,MATCH(C$3,Spells!$A$1:$I$1,0),FALSE))</f>
        <v/>
      </c>
      <c r="D65" s="49" t="str">
        <f>IFNA(VLOOKUP($A65,Spells!$A$2:$I1002,MATCH(D$3,Spells!$A$1:$I$1,0),FALSE))</f>
        <v/>
      </c>
      <c r="E65" s="49" t="str">
        <f>IFNA(VLOOKUP($A65,Spells!$A$2:$I1002,MATCH(E$3,Spells!$A$1:$I$1,0),FALSE))</f>
        <v/>
      </c>
      <c r="F65" s="49" t="str">
        <f>IFNA(VLOOKUP($A65,Spells!$A$2:$I1002,MATCH(F$3,Spells!$A$1:$I$1,0),FALSE))</f>
        <v/>
      </c>
      <c r="G65" s="49" t="str">
        <f>IFNA(VLOOKUP($A65,Spells!$A$2:$I1002,MATCH(G$3,Spells!$A$1:$I$1,0),FALSE))</f>
        <v/>
      </c>
      <c r="H65" s="49" t="str">
        <f>IFNA(VLOOKUP($A65,Spells!$A$2:$I1002,MATCH(H$3,Spells!$A$1:$I$1,0),FALSE))</f>
        <v/>
      </c>
    </row>
    <row r="66">
      <c r="A66" s="49"/>
      <c r="B66" s="49" t="str">
        <f>IFNA(VLOOKUP($A66,Spells!$A$2:$I1002,MATCH(B$3,Spells!$A$1:$I$1,0),FALSE))</f>
        <v/>
      </c>
      <c r="C66" s="49" t="str">
        <f>IFNA(VLOOKUP($A66,Spells!$A$2:$I1002,MATCH(C$3,Spells!$A$1:$I$1,0),FALSE))</f>
        <v/>
      </c>
      <c r="D66" s="49" t="str">
        <f>IFNA(VLOOKUP($A66,Spells!$A$2:$I1002,MATCH(D$3,Spells!$A$1:$I$1,0),FALSE))</f>
        <v/>
      </c>
      <c r="E66" s="49" t="str">
        <f>IFNA(VLOOKUP($A66,Spells!$A$2:$I1002,MATCH(E$3,Spells!$A$1:$I$1,0),FALSE))</f>
        <v/>
      </c>
      <c r="F66" s="49" t="str">
        <f>IFNA(VLOOKUP($A66,Spells!$A$2:$I1002,MATCH(F$3,Spells!$A$1:$I$1,0),FALSE))</f>
        <v/>
      </c>
      <c r="G66" s="49" t="str">
        <f>IFNA(VLOOKUP($A66,Spells!$A$2:$I1002,MATCH(G$3,Spells!$A$1:$I$1,0),FALSE))</f>
        <v/>
      </c>
      <c r="H66" s="49" t="str">
        <f>IFNA(VLOOKUP($A66,Spells!$A$2:$I1002,MATCH(H$3,Spells!$A$1:$I$1,0),FALSE))</f>
        <v/>
      </c>
    </row>
    <row r="67">
      <c r="A67" s="49"/>
      <c r="B67" s="49" t="str">
        <f>IFNA(VLOOKUP($A67,Spells!$A$2:$I1002,MATCH(B$3,Spells!$A$1:$I$1,0),FALSE))</f>
        <v/>
      </c>
      <c r="C67" s="49" t="str">
        <f>IFNA(VLOOKUP($A67,Spells!$A$2:$I1002,MATCH(C$3,Spells!$A$1:$I$1,0),FALSE))</f>
        <v/>
      </c>
      <c r="D67" s="49" t="str">
        <f>IFNA(VLOOKUP($A67,Spells!$A$2:$I1002,MATCH(D$3,Spells!$A$1:$I$1,0),FALSE))</f>
        <v/>
      </c>
      <c r="E67" s="49" t="str">
        <f>IFNA(VLOOKUP($A67,Spells!$A$2:$I1002,MATCH(E$3,Spells!$A$1:$I$1,0),FALSE))</f>
        <v/>
      </c>
      <c r="F67" s="49" t="str">
        <f>IFNA(VLOOKUP($A67,Spells!$A$2:$I1002,MATCH(F$3,Spells!$A$1:$I$1,0),FALSE))</f>
        <v/>
      </c>
      <c r="G67" s="49" t="str">
        <f>IFNA(VLOOKUP($A67,Spells!$A$2:$I1002,MATCH(G$3,Spells!$A$1:$I$1,0),FALSE))</f>
        <v/>
      </c>
      <c r="H67" s="49" t="str">
        <f>IFNA(VLOOKUP($A67,Spells!$A$2:$I1002,MATCH(H$3,Spells!$A$1:$I$1,0),FALSE))</f>
        <v/>
      </c>
    </row>
    <row r="68">
      <c r="A68" s="49"/>
      <c r="B68" s="49" t="str">
        <f>IFNA(VLOOKUP($A68,Spells!$A$2:$I1002,MATCH(B$3,Spells!$A$1:$I$1,0),FALSE))</f>
        <v/>
      </c>
      <c r="C68" s="49" t="str">
        <f>IFNA(VLOOKUP($A68,Spells!$A$2:$I1002,MATCH(C$3,Spells!$A$1:$I$1,0),FALSE))</f>
        <v/>
      </c>
      <c r="D68" s="49" t="str">
        <f>IFNA(VLOOKUP($A68,Spells!$A$2:$I1002,MATCH(D$3,Spells!$A$1:$I$1,0),FALSE))</f>
        <v/>
      </c>
      <c r="E68" s="49" t="str">
        <f>IFNA(VLOOKUP($A68,Spells!$A$2:$I1002,MATCH(E$3,Spells!$A$1:$I$1,0),FALSE))</f>
        <v/>
      </c>
      <c r="F68" s="49" t="str">
        <f>IFNA(VLOOKUP($A68,Spells!$A$2:$I1002,MATCH(F$3,Spells!$A$1:$I$1,0),FALSE))</f>
        <v/>
      </c>
      <c r="G68" s="49" t="str">
        <f>IFNA(VLOOKUP($A68,Spells!$A$2:$I1002,MATCH(G$3,Spells!$A$1:$I$1,0),FALSE))</f>
        <v/>
      </c>
      <c r="H68" s="49" t="str">
        <f>IFNA(VLOOKUP($A68,Spells!$A$2:$I1002,MATCH(H$3,Spells!$A$1:$I$1,0),FALSE))</f>
        <v/>
      </c>
    </row>
    <row r="69">
      <c r="A69" s="49"/>
      <c r="B69" s="49" t="str">
        <f>IFNA(VLOOKUP($A69,Spells!$A$2:$I1002,MATCH(B$3,Spells!$A$1:$I$1,0),FALSE))</f>
        <v/>
      </c>
      <c r="C69" s="49" t="str">
        <f>IFNA(VLOOKUP($A69,Spells!$A$2:$I1002,MATCH(C$3,Spells!$A$1:$I$1,0),FALSE))</f>
        <v/>
      </c>
      <c r="D69" s="49" t="str">
        <f>IFNA(VLOOKUP($A69,Spells!$A$2:$I1002,MATCH(D$3,Spells!$A$1:$I$1,0),FALSE))</f>
        <v/>
      </c>
      <c r="E69" s="49" t="str">
        <f>IFNA(VLOOKUP($A69,Spells!$A$2:$I1002,MATCH(E$3,Spells!$A$1:$I$1,0),FALSE))</f>
        <v/>
      </c>
      <c r="F69" s="49" t="str">
        <f>IFNA(VLOOKUP($A69,Spells!$A$2:$I1002,MATCH(F$3,Spells!$A$1:$I$1,0),FALSE))</f>
        <v/>
      </c>
      <c r="G69" s="49" t="str">
        <f>IFNA(VLOOKUP($A69,Spells!$A$2:$I1002,MATCH(G$3,Spells!$A$1:$I$1,0),FALSE))</f>
        <v/>
      </c>
      <c r="H69" s="49" t="str">
        <f>IFNA(VLOOKUP($A69,Spells!$A$2:$I1002,MATCH(H$3,Spells!$A$1:$I$1,0),FALSE))</f>
        <v/>
      </c>
    </row>
    <row r="70">
      <c r="A70" s="49"/>
      <c r="B70" s="49" t="str">
        <f>IFNA(VLOOKUP($A70,Spells!$A$2:$I1002,MATCH(B$3,Spells!$A$1:$I$1,0),FALSE))</f>
        <v/>
      </c>
      <c r="C70" s="49" t="str">
        <f>IFNA(VLOOKUP($A70,Spells!$A$2:$I1002,MATCH(C$3,Spells!$A$1:$I$1,0),FALSE))</f>
        <v/>
      </c>
      <c r="D70" s="49" t="str">
        <f>IFNA(VLOOKUP($A70,Spells!$A$2:$I1002,MATCH(D$3,Spells!$A$1:$I$1,0),FALSE))</f>
        <v/>
      </c>
      <c r="E70" s="49" t="str">
        <f>IFNA(VLOOKUP($A70,Spells!$A$2:$I1002,MATCH(E$3,Spells!$A$1:$I$1,0),FALSE))</f>
        <v/>
      </c>
      <c r="F70" s="49" t="str">
        <f>IFNA(VLOOKUP($A70,Spells!$A$2:$I1002,MATCH(F$3,Spells!$A$1:$I$1,0),FALSE))</f>
        <v/>
      </c>
      <c r="G70" s="49" t="str">
        <f>IFNA(VLOOKUP($A70,Spells!$A$2:$I1002,MATCH(G$3,Spells!$A$1:$I$1,0),FALSE))</f>
        <v/>
      </c>
      <c r="H70" s="49" t="str">
        <f>IFNA(VLOOKUP($A70,Spells!$A$2:$I1002,MATCH(H$3,Spells!$A$1:$I$1,0),FALSE))</f>
        <v/>
      </c>
    </row>
    <row r="71">
      <c r="A71" s="49"/>
      <c r="B71" s="49" t="str">
        <f>IFNA(VLOOKUP($A71,Spells!$A$2:$I1002,MATCH(B$3,Spells!$A$1:$I$1,0),FALSE))</f>
        <v/>
      </c>
      <c r="C71" s="49" t="str">
        <f>IFNA(VLOOKUP($A71,Spells!$A$2:$I1002,MATCH(C$3,Spells!$A$1:$I$1,0),FALSE))</f>
        <v/>
      </c>
      <c r="D71" s="49" t="str">
        <f>IFNA(VLOOKUP($A71,Spells!$A$2:$I1002,MATCH(D$3,Spells!$A$1:$I$1,0),FALSE))</f>
        <v/>
      </c>
      <c r="E71" s="49" t="str">
        <f>IFNA(VLOOKUP($A71,Spells!$A$2:$I1002,MATCH(E$3,Spells!$A$1:$I$1,0),FALSE))</f>
        <v/>
      </c>
      <c r="F71" s="49" t="str">
        <f>IFNA(VLOOKUP($A71,Spells!$A$2:$I1002,MATCH(F$3,Spells!$A$1:$I$1,0),FALSE))</f>
        <v/>
      </c>
      <c r="G71" s="49" t="str">
        <f>IFNA(VLOOKUP($A71,Spells!$A$2:$I1002,MATCH(G$3,Spells!$A$1:$I$1,0),FALSE))</f>
        <v/>
      </c>
      <c r="H71" s="49" t="str">
        <f>IFNA(VLOOKUP($A71,Spells!$A$2:$I1002,MATCH(H$3,Spells!$A$1:$I$1,0),FALSE))</f>
        <v/>
      </c>
    </row>
    <row r="72">
      <c r="A72" s="49"/>
      <c r="B72" s="49" t="str">
        <f>IFNA(VLOOKUP($A72,Spells!$A$2:$I1002,MATCH(B$3,Spells!$A$1:$I$1,0),FALSE))</f>
        <v/>
      </c>
      <c r="C72" s="49" t="str">
        <f>IFNA(VLOOKUP($A72,Spells!$A$2:$I1002,MATCH(C$3,Spells!$A$1:$I$1,0),FALSE))</f>
        <v/>
      </c>
      <c r="D72" s="49" t="str">
        <f>IFNA(VLOOKUP($A72,Spells!$A$2:$I1002,MATCH(D$3,Spells!$A$1:$I$1,0),FALSE))</f>
        <v/>
      </c>
      <c r="E72" s="49" t="str">
        <f>IFNA(VLOOKUP($A72,Spells!$A$2:$I1002,MATCH(E$3,Spells!$A$1:$I$1,0),FALSE))</f>
        <v/>
      </c>
      <c r="F72" s="49" t="str">
        <f>IFNA(VLOOKUP($A72,Spells!$A$2:$I1002,MATCH(F$3,Spells!$A$1:$I$1,0),FALSE))</f>
        <v/>
      </c>
      <c r="G72" s="49" t="str">
        <f>IFNA(VLOOKUP($A72,Spells!$A$2:$I1002,MATCH(G$3,Spells!$A$1:$I$1,0),FALSE))</f>
        <v/>
      </c>
      <c r="H72" s="49" t="str">
        <f>IFNA(VLOOKUP($A72,Spells!$A$2:$I1002,MATCH(H$3,Spells!$A$1:$I$1,0),FALSE))</f>
        <v/>
      </c>
    </row>
    <row r="73">
      <c r="A73" s="49"/>
      <c r="B73" s="49" t="str">
        <f>IFNA(VLOOKUP($A73,Spells!$A$2:$I1002,MATCH(B$3,Spells!$A$1:$I$1,0),FALSE))</f>
        <v/>
      </c>
      <c r="C73" s="49" t="str">
        <f>IFNA(VLOOKUP($A73,Spells!$A$2:$I1002,MATCH(C$3,Spells!$A$1:$I$1,0),FALSE))</f>
        <v/>
      </c>
      <c r="D73" s="49" t="str">
        <f>IFNA(VLOOKUP($A73,Spells!$A$2:$I1002,MATCH(D$3,Spells!$A$1:$I$1,0),FALSE))</f>
        <v/>
      </c>
      <c r="E73" s="49" t="str">
        <f>IFNA(VLOOKUP($A73,Spells!$A$2:$I1002,MATCH(E$3,Spells!$A$1:$I$1,0),FALSE))</f>
        <v/>
      </c>
      <c r="F73" s="49" t="str">
        <f>IFNA(VLOOKUP($A73,Spells!$A$2:$I1002,MATCH(F$3,Spells!$A$1:$I$1,0),FALSE))</f>
        <v/>
      </c>
      <c r="G73" s="49" t="str">
        <f>IFNA(VLOOKUP($A73,Spells!$A$2:$I1002,MATCH(G$3,Spells!$A$1:$I$1,0),FALSE))</f>
        <v/>
      </c>
      <c r="H73" s="49" t="str">
        <f>IFNA(VLOOKUP($A73,Spells!$A$2:$I1002,MATCH(H$3,Spells!$A$1:$I$1,0),FALSE))</f>
        <v/>
      </c>
    </row>
    <row r="74">
      <c r="A74" s="49"/>
      <c r="B74" s="49" t="str">
        <f>IFNA(VLOOKUP($A74,Spells!$A$2:$I1002,MATCH(B$3,Spells!$A$1:$I$1,0),FALSE))</f>
        <v/>
      </c>
      <c r="C74" s="49" t="str">
        <f>IFNA(VLOOKUP($A74,Spells!$A$2:$I1002,MATCH(C$3,Spells!$A$1:$I$1,0),FALSE))</f>
        <v/>
      </c>
      <c r="D74" s="49" t="str">
        <f>IFNA(VLOOKUP($A74,Spells!$A$2:$I1002,MATCH(D$3,Spells!$A$1:$I$1,0),FALSE))</f>
        <v/>
      </c>
      <c r="E74" s="49" t="str">
        <f>IFNA(VLOOKUP($A74,Spells!$A$2:$I1002,MATCH(E$3,Spells!$A$1:$I$1,0),FALSE))</f>
        <v/>
      </c>
      <c r="F74" s="49" t="str">
        <f>IFNA(VLOOKUP($A74,Spells!$A$2:$I1002,MATCH(F$3,Spells!$A$1:$I$1,0),FALSE))</f>
        <v/>
      </c>
      <c r="G74" s="49" t="str">
        <f>IFNA(VLOOKUP($A74,Spells!$A$2:$I1002,MATCH(G$3,Spells!$A$1:$I$1,0),FALSE))</f>
        <v/>
      </c>
      <c r="H74" s="49" t="str">
        <f>IFNA(VLOOKUP($A74,Spells!$A$2:$I1002,MATCH(H$3,Spells!$A$1:$I$1,0),FALSE))</f>
        <v/>
      </c>
    </row>
    <row r="75">
      <c r="A75" s="49"/>
      <c r="B75" s="49" t="str">
        <f>IFNA(VLOOKUP($A75,Spells!$A$2:$I1002,MATCH(B$3,Spells!$A$1:$I$1,0),FALSE))</f>
        <v/>
      </c>
      <c r="C75" s="49" t="str">
        <f>IFNA(VLOOKUP($A75,Spells!$A$2:$I1002,MATCH(C$3,Spells!$A$1:$I$1,0),FALSE))</f>
        <v/>
      </c>
      <c r="D75" s="49" t="str">
        <f>IFNA(VLOOKUP($A75,Spells!$A$2:$I1002,MATCH(D$3,Spells!$A$1:$I$1,0),FALSE))</f>
        <v/>
      </c>
      <c r="E75" s="49" t="str">
        <f>IFNA(VLOOKUP($A75,Spells!$A$2:$I1002,MATCH(E$3,Spells!$A$1:$I$1,0),FALSE))</f>
        <v/>
      </c>
      <c r="F75" s="49" t="str">
        <f>IFNA(VLOOKUP($A75,Spells!$A$2:$I1002,MATCH(F$3,Spells!$A$1:$I$1,0),FALSE))</f>
        <v/>
      </c>
      <c r="G75" s="49" t="str">
        <f>IFNA(VLOOKUP($A75,Spells!$A$2:$I1002,MATCH(G$3,Spells!$A$1:$I$1,0),FALSE))</f>
        <v/>
      </c>
      <c r="H75" s="49" t="str">
        <f>IFNA(VLOOKUP($A75,Spells!$A$2:$I1002,MATCH(H$3,Spells!$A$1:$I$1,0),FALSE))</f>
        <v/>
      </c>
    </row>
    <row r="76">
      <c r="A76" s="49"/>
      <c r="B76" s="49" t="str">
        <f>IFNA(VLOOKUP($A76,Spells!$A$2:$I1002,MATCH(B$3,Spells!$A$1:$I$1,0),FALSE))</f>
        <v/>
      </c>
      <c r="C76" s="49" t="str">
        <f>IFNA(VLOOKUP($A76,Spells!$A$2:$I1002,MATCH(C$3,Spells!$A$1:$I$1,0),FALSE))</f>
        <v/>
      </c>
      <c r="D76" s="49" t="str">
        <f>IFNA(VLOOKUP($A76,Spells!$A$2:$I1002,MATCH(D$3,Spells!$A$1:$I$1,0),FALSE))</f>
        <v/>
      </c>
      <c r="E76" s="49" t="str">
        <f>IFNA(VLOOKUP($A76,Spells!$A$2:$I1002,MATCH(E$3,Spells!$A$1:$I$1,0),FALSE))</f>
        <v/>
      </c>
      <c r="F76" s="49" t="str">
        <f>IFNA(VLOOKUP($A76,Spells!$A$2:$I1002,MATCH(F$3,Spells!$A$1:$I$1,0),FALSE))</f>
        <v/>
      </c>
      <c r="G76" s="49" t="str">
        <f>IFNA(VLOOKUP($A76,Spells!$A$2:$I1002,MATCH(G$3,Spells!$A$1:$I$1,0),FALSE))</f>
        <v/>
      </c>
      <c r="H76" s="49" t="str">
        <f>IFNA(VLOOKUP($A76,Spells!$A$2:$I1002,MATCH(H$3,Spells!$A$1:$I$1,0),FALSE))</f>
        <v/>
      </c>
    </row>
    <row r="77">
      <c r="A77" s="49"/>
      <c r="B77" s="49" t="str">
        <f>IFNA(VLOOKUP($A77,Spells!$A$2:$I1002,MATCH(B$3,Spells!$A$1:$I$1,0),FALSE))</f>
        <v/>
      </c>
      <c r="C77" s="49" t="str">
        <f>IFNA(VLOOKUP($A77,Spells!$A$2:$I1002,MATCH(C$3,Spells!$A$1:$I$1,0),FALSE))</f>
        <v/>
      </c>
      <c r="D77" s="49" t="str">
        <f>IFNA(VLOOKUP($A77,Spells!$A$2:$I1002,MATCH(D$3,Spells!$A$1:$I$1,0),FALSE))</f>
        <v/>
      </c>
      <c r="E77" s="49" t="str">
        <f>IFNA(VLOOKUP($A77,Spells!$A$2:$I1002,MATCH(E$3,Spells!$A$1:$I$1,0),FALSE))</f>
        <v/>
      </c>
      <c r="F77" s="49" t="str">
        <f>IFNA(VLOOKUP($A77,Spells!$A$2:$I1002,MATCH(F$3,Spells!$A$1:$I$1,0),FALSE))</f>
        <v/>
      </c>
      <c r="G77" s="49" t="str">
        <f>IFNA(VLOOKUP($A77,Spells!$A$2:$I1002,MATCH(G$3,Spells!$A$1:$I$1,0),FALSE))</f>
        <v/>
      </c>
      <c r="H77" s="49" t="str">
        <f>IFNA(VLOOKUP($A77,Spells!$A$2:$I1002,MATCH(H$3,Spells!$A$1:$I$1,0),FALSE))</f>
        <v/>
      </c>
    </row>
    <row r="78">
      <c r="A78" s="49"/>
      <c r="B78" s="49" t="str">
        <f>IFNA(VLOOKUP($A78,Spells!$A$2:$I1002,MATCH(B$3,Spells!$A$1:$I$1,0),FALSE))</f>
        <v/>
      </c>
      <c r="C78" s="49" t="str">
        <f>IFNA(VLOOKUP($A78,Spells!$A$2:$I1002,MATCH(C$3,Spells!$A$1:$I$1,0),FALSE))</f>
        <v/>
      </c>
      <c r="D78" s="49" t="str">
        <f>IFNA(VLOOKUP($A78,Spells!$A$2:$I1002,MATCH(D$3,Spells!$A$1:$I$1,0),FALSE))</f>
        <v/>
      </c>
      <c r="E78" s="49" t="str">
        <f>IFNA(VLOOKUP($A78,Spells!$A$2:$I1002,MATCH(E$3,Spells!$A$1:$I$1,0),FALSE))</f>
        <v/>
      </c>
      <c r="F78" s="49" t="str">
        <f>IFNA(VLOOKUP($A78,Spells!$A$2:$I1002,MATCH(F$3,Spells!$A$1:$I$1,0),FALSE))</f>
        <v/>
      </c>
      <c r="G78" s="49" t="str">
        <f>IFNA(VLOOKUP($A78,Spells!$A$2:$I1002,MATCH(G$3,Spells!$A$1:$I$1,0),FALSE))</f>
        <v/>
      </c>
      <c r="H78" s="49" t="str">
        <f>IFNA(VLOOKUP($A78,Spells!$A$2:$I1002,MATCH(H$3,Spells!$A$1:$I$1,0),FALSE))</f>
        <v/>
      </c>
    </row>
    <row r="79">
      <c r="A79" s="49"/>
      <c r="B79" s="49" t="str">
        <f>IFNA(VLOOKUP($A79,Spells!$A$2:$I1002,MATCH(B$3,Spells!$A$1:$I$1,0),FALSE))</f>
        <v/>
      </c>
      <c r="C79" s="49" t="str">
        <f>IFNA(VLOOKUP($A79,Spells!$A$2:$I1002,MATCH(C$3,Spells!$A$1:$I$1,0),FALSE))</f>
        <v/>
      </c>
      <c r="D79" s="49" t="str">
        <f>IFNA(VLOOKUP($A79,Spells!$A$2:$I1002,MATCH(D$3,Spells!$A$1:$I$1,0),FALSE))</f>
        <v/>
      </c>
      <c r="E79" s="49" t="str">
        <f>IFNA(VLOOKUP($A79,Spells!$A$2:$I1002,MATCH(E$3,Spells!$A$1:$I$1,0),FALSE))</f>
        <v/>
      </c>
      <c r="F79" s="49" t="str">
        <f>IFNA(VLOOKUP($A79,Spells!$A$2:$I1002,MATCH(F$3,Spells!$A$1:$I$1,0),FALSE))</f>
        <v/>
      </c>
      <c r="G79" s="49" t="str">
        <f>IFNA(VLOOKUP($A79,Spells!$A$2:$I1002,MATCH(G$3,Spells!$A$1:$I$1,0),FALSE))</f>
        <v/>
      </c>
      <c r="H79" s="49" t="str">
        <f>IFNA(VLOOKUP($A79,Spells!$A$2:$I1002,MATCH(H$3,Spells!$A$1:$I$1,0),FALSE))</f>
        <v/>
      </c>
    </row>
    <row r="80">
      <c r="A80" s="49"/>
      <c r="B80" s="49" t="str">
        <f>IFNA(VLOOKUP($A80,Spells!$A$2:$I1002,MATCH(B$3,Spells!$A$1:$I$1,0),FALSE))</f>
        <v/>
      </c>
      <c r="C80" s="49" t="str">
        <f>IFNA(VLOOKUP($A80,Spells!$A$2:$I1002,MATCH(C$3,Spells!$A$1:$I$1,0),FALSE))</f>
        <v/>
      </c>
      <c r="D80" s="49" t="str">
        <f>IFNA(VLOOKUP($A80,Spells!$A$2:$I1002,MATCH(D$3,Spells!$A$1:$I$1,0),FALSE))</f>
        <v/>
      </c>
      <c r="E80" s="49" t="str">
        <f>IFNA(VLOOKUP($A80,Spells!$A$2:$I1002,MATCH(E$3,Spells!$A$1:$I$1,0),FALSE))</f>
        <v/>
      </c>
      <c r="F80" s="49" t="str">
        <f>IFNA(VLOOKUP($A80,Spells!$A$2:$I1002,MATCH(F$3,Spells!$A$1:$I$1,0),FALSE))</f>
        <v/>
      </c>
      <c r="G80" s="49" t="str">
        <f>IFNA(VLOOKUP($A80,Spells!$A$2:$I1002,MATCH(G$3,Spells!$A$1:$I$1,0),FALSE))</f>
        <v/>
      </c>
      <c r="H80" s="49" t="str">
        <f>IFNA(VLOOKUP($A80,Spells!$A$2:$I1002,MATCH(H$3,Spells!$A$1:$I$1,0),FALSE))</f>
        <v/>
      </c>
    </row>
    <row r="81">
      <c r="A81" s="49"/>
      <c r="B81" s="49" t="str">
        <f>IFNA(VLOOKUP($A81,Spells!$A$2:$I1002,MATCH(B$3,Spells!$A$1:$I$1,0),FALSE))</f>
        <v/>
      </c>
      <c r="C81" s="49" t="str">
        <f>IFNA(VLOOKUP($A81,Spells!$A$2:$I1002,MATCH(C$3,Spells!$A$1:$I$1,0),FALSE))</f>
        <v/>
      </c>
      <c r="D81" s="49" t="str">
        <f>IFNA(VLOOKUP($A81,Spells!$A$2:$I1002,MATCH(D$3,Spells!$A$1:$I$1,0),FALSE))</f>
        <v/>
      </c>
      <c r="E81" s="49" t="str">
        <f>IFNA(VLOOKUP($A81,Spells!$A$2:$I1002,MATCH(E$3,Spells!$A$1:$I$1,0),FALSE))</f>
        <v/>
      </c>
      <c r="F81" s="49" t="str">
        <f>IFNA(VLOOKUP($A81,Spells!$A$2:$I1002,MATCH(F$3,Spells!$A$1:$I$1,0),FALSE))</f>
        <v/>
      </c>
      <c r="G81" s="49" t="str">
        <f>IFNA(VLOOKUP($A81,Spells!$A$2:$I1002,MATCH(G$3,Spells!$A$1:$I$1,0),FALSE))</f>
        <v/>
      </c>
      <c r="H81" s="49" t="str">
        <f>IFNA(VLOOKUP($A81,Spells!$A$2:$I1002,MATCH(H$3,Spells!$A$1:$I$1,0),FALSE))</f>
        <v/>
      </c>
    </row>
    <row r="82">
      <c r="A82" s="49"/>
      <c r="B82" s="49" t="str">
        <f>IFNA(VLOOKUP($A82,Spells!$A$2:$I1002,MATCH(B$3,Spells!$A$1:$I$1,0),FALSE))</f>
        <v/>
      </c>
      <c r="C82" s="49" t="str">
        <f>IFNA(VLOOKUP($A82,Spells!$A$2:$I1002,MATCH(C$3,Spells!$A$1:$I$1,0),FALSE))</f>
        <v/>
      </c>
      <c r="D82" s="49" t="str">
        <f>IFNA(VLOOKUP($A82,Spells!$A$2:$I1002,MATCH(D$3,Spells!$A$1:$I$1,0),FALSE))</f>
        <v/>
      </c>
      <c r="E82" s="49" t="str">
        <f>IFNA(VLOOKUP($A82,Spells!$A$2:$I1002,MATCH(E$3,Spells!$A$1:$I$1,0),FALSE))</f>
        <v/>
      </c>
      <c r="F82" s="49" t="str">
        <f>IFNA(VLOOKUP($A82,Spells!$A$2:$I1002,MATCH(F$3,Spells!$A$1:$I$1,0),FALSE))</f>
        <v/>
      </c>
      <c r="G82" s="49" t="str">
        <f>IFNA(VLOOKUP($A82,Spells!$A$2:$I1002,MATCH(G$3,Spells!$A$1:$I$1,0),FALSE))</f>
        <v/>
      </c>
      <c r="H82" s="49" t="str">
        <f>IFNA(VLOOKUP($A82,Spells!$A$2:$I1002,MATCH(H$3,Spells!$A$1:$I$1,0),FALSE))</f>
        <v/>
      </c>
    </row>
    <row r="83">
      <c r="A83" s="49"/>
      <c r="B83" s="49" t="str">
        <f>IFNA(VLOOKUP($A83,Spells!$A$2:$I1002,MATCH(B$3,Spells!$A$1:$I$1,0),FALSE))</f>
        <v/>
      </c>
      <c r="C83" s="49" t="str">
        <f>IFNA(VLOOKUP($A83,Spells!$A$2:$I1002,MATCH(C$3,Spells!$A$1:$I$1,0),FALSE))</f>
        <v/>
      </c>
      <c r="D83" s="49" t="str">
        <f>IFNA(VLOOKUP($A83,Spells!$A$2:$I1002,MATCH(D$3,Spells!$A$1:$I$1,0),FALSE))</f>
        <v/>
      </c>
      <c r="E83" s="49" t="str">
        <f>IFNA(VLOOKUP($A83,Spells!$A$2:$I1002,MATCH(E$3,Spells!$A$1:$I$1,0),FALSE))</f>
        <v/>
      </c>
      <c r="F83" s="49" t="str">
        <f>IFNA(VLOOKUP($A83,Spells!$A$2:$I1002,MATCH(F$3,Spells!$A$1:$I$1,0),FALSE))</f>
        <v/>
      </c>
      <c r="G83" s="49" t="str">
        <f>IFNA(VLOOKUP($A83,Spells!$A$2:$I1002,MATCH(G$3,Spells!$A$1:$I$1,0),FALSE))</f>
        <v/>
      </c>
      <c r="H83" s="49" t="str">
        <f>IFNA(VLOOKUP($A83,Spells!$A$2:$I1002,MATCH(H$3,Spells!$A$1:$I$1,0),FALSE))</f>
        <v/>
      </c>
    </row>
    <row r="84">
      <c r="A84" s="49"/>
      <c r="B84" s="49" t="str">
        <f>IFNA(VLOOKUP($A84,Spells!$A$2:$I1002,MATCH(B$3,Spells!$A$1:$I$1,0),FALSE))</f>
        <v/>
      </c>
      <c r="C84" s="49" t="str">
        <f>IFNA(VLOOKUP($A84,Spells!$A$2:$I1002,MATCH(C$3,Spells!$A$1:$I$1,0),FALSE))</f>
        <v/>
      </c>
      <c r="D84" s="49" t="str">
        <f>IFNA(VLOOKUP($A84,Spells!$A$2:$I1002,MATCH(D$3,Spells!$A$1:$I$1,0),FALSE))</f>
        <v/>
      </c>
      <c r="E84" s="49" t="str">
        <f>IFNA(VLOOKUP($A84,Spells!$A$2:$I1002,MATCH(E$3,Spells!$A$1:$I$1,0),FALSE))</f>
        <v/>
      </c>
      <c r="F84" s="49" t="str">
        <f>IFNA(VLOOKUP($A84,Spells!$A$2:$I1002,MATCH(F$3,Spells!$A$1:$I$1,0),FALSE))</f>
        <v/>
      </c>
      <c r="G84" s="49" t="str">
        <f>IFNA(VLOOKUP($A84,Spells!$A$2:$I1002,MATCH(G$3,Spells!$A$1:$I$1,0),FALSE))</f>
        <v/>
      </c>
      <c r="H84" s="49" t="str">
        <f>IFNA(VLOOKUP($A84,Spells!$A$2:$I1002,MATCH(H$3,Spells!$A$1:$I$1,0),FALSE))</f>
        <v/>
      </c>
    </row>
    <row r="85">
      <c r="A85" s="49"/>
      <c r="B85" s="49" t="str">
        <f>IFNA(VLOOKUP($A85,Spells!$A$2:$I1002,MATCH(B$3,Spells!$A$1:$I$1,0),FALSE))</f>
        <v/>
      </c>
      <c r="C85" s="49" t="str">
        <f>IFNA(VLOOKUP($A85,Spells!$A$2:$I1002,MATCH(C$3,Spells!$A$1:$I$1,0),FALSE))</f>
        <v/>
      </c>
      <c r="D85" s="49" t="str">
        <f>IFNA(VLOOKUP($A85,Spells!$A$2:$I1002,MATCH(D$3,Spells!$A$1:$I$1,0),FALSE))</f>
        <v/>
      </c>
      <c r="E85" s="49" t="str">
        <f>IFNA(VLOOKUP($A85,Spells!$A$2:$I1002,MATCH(E$3,Spells!$A$1:$I$1,0),FALSE))</f>
        <v/>
      </c>
      <c r="F85" s="49" t="str">
        <f>IFNA(VLOOKUP($A85,Spells!$A$2:$I1002,MATCH(F$3,Spells!$A$1:$I$1,0),FALSE))</f>
        <v/>
      </c>
      <c r="G85" s="49" t="str">
        <f>IFNA(VLOOKUP($A85,Spells!$A$2:$I1002,MATCH(G$3,Spells!$A$1:$I$1,0),FALSE))</f>
        <v/>
      </c>
      <c r="H85" s="49" t="str">
        <f>IFNA(VLOOKUP($A85,Spells!$A$2:$I1002,MATCH(H$3,Spells!$A$1:$I$1,0),FALSE))</f>
        <v/>
      </c>
    </row>
    <row r="86">
      <c r="A86" s="49"/>
      <c r="B86" s="49" t="str">
        <f>IFNA(VLOOKUP($A86,Spells!$A$2:$I1002,MATCH(B$3,Spells!$A$1:$I$1,0),FALSE))</f>
        <v/>
      </c>
      <c r="C86" s="49" t="str">
        <f>IFNA(VLOOKUP($A86,Spells!$A$2:$I1002,MATCH(C$3,Spells!$A$1:$I$1,0),FALSE))</f>
        <v/>
      </c>
      <c r="D86" s="49" t="str">
        <f>IFNA(VLOOKUP($A86,Spells!$A$2:$I1002,MATCH(D$3,Spells!$A$1:$I$1,0),FALSE))</f>
        <v/>
      </c>
      <c r="E86" s="49" t="str">
        <f>IFNA(VLOOKUP($A86,Spells!$A$2:$I1002,MATCH(E$3,Spells!$A$1:$I$1,0),FALSE))</f>
        <v/>
      </c>
      <c r="F86" s="49" t="str">
        <f>IFNA(VLOOKUP($A86,Spells!$A$2:$I1002,MATCH(F$3,Spells!$A$1:$I$1,0),FALSE))</f>
        <v/>
      </c>
      <c r="G86" s="49" t="str">
        <f>IFNA(VLOOKUP($A86,Spells!$A$2:$I1002,MATCH(G$3,Spells!$A$1:$I$1,0),FALSE))</f>
        <v/>
      </c>
      <c r="H86" s="49" t="str">
        <f>IFNA(VLOOKUP($A86,Spells!$A$2:$I1002,MATCH(H$3,Spells!$A$1:$I$1,0),FALSE))</f>
        <v/>
      </c>
    </row>
    <row r="87">
      <c r="A87" s="49"/>
      <c r="B87" s="49" t="str">
        <f>IFNA(VLOOKUP($A87,Spells!$A$2:$I1002,MATCH(B$3,Spells!$A$1:$I$1,0),FALSE))</f>
        <v/>
      </c>
      <c r="C87" s="49" t="str">
        <f>IFNA(VLOOKUP($A87,Spells!$A$2:$I1002,MATCH(C$3,Spells!$A$1:$I$1,0),FALSE))</f>
        <v/>
      </c>
      <c r="D87" s="49" t="str">
        <f>IFNA(VLOOKUP($A87,Spells!$A$2:$I1002,MATCH(D$3,Spells!$A$1:$I$1,0),FALSE))</f>
        <v/>
      </c>
      <c r="E87" s="49" t="str">
        <f>IFNA(VLOOKUP($A87,Spells!$A$2:$I1002,MATCH(E$3,Spells!$A$1:$I$1,0),FALSE))</f>
        <v/>
      </c>
      <c r="F87" s="49" t="str">
        <f>IFNA(VLOOKUP($A87,Spells!$A$2:$I1002,MATCH(F$3,Spells!$A$1:$I$1,0),FALSE))</f>
        <v/>
      </c>
      <c r="G87" s="49" t="str">
        <f>IFNA(VLOOKUP($A87,Spells!$A$2:$I1002,MATCH(G$3,Spells!$A$1:$I$1,0),FALSE))</f>
        <v/>
      </c>
      <c r="H87" s="49" t="str">
        <f>IFNA(VLOOKUP($A87,Spells!$A$2:$I1002,MATCH(H$3,Spells!$A$1:$I$1,0),FALSE))</f>
        <v/>
      </c>
    </row>
    <row r="88">
      <c r="A88" s="49"/>
      <c r="B88" s="49" t="str">
        <f>IFNA(VLOOKUP($A88,Spells!$A$2:$I1002,MATCH(B$3,Spells!$A$1:$I$1,0),FALSE))</f>
        <v/>
      </c>
      <c r="C88" s="49" t="str">
        <f>IFNA(VLOOKUP($A88,Spells!$A$2:$I1002,MATCH(C$3,Spells!$A$1:$I$1,0),FALSE))</f>
        <v/>
      </c>
      <c r="D88" s="49" t="str">
        <f>IFNA(VLOOKUP($A88,Spells!$A$2:$I1002,MATCH(D$3,Spells!$A$1:$I$1,0),FALSE))</f>
        <v/>
      </c>
      <c r="E88" s="49" t="str">
        <f>IFNA(VLOOKUP($A88,Spells!$A$2:$I1002,MATCH(E$3,Spells!$A$1:$I$1,0),FALSE))</f>
        <v/>
      </c>
      <c r="F88" s="49" t="str">
        <f>IFNA(VLOOKUP($A88,Spells!$A$2:$I1002,MATCH(F$3,Spells!$A$1:$I$1,0),FALSE))</f>
        <v/>
      </c>
      <c r="G88" s="49" t="str">
        <f>IFNA(VLOOKUP($A88,Spells!$A$2:$I1002,MATCH(G$3,Spells!$A$1:$I$1,0),FALSE))</f>
        <v/>
      </c>
      <c r="H88" s="49" t="str">
        <f>IFNA(VLOOKUP($A88,Spells!$A$2:$I1002,MATCH(H$3,Spells!$A$1:$I$1,0),FALSE))</f>
        <v/>
      </c>
    </row>
    <row r="89">
      <c r="A89" s="49"/>
      <c r="B89" s="49" t="str">
        <f>IFNA(VLOOKUP($A89,Spells!$A$2:$I1002,MATCH(B$3,Spells!$A$1:$I$1,0),FALSE))</f>
        <v/>
      </c>
      <c r="C89" s="49" t="str">
        <f>IFNA(VLOOKUP($A89,Spells!$A$2:$I1002,MATCH(C$3,Spells!$A$1:$I$1,0),FALSE))</f>
        <v/>
      </c>
      <c r="D89" s="49" t="str">
        <f>IFNA(VLOOKUP($A89,Spells!$A$2:$I1002,MATCH(D$3,Spells!$A$1:$I$1,0),FALSE))</f>
        <v/>
      </c>
      <c r="E89" s="49" t="str">
        <f>IFNA(VLOOKUP($A89,Spells!$A$2:$I1002,MATCH(E$3,Spells!$A$1:$I$1,0),FALSE))</f>
        <v/>
      </c>
      <c r="F89" s="49" t="str">
        <f>IFNA(VLOOKUP($A89,Spells!$A$2:$I1002,MATCH(F$3,Spells!$A$1:$I$1,0),FALSE))</f>
        <v/>
      </c>
      <c r="G89" s="49" t="str">
        <f>IFNA(VLOOKUP($A89,Spells!$A$2:$I1002,MATCH(G$3,Spells!$A$1:$I$1,0),FALSE))</f>
        <v/>
      </c>
      <c r="H89" s="49" t="str">
        <f>IFNA(VLOOKUP($A89,Spells!$A$2:$I1002,MATCH(H$3,Spells!$A$1:$I$1,0),FALSE))</f>
        <v/>
      </c>
    </row>
    <row r="90">
      <c r="A90" s="49"/>
      <c r="B90" s="49" t="str">
        <f>IFNA(VLOOKUP($A90,Spells!$A$2:$I1002,MATCH(B$3,Spells!$A$1:$I$1,0),FALSE))</f>
        <v/>
      </c>
      <c r="C90" s="49" t="str">
        <f>IFNA(VLOOKUP($A90,Spells!$A$2:$I1002,MATCH(C$3,Spells!$A$1:$I$1,0),FALSE))</f>
        <v/>
      </c>
      <c r="D90" s="49" t="str">
        <f>IFNA(VLOOKUP($A90,Spells!$A$2:$I1002,MATCH(D$3,Spells!$A$1:$I$1,0),FALSE))</f>
        <v/>
      </c>
      <c r="E90" s="49" t="str">
        <f>IFNA(VLOOKUP($A90,Spells!$A$2:$I1002,MATCH(E$3,Spells!$A$1:$I$1,0),FALSE))</f>
        <v/>
      </c>
      <c r="F90" s="49" t="str">
        <f>IFNA(VLOOKUP($A90,Spells!$A$2:$I1002,MATCH(F$3,Spells!$A$1:$I$1,0),FALSE))</f>
        <v/>
      </c>
      <c r="G90" s="49" t="str">
        <f>IFNA(VLOOKUP($A90,Spells!$A$2:$I1002,MATCH(G$3,Spells!$A$1:$I$1,0),FALSE))</f>
        <v/>
      </c>
      <c r="H90" s="49" t="str">
        <f>IFNA(VLOOKUP($A90,Spells!$A$2:$I1002,MATCH(H$3,Spells!$A$1:$I$1,0),FALSE))</f>
        <v/>
      </c>
    </row>
    <row r="91">
      <c r="A91" s="49"/>
      <c r="B91" s="49" t="str">
        <f>IFNA(VLOOKUP($A91,Spells!$A$2:$I1002,MATCH(B$3,Spells!$A$1:$I$1,0),FALSE))</f>
        <v/>
      </c>
      <c r="C91" s="49" t="str">
        <f>IFNA(VLOOKUP($A91,Spells!$A$2:$I1002,MATCH(C$3,Spells!$A$1:$I$1,0),FALSE))</f>
        <v/>
      </c>
      <c r="D91" s="49" t="str">
        <f>IFNA(VLOOKUP($A91,Spells!$A$2:$I1002,MATCH(D$3,Spells!$A$1:$I$1,0),FALSE))</f>
        <v/>
      </c>
      <c r="E91" s="49" t="str">
        <f>IFNA(VLOOKUP($A91,Spells!$A$2:$I1002,MATCH(E$3,Spells!$A$1:$I$1,0),FALSE))</f>
        <v/>
      </c>
      <c r="F91" s="49" t="str">
        <f>IFNA(VLOOKUP($A91,Spells!$A$2:$I1002,MATCH(F$3,Spells!$A$1:$I$1,0),FALSE))</f>
        <v/>
      </c>
      <c r="G91" s="49" t="str">
        <f>IFNA(VLOOKUP($A91,Spells!$A$2:$I1002,MATCH(G$3,Spells!$A$1:$I$1,0),FALSE))</f>
        <v/>
      </c>
      <c r="H91" s="49" t="str">
        <f>IFNA(VLOOKUP($A91,Spells!$A$2:$I1002,MATCH(H$3,Spells!$A$1:$I$1,0),FALSE))</f>
        <v/>
      </c>
    </row>
    <row r="92">
      <c r="A92" s="49"/>
      <c r="B92" s="49" t="str">
        <f>IFNA(VLOOKUP($A92,Spells!$A$2:$I1002,MATCH(B$3,Spells!$A$1:$I$1,0),FALSE))</f>
        <v/>
      </c>
      <c r="C92" s="49" t="str">
        <f>IFNA(VLOOKUP($A92,Spells!$A$2:$I1002,MATCH(C$3,Spells!$A$1:$I$1,0),FALSE))</f>
        <v/>
      </c>
      <c r="D92" s="49" t="str">
        <f>IFNA(VLOOKUP($A92,Spells!$A$2:$I1002,MATCH(D$3,Spells!$A$1:$I$1,0),FALSE))</f>
        <v/>
      </c>
      <c r="E92" s="49" t="str">
        <f>IFNA(VLOOKUP($A92,Spells!$A$2:$I1002,MATCH(E$3,Spells!$A$1:$I$1,0),FALSE))</f>
        <v/>
      </c>
      <c r="F92" s="49" t="str">
        <f>IFNA(VLOOKUP($A92,Spells!$A$2:$I1002,MATCH(F$3,Spells!$A$1:$I$1,0),FALSE))</f>
        <v/>
      </c>
      <c r="G92" s="49" t="str">
        <f>IFNA(VLOOKUP($A92,Spells!$A$2:$I1002,MATCH(G$3,Spells!$A$1:$I$1,0),FALSE))</f>
        <v/>
      </c>
      <c r="H92" s="49" t="str">
        <f>IFNA(VLOOKUP($A92,Spells!$A$2:$I1002,MATCH(H$3,Spells!$A$1:$I$1,0),FALSE))</f>
        <v/>
      </c>
    </row>
    <row r="93">
      <c r="A93" s="49"/>
      <c r="B93" s="49" t="str">
        <f>IFNA(VLOOKUP($A93,Spells!$A$2:$I1002,MATCH(B$3,Spells!$A$1:$I$1,0),FALSE))</f>
        <v/>
      </c>
      <c r="C93" s="49" t="str">
        <f>IFNA(VLOOKUP($A93,Spells!$A$2:$I1002,MATCH(C$3,Spells!$A$1:$I$1,0),FALSE))</f>
        <v/>
      </c>
      <c r="D93" s="49" t="str">
        <f>IFNA(VLOOKUP($A93,Spells!$A$2:$I1002,MATCH(D$3,Spells!$A$1:$I$1,0),FALSE))</f>
        <v/>
      </c>
      <c r="E93" s="49" t="str">
        <f>IFNA(VLOOKUP($A93,Spells!$A$2:$I1002,MATCH(E$3,Spells!$A$1:$I$1,0),FALSE))</f>
        <v/>
      </c>
      <c r="F93" s="49" t="str">
        <f>IFNA(VLOOKUP($A93,Spells!$A$2:$I1002,MATCH(F$3,Spells!$A$1:$I$1,0),FALSE))</f>
        <v/>
      </c>
      <c r="G93" s="49" t="str">
        <f>IFNA(VLOOKUP($A93,Spells!$A$2:$I1002,MATCH(G$3,Spells!$A$1:$I$1,0),FALSE))</f>
        <v/>
      </c>
      <c r="H93" s="49" t="str">
        <f>IFNA(VLOOKUP($A93,Spells!$A$2:$I1002,MATCH(H$3,Spells!$A$1:$I$1,0),FALSE))</f>
        <v/>
      </c>
    </row>
    <row r="94">
      <c r="A94" s="49"/>
      <c r="B94" s="49" t="str">
        <f>IFNA(VLOOKUP($A94,Spells!$A$2:$I1002,MATCH(B$3,Spells!$A$1:$I$1,0),FALSE))</f>
        <v/>
      </c>
      <c r="C94" s="49" t="str">
        <f>IFNA(VLOOKUP($A94,Spells!$A$2:$I1002,MATCH(C$3,Spells!$A$1:$I$1,0),FALSE))</f>
        <v/>
      </c>
      <c r="D94" s="49" t="str">
        <f>IFNA(VLOOKUP($A94,Spells!$A$2:$I1002,MATCH(D$3,Spells!$A$1:$I$1,0),FALSE))</f>
        <v/>
      </c>
      <c r="E94" s="49" t="str">
        <f>IFNA(VLOOKUP($A94,Spells!$A$2:$I1002,MATCH(E$3,Spells!$A$1:$I$1,0),FALSE))</f>
        <v/>
      </c>
      <c r="F94" s="49" t="str">
        <f>IFNA(VLOOKUP($A94,Spells!$A$2:$I1002,MATCH(F$3,Spells!$A$1:$I$1,0),FALSE))</f>
        <v/>
      </c>
      <c r="G94" s="49" t="str">
        <f>IFNA(VLOOKUP($A94,Spells!$A$2:$I1002,MATCH(G$3,Spells!$A$1:$I$1,0),FALSE))</f>
        <v/>
      </c>
      <c r="H94" s="49" t="str">
        <f>IFNA(VLOOKUP($A94,Spells!$A$2:$I1002,MATCH(H$3,Spells!$A$1:$I$1,0),FALSE))</f>
        <v/>
      </c>
    </row>
    <row r="95">
      <c r="A95" s="49"/>
      <c r="B95" s="49" t="str">
        <f>IFNA(VLOOKUP($A95,Spells!$A$2:$I1002,MATCH(B$3,Spells!$A$1:$I$1,0),FALSE))</f>
        <v/>
      </c>
      <c r="C95" s="49" t="str">
        <f>IFNA(VLOOKUP($A95,Spells!$A$2:$I1002,MATCH(C$3,Spells!$A$1:$I$1,0),FALSE))</f>
        <v/>
      </c>
      <c r="D95" s="49" t="str">
        <f>IFNA(VLOOKUP($A95,Spells!$A$2:$I1002,MATCH(D$3,Spells!$A$1:$I$1,0),FALSE))</f>
        <v/>
      </c>
      <c r="E95" s="49" t="str">
        <f>IFNA(VLOOKUP($A95,Spells!$A$2:$I1002,MATCH(E$3,Spells!$A$1:$I$1,0),FALSE))</f>
        <v/>
      </c>
      <c r="F95" s="49" t="str">
        <f>IFNA(VLOOKUP($A95,Spells!$A$2:$I1002,MATCH(F$3,Spells!$A$1:$I$1,0),FALSE))</f>
        <v/>
      </c>
      <c r="G95" s="49" t="str">
        <f>IFNA(VLOOKUP($A95,Spells!$A$2:$I1002,MATCH(G$3,Spells!$A$1:$I$1,0),FALSE))</f>
        <v/>
      </c>
      <c r="H95" s="49" t="str">
        <f>IFNA(VLOOKUP($A95,Spells!$A$2:$I1002,MATCH(H$3,Spells!$A$1:$I$1,0),FALSE))</f>
        <v/>
      </c>
    </row>
    <row r="96">
      <c r="A96" s="49"/>
      <c r="B96" s="49" t="str">
        <f>IFNA(VLOOKUP($A96,Spells!$A$2:$I1002,MATCH(B$3,Spells!$A$1:$I$1,0),FALSE))</f>
        <v/>
      </c>
      <c r="C96" s="49" t="str">
        <f>IFNA(VLOOKUP($A96,Spells!$A$2:$I1002,MATCH(C$3,Spells!$A$1:$I$1,0),FALSE))</f>
        <v/>
      </c>
      <c r="D96" s="49" t="str">
        <f>IFNA(VLOOKUP($A96,Spells!$A$2:$I1002,MATCH(D$3,Spells!$A$1:$I$1,0),FALSE))</f>
        <v/>
      </c>
      <c r="E96" s="49" t="str">
        <f>IFNA(VLOOKUP($A96,Spells!$A$2:$I1002,MATCH(E$3,Spells!$A$1:$I$1,0),FALSE))</f>
        <v/>
      </c>
      <c r="F96" s="49" t="str">
        <f>IFNA(VLOOKUP($A96,Spells!$A$2:$I1002,MATCH(F$3,Spells!$A$1:$I$1,0),FALSE))</f>
        <v/>
      </c>
      <c r="G96" s="49" t="str">
        <f>IFNA(VLOOKUP($A96,Spells!$A$2:$I1002,MATCH(G$3,Spells!$A$1:$I$1,0),FALSE))</f>
        <v/>
      </c>
      <c r="H96" s="49" t="str">
        <f>IFNA(VLOOKUP($A96,Spells!$A$2:$I1002,MATCH(H$3,Spells!$A$1:$I$1,0),FALSE))</f>
        <v/>
      </c>
    </row>
    <row r="97">
      <c r="A97" s="49"/>
      <c r="B97" s="49" t="str">
        <f>IFNA(VLOOKUP($A97,Spells!$A$2:$I1002,MATCH(B$3,Spells!$A$1:$I$1,0),FALSE))</f>
        <v/>
      </c>
      <c r="C97" s="49" t="str">
        <f>IFNA(VLOOKUP($A97,Spells!$A$2:$I1002,MATCH(C$3,Spells!$A$1:$I$1,0),FALSE))</f>
        <v/>
      </c>
      <c r="D97" s="49" t="str">
        <f>IFNA(VLOOKUP($A97,Spells!$A$2:$I1002,MATCH(D$3,Spells!$A$1:$I$1,0),FALSE))</f>
        <v/>
      </c>
      <c r="E97" s="49" t="str">
        <f>IFNA(VLOOKUP($A97,Spells!$A$2:$I1002,MATCH(E$3,Spells!$A$1:$I$1,0),FALSE))</f>
        <v/>
      </c>
      <c r="F97" s="49" t="str">
        <f>IFNA(VLOOKUP($A97,Spells!$A$2:$I1002,MATCH(F$3,Spells!$A$1:$I$1,0),FALSE))</f>
        <v/>
      </c>
      <c r="G97" s="49" t="str">
        <f>IFNA(VLOOKUP($A97,Spells!$A$2:$I1002,MATCH(G$3,Spells!$A$1:$I$1,0),FALSE))</f>
        <v/>
      </c>
      <c r="H97" s="49" t="str">
        <f>IFNA(VLOOKUP($A97,Spells!$A$2:$I1002,MATCH(H$3,Spells!$A$1:$I$1,0),FALSE))</f>
        <v/>
      </c>
    </row>
    <row r="98">
      <c r="A98" s="49"/>
      <c r="B98" s="49" t="str">
        <f>IFNA(VLOOKUP($A98,Spells!$A$2:$I1002,MATCH(B$3,Spells!$A$1:$I$1,0),FALSE))</f>
        <v/>
      </c>
      <c r="C98" s="49" t="str">
        <f>IFNA(VLOOKUP($A98,Spells!$A$2:$I1002,MATCH(C$3,Spells!$A$1:$I$1,0),FALSE))</f>
        <v/>
      </c>
      <c r="D98" s="49" t="str">
        <f>IFNA(VLOOKUP($A98,Spells!$A$2:$I1002,MATCH(D$3,Spells!$A$1:$I$1,0),FALSE))</f>
        <v/>
      </c>
      <c r="E98" s="49" t="str">
        <f>IFNA(VLOOKUP($A98,Spells!$A$2:$I1002,MATCH(E$3,Spells!$A$1:$I$1,0),FALSE))</f>
        <v/>
      </c>
      <c r="F98" s="49" t="str">
        <f>IFNA(VLOOKUP($A98,Spells!$A$2:$I1002,MATCH(F$3,Spells!$A$1:$I$1,0),FALSE))</f>
        <v/>
      </c>
      <c r="G98" s="49" t="str">
        <f>IFNA(VLOOKUP($A98,Spells!$A$2:$I1002,MATCH(G$3,Spells!$A$1:$I$1,0),FALSE))</f>
        <v/>
      </c>
      <c r="H98" s="49" t="str">
        <f>IFNA(VLOOKUP($A98,Spells!$A$2:$I1002,MATCH(H$3,Spells!$A$1:$I$1,0),FALSE))</f>
        <v/>
      </c>
    </row>
    <row r="99">
      <c r="A99" s="49"/>
      <c r="B99" s="49" t="str">
        <f>IFNA(VLOOKUP($A99,Spells!$A$2:$I1002,MATCH(B$3,Spells!$A$1:$I$1,0),FALSE))</f>
        <v/>
      </c>
      <c r="C99" s="49" t="str">
        <f>IFNA(VLOOKUP($A99,Spells!$A$2:$I1002,MATCH(C$3,Spells!$A$1:$I$1,0),FALSE))</f>
        <v/>
      </c>
      <c r="D99" s="49" t="str">
        <f>IFNA(VLOOKUP($A99,Spells!$A$2:$I1002,MATCH(D$3,Spells!$A$1:$I$1,0),FALSE))</f>
        <v/>
      </c>
      <c r="E99" s="49" t="str">
        <f>IFNA(VLOOKUP($A99,Spells!$A$2:$I1002,MATCH(E$3,Spells!$A$1:$I$1,0),FALSE))</f>
        <v/>
      </c>
      <c r="F99" s="49" t="str">
        <f>IFNA(VLOOKUP($A99,Spells!$A$2:$I1002,MATCH(F$3,Spells!$A$1:$I$1,0),FALSE))</f>
        <v/>
      </c>
      <c r="G99" s="49" t="str">
        <f>IFNA(VLOOKUP($A99,Spells!$A$2:$I1002,MATCH(G$3,Spells!$A$1:$I$1,0),FALSE))</f>
        <v/>
      </c>
      <c r="H99" s="49" t="str">
        <f>IFNA(VLOOKUP($A99,Spells!$A$2:$I1002,MATCH(H$3,Spells!$A$1:$I$1,0),FALSE))</f>
        <v/>
      </c>
    </row>
    <row r="100">
      <c r="A100" s="49"/>
      <c r="B100" s="49" t="str">
        <f>IFNA(VLOOKUP($A100,Spells!$A$2:$I1002,MATCH(B$3,Spells!$A$1:$I$1,0),FALSE))</f>
        <v/>
      </c>
      <c r="C100" s="49" t="str">
        <f>IFNA(VLOOKUP($A100,Spells!$A$2:$I1002,MATCH(C$3,Spells!$A$1:$I$1,0),FALSE))</f>
        <v/>
      </c>
      <c r="D100" s="49" t="str">
        <f>IFNA(VLOOKUP($A100,Spells!$A$2:$I1002,MATCH(D$3,Spells!$A$1:$I$1,0),FALSE))</f>
        <v/>
      </c>
      <c r="E100" s="49" t="str">
        <f>IFNA(VLOOKUP($A100,Spells!$A$2:$I1002,MATCH(E$3,Spells!$A$1:$I$1,0),FALSE))</f>
        <v/>
      </c>
      <c r="F100" s="49" t="str">
        <f>IFNA(VLOOKUP($A100,Spells!$A$2:$I1002,MATCH(F$3,Spells!$A$1:$I$1,0),FALSE))</f>
        <v/>
      </c>
      <c r="G100" s="49" t="str">
        <f>IFNA(VLOOKUP($A100,Spells!$A$2:$I1002,MATCH(G$3,Spells!$A$1:$I$1,0),FALSE))</f>
        <v/>
      </c>
      <c r="H100" s="49" t="str">
        <f>IFNA(VLOOKUP($A100,Spells!$A$2:$I1002,MATCH(H$3,Spells!$A$1:$I$1,0),FALSE))</f>
        <v/>
      </c>
    </row>
    <row r="101">
      <c r="A101" s="49"/>
      <c r="B101" s="49" t="str">
        <f>IFNA(VLOOKUP($A101,Spells!$A$2:$I1002,MATCH(B$3,Spells!$A$1:$I$1,0),FALSE))</f>
        <v/>
      </c>
      <c r="C101" s="49" t="str">
        <f>IFNA(VLOOKUP($A101,Spells!$A$2:$I1002,MATCH(C$3,Spells!$A$1:$I$1,0),FALSE))</f>
        <v/>
      </c>
      <c r="D101" s="49" t="str">
        <f>IFNA(VLOOKUP($A101,Spells!$A$2:$I1002,MATCH(D$3,Spells!$A$1:$I$1,0),FALSE))</f>
        <v/>
      </c>
      <c r="E101" s="49" t="str">
        <f>IFNA(VLOOKUP($A101,Spells!$A$2:$I1002,MATCH(E$3,Spells!$A$1:$I$1,0),FALSE))</f>
        <v/>
      </c>
      <c r="F101" s="49" t="str">
        <f>IFNA(VLOOKUP($A101,Spells!$A$2:$I1002,MATCH(F$3,Spells!$A$1:$I$1,0),FALSE))</f>
        <v/>
      </c>
      <c r="G101" s="49" t="str">
        <f>IFNA(VLOOKUP($A101,Spells!$A$2:$I1002,MATCH(G$3,Spells!$A$1:$I$1,0),FALSE))</f>
        <v/>
      </c>
      <c r="H101" s="49" t="str">
        <f>IFNA(VLOOKUP($A101,Spells!$A$2:$I1002,MATCH(H$3,Spells!$A$1:$I$1,0),FALSE))</f>
        <v/>
      </c>
    </row>
    <row r="102">
      <c r="A102" s="49"/>
      <c r="B102" s="49" t="str">
        <f>IFNA(VLOOKUP($A102,Spells!$A$2:$I1002,MATCH(B$3,Spells!$A$1:$I$1,0),FALSE))</f>
        <v/>
      </c>
      <c r="C102" s="49" t="str">
        <f>IFNA(VLOOKUP($A102,Spells!$A$2:$I1002,MATCH(C$3,Spells!$A$1:$I$1,0),FALSE))</f>
        <v/>
      </c>
      <c r="D102" s="49" t="str">
        <f>IFNA(VLOOKUP($A102,Spells!$A$2:$I1002,MATCH(D$3,Spells!$A$1:$I$1,0),FALSE))</f>
        <v/>
      </c>
      <c r="E102" s="49" t="str">
        <f>IFNA(VLOOKUP($A102,Spells!$A$2:$I1002,MATCH(E$3,Spells!$A$1:$I$1,0),FALSE))</f>
        <v/>
      </c>
      <c r="F102" s="49" t="str">
        <f>IFNA(VLOOKUP($A102,Spells!$A$2:$I1002,MATCH(F$3,Spells!$A$1:$I$1,0),FALSE))</f>
        <v/>
      </c>
      <c r="G102" s="49" t="str">
        <f>IFNA(VLOOKUP($A102,Spells!$A$2:$I1002,MATCH(G$3,Spells!$A$1:$I$1,0),FALSE))</f>
        <v/>
      </c>
      <c r="H102" s="49" t="str">
        <f>IFNA(VLOOKUP($A102,Spells!$A$2:$I1002,MATCH(H$3,Spells!$A$1:$I$1,0),FALSE))</f>
        <v/>
      </c>
    </row>
    <row r="103">
      <c r="A103" s="49"/>
      <c r="B103" s="49" t="str">
        <f>IFNA(VLOOKUP($A103,Spells!$A$2:$I1002,MATCH(B$3,Spells!$A$1:$I$1,0),FALSE))</f>
        <v/>
      </c>
      <c r="C103" s="49" t="str">
        <f>IFNA(VLOOKUP($A103,Spells!$A$2:$I1002,MATCH(C$3,Spells!$A$1:$I$1,0),FALSE))</f>
        <v/>
      </c>
      <c r="D103" s="49" t="str">
        <f>IFNA(VLOOKUP($A103,Spells!$A$2:$I1002,MATCH(D$3,Spells!$A$1:$I$1,0),FALSE))</f>
        <v/>
      </c>
      <c r="E103" s="49" t="str">
        <f>IFNA(VLOOKUP($A103,Spells!$A$2:$I1002,MATCH(E$3,Spells!$A$1:$I$1,0),FALSE))</f>
        <v/>
      </c>
      <c r="F103" s="49" t="str">
        <f>IFNA(VLOOKUP($A103,Spells!$A$2:$I1002,MATCH(F$3,Spells!$A$1:$I$1,0),FALSE))</f>
        <v/>
      </c>
      <c r="G103" s="49" t="str">
        <f>IFNA(VLOOKUP($A103,Spells!$A$2:$I1002,MATCH(G$3,Spells!$A$1:$I$1,0),FALSE))</f>
        <v/>
      </c>
      <c r="H103" s="49" t="str">
        <f>IFNA(VLOOKUP($A103,Spells!$A$2:$I1002,MATCH(H$3,Spells!$A$1:$I$1,0),FALSE))</f>
        <v/>
      </c>
    </row>
    <row r="104">
      <c r="A104" s="49"/>
      <c r="B104" s="49" t="str">
        <f>IFNA(VLOOKUP($A104,Spells!$A$2:$I1002,MATCH(B$3,Spells!$A$1:$I$1,0),FALSE))</f>
        <v/>
      </c>
      <c r="C104" s="49" t="str">
        <f>IFNA(VLOOKUP($A104,Spells!$A$2:$I1002,MATCH(C$3,Spells!$A$1:$I$1,0),FALSE))</f>
        <v/>
      </c>
      <c r="D104" s="49" t="str">
        <f>IFNA(VLOOKUP($A104,Spells!$A$2:$I1002,MATCH(D$3,Spells!$A$1:$I$1,0),FALSE))</f>
        <v/>
      </c>
      <c r="E104" s="49" t="str">
        <f>IFNA(VLOOKUP($A104,Spells!$A$2:$I1002,MATCH(E$3,Spells!$A$1:$I$1,0),FALSE))</f>
        <v/>
      </c>
      <c r="F104" s="49" t="str">
        <f>IFNA(VLOOKUP($A104,Spells!$A$2:$I1002,MATCH(F$3,Spells!$A$1:$I$1,0),FALSE))</f>
        <v/>
      </c>
      <c r="G104" s="49" t="str">
        <f>IFNA(VLOOKUP($A104,Spells!$A$2:$I1002,MATCH(G$3,Spells!$A$1:$I$1,0),FALSE))</f>
        <v/>
      </c>
      <c r="H104" s="49" t="str">
        <f>IFNA(VLOOKUP($A104,Spells!$A$2:$I1002,MATCH(H$3,Spells!$A$1:$I$1,0),FALSE))</f>
        <v/>
      </c>
    </row>
    <row r="105">
      <c r="A105" s="49"/>
      <c r="B105" s="49" t="str">
        <f>IFNA(VLOOKUP($A105,Spells!$A$2:$I1002,MATCH(B$3,Spells!$A$1:$I$1,0),FALSE))</f>
        <v/>
      </c>
      <c r="C105" s="49" t="str">
        <f>IFNA(VLOOKUP($A105,Spells!$A$2:$I1002,MATCH(C$3,Spells!$A$1:$I$1,0),FALSE))</f>
        <v/>
      </c>
      <c r="D105" s="49" t="str">
        <f>IFNA(VLOOKUP($A105,Spells!$A$2:$I1002,MATCH(D$3,Spells!$A$1:$I$1,0),FALSE))</f>
        <v/>
      </c>
      <c r="E105" s="49" t="str">
        <f>IFNA(VLOOKUP($A105,Spells!$A$2:$I1002,MATCH(E$3,Spells!$A$1:$I$1,0),FALSE))</f>
        <v/>
      </c>
      <c r="F105" s="49" t="str">
        <f>IFNA(VLOOKUP($A105,Spells!$A$2:$I1002,MATCH(F$3,Spells!$A$1:$I$1,0),FALSE))</f>
        <v/>
      </c>
      <c r="G105" s="49" t="str">
        <f>IFNA(VLOOKUP($A105,Spells!$A$2:$I1002,MATCH(G$3,Spells!$A$1:$I$1,0),FALSE))</f>
        <v/>
      </c>
      <c r="H105" s="49" t="str">
        <f>IFNA(VLOOKUP($A105,Spells!$A$2:$I1002,MATCH(H$3,Spells!$A$1:$I$1,0),FALSE))</f>
        <v/>
      </c>
    </row>
    <row r="106">
      <c r="A106" s="49"/>
      <c r="B106" s="49" t="str">
        <f>IFNA(VLOOKUP($A106,Spells!$A$2:$I1002,MATCH(B$3,Spells!$A$1:$I$1,0),FALSE))</f>
        <v/>
      </c>
      <c r="C106" s="49" t="str">
        <f>IFNA(VLOOKUP($A106,Spells!$A$2:$I1002,MATCH(C$3,Spells!$A$1:$I$1,0),FALSE))</f>
        <v/>
      </c>
      <c r="D106" s="49" t="str">
        <f>IFNA(VLOOKUP($A106,Spells!$A$2:$I1002,MATCH(D$3,Spells!$A$1:$I$1,0),FALSE))</f>
        <v/>
      </c>
      <c r="E106" s="49" t="str">
        <f>IFNA(VLOOKUP($A106,Spells!$A$2:$I1002,MATCH(E$3,Spells!$A$1:$I$1,0),FALSE))</f>
        <v/>
      </c>
      <c r="F106" s="49" t="str">
        <f>IFNA(VLOOKUP($A106,Spells!$A$2:$I1002,MATCH(F$3,Spells!$A$1:$I$1,0),FALSE))</f>
        <v/>
      </c>
      <c r="G106" s="49" t="str">
        <f>IFNA(VLOOKUP($A106,Spells!$A$2:$I1002,MATCH(G$3,Spells!$A$1:$I$1,0),FALSE))</f>
        <v/>
      </c>
      <c r="H106" s="49" t="str">
        <f>IFNA(VLOOKUP($A106,Spells!$A$2:$I1002,MATCH(H$3,Spells!$A$1:$I$1,0),FALSE))</f>
        <v/>
      </c>
    </row>
    <row r="107">
      <c r="A107" s="49"/>
      <c r="B107" s="49" t="str">
        <f>IFNA(VLOOKUP($A107,Spells!$A$2:$I1002,MATCH(B$3,Spells!$A$1:$I$1,0),FALSE))</f>
        <v/>
      </c>
      <c r="C107" s="49" t="str">
        <f>IFNA(VLOOKUP($A107,Spells!$A$2:$I1002,MATCH(C$3,Spells!$A$1:$I$1,0),FALSE))</f>
        <v/>
      </c>
      <c r="D107" s="49" t="str">
        <f>IFNA(VLOOKUP($A107,Spells!$A$2:$I1002,MATCH(D$3,Spells!$A$1:$I$1,0),FALSE))</f>
        <v/>
      </c>
      <c r="E107" s="49" t="str">
        <f>IFNA(VLOOKUP($A107,Spells!$A$2:$I1002,MATCH(E$3,Spells!$A$1:$I$1,0),FALSE))</f>
        <v/>
      </c>
      <c r="F107" s="49" t="str">
        <f>IFNA(VLOOKUP($A107,Spells!$A$2:$I1002,MATCH(F$3,Spells!$A$1:$I$1,0),FALSE))</f>
        <v/>
      </c>
      <c r="G107" s="49" t="str">
        <f>IFNA(VLOOKUP($A107,Spells!$A$2:$I1002,MATCH(G$3,Spells!$A$1:$I$1,0),FALSE))</f>
        <v/>
      </c>
      <c r="H107" s="49" t="str">
        <f>IFNA(VLOOKUP($A107,Spells!$A$2:$I1002,MATCH(H$3,Spells!$A$1:$I$1,0),FALSE))</f>
        <v/>
      </c>
    </row>
    <row r="108">
      <c r="A108" s="49"/>
      <c r="B108" s="49" t="str">
        <f>IFNA(VLOOKUP($A108,Spells!$A$2:$I1002,MATCH(B$3,Spells!$A$1:$I$1,0),FALSE))</f>
        <v/>
      </c>
      <c r="C108" s="49" t="str">
        <f>IFNA(VLOOKUP($A108,Spells!$A$2:$I1002,MATCH(C$3,Spells!$A$1:$I$1,0),FALSE))</f>
        <v/>
      </c>
      <c r="D108" s="49" t="str">
        <f>IFNA(VLOOKUP($A108,Spells!$A$2:$I1002,MATCH(D$3,Spells!$A$1:$I$1,0),FALSE))</f>
        <v/>
      </c>
      <c r="E108" s="49" t="str">
        <f>IFNA(VLOOKUP($A108,Spells!$A$2:$I1002,MATCH(E$3,Spells!$A$1:$I$1,0),FALSE))</f>
        <v/>
      </c>
      <c r="F108" s="49" t="str">
        <f>IFNA(VLOOKUP($A108,Spells!$A$2:$I1002,MATCH(F$3,Spells!$A$1:$I$1,0),FALSE))</f>
        <v/>
      </c>
      <c r="G108" s="49" t="str">
        <f>IFNA(VLOOKUP($A108,Spells!$A$2:$I1002,MATCH(G$3,Spells!$A$1:$I$1,0),FALSE))</f>
        <v/>
      </c>
      <c r="H108" s="49" t="str">
        <f>IFNA(VLOOKUP($A108,Spells!$A$2:$I1002,MATCH(H$3,Spells!$A$1:$I$1,0),FALSE))</f>
        <v/>
      </c>
    </row>
    <row r="109">
      <c r="A109" s="49"/>
      <c r="B109" s="49" t="str">
        <f>IFNA(VLOOKUP($A109,Spells!$A$2:$I1002,MATCH(B$3,Spells!$A$1:$I$1,0),FALSE))</f>
        <v/>
      </c>
      <c r="C109" s="49" t="str">
        <f>IFNA(VLOOKUP($A109,Spells!$A$2:$I1002,MATCH(C$3,Spells!$A$1:$I$1,0),FALSE))</f>
        <v/>
      </c>
      <c r="D109" s="49" t="str">
        <f>IFNA(VLOOKUP($A109,Spells!$A$2:$I1002,MATCH(D$3,Spells!$A$1:$I$1,0),FALSE))</f>
        <v/>
      </c>
      <c r="E109" s="49" t="str">
        <f>IFNA(VLOOKUP($A109,Spells!$A$2:$I1002,MATCH(E$3,Spells!$A$1:$I$1,0),FALSE))</f>
        <v/>
      </c>
      <c r="F109" s="49" t="str">
        <f>IFNA(VLOOKUP($A109,Spells!$A$2:$I1002,MATCH(F$3,Spells!$A$1:$I$1,0),FALSE))</f>
        <v/>
      </c>
      <c r="G109" s="49" t="str">
        <f>IFNA(VLOOKUP($A109,Spells!$A$2:$I1002,MATCH(G$3,Spells!$A$1:$I$1,0),FALSE))</f>
        <v/>
      </c>
      <c r="H109" s="49" t="str">
        <f>IFNA(VLOOKUP($A109,Spells!$A$2:$I1002,MATCH(H$3,Spells!$A$1:$I$1,0),FALSE))</f>
        <v/>
      </c>
    </row>
    <row r="110">
      <c r="A110" s="49"/>
      <c r="B110" s="49" t="str">
        <f>IFNA(VLOOKUP($A110,Spells!$A$2:$I1002,MATCH(B$3,Spells!$A$1:$I$1,0),FALSE))</f>
        <v/>
      </c>
      <c r="C110" s="49" t="str">
        <f>IFNA(VLOOKUP($A110,Spells!$A$2:$I1002,MATCH(C$3,Spells!$A$1:$I$1,0),FALSE))</f>
        <v/>
      </c>
      <c r="D110" s="49" t="str">
        <f>IFNA(VLOOKUP($A110,Spells!$A$2:$I1002,MATCH(D$3,Spells!$A$1:$I$1,0),FALSE))</f>
        <v/>
      </c>
      <c r="E110" s="49" t="str">
        <f>IFNA(VLOOKUP($A110,Spells!$A$2:$I1002,MATCH(E$3,Spells!$A$1:$I$1,0),FALSE))</f>
        <v/>
      </c>
      <c r="F110" s="49" t="str">
        <f>IFNA(VLOOKUP($A110,Spells!$A$2:$I1002,MATCH(F$3,Spells!$A$1:$I$1,0),FALSE))</f>
        <v/>
      </c>
      <c r="G110" s="49" t="str">
        <f>IFNA(VLOOKUP($A110,Spells!$A$2:$I1002,MATCH(G$3,Spells!$A$1:$I$1,0),FALSE))</f>
        <v/>
      </c>
      <c r="H110" s="49" t="str">
        <f>IFNA(VLOOKUP($A110,Spells!$A$2:$I1002,MATCH(H$3,Spells!$A$1:$I$1,0),FALSE))</f>
        <v/>
      </c>
    </row>
    <row r="111">
      <c r="A111" s="49"/>
      <c r="B111" s="49" t="str">
        <f>IFNA(VLOOKUP($A111,Spells!$A$2:$I1002,MATCH(B$3,Spells!$A$1:$I$1,0),FALSE))</f>
        <v/>
      </c>
      <c r="C111" s="49" t="str">
        <f>IFNA(VLOOKUP($A111,Spells!$A$2:$I1002,MATCH(C$3,Spells!$A$1:$I$1,0),FALSE))</f>
        <v/>
      </c>
      <c r="D111" s="49" t="str">
        <f>IFNA(VLOOKUP($A111,Spells!$A$2:$I1002,MATCH(D$3,Spells!$A$1:$I$1,0),FALSE))</f>
        <v/>
      </c>
      <c r="E111" s="49" t="str">
        <f>IFNA(VLOOKUP($A111,Spells!$A$2:$I1002,MATCH(E$3,Spells!$A$1:$I$1,0),FALSE))</f>
        <v/>
      </c>
      <c r="F111" s="49" t="str">
        <f>IFNA(VLOOKUP($A111,Spells!$A$2:$I1002,MATCH(F$3,Spells!$A$1:$I$1,0),FALSE))</f>
        <v/>
      </c>
      <c r="G111" s="49" t="str">
        <f>IFNA(VLOOKUP($A111,Spells!$A$2:$I1002,MATCH(G$3,Spells!$A$1:$I$1,0),FALSE))</f>
        <v/>
      </c>
      <c r="H111" s="49" t="str">
        <f>IFNA(VLOOKUP($A111,Spells!$A$2:$I1002,MATCH(H$3,Spells!$A$1:$I$1,0),FALSE))</f>
        <v/>
      </c>
    </row>
    <row r="112">
      <c r="A112" s="49"/>
      <c r="B112" s="49" t="str">
        <f>IFNA(VLOOKUP($A112,Spells!$A$2:$I1002,MATCH(B$3,Spells!$A$1:$I$1,0),FALSE))</f>
        <v/>
      </c>
      <c r="C112" s="49" t="str">
        <f>IFNA(VLOOKUP($A112,Spells!$A$2:$I1002,MATCH(C$3,Spells!$A$1:$I$1,0),FALSE))</f>
        <v/>
      </c>
      <c r="D112" s="49" t="str">
        <f>IFNA(VLOOKUP($A112,Spells!$A$2:$I1002,MATCH(D$3,Spells!$A$1:$I$1,0),FALSE))</f>
        <v/>
      </c>
      <c r="E112" s="49" t="str">
        <f>IFNA(VLOOKUP($A112,Spells!$A$2:$I1002,MATCH(E$3,Spells!$A$1:$I$1,0),FALSE))</f>
        <v/>
      </c>
      <c r="F112" s="49" t="str">
        <f>IFNA(VLOOKUP($A112,Spells!$A$2:$I1002,MATCH(F$3,Spells!$A$1:$I$1,0),FALSE))</f>
        <v/>
      </c>
      <c r="G112" s="49" t="str">
        <f>IFNA(VLOOKUP($A112,Spells!$A$2:$I1002,MATCH(G$3,Spells!$A$1:$I$1,0),FALSE))</f>
        <v/>
      </c>
      <c r="H112" s="49" t="str">
        <f>IFNA(VLOOKUP($A112,Spells!$A$2:$I1002,MATCH(H$3,Spells!$A$1:$I$1,0),FALSE))</f>
        <v/>
      </c>
    </row>
    <row r="113">
      <c r="A113" s="49"/>
      <c r="B113" s="49" t="str">
        <f>IFNA(VLOOKUP($A113,Spells!$A$2:$I1002,MATCH(B$3,Spells!$A$1:$I$1,0),FALSE))</f>
        <v/>
      </c>
      <c r="C113" s="49" t="str">
        <f>IFNA(VLOOKUP($A113,Spells!$A$2:$I1002,MATCH(C$3,Spells!$A$1:$I$1,0),FALSE))</f>
        <v/>
      </c>
      <c r="D113" s="49" t="str">
        <f>IFNA(VLOOKUP($A113,Spells!$A$2:$I1002,MATCH(D$3,Spells!$A$1:$I$1,0),FALSE))</f>
        <v/>
      </c>
      <c r="E113" s="49" t="str">
        <f>IFNA(VLOOKUP($A113,Spells!$A$2:$I1002,MATCH(E$3,Spells!$A$1:$I$1,0),FALSE))</f>
        <v/>
      </c>
      <c r="F113" s="49" t="str">
        <f>IFNA(VLOOKUP($A113,Spells!$A$2:$I1002,MATCH(F$3,Spells!$A$1:$I$1,0),FALSE))</f>
        <v/>
      </c>
      <c r="G113" s="49" t="str">
        <f>IFNA(VLOOKUP($A113,Spells!$A$2:$I1002,MATCH(G$3,Spells!$A$1:$I$1,0),FALSE))</f>
        <v/>
      </c>
      <c r="H113" s="49" t="str">
        <f>IFNA(VLOOKUP($A113,Spells!$A$2:$I1002,MATCH(H$3,Spells!$A$1:$I$1,0),FALSE))</f>
        <v/>
      </c>
    </row>
    <row r="114">
      <c r="A114" s="49"/>
      <c r="B114" s="49" t="str">
        <f>IFNA(VLOOKUP($A114,Spells!$A$2:$I1002,MATCH(B$3,Spells!$A$1:$I$1,0),FALSE))</f>
        <v/>
      </c>
      <c r="C114" s="49" t="str">
        <f>IFNA(VLOOKUP($A114,Spells!$A$2:$I1002,MATCH(C$3,Spells!$A$1:$I$1,0),FALSE))</f>
        <v/>
      </c>
      <c r="D114" s="49" t="str">
        <f>IFNA(VLOOKUP($A114,Spells!$A$2:$I1002,MATCH(D$3,Spells!$A$1:$I$1,0),FALSE))</f>
        <v/>
      </c>
      <c r="E114" s="49" t="str">
        <f>IFNA(VLOOKUP($A114,Spells!$A$2:$I1002,MATCH(E$3,Spells!$A$1:$I$1,0),FALSE))</f>
        <v/>
      </c>
      <c r="F114" s="49" t="str">
        <f>IFNA(VLOOKUP($A114,Spells!$A$2:$I1002,MATCH(F$3,Spells!$A$1:$I$1,0),FALSE))</f>
        <v/>
      </c>
      <c r="G114" s="49" t="str">
        <f>IFNA(VLOOKUP($A114,Spells!$A$2:$I1002,MATCH(G$3,Spells!$A$1:$I$1,0),FALSE))</f>
        <v/>
      </c>
      <c r="H114" s="49" t="str">
        <f>IFNA(VLOOKUP($A114,Spells!$A$2:$I1002,MATCH(H$3,Spells!$A$1:$I$1,0),FALSE))</f>
        <v/>
      </c>
    </row>
    <row r="115">
      <c r="A115" s="49"/>
      <c r="B115" s="49" t="str">
        <f>IFNA(VLOOKUP($A115,Spells!$A$2:$I1002,MATCH(B$3,Spells!$A$1:$I$1,0),FALSE))</f>
        <v/>
      </c>
      <c r="C115" s="49" t="str">
        <f>IFNA(VLOOKUP($A115,Spells!$A$2:$I1002,MATCH(C$3,Spells!$A$1:$I$1,0),FALSE))</f>
        <v/>
      </c>
      <c r="D115" s="49" t="str">
        <f>IFNA(VLOOKUP($A115,Spells!$A$2:$I1002,MATCH(D$3,Spells!$A$1:$I$1,0),FALSE))</f>
        <v/>
      </c>
      <c r="E115" s="49" t="str">
        <f>IFNA(VLOOKUP($A115,Spells!$A$2:$I1002,MATCH(E$3,Spells!$A$1:$I$1,0),FALSE))</f>
        <v/>
      </c>
      <c r="F115" s="49" t="str">
        <f>IFNA(VLOOKUP($A115,Spells!$A$2:$I1002,MATCH(F$3,Spells!$A$1:$I$1,0),FALSE))</f>
        <v/>
      </c>
      <c r="G115" s="49" t="str">
        <f>IFNA(VLOOKUP($A115,Spells!$A$2:$I1002,MATCH(G$3,Spells!$A$1:$I$1,0),FALSE))</f>
        <v/>
      </c>
      <c r="H115" s="49" t="str">
        <f>IFNA(VLOOKUP($A115,Spells!$A$2:$I1002,MATCH(H$3,Spells!$A$1:$I$1,0),FALSE))</f>
        <v/>
      </c>
    </row>
    <row r="116">
      <c r="A116" s="49"/>
      <c r="B116" s="49" t="str">
        <f>IFNA(VLOOKUP($A116,Spells!$A$2:$I1002,MATCH(B$3,Spells!$A$1:$I$1,0),FALSE))</f>
        <v/>
      </c>
      <c r="C116" s="49" t="str">
        <f>IFNA(VLOOKUP($A116,Spells!$A$2:$I1002,MATCH(C$3,Spells!$A$1:$I$1,0),FALSE))</f>
        <v/>
      </c>
      <c r="D116" s="49" t="str">
        <f>IFNA(VLOOKUP($A116,Spells!$A$2:$I1002,MATCH(D$3,Spells!$A$1:$I$1,0),FALSE))</f>
        <v/>
      </c>
      <c r="E116" s="49" t="str">
        <f>IFNA(VLOOKUP($A116,Spells!$A$2:$I1002,MATCH(E$3,Spells!$A$1:$I$1,0),FALSE))</f>
        <v/>
      </c>
      <c r="F116" s="49" t="str">
        <f>IFNA(VLOOKUP($A116,Spells!$A$2:$I1002,MATCH(F$3,Spells!$A$1:$I$1,0),FALSE))</f>
        <v/>
      </c>
      <c r="G116" s="49" t="str">
        <f>IFNA(VLOOKUP($A116,Spells!$A$2:$I1002,MATCH(G$3,Spells!$A$1:$I$1,0),FALSE))</f>
        <v/>
      </c>
      <c r="H116" s="49" t="str">
        <f>IFNA(VLOOKUP($A116,Spells!$A$2:$I1002,MATCH(H$3,Spells!$A$1:$I$1,0),FALSE))</f>
        <v/>
      </c>
    </row>
    <row r="117">
      <c r="A117" s="49"/>
      <c r="B117" s="49" t="str">
        <f>IFNA(VLOOKUP($A117,Spells!$A$2:$I1002,MATCH(B$3,Spells!$A$1:$I$1,0),FALSE))</f>
        <v/>
      </c>
      <c r="C117" s="49" t="str">
        <f>IFNA(VLOOKUP($A117,Spells!$A$2:$I1002,MATCH(C$3,Spells!$A$1:$I$1,0),FALSE))</f>
        <v/>
      </c>
      <c r="D117" s="49" t="str">
        <f>IFNA(VLOOKUP($A117,Spells!$A$2:$I1002,MATCH(D$3,Spells!$A$1:$I$1,0),FALSE))</f>
        <v/>
      </c>
      <c r="E117" s="49" t="str">
        <f>IFNA(VLOOKUP($A117,Spells!$A$2:$I1002,MATCH(E$3,Spells!$A$1:$I$1,0),FALSE))</f>
        <v/>
      </c>
      <c r="F117" s="49" t="str">
        <f>IFNA(VLOOKUP($A117,Spells!$A$2:$I1002,MATCH(F$3,Spells!$A$1:$I$1,0),FALSE))</f>
        <v/>
      </c>
      <c r="G117" s="49" t="str">
        <f>IFNA(VLOOKUP($A117,Spells!$A$2:$I1002,MATCH(G$3,Spells!$A$1:$I$1,0),FALSE))</f>
        <v/>
      </c>
      <c r="H117" s="49" t="str">
        <f>IFNA(VLOOKUP($A117,Spells!$A$2:$I1002,MATCH(H$3,Spells!$A$1:$I$1,0),FALSE))</f>
        <v/>
      </c>
    </row>
    <row r="118">
      <c r="A118" s="49"/>
      <c r="B118" s="49" t="str">
        <f>IFNA(VLOOKUP($A118,Spells!$A$2:$I1002,MATCH(B$3,Spells!$A$1:$I$1,0),FALSE))</f>
        <v/>
      </c>
      <c r="C118" s="49" t="str">
        <f>IFNA(VLOOKUP($A118,Spells!$A$2:$I1002,MATCH(C$3,Spells!$A$1:$I$1,0),FALSE))</f>
        <v/>
      </c>
      <c r="D118" s="49" t="str">
        <f>IFNA(VLOOKUP($A118,Spells!$A$2:$I1002,MATCH(D$3,Spells!$A$1:$I$1,0),FALSE))</f>
        <v/>
      </c>
      <c r="E118" s="49" t="str">
        <f>IFNA(VLOOKUP($A118,Spells!$A$2:$I1002,MATCH(E$3,Spells!$A$1:$I$1,0),FALSE))</f>
        <v/>
      </c>
      <c r="F118" s="49" t="str">
        <f>IFNA(VLOOKUP($A118,Spells!$A$2:$I1002,MATCH(F$3,Spells!$A$1:$I$1,0),FALSE))</f>
        <v/>
      </c>
      <c r="G118" s="49" t="str">
        <f>IFNA(VLOOKUP($A118,Spells!$A$2:$I1002,MATCH(G$3,Spells!$A$1:$I$1,0),FALSE))</f>
        <v/>
      </c>
      <c r="H118" s="49" t="str">
        <f>IFNA(VLOOKUP($A118,Spells!$A$2:$I1002,MATCH(H$3,Spells!$A$1:$I$1,0),FALSE))</f>
        <v/>
      </c>
    </row>
    <row r="119">
      <c r="A119" s="49"/>
      <c r="B119" s="49" t="str">
        <f>IFNA(VLOOKUP($A119,Spells!$A$2:$I1002,MATCH(B$3,Spells!$A$1:$I$1,0),FALSE))</f>
        <v/>
      </c>
      <c r="C119" s="49" t="str">
        <f>IFNA(VLOOKUP($A119,Spells!$A$2:$I1002,MATCH(C$3,Spells!$A$1:$I$1,0),FALSE))</f>
        <v/>
      </c>
      <c r="D119" s="49" t="str">
        <f>IFNA(VLOOKUP($A119,Spells!$A$2:$I1002,MATCH(D$3,Spells!$A$1:$I$1,0),FALSE))</f>
        <v/>
      </c>
      <c r="E119" s="49" t="str">
        <f>IFNA(VLOOKUP($A119,Spells!$A$2:$I1002,MATCH(E$3,Spells!$A$1:$I$1,0),FALSE))</f>
        <v/>
      </c>
      <c r="F119" s="49" t="str">
        <f>IFNA(VLOOKUP($A119,Spells!$A$2:$I1002,MATCH(F$3,Spells!$A$1:$I$1,0),FALSE))</f>
        <v/>
      </c>
      <c r="G119" s="49" t="str">
        <f>IFNA(VLOOKUP($A119,Spells!$A$2:$I1002,MATCH(G$3,Spells!$A$1:$I$1,0),FALSE))</f>
        <v/>
      </c>
      <c r="H119" s="49" t="str">
        <f>IFNA(VLOOKUP($A119,Spells!$A$2:$I1002,MATCH(H$3,Spells!$A$1:$I$1,0),FALSE))</f>
        <v/>
      </c>
    </row>
    <row r="120">
      <c r="A120" s="49"/>
      <c r="B120" s="49" t="str">
        <f>IFNA(VLOOKUP($A120,Spells!$A$2:$I1002,MATCH(B$3,Spells!$A$1:$I$1,0),FALSE))</f>
        <v/>
      </c>
      <c r="C120" s="49" t="str">
        <f>IFNA(VLOOKUP($A120,Spells!$A$2:$I1002,MATCH(C$3,Spells!$A$1:$I$1,0),FALSE))</f>
        <v/>
      </c>
      <c r="D120" s="49" t="str">
        <f>IFNA(VLOOKUP($A120,Spells!$A$2:$I1002,MATCH(D$3,Spells!$A$1:$I$1,0),FALSE))</f>
        <v/>
      </c>
      <c r="E120" s="49" t="str">
        <f>IFNA(VLOOKUP($A120,Spells!$A$2:$I1002,MATCH(E$3,Spells!$A$1:$I$1,0),FALSE))</f>
        <v/>
      </c>
      <c r="F120" s="49" t="str">
        <f>IFNA(VLOOKUP($A120,Spells!$A$2:$I1002,MATCH(F$3,Spells!$A$1:$I$1,0),FALSE))</f>
        <v/>
      </c>
      <c r="G120" s="49" t="str">
        <f>IFNA(VLOOKUP($A120,Spells!$A$2:$I1002,MATCH(G$3,Spells!$A$1:$I$1,0),FALSE))</f>
        <v/>
      </c>
      <c r="H120" s="49" t="str">
        <f>IFNA(VLOOKUP($A120,Spells!$A$2:$I1002,MATCH(H$3,Spells!$A$1:$I$1,0),FALSE))</f>
        <v/>
      </c>
    </row>
    <row r="121">
      <c r="A121" s="49"/>
      <c r="B121" s="49" t="str">
        <f>IFNA(VLOOKUP($A121,Spells!$A$2:$I1002,MATCH(B$3,Spells!$A$1:$I$1,0),FALSE))</f>
        <v/>
      </c>
      <c r="C121" s="49" t="str">
        <f>IFNA(VLOOKUP($A121,Spells!$A$2:$I1002,MATCH(C$3,Spells!$A$1:$I$1,0),FALSE))</f>
        <v/>
      </c>
      <c r="D121" s="49" t="str">
        <f>IFNA(VLOOKUP($A121,Spells!$A$2:$I1002,MATCH(D$3,Spells!$A$1:$I$1,0),FALSE))</f>
        <v/>
      </c>
      <c r="E121" s="49" t="str">
        <f>IFNA(VLOOKUP($A121,Spells!$A$2:$I1002,MATCH(E$3,Spells!$A$1:$I$1,0),FALSE))</f>
        <v/>
      </c>
      <c r="F121" s="49" t="str">
        <f>IFNA(VLOOKUP($A121,Spells!$A$2:$I1002,MATCH(F$3,Spells!$A$1:$I$1,0),FALSE))</f>
        <v/>
      </c>
      <c r="G121" s="49" t="str">
        <f>IFNA(VLOOKUP($A121,Spells!$A$2:$I1002,MATCH(G$3,Spells!$A$1:$I$1,0),FALSE))</f>
        <v/>
      </c>
      <c r="H121" s="49" t="str">
        <f>IFNA(VLOOKUP($A121,Spells!$A$2:$I1002,MATCH(H$3,Spells!$A$1:$I$1,0),FALSE))</f>
        <v/>
      </c>
    </row>
    <row r="122">
      <c r="A122" s="49"/>
      <c r="B122" s="49" t="str">
        <f>IFNA(VLOOKUP($A122,Spells!$A$2:$I1002,MATCH(B$3,Spells!$A$1:$I$1,0),FALSE))</f>
        <v/>
      </c>
      <c r="C122" s="49" t="str">
        <f>IFNA(VLOOKUP($A122,Spells!$A$2:$I1002,MATCH(C$3,Spells!$A$1:$I$1,0),FALSE))</f>
        <v/>
      </c>
      <c r="D122" s="49" t="str">
        <f>IFNA(VLOOKUP($A122,Spells!$A$2:$I1002,MATCH(D$3,Spells!$A$1:$I$1,0),FALSE))</f>
        <v/>
      </c>
      <c r="E122" s="49" t="str">
        <f>IFNA(VLOOKUP($A122,Spells!$A$2:$I1002,MATCH(E$3,Spells!$A$1:$I$1,0),FALSE))</f>
        <v/>
      </c>
      <c r="F122" s="49" t="str">
        <f>IFNA(VLOOKUP($A122,Spells!$A$2:$I1002,MATCH(F$3,Spells!$A$1:$I$1,0),FALSE))</f>
        <v/>
      </c>
      <c r="G122" s="49" t="str">
        <f>IFNA(VLOOKUP($A122,Spells!$A$2:$I1002,MATCH(G$3,Spells!$A$1:$I$1,0),FALSE))</f>
        <v/>
      </c>
      <c r="H122" s="49" t="str">
        <f>IFNA(VLOOKUP($A122,Spells!$A$2:$I1002,MATCH(H$3,Spells!$A$1:$I$1,0),FALSE))</f>
        <v/>
      </c>
    </row>
    <row r="123">
      <c r="A123" s="49"/>
      <c r="B123" s="49" t="str">
        <f>IFNA(VLOOKUP($A123,Spells!$A$2:$I1002,MATCH(B$3,Spells!$A$1:$I$1,0),FALSE))</f>
        <v/>
      </c>
      <c r="C123" s="49" t="str">
        <f>IFNA(VLOOKUP($A123,Spells!$A$2:$I1002,MATCH(C$3,Spells!$A$1:$I$1,0),FALSE))</f>
        <v/>
      </c>
      <c r="D123" s="49" t="str">
        <f>IFNA(VLOOKUP($A123,Spells!$A$2:$I1002,MATCH(D$3,Spells!$A$1:$I$1,0),FALSE))</f>
        <v/>
      </c>
      <c r="E123" s="49" t="str">
        <f>IFNA(VLOOKUP($A123,Spells!$A$2:$I1002,MATCH(E$3,Spells!$A$1:$I$1,0),FALSE))</f>
        <v/>
      </c>
      <c r="F123" s="49" t="str">
        <f>IFNA(VLOOKUP($A123,Spells!$A$2:$I1002,MATCH(F$3,Spells!$A$1:$I$1,0),FALSE))</f>
        <v/>
      </c>
      <c r="G123" s="49" t="str">
        <f>IFNA(VLOOKUP($A123,Spells!$A$2:$I1002,MATCH(G$3,Spells!$A$1:$I$1,0),FALSE))</f>
        <v/>
      </c>
      <c r="H123" s="49" t="str">
        <f>IFNA(VLOOKUP($A123,Spells!$A$2:$I1002,MATCH(H$3,Spells!$A$1:$I$1,0),FALSE))</f>
        <v/>
      </c>
    </row>
    <row r="124">
      <c r="A124" s="49"/>
      <c r="B124" s="49" t="str">
        <f>IFNA(VLOOKUP($A124,Spells!$A$2:$I1002,MATCH(B$3,Spells!$A$1:$I$1,0),FALSE))</f>
        <v/>
      </c>
      <c r="C124" s="49" t="str">
        <f>IFNA(VLOOKUP($A124,Spells!$A$2:$I1002,MATCH(C$3,Spells!$A$1:$I$1,0),FALSE))</f>
        <v/>
      </c>
      <c r="D124" s="49" t="str">
        <f>IFNA(VLOOKUP($A124,Spells!$A$2:$I1002,MATCH(D$3,Spells!$A$1:$I$1,0),FALSE))</f>
        <v/>
      </c>
      <c r="E124" s="49" t="str">
        <f>IFNA(VLOOKUP($A124,Spells!$A$2:$I1002,MATCH(E$3,Spells!$A$1:$I$1,0),FALSE))</f>
        <v/>
      </c>
      <c r="F124" s="49" t="str">
        <f>IFNA(VLOOKUP($A124,Spells!$A$2:$I1002,MATCH(F$3,Spells!$A$1:$I$1,0),FALSE))</f>
        <v/>
      </c>
      <c r="G124" s="49" t="str">
        <f>IFNA(VLOOKUP($A124,Spells!$A$2:$I1002,MATCH(G$3,Spells!$A$1:$I$1,0),FALSE))</f>
        <v/>
      </c>
      <c r="H124" s="49" t="str">
        <f>IFNA(VLOOKUP($A124,Spells!$A$2:$I1002,MATCH(H$3,Spells!$A$1:$I$1,0),FALSE))</f>
        <v/>
      </c>
    </row>
    <row r="125">
      <c r="A125" s="49"/>
      <c r="B125" s="49" t="str">
        <f>IFNA(VLOOKUP($A125,Spells!$A$2:$I1002,MATCH(B$3,Spells!$A$1:$I$1,0),FALSE))</f>
        <v/>
      </c>
      <c r="C125" s="49" t="str">
        <f>IFNA(VLOOKUP($A125,Spells!$A$2:$I1002,MATCH(C$3,Spells!$A$1:$I$1,0),FALSE))</f>
        <v/>
      </c>
      <c r="D125" s="49" t="str">
        <f>IFNA(VLOOKUP($A125,Spells!$A$2:$I1002,MATCH(D$3,Spells!$A$1:$I$1,0),FALSE))</f>
        <v/>
      </c>
      <c r="E125" s="49" t="str">
        <f>IFNA(VLOOKUP($A125,Spells!$A$2:$I1002,MATCH(E$3,Spells!$A$1:$I$1,0),FALSE))</f>
        <v/>
      </c>
      <c r="F125" s="49" t="str">
        <f>IFNA(VLOOKUP($A125,Spells!$A$2:$I1002,MATCH(F$3,Spells!$A$1:$I$1,0),FALSE))</f>
        <v/>
      </c>
      <c r="G125" s="49" t="str">
        <f>IFNA(VLOOKUP($A125,Spells!$A$2:$I1002,MATCH(G$3,Spells!$A$1:$I$1,0),FALSE))</f>
        <v/>
      </c>
      <c r="H125" s="49" t="str">
        <f>IFNA(VLOOKUP($A125,Spells!$A$2:$I1002,MATCH(H$3,Spells!$A$1:$I$1,0),FALSE))</f>
        <v/>
      </c>
    </row>
    <row r="126">
      <c r="A126" s="49"/>
      <c r="B126" s="49" t="str">
        <f>IFNA(VLOOKUP($A126,Spells!$A$2:$I1002,MATCH(B$3,Spells!$A$1:$I$1,0),FALSE))</f>
        <v/>
      </c>
      <c r="C126" s="49" t="str">
        <f>IFNA(VLOOKUP($A126,Spells!$A$2:$I1002,MATCH(C$3,Spells!$A$1:$I$1,0),FALSE))</f>
        <v/>
      </c>
      <c r="D126" s="49" t="str">
        <f>IFNA(VLOOKUP($A126,Spells!$A$2:$I1002,MATCH(D$3,Spells!$A$1:$I$1,0),FALSE))</f>
        <v/>
      </c>
      <c r="E126" s="49" t="str">
        <f>IFNA(VLOOKUP($A126,Spells!$A$2:$I1002,MATCH(E$3,Spells!$A$1:$I$1,0),FALSE))</f>
        <v/>
      </c>
      <c r="F126" s="49" t="str">
        <f>IFNA(VLOOKUP($A126,Spells!$A$2:$I1002,MATCH(F$3,Spells!$A$1:$I$1,0),FALSE))</f>
        <v/>
      </c>
      <c r="G126" s="49" t="str">
        <f>IFNA(VLOOKUP($A126,Spells!$A$2:$I1002,MATCH(G$3,Spells!$A$1:$I$1,0),FALSE))</f>
        <v/>
      </c>
      <c r="H126" s="49" t="str">
        <f>IFNA(VLOOKUP($A126,Spells!$A$2:$I1002,MATCH(H$3,Spells!$A$1:$I$1,0),FALSE))</f>
        <v/>
      </c>
    </row>
    <row r="127">
      <c r="A127" s="49"/>
      <c r="B127" s="49" t="str">
        <f>IFNA(VLOOKUP($A127,Spells!$A$2:$I1002,MATCH(B$3,Spells!$A$1:$I$1,0),FALSE))</f>
        <v/>
      </c>
      <c r="C127" s="49" t="str">
        <f>IFNA(VLOOKUP($A127,Spells!$A$2:$I1002,MATCH(C$3,Spells!$A$1:$I$1,0),FALSE))</f>
        <v/>
      </c>
      <c r="D127" s="49" t="str">
        <f>IFNA(VLOOKUP($A127,Spells!$A$2:$I1002,MATCH(D$3,Spells!$A$1:$I$1,0),FALSE))</f>
        <v/>
      </c>
      <c r="E127" s="49" t="str">
        <f>IFNA(VLOOKUP($A127,Spells!$A$2:$I1002,MATCH(E$3,Spells!$A$1:$I$1,0),FALSE))</f>
        <v/>
      </c>
      <c r="F127" s="49" t="str">
        <f>IFNA(VLOOKUP($A127,Spells!$A$2:$I1002,MATCH(F$3,Spells!$A$1:$I$1,0),FALSE))</f>
        <v/>
      </c>
      <c r="G127" s="49" t="str">
        <f>IFNA(VLOOKUP($A127,Spells!$A$2:$I1002,MATCH(G$3,Spells!$A$1:$I$1,0),FALSE))</f>
        <v/>
      </c>
      <c r="H127" s="49" t="str">
        <f>IFNA(VLOOKUP($A127,Spells!$A$2:$I1002,MATCH(H$3,Spells!$A$1:$I$1,0),FALSE))</f>
        <v/>
      </c>
    </row>
    <row r="128">
      <c r="A128" s="49"/>
      <c r="B128" s="49" t="str">
        <f>IFNA(VLOOKUP($A128,Spells!$A$2:$I1002,MATCH(B$3,Spells!$A$1:$I$1,0),FALSE))</f>
        <v/>
      </c>
      <c r="C128" s="49" t="str">
        <f>IFNA(VLOOKUP($A128,Spells!$A$2:$I1002,MATCH(C$3,Spells!$A$1:$I$1,0),FALSE))</f>
        <v/>
      </c>
      <c r="D128" s="49" t="str">
        <f>IFNA(VLOOKUP($A128,Spells!$A$2:$I1002,MATCH(D$3,Spells!$A$1:$I$1,0),FALSE))</f>
        <v/>
      </c>
      <c r="E128" s="49" t="str">
        <f>IFNA(VLOOKUP($A128,Spells!$A$2:$I1002,MATCH(E$3,Spells!$A$1:$I$1,0),FALSE))</f>
        <v/>
      </c>
      <c r="F128" s="49" t="str">
        <f>IFNA(VLOOKUP($A128,Spells!$A$2:$I1002,MATCH(F$3,Spells!$A$1:$I$1,0),FALSE))</f>
        <v/>
      </c>
      <c r="G128" s="49" t="str">
        <f>IFNA(VLOOKUP($A128,Spells!$A$2:$I1002,MATCH(G$3,Spells!$A$1:$I$1,0),FALSE))</f>
        <v/>
      </c>
      <c r="H128" s="49" t="str">
        <f>IFNA(VLOOKUP($A128,Spells!$A$2:$I1002,MATCH(H$3,Spells!$A$1:$I$1,0),FALSE))</f>
        <v/>
      </c>
    </row>
    <row r="129">
      <c r="A129" s="49"/>
      <c r="B129" s="49" t="str">
        <f>IFNA(VLOOKUP($A129,Spells!$A$2:$I1002,MATCH(B$3,Spells!$A$1:$I$1,0),FALSE))</f>
        <v/>
      </c>
      <c r="C129" s="49" t="str">
        <f>IFNA(VLOOKUP($A129,Spells!$A$2:$I1002,MATCH(C$3,Spells!$A$1:$I$1,0),FALSE))</f>
        <v/>
      </c>
      <c r="D129" s="49" t="str">
        <f>IFNA(VLOOKUP($A129,Spells!$A$2:$I1002,MATCH(D$3,Spells!$A$1:$I$1,0),FALSE))</f>
        <v/>
      </c>
      <c r="E129" s="49" t="str">
        <f>IFNA(VLOOKUP($A129,Spells!$A$2:$I1002,MATCH(E$3,Spells!$A$1:$I$1,0),FALSE))</f>
        <v/>
      </c>
      <c r="F129" s="49" t="str">
        <f>IFNA(VLOOKUP($A129,Spells!$A$2:$I1002,MATCH(F$3,Spells!$A$1:$I$1,0),FALSE))</f>
        <v/>
      </c>
      <c r="G129" s="49" t="str">
        <f>IFNA(VLOOKUP($A129,Spells!$A$2:$I1002,MATCH(G$3,Spells!$A$1:$I$1,0),FALSE))</f>
        <v/>
      </c>
      <c r="H129" s="49" t="str">
        <f>IFNA(VLOOKUP($A129,Spells!$A$2:$I1002,MATCH(H$3,Spells!$A$1:$I$1,0),FALSE))</f>
        <v/>
      </c>
    </row>
    <row r="130">
      <c r="A130" s="49"/>
      <c r="B130" s="49" t="str">
        <f>IFNA(VLOOKUP($A130,Spells!$A$2:$I1002,MATCH(B$3,Spells!$A$1:$I$1,0),FALSE))</f>
        <v/>
      </c>
      <c r="C130" s="49" t="str">
        <f>IFNA(VLOOKUP($A130,Spells!$A$2:$I1002,MATCH(C$3,Spells!$A$1:$I$1,0),FALSE))</f>
        <v/>
      </c>
      <c r="D130" s="49" t="str">
        <f>IFNA(VLOOKUP($A130,Spells!$A$2:$I1002,MATCH(D$3,Spells!$A$1:$I$1,0),FALSE))</f>
        <v/>
      </c>
      <c r="E130" s="49" t="str">
        <f>IFNA(VLOOKUP($A130,Spells!$A$2:$I1002,MATCH(E$3,Spells!$A$1:$I$1,0),FALSE))</f>
        <v/>
      </c>
      <c r="F130" s="49" t="str">
        <f>IFNA(VLOOKUP($A130,Spells!$A$2:$I1002,MATCH(F$3,Spells!$A$1:$I$1,0),FALSE))</f>
        <v/>
      </c>
      <c r="G130" s="49" t="str">
        <f>IFNA(VLOOKUP($A130,Spells!$A$2:$I1002,MATCH(G$3,Spells!$A$1:$I$1,0),FALSE))</f>
        <v/>
      </c>
      <c r="H130" s="49" t="str">
        <f>IFNA(VLOOKUP($A130,Spells!$A$2:$I1002,MATCH(H$3,Spells!$A$1:$I$1,0),FALSE))</f>
        <v/>
      </c>
    </row>
    <row r="131">
      <c r="A131" s="49"/>
      <c r="B131" s="49" t="str">
        <f>IFNA(VLOOKUP($A131,Spells!$A$2:$I1002,MATCH(B$3,Spells!$A$1:$I$1,0),FALSE))</f>
        <v/>
      </c>
      <c r="C131" s="49" t="str">
        <f>IFNA(VLOOKUP($A131,Spells!$A$2:$I1002,MATCH(C$3,Spells!$A$1:$I$1,0),FALSE))</f>
        <v/>
      </c>
      <c r="D131" s="49" t="str">
        <f>IFNA(VLOOKUP($A131,Spells!$A$2:$I1002,MATCH(D$3,Spells!$A$1:$I$1,0),FALSE))</f>
        <v/>
      </c>
      <c r="E131" s="49" t="str">
        <f>IFNA(VLOOKUP($A131,Spells!$A$2:$I1002,MATCH(E$3,Spells!$A$1:$I$1,0),FALSE))</f>
        <v/>
      </c>
      <c r="F131" s="49" t="str">
        <f>IFNA(VLOOKUP($A131,Spells!$A$2:$I1002,MATCH(F$3,Spells!$A$1:$I$1,0),FALSE))</f>
        <v/>
      </c>
      <c r="G131" s="49" t="str">
        <f>IFNA(VLOOKUP($A131,Spells!$A$2:$I1002,MATCH(G$3,Spells!$A$1:$I$1,0),FALSE))</f>
        <v/>
      </c>
      <c r="H131" s="49" t="str">
        <f>IFNA(VLOOKUP($A131,Spells!$A$2:$I1002,MATCH(H$3,Spells!$A$1:$I$1,0),FALSE))</f>
        <v/>
      </c>
    </row>
    <row r="132">
      <c r="A132" s="49"/>
      <c r="B132" s="49" t="str">
        <f>IFNA(VLOOKUP($A132,Spells!$A$2:$I1002,MATCH(B$3,Spells!$A$1:$I$1,0),FALSE))</f>
        <v/>
      </c>
      <c r="C132" s="49" t="str">
        <f>IFNA(VLOOKUP($A132,Spells!$A$2:$I1002,MATCH(C$3,Spells!$A$1:$I$1,0),FALSE))</f>
        <v/>
      </c>
      <c r="D132" s="49" t="str">
        <f>IFNA(VLOOKUP($A132,Spells!$A$2:$I1002,MATCH(D$3,Spells!$A$1:$I$1,0),FALSE))</f>
        <v/>
      </c>
      <c r="E132" s="49" t="str">
        <f>IFNA(VLOOKUP($A132,Spells!$A$2:$I1002,MATCH(E$3,Spells!$A$1:$I$1,0),FALSE))</f>
        <v/>
      </c>
      <c r="F132" s="49" t="str">
        <f>IFNA(VLOOKUP($A132,Spells!$A$2:$I1002,MATCH(F$3,Spells!$A$1:$I$1,0),FALSE))</f>
        <v/>
      </c>
      <c r="G132" s="49" t="str">
        <f>IFNA(VLOOKUP($A132,Spells!$A$2:$I1002,MATCH(G$3,Spells!$A$1:$I$1,0),FALSE))</f>
        <v/>
      </c>
      <c r="H132" s="49" t="str">
        <f>IFNA(VLOOKUP($A132,Spells!$A$2:$I1002,MATCH(H$3,Spells!$A$1:$I$1,0),FALSE))</f>
        <v/>
      </c>
    </row>
    <row r="133">
      <c r="A133" s="49"/>
      <c r="B133" s="49" t="str">
        <f>IFNA(VLOOKUP($A133,Spells!$A$2:$I1002,MATCH(B$3,Spells!$A$1:$I$1,0),FALSE))</f>
        <v/>
      </c>
      <c r="C133" s="49" t="str">
        <f>IFNA(VLOOKUP($A133,Spells!$A$2:$I1002,MATCH(C$3,Spells!$A$1:$I$1,0),FALSE))</f>
        <v/>
      </c>
      <c r="D133" s="49" t="str">
        <f>IFNA(VLOOKUP($A133,Spells!$A$2:$I1002,MATCH(D$3,Spells!$A$1:$I$1,0),FALSE))</f>
        <v/>
      </c>
      <c r="E133" s="49" t="str">
        <f>IFNA(VLOOKUP($A133,Spells!$A$2:$I1002,MATCH(E$3,Spells!$A$1:$I$1,0),FALSE))</f>
        <v/>
      </c>
      <c r="F133" s="49" t="str">
        <f>IFNA(VLOOKUP($A133,Spells!$A$2:$I1002,MATCH(F$3,Spells!$A$1:$I$1,0),FALSE))</f>
        <v/>
      </c>
      <c r="G133" s="49" t="str">
        <f>IFNA(VLOOKUP($A133,Spells!$A$2:$I1002,MATCH(G$3,Spells!$A$1:$I$1,0),FALSE))</f>
        <v/>
      </c>
      <c r="H133" s="49" t="str">
        <f>IFNA(VLOOKUP($A133,Spells!$A$2:$I1002,MATCH(H$3,Spells!$A$1:$I$1,0),FALSE))</f>
        <v/>
      </c>
    </row>
    <row r="134">
      <c r="A134" s="49"/>
      <c r="B134" s="49" t="str">
        <f>IFNA(VLOOKUP($A134,Spells!$A$2:$I1002,MATCH(B$3,Spells!$A$1:$I$1,0),FALSE))</f>
        <v/>
      </c>
      <c r="C134" s="49" t="str">
        <f>IFNA(VLOOKUP($A134,Spells!$A$2:$I1002,MATCH(C$3,Spells!$A$1:$I$1,0),FALSE))</f>
        <v/>
      </c>
      <c r="D134" s="49" t="str">
        <f>IFNA(VLOOKUP($A134,Spells!$A$2:$I1002,MATCH(D$3,Spells!$A$1:$I$1,0),FALSE))</f>
        <v/>
      </c>
      <c r="E134" s="49" t="str">
        <f>IFNA(VLOOKUP($A134,Spells!$A$2:$I1002,MATCH(E$3,Spells!$A$1:$I$1,0),FALSE))</f>
        <v/>
      </c>
      <c r="F134" s="49" t="str">
        <f>IFNA(VLOOKUP($A134,Spells!$A$2:$I1002,MATCH(F$3,Spells!$A$1:$I$1,0),FALSE))</f>
        <v/>
      </c>
      <c r="G134" s="49" t="str">
        <f>IFNA(VLOOKUP($A134,Spells!$A$2:$I1002,MATCH(G$3,Spells!$A$1:$I$1,0),FALSE))</f>
        <v/>
      </c>
      <c r="H134" s="49" t="str">
        <f>IFNA(VLOOKUP($A134,Spells!$A$2:$I1002,MATCH(H$3,Spells!$A$1:$I$1,0),FALSE))</f>
        <v/>
      </c>
    </row>
    <row r="135">
      <c r="A135" s="49"/>
      <c r="B135" s="49" t="str">
        <f>IFNA(VLOOKUP($A135,Spells!$A$2:$I1002,MATCH(B$3,Spells!$A$1:$I$1,0),FALSE))</f>
        <v/>
      </c>
      <c r="C135" s="49" t="str">
        <f>IFNA(VLOOKUP($A135,Spells!$A$2:$I1002,MATCH(C$3,Spells!$A$1:$I$1,0),FALSE))</f>
        <v/>
      </c>
      <c r="D135" s="49" t="str">
        <f>IFNA(VLOOKUP($A135,Spells!$A$2:$I1002,MATCH(D$3,Spells!$A$1:$I$1,0),FALSE))</f>
        <v/>
      </c>
      <c r="E135" s="49" t="str">
        <f>IFNA(VLOOKUP($A135,Spells!$A$2:$I1002,MATCH(E$3,Spells!$A$1:$I$1,0),FALSE))</f>
        <v/>
      </c>
      <c r="F135" s="49" t="str">
        <f>IFNA(VLOOKUP($A135,Spells!$A$2:$I1002,MATCH(F$3,Spells!$A$1:$I$1,0),FALSE))</f>
        <v/>
      </c>
      <c r="G135" s="49" t="str">
        <f>IFNA(VLOOKUP($A135,Spells!$A$2:$I1002,MATCH(G$3,Spells!$A$1:$I$1,0),FALSE))</f>
        <v/>
      </c>
      <c r="H135" s="49" t="str">
        <f>IFNA(VLOOKUP($A135,Spells!$A$2:$I1002,MATCH(H$3,Spells!$A$1:$I$1,0),FALSE))</f>
        <v/>
      </c>
    </row>
    <row r="136">
      <c r="A136" s="49"/>
      <c r="B136" s="49" t="str">
        <f>IFNA(VLOOKUP($A136,Spells!$A$2:$I1002,MATCH(B$3,Spells!$A$1:$I$1,0),FALSE))</f>
        <v/>
      </c>
      <c r="C136" s="49" t="str">
        <f>IFNA(VLOOKUP($A136,Spells!$A$2:$I1002,MATCH(C$3,Spells!$A$1:$I$1,0),FALSE))</f>
        <v/>
      </c>
      <c r="D136" s="49" t="str">
        <f>IFNA(VLOOKUP($A136,Spells!$A$2:$I1002,MATCH(D$3,Spells!$A$1:$I$1,0),FALSE))</f>
        <v/>
      </c>
      <c r="E136" s="49" t="str">
        <f>IFNA(VLOOKUP($A136,Spells!$A$2:$I1002,MATCH(E$3,Spells!$A$1:$I$1,0),FALSE))</f>
        <v/>
      </c>
      <c r="F136" s="49" t="str">
        <f>IFNA(VLOOKUP($A136,Spells!$A$2:$I1002,MATCH(F$3,Spells!$A$1:$I$1,0),FALSE))</f>
        <v/>
      </c>
      <c r="G136" s="49" t="str">
        <f>IFNA(VLOOKUP($A136,Spells!$A$2:$I1002,MATCH(G$3,Spells!$A$1:$I$1,0),FALSE))</f>
        <v/>
      </c>
      <c r="H136" s="49" t="str">
        <f>IFNA(VLOOKUP($A136,Spells!$A$2:$I1002,MATCH(H$3,Spells!$A$1:$I$1,0),FALSE))</f>
        <v/>
      </c>
    </row>
    <row r="137">
      <c r="A137" s="49"/>
      <c r="B137" s="49" t="str">
        <f>IFNA(VLOOKUP($A137,Spells!$A$2:$I1002,MATCH(B$3,Spells!$A$1:$I$1,0),FALSE))</f>
        <v/>
      </c>
      <c r="C137" s="49" t="str">
        <f>IFNA(VLOOKUP($A137,Spells!$A$2:$I1002,MATCH(C$3,Spells!$A$1:$I$1,0),FALSE))</f>
        <v/>
      </c>
      <c r="D137" s="49" t="str">
        <f>IFNA(VLOOKUP($A137,Spells!$A$2:$I1002,MATCH(D$3,Spells!$A$1:$I$1,0),FALSE))</f>
        <v/>
      </c>
      <c r="E137" s="49" t="str">
        <f>IFNA(VLOOKUP($A137,Spells!$A$2:$I1002,MATCH(E$3,Spells!$A$1:$I$1,0),FALSE))</f>
        <v/>
      </c>
      <c r="F137" s="49" t="str">
        <f>IFNA(VLOOKUP($A137,Spells!$A$2:$I1002,MATCH(F$3,Spells!$A$1:$I$1,0),FALSE))</f>
        <v/>
      </c>
      <c r="G137" s="49" t="str">
        <f>IFNA(VLOOKUP($A137,Spells!$A$2:$I1002,MATCH(G$3,Spells!$A$1:$I$1,0),FALSE))</f>
        <v/>
      </c>
      <c r="H137" s="49" t="str">
        <f>IFNA(VLOOKUP($A137,Spells!$A$2:$I1002,MATCH(H$3,Spells!$A$1:$I$1,0),FALSE))</f>
        <v/>
      </c>
    </row>
    <row r="138">
      <c r="A138" s="49"/>
      <c r="B138" s="49" t="str">
        <f>IFNA(VLOOKUP($A138,Spells!$A$2:$I1002,MATCH(B$3,Spells!$A$1:$I$1,0),FALSE))</f>
        <v/>
      </c>
      <c r="C138" s="49" t="str">
        <f>IFNA(VLOOKUP($A138,Spells!$A$2:$I1002,MATCH(C$3,Spells!$A$1:$I$1,0),FALSE))</f>
        <v/>
      </c>
      <c r="D138" s="49" t="str">
        <f>IFNA(VLOOKUP($A138,Spells!$A$2:$I1002,MATCH(D$3,Spells!$A$1:$I$1,0),FALSE))</f>
        <v/>
      </c>
      <c r="E138" s="49" t="str">
        <f>IFNA(VLOOKUP($A138,Spells!$A$2:$I1002,MATCH(E$3,Spells!$A$1:$I$1,0),FALSE))</f>
        <v/>
      </c>
      <c r="F138" s="49" t="str">
        <f>IFNA(VLOOKUP($A138,Spells!$A$2:$I1002,MATCH(F$3,Spells!$A$1:$I$1,0),FALSE))</f>
        <v/>
      </c>
      <c r="G138" s="49" t="str">
        <f>IFNA(VLOOKUP($A138,Spells!$A$2:$I1002,MATCH(G$3,Spells!$A$1:$I$1,0),FALSE))</f>
        <v/>
      </c>
      <c r="H138" s="49" t="str">
        <f>IFNA(VLOOKUP($A138,Spells!$A$2:$I1002,MATCH(H$3,Spells!$A$1:$I$1,0),FALSE))</f>
        <v/>
      </c>
    </row>
    <row r="139">
      <c r="A139" s="49"/>
      <c r="B139" s="49" t="str">
        <f>IFNA(VLOOKUP($A139,Spells!$A$2:$I1002,MATCH(B$3,Spells!$A$1:$I$1,0),FALSE))</f>
        <v/>
      </c>
      <c r="C139" s="49" t="str">
        <f>IFNA(VLOOKUP($A139,Spells!$A$2:$I1002,MATCH(C$3,Spells!$A$1:$I$1,0),FALSE))</f>
        <v/>
      </c>
      <c r="D139" s="49" t="str">
        <f>IFNA(VLOOKUP($A139,Spells!$A$2:$I1002,MATCH(D$3,Spells!$A$1:$I$1,0),FALSE))</f>
        <v/>
      </c>
      <c r="E139" s="49" t="str">
        <f>IFNA(VLOOKUP($A139,Spells!$A$2:$I1002,MATCH(E$3,Spells!$A$1:$I$1,0),FALSE))</f>
        <v/>
      </c>
      <c r="F139" s="49" t="str">
        <f>IFNA(VLOOKUP($A139,Spells!$A$2:$I1002,MATCH(F$3,Spells!$A$1:$I$1,0),FALSE))</f>
        <v/>
      </c>
      <c r="G139" s="49" t="str">
        <f>IFNA(VLOOKUP($A139,Spells!$A$2:$I1002,MATCH(G$3,Spells!$A$1:$I$1,0),FALSE))</f>
        <v/>
      </c>
      <c r="H139" s="49" t="str">
        <f>IFNA(VLOOKUP($A139,Spells!$A$2:$I1002,MATCH(H$3,Spells!$A$1:$I$1,0),FALSE))</f>
        <v/>
      </c>
    </row>
    <row r="140">
      <c r="A140" s="49"/>
      <c r="B140" s="49" t="str">
        <f>IFNA(VLOOKUP($A140,Spells!$A$2:$I1002,MATCH(B$3,Spells!$A$1:$I$1,0),FALSE))</f>
        <v/>
      </c>
      <c r="C140" s="49" t="str">
        <f>IFNA(VLOOKUP($A140,Spells!$A$2:$I1002,MATCH(C$3,Spells!$A$1:$I$1,0),FALSE))</f>
        <v/>
      </c>
      <c r="D140" s="49" t="str">
        <f>IFNA(VLOOKUP($A140,Spells!$A$2:$I1002,MATCH(D$3,Spells!$A$1:$I$1,0),FALSE))</f>
        <v/>
      </c>
      <c r="E140" s="49" t="str">
        <f>IFNA(VLOOKUP($A140,Spells!$A$2:$I1002,MATCH(E$3,Spells!$A$1:$I$1,0),FALSE))</f>
        <v/>
      </c>
      <c r="F140" s="49" t="str">
        <f>IFNA(VLOOKUP($A140,Spells!$A$2:$I1002,MATCH(F$3,Spells!$A$1:$I$1,0),FALSE))</f>
        <v/>
      </c>
      <c r="G140" s="49" t="str">
        <f>IFNA(VLOOKUP($A140,Spells!$A$2:$I1002,MATCH(G$3,Spells!$A$1:$I$1,0),FALSE))</f>
        <v/>
      </c>
      <c r="H140" s="49" t="str">
        <f>IFNA(VLOOKUP($A140,Spells!$A$2:$I1002,MATCH(H$3,Spells!$A$1:$I$1,0),FALSE))</f>
        <v/>
      </c>
    </row>
    <row r="141">
      <c r="A141" s="49"/>
      <c r="B141" s="49" t="str">
        <f>IFNA(VLOOKUP($A141,Spells!$A$2:$I1002,MATCH(B$3,Spells!$A$1:$I$1,0),FALSE))</f>
        <v/>
      </c>
      <c r="C141" s="49" t="str">
        <f>IFNA(VLOOKUP($A141,Spells!$A$2:$I1002,MATCH(C$3,Spells!$A$1:$I$1,0),FALSE))</f>
        <v/>
      </c>
      <c r="D141" s="49" t="str">
        <f>IFNA(VLOOKUP($A141,Spells!$A$2:$I1002,MATCH(D$3,Spells!$A$1:$I$1,0),FALSE))</f>
        <v/>
      </c>
      <c r="E141" s="49" t="str">
        <f>IFNA(VLOOKUP($A141,Spells!$A$2:$I1002,MATCH(E$3,Spells!$A$1:$I$1,0),FALSE))</f>
        <v/>
      </c>
      <c r="F141" s="49" t="str">
        <f>IFNA(VLOOKUP($A141,Spells!$A$2:$I1002,MATCH(F$3,Spells!$A$1:$I$1,0),FALSE))</f>
        <v/>
      </c>
      <c r="G141" s="49" t="str">
        <f>IFNA(VLOOKUP($A141,Spells!$A$2:$I1002,MATCH(G$3,Spells!$A$1:$I$1,0),FALSE))</f>
        <v/>
      </c>
      <c r="H141" s="49" t="str">
        <f>IFNA(VLOOKUP($A141,Spells!$A$2:$I1002,MATCH(H$3,Spells!$A$1:$I$1,0),FALSE))</f>
        <v/>
      </c>
    </row>
    <row r="142">
      <c r="A142" s="49"/>
      <c r="B142" s="49" t="str">
        <f>IFNA(VLOOKUP($A142,Spells!$A$2:$I1002,MATCH(B$3,Spells!$A$1:$I$1,0),FALSE))</f>
        <v/>
      </c>
      <c r="C142" s="49" t="str">
        <f>IFNA(VLOOKUP($A142,Spells!$A$2:$I1002,MATCH(C$3,Spells!$A$1:$I$1,0),FALSE))</f>
        <v/>
      </c>
      <c r="D142" s="49" t="str">
        <f>IFNA(VLOOKUP($A142,Spells!$A$2:$I1002,MATCH(D$3,Spells!$A$1:$I$1,0),FALSE))</f>
        <v/>
      </c>
      <c r="E142" s="49" t="str">
        <f>IFNA(VLOOKUP($A142,Spells!$A$2:$I1002,MATCH(E$3,Spells!$A$1:$I$1,0),FALSE))</f>
        <v/>
      </c>
      <c r="F142" s="49" t="str">
        <f>IFNA(VLOOKUP($A142,Spells!$A$2:$I1002,MATCH(F$3,Spells!$A$1:$I$1,0),FALSE))</f>
        <v/>
      </c>
      <c r="G142" s="49" t="str">
        <f>IFNA(VLOOKUP($A142,Spells!$A$2:$I1002,MATCH(G$3,Spells!$A$1:$I$1,0),FALSE))</f>
        <v/>
      </c>
      <c r="H142" s="49" t="str">
        <f>IFNA(VLOOKUP($A142,Spells!$A$2:$I1002,MATCH(H$3,Spells!$A$1:$I$1,0),FALSE))</f>
        <v/>
      </c>
    </row>
    <row r="143">
      <c r="A143" s="49"/>
      <c r="B143" s="49" t="str">
        <f>IFNA(VLOOKUP($A143,Spells!$A$2:$I1002,MATCH(B$3,Spells!$A$1:$I$1,0),FALSE))</f>
        <v/>
      </c>
      <c r="C143" s="49" t="str">
        <f>IFNA(VLOOKUP($A143,Spells!$A$2:$I1002,MATCH(C$3,Spells!$A$1:$I$1,0),FALSE))</f>
        <v/>
      </c>
      <c r="D143" s="49" t="str">
        <f>IFNA(VLOOKUP($A143,Spells!$A$2:$I1002,MATCH(D$3,Spells!$A$1:$I$1,0),FALSE))</f>
        <v/>
      </c>
      <c r="E143" s="49" t="str">
        <f>IFNA(VLOOKUP($A143,Spells!$A$2:$I1002,MATCH(E$3,Spells!$A$1:$I$1,0),FALSE))</f>
        <v/>
      </c>
      <c r="F143" s="49" t="str">
        <f>IFNA(VLOOKUP($A143,Spells!$A$2:$I1002,MATCH(F$3,Spells!$A$1:$I$1,0),FALSE))</f>
        <v/>
      </c>
      <c r="G143" s="49" t="str">
        <f>IFNA(VLOOKUP($A143,Spells!$A$2:$I1002,MATCH(G$3,Spells!$A$1:$I$1,0),FALSE))</f>
        <v/>
      </c>
      <c r="H143" s="49" t="str">
        <f>IFNA(VLOOKUP($A143,Spells!$A$2:$I1002,MATCH(H$3,Spells!$A$1:$I$1,0),FALSE))</f>
        <v/>
      </c>
    </row>
    <row r="144">
      <c r="A144" s="49"/>
      <c r="B144" s="49" t="str">
        <f>IFNA(VLOOKUP($A144,Spells!$A$2:$I1002,MATCH(B$3,Spells!$A$1:$I$1,0),FALSE))</f>
        <v/>
      </c>
      <c r="C144" s="49" t="str">
        <f>IFNA(VLOOKUP($A144,Spells!$A$2:$I1002,MATCH(C$3,Spells!$A$1:$I$1,0),FALSE))</f>
        <v/>
      </c>
      <c r="D144" s="49" t="str">
        <f>IFNA(VLOOKUP($A144,Spells!$A$2:$I1002,MATCH(D$3,Spells!$A$1:$I$1,0),FALSE))</f>
        <v/>
      </c>
      <c r="E144" s="49" t="str">
        <f>IFNA(VLOOKUP($A144,Spells!$A$2:$I1002,MATCH(E$3,Spells!$A$1:$I$1,0),FALSE))</f>
        <v/>
      </c>
      <c r="F144" s="49" t="str">
        <f>IFNA(VLOOKUP($A144,Spells!$A$2:$I1002,MATCH(F$3,Spells!$A$1:$I$1,0),FALSE))</f>
        <v/>
      </c>
      <c r="G144" s="49" t="str">
        <f>IFNA(VLOOKUP($A144,Spells!$A$2:$I1002,MATCH(G$3,Spells!$A$1:$I$1,0),FALSE))</f>
        <v/>
      </c>
      <c r="H144" s="49" t="str">
        <f>IFNA(VLOOKUP($A144,Spells!$A$2:$I1002,MATCH(H$3,Spells!$A$1:$I$1,0),FALSE))</f>
        <v/>
      </c>
    </row>
    <row r="145">
      <c r="A145" s="49"/>
      <c r="B145" s="49" t="str">
        <f>IFNA(VLOOKUP($A145,Spells!$A$2:$I1002,MATCH(B$3,Spells!$A$1:$I$1,0),FALSE))</f>
        <v/>
      </c>
      <c r="C145" s="49" t="str">
        <f>IFNA(VLOOKUP($A145,Spells!$A$2:$I1002,MATCH(C$3,Spells!$A$1:$I$1,0),FALSE))</f>
        <v/>
      </c>
      <c r="D145" s="49" t="str">
        <f>IFNA(VLOOKUP($A145,Spells!$A$2:$I1002,MATCH(D$3,Spells!$A$1:$I$1,0),FALSE))</f>
        <v/>
      </c>
      <c r="E145" s="49" t="str">
        <f>IFNA(VLOOKUP($A145,Spells!$A$2:$I1002,MATCH(E$3,Spells!$A$1:$I$1,0),FALSE))</f>
        <v/>
      </c>
      <c r="F145" s="49" t="str">
        <f>IFNA(VLOOKUP($A145,Spells!$A$2:$I1002,MATCH(F$3,Spells!$A$1:$I$1,0),FALSE))</f>
        <v/>
      </c>
      <c r="G145" s="49" t="str">
        <f>IFNA(VLOOKUP($A145,Spells!$A$2:$I1002,MATCH(G$3,Spells!$A$1:$I$1,0),FALSE))</f>
        <v/>
      </c>
      <c r="H145" s="49" t="str">
        <f>IFNA(VLOOKUP($A145,Spells!$A$2:$I1002,MATCH(H$3,Spells!$A$1:$I$1,0),FALSE))</f>
        <v/>
      </c>
    </row>
    <row r="146">
      <c r="A146" s="49"/>
      <c r="B146" s="49" t="str">
        <f>IFNA(VLOOKUP($A146,Spells!$A$2:$I1002,MATCH(B$3,Spells!$A$1:$I$1,0),FALSE))</f>
        <v/>
      </c>
      <c r="C146" s="49" t="str">
        <f>IFNA(VLOOKUP($A146,Spells!$A$2:$I1002,MATCH(C$3,Spells!$A$1:$I$1,0),FALSE))</f>
        <v/>
      </c>
      <c r="D146" s="49" t="str">
        <f>IFNA(VLOOKUP($A146,Spells!$A$2:$I1002,MATCH(D$3,Spells!$A$1:$I$1,0),FALSE))</f>
        <v/>
      </c>
      <c r="E146" s="49" t="str">
        <f>IFNA(VLOOKUP($A146,Spells!$A$2:$I1002,MATCH(E$3,Spells!$A$1:$I$1,0),FALSE))</f>
        <v/>
      </c>
      <c r="F146" s="49" t="str">
        <f>IFNA(VLOOKUP($A146,Spells!$A$2:$I1002,MATCH(F$3,Spells!$A$1:$I$1,0),FALSE))</f>
        <v/>
      </c>
      <c r="G146" s="49" t="str">
        <f>IFNA(VLOOKUP($A146,Spells!$A$2:$I1002,MATCH(G$3,Spells!$A$1:$I$1,0),FALSE))</f>
        <v/>
      </c>
      <c r="H146" s="49" t="str">
        <f>IFNA(VLOOKUP($A146,Spells!$A$2:$I1002,MATCH(H$3,Spells!$A$1:$I$1,0),FALSE))</f>
        <v/>
      </c>
    </row>
    <row r="147">
      <c r="A147" s="49"/>
      <c r="B147" s="49" t="str">
        <f>IFNA(VLOOKUP($A147,Spells!$A$2:$I1002,MATCH(B$3,Spells!$A$1:$I$1,0),FALSE))</f>
        <v/>
      </c>
      <c r="C147" s="49" t="str">
        <f>IFNA(VLOOKUP($A147,Spells!$A$2:$I1002,MATCH(C$3,Spells!$A$1:$I$1,0),FALSE))</f>
        <v/>
      </c>
      <c r="D147" s="49" t="str">
        <f>IFNA(VLOOKUP($A147,Spells!$A$2:$I1002,MATCH(D$3,Spells!$A$1:$I$1,0),FALSE))</f>
        <v/>
      </c>
      <c r="E147" s="49" t="str">
        <f>IFNA(VLOOKUP($A147,Spells!$A$2:$I1002,MATCH(E$3,Spells!$A$1:$I$1,0),FALSE))</f>
        <v/>
      </c>
      <c r="F147" s="49" t="str">
        <f>IFNA(VLOOKUP($A147,Spells!$A$2:$I1002,MATCH(F$3,Spells!$A$1:$I$1,0),FALSE))</f>
        <v/>
      </c>
      <c r="G147" s="49" t="str">
        <f>IFNA(VLOOKUP($A147,Spells!$A$2:$I1002,MATCH(G$3,Spells!$A$1:$I$1,0),FALSE))</f>
        <v/>
      </c>
      <c r="H147" s="49" t="str">
        <f>IFNA(VLOOKUP($A147,Spells!$A$2:$I1002,MATCH(H$3,Spells!$A$1:$I$1,0),FALSE))</f>
        <v/>
      </c>
    </row>
    <row r="148">
      <c r="A148" s="49"/>
      <c r="B148" s="49" t="str">
        <f>IFNA(VLOOKUP($A148,Spells!$A$2:$I1002,MATCH(B$3,Spells!$A$1:$I$1,0),FALSE))</f>
        <v/>
      </c>
      <c r="C148" s="49" t="str">
        <f>IFNA(VLOOKUP($A148,Spells!$A$2:$I1002,MATCH(C$3,Spells!$A$1:$I$1,0),FALSE))</f>
        <v/>
      </c>
      <c r="D148" s="49" t="str">
        <f>IFNA(VLOOKUP($A148,Spells!$A$2:$I1002,MATCH(D$3,Spells!$A$1:$I$1,0),FALSE))</f>
        <v/>
      </c>
      <c r="E148" s="49" t="str">
        <f>IFNA(VLOOKUP($A148,Spells!$A$2:$I1002,MATCH(E$3,Spells!$A$1:$I$1,0),FALSE))</f>
        <v/>
      </c>
      <c r="F148" s="49" t="str">
        <f>IFNA(VLOOKUP($A148,Spells!$A$2:$I1002,MATCH(F$3,Spells!$A$1:$I$1,0),FALSE))</f>
        <v/>
      </c>
      <c r="G148" s="49" t="str">
        <f>IFNA(VLOOKUP($A148,Spells!$A$2:$I1002,MATCH(G$3,Spells!$A$1:$I$1,0),FALSE))</f>
        <v/>
      </c>
      <c r="H148" s="49" t="str">
        <f>IFNA(VLOOKUP($A148,Spells!$A$2:$I1002,MATCH(H$3,Spells!$A$1:$I$1,0),FALSE))</f>
        <v/>
      </c>
    </row>
    <row r="149">
      <c r="A149" s="49"/>
      <c r="B149" s="49" t="str">
        <f>IFNA(VLOOKUP($A149,Spells!$A$2:$I1002,MATCH(B$3,Spells!$A$1:$I$1,0),FALSE))</f>
        <v/>
      </c>
      <c r="C149" s="49" t="str">
        <f>IFNA(VLOOKUP($A149,Spells!$A$2:$I1002,MATCH(C$3,Spells!$A$1:$I$1,0),FALSE))</f>
        <v/>
      </c>
      <c r="D149" s="49" t="str">
        <f>IFNA(VLOOKUP($A149,Spells!$A$2:$I1002,MATCH(D$3,Spells!$A$1:$I$1,0),FALSE))</f>
        <v/>
      </c>
      <c r="E149" s="49" t="str">
        <f>IFNA(VLOOKUP($A149,Spells!$A$2:$I1002,MATCH(E$3,Spells!$A$1:$I$1,0),FALSE))</f>
        <v/>
      </c>
      <c r="F149" s="49" t="str">
        <f>IFNA(VLOOKUP($A149,Spells!$A$2:$I1002,MATCH(F$3,Spells!$A$1:$I$1,0),FALSE))</f>
        <v/>
      </c>
      <c r="G149" s="49" t="str">
        <f>IFNA(VLOOKUP($A149,Spells!$A$2:$I1002,MATCH(G$3,Spells!$A$1:$I$1,0),FALSE))</f>
        <v/>
      </c>
      <c r="H149" s="49" t="str">
        <f>IFNA(VLOOKUP($A149,Spells!$A$2:$I1002,MATCH(H$3,Spells!$A$1:$I$1,0),FALSE))</f>
        <v/>
      </c>
    </row>
    <row r="150">
      <c r="A150" s="49"/>
      <c r="B150" s="49" t="str">
        <f>IFNA(VLOOKUP($A150,Spells!$A$2:$I1002,MATCH(B$3,Spells!$A$1:$I$1,0),FALSE))</f>
        <v/>
      </c>
      <c r="C150" s="49" t="str">
        <f>IFNA(VLOOKUP($A150,Spells!$A$2:$I1002,MATCH(C$3,Spells!$A$1:$I$1,0),FALSE))</f>
        <v/>
      </c>
      <c r="D150" s="49" t="str">
        <f>IFNA(VLOOKUP($A150,Spells!$A$2:$I1002,MATCH(D$3,Spells!$A$1:$I$1,0),FALSE))</f>
        <v/>
      </c>
      <c r="E150" s="49" t="str">
        <f>IFNA(VLOOKUP($A150,Spells!$A$2:$I1002,MATCH(E$3,Spells!$A$1:$I$1,0),FALSE))</f>
        <v/>
      </c>
      <c r="F150" s="49" t="str">
        <f>IFNA(VLOOKUP($A150,Spells!$A$2:$I1002,MATCH(F$3,Spells!$A$1:$I$1,0),FALSE))</f>
        <v/>
      </c>
      <c r="G150" s="49" t="str">
        <f>IFNA(VLOOKUP($A150,Spells!$A$2:$I1002,MATCH(G$3,Spells!$A$1:$I$1,0),FALSE))</f>
        <v/>
      </c>
      <c r="H150" s="49" t="str">
        <f>IFNA(VLOOKUP($A150,Spells!$A$2:$I1002,MATCH(H$3,Spells!$A$1:$I$1,0),FALSE))</f>
        <v/>
      </c>
    </row>
    <row r="151">
      <c r="A151" s="49"/>
      <c r="B151" s="49" t="str">
        <f>IFNA(VLOOKUP($A151,Spells!$A$2:$I1002,MATCH(B$3,Spells!$A$1:$I$1,0),FALSE))</f>
        <v/>
      </c>
      <c r="C151" s="49" t="str">
        <f>IFNA(VLOOKUP($A151,Spells!$A$2:$I1002,MATCH(C$3,Spells!$A$1:$I$1,0),FALSE))</f>
        <v/>
      </c>
      <c r="D151" s="49" t="str">
        <f>IFNA(VLOOKUP($A151,Spells!$A$2:$I1002,MATCH(D$3,Spells!$A$1:$I$1,0),FALSE))</f>
        <v/>
      </c>
      <c r="E151" s="49" t="str">
        <f>IFNA(VLOOKUP($A151,Spells!$A$2:$I1002,MATCH(E$3,Spells!$A$1:$I$1,0),FALSE))</f>
        <v/>
      </c>
      <c r="F151" s="49" t="str">
        <f>IFNA(VLOOKUP($A151,Spells!$A$2:$I1002,MATCH(F$3,Spells!$A$1:$I$1,0),FALSE))</f>
        <v/>
      </c>
      <c r="G151" s="49" t="str">
        <f>IFNA(VLOOKUP($A151,Spells!$A$2:$I1002,MATCH(G$3,Spells!$A$1:$I$1,0),FALSE))</f>
        <v/>
      </c>
      <c r="H151" s="49" t="str">
        <f>IFNA(VLOOKUP($A151,Spells!$A$2:$I1002,MATCH(H$3,Spells!$A$1:$I$1,0),FALSE))</f>
        <v/>
      </c>
    </row>
    <row r="152">
      <c r="A152" s="49"/>
      <c r="B152" s="49" t="str">
        <f>IFNA(VLOOKUP($A152,Spells!$A$2:$I1002,MATCH(B$3,Spells!$A$1:$I$1,0),FALSE))</f>
        <v/>
      </c>
      <c r="C152" s="49" t="str">
        <f>IFNA(VLOOKUP($A152,Spells!$A$2:$I1002,MATCH(C$3,Spells!$A$1:$I$1,0),FALSE))</f>
        <v/>
      </c>
      <c r="D152" s="49" t="str">
        <f>IFNA(VLOOKUP($A152,Spells!$A$2:$I1002,MATCH(D$3,Spells!$A$1:$I$1,0),FALSE))</f>
        <v/>
      </c>
      <c r="E152" s="49" t="str">
        <f>IFNA(VLOOKUP($A152,Spells!$A$2:$I1002,MATCH(E$3,Spells!$A$1:$I$1,0),FALSE))</f>
        <v/>
      </c>
      <c r="F152" s="49" t="str">
        <f>IFNA(VLOOKUP($A152,Spells!$A$2:$I1002,MATCH(F$3,Spells!$A$1:$I$1,0),FALSE))</f>
        <v/>
      </c>
      <c r="G152" s="49" t="str">
        <f>IFNA(VLOOKUP($A152,Spells!$A$2:$I1002,MATCH(G$3,Spells!$A$1:$I$1,0),FALSE))</f>
        <v/>
      </c>
      <c r="H152" s="49" t="str">
        <f>IFNA(VLOOKUP($A152,Spells!$A$2:$I1002,MATCH(H$3,Spells!$A$1:$I$1,0),FALSE))</f>
        <v/>
      </c>
    </row>
    <row r="153">
      <c r="A153" s="49"/>
      <c r="B153" s="49" t="str">
        <f>IFNA(VLOOKUP($A153,Spells!$A$2:$I1002,MATCH(B$3,Spells!$A$1:$I$1,0),FALSE))</f>
        <v/>
      </c>
      <c r="C153" s="49" t="str">
        <f>IFNA(VLOOKUP($A153,Spells!$A$2:$I1002,MATCH(C$3,Spells!$A$1:$I$1,0),FALSE))</f>
        <v/>
      </c>
      <c r="D153" s="49" t="str">
        <f>IFNA(VLOOKUP($A153,Spells!$A$2:$I1002,MATCH(D$3,Spells!$A$1:$I$1,0),FALSE))</f>
        <v/>
      </c>
      <c r="E153" s="49" t="str">
        <f>IFNA(VLOOKUP($A153,Spells!$A$2:$I1002,MATCH(E$3,Spells!$A$1:$I$1,0),FALSE))</f>
        <v/>
      </c>
      <c r="F153" s="49" t="str">
        <f>IFNA(VLOOKUP($A153,Spells!$A$2:$I1002,MATCH(F$3,Spells!$A$1:$I$1,0),FALSE))</f>
        <v/>
      </c>
      <c r="G153" s="49" t="str">
        <f>IFNA(VLOOKUP($A153,Spells!$A$2:$I1002,MATCH(G$3,Spells!$A$1:$I$1,0),FALSE))</f>
        <v/>
      </c>
      <c r="H153" s="49" t="str">
        <f>IFNA(VLOOKUP($A153,Spells!$A$2:$I1002,MATCH(H$3,Spells!$A$1:$I$1,0),FALSE))</f>
        <v/>
      </c>
    </row>
    <row r="154">
      <c r="A154" s="49"/>
      <c r="B154" s="49" t="str">
        <f>IFNA(VLOOKUP($A154,Spells!$A$2:$I1002,MATCH(B$3,Spells!$A$1:$I$1,0),FALSE))</f>
        <v/>
      </c>
      <c r="C154" s="49" t="str">
        <f>IFNA(VLOOKUP($A154,Spells!$A$2:$I1002,MATCH(C$3,Spells!$A$1:$I$1,0),FALSE))</f>
        <v/>
      </c>
      <c r="D154" s="49" t="str">
        <f>IFNA(VLOOKUP($A154,Spells!$A$2:$I1002,MATCH(D$3,Spells!$A$1:$I$1,0),FALSE))</f>
        <v/>
      </c>
      <c r="E154" s="49" t="str">
        <f>IFNA(VLOOKUP($A154,Spells!$A$2:$I1002,MATCH(E$3,Spells!$A$1:$I$1,0),FALSE))</f>
        <v/>
      </c>
      <c r="F154" s="49" t="str">
        <f>IFNA(VLOOKUP($A154,Spells!$A$2:$I1002,MATCH(F$3,Spells!$A$1:$I$1,0),FALSE))</f>
        <v/>
      </c>
      <c r="G154" s="49" t="str">
        <f>IFNA(VLOOKUP($A154,Spells!$A$2:$I1002,MATCH(G$3,Spells!$A$1:$I$1,0),FALSE))</f>
        <v/>
      </c>
      <c r="H154" s="49" t="str">
        <f>IFNA(VLOOKUP($A154,Spells!$A$2:$I1002,MATCH(H$3,Spells!$A$1:$I$1,0),FALSE))</f>
        <v/>
      </c>
    </row>
    <row r="155">
      <c r="A155" s="49"/>
      <c r="B155" s="49" t="str">
        <f>IFNA(VLOOKUP($A155,Spells!$A$2:$I1002,MATCH(B$3,Spells!$A$1:$I$1,0),FALSE))</f>
        <v/>
      </c>
      <c r="C155" s="49" t="str">
        <f>IFNA(VLOOKUP($A155,Spells!$A$2:$I1002,MATCH(C$3,Spells!$A$1:$I$1,0),FALSE))</f>
        <v/>
      </c>
      <c r="D155" s="49" t="str">
        <f>IFNA(VLOOKUP($A155,Spells!$A$2:$I1002,MATCH(D$3,Spells!$A$1:$I$1,0),FALSE))</f>
        <v/>
      </c>
      <c r="E155" s="49" t="str">
        <f>IFNA(VLOOKUP($A155,Spells!$A$2:$I1002,MATCH(E$3,Spells!$A$1:$I$1,0),FALSE))</f>
        <v/>
      </c>
      <c r="F155" s="49" t="str">
        <f>IFNA(VLOOKUP($A155,Spells!$A$2:$I1002,MATCH(F$3,Spells!$A$1:$I$1,0),FALSE))</f>
        <v/>
      </c>
      <c r="G155" s="49" t="str">
        <f>IFNA(VLOOKUP($A155,Spells!$A$2:$I1002,MATCH(G$3,Spells!$A$1:$I$1,0),FALSE))</f>
        <v/>
      </c>
      <c r="H155" s="49" t="str">
        <f>IFNA(VLOOKUP($A155,Spells!$A$2:$I1002,MATCH(H$3,Spells!$A$1:$I$1,0),FALSE))</f>
        <v/>
      </c>
    </row>
    <row r="156">
      <c r="A156" s="49"/>
      <c r="B156" s="49" t="str">
        <f>IFNA(VLOOKUP($A156,Spells!$A$2:$I1002,MATCH(B$3,Spells!$A$1:$I$1,0),FALSE))</f>
        <v/>
      </c>
      <c r="C156" s="49" t="str">
        <f>IFNA(VLOOKUP($A156,Spells!$A$2:$I1002,MATCH(C$3,Spells!$A$1:$I$1,0),FALSE))</f>
        <v/>
      </c>
      <c r="D156" s="49" t="str">
        <f>IFNA(VLOOKUP($A156,Spells!$A$2:$I1002,MATCH(D$3,Spells!$A$1:$I$1,0),FALSE))</f>
        <v/>
      </c>
      <c r="E156" s="49" t="str">
        <f>IFNA(VLOOKUP($A156,Spells!$A$2:$I1002,MATCH(E$3,Spells!$A$1:$I$1,0),FALSE))</f>
        <v/>
      </c>
      <c r="F156" s="49" t="str">
        <f>IFNA(VLOOKUP($A156,Spells!$A$2:$I1002,MATCH(F$3,Spells!$A$1:$I$1,0),FALSE))</f>
        <v/>
      </c>
      <c r="G156" s="49" t="str">
        <f>IFNA(VLOOKUP($A156,Spells!$A$2:$I1002,MATCH(G$3,Spells!$A$1:$I$1,0),FALSE))</f>
        <v/>
      </c>
      <c r="H156" s="49" t="str">
        <f>IFNA(VLOOKUP($A156,Spells!$A$2:$I1002,MATCH(H$3,Spells!$A$1:$I$1,0),FALSE))</f>
        <v/>
      </c>
    </row>
    <row r="157">
      <c r="A157" s="49"/>
      <c r="B157" s="49" t="str">
        <f>IFNA(VLOOKUP($A157,Spells!$A$2:$I1002,MATCH(B$3,Spells!$A$1:$I$1,0),FALSE))</f>
        <v/>
      </c>
      <c r="C157" s="49" t="str">
        <f>IFNA(VLOOKUP($A157,Spells!$A$2:$I1002,MATCH(C$3,Spells!$A$1:$I$1,0),FALSE))</f>
        <v/>
      </c>
      <c r="D157" s="49" t="str">
        <f>IFNA(VLOOKUP($A157,Spells!$A$2:$I1002,MATCH(D$3,Spells!$A$1:$I$1,0),FALSE))</f>
        <v/>
      </c>
      <c r="E157" s="49" t="str">
        <f>IFNA(VLOOKUP($A157,Spells!$A$2:$I1002,MATCH(E$3,Spells!$A$1:$I$1,0),FALSE))</f>
        <v/>
      </c>
      <c r="F157" s="49" t="str">
        <f>IFNA(VLOOKUP($A157,Spells!$A$2:$I1002,MATCH(F$3,Spells!$A$1:$I$1,0),FALSE))</f>
        <v/>
      </c>
      <c r="G157" s="49" t="str">
        <f>IFNA(VLOOKUP($A157,Spells!$A$2:$I1002,MATCH(G$3,Spells!$A$1:$I$1,0),FALSE))</f>
        <v/>
      </c>
      <c r="H157" s="49" t="str">
        <f>IFNA(VLOOKUP($A157,Spells!$A$2:$I1002,MATCH(H$3,Spells!$A$1:$I$1,0),FALSE))</f>
        <v/>
      </c>
    </row>
    <row r="158">
      <c r="A158" s="49"/>
      <c r="B158" s="49" t="str">
        <f>IFNA(VLOOKUP($A158,Spells!$A$2:$I1002,MATCH(B$3,Spells!$A$1:$I$1,0),FALSE))</f>
        <v/>
      </c>
      <c r="C158" s="49" t="str">
        <f>IFNA(VLOOKUP($A158,Spells!$A$2:$I1002,MATCH(C$3,Spells!$A$1:$I$1,0),FALSE))</f>
        <v/>
      </c>
      <c r="D158" s="49" t="str">
        <f>IFNA(VLOOKUP($A158,Spells!$A$2:$I1002,MATCH(D$3,Spells!$A$1:$I$1,0),FALSE))</f>
        <v/>
      </c>
      <c r="E158" s="49" t="str">
        <f>IFNA(VLOOKUP($A158,Spells!$A$2:$I1002,MATCH(E$3,Spells!$A$1:$I$1,0),FALSE))</f>
        <v/>
      </c>
      <c r="F158" s="49" t="str">
        <f>IFNA(VLOOKUP($A158,Spells!$A$2:$I1002,MATCH(F$3,Spells!$A$1:$I$1,0),FALSE))</f>
        <v/>
      </c>
      <c r="G158" s="49" t="str">
        <f>IFNA(VLOOKUP($A158,Spells!$A$2:$I1002,MATCH(G$3,Spells!$A$1:$I$1,0),FALSE))</f>
        <v/>
      </c>
      <c r="H158" s="49" t="str">
        <f>IFNA(VLOOKUP($A158,Spells!$A$2:$I1002,MATCH(H$3,Spells!$A$1:$I$1,0),FALSE))</f>
        <v/>
      </c>
    </row>
    <row r="159">
      <c r="A159" s="49"/>
      <c r="B159" s="49" t="str">
        <f>IFNA(VLOOKUP($A159,Spells!$A$2:$I1002,MATCH(B$3,Spells!$A$1:$I$1,0),FALSE))</f>
        <v/>
      </c>
      <c r="C159" s="49" t="str">
        <f>IFNA(VLOOKUP($A159,Spells!$A$2:$I1002,MATCH(C$3,Spells!$A$1:$I$1,0),FALSE))</f>
        <v/>
      </c>
      <c r="D159" s="49" t="str">
        <f>IFNA(VLOOKUP($A159,Spells!$A$2:$I1002,MATCH(D$3,Spells!$A$1:$I$1,0),FALSE))</f>
        <v/>
      </c>
      <c r="E159" s="49" t="str">
        <f>IFNA(VLOOKUP($A159,Spells!$A$2:$I1002,MATCH(E$3,Spells!$A$1:$I$1,0),FALSE))</f>
        <v/>
      </c>
      <c r="F159" s="49" t="str">
        <f>IFNA(VLOOKUP($A159,Spells!$A$2:$I1002,MATCH(F$3,Spells!$A$1:$I$1,0),FALSE))</f>
        <v/>
      </c>
      <c r="G159" s="49" t="str">
        <f>IFNA(VLOOKUP($A159,Spells!$A$2:$I1002,MATCH(G$3,Spells!$A$1:$I$1,0),FALSE))</f>
        <v/>
      </c>
      <c r="H159" s="49" t="str">
        <f>IFNA(VLOOKUP($A159,Spells!$A$2:$I1002,MATCH(H$3,Spells!$A$1:$I$1,0),FALSE))</f>
        <v/>
      </c>
    </row>
    <row r="160">
      <c r="A160" s="49"/>
      <c r="B160" s="49" t="str">
        <f>IFNA(VLOOKUP($A160,Spells!$A$2:$I1002,MATCH(B$3,Spells!$A$1:$I$1,0),FALSE))</f>
        <v/>
      </c>
      <c r="C160" s="49" t="str">
        <f>IFNA(VLOOKUP($A160,Spells!$A$2:$I1002,MATCH(C$3,Spells!$A$1:$I$1,0),FALSE))</f>
        <v/>
      </c>
      <c r="D160" s="49" t="str">
        <f>IFNA(VLOOKUP($A160,Spells!$A$2:$I1002,MATCH(D$3,Spells!$A$1:$I$1,0),FALSE))</f>
        <v/>
      </c>
      <c r="E160" s="49" t="str">
        <f>IFNA(VLOOKUP($A160,Spells!$A$2:$I1002,MATCH(E$3,Spells!$A$1:$I$1,0),FALSE))</f>
        <v/>
      </c>
      <c r="F160" s="49" t="str">
        <f>IFNA(VLOOKUP($A160,Spells!$A$2:$I1002,MATCH(F$3,Spells!$A$1:$I$1,0),FALSE))</f>
        <v/>
      </c>
      <c r="G160" s="49" t="str">
        <f>IFNA(VLOOKUP($A160,Spells!$A$2:$I1002,MATCH(G$3,Spells!$A$1:$I$1,0),FALSE))</f>
        <v/>
      </c>
      <c r="H160" s="49" t="str">
        <f>IFNA(VLOOKUP($A160,Spells!$A$2:$I1002,MATCH(H$3,Spells!$A$1:$I$1,0),FALSE))</f>
        <v/>
      </c>
    </row>
    <row r="161">
      <c r="A161" s="49"/>
      <c r="B161" s="49" t="str">
        <f>IFNA(VLOOKUP($A161,Spells!$A$2:$I1002,MATCH(B$3,Spells!$A$1:$I$1,0),FALSE))</f>
        <v/>
      </c>
      <c r="C161" s="49" t="str">
        <f>IFNA(VLOOKUP($A161,Spells!$A$2:$I1002,MATCH(C$3,Spells!$A$1:$I$1,0),FALSE))</f>
        <v/>
      </c>
      <c r="D161" s="49" t="str">
        <f>IFNA(VLOOKUP($A161,Spells!$A$2:$I1002,MATCH(D$3,Spells!$A$1:$I$1,0),FALSE))</f>
        <v/>
      </c>
      <c r="E161" s="49" t="str">
        <f>IFNA(VLOOKUP($A161,Spells!$A$2:$I1002,MATCH(E$3,Spells!$A$1:$I$1,0),FALSE))</f>
        <v/>
      </c>
      <c r="F161" s="49" t="str">
        <f>IFNA(VLOOKUP($A161,Spells!$A$2:$I1002,MATCH(F$3,Spells!$A$1:$I$1,0),FALSE))</f>
        <v/>
      </c>
      <c r="G161" s="49" t="str">
        <f>IFNA(VLOOKUP($A161,Spells!$A$2:$I1002,MATCH(G$3,Spells!$A$1:$I$1,0),FALSE))</f>
        <v/>
      </c>
      <c r="H161" s="49" t="str">
        <f>IFNA(VLOOKUP($A161,Spells!$A$2:$I1002,MATCH(H$3,Spells!$A$1:$I$1,0),FALSE))</f>
        <v/>
      </c>
    </row>
    <row r="162">
      <c r="A162" s="49"/>
      <c r="B162" s="49" t="str">
        <f>IFNA(VLOOKUP($A162,Spells!$A$2:$I1002,MATCH(B$3,Spells!$A$1:$I$1,0),FALSE))</f>
        <v/>
      </c>
      <c r="C162" s="49" t="str">
        <f>IFNA(VLOOKUP($A162,Spells!$A$2:$I1002,MATCH(C$3,Spells!$A$1:$I$1,0),FALSE))</f>
        <v/>
      </c>
      <c r="D162" s="49" t="str">
        <f>IFNA(VLOOKUP($A162,Spells!$A$2:$I1002,MATCH(D$3,Spells!$A$1:$I$1,0),FALSE))</f>
        <v/>
      </c>
      <c r="E162" s="49" t="str">
        <f>IFNA(VLOOKUP($A162,Spells!$A$2:$I1002,MATCH(E$3,Spells!$A$1:$I$1,0),FALSE))</f>
        <v/>
      </c>
      <c r="F162" s="49" t="str">
        <f>IFNA(VLOOKUP($A162,Spells!$A$2:$I1002,MATCH(F$3,Spells!$A$1:$I$1,0),FALSE))</f>
        <v/>
      </c>
      <c r="G162" s="49" t="str">
        <f>IFNA(VLOOKUP($A162,Spells!$A$2:$I1002,MATCH(G$3,Spells!$A$1:$I$1,0),FALSE))</f>
        <v/>
      </c>
      <c r="H162" s="49" t="str">
        <f>IFNA(VLOOKUP($A162,Spells!$A$2:$I1002,MATCH(H$3,Spells!$A$1:$I$1,0),FALSE))</f>
        <v/>
      </c>
    </row>
    <row r="163">
      <c r="A163" s="49"/>
      <c r="B163" s="49" t="str">
        <f>IFNA(VLOOKUP($A163,Spells!$A$2:$I1002,MATCH(B$3,Spells!$A$1:$I$1,0),FALSE))</f>
        <v/>
      </c>
      <c r="C163" s="49" t="str">
        <f>IFNA(VLOOKUP($A163,Spells!$A$2:$I1002,MATCH(C$3,Spells!$A$1:$I$1,0),FALSE))</f>
        <v/>
      </c>
      <c r="D163" s="49" t="str">
        <f>IFNA(VLOOKUP($A163,Spells!$A$2:$I1002,MATCH(D$3,Spells!$A$1:$I$1,0),FALSE))</f>
        <v/>
      </c>
      <c r="E163" s="49" t="str">
        <f>IFNA(VLOOKUP($A163,Spells!$A$2:$I1002,MATCH(E$3,Spells!$A$1:$I$1,0),FALSE))</f>
        <v/>
      </c>
      <c r="F163" s="49" t="str">
        <f>IFNA(VLOOKUP($A163,Spells!$A$2:$I1002,MATCH(F$3,Spells!$A$1:$I$1,0),FALSE))</f>
        <v/>
      </c>
      <c r="G163" s="49" t="str">
        <f>IFNA(VLOOKUP($A163,Spells!$A$2:$I1002,MATCH(G$3,Spells!$A$1:$I$1,0),FALSE))</f>
        <v/>
      </c>
      <c r="H163" s="49" t="str">
        <f>IFNA(VLOOKUP($A163,Spells!$A$2:$I1002,MATCH(H$3,Spells!$A$1:$I$1,0),FALSE))</f>
        <v/>
      </c>
    </row>
    <row r="164">
      <c r="A164" s="49"/>
      <c r="B164" s="49" t="str">
        <f>IFNA(VLOOKUP($A164,Spells!$A$2:$I1002,MATCH(B$3,Spells!$A$1:$I$1,0),FALSE))</f>
        <v/>
      </c>
      <c r="C164" s="49" t="str">
        <f>IFNA(VLOOKUP($A164,Spells!$A$2:$I1002,MATCH(C$3,Spells!$A$1:$I$1,0),FALSE))</f>
        <v/>
      </c>
      <c r="D164" s="49" t="str">
        <f>IFNA(VLOOKUP($A164,Spells!$A$2:$I1002,MATCH(D$3,Spells!$A$1:$I$1,0),FALSE))</f>
        <v/>
      </c>
      <c r="E164" s="49" t="str">
        <f>IFNA(VLOOKUP($A164,Spells!$A$2:$I1002,MATCH(E$3,Spells!$A$1:$I$1,0),FALSE))</f>
        <v/>
      </c>
      <c r="F164" s="49" t="str">
        <f>IFNA(VLOOKUP($A164,Spells!$A$2:$I1002,MATCH(F$3,Spells!$A$1:$I$1,0),FALSE))</f>
        <v/>
      </c>
      <c r="G164" s="49" t="str">
        <f>IFNA(VLOOKUP($A164,Spells!$A$2:$I1002,MATCH(G$3,Spells!$A$1:$I$1,0),FALSE))</f>
        <v/>
      </c>
      <c r="H164" s="49" t="str">
        <f>IFNA(VLOOKUP($A164,Spells!$A$2:$I1002,MATCH(H$3,Spells!$A$1:$I$1,0),FALSE))</f>
        <v/>
      </c>
    </row>
    <row r="165">
      <c r="A165" s="49"/>
      <c r="B165" s="49" t="str">
        <f>IFNA(VLOOKUP($A165,Spells!$A$2:$I1002,MATCH(B$3,Spells!$A$1:$I$1,0),FALSE))</f>
        <v/>
      </c>
      <c r="C165" s="49" t="str">
        <f>IFNA(VLOOKUP($A165,Spells!$A$2:$I1002,MATCH(C$3,Spells!$A$1:$I$1,0),FALSE))</f>
        <v/>
      </c>
      <c r="D165" s="49" t="str">
        <f>IFNA(VLOOKUP($A165,Spells!$A$2:$I1002,MATCH(D$3,Spells!$A$1:$I$1,0),FALSE))</f>
        <v/>
      </c>
      <c r="E165" s="49" t="str">
        <f>IFNA(VLOOKUP($A165,Spells!$A$2:$I1002,MATCH(E$3,Spells!$A$1:$I$1,0),FALSE))</f>
        <v/>
      </c>
      <c r="F165" s="49" t="str">
        <f>IFNA(VLOOKUP($A165,Spells!$A$2:$I1002,MATCH(F$3,Spells!$A$1:$I$1,0),FALSE))</f>
        <v/>
      </c>
      <c r="G165" s="49" t="str">
        <f>IFNA(VLOOKUP($A165,Spells!$A$2:$I1002,MATCH(G$3,Spells!$A$1:$I$1,0),FALSE))</f>
        <v/>
      </c>
      <c r="H165" s="49" t="str">
        <f>IFNA(VLOOKUP($A165,Spells!$A$2:$I1002,MATCH(H$3,Spells!$A$1:$I$1,0),FALSE))</f>
        <v/>
      </c>
    </row>
    <row r="166">
      <c r="A166" s="49"/>
      <c r="B166" s="49" t="str">
        <f>IFNA(VLOOKUP($A166,Spells!$A$2:$I1002,MATCH(B$3,Spells!$A$1:$I$1,0),FALSE))</f>
        <v/>
      </c>
      <c r="C166" s="49" t="str">
        <f>IFNA(VLOOKUP($A166,Spells!$A$2:$I1002,MATCH(C$3,Spells!$A$1:$I$1,0),FALSE))</f>
        <v/>
      </c>
      <c r="D166" s="49" t="str">
        <f>IFNA(VLOOKUP($A166,Spells!$A$2:$I1002,MATCH(D$3,Spells!$A$1:$I$1,0),FALSE))</f>
        <v/>
      </c>
      <c r="E166" s="49" t="str">
        <f>IFNA(VLOOKUP($A166,Spells!$A$2:$I1002,MATCH(E$3,Spells!$A$1:$I$1,0),FALSE))</f>
        <v/>
      </c>
      <c r="F166" s="49" t="str">
        <f>IFNA(VLOOKUP($A166,Spells!$A$2:$I1002,MATCH(F$3,Spells!$A$1:$I$1,0),FALSE))</f>
        <v/>
      </c>
      <c r="G166" s="49" t="str">
        <f>IFNA(VLOOKUP($A166,Spells!$A$2:$I1002,MATCH(G$3,Spells!$A$1:$I$1,0),FALSE))</f>
        <v/>
      </c>
      <c r="H166" s="49" t="str">
        <f>IFNA(VLOOKUP($A166,Spells!$A$2:$I1002,MATCH(H$3,Spells!$A$1:$I$1,0),FALSE))</f>
        <v/>
      </c>
    </row>
    <row r="167">
      <c r="A167" s="49"/>
      <c r="B167" s="49" t="str">
        <f>IFNA(VLOOKUP($A167,Spells!$A$2:$I1002,MATCH(B$3,Spells!$A$1:$I$1,0),FALSE))</f>
        <v/>
      </c>
      <c r="C167" s="49" t="str">
        <f>IFNA(VLOOKUP($A167,Spells!$A$2:$I1002,MATCH(C$3,Spells!$A$1:$I$1,0),FALSE))</f>
        <v/>
      </c>
      <c r="D167" s="49" t="str">
        <f>IFNA(VLOOKUP($A167,Spells!$A$2:$I1002,MATCH(D$3,Spells!$A$1:$I$1,0),FALSE))</f>
        <v/>
      </c>
      <c r="E167" s="49" t="str">
        <f>IFNA(VLOOKUP($A167,Spells!$A$2:$I1002,MATCH(E$3,Spells!$A$1:$I$1,0),FALSE))</f>
        <v/>
      </c>
      <c r="F167" s="49" t="str">
        <f>IFNA(VLOOKUP($A167,Spells!$A$2:$I1002,MATCH(F$3,Spells!$A$1:$I$1,0),FALSE))</f>
        <v/>
      </c>
      <c r="G167" s="49" t="str">
        <f>IFNA(VLOOKUP($A167,Spells!$A$2:$I1002,MATCH(G$3,Spells!$A$1:$I$1,0),FALSE))</f>
        <v/>
      </c>
      <c r="H167" s="49" t="str">
        <f>IFNA(VLOOKUP($A167,Spells!$A$2:$I1002,MATCH(H$3,Spells!$A$1:$I$1,0),FALSE))</f>
        <v/>
      </c>
    </row>
    <row r="168">
      <c r="A168" s="49"/>
      <c r="B168" s="49" t="str">
        <f>IFNA(VLOOKUP($A168,Spells!$A$2:$I1002,MATCH(B$3,Spells!$A$1:$I$1,0),FALSE))</f>
        <v/>
      </c>
      <c r="C168" s="49" t="str">
        <f>IFNA(VLOOKUP($A168,Spells!$A$2:$I1002,MATCH(C$3,Spells!$A$1:$I$1,0),FALSE))</f>
        <v/>
      </c>
      <c r="D168" s="49" t="str">
        <f>IFNA(VLOOKUP($A168,Spells!$A$2:$I1002,MATCH(D$3,Spells!$A$1:$I$1,0),FALSE))</f>
        <v/>
      </c>
      <c r="E168" s="49" t="str">
        <f>IFNA(VLOOKUP($A168,Spells!$A$2:$I1002,MATCH(E$3,Spells!$A$1:$I$1,0),FALSE))</f>
        <v/>
      </c>
      <c r="F168" s="49" t="str">
        <f>IFNA(VLOOKUP($A168,Spells!$A$2:$I1002,MATCH(F$3,Spells!$A$1:$I$1,0),FALSE))</f>
        <v/>
      </c>
      <c r="G168" s="49" t="str">
        <f>IFNA(VLOOKUP($A168,Spells!$A$2:$I1002,MATCH(G$3,Spells!$A$1:$I$1,0),FALSE))</f>
        <v/>
      </c>
      <c r="H168" s="49" t="str">
        <f>IFNA(VLOOKUP($A168,Spells!$A$2:$I1002,MATCH(H$3,Spells!$A$1:$I$1,0),FALSE))</f>
        <v/>
      </c>
    </row>
    <row r="169">
      <c r="A169" s="49"/>
      <c r="B169" s="49" t="str">
        <f>IFNA(VLOOKUP($A169,Spells!$A$2:$I1002,MATCH(B$3,Spells!$A$1:$I$1,0),FALSE))</f>
        <v/>
      </c>
      <c r="C169" s="49" t="str">
        <f>IFNA(VLOOKUP($A169,Spells!$A$2:$I1002,MATCH(C$3,Spells!$A$1:$I$1,0),FALSE))</f>
        <v/>
      </c>
      <c r="D169" s="49" t="str">
        <f>IFNA(VLOOKUP($A169,Spells!$A$2:$I1002,MATCH(D$3,Spells!$A$1:$I$1,0),FALSE))</f>
        <v/>
      </c>
      <c r="E169" s="49" t="str">
        <f>IFNA(VLOOKUP($A169,Spells!$A$2:$I1002,MATCH(E$3,Spells!$A$1:$I$1,0),FALSE))</f>
        <v/>
      </c>
      <c r="F169" s="49" t="str">
        <f>IFNA(VLOOKUP($A169,Spells!$A$2:$I1002,MATCH(F$3,Spells!$A$1:$I$1,0),FALSE))</f>
        <v/>
      </c>
      <c r="G169" s="49" t="str">
        <f>IFNA(VLOOKUP($A169,Spells!$A$2:$I1002,MATCH(G$3,Spells!$A$1:$I$1,0),FALSE))</f>
        <v/>
      </c>
      <c r="H169" s="49" t="str">
        <f>IFNA(VLOOKUP($A169,Spells!$A$2:$I1002,MATCH(H$3,Spells!$A$1:$I$1,0),FALSE))</f>
        <v/>
      </c>
    </row>
    <row r="170">
      <c r="A170" s="49"/>
      <c r="B170" s="49" t="str">
        <f>IFNA(VLOOKUP($A170,Spells!$A$2:$I1002,MATCH(B$3,Spells!$A$1:$I$1,0),FALSE))</f>
        <v/>
      </c>
      <c r="C170" s="49" t="str">
        <f>IFNA(VLOOKUP($A170,Spells!$A$2:$I1002,MATCH(C$3,Spells!$A$1:$I$1,0),FALSE))</f>
        <v/>
      </c>
      <c r="D170" s="49" t="str">
        <f>IFNA(VLOOKUP($A170,Spells!$A$2:$I1002,MATCH(D$3,Spells!$A$1:$I$1,0),FALSE))</f>
        <v/>
      </c>
      <c r="E170" s="49" t="str">
        <f>IFNA(VLOOKUP($A170,Spells!$A$2:$I1002,MATCH(E$3,Spells!$A$1:$I$1,0),FALSE))</f>
        <v/>
      </c>
      <c r="F170" s="49" t="str">
        <f>IFNA(VLOOKUP($A170,Spells!$A$2:$I1002,MATCH(F$3,Spells!$A$1:$I$1,0),FALSE))</f>
        <v/>
      </c>
      <c r="G170" s="49" t="str">
        <f>IFNA(VLOOKUP($A170,Spells!$A$2:$I1002,MATCH(G$3,Spells!$A$1:$I$1,0),FALSE))</f>
        <v/>
      </c>
      <c r="H170" s="49" t="str">
        <f>IFNA(VLOOKUP($A170,Spells!$A$2:$I1002,MATCH(H$3,Spells!$A$1:$I$1,0),FALSE))</f>
        <v/>
      </c>
    </row>
    <row r="171">
      <c r="A171" s="49"/>
      <c r="B171" s="49" t="str">
        <f>IFNA(VLOOKUP($A171,Spells!$A$2:$I1002,MATCH(B$3,Spells!$A$1:$I$1,0),FALSE))</f>
        <v/>
      </c>
      <c r="C171" s="49" t="str">
        <f>IFNA(VLOOKUP($A171,Spells!$A$2:$I1002,MATCH(C$3,Spells!$A$1:$I$1,0),FALSE))</f>
        <v/>
      </c>
      <c r="D171" s="49" t="str">
        <f>IFNA(VLOOKUP($A171,Spells!$A$2:$I1002,MATCH(D$3,Spells!$A$1:$I$1,0),FALSE))</f>
        <v/>
      </c>
      <c r="E171" s="49" t="str">
        <f>IFNA(VLOOKUP($A171,Spells!$A$2:$I1002,MATCH(E$3,Spells!$A$1:$I$1,0),FALSE))</f>
        <v/>
      </c>
      <c r="F171" s="49" t="str">
        <f>IFNA(VLOOKUP($A171,Spells!$A$2:$I1002,MATCH(F$3,Spells!$A$1:$I$1,0),FALSE))</f>
        <v/>
      </c>
      <c r="G171" s="49" t="str">
        <f>IFNA(VLOOKUP($A171,Spells!$A$2:$I1002,MATCH(G$3,Spells!$A$1:$I$1,0),FALSE))</f>
        <v/>
      </c>
      <c r="H171" s="49" t="str">
        <f>IFNA(VLOOKUP($A171,Spells!$A$2:$I1002,MATCH(H$3,Spells!$A$1:$I$1,0),FALSE))</f>
        <v/>
      </c>
    </row>
    <row r="172">
      <c r="A172" s="49"/>
      <c r="B172" s="49" t="str">
        <f>IFNA(VLOOKUP($A172,Spells!$A$2:$I1002,MATCH(B$3,Spells!$A$1:$I$1,0),FALSE))</f>
        <v/>
      </c>
      <c r="C172" s="49" t="str">
        <f>IFNA(VLOOKUP($A172,Spells!$A$2:$I1002,MATCH(C$3,Spells!$A$1:$I$1,0),FALSE))</f>
        <v/>
      </c>
      <c r="D172" s="49" t="str">
        <f>IFNA(VLOOKUP($A172,Spells!$A$2:$I1002,MATCH(D$3,Spells!$A$1:$I$1,0),FALSE))</f>
        <v/>
      </c>
      <c r="E172" s="49" t="str">
        <f>IFNA(VLOOKUP($A172,Spells!$A$2:$I1002,MATCH(E$3,Spells!$A$1:$I$1,0),FALSE))</f>
        <v/>
      </c>
      <c r="F172" s="49" t="str">
        <f>IFNA(VLOOKUP($A172,Spells!$A$2:$I1002,MATCH(F$3,Spells!$A$1:$I$1,0),FALSE))</f>
        <v/>
      </c>
      <c r="G172" s="49" t="str">
        <f>IFNA(VLOOKUP($A172,Spells!$A$2:$I1002,MATCH(G$3,Spells!$A$1:$I$1,0),FALSE))</f>
        <v/>
      </c>
      <c r="H172" s="49" t="str">
        <f>IFNA(VLOOKUP($A172,Spells!$A$2:$I1002,MATCH(H$3,Spells!$A$1:$I$1,0),FALSE))</f>
        <v/>
      </c>
    </row>
    <row r="173">
      <c r="A173" s="49"/>
      <c r="B173" s="49" t="str">
        <f>IFNA(VLOOKUP($A173,Spells!$A$2:$I1002,MATCH(B$3,Spells!$A$1:$I$1,0),FALSE))</f>
        <v/>
      </c>
      <c r="C173" s="49" t="str">
        <f>IFNA(VLOOKUP($A173,Spells!$A$2:$I1002,MATCH(C$3,Spells!$A$1:$I$1,0),FALSE))</f>
        <v/>
      </c>
      <c r="D173" s="49" t="str">
        <f>IFNA(VLOOKUP($A173,Spells!$A$2:$I1002,MATCH(D$3,Spells!$A$1:$I$1,0),FALSE))</f>
        <v/>
      </c>
      <c r="E173" s="49" t="str">
        <f>IFNA(VLOOKUP($A173,Spells!$A$2:$I1002,MATCH(E$3,Spells!$A$1:$I$1,0),FALSE))</f>
        <v/>
      </c>
      <c r="F173" s="49" t="str">
        <f>IFNA(VLOOKUP($A173,Spells!$A$2:$I1002,MATCH(F$3,Spells!$A$1:$I$1,0),FALSE))</f>
        <v/>
      </c>
      <c r="G173" s="49" t="str">
        <f>IFNA(VLOOKUP($A173,Spells!$A$2:$I1002,MATCH(G$3,Spells!$A$1:$I$1,0),FALSE))</f>
        <v/>
      </c>
      <c r="H173" s="49" t="str">
        <f>IFNA(VLOOKUP($A173,Spells!$A$2:$I1002,MATCH(H$3,Spells!$A$1:$I$1,0),FALSE))</f>
        <v/>
      </c>
    </row>
    <row r="174">
      <c r="A174" s="49"/>
      <c r="B174" s="49" t="str">
        <f>IFNA(VLOOKUP($A174,Spells!$A$2:$I1002,MATCH(B$3,Spells!$A$1:$I$1,0),FALSE))</f>
        <v/>
      </c>
      <c r="C174" s="49" t="str">
        <f>IFNA(VLOOKUP($A174,Spells!$A$2:$I1002,MATCH(C$3,Spells!$A$1:$I$1,0),FALSE))</f>
        <v/>
      </c>
      <c r="D174" s="49" t="str">
        <f>IFNA(VLOOKUP($A174,Spells!$A$2:$I1002,MATCH(D$3,Spells!$A$1:$I$1,0),FALSE))</f>
        <v/>
      </c>
      <c r="E174" s="49" t="str">
        <f>IFNA(VLOOKUP($A174,Spells!$A$2:$I1002,MATCH(E$3,Spells!$A$1:$I$1,0),FALSE))</f>
        <v/>
      </c>
      <c r="F174" s="49" t="str">
        <f>IFNA(VLOOKUP($A174,Spells!$A$2:$I1002,MATCH(F$3,Spells!$A$1:$I$1,0),FALSE))</f>
        <v/>
      </c>
      <c r="G174" s="49" t="str">
        <f>IFNA(VLOOKUP($A174,Spells!$A$2:$I1002,MATCH(G$3,Spells!$A$1:$I$1,0),FALSE))</f>
        <v/>
      </c>
      <c r="H174" s="49" t="str">
        <f>IFNA(VLOOKUP($A174,Spells!$A$2:$I1002,MATCH(H$3,Spells!$A$1:$I$1,0),FALSE))</f>
        <v/>
      </c>
    </row>
    <row r="175">
      <c r="A175" s="49"/>
      <c r="B175" s="49" t="str">
        <f>IFNA(VLOOKUP($A175,Spells!$A$2:$I1002,MATCH(B$3,Spells!$A$1:$I$1,0),FALSE))</f>
        <v/>
      </c>
      <c r="C175" s="49" t="str">
        <f>IFNA(VLOOKUP($A175,Spells!$A$2:$I1002,MATCH(C$3,Spells!$A$1:$I$1,0),FALSE))</f>
        <v/>
      </c>
      <c r="D175" s="49" t="str">
        <f>IFNA(VLOOKUP($A175,Spells!$A$2:$I1002,MATCH(D$3,Spells!$A$1:$I$1,0),FALSE))</f>
        <v/>
      </c>
      <c r="E175" s="49" t="str">
        <f>IFNA(VLOOKUP($A175,Spells!$A$2:$I1002,MATCH(E$3,Spells!$A$1:$I$1,0),FALSE))</f>
        <v/>
      </c>
      <c r="F175" s="49" t="str">
        <f>IFNA(VLOOKUP($A175,Spells!$A$2:$I1002,MATCH(F$3,Spells!$A$1:$I$1,0),FALSE))</f>
        <v/>
      </c>
      <c r="G175" s="49" t="str">
        <f>IFNA(VLOOKUP($A175,Spells!$A$2:$I1002,MATCH(G$3,Spells!$A$1:$I$1,0),FALSE))</f>
        <v/>
      </c>
      <c r="H175" s="49" t="str">
        <f>IFNA(VLOOKUP($A175,Spells!$A$2:$I1002,MATCH(H$3,Spells!$A$1:$I$1,0),FALSE))</f>
        <v/>
      </c>
    </row>
    <row r="176">
      <c r="A176" s="49"/>
      <c r="B176" s="49" t="str">
        <f>IFNA(VLOOKUP($A176,Spells!$A$2:$I1002,MATCH(B$3,Spells!$A$1:$I$1,0),FALSE))</f>
        <v/>
      </c>
      <c r="C176" s="49" t="str">
        <f>IFNA(VLOOKUP($A176,Spells!$A$2:$I1002,MATCH(C$3,Spells!$A$1:$I$1,0),FALSE))</f>
        <v/>
      </c>
      <c r="D176" s="49" t="str">
        <f>IFNA(VLOOKUP($A176,Spells!$A$2:$I1002,MATCH(D$3,Spells!$A$1:$I$1,0),FALSE))</f>
        <v/>
      </c>
      <c r="E176" s="49" t="str">
        <f>IFNA(VLOOKUP($A176,Spells!$A$2:$I1002,MATCH(E$3,Spells!$A$1:$I$1,0),FALSE))</f>
        <v/>
      </c>
      <c r="F176" s="49" t="str">
        <f>IFNA(VLOOKUP($A176,Spells!$A$2:$I1002,MATCH(F$3,Spells!$A$1:$I$1,0),FALSE))</f>
        <v/>
      </c>
      <c r="G176" s="49" t="str">
        <f>IFNA(VLOOKUP($A176,Spells!$A$2:$I1002,MATCH(G$3,Spells!$A$1:$I$1,0),FALSE))</f>
        <v/>
      </c>
      <c r="H176" s="49" t="str">
        <f>IFNA(VLOOKUP($A176,Spells!$A$2:$I1002,MATCH(H$3,Spells!$A$1:$I$1,0),FALSE))</f>
        <v/>
      </c>
    </row>
    <row r="177">
      <c r="A177" s="49"/>
      <c r="B177" s="49" t="str">
        <f>IFNA(VLOOKUP($A177,Spells!$A$2:$I1002,MATCH(B$3,Spells!$A$1:$I$1,0),FALSE))</f>
        <v/>
      </c>
      <c r="C177" s="49" t="str">
        <f>IFNA(VLOOKUP($A177,Spells!$A$2:$I1002,MATCH(C$3,Spells!$A$1:$I$1,0),FALSE))</f>
        <v/>
      </c>
      <c r="D177" s="49" t="str">
        <f>IFNA(VLOOKUP($A177,Spells!$A$2:$I1002,MATCH(D$3,Spells!$A$1:$I$1,0),FALSE))</f>
        <v/>
      </c>
      <c r="E177" s="49" t="str">
        <f>IFNA(VLOOKUP($A177,Spells!$A$2:$I1002,MATCH(E$3,Spells!$A$1:$I$1,0),FALSE))</f>
        <v/>
      </c>
      <c r="F177" s="49" t="str">
        <f>IFNA(VLOOKUP($A177,Spells!$A$2:$I1002,MATCH(F$3,Spells!$A$1:$I$1,0),FALSE))</f>
        <v/>
      </c>
      <c r="G177" s="49" t="str">
        <f>IFNA(VLOOKUP($A177,Spells!$A$2:$I1002,MATCH(G$3,Spells!$A$1:$I$1,0),FALSE))</f>
        <v/>
      </c>
      <c r="H177" s="49" t="str">
        <f>IFNA(VLOOKUP($A177,Spells!$A$2:$I1002,MATCH(H$3,Spells!$A$1:$I$1,0),FALSE))</f>
        <v/>
      </c>
    </row>
    <row r="178">
      <c r="A178" s="49"/>
      <c r="B178" s="49" t="str">
        <f>IFNA(VLOOKUP($A178,Spells!$A$2:$I1002,MATCH(B$3,Spells!$A$1:$I$1,0),FALSE))</f>
        <v/>
      </c>
      <c r="C178" s="49" t="str">
        <f>IFNA(VLOOKUP($A178,Spells!$A$2:$I1002,MATCH(C$3,Spells!$A$1:$I$1,0),FALSE))</f>
        <v/>
      </c>
      <c r="D178" s="49" t="str">
        <f>IFNA(VLOOKUP($A178,Spells!$A$2:$I1002,MATCH(D$3,Spells!$A$1:$I$1,0),FALSE))</f>
        <v/>
      </c>
      <c r="E178" s="49" t="str">
        <f>IFNA(VLOOKUP($A178,Spells!$A$2:$I1002,MATCH(E$3,Spells!$A$1:$I$1,0),FALSE))</f>
        <v/>
      </c>
      <c r="F178" s="49" t="str">
        <f>IFNA(VLOOKUP($A178,Spells!$A$2:$I1002,MATCH(F$3,Spells!$A$1:$I$1,0),FALSE))</f>
        <v/>
      </c>
      <c r="G178" s="49" t="str">
        <f>IFNA(VLOOKUP($A178,Spells!$A$2:$I1002,MATCH(G$3,Spells!$A$1:$I$1,0),FALSE))</f>
        <v/>
      </c>
      <c r="H178" s="49" t="str">
        <f>IFNA(VLOOKUP($A178,Spells!$A$2:$I1002,MATCH(H$3,Spells!$A$1:$I$1,0),FALSE))</f>
        <v/>
      </c>
    </row>
    <row r="179">
      <c r="A179" s="49"/>
      <c r="B179" s="49" t="str">
        <f>IFNA(VLOOKUP($A179,Spells!$A$2:$I1002,MATCH(B$3,Spells!$A$1:$I$1,0),FALSE))</f>
        <v/>
      </c>
      <c r="C179" s="49" t="str">
        <f>IFNA(VLOOKUP($A179,Spells!$A$2:$I1002,MATCH(C$3,Spells!$A$1:$I$1,0),FALSE))</f>
        <v/>
      </c>
      <c r="D179" s="49" t="str">
        <f>IFNA(VLOOKUP($A179,Spells!$A$2:$I1002,MATCH(D$3,Spells!$A$1:$I$1,0),FALSE))</f>
        <v/>
      </c>
      <c r="E179" s="49" t="str">
        <f>IFNA(VLOOKUP($A179,Spells!$A$2:$I1002,MATCH(E$3,Spells!$A$1:$I$1,0),FALSE))</f>
        <v/>
      </c>
      <c r="F179" s="49" t="str">
        <f>IFNA(VLOOKUP($A179,Spells!$A$2:$I1002,MATCH(F$3,Spells!$A$1:$I$1,0),FALSE))</f>
        <v/>
      </c>
      <c r="G179" s="49" t="str">
        <f>IFNA(VLOOKUP($A179,Spells!$A$2:$I1002,MATCH(G$3,Spells!$A$1:$I$1,0),FALSE))</f>
        <v/>
      </c>
      <c r="H179" s="49" t="str">
        <f>IFNA(VLOOKUP($A179,Spells!$A$2:$I1002,MATCH(H$3,Spells!$A$1:$I$1,0),FALSE))</f>
        <v/>
      </c>
    </row>
    <row r="180">
      <c r="A180" s="49"/>
      <c r="B180" s="49" t="str">
        <f>IFNA(VLOOKUP($A180,Spells!$A$2:$I1002,MATCH(B$3,Spells!$A$1:$I$1,0),FALSE))</f>
        <v/>
      </c>
      <c r="C180" s="49" t="str">
        <f>IFNA(VLOOKUP($A180,Spells!$A$2:$I1002,MATCH(C$3,Spells!$A$1:$I$1,0),FALSE))</f>
        <v/>
      </c>
      <c r="D180" s="49" t="str">
        <f>IFNA(VLOOKUP($A180,Spells!$A$2:$I1002,MATCH(D$3,Spells!$A$1:$I$1,0),FALSE))</f>
        <v/>
      </c>
      <c r="E180" s="49" t="str">
        <f>IFNA(VLOOKUP($A180,Spells!$A$2:$I1002,MATCH(E$3,Spells!$A$1:$I$1,0),FALSE))</f>
        <v/>
      </c>
      <c r="F180" s="49" t="str">
        <f>IFNA(VLOOKUP($A180,Spells!$A$2:$I1002,MATCH(F$3,Spells!$A$1:$I$1,0),FALSE))</f>
        <v/>
      </c>
      <c r="G180" s="49" t="str">
        <f>IFNA(VLOOKUP($A180,Spells!$A$2:$I1002,MATCH(G$3,Spells!$A$1:$I$1,0),FALSE))</f>
        <v/>
      </c>
      <c r="H180" s="49" t="str">
        <f>IFNA(VLOOKUP($A180,Spells!$A$2:$I1002,MATCH(H$3,Spells!$A$1:$I$1,0),FALSE))</f>
        <v/>
      </c>
    </row>
    <row r="181">
      <c r="A181" s="49"/>
      <c r="B181" s="49" t="str">
        <f>IFNA(VLOOKUP($A181,Spells!$A$2:$I1002,MATCH(B$3,Spells!$A$1:$I$1,0),FALSE))</f>
        <v/>
      </c>
      <c r="C181" s="49" t="str">
        <f>IFNA(VLOOKUP($A181,Spells!$A$2:$I1002,MATCH(C$3,Spells!$A$1:$I$1,0),FALSE))</f>
        <v/>
      </c>
      <c r="D181" s="49" t="str">
        <f>IFNA(VLOOKUP($A181,Spells!$A$2:$I1002,MATCH(D$3,Spells!$A$1:$I$1,0),FALSE))</f>
        <v/>
      </c>
      <c r="E181" s="49" t="str">
        <f>IFNA(VLOOKUP($A181,Spells!$A$2:$I1002,MATCH(E$3,Spells!$A$1:$I$1,0),FALSE))</f>
        <v/>
      </c>
      <c r="F181" s="49" t="str">
        <f>IFNA(VLOOKUP($A181,Spells!$A$2:$I1002,MATCH(F$3,Spells!$A$1:$I$1,0),FALSE))</f>
        <v/>
      </c>
      <c r="G181" s="49" t="str">
        <f>IFNA(VLOOKUP($A181,Spells!$A$2:$I1002,MATCH(G$3,Spells!$A$1:$I$1,0),FALSE))</f>
        <v/>
      </c>
      <c r="H181" s="49" t="str">
        <f>IFNA(VLOOKUP($A181,Spells!$A$2:$I1002,MATCH(H$3,Spells!$A$1:$I$1,0),FALSE))</f>
        <v/>
      </c>
    </row>
    <row r="182">
      <c r="A182" s="49"/>
      <c r="B182" s="49" t="str">
        <f>IFNA(VLOOKUP($A182,Spells!$A$2:$I1002,MATCH(B$3,Spells!$A$1:$I$1,0),FALSE))</f>
        <v/>
      </c>
      <c r="C182" s="49" t="str">
        <f>IFNA(VLOOKUP($A182,Spells!$A$2:$I1002,MATCH(C$3,Spells!$A$1:$I$1,0),FALSE))</f>
        <v/>
      </c>
      <c r="D182" s="49" t="str">
        <f>IFNA(VLOOKUP($A182,Spells!$A$2:$I1002,MATCH(D$3,Spells!$A$1:$I$1,0),FALSE))</f>
        <v/>
      </c>
      <c r="E182" s="49" t="str">
        <f>IFNA(VLOOKUP($A182,Spells!$A$2:$I1002,MATCH(E$3,Spells!$A$1:$I$1,0),FALSE))</f>
        <v/>
      </c>
      <c r="F182" s="49" t="str">
        <f>IFNA(VLOOKUP($A182,Spells!$A$2:$I1002,MATCH(F$3,Spells!$A$1:$I$1,0),FALSE))</f>
        <v/>
      </c>
      <c r="G182" s="49" t="str">
        <f>IFNA(VLOOKUP($A182,Spells!$A$2:$I1002,MATCH(G$3,Spells!$A$1:$I$1,0),FALSE))</f>
        <v/>
      </c>
      <c r="H182" s="49" t="str">
        <f>IFNA(VLOOKUP($A182,Spells!$A$2:$I1002,MATCH(H$3,Spells!$A$1:$I$1,0),FALSE))</f>
        <v/>
      </c>
    </row>
    <row r="183">
      <c r="A183" s="49"/>
      <c r="B183" s="49" t="str">
        <f>IFNA(VLOOKUP($A183,Spells!$A$2:$I1002,MATCH(B$3,Spells!$A$1:$I$1,0),FALSE))</f>
        <v/>
      </c>
      <c r="C183" s="49" t="str">
        <f>IFNA(VLOOKUP($A183,Spells!$A$2:$I1002,MATCH(C$3,Spells!$A$1:$I$1,0),FALSE))</f>
        <v/>
      </c>
      <c r="D183" s="49" t="str">
        <f>IFNA(VLOOKUP($A183,Spells!$A$2:$I1002,MATCH(D$3,Spells!$A$1:$I$1,0),FALSE))</f>
        <v/>
      </c>
      <c r="E183" s="49" t="str">
        <f>IFNA(VLOOKUP($A183,Spells!$A$2:$I1002,MATCH(E$3,Spells!$A$1:$I$1,0),FALSE))</f>
        <v/>
      </c>
      <c r="F183" s="49" t="str">
        <f>IFNA(VLOOKUP($A183,Spells!$A$2:$I1002,MATCH(F$3,Spells!$A$1:$I$1,0),FALSE))</f>
        <v/>
      </c>
      <c r="G183" s="49" t="str">
        <f>IFNA(VLOOKUP($A183,Spells!$A$2:$I1002,MATCH(G$3,Spells!$A$1:$I$1,0),FALSE))</f>
        <v/>
      </c>
      <c r="H183" s="49" t="str">
        <f>IFNA(VLOOKUP($A183,Spells!$A$2:$I1002,MATCH(H$3,Spells!$A$1:$I$1,0),FALSE))</f>
        <v/>
      </c>
    </row>
    <row r="184">
      <c r="A184" s="49"/>
      <c r="B184" s="49" t="str">
        <f>IFNA(VLOOKUP($A184,Spells!$A$2:$I1002,MATCH(B$3,Spells!$A$1:$I$1,0),FALSE))</f>
        <v/>
      </c>
      <c r="C184" s="49" t="str">
        <f>IFNA(VLOOKUP($A184,Spells!$A$2:$I1002,MATCH(C$3,Spells!$A$1:$I$1,0),FALSE))</f>
        <v/>
      </c>
      <c r="D184" s="49" t="str">
        <f>IFNA(VLOOKUP($A184,Spells!$A$2:$I1002,MATCH(D$3,Spells!$A$1:$I$1,0),FALSE))</f>
        <v/>
      </c>
      <c r="E184" s="49" t="str">
        <f>IFNA(VLOOKUP($A184,Spells!$A$2:$I1002,MATCH(E$3,Spells!$A$1:$I$1,0),FALSE))</f>
        <v/>
      </c>
      <c r="F184" s="49" t="str">
        <f>IFNA(VLOOKUP($A184,Spells!$A$2:$I1002,MATCH(F$3,Spells!$A$1:$I$1,0),FALSE))</f>
        <v/>
      </c>
      <c r="G184" s="49" t="str">
        <f>IFNA(VLOOKUP($A184,Spells!$A$2:$I1002,MATCH(G$3,Spells!$A$1:$I$1,0),FALSE))</f>
        <v/>
      </c>
      <c r="H184" s="49" t="str">
        <f>IFNA(VLOOKUP($A184,Spells!$A$2:$I1002,MATCH(H$3,Spells!$A$1:$I$1,0),FALSE))</f>
        <v/>
      </c>
    </row>
    <row r="185">
      <c r="A185" s="49"/>
      <c r="B185" s="49" t="str">
        <f>IFNA(VLOOKUP($A185,Spells!$A$2:$I1002,MATCH(B$3,Spells!$A$1:$I$1,0),FALSE))</f>
        <v/>
      </c>
      <c r="C185" s="49" t="str">
        <f>IFNA(VLOOKUP($A185,Spells!$A$2:$I1002,MATCH(C$3,Spells!$A$1:$I$1,0),FALSE))</f>
        <v/>
      </c>
      <c r="D185" s="49" t="str">
        <f>IFNA(VLOOKUP($A185,Spells!$A$2:$I1002,MATCH(D$3,Spells!$A$1:$I$1,0),FALSE))</f>
        <v/>
      </c>
      <c r="E185" s="49" t="str">
        <f>IFNA(VLOOKUP($A185,Spells!$A$2:$I1002,MATCH(E$3,Spells!$A$1:$I$1,0),FALSE))</f>
        <v/>
      </c>
      <c r="F185" s="49" t="str">
        <f>IFNA(VLOOKUP($A185,Spells!$A$2:$I1002,MATCH(F$3,Spells!$A$1:$I$1,0),FALSE))</f>
        <v/>
      </c>
      <c r="G185" s="49" t="str">
        <f>IFNA(VLOOKUP($A185,Spells!$A$2:$I1002,MATCH(G$3,Spells!$A$1:$I$1,0),FALSE))</f>
        <v/>
      </c>
      <c r="H185" s="49" t="str">
        <f>IFNA(VLOOKUP($A185,Spells!$A$2:$I1002,MATCH(H$3,Spells!$A$1:$I$1,0),FALSE))</f>
        <v/>
      </c>
    </row>
    <row r="186">
      <c r="A186" s="49"/>
      <c r="B186" s="49" t="str">
        <f>IFNA(VLOOKUP($A186,Spells!$A$2:$I1002,MATCH(B$3,Spells!$A$1:$I$1,0),FALSE))</f>
        <v/>
      </c>
      <c r="C186" s="49" t="str">
        <f>IFNA(VLOOKUP($A186,Spells!$A$2:$I1002,MATCH(C$3,Spells!$A$1:$I$1,0),FALSE))</f>
        <v/>
      </c>
      <c r="D186" s="49" t="str">
        <f>IFNA(VLOOKUP($A186,Spells!$A$2:$I1002,MATCH(D$3,Spells!$A$1:$I$1,0),FALSE))</f>
        <v/>
      </c>
      <c r="E186" s="49" t="str">
        <f>IFNA(VLOOKUP($A186,Spells!$A$2:$I1002,MATCH(E$3,Spells!$A$1:$I$1,0),FALSE))</f>
        <v/>
      </c>
      <c r="F186" s="49" t="str">
        <f>IFNA(VLOOKUP($A186,Spells!$A$2:$I1002,MATCH(F$3,Spells!$A$1:$I$1,0),FALSE))</f>
        <v/>
      </c>
      <c r="G186" s="49" t="str">
        <f>IFNA(VLOOKUP($A186,Spells!$A$2:$I1002,MATCH(G$3,Spells!$A$1:$I$1,0),FALSE))</f>
        <v/>
      </c>
      <c r="H186" s="49" t="str">
        <f>IFNA(VLOOKUP($A186,Spells!$A$2:$I1002,MATCH(H$3,Spells!$A$1:$I$1,0),FALSE))</f>
        <v/>
      </c>
    </row>
    <row r="187">
      <c r="A187" s="49"/>
      <c r="B187" s="49" t="str">
        <f>IFNA(VLOOKUP($A187,Spells!$A$2:$I1002,MATCH(B$3,Spells!$A$1:$I$1,0),FALSE))</f>
        <v/>
      </c>
      <c r="C187" s="49" t="str">
        <f>IFNA(VLOOKUP($A187,Spells!$A$2:$I1002,MATCH(C$3,Spells!$A$1:$I$1,0),FALSE))</f>
        <v/>
      </c>
      <c r="D187" s="49" t="str">
        <f>IFNA(VLOOKUP($A187,Spells!$A$2:$I1002,MATCH(D$3,Spells!$A$1:$I$1,0),FALSE))</f>
        <v/>
      </c>
      <c r="E187" s="49" t="str">
        <f>IFNA(VLOOKUP($A187,Spells!$A$2:$I1002,MATCH(E$3,Spells!$A$1:$I$1,0),FALSE))</f>
        <v/>
      </c>
      <c r="F187" s="49" t="str">
        <f>IFNA(VLOOKUP($A187,Spells!$A$2:$I1002,MATCH(F$3,Spells!$A$1:$I$1,0),FALSE))</f>
        <v/>
      </c>
      <c r="G187" s="49" t="str">
        <f>IFNA(VLOOKUP($A187,Spells!$A$2:$I1002,MATCH(G$3,Spells!$A$1:$I$1,0),FALSE))</f>
        <v/>
      </c>
      <c r="H187" s="49" t="str">
        <f>IFNA(VLOOKUP($A187,Spells!$A$2:$I1002,MATCH(H$3,Spells!$A$1:$I$1,0),FALSE))</f>
        <v/>
      </c>
    </row>
    <row r="188">
      <c r="A188" s="49"/>
      <c r="B188" s="49" t="str">
        <f>IFNA(VLOOKUP($A188,Spells!$A$2:$I1002,MATCH(B$3,Spells!$A$1:$I$1,0),FALSE))</f>
        <v/>
      </c>
      <c r="C188" s="49" t="str">
        <f>IFNA(VLOOKUP($A188,Spells!$A$2:$I1002,MATCH(C$3,Spells!$A$1:$I$1,0),FALSE))</f>
        <v/>
      </c>
      <c r="D188" s="49" t="str">
        <f>IFNA(VLOOKUP($A188,Spells!$A$2:$I1002,MATCH(D$3,Spells!$A$1:$I$1,0),FALSE))</f>
        <v/>
      </c>
      <c r="E188" s="49" t="str">
        <f>IFNA(VLOOKUP($A188,Spells!$A$2:$I1002,MATCH(E$3,Spells!$A$1:$I$1,0),FALSE))</f>
        <v/>
      </c>
      <c r="F188" s="49" t="str">
        <f>IFNA(VLOOKUP($A188,Spells!$A$2:$I1002,MATCH(F$3,Spells!$A$1:$I$1,0),FALSE))</f>
        <v/>
      </c>
      <c r="G188" s="49" t="str">
        <f>IFNA(VLOOKUP($A188,Spells!$A$2:$I1002,MATCH(G$3,Spells!$A$1:$I$1,0),FALSE))</f>
        <v/>
      </c>
      <c r="H188" s="49" t="str">
        <f>IFNA(VLOOKUP($A188,Spells!$A$2:$I1002,MATCH(H$3,Spells!$A$1:$I$1,0),FALSE))</f>
        <v/>
      </c>
    </row>
    <row r="189">
      <c r="A189" s="49"/>
      <c r="B189" s="49" t="str">
        <f>IFNA(VLOOKUP($A189,Spells!$A$2:$I1002,MATCH(B$3,Spells!$A$1:$I$1,0),FALSE))</f>
        <v/>
      </c>
      <c r="C189" s="49" t="str">
        <f>IFNA(VLOOKUP($A189,Spells!$A$2:$I1002,MATCH(C$3,Spells!$A$1:$I$1,0),FALSE))</f>
        <v/>
      </c>
      <c r="D189" s="49" t="str">
        <f>IFNA(VLOOKUP($A189,Spells!$A$2:$I1002,MATCH(D$3,Spells!$A$1:$I$1,0),FALSE))</f>
        <v/>
      </c>
      <c r="E189" s="49" t="str">
        <f>IFNA(VLOOKUP($A189,Spells!$A$2:$I1002,MATCH(E$3,Spells!$A$1:$I$1,0),FALSE))</f>
        <v/>
      </c>
      <c r="F189" s="49" t="str">
        <f>IFNA(VLOOKUP($A189,Spells!$A$2:$I1002,MATCH(F$3,Spells!$A$1:$I$1,0),FALSE))</f>
        <v/>
      </c>
      <c r="G189" s="49" t="str">
        <f>IFNA(VLOOKUP($A189,Spells!$A$2:$I1002,MATCH(G$3,Spells!$A$1:$I$1,0),FALSE))</f>
        <v/>
      </c>
      <c r="H189" s="49" t="str">
        <f>IFNA(VLOOKUP($A189,Spells!$A$2:$I1002,MATCH(H$3,Spells!$A$1:$I$1,0),FALSE))</f>
        <v/>
      </c>
    </row>
    <row r="190">
      <c r="A190" s="49"/>
      <c r="B190" s="49" t="str">
        <f>IFNA(VLOOKUP($A190,Spells!$A$2:$I1002,MATCH(B$3,Spells!$A$1:$I$1,0),FALSE))</f>
        <v/>
      </c>
      <c r="C190" s="49" t="str">
        <f>IFNA(VLOOKUP($A190,Spells!$A$2:$I1002,MATCH(C$3,Spells!$A$1:$I$1,0),FALSE))</f>
        <v/>
      </c>
      <c r="D190" s="49" t="str">
        <f>IFNA(VLOOKUP($A190,Spells!$A$2:$I1002,MATCH(D$3,Spells!$A$1:$I$1,0),FALSE))</f>
        <v/>
      </c>
      <c r="E190" s="49" t="str">
        <f>IFNA(VLOOKUP($A190,Spells!$A$2:$I1002,MATCH(E$3,Spells!$A$1:$I$1,0),FALSE))</f>
        <v/>
      </c>
      <c r="F190" s="49" t="str">
        <f>IFNA(VLOOKUP($A190,Spells!$A$2:$I1002,MATCH(F$3,Spells!$A$1:$I$1,0),FALSE))</f>
        <v/>
      </c>
      <c r="G190" s="49" t="str">
        <f>IFNA(VLOOKUP($A190,Spells!$A$2:$I1002,MATCH(G$3,Spells!$A$1:$I$1,0),FALSE))</f>
        <v/>
      </c>
      <c r="H190" s="49" t="str">
        <f>IFNA(VLOOKUP($A190,Spells!$A$2:$I1002,MATCH(H$3,Spells!$A$1:$I$1,0),FALSE))</f>
        <v/>
      </c>
    </row>
    <row r="191">
      <c r="A191" s="49"/>
      <c r="B191" s="49" t="str">
        <f>IFNA(VLOOKUP($A191,Spells!$A$2:$I1002,MATCH(B$3,Spells!$A$1:$I$1,0),FALSE))</f>
        <v/>
      </c>
      <c r="C191" s="49" t="str">
        <f>IFNA(VLOOKUP($A191,Spells!$A$2:$I1002,MATCH(C$3,Spells!$A$1:$I$1,0),FALSE))</f>
        <v/>
      </c>
      <c r="D191" s="49" t="str">
        <f>IFNA(VLOOKUP($A191,Spells!$A$2:$I1002,MATCH(D$3,Spells!$A$1:$I$1,0),FALSE))</f>
        <v/>
      </c>
      <c r="E191" s="49" t="str">
        <f>IFNA(VLOOKUP($A191,Spells!$A$2:$I1002,MATCH(E$3,Spells!$A$1:$I$1,0),FALSE))</f>
        <v/>
      </c>
      <c r="F191" s="49" t="str">
        <f>IFNA(VLOOKUP($A191,Spells!$A$2:$I1002,MATCH(F$3,Spells!$A$1:$I$1,0),FALSE))</f>
        <v/>
      </c>
      <c r="G191" s="49" t="str">
        <f>IFNA(VLOOKUP($A191,Spells!$A$2:$I1002,MATCH(G$3,Spells!$A$1:$I$1,0),FALSE))</f>
        <v/>
      </c>
      <c r="H191" s="49" t="str">
        <f>IFNA(VLOOKUP($A191,Spells!$A$2:$I1002,MATCH(H$3,Spells!$A$1:$I$1,0),FALSE))</f>
        <v/>
      </c>
    </row>
    <row r="192">
      <c r="A192" s="49"/>
      <c r="B192" s="49" t="str">
        <f>IFNA(VLOOKUP($A192,Spells!$A$2:$I1002,MATCH(B$3,Spells!$A$1:$I$1,0),FALSE))</f>
        <v/>
      </c>
      <c r="C192" s="49" t="str">
        <f>IFNA(VLOOKUP($A192,Spells!$A$2:$I1002,MATCH(C$3,Spells!$A$1:$I$1,0),FALSE))</f>
        <v/>
      </c>
      <c r="D192" s="49" t="str">
        <f>IFNA(VLOOKUP($A192,Spells!$A$2:$I1002,MATCH(D$3,Spells!$A$1:$I$1,0),FALSE))</f>
        <v/>
      </c>
      <c r="E192" s="49" t="str">
        <f>IFNA(VLOOKUP($A192,Spells!$A$2:$I1002,MATCH(E$3,Spells!$A$1:$I$1,0),FALSE))</f>
        <v/>
      </c>
      <c r="F192" s="49" t="str">
        <f>IFNA(VLOOKUP($A192,Spells!$A$2:$I1002,MATCH(F$3,Spells!$A$1:$I$1,0),FALSE))</f>
        <v/>
      </c>
      <c r="G192" s="49" t="str">
        <f>IFNA(VLOOKUP($A192,Spells!$A$2:$I1002,MATCH(G$3,Spells!$A$1:$I$1,0),FALSE))</f>
        <v/>
      </c>
      <c r="H192" s="49" t="str">
        <f>IFNA(VLOOKUP($A192,Spells!$A$2:$I1002,MATCH(H$3,Spells!$A$1:$I$1,0),FALSE))</f>
        <v/>
      </c>
    </row>
    <row r="193">
      <c r="A193" s="49"/>
      <c r="B193" s="49" t="str">
        <f>IFNA(VLOOKUP($A193,Spells!$A$2:$I1002,MATCH(B$3,Spells!$A$1:$I$1,0),FALSE))</f>
        <v/>
      </c>
      <c r="C193" s="49" t="str">
        <f>IFNA(VLOOKUP($A193,Spells!$A$2:$I1002,MATCH(C$3,Spells!$A$1:$I$1,0),FALSE))</f>
        <v/>
      </c>
      <c r="D193" s="49" t="str">
        <f>IFNA(VLOOKUP($A193,Spells!$A$2:$I1002,MATCH(D$3,Spells!$A$1:$I$1,0),FALSE))</f>
        <v/>
      </c>
      <c r="E193" s="49" t="str">
        <f>IFNA(VLOOKUP($A193,Spells!$A$2:$I1002,MATCH(E$3,Spells!$A$1:$I$1,0),FALSE))</f>
        <v/>
      </c>
      <c r="F193" s="49" t="str">
        <f>IFNA(VLOOKUP($A193,Spells!$A$2:$I1002,MATCH(F$3,Spells!$A$1:$I$1,0),FALSE))</f>
        <v/>
      </c>
      <c r="G193" s="49" t="str">
        <f>IFNA(VLOOKUP($A193,Spells!$A$2:$I1002,MATCH(G$3,Spells!$A$1:$I$1,0),FALSE))</f>
        <v/>
      </c>
      <c r="H193" s="49" t="str">
        <f>IFNA(VLOOKUP($A193,Spells!$A$2:$I1002,MATCH(H$3,Spells!$A$1:$I$1,0),FALSE))</f>
        <v/>
      </c>
    </row>
    <row r="194">
      <c r="A194" s="49"/>
      <c r="B194" s="49" t="str">
        <f>IFNA(VLOOKUP($A194,Spells!$A$2:$I1002,MATCH(B$3,Spells!$A$1:$I$1,0),FALSE))</f>
        <v/>
      </c>
      <c r="C194" s="49" t="str">
        <f>IFNA(VLOOKUP($A194,Spells!$A$2:$I1002,MATCH(C$3,Spells!$A$1:$I$1,0),FALSE))</f>
        <v/>
      </c>
      <c r="D194" s="49" t="str">
        <f>IFNA(VLOOKUP($A194,Spells!$A$2:$I1002,MATCH(D$3,Spells!$A$1:$I$1,0),FALSE))</f>
        <v/>
      </c>
      <c r="E194" s="49" t="str">
        <f>IFNA(VLOOKUP($A194,Spells!$A$2:$I1002,MATCH(E$3,Spells!$A$1:$I$1,0),FALSE))</f>
        <v/>
      </c>
      <c r="F194" s="49" t="str">
        <f>IFNA(VLOOKUP($A194,Spells!$A$2:$I1002,MATCH(F$3,Spells!$A$1:$I$1,0),FALSE))</f>
        <v/>
      </c>
      <c r="G194" s="49" t="str">
        <f>IFNA(VLOOKUP($A194,Spells!$A$2:$I1002,MATCH(G$3,Spells!$A$1:$I$1,0),FALSE))</f>
        <v/>
      </c>
      <c r="H194" s="49" t="str">
        <f>IFNA(VLOOKUP($A194,Spells!$A$2:$I1002,MATCH(H$3,Spells!$A$1:$I$1,0),FALSE))</f>
        <v/>
      </c>
    </row>
    <row r="195">
      <c r="A195" s="49"/>
      <c r="B195" s="49" t="str">
        <f>IFNA(VLOOKUP($A195,Spells!$A$2:$I1002,MATCH(B$3,Spells!$A$1:$I$1,0),FALSE))</f>
        <v/>
      </c>
      <c r="C195" s="49" t="str">
        <f>IFNA(VLOOKUP($A195,Spells!$A$2:$I1002,MATCH(C$3,Spells!$A$1:$I$1,0),FALSE))</f>
        <v/>
      </c>
      <c r="D195" s="49" t="str">
        <f>IFNA(VLOOKUP($A195,Spells!$A$2:$I1002,MATCH(D$3,Spells!$A$1:$I$1,0),FALSE))</f>
        <v/>
      </c>
      <c r="E195" s="49" t="str">
        <f>IFNA(VLOOKUP($A195,Spells!$A$2:$I1002,MATCH(E$3,Spells!$A$1:$I$1,0),FALSE))</f>
        <v/>
      </c>
      <c r="F195" s="49" t="str">
        <f>IFNA(VLOOKUP($A195,Spells!$A$2:$I1002,MATCH(F$3,Spells!$A$1:$I$1,0),FALSE))</f>
        <v/>
      </c>
      <c r="G195" s="49" t="str">
        <f>IFNA(VLOOKUP($A195,Spells!$A$2:$I1002,MATCH(G$3,Spells!$A$1:$I$1,0),FALSE))</f>
        <v/>
      </c>
      <c r="H195" s="49" t="str">
        <f>IFNA(VLOOKUP($A195,Spells!$A$2:$I1002,MATCH(H$3,Spells!$A$1:$I$1,0),FALSE))</f>
        <v/>
      </c>
    </row>
    <row r="196">
      <c r="A196" s="49"/>
      <c r="B196" s="49" t="str">
        <f>IFNA(VLOOKUP($A196,Spells!$A$2:$I1002,MATCH(B$3,Spells!$A$1:$I$1,0),FALSE))</f>
        <v/>
      </c>
      <c r="C196" s="49" t="str">
        <f>IFNA(VLOOKUP($A196,Spells!$A$2:$I1002,MATCH(C$3,Spells!$A$1:$I$1,0),FALSE))</f>
        <v/>
      </c>
      <c r="D196" s="49" t="str">
        <f>IFNA(VLOOKUP($A196,Spells!$A$2:$I1002,MATCH(D$3,Spells!$A$1:$I$1,0),FALSE))</f>
        <v/>
      </c>
      <c r="E196" s="49" t="str">
        <f>IFNA(VLOOKUP($A196,Spells!$A$2:$I1002,MATCH(E$3,Spells!$A$1:$I$1,0),FALSE))</f>
        <v/>
      </c>
      <c r="F196" s="49" t="str">
        <f>IFNA(VLOOKUP($A196,Spells!$A$2:$I1002,MATCH(F$3,Spells!$A$1:$I$1,0),FALSE))</f>
        <v/>
      </c>
      <c r="G196" s="49" t="str">
        <f>IFNA(VLOOKUP($A196,Spells!$A$2:$I1002,MATCH(G$3,Spells!$A$1:$I$1,0),FALSE))</f>
        <v/>
      </c>
      <c r="H196" s="49" t="str">
        <f>IFNA(VLOOKUP($A196,Spells!$A$2:$I1002,MATCH(H$3,Spells!$A$1:$I$1,0),FALSE))</f>
        <v/>
      </c>
    </row>
    <row r="197">
      <c r="A197" s="49"/>
      <c r="B197" s="49" t="str">
        <f>IFNA(VLOOKUP($A197,Spells!$A$2:$I1002,MATCH(B$3,Spells!$A$1:$I$1,0),FALSE))</f>
        <v/>
      </c>
      <c r="C197" s="49" t="str">
        <f>IFNA(VLOOKUP($A197,Spells!$A$2:$I1002,MATCH(C$3,Spells!$A$1:$I$1,0),FALSE))</f>
        <v/>
      </c>
      <c r="D197" s="49" t="str">
        <f>IFNA(VLOOKUP($A197,Spells!$A$2:$I1002,MATCH(D$3,Spells!$A$1:$I$1,0),FALSE))</f>
        <v/>
      </c>
      <c r="E197" s="49" t="str">
        <f>IFNA(VLOOKUP($A197,Spells!$A$2:$I1002,MATCH(E$3,Spells!$A$1:$I$1,0),FALSE))</f>
        <v/>
      </c>
      <c r="F197" s="49" t="str">
        <f>IFNA(VLOOKUP($A197,Spells!$A$2:$I1002,MATCH(F$3,Spells!$A$1:$I$1,0),FALSE))</f>
        <v/>
      </c>
      <c r="G197" s="49" t="str">
        <f>IFNA(VLOOKUP($A197,Spells!$A$2:$I1002,MATCH(G$3,Spells!$A$1:$I$1,0),FALSE))</f>
        <v/>
      </c>
      <c r="H197" s="49" t="str">
        <f>IFNA(VLOOKUP($A197,Spells!$A$2:$I1002,MATCH(H$3,Spells!$A$1:$I$1,0),FALSE))</f>
        <v/>
      </c>
    </row>
    <row r="198">
      <c r="A198" s="49"/>
      <c r="B198" s="49" t="str">
        <f>IFNA(VLOOKUP($A198,Spells!$A$2:$I1002,MATCH(B$3,Spells!$A$1:$I$1,0),FALSE))</f>
        <v/>
      </c>
      <c r="C198" s="49" t="str">
        <f>IFNA(VLOOKUP($A198,Spells!$A$2:$I1002,MATCH(C$3,Spells!$A$1:$I$1,0),FALSE))</f>
        <v/>
      </c>
      <c r="D198" s="49" t="str">
        <f>IFNA(VLOOKUP($A198,Spells!$A$2:$I1002,MATCH(D$3,Spells!$A$1:$I$1,0),FALSE))</f>
        <v/>
      </c>
      <c r="E198" s="49" t="str">
        <f>IFNA(VLOOKUP($A198,Spells!$A$2:$I1002,MATCH(E$3,Spells!$A$1:$I$1,0),FALSE))</f>
        <v/>
      </c>
      <c r="F198" s="49" t="str">
        <f>IFNA(VLOOKUP($A198,Spells!$A$2:$I1002,MATCH(F$3,Spells!$A$1:$I$1,0),FALSE))</f>
        <v/>
      </c>
      <c r="G198" s="49" t="str">
        <f>IFNA(VLOOKUP($A198,Spells!$A$2:$I1002,MATCH(G$3,Spells!$A$1:$I$1,0),FALSE))</f>
        <v/>
      </c>
      <c r="H198" s="49" t="str">
        <f>IFNA(VLOOKUP($A198,Spells!$A$2:$I1002,MATCH(H$3,Spells!$A$1:$I$1,0),FALSE))</f>
        <v/>
      </c>
    </row>
    <row r="199">
      <c r="A199" s="49"/>
      <c r="B199" s="49" t="str">
        <f>IFNA(VLOOKUP($A199,Spells!$A$2:$I1002,MATCH(B$3,Spells!$A$1:$I$1,0),FALSE))</f>
        <v/>
      </c>
      <c r="C199" s="49" t="str">
        <f>IFNA(VLOOKUP($A199,Spells!$A$2:$I1002,MATCH(C$3,Spells!$A$1:$I$1,0),FALSE))</f>
        <v/>
      </c>
      <c r="D199" s="49" t="str">
        <f>IFNA(VLOOKUP($A199,Spells!$A$2:$I1002,MATCH(D$3,Spells!$A$1:$I$1,0),FALSE))</f>
        <v/>
      </c>
      <c r="E199" s="49" t="str">
        <f>IFNA(VLOOKUP($A199,Spells!$A$2:$I1002,MATCH(E$3,Spells!$A$1:$I$1,0),FALSE))</f>
        <v/>
      </c>
      <c r="F199" s="49" t="str">
        <f>IFNA(VLOOKUP($A199,Spells!$A$2:$I1002,MATCH(F$3,Spells!$A$1:$I$1,0),FALSE))</f>
        <v/>
      </c>
      <c r="G199" s="49" t="str">
        <f>IFNA(VLOOKUP($A199,Spells!$A$2:$I1002,MATCH(G$3,Spells!$A$1:$I$1,0),FALSE))</f>
        <v/>
      </c>
      <c r="H199" s="49" t="str">
        <f>IFNA(VLOOKUP($A199,Spells!$A$2:$I1002,MATCH(H$3,Spells!$A$1:$I$1,0),FALSE))</f>
        <v/>
      </c>
    </row>
    <row r="200">
      <c r="A200" s="49"/>
      <c r="B200" s="49" t="str">
        <f>IFNA(VLOOKUP($A200,Spells!$A$2:$I1002,MATCH(B$3,Spells!$A$1:$I$1,0),FALSE))</f>
        <v/>
      </c>
      <c r="C200" s="49" t="str">
        <f>IFNA(VLOOKUP($A200,Spells!$A$2:$I1002,MATCH(C$3,Spells!$A$1:$I$1,0),FALSE))</f>
        <v/>
      </c>
      <c r="D200" s="49" t="str">
        <f>IFNA(VLOOKUP($A200,Spells!$A$2:$I1002,MATCH(D$3,Spells!$A$1:$I$1,0),FALSE))</f>
        <v/>
      </c>
      <c r="E200" s="49" t="str">
        <f>IFNA(VLOOKUP($A200,Spells!$A$2:$I1002,MATCH(E$3,Spells!$A$1:$I$1,0),FALSE))</f>
        <v/>
      </c>
      <c r="F200" s="49" t="str">
        <f>IFNA(VLOOKUP($A200,Spells!$A$2:$I1002,MATCH(F$3,Spells!$A$1:$I$1,0),FALSE))</f>
        <v/>
      </c>
      <c r="G200" s="49" t="str">
        <f>IFNA(VLOOKUP($A200,Spells!$A$2:$I1002,MATCH(G$3,Spells!$A$1:$I$1,0),FALSE))</f>
        <v/>
      </c>
      <c r="H200" s="49" t="str">
        <f>IFNA(VLOOKUP($A200,Spells!$A$2:$I1002,MATCH(H$3,Spells!$A$1:$I$1,0),FALSE))</f>
        <v/>
      </c>
    </row>
    <row r="201">
      <c r="A201" s="49"/>
      <c r="B201" s="49" t="str">
        <f>IFNA(VLOOKUP($A201,Spells!$A$2:$I1002,MATCH(B$3,Spells!$A$1:$I$1,0),FALSE))</f>
        <v/>
      </c>
      <c r="C201" s="49" t="str">
        <f>IFNA(VLOOKUP($A201,Spells!$A$2:$I1002,MATCH(C$3,Spells!$A$1:$I$1,0),FALSE))</f>
        <v/>
      </c>
      <c r="D201" s="49" t="str">
        <f>IFNA(VLOOKUP($A201,Spells!$A$2:$I1002,MATCH(D$3,Spells!$A$1:$I$1,0),FALSE))</f>
        <v/>
      </c>
      <c r="E201" s="49" t="str">
        <f>IFNA(VLOOKUP($A201,Spells!$A$2:$I1002,MATCH(E$3,Spells!$A$1:$I$1,0),FALSE))</f>
        <v/>
      </c>
      <c r="F201" s="49" t="str">
        <f>IFNA(VLOOKUP($A201,Spells!$A$2:$I1002,MATCH(F$3,Spells!$A$1:$I$1,0),FALSE))</f>
        <v/>
      </c>
      <c r="G201" s="49" t="str">
        <f>IFNA(VLOOKUP($A201,Spells!$A$2:$I1002,MATCH(G$3,Spells!$A$1:$I$1,0),FALSE))</f>
        <v/>
      </c>
      <c r="H201" s="49" t="str">
        <f>IFNA(VLOOKUP($A201,Spells!$A$2:$I1002,MATCH(H$3,Spells!$A$1:$I$1,0),FALSE))</f>
        <v/>
      </c>
    </row>
    <row r="202">
      <c r="A202" s="49"/>
      <c r="B202" s="49" t="str">
        <f>IFNA(VLOOKUP($A202,Spells!$A$2:$I1002,MATCH(B$3,Spells!$A$1:$I$1,0),FALSE))</f>
        <v/>
      </c>
      <c r="C202" s="49" t="str">
        <f>IFNA(VLOOKUP($A202,Spells!$A$2:$I1002,MATCH(C$3,Spells!$A$1:$I$1,0),FALSE))</f>
        <v/>
      </c>
      <c r="D202" s="49" t="str">
        <f>IFNA(VLOOKUP($A202,Spells!$A$2:$I1002,MATCH(D$3,Spells!$A$1:$I$1,0),FALSE))</f>
        <v/>
      </c>
      <c r="E202" s="49" t="str">
        <f>IFNA(VLOOKUP($A202,Spells!$A$2:$I1002,MATCH(E$3,Spells!$A$1:$I$1,0),FALSE))</f>
        <v/>
      </c>
      <c r="F202" s="49" t="str">
        <f>IFNA(VLOOKUP($A202,Spells!$A$2:$I1002,MATCH(F$3,Spells!$A$1:$I$1,0),FALSE))</f>
        <v/>
      </c>
      <c r="G202" s="49" t="str">
        <f>IFNA(VLOOKUP($A202,Spells!$A$2:$I1002,MATCH(G$3,Spells!$A$1:$I$1,0),FALSE))</f>
        <v/>
      </c>
      <c r="H202" s="49" t="str">
        <f>IFNA(VLOOKUP($A202,Spells!$A$2:$I1002,MATCH(H$3,Spells!$A$1:$I$1,0),FALSE))</f>
        <v/>
      </c>
    </row>
    <row r="203">
      <c r="A203" s="49"/>
      <c r="B203" s="49" t="str">
        <f>IFNA(VLOOKUP($A203,Spells!$A$2:$I1002,MATCH(B$3,Spells!$A$1:$I$1,0),FALSE))</f>
        <v/>
      </c>
      <c r="C203" s="49" t="str">
        <f>IFNA(VLOOKUP($A203,Spells!$A$2:$I1002,MATCH(C$3,Spells!$A$1:$I$1,0),FALSE))</f>
        <v/>
      </c>
      <c r="D203" s="49" t="str">
        <f>IFNA(VLOOKUP($A203,Spells!$A$2:$I1002,MATCH(D$3,Spells!$A$1:$I$1,0),FALSE))</f>
        <v/>
      </c>
      <c r="E203" s="49" t="str">
        <f>IFNA(VLOOKUP($A203,Spells!$A$2:$I1002,MATCH(E$3,Spells!$A$1:$I$1,0),FALSE))</f>
        <v/>
      </c>
      <c r="F203" s="49" t="str">
        <f>IFNA(VLOOKUP($A203,Spells!$A$2:$I1002,MATCH(F$3,Spells!$A$1:$I$1,0),FALSE))</f>
        <v/>
      </c>
      <c r="G203" s="49" t="str">
        <f>IFNA(VLOOKUP($A203,Spells!$A$2:$I1002,MATCH(G$3,Spells!$A$1:$I$1,0),FALSE))</f>
        <v/>
      </c>
      <c r="H203" s="49" t="str">
        <f>IFNA(VLOOKUP($A203,Spells!$A$2:$I1002,MATCH(H$3,Spells!$A$1:$I$1,0),FALSE))</f>
        <v/>
      </c>
    </row>
    <row r="204">
      <c r="A204" s="49"/>
      <c r="B204" s="49" t="str">
        <f>IFNA(VLOOKUP($A204,Spells!$A$2:$I1002,MATCH(B$3,Spells!$A$1:$I$1,0),FALSE))</f>
        <v/>
      </c>
      <c r="C204" s="49" t="str">
        <f>IFNA(VLOOKUP($A204,Spells!$A$2:$I1002,MATCH(C$3,Spells!$A$1:$I$1,0),FALSE))</f>
        <v/>
      </c>
      <c r="D204" s="49" t="str">
        <f>IFNA(VLOOKUP($A204,Spells!$A$2:$I1002,MATCH(D$3,Spells!$A$1:$I$1,0),FALSE))</f>
        <v/>
      </c>
      <c r="E204" s="49" t="str">
        <f>IFNA(VLOOKUP($A204,Spells!$A$2:$I1002,MATCH(E$3,Spells!$A$1:$I$1,0),FALSE))</f>
        <v/>
      </c>
      <c r="F204" s="49" t="str">
        <f>IFNA(VLOOKUP($A204,Spells!$A$2:$I1002,MATCH(F$3,Spells!$A$1:$I$1,0),FALSE))</f>
        <v/>
      </c>
      <c r="G204" s="49" t="str">
        <f>IFNA(VLOOKUP($A204,Spells!$A$2:$I1002,MATCH(G$3,Spells!$A$1:$I$1,0),FALSE))</f>
        <v/>
      </c>
      <c r="H204" s="49" t="str">
        <f>IFNA(VLOOKUP($A204,Spells!$A$2:$I1002,MATCH(H$3,Spells!$A$1:$I$1,0),FALSE))</f>
        <v/>
      </c>
    </row>
    <row r="205">
      <c r="A205" s="49"/>
      <c r="B205" s="49" t="str">
        <f>IFNA(VLOOKUP($A205,Spells!$A$2:$I1002,MATCH(B$3,Spells!$A$1:$I$1,0),FALSE))</f>
        <v/>
      </c>
      <c r="C205" s="49" t="str">
        <f>IFNA(VLOOKUP($A205,Spells!$A$2:$I1002,MATCH(C$3,Spells!$A$1:$I$1,0),FALSE))</f>
        <v/>
      </c>
      <c r="D205" s="49" t="str">
        <f>IFNA(VLOOKUP($A205,Spells!$A$2:$I1002,MATCH(D$3,Spells!$A$1:$I$1,0),FALSE))</f>
        <v/>
      </c>
      <c r="E205" s="49" t="str">
        <f>IFNA(VLOOKUP($A205,Spells!$A$2:$I1002,MATCH(E$3,Spells!$A$1:$I$1,0),FALSE))</f>
        <v/>
      </c>
      <c r="F205" s="49" t="str">
        <f>IFNA(VLOOKUP($A205,Spells!$A$2:$I1002,MATCH(F$3,Spells!$A$1:$I$1,0),FALSE))</f>
        <v/>
      </c>
      <c r="G205" s="49" t="str">
        <f>IFNA(VLOOKUP($A205,Spells!$A$2:$I1002,MATCH(G$3,Spells!$A$1:$I$1,0),FALSE))</f>
        <v/>
      </c>
      <c r="H205" s="49" t="str">
        <f>IFNA(VLOOKUP($A205,Spells!$A$2:$I1002,MATCH(H$3,Spells!$A$1:$I$1,0),FALSE))</f>
        <v/>
      </c>
    </row>
    <row r="206">
      <c r="A206" s="49"/>
      <c r="B206" s="49" t="str">
        <f>IFNA(VLOOKUP($A206,Spells!$A$2:$I1002,MATCH(B$3,Spells!$A$1:$I$1,0),FALSE))</f>
        <v/>
      </c>
      <c r="C206" s="49" t="str">
        <f>IFNA(VLOOKUP($A206,Spells!$A$2:$I1002,MATCH(C$3,Spells!$A$1:$I$1,0),FALSE))</f>
        <v/>
      </c>
      <c r="D206" s="49" t="str">
        <f>IFNA(VLOOKUP($A206,Spells!$A$2:$I1002,MATCH(D$3,Spells!$A$1:$I$1,0),FALSE))</f>
        <v/>
      </c>
      <c r="E206" s="49" t="str">
        <f>IFNA(VLOOKUP($A206,Spells!$A$2:$I1002,MATCH(E$3,Spells!$A$1:$I$1,0),FALSE))</f>
        <v/>
      </c>
      <c r="F206" s="49" t="str">
        <f>IFNA(VLOOKUP($A206,Spells!$A$2:$I1002,MATCH(F$3,Spells!$A$1:$I$1,0),FALSE))</f>
        <v/>
      </c>
      <c r="G206" s="49" t="str">
        <f>IFNA(VLOOKUP($A206,Spells!$A$2:$I1002,MATCH(G$3,Spells!$A$1:$I$1,0),FALSE))</f>
        <v/>
      </c>
      <c r="H206" s="49" t="str">
        <f>IFNA(VLOOKUP($A206,Spells!$A$2:$I1002,MATCH(H$3,Spells!$A$1:$I$1,0),FALSE))</f>
        <v/>
      </c>
    </row>
    <row r="207">
      <c r="A207" s="49"/>
      <c r="B207" s="49" t="str">
        <f>IFNA(VLOOKUP($A207,Spells!$A$2:$I1002,MATCH(B$3,Spells!$A$1:$I$1,0),FALSE))</f>
        <v/>
      </c>
      <c r="C207" s="49" t="str">
        <f>IFNA(VLOOKUP($A207,Spells!$A$2:$I1002,MATCH(C$3,Spells!$A$1:$I$1,0),FALSE))</f>
        <v/>
      </c>
      <c r="D207" s="49" t="str">
        <f>IFNA(VLOOKUP($A207,Spells!$A$2:$I1002,MATCH(D$3,Spells!$A$1:$I$1,0),FALSE))</f>
        <v/>
      </c>
      <c r="E207" s="49" t="str">
        <f>IFNA(VLOOKUP($A207,Spells!$A$2:$I1002,MATCH(E$3,Spells!$A$1:$I$1,0),FALSE))</f>
        <v/>
      </c>
      <c r="F207" s="49" t="str">
        <f>IFNA(VLOOKUP($A207,Spells!$A$2:$I1002,MATCH(F$3,Spells!$A$1:$I$1,0),FALSE))</f>
        <v/>
      </c>
      <c r="G207" s="49" t="str">
        <f>IFNA(VLOOKUP($A207,Spells!$A$2:$I1002,MATCH(G$3,Spells!$A$1:$I$1,0),FALSE))</f>
        <v/>
      </c>
      <c r="H207" s="49" t="str">
        <f>IFNA(VLOOKUP($A207,Spells!$A$2:$I1002,MATCH(H$3,Spells!$A$1:$I$1,0),FALSE))</f>
        <v/>
      </c>
    </row>
    <row r="208">
      <c r="A208" s="49"/>
      <c r="B208" s="49" t="str">
        <f>IFNA(VLOOKUP($A208,Spells!$A$2:$I1002,MATCH(B$3,Spells!$A$1:$I$1,0),FALSE))</f>
        <v/>
      </c>
      <c r="C208" s="49" t="str">
        <f>IFNA(VLOOKUP($A208,Spells!$A$2:$I1002,MATCH(C$3,Spells!$A$1:$I$1,0),FALSE))</f>
        <v/>
      </c>
      <c r="D208" s="49" t="str">
        <f>IFNA(VLOOKUP($A208,Spells!$A$2:$I1002,MATCH(D$3,Spells!$A$1:$I$1,0),FALSE))</f>
        <v/>
      </c>
      <c r="E208" s="49" t="str">
        <f>IFNA(VLOOKUP($A208,Spells!$A$2:$I1002,MATCH(E$3,Spells!$A$1:$I$1,0),FALSE))</f>
        <v/>
      </c>
      <c r="F208" s="49" t="str">
        <f>IFNA(VLOOKUP($A208,Spells!$A$2:$I1002,MATCH(F$3,Spells!$A$1:$I$1,0),FALSE))</f>
        <v/>
      </c>
      <c r="G208" s="49" t="str">
        <f>IFNA(VLOOKUP($A208,Spells!$A$2:$I1002,MATCH(G$3,Spells!$A$1:$I$1,0),FALSE))</f>
        <v/>
      </c>
      <c r="H208" s="49" t="str">
        <f>IFNA(VLOOKUP($A208,Spells!$A$2:$I1002,MATCH(H$3,Spells!$A$1:$I$1,0),FALSE))</f>
        <v/>
      </c>
    </row>
    <row r="209">
      <c r="A209" s="49"/>
      <c r="B209" s="49" t="str">
        <f>IFNA(VLOOKUP($A209,Spells!$A$2:$I1002,MATCH(B$3,Spells!$A$1:$I$1,0),FALSE))</f>
        <v/>
      </c>
      <c r="C209" s="49" t="str">
        <f>IFNA(VLOOKUP($A209,Spells!$A$2:$I1002,MATCH(C$3,Spells!$A$1:$I$1,0),FALSE))</f>
        <v/>
      </c>
      <c r="D209" s="49" t="str">
        <f>IFNA(VLOOKUP($A209,Spells!$A$2:$I1002,MATCH(D$3,Spells!$A$1:$I$1,0),FALSE))</f>
        <v/>
      </c>
      <c r="E209" s="49" t="str">
        <f>IFNA(VLOOKUP($A209,Spells!$A$2:$I1002,MATCH(E$3,Spells!$A$1:$I$1,0),FALSE))</f>
        <v/>
      </c>
      <c r="F209" s="49" t="str">
        <f>IFNA(VLOOKUP($A209,Spells!$A$2:$I1002,MATCH(F$3,Spells!$A$1:$I$1,0),FALSE))</f>
        <v/>
      </c>
      <c r="G209" s="49" t="str">
        <f>IFNA(VLOOKUP($A209,Spells!$A$2:$I1002,MATCH(G$3,Spells!$A$1:$I$1,0),FALSE))</f>
        <v/>
      </c>
      <c r="H209" s="49" t="str">
        <f>IFNA(VLOOKUP($A209,Spells!$A$2:$I1002,MATCH(H$3,Spells!$A$1:$I$1,0),FALSE))</f>
        <v/>
      </c>
    </row>
    <row r="210">
      <c r="A210" s="49"/>
      <c r="B210" s="49" t="str">
        <f>IFNA(VLOOKUP($A210,Spells!$A$2:$I1002,MATCH(B$3,Spells!$A$1:$I$1,0),FALSE))</f>
        <v/>
      </c>
      <c r="C210" s="49" t="str">
        <f>IFNA(VLOOKUP($A210,Spells!$A$2:$I1002,MATCH(C$3,Spells!$A$1:$I$1,0),FALSE))</f>
        <v/>
      </c>
      <c r="D210" s="49" t="str">
        <f>IFNA(VLOOKUP($A210,Spells!$A$2:$I1002,MATCH(D$3,Spells!$A$1:$I$1,0),FALSE))</f>
        <v/>
      </c>
      <c r="E210" s="49" t="str">
        <f>IFNA(VLOOKUP($A210,Spells!$A$2:$I1002,MATCH(E$3,Spells!$A$1:$I$1,0),FALSE))</f>
        <v/>
      </c>
      <c r="F210" s="49" t="str">
        <f>IFNA(VLOOKUP($A210,Spells!$A$2:$I1002,MATCH(F$3,Spells!$A$1:$I$1,0),FALSE))</f>
        <v/>
      </c>
      <c r="G210" s="49" t="str">
        <f>IFNA(VLOOKUP($A210,Spells!$A$2:$I1002,MATCH(G$3,Spells!$A$1:$I$1,0),FALSE))</f>
        <v/>
      </c>
      <c r="H210" s="49" t="str">
        <f>IFNA(VLOOKUP($A210,Spells!$A$2:$I1002,MATCH(H$3,Spells!$A$1:$I$1,0),FALSE))</f>
        <v/>
      </c>
    </row>
    <row r="211">
      <c r="A211" s="49"/>
      <c r="B211" s="49" t="str">
        <f>IFNA(VLOOKUP($A211,Spells!$A$2:$I1002,MATCH(B$3,Spells!$A$1:$I$1,0),FALSE))</f>
        <v/>
      </c>
      <c r="C211" s="49" t="str">
        <f>IFNA(VLOOKUP($A211,Spells!$A$2:$I1002,MATCH(C$3,Spells!$A$1:$I$1,0),FALSE))</f>
        <v/>
      </c>
      <c r="D211" s="49" t="str">
        <f>IFNA(VLOOKUP($A211,Spells!$A$2:$I1002,MATCH(D$3,Spells!$A$1:$I$1,0),FALSE))</f>
        <v/>
      </c>
      <c r="E211" s="49" t="str">
        <f>IFNA(VLOOKUP($A211,Spells!$A$2:$I1002,MATCH(E$3,Spells!$A$1:$I$1,0),FALSE))</f>
        <v/>
      </c>
      <c r="F211" s="49" t="str">
        <f>IFNA(VLOOKUP($A211,Spells!$A$2:$I1002,MATCH(F$3,Spells!$A$1:$I$1,0),FALSE))</f>
        <v/>
      </c>
      <c r="G211" s="49" t="str">
        <f>IFNA(VLOOKUP($A211,Spells!$A$2:$I1002,MATCH(G$3,Spells!$A$1:$I$1,0),FALSE))</f>
        <v/>
      </c>
      <c r="H211" s="49" t="str">
        <f>IFNA(VLOOKUP($A211,Spells!$A$2:$I1002,MATCH(H$3,Spells!$A$1:$I$1,0),FALSE))</f>
        <v/>
      </c>
    </row>
    <row r="212">
      <c r="A212" s="49"/>
      <c r="B212" s="49" t="str">
        <f>IFNA(VLOOKUP($A212,Spells!$A$2:$I1002,MATCH(B$3,Spells!$A$1:$I$1,0),FALSE))</f>
        <v/>
      </c>
      <c r="C212" s="49" t="str">
        <f>IFNA(VLOOKUP($A212,Spells!$A$2:$I1002,MATCH(C$3,Spells!$A$1:$I$1,0),FALSE))</f>
        <v/>
      </c>
      <c r="D212" s="49" t="str">
        <f>IFNA(VLOOKUP($A212,Spells!$A$2:$I1002,MATCH(D$3,Spells!$A$1:$I$1,0),FALSE))</f>
        <v/>
      </c>
      <c r="E212" s="49" t="str">
        <f>IFNA(VLOOKUP($A212,Spells!$A$2:$I1002,MATCH(E$3,Spells!$A$1:$I$1,0),FALSE))</f>
        <v/>
      </c>
      <c r="F212" s="49" t="str">
        <f>IFNA(VLOOKUP($A212,Spells!$A$2:$I1002,MATCH(F$3,Spells!$A$1:$I$1,0),FALSE))</f>
        <v/>
      </c>
      <c r="G212" s="49" t="str">
        <f>IFNA(VLOOKUP($A212,Spells!$A$2:$I1002,MATCH(G$3,Spells!$A$1:$I$1,0),FALSE))</f>
        <v/>
      </c>
      <c r="H212" s="49" t="str">
        <f>IFNA(VLOOKUP($A212,Spells!$A$2:$I1002,MATCH(H$3,Spells!$A$1:$I$1,0),FALSE))</f>
        <v/>
      </c>
    </row>
    <row r="213">
      <c r="A213" s="49"/>
      <c r="B213" s="49" t="str">
        <f>IFNA(VLOOKUP($A213,Spells!$A$2:$I1002,MATCH(B$3,Spells!$A$1:$I$1,0),FALSE))</f>
        <v/>
      </c>
      <c r="C213" s="49" t="str">
        <f>IFNA(VLOOKUP($A213,Spells!$A$2:$I1002,MATCH(C$3,Spells!$A$1:$I$1,0),FALSE))</f>
        <v/>
      </c>
      <c r="D213" s="49" t="str">
        <f>IFNA(VLOOKUP($A213,Spells!$A$2:$I1002,MATCH(D$3,Spells!$A$1:$I$1,0),FALSE))</f>
        <v/>
      </c>
      <c r="E213" s="49" t="str">
        <f>IFNA(VLOOKUP($A213,Spells!$A$2:$I1002,MATCH(E$3,Spells!$A$1:$I$1,0),FALSE))</f>
        <v/>
      </c>
      <c r="F213" s="49" t="str">
        <f>IFNA(VLOOKUP($A213,Spells!$A$2:$I1002,MATCH(F$3,Spells!$A$1:$I$1,0),FALSE))</f>
        <v/>
      </c>
      <c r="G213" s="49" t="str">
        <f>IFNA(VLOOKUP($A213,Spells!$A$2:$I1002,MATCH(G$3,Spells!$A$1:$I$1,0),FALSE))</f>
        <v/>
      </c>
      <c r="H213" s="49" t="str">
        <f>IFNA(VLOOKUP($A213,Spells!$A$2:$I1002,MATCH(H$3,Spells!$A$1:$I$1,0),FALSE))</f>
        <v/>
      </c>
    </row>
    <row r="214">
      <c r="A214" s="49"/>
      <c r="B214" s="49" t="str">
        <f>IFNA(VLOOKUP($A214,Spells!$A$2:$I1002,MATCH(B$3,Spells!$A$1:$I$1,0),FALSE))</f>
        <v/>
      </c>
      <c r="C214" s="49" t="str">
        <f>IFNA(VLOOKUP($A214,Spells!$A$2:$I1002,MATCH(C$3,Spells!$A$1:$I$1,0),FALSE))</f>
        <v/>
      </c>
      <c r="D214" s="49" t="str">
        <f>IFNA(VLOOKUP($A214,Spells!$A$2:$I1002,MATCH(D$3,Spells!$A$1:$I$1,0),FALSE))</f>
        <v/>
      </c>
      <c r="E214" s="49" t="str">
        <f>IFNA(VLOOKUP($A214,Spells!$A$2:$I1002,MATCH(E$3,Spells!$A$1:$I$1,0),FALSE))</f>
        <v/>
      </c>
      <c r="F214" s="49" t="str">
        <f>IFNA(VLOOKUP($A214,Spells!$A$2:$I1002,MATCH(F$3,Spells!$A$1:$I$1,0),FALSE))</f>
        <v/>
      </c>
      <c r="G214" s="49" t="str">
        <f>IFNA(VLOOKUP($A214,Spells!$A$2:$I1002,MATCH(G$3,Spells!$A$1:$I$1,0),FALSE))</f>
        <v/>
      </c>
      <c r="H214" s="49" t="str">
        <f>IFNA(VLOOKUP($A214,Spells!$A$2:$I1002,MATCH(H$3,Spells!$A$1:$I$1,0),FALSE))</f>
        <v/>
      </c>
    </row>
    <row r="215">
      <c r="A215" s="49"/>
      <c r="B215" s="49" t="str">
        <f>IFNA(VLOOKUP($A215,Spells!$A$2:$I1002,MATCH(B$3,Spells!$A$1:$I$1,0),FALSE))</f>
        <v/>
      </c>
      <c r="C215" s="49" t="str">
        <f>IFNA(VLOOKUP($A215,Spells!$A$2:$I1002,MATCH(C$3,Spells!$A$1:$I$1,0),FALSE))</f>
        <v/>
      </c>
      <c r="D215" s="49" t="str">
        <f>IFNA(VLOOKUP($A215,Spells!$A$2:$I1002,MATCH(D$3,Spells!$A$1:$I$1,0),FALSE))</f>
        <v/>
      </c>
      <c r="E215" s="49" t="str">
        <f>IFNA(VLOOKUP($A215,Spells!$A$2:$I1002,MATCH(E$3,Spells!$A$1:$I$1,0),FALSE))</f>
        <v/>
      </c>
      <c r="F215" s="49" t="str">
        <f>IFNA(VLOOKUP($A215,Spells!$A$2:$I1002,MATCH(F$3,Spells!$A$1:$I$1,0),FALSE))</f>
        <v/>
      </c>
      <c r="G215" s="49" t="str">
        <f>IFNA(VLOOKUP($A215,Spells!$A$2:$I1002,MATCH(G$3,Spells!$A$1:$I$1,0),FALSE))</f>
        <v/>
      </c>
      <c r="H215" s="49" t="str">
        <f>IFNA(VLOOKUP($A215,Spells!$A$2:$I1002,MATCH(H$3,Spells!$A$1:$I$1,0),FALSE))</f>
        <v/>
      </c>
    </row>
    <row r="216">
      <c r="A216" s="49"/>
      <c r="B216" s="49" t="str">
        <f>IFNA(VLOOKUP($A216,Spells!$A$2:$I1002,MATCH(B$3,Spells!$A$1:$I$1,0),FALSE))</f>
        <v/>
      </c>
      <c r="C216" s="49" t="str">
        <f>IFNA(VLOOKUP($A216,Spells!$A$2:$I1002,MATCH(C$3,Spells!$A$1:$I$1,0),FALSE))</f>
        <v/>
      </c>
      <c r="D216" s="49" t="str">
        <f>IFNA(VLOOKUP($A216,Spells!$A$2:$I1002,MATCH(D$3,Spells!$A$1:$I$1,0),FALSE))</f>
        <v/>
      </c>
      <c r="E216" s="49" t="str">
        <f>IFNA(VLOOKUP($A216,Spells!$A$2:$I1002,MATCH(E$3,Spells!$A$1:$I$1,0),FALSE))</f>
        <v/>
      </c>
      <c r="F216" s="49" t="str">
        <f>IFNA(VLOOKUP($A216,Spells!$A$2:$I1002,MATCH(F$3,Spells!$A$1:$I$1,0),FALSE))</f>
        <v/>
      </c>
      <c r="G216" s="49" t="str">
        <f>IFNA(VLOOKUP($A216,Spells!$A$2:$I1002,MATCH(G$3,Spells!$A$1:$I$1,0),FALSE))</f>
        <v/>
      </c>
      <c r="H216" s="49" t="str">
        <f>IFNA(VLOOKUP($A216,Spells!$A$2:$I1002,MATCH(H$3,Spells!$A$1:$I$1,0),FALSE))</f>
        <v/>
      </c>
    </row>
    <row r="217">
      <c r="A217" s="49"/>
      <c r="B217" s="49" t="str">
        <f>IFNA(VLOOKUP($A217,Spells!$A$2:$I1002,MATCH(B$3,Spells!$A$1:$I$1,0),FALSE))</f>
        <v/>
      </c>
      <c r="C217" s="49" t="str">
        <f>IFNA(VLOOKUP($A217,Spells!$A$2:$I1002,MATCH(C$3,Spells!$A$1:$I$1,0),FALSE))</f>
        <v/>
      </c>
      <c r="D217" s="49" t="str">
        <f>IFNA(VLOOKUP($A217,Spells!$A$2:$I1002,MATCH(D$3,Spells!$A$1:$I$1,0),FALSE))</f>
        <v/>
      </c>
      <c r="E217" s="49" t="str">
        <f>IFNA(VLOOKUP($A217,Spells!$A$2:$I1002,MATCH(E$3,Spells!$A$1:$I$1,0),FALSE))</f>
        <v/>
      </c>
      <c r="F217" s="49" t="str">
        <f>IFNA(VLOOKUP($A217,Spells!$A$2:$I1002,MATCH(F$3,Spells!$A$1:$I$1,0),FALSE))</f>
        <v/>
      </c>
      <c r="G217" s="49" t="str">
        <f>IFNA(VLOOKUP($A217,Spells!$A$2:$I1002,MATCH(G$3,Spells!$A$1:$I$1,0),FALSE))</f>
        <v/>
      </c>
      <c r="H217" s="49" t="str">
        <f>IFNA(VLOOKUP($A217,Spells!$A$2:$I1002,MATCH(H$3,Spells!$A$1:$I$1,0),FALSE))</f>
        <v/>
      </c>
    </row>
    <row r="218">
      <c r="A218" s="49"/>
      <c r="B218" s="49" t="str">
        <f>IFNA(VLOOKUP($A218,Spells!$A$2:$I1002,MATCH(B$3,Spells!$A$1:$I$1,0),FALSE))</f>
        <v/>
      </c>
      <c r="C218" s="49" t="str">
        <f>IFNA(VLOOKUP($A218,Spells!$A$2:$I1002,MATCH(C$3,Spells!$A$1:$I$1,0),FALSE))</f>
        <v/>
      </c>
      <c r="D218" s="49" t="str">
        <f>IFNA(VLOOKUP($A218,Spells!$A$2:$I1002,MATCH(D$3,Spells!$A$1:$I$1,0),FALSE))</f>
        <v/>
      </c>
      <c r="E218" s="49" t="str">
        <f>IFNA(VLOOKUP($A218,Spells!$A$2:$I1002,MATCH(E$3,Spells!$A$1:$I$1,0),FALSE))</f>
        <v/>
      </c>
      <c r="F218" s="49" t="str">
        <f>IFNA(VLOOKUP($A218,Spells!$A$2:$I1002,MATCH(F$3,Spells!$A$1:$I$1,0),FALSE))</f>
        <v/>
      </c>
      <c r="G218" s="49" t="str">
        <f>IFNA(VLOOKUP($A218,Spells!$A$2:$I1002,MATCH(G$3,Spells!$A$1:$I$1,0),FALSE))</f>
        <v/>
      </c>
      <c r="H218" s="49" t="str">
        <f>IFNA(VLOOKUP($A218,Spells!$A$2:$I1002,MATCH(H$3,Spells!$A$1:$I$1,0),FALSE))</f>
        <v/>
      </c>
    </row>
    <row r="219">
      <c r="A219" s="49"/>
      <c r="B219" s="49" t="str">
        <f>IFNA(VLOOKUP($A219,Spells!$A$2:$I1002,MATCH(B$3,Spells!$A$1:$I$1,0),FALSE))</f>
        <v/>
      </c>
      <c r="C219" s="49" t="str">
        <f>IFNA(VLOOKUP($A219,Spells!$A$2:$I1002,MATCH(C$3,Spells!$A$1:$I$1,0),FALSE))</f>
        <v/>
      </c>
      <c r="D219" s="49" t="str">
        <f>IFNA(VLOOKUP($A219,Spells!$A$2:$I1002,MATCH(D$3,Spells!$A$1:$I$1,0),FALSE))</f>
        <v/>
      </c>
      <c r="E219" s="49" t="str">
        <f>IFNA(VLOOKUP($A219,Spells!$A$2:$I1002,MATCH(E$3,Spells!$A$1:$I$1,0),FALSE))</f>
        <v/>
      </c>
      <c r="F219" s="49" t="str">
        <f>IFNA(VLOOKUP($A219,Spells!$A$2:$I1002,MATCH(F$3,Spells!$A$1:$I$1,0),FALSE))</f>
        <v/>
      </c>
      <c r="G219" s="49" t="str">
        <f>IFNA(VLOOKUP($A219,Spells!$A$2:$I1002,MATCH(G$3,Spells!$A$1:$I$1,0),FALSE))</f>
        <v/>
      </c>
      <c r="H219" s="49" t="str">
        <f>IFNA(VLOOKUP($A219,Spells!$A$2:$I1002,MATCH(H$3,Spells!$A$1:$I$1,0),FALSE))</f>
        <v/>
      </c>
    </row>
    <row r="220">
      <c r="A220" s="49"/>
      <c r="B220" s="49" t="str">
        <f>IFNA(VLOOKUP($A220,Spells!$A$2:$I1002,MATCH(B$3,Spells!$A$1:$I$1,0),FALSE))</f>
        <v/>
      </c>
      <c r="C220" s="49" t="str">
        <f>IFNA(VLOOKUP($A220,Spells!$A$2:$I1002,MATCH(C$3,Spells!$A$1:$I$1,0),FALSE))</f>
        <v/>
      </c>
      <c r="D220" s="49" t="str">
        <f>IFNA(VLOOKUP($A220,Spells!$A$2:$I1002,MATCH(D$3,Spells!$A$1:$I$1,0),FALSE))</f>
        <v/>
      </c>
      <c r="E220" s="49" t="str">
        <f>IFNA(VLOOKUP($A220,Spells!$A$2:$I1002,MATCH(E$3,Spells!$A$1:$I$1,0),FALSE))</f>
        <v/>
      </c>
      <c r="F220" s="49" t="str">
        <f>IFNA(VLOOKUP($A220,Spells!$A$2:$I1002,MATCH(F$3,Spells!$A$1:$I$1,0),FALSE))</f>
        <v/>
      </c>
      <c r="G220" s="49" t="str">
        <f>IFNA(VLOOKUP($A220,Spells!$A$2:$I1002,MATCH(G$3,Spells!$A$1:$I$1,0),FALSE))</f>
        <v/>
      </c>
      <c r="H220" s="49" t="str">
        <f>IFNA(VLOOKUP($A220,Spells!$A$2:$I1002,MATCH(H$3,Spells!$A$1:$I$1,0),FALSE))</f>
        <v/>
      </c>
    </row>
    <row r="221">
      <c r="A221" s="49"/>
      <c r="B221" s="49" t="str">
        <f>IFNA(VLOOKUP($A221,Spells!$A$2:$I1002,MATCH(B$3,Spells!$A$1:$I$1,0),FALSE))</f>
        <v/>
      </c>
      <c r="C221" s="49" t="str">
        <f>IFNA(VLOOKUP($A221,Spells!$A$2:$I1002,MATCH(C$3,Spells!$A$1:$I$1,0),FALSE))</f>
        <v/>
      </c>
      <c r="D221" s="49" t="str">
        <f>IFNA(VLOOKUP($A221,Spells!$A$2:$I1002,MATCH(D$3,Spells!$A$1:$I$1,0),FALSE))</f>
        <v/>
      </c>
      <c r="E221" s="49" t="str">
        <f>IFNA(VLOOKUP($A221,Spells!$A$2:$I1002,MATCH(E$3,Spells!$A$1:$I$1,0),FALSE))</f>
        <v/>
      </c>
      <c r="F221" s="49" t="str">
        <f>IFNA(VLOOKUP($A221,Spells!$A$2:$I1002,MATCH(F$3,Spells!$A$1:$I$1,0),FALSE))</f>
        <v/>
      </c>
      <c r="G221" s="49" t="str">
        <f>IFNA(VLOOKUP($A221,Spells!$A$2:$I1002,MATCH(G$3,Spells!$A$1:$I$1,0),FALSE))</f>
        <v/>
      </c>
      <c r="H221" s="49" t="str">
        <f>IFNA(VLOOKUP($A221,Spells!$A$2:$I1002,MATCH(H$3,Spells!$A$1:$I$1,0),FALSE))</f>
        <v/>
      </c>
    </row>
    <row r="222">
      <c r="A222" s="49"/>
      <c r="B222" s="49" t="str">
        <f>IFNA(VLOOKUP($A222,Spells!$A$2:$I1002,MATCH(B$3,Spells!$A$1:$I$1,0),FALSE))</f>
        <v/>
      </c>
      <c r="C222" s="49" t="str">
        <f>IFNA(VLOOKUP($A222,Spells!$A$2:$I1002,MATCH(C$3,Spells!$A$1:$I$1,0),FALSE))</f>
        <v/>
      </c>
      <c r="D222" s="49" t="str">
        <f>IFNA(VLOOKUP($A222,Spells!$A$2:$I1002,MATCH(D$3,Spells!$A$1:$I$1,0),FALSE))</f>
        <v/>
      </c>
      <c r="E222" s="49" t="str">
        <f>IFNA(VLOOKUP($A222,Spells!$A$2:$I1002,MATCH(E$3,Spells!$A$1:$I$1,0),FALSE))</f>
        <v/>
      </c>
      <c r="F222" s="49" t="str">
        <f>IFNA(VLOOKUP($A222,Spells!$A$2:$I1002,MATCH(F$3,Spells!$A$1:$I$1,0),FALSE))</f>
        <v/>
      </c>
      <c r="G222" s="49" t="str">
        <f>IFNA(VLOOKUP($A222,Spells!$A$2:$I1002,MATCH(G$3,Spells!$A$1:$I$1,0),FALSE))</f>
        <v/>
      </c>
      <c r="H222" s="49" t="str">
        <f>IFNA(VLOOKUP($A222,Spells!$A$2:$I1002,MATCH(H$3,Spells!$A$1:$I$1,0),FALSE))</f>
        <v/>
      </c>
    </row>
    <row r="223">
      <c r="A223" s="49"/>
      <c r="B223" s="49" t="str">
        <f>IFNA(VLOOKUP($A223,Spells!$A$2:$I1002,MATCH(B$3,Spells!$A$1:$I$1,0),FALSE))</f>
        <v/>
      </c>
      <c r="C223" s="49" t="str">
        <f>IFNA(VLOOKUP($A223,Spells!$A$2:$I1002,MATCH(C$3,Spells!$A$1:$I$1,0),FALSE))</f>
        <v/>
      </c>
      <c r="D223" s="49" t="str">
        <f>IFNA(VLOOKUP($A223,Spells!$A$2:$I1002,MATCH(D$3,Spells!$A$1:$I$1,0),FALSE))</f>
        <v/>
      </c>
      <c r="E223" s="49" t="str">
        <f>IFNA(VLOOKUP($A223,Spells!$A$2:$I1002,MATCH(E$3,Spells!$A$1:$I$1,0),FALSE))</f>
        <v/>
      </c>
      <c r="F223" s="49" t="str">
        <f>IFNA(VLOOKUP($A223,Spells!$A$2:$I1002,MATCH(F$3,Spells!$A$1:$I$1,0),FALSE))</f>
        <v/>
      </c>
      <c r="G223" s="49" t="str">
        <f>IFNA(VLOOKUP($A223,Spells!$A$2:$I1002,MATCH(G$3,Spells!$A$1:$I$1,0),FALSE))</f>
        <v/>
      </c>
      <c r="H223" s="49" t="str">
        <f>IFNA(VLOOKUP($A223,Spells!$A$2:$I1002,MATCH(H$3,Spells!$A$1:$I$1,0),FALSE))</f>
        <v/>
      </c>
    </row>
    <row r="224">
      <c r="A224" s="49"/>
      <c r="B224" s="49" t="str">
        <f>IFNA(VLOOKUP($A224,Spells!$A$2:$I1002,MATCH(B$3,Spells!$A$1:$I$1,0),FALSE))</f>
        <v/>
      </c>
      <c r="C224" s="49" t="str">
        <f>IFNA(VLOOKUP($A224,Spells!$A$2:$I1002,MATCH(C$3,Spells!$A$1:$I$1,0),FALSE))</f>
        <v/>
      </c>
      <c r="D224" s="49" t="str">
        <f>IFNA(VLOOKUP($A224,Spells!$A$2:$I1002,MATCH(D$3,Spells!$A$1:$I$1,0),FALSE))</f>
        <v/>
      </c>
      <c r="E224" s="49" t="str">
        <f>IFNA(VLOOKUP($A224,Spells!$A$2:$I1002,MATCH(E$3,Spells!$A$1:$I$1,0),FALSE))</f>
        <v/>
      </c>
      <c r="F224" s="49" t="str">
        <f>IFNA(VLOOKUP($A224,Spells!$A$2:$I1002,MATCH(F$3,Spells!$A$1:$I$1,0),FALSE))</f>
        <v/>
      </c>
      <c r="G224" s="49" t="str">
        <f>IFNA(VLOOKUP($A224,Spells!$A$2:$I1002,MATCH(G$3,Spells!$A$1:$I$1,0),FALSE))</f>
        <v/>
      </c>
      <c r="H224" s="49" t="str">
        <f>IFNA(VLOOKUP($A224,Spells!$A$2:$I1002,MATCH(H$3,Spells!$A$1:$I$1,0),FALSE))</f>
        <v/>
      </c>
    </row>
    <row r="225">
      <c r="A225" s="49"/>
      <c r="B225" s="49" t="str">
        <f>IFNA(VLOOKUP($A225,Spells!$A$2:$I1002,MATCH(B$3,Spells!$A$1:$I$1,0),FALSE))</f>
        <v/>
      </c>
      <c r="C225" s="49" t="str">
        <f>IFNA(VLOOKUP($A225,Spells!$A$2:$I1002,MATCH(C$3,Spells!$A$1:$I$1,0),FALSE))</f>
        <v/>
      </c>
      <c r="D225" s="49" t="str">
        <f>IFNA(VLOOKUP($A225,Spells!$A$2:$I1002,MATCH(D$3,Spells!$A$1:$I$1,0),FALSE))</f>
        <v/>
      </c>
      <c r="E225" s="49" t="str">
        <f>IFNA(VLOOKUP($A225,Spells!$A$2:$I1002,MATCH(E$3,Spells!$A$1:$I$1,0),FALSE))</f>
        <v/>
      </c>
      <c r="F225" s="49" t="str">
        <f>IFNA(VLOOKUP($A225,Spells!$A$2:$I1002,MATCH(F$3,Spells!$A$1:$I$1,0),FALSE))</f>
        <v/>
      </c>
      <c r="G225" s="49" t="str">
        <f>IFNA(VLOOKUP($A225,Spells!$A$2:$I1002,MATCH(G$3,Spells!$A$1:$I$1,0),FALSE))</f>
        <v/>
      </c>
      <c r="H225" s="49" t="str">
        <f>IFNA(VLOOKUP($A225,Spells!$A$2:$I1002,MATCH(H$3,Spells!$A$1:$I$1,0),FALSE))</f>
        <v/>
      </c>
    </row>
    <row r="226">
      <c r="A226" s="49"/>
      <c r="B226" s="49" t="str">
        <f>IFNA(VLOOKUP($A226,Spells!$A$2:$I1002,MATCH(B$3,Spells!$A$1:$I$1,0),FALSE))</f>
        <v/>
      </c>
      <c r="C226" s="49" t="str">
        <f>IFNA(VLOOKUP($A226,Spells!$A$2:$I1002,MATCH(C$3,Spells!$A$1:$I$1,0),FALSE))</f>
        <v/>
      </c>
      <c r="D226" s="49" t="str">
        <f>IFNA(VLOOKUP($A226,Spells!$A$2:$I1002,MATCH(D$3,Spells!$A$1:$I$1,0),FALSE))</f>
        <v/>
      </c>
      <c r="E226" s="49" t="str">
        <f>IFNA(VLOOKUP($A226,Spells!$A$2:$I1002,MATCH(E$3,Spells!$A$1:$I$1,0),FALSE))</f>
        <v/>
      </c>
      <c r="F226" s="49" t="str">
        <f>IFNA(VLOOKUP($A226,Spells!$A$2:$I1002,MATCH(F$3,Spells!$A$1:$I$1,0),FALSE))</f>
        <v/>
      </c>
      <c r="G226" s="49" t="str">
        <f>IFNA(VLOOKUP($A226,Spells!$A$2:$I1002,MATCH(G$3,Spells!$A$1:$I$1,0),FALSE))</f>
        <v/>
      </c>
      <c r="H226" s="49" t="str">
        <f>IFNA(VLOOKUP($A226,Spells!$A$2:$I1002,MATCH(H$3,Spells!$A$1:$I$1,0),FALSE))</f>
        <v/>
      </c>
    </row>
    <row r="227">
      <c r="A227" s="49"/>
      <c r="B227" s="49" t="str">
        <f>IFNA(VLOOKUP($A227,Spells!$A$2:$I1002,MATCH(B$3,Spells!$A$1:$I$1,0),FALSE))</f>
        <v/>
      </c>
      <c r="C227" s="49" t="str">
        <f>IFNA(VLOOKUP($A227,Spells!$A$2:$I1002,MATCH(C$3,Spells!$A$1:$I$1,0),FALSE))</f>
        <v/>
      </c>
      <c r="D227" s="49" t="str">
        <f>IFNA(VLOOKUP($A227,Spells!$A$2:$I1002,MATCH(D$3,Spells!$A$1:$I$1,0),FALSE))</f>
        <v/>
      </c>
      <c r="E227" s="49" t="str">
        <f>IFNA(VLOOKUP($A227,Spells!$A$2:$I1002,MATCH(E$3,Spells!$A$1:$I$1,0),FALSE))</f>
        <v/>
      </c>
      <c r="F227" s="49" t="str">
        <f>IFNA(VLOOKUP($A227,Spells!$A$2:$I1002,MATCH(F$3,Spells!$A$1:$I$1,0),FALSE))</f>
        <v/>
      </c>
      <c r="G227" s="49" t="str">
        <f>IFNA(VLOOKUP($A227,Spells!$A$2:$I1002,MATCH(G$3,Spells!$A$1:$I$1,0),FALSE))</f>
        <v/>
      </c>
      <c r="H227" s="49" t="str">
        <f>IFNA(VLOOKUP($A227,Spells!$A$2:$I1002,MATCH(H$3,Spells!$A$1:$I$1,0),FALSE))</f>
        <v/>
      </c>
    </row>
    <row r="228">
      <c r="A228" s="49"/>
      <c r="B228" s="49" t="str">
        <f>IFNA(VLOOKUP($A228,Spells!$A$2:$I1002,MATCH(B$3,Spells!$A$1:$I$1,0),FALSE))</f>
        <v/>
      </c>
      <c r="C228" s="49" t="str">
        <f>IFNA(VLOOKUP($A228,Spells!$A$2:$I1002,MATCH(C$3,Spells!$A$1:$I$1,0),FALSE))</f>
        <v/>
      </c>
      <c r="D228" s="49" t="str">
        <f>IFNA(VLOOKUP($A228,Spells!$A$2:$I1002,MATCH(D$3,Spells!$A$1:$I$1,0),FALSE))</f>
        <v/>
      </c>
      <c r="E228" s="49" t="str">
        <f>IFNA(VLOOKUP($A228,Spells!$A$2:$I1002,MATCH(E$3,Spells!$A$1:$I$1,0),FALSE))</f>
        <v/>
      </c>
      <c r="F228" s="49" t="str">
        <f>IFNA(VLOOKUP($A228,Spells!$A$2:$I1002,MATCH(F$3,Spells!$A$1:$I$1,0),FALSE))</f>
        <v/>
      </c>
      <c r="G228" s="49" t="str">
        <f>IFNA(VLOOKUP($A228,Spells!$A$2:$I1002,MATCH(G$3,Spells!$A$1:$I$1,0),FALSE))</f>
        <v/>
      </c>
      <c r="H228" s="49" t="str">
        <f>IFNA(VLOOKUP($A228,Spells!$A$2:$I1002,MATCH(H$3,Spells!$A$1:$I$1,0),FALSE))</f>
        <v/>
      </c>
    </row>
    <row r="229">
      <c r="A229" s="49"/>
      <c r="B229" s="49" t="str">
        <f>IFNA(VLOOKUP($A229,Spells!$A$2:$I1002,MATCH(B$3,Spells!$A$1:$I$1,0),FALSE))</f>
        <v/>
      </c>
      <c r="C229" s="49" t="str">
        <f>IFNA(VLOOKUP($A229,Spells!$A$2:$I1002,MATCH(C$3,Spells!$A$1:$I$1,0),FALSE))</f>
        <v/>
      </c>
      <c r="D229" s="49" t="str">
        <f>IFNA(VLOOKUP($A229,Spells!$A$2:$I1002,MATCH(D$3,Spells!$A$1:$I$1,0),FALSE))</f>
        <v/>
      </c>
      <c r="E229" s="49" t="str">
        <f>IFNA(VLOOKUP($A229,Spells!$A$2:$I1002,MATCH(E$3,Spells!$A$1:$I$1,0),FALSE))</f>
        <v/>
      </c>
      <c r="F229" s="49" t="str">
        <f>IFNA(VLOOKUP($A229,Spells!$A$2:$I1002,MATCH(F$3,Spells!$A$1:$I$1,0),FALSE))</f>
        <v/>
      </c>
      <c r="G229" s="49" t="str">
        <f>IFNA(VLOOKUP($A229,Spells!$A$2:$I1002,MATCH(G$3,Spells!$A$1:$I$1,0),FALSE))</f>
        <v/>
      </c>
      <c r="H229" s="49" t="str">
        <f>IFNA(VLOOKUP($A229,Spells!$A$2:$I1002,MATCH(H$3,Spells!$A$1:$I$1,0),FALSE))</f>
        <v/>
      </c>
    </row>
    <row r="230">
      <c r="A230" s="49"/>
      <c r="B230" s="49" t="str">
        <f>IFNA(VLOOKUP($A230,Spells!$A$2:$I1002,MATCH(B$3,Spells!$A$1:$I$1,0),FALSE))</f>
        <v/>
      </c>
      <c r="C230" s="49" t="str">
        <f>IFNA(VLOOKUP($A230,Spells!$A$2:$I1002,MATCH(C$3,Spells!$A$1:$I$1,0),FALSE))</f>
        <v/>
      </c>
      <c r="D230" s="49" t="str">
        <f>IFNA(VLOOKUP($A230,Spells!$A$2:$I1002,MATCH(D$3,Spells!$A$1:$I$1,0),FALSE))</f>
        <v/>
      </c>
      <c r="E230" s="49" t="str">
        <f>IFNA(VLOOKUP($A230,Spells!$A$2:$I1002,MATCH(E$3,Spells!$A$1:$I$1,0),FALSE))</f>
        <v/>
      </c>
      <c r="F230" s="49" t="str">
        <f>IFNA(VLOOKUP($A230,Spells!$A$2:$I1002,MATCH(F$3,Spells!$A$1:$I$1,0),FALSE))</f>
        <v/>
      </c>
      <c r="G230" s="49" t="str">
        <f>IFNA(VLOOKUP($A230,Spells!$A$2:$I1002,MATCH(G$3,Spells!$A$1:$I$1,0),FALSE))</f>
        <v/>
      </c>
      <c r="H230" s="49" t="str">
        <f>IFNA(VLOOKUP($A230,Spells!$A$2:$I1002,MATCH(H$3,Spells!$A$1:$I$1,0),FALSE))</f>
        <v/>
      </c>
    </row>
    <row r="231">
      <c r="A231" s="49"/>
      <c r="B231" s="49" t="str">
        <f>IFNA(VLOOKUP($A231,Spells!$A$2:$I1002,MATCH(B$3,Spells!$A$1:$I$1,0),FALSE))</f>
        <v/>
      </c>
      <c r="C231" s="49" t="str">
        <f>IFNA(VLOOKUP($A231,Spells!$A$2:$I1002,MATCH(C$3,Spells!$A$1:$I$1,0),FALSE))</f>
        <v/>
      </c>
      <c r="D231" s="49" t="str">
        <f>IFNA(VLOOKUP($A231,Spells!$A$2:$I1002,MATCH(D$3,Spells!$A$1:$I$1,0),FALSE))</f>
        <v/>
      </c>
      <c r="E231" s="49" t="str">
        <f>IFNA(VLOOKUP($A231,Spells!$A$2:$I1002,MATCH(E$3,Spells!$A$1:$I$1,0),FALSE))</f>
        <v/>
      </c>
      <c r="F231" s="49" t="str">
        <f>IFNA(VLOOKUP($A231,Spells!$A$2:$I1002,MATCH(F$3,Spells!$A$1:$I$1,0),FALSE))</f>
        <v/>
      </c>
      <c r="G231" s="49" t="str">
        <f>IFNA(VLOOKUP($A231,Spells!$A$2:$I1002,MATCH(G$3,Spells!$A$1:$I$1,0),FALSE))</f>
        <v/>
      </c>
      <c r="H231" s="49" t="str">
        <f>IFNA(VLOOKUP($A231,Spells!$A$2:$I1002,MATCH(H$3,Spells!$A$1:$I$1,0),FALSE))</f>
        <v/>
      </c>
    </row>
    <row r="232">
      <c r="A232" s="49"/>
      <c r="B232" s="49" t="str">
        <f>IFNA(VLOOKUP($A232,Spells!$A$2:$I1002,MATCH(B$3,Spells!$A$1:$I$1,0),FALSE))</f>
        <v/>
      </c>
      <c r="C232" s="49" t="str">
        <f>IFNA(VLOOKUP($A232,Spells!$A$2:$I1002,MATCH(C$3,Spells!$A$1:$I$1,0),FALSE))</f>
        <v/>
      </c>
      <c r="D232" s="49" t="str">
        <f>IFNA(VLOOKUP($A232,Spells!$A$2:$I1002,MATCH(D$3,Spells!$A$1:$I$1,0),FALSE))</f>
        <v/>
      </c>
      <c r="E232" s="49" t="str">
        <f>IFNA(VLOOKUP($A232,Spells!$A$2:$I1002,MATCH(E$3,Spells!$A$1:$I$1,0),FALSE))</f>
        <v/>
      </c>
      <c r="F232" s="49" t="str">
        <f>IFNA(VLOOKUP($A232,Spells!$A$2:$I1002,MATCH(F$3,Spells!$A$1:$I$1,0),FALSE))</f>
        <v/>
      </c>
      <c r="G232" s="49" t="str">
        <f>IFNA(VLOOKUP($A232,Spells!$A$2:$I1002,MATCH(G$3,Spells!$A$1:$I$1,0),FALSE))</f>
        <v/>
      </c>
      <c r="H232" s="49" t="str">
        <f>IFNA(VLOOKUP($A232,Spells!$A$2:$I1002,MATCH(H$3,Spells!$A$1:$I$1,0),FALSE))</f>
        <v/>
      </c>
    </row>
    <row r="233">
      <c r="A233" s="49"/>
      <c r="B233" s="49" t="str">
        <f>IFNA(VLOOKUP($A233,Spells!$A$2:$I1002,MATCH(B$3,Spells!$A$1:$I$1,0),FALSE))</f>
        <v/>
      </c>
      <c r="C233" s="49" t="str">
        <f>IFNA(VLOOKUP($A233,Spells!$A$2:$I1002,MATCH(C$3,Spells!$A$1:$I$1,0),FALSE))</f>
        <v/>
      </c>
      <c r="D233" s="49" t="str">
        <f>IFNA(VLOOKUP($A233,Spells!$A$2:$I1002,MATCH(D$3,Spells!$A$1:$I$1,0),FALSE))</f>
        <v/>
      </c>
      <c r="E233" s="49" t="str">
        <f>IFNA(VLOOKUP($A233,Spells!$A$2:$I1002,MATCH(E$3,Spells!$A$1:$I$1,0),FALSE))</f>
        <v/>
      </c>
      <c r="F233" s="49" t="str">
        <f>IFNA(VLOOKUP($A233,Spells!$A$2:$I1002,MATCH(F$3,Spells!$A$1:$I$1,0),FALSE))</f>
        <v/>
      </c>
      <c r="G233" s="49" t="str">
        <f>IFNA(VLOOKUP($A233,Spells!$A$2:$I1002,MATCH(G$3,Spells!$A$1:$I$1,0),FALSE))</f>
        <v/>
      </c>
      <c r="H233" s="49" t="str">
        <f>IFNA(VLOOKUP($A233,Spells!$A$2:$I1002,MATCH(H$3,Spells!$A$1:$I$1,0),FALSE))</f>
        <v/>
      </c>
    </row>
    <row r="234">
      <c r="A234" s="49"/>
      <c r="B234" s="49" t="str">
        <f>IFNA(VLOOKUP($A234,Spells!$A$2:$I1002,MATCH(B$3,Spells!$A$1:$I$1,0),FALSE))</f>
        <v/>
      </c>
      <c r="C234" s="49" t="str">
        <f>IFNA(VLOOKUP($A234,Spells!$A$2:$I1002,MATCH(C$3,Spells!$A$1:$I$1,0),FALSE))</f>
        <v/>
      </c>
      <c r="D234" s="49" t="str">
        <f>IFNA(VLOOKUP($A234,Spells!$A$2:$I1002,MATCH(D$3,Spells!$A$1:$I$1,0),FALSE))</f>
        <v/>
      </c>
      <c r="E234" s="49" t="str">
        <f>IFNA(VLOOKUP($A234,Spells!$A$2:$I1002,MATCH(E$3,Spells!$A$1:$I$1,0),FALSE))</f>
        <v/>
      </c>
      <c r="F234" s="49" t="str">
        <f>IFNA(VLOOKUP($A234,Spells!$A$2:$I1002,MATCH(F$3,Spells!$A$1:$I$1,0),FALSE))</f>
        <v/>
      </c>
      <c r="G234" s="49" t="str">
        <f>IFNA(VLOOKUP($A234,Spells!$A$2:$I1002,MATCH(G$3,Spells!$A$1:$I$1,0),FALSE))</f>
        <v/>
      </c>
      <c r="H234" s="49" t="str">
        <f>IFNA(VLOOKUP($A234,Spells!$A$2:$I1002,MATCH(H$3,Spells!$A$1:$I$1,0),FALSE))</f>
        <v/>
      </c>
    </row>
    <row r="235">
      <c r="A235" s="49"/>
      <c r="B235" s="49" t="str">
        <f>IFNA(VLOOKUP($A235,Spells!$A$2:$I1002,MATCH(B$3,Spells!$A$1:$I$1,0),FALSE))</f>
        <v/>
      </c>
      <c r="C235" s="49" t="str">
        <f>IFNA(VLOOKUP($A235,Spells!$A$2:$I1002,MATCH(C$3,Spells!$A$1:$I$1,0),FALSE))</f>
        <v/>
      </c>
      <c r="D235" s="49" t="str">
        <f>IFNA(VLOOKUP($A235,Spells!$A$2:$I1002,MATCH(D$3,Spells!$A$1:$I$1,0),FALSE))</f>
        <v/>
      </c>
      <c r="E235" s="49" t="str">
        <f>IFNA(VLOOKUP($A235,Spells!$A$2:$I1002,MATCH(E$3,Spells!$A$1:$I$1,0),FALSE))</f>
        <v/>
      </c>
      <c r="F235" s="49" t="str">
        <f>IFNA(VLOOKUP($A235,Spells!$A$2:$I1002,MATCH(F$3,Spells!$A$1:$I$1,0),FALSE))</f>
        <v/>
      </c>
      <c r="G235" s="49" t="str">
        <f>IFNA(VLOOKUP($A235,Spells!$A$2:$I1002,MATCH(G$3,Spells!$A$1:$I$1,0),FALSE))</f>
        <v/>
      </c>
      <c r="H235" s="49" t="str">
        <f>IFNA(VLOOKUP($A235,Spells!$A$2:$I1002,MATCH(H$3,Spells!$A$1:$I$1,0),FALSE))</f>
        <v/>
      </c>
    </row>
    <row r="236">
      <c r="A236" s="49"/>
      <c r="B236" s="49" t="str">
        <f>IFNA(VLOOKUP($A236,Spells!$A$2:$I1002,MATCH(B$3,Spells!$A$1:$I$1,0),FALSE))</f>
        <v/>
      </c>
      <c r="C236" s="49" t="str">
        <f>IFNA(VLOOKUP($A236,Spells!$A$2:$I1002,MATCH(C$3,Spells!$A$1:$I$1,0),FALSE))</f>
        <v/>
      </c>
      <c r="D236" s="49" t="str">
        <f>IFNA(VLOOKUP($A236,Spells!$A$2:$I1002,MATCH(D$3,Spells!$A$1:$I$1,0),FALSE))</f>
        <v/>
      </c>
      <c r="E236" s="49" t="str">
        <f>IFNA(VLOOKUP($A236,Spells!$A$2:$I1002,MATCH(E$3,Spells!$A$1:$I$1,0),FALSE))</f>
        <v/>
      </c>
      <c r="F236" s="49" t="str">
        <f>IFNA(VLOOKUP($A236,Spells!$A$2:$I1002,MATCH(F$3,Spells!$A$1:$I$1,0),FALSE))</f>
        <v/>
      </c>
      <c r="G236" s="49" t="str">
        <f>IFNA(VLOOKUP($A236,Spells!$A$2:$I1002,MATCH(G$3,Spells!$A$1:$I$1,0),FALSE))</f>
        <v/>
      </c>
      <c r="H236" s="49" t="str">
        <f>IFNA(VLOOKUP($A236,Spells!$A$2:$I1002,MATCH(H$3,Spells!$A$1:$I$1,0),FALSE))</f>
        <v/>
      </c>
    </row>
    <row r="237">
      <c r="A237" s="49"/>
      <c r="B237" s="49" t="str">
        <f>IFNA(VLOOKUP($A237,Spells!$A$2:$I1002,MATCH(B$3,Spells!$A$1:$I$1,0),FALSE))</f>
        <v/>
      </c>
      <c r="C237" s="49" t="str">
        <f>IFNA(VLOOKUP($A237,Spells!$A$2:$I1002,MATCH(C$3,Spells!$A$1:$I$1,0),FALSE))</f>
        <v/>
      </c>
      <c r="D237" s="49" t="str">
        <f>IFNA(VLOOKUP($A237,Spells!$A$2:$I1002,MATCH(D$3,Spells!$A$1:$I$1,0),FALSE))</f>
        <v/>
      </c>
      <c r="E237" s="49" t="str">
        <f>IFNA(VLOOKUP($A237,Spells!$A$2:$I1002,MATCH(E$3,Spells!$A$1:$I$1,0),FALSE))</f>
        <v/>
      </c>
      <c r="F237" s="49" t="str">
        <f>IFNA(VLOOKUP($A237,Spells!$A$2:$I1002,MATCH(F$3,Spells!$A$1:$I$1,0),FALSE))</f>
        <v/>
      </c>
      <c r="G237" s="49" t="str">
        <f>IFNA(VLOOKUP($A237,Spells!$A$2:$I1002,MATCH(G$3,Spells!$A$1:$I$1,0),FALSE))</f>
        <v/>
      </c>
      <c r="H237" s="49" t="str">
        <f>IFNA(VLOOKUP($A237,Spells!$A$2:$I1002,MATCH(H$3,Spells!$A$1:$I$1,0),FALSE))</f>
        <v/>
      </c>
    </row>
    <row r="238">
      <c r="A238" s="49"/>
      <c r="B238" s="49" t="str">
        <f>IFNA(VLOOKUP($A238,Spells!$A$2:$I1002,MATCH(B$3,Spells!$A$1:$I$1,0),FALSE))</f>
        <v/>
      </c>
      <c r="C238" s="49" t="str">
        <f>IFNA(VLOOKUP($A238,Spells!$A$2:$I1002,MATCH(C$3,Spells!$A$1:$I$1,0),FALSE))</f>
        <v/>
      </c>
      <c r="D238" s="49" t="str">
        <f>IFNA(VLOOKUP($A238,Spells!$A$2:$I1002,MATCH(D$3,Spells!$A$1:$I$1,0),FALSE))</f>
        <v/>
      </c>
      <c r="E238" s="49" t="str">
        <f>IFNA(VLOOKUP($A238,Spells!$A$2:$I1002,MATCH(E$3,Spells!$A$1:$I$1,0),FALSE))</f>
        <v/>
      </c>
      <c r="F238" s="49" t="str">
        <f>IFNA(VLOOKUP($A238,Spells!$A$2:$I1002,MATCH(F$3,Spells!$A$1:$I$1,0),FALSE))</f>
        <v/>
      </c>
      <c r="G238" s="49" t="str">
        <f>IFNA(VLOOKUP($A238,Spells!$A$2:$I1002,MATCH(G$3,Spells!$A$1:$I$1,0),FALSE))</f>
        <v/>
      </c>
      <c r="H238" s="49" t="str">
        <f>IFNA(VLOOKUP($A238,Spells!$A$2:$I1002,MATCH(H$3,Spells!$A$1:$I$1,0),FALSE))</f>
        <v/>
      </c>
    </row>
    <row r="239">
      <c r="A239" s="49"/>
      <c r="B239" s="49" t="str">
        <f>IFNA(VLOOKUP($A239,Spells!$A$2:$I1002,MATCH(B$3,Spells!$A$1:$I$1,0),FALSE))</f>
        <v/>
      </c>
      <c r="C239" s="49" t="str">
        <f>IFNA(VLOOKUP($A239,Spells!$A$2:$I1002,MATCH(C$3,Spells!$A$1:$I$1,0),FALSE))</f>
        <v/>
      </c>
      <c r="D239" s="49" t="str">
        <f>IFNA(VLOOKUP($A239,Spells!$A$2:$I1002,MATCH(D$3,Spells!$A$1:$I$1,0),FALSE))</f>
        <v/>
      </c>
      <c r="E239" s="49" t="str">
        <f>IFNA(VLOOKUP($A239,Spells!$A$2:$I1002,MATCH(E$3,Spells!$A$1:$I$1,0),FALSE))</f>
        <v/>
      </c>
      <c r="F239" s="49" t="str">
        <f>IFNA(VLOOKUP($A239,Spells!$A$2:$I1002,MATCH(F$3,Spells!$A$1:$I$1,0),FALSE))</f>
        <v/>
      </c>
      <c r="G239" s="49" t="str">
        <f>IFNA(VLOOKUP($A239,Spells!$A$2:$I1002,MATCH(G$3,Spells!$A$1:$I$1,0),FALSE))</f>
        <v/>
      </c>
      <c r="H239" s="49" t="str">
        <f>IFNA(VLOOKUP($A239,Spells!$A$2:$I1002,MATCH(H$3,Spells!$A$1:$I$1,0),FALSE))</f>
        <v/>
      </c>
    </row>
    <row r="240">
      <c r="A240" s="49"/>
      <c r="B240" s="49" t="str">
        <f>IFNA(VLOOKUP($A240,Spells!$A$2:$I1002,MATCH(B$3,Spells!$A$1:$I$1,0),FALSE))</f>
        <v/>
      </c>
      <c r="C240" s="49" t="str">
        <f>IFNA(VLOOKUP($A240,Spells!$A$2:$I1002,MATCH(C$3,Spells!$A$1:$I$1,0),FALSE))</f>
        <v/>
      </c>
      <c r="D240" s="49" t="str">
        <f>IFNA(VLOOKUP($A240,Spells!$A$2:$I1002,MATCH(D$3,Spells!$A$1:$I$1,0),FALSE))</f>
        <v/>
      </c>
      <c r="E240" s="49" t="str">
        <f>IFNA(VLOOKUP($A240,Spells!$A$2:$I1002,MATCH(E$3,Spells!$A$1:$I$1,0),FALSE))</f>
        <v/>
      </c>
      <c r="F240" s="49" t="str">
        <f>IFNA(VLOOKUP($A240,Spells!$A$2:$I1002,MATCH(F$3,Spells!$A$1:$I$1,0),FALSE))</f>
        <v/>
      </c>
      <c r="G240" s="49" t="str">
        <f>IFNA(VLOOKUP($A240,Spells!$A$2:$I1002,MATCH(G$3,Spells!$A$1:$I$1,0),FALSE))</f>
        <v/>
      </c>
      <c r="H240" s="49" t="str">
        <f>IFNA(VLOOKUP($A240,Spells!$A$2:$I1002,MATCH(H$3,Spells!$A$1:$I$1,0),FALSE))</f>
        <v/>
      </c>
    </row>
    <row r="241">
      <c r="A241" s="49"/>
      <c r="B241" s="49" t="str">
        <f>IFNA(VLOOKUP($A241,Spells!$A$2:$I1002,MATCH(B$3,Spells!$A$1:$I$1,0),FALSE))</f>
        <v/>
      </c>
      <c r="C241" s="49" t="str">
        <f>IFNA(VLOOKUP($A241,Spells!$A$2:$I1002,MATCH(C$3,Spells!$A$1:$I$1,0),FALSE))</f>
        <v/>
      </c>
      <c r="D241" s="49" t="str">
        <f>IFNA(VLOOKUP($A241,Spells!$A$2:$I1002,MATCH(D$3,Spells!$A$1:$I$1,0),FALSE))</f>
        <v/>
      </c>
      <c r="E241" s="49" t="str">
        <f>IFNA(VLOOKUP($A241,Spells!$A$2:$I1002,MATCH(E$3,Spells!$A$1:$I$1,0),FALSE))</f>
        <v/>
      </c>
      <c r="F241" s="49" t="str">
        <f>IFNA(VLOOKUP($A241,Spells!$A$2:$I1002,MATCH(F$3,Spells!$A$1:$I$1,0),FALSE))</f>
        <v/>
      </c>
      <c r="G241" s="49" t="str">
        <f>IFNA(VLOOKUP($A241,Spells!$A$2:$I1002,MATCH(G$3,Spells!$A$1:$I$1,0),FALSE))</f>
        <v/>
      </c>
      <c r="H241" s="49" t="str">
        <f>IFNA(VLOOKUP($A241,Spells!$A$2:$I1002,MATCH(H$3,Spells!$A$1:$I$1,0),FALSE))</f>
        <v/>
      </c>
    </row>
    <row r="242">
      <c r="A242" s="49"/>
      <c r="B242" s="49" t="str">
        <f>IFNA(VLOOKUP($A242,Spells!$A$2:$I1002,MATCH(B$3,Spells!$A$1:$I$1,0),FALSE))</f>
        <v/>
      </c>
      <c r="C242" s="49" t="str">
        <f>IFNA(VLOOKUP($A242,Spells!$A$2:$I1002,MATCH(C$3,Spells!$A$1:$I$1,0),FALSE))</f>
        <v/>
      </c>
      <c r="D242" s="49" t="str">
        <f>IFNA(VLOOKUP($A242,Spells!$A$2:$I1002,MATCH(D$3,Spells!$A$1:$I$1,0),FALSE))</f>
        <v/>
      </c>
      <c r="E242" s="49" t="str">
        <f>IFNA(VLOOKUP($A242,Spells!$A$2:$I1002,MATCH(E$3,Spells!$A$1:$I$1,0),FALSE))</f>
        <v/>
      </c>
      <c r="F242" s="49" t="str">
        <f>IFNA(VLOOKUP($A242,Spells!$A$2:$I1002,MATCH(F$3,Spells!$A$1:$I$1,0),FALSE))</f>
        <v/>
      </c>
      <c r="G242" s="49" t="str">
        <f>IFNA(VLOOKUP($A242,Spells!$A$2:$I1002,MATCH(G$3,Spells!$A$1:$I$1,0),FALSE))</f>
        <v/>
      </c>
      <c r="H242" s="49" t="str">
        <f>IFNA(VLOOKUP($A242,Spells!$A$2:$I1002,MATCH(H$3,Spells!$A$1:$I$1,0),FALSE))</f>
        <v/>
      </c>
    </row>
    <row r="243">
      <c r="A243" s="49"/>
      <c r="B243" s="49" t="str">
        <f>IFNA(VLOOKUP($A243,Spells!$A$2:$I1002,MATCH(B$3,Spells!$A$1:$I$1,0),FALSE))</f>
        <v/>
      </c>
      <c r="C243" s="49" t="str">
        <f>IFNA(VLOOKUP($A243,Spells!$A$2:$I1002,MATCH(C$3,Spells!$A$1:$I$1,0),FALSE))</f>
        <v/>
      </c>
      <c r="D243" s="49" t="str">
        <f>IFNA(VLOOKUP($A243,Spells!$A$2:$I1002,MATCH(D$3,Spells!$A$1:$I$1,0),FALSE))</f>
        <v/>
      </c>
      <c r="E243" s="49" t="str">
        <f>IFNA(VLOOKUP($A243,Spells!$A$2:$I1002,MATCH(E$3,Spells!$A$1:$I$1,0),FALSE))</f>
        <v/>
      </c>
      <c r="F243" s="49" t="str">
        <f>IFNA(VLOOKUP($A243,Spells!$A$2:$I1002,MATCH(F$3,Spells!$A$1:$I$1,0),FALSE))</f>
        <v/>
      </c>
      <c r="G243" s="49" t="str">
        <f>IFNA(VLOOKUP($A243,Spells!$A$2:$I1002,MATCH(G$3,Spells!$A$1:$I$1,0),FALSE))</f>
        <v/>
      </c>
      <c r="H243" s="49" t="str">
        <f>IFNA(VLOOKUP($A243,Spells!$A$2:$I1002,MATCH(H$3,Spells!$A$1:$I$1,0),FALSE))</f>
        <v/>
      </c>
    </row>
    <row r="244">
      <c r="A244" s="49"/>
      <c r="B244" s="49" t="str">
        <f>IFNA(VLOOKUP($A244,Spells!$A$2:$I1002,MATCH(B$3,Spells!$A$1:$I$1,0),FALSE))</f>
        <v/>
      </c>
      <c r="C244" s="49" t="str">
        <f>IFNA(VLOOKUP($A244,Spells!$A$2:$I1002,MATCH(C$3,Spells!$A$1:$I$1,0),FALSE))</f>
        <v/>
      </c>
      <c r="D244" s="49" t="str">
        <f>IFNA(VLOOKUP($A244,Spells!$A$2:$I1002,MATCH(D$3,Spells!$A$1:$I$1,0),FALSE))</f>
        <v/>
      </c>
      <c r="E244" s="49" t="str">
        <f>IFNA(VLOOKUP($A244,Spells!$A$2:$I1002,MATCH(E$3,Spells!$A$1:$I$1,0),FALSE))</f>
        <v/>
      </c>
      <c r="F244" s="49" t="str">
        <f>IFNA(VLOOKUP($A244,Spells!$A$2:$I1002,MATCH(F$3,Spells!$A$1:$I$1,0),FALSE))</f>
        <v/>
      </c>
      <c r="G244" s="49" t="str">
        <f>IFNA(VLOOKUP($A244,Spells!$A$2:$I1002,MATCH(G$3,Spells!$A$1:$I$1,0),FALSE))</f>
        <v/>
      </c>
      <c r="H244" s="49" t="str">
        <f>IFNA(VLOOKUP($A244,Spells!$A$2:$I1002,MATCH(H$3,Spells!$A$1:$I$1,0),FALSE))</f>
        <v/>
      </c>
    </row>
    <row r="245">
      <c r="A245" s="49"/>
      <c r="B245" s="49" t="str">
        <f>IFNA(VLOOKUP($A245,Spells!$A$2:$I1002,MATCH(B$3,Spells!$A$1:$I$1,0),FALSE))</f>
        <v/>
      </c>
      <c r="C245" s="49" t="str">
        <f>IFNA(VLOOKUP($A245,Spells!$A$2:$I1002,MATCH(C$3,Spells!$A$1:$I$1,0),FALSE))</f>
        <v/>
      </c>
      <c r="D245" s="49" t="str">
        <f>IFNA(VLOOKUP($A245,Spells!$A$2:$I1002,MATCH(D$3,Spells!$A$1:$I$1,0),FALSE))</f>
        <v/>
      </c>
      <c r="E245" s="49" t="str">
        <f>IFNA(VLOOKUP($A245,Spells!$A$2:$I1002,MATCH(E$3,Spells!$A$1:$I$1,0),FALSE))</f>
        <v/>
      </c>
      <c r="F245" s="49" t="str">
        <f>IFNA(VLOOKUP($A245,Spells!$A$2:$I1002,MATCH(F$3,Spells!$A$1:$I$1,0),FALSE))</f>
        <v/>
      </c>
      <c r="G245" s="49" t="str">
        <f>IFNA(VLOOKUP($A245,Spells!$A$2:$I1002,MATCH(G$3,Spells!$A$1:$I$1,0),FALSE))</f>
        <v/>
      </c>
      <c r="H245" s="49" t="str">
        <f>IFNA(VLOOKUP($A245,Spells!$A$2:$I1002,MATCH(H$3,Spells!$A$1:$I$1,0),FALSE))</f>
        <v/>
      </c>
    </row>
    <row r="246">
      <c r="A246" s="49"/>
      <c r="B246" s="49" t="str">
        <f>IFNA(VLOOKUP($A246,Spells!$A$2:$I1002,MATCH(B$3,Spells!$A$1:$I$1,0),FALSE))</f>
        <v/>
      </c>
      <c r="C246" s="49" t="str">
        <f>IFNA(VLOOKUP($A246,Spells!$A$2:$I1002,MATCH(C$3,Spells!$A$1:$I$1,0),FALSE))</f>
        <v/>
      </c>
      <c r="D246" s="49" t="str">
        <f>IFNA(VLOOKUP($A246,Spells!$A$2:$I1002,MATCH(D$3,Spells!$A$1:$I$1,0),FALSE))</f>
        <v/>
      </c>
      <c r="E246" s="49" t="str">
        <f>IFNA(VLOOKUP($A246,Spells!$A$2:$I1002,MATCH(E$3,Spells!$A$1:$I$1,0),FALSE))</f>
        <v/>
      </c>
      <c r="F246" s="49" t="str">
        <f>IFNA(VLOOKUP($A246,Spells!$A$2:$I1002,MATCH(F$3,Spells!$A$1:$I$1,0),FALSE))</f>
        <v/>
      </c>
      <c r="G246" s="49" t="str">
        <f>IFNA(VLOOKUP($A246,Spells!$A$2:$I1002,MATCH(G$3,Spells!$A$1:$I$1,0),FALSE))</f>
        <v/>
      </c>
      <c r="H246" s="49" t="str">
        <f>IFNA(VLOOKUP($A246,Spells!$A$2:$I1002,MATCH(H$3,Spells!$A$1:$I$1,0),FALSE))</f>
        <v/>
      </c>
    </row>
    <row r="247">
      <c r="A247" s="49"/>
      <c r="B247" s="49" t="str">
        <f>IFNA(VLOOKUP($A247,Spells!$A$2:$I1002,MATCH(B$3,Spells!$A$1:$I$1,0),FALSE))</f>
        <v/>
      </c>
      <c r="C247" s="49" t="str">
        <f>IFNA(VLOOKUP($A247,Spells!$A$2:$I1002,MATCH(C$3,Spells!$A$1:$I$1,0),FALSE))</f>
        <v/>
      </c>
      <c r="D247" s="49" t="str">
        <f>IFNA(VLOOKUP($A247,Spells!$A$2:$I1002,MATCH(D$3,Spells!$A$1:$I$1,0),FALSE))</f>
        <v/>
      </c>
      <c r="E247" s="49" t="str">
        <f>IFNA(VLOOKUP($A247,Spells!$A$2:$I1002,MATCH(E$3,Spells!$A$1:$I$1,0),FALSE))</f>
        <v/>
      </c>
      <c r="F247" s="49" t="str">
        <f>IFNA(VLOOKUP($A247,Spells!$A$2:$I1002,MATCH(F$3,Spells!$A$1:$I$1,0),FALSE))</f>
        <v/>
      </c>
      <c r="G247" s="49" t="str">
        <f>IFNA(VLOOKUP($A247,Spells!$A$2:$I1002,MATCH(G$3,Spells!$A$1:$I$1,0),FALSE))</f>
        <v/>
      </c>
      <c r="H247" s="49" t="str">
        <f>IFNA(VLOOKUP($A247,Spells!$A$2:$I1002,MATCH(H$3,Spells!$A$1:$I$1,0),FALSE))</f>
        <v/>
      </c>
    </row>
    <row r="248">
      <c r="A248" s="49"/>
      <c r="B248" s="49" t="str">
        <f>IFNA(VLOOKUP($A248,Spells!$A$2:$I1002,MATCH(B$3,Spells!$A$1:$I$1,0),FALSE))</f>
        <v/>
      </c>
      <c r="C248" s="49" t="str">
        <f>IFNA(VLOOKUP($A248,Spells!$A$2:$I1002,MATCH(C$3,Spells!$A$1:$I$1,0),FALSE))</f>
        <v/>
      </c>
      <c r="D248" s="49" t="str">
        <f>IFNA(VLOOKUP($A248,Spells!$A$2:$I1002,MATCH(D$3,Spells!$A$1:$I$1,0),FALSE))</f>
        <v/>
      </c>
      <c r="E248" s="49" t="str">
        <f>IFNA(VLOOKUP($A248,Spells!$A$2:$I1002,MATCH(E$3,Spells!$A$1:$I$1,0),FALSE))</f>
        <v/>
      </c>
      <c r="F248" s="49" t="str">
        <f>IFNA(VLOOKUP($A248,Spells!$A$2:$I1002,MATCH(F$3,Spells!$A$1:$I$1,0),FALSE))</f>
        <v/>
      </c>
      <c r="G248" s="49" t="str">
        <f>IFNA(VLOOKUP($A248,Spells!$A$2:$I1002,MATCH(G$3,Spells!$A$1:$I$1,0),FALSE))</f>
        <v/>
      </c>
      <c r="H248" s="49" t="str">
        <f>IFNA(VLOOKUP($A248,Spells!$A$2:$I1002,MATCH(H$3,Spells!$A$1:$I$1,0),FALSE))</f>
        <v/>
      </c>
    </row>
    <row r="249">
      <c r="A249" s="49"/>
      <c r="B249" s="49" t="str">
        <f>IFNA(VLOOKUP($A249,Spells!$A$2:$I1002,MATCH(B$3,Spells!$A$1:$I$1,0),FALSE))</f>
        <v/>
      </c>
      <c r="C249" s="49" t="str">
        <f>IFNA(VLOOKUP($A249,Spells!$A$2:$I1002,MATCH(C$3,Spells!$A$1:$I$1,0),FALSE))</f>
        <v/>
      </c>
      <c r="D249" s="49" t="str">
        <f>IFNA(VLOOKUP($A249,Spells!$A$2:$I1002,MATCH(D$3,Spells!$A$1:$I$1,0),FALSE))</f>
        <v/>
      </c>
      <c r="E249" s="49" t="str">
        <f>IFNA(VLOOKUP($A249,Spells!$A$2:$I1002,MATCH(E$3,Spells!$A$1:$I$1,0),FALSE))</f>
        <v/>
      </c>
      <c r="F249" s="49" t="str">
        <f>IFNA(VLOOKUP($A249,Spells!$A$2:$I1002,MATCH(F$3,Spells!$A$1:$I$1,0),FALSE))</f>
        <v/>
      </c>
      <c r="G249" s="49" t="str">
        <f>IFNA(VLOOKUP($A249,Spells!$A$2:$I1002,MATCH(G$3,Spells!$A$1:$I$1,0),FALSE))</f>
        <v/>
      </c>
      <c r="H249" s="49" t="str">
        <f>IFNA(VLOOKUP($A249,Spells!$A$2:$I1002,MATCH(H$3,Spells!$A$1:$I$1,0),FALSE))</f>
        <v/>
      </c>
    </row>
    <row r="250">
      <c r="A250" s="49"/>
      <c r="B250" s="49" t="str">
        <f>IFNA(VLOOKUP($A250,Spells!$A$2:$I1002,MATCH(B$3,Spells!$A$1:$I$1,0),FALSE))</f>
        <v/>
      </c>
      <c r="C250" s="49" t="str">
        <f>IFNA(VLOOKUP($A250,Spells!$A$2:$I1002,MATCH(C$3,Spells!$A$1:$I$1,0),FALSE))</f>
        <v/>
      </c>
      <c r="D250" s="49" t="str">
        <f>IFNA(VLOOKUP($A250,Spells!$A$2:$I1002,MATCH(D$3,Spells!$A$1:$I$1,0),FALSE))</f>
        <v/>
      </c>
      <c r="E250" s="49" t="str">
        <f>IFNA(VLOOKUP($A250,Spells!$A$2:$I1002,MATCH(E$3,Spells!$A$1:$I$1,0),FALSE))</f>
        <v/>
      </c>
      <c r="F250" s="49" t="str">
        <f>IFNA(VLOOKUP($A250,Spells!$A$2:$I1002,MATCH(F$3,Spells!$A$1:$I$1,0),FALSE))</f>
        <v/>
      </c>
      <c r="G250" s="49" t="str">
        <f>IFNA(VLOOKUP($A250,Spells!$A$2:$I1002,MATCH(G$3,Spells!$A$1:$I$1,0),FALSE))</f>
        <v/>
      </c>
      <c r="H250" s="49" t="str">
        <f>IFNA(VLOOKUP($A250,Spells!$A$2:$I1002,MATCH(H$3,Spells!$A$1:$I$1,0),FALSE))</f>
        <v/>
      </c>
    </row>
    <row r="251">
      <c r="A251" s="49"/>
      <c r="B251" s="49" t="str">
        <f>IFNA(VLOOKUP($A251,Spells!$A$2:$I1002,MATCH(B$3,Spells!$A$1:$I$1,0),FALSE))</f>
        <v/>
      </c>
      <c r="C251" s="49" t="str">
        <f>IFNA(VLOOKUP($A251,Spells!$A$2:$I1002,MATCH(C$3,Spells!$A$1:$I$1,0),FALSE))</f>
        <v/>
      </c>
      <c r="D251" s="49" t="str">
        <f>IFNA(VLOOKUP($A251,Spells!$A$2:$I1002,MATCH(D$3,Spells!$A$1:$I$1,0),FALSE))</f>
        <v/>
      </c>
      <c r="E251" s="49" t="str">
        <f>IFNA(VLOOKUP($A251,Spells!$A$2:$I1002,MATCH(E$3,Spells!$A$1:$I$1,0),FALSE))</f>
        <v/>
      </c>
      <c r="F251" s="49" t="str">
        <f>IFNA(VLOOKUP($A251,Spells!$A$2:$I1002,MATCH(F$3,Spells!$A$1:$I$1,0),FALSE))</f>
        <v/>
      </c>
      <c r="G251" s="49" t="str">
        <f>IFNA(VLOOKUP($A251,Spells!$A$2:$I1002,MATCH(G$3,Spells!$A$1:$I$1,0),FALSE))</f>
        <v/>
      </c>
      <c r="H251" s="49" t="str">
        <f>IFNA(VLOOKUP($A251,Spells!$A$2:$I1002,MATCH(H$3,Spells!$A$1:$I$1,0),FALSE))</f>
        <v/>
      </c>
    </row>
    <row r="252">
      <c r="A252" s="49"/>
      <c r="B252" s="49" t="str">
        <f>IFNA(VLOOKUP($A252,Spells!$A$2:$I1002,MATCH(B$3,Spells!$A$1:$I$1,0),FALSE))</f>
        <v/>
      </c>
      <c r="C252" s="49" t="str">
        <f>IFNA(VLOOKUP($A252,Spells!$A$2:$I1002,MATCH(C$3,Spells!$A$1:$I$1,0),FALSE))</f>
        <v/>
      </c>
      <c r="D252" s="49" t="str">
        <f>IFNA(VLOOKUP($A252,Spells!$A$2:$I1002,MATCH(D$3,Spells!$A$1:$I$1,0),FALSE))</f>
        <v/>
      </c>
      <c r="E252" s="49" t="str">
        <f>IFNA(VLOOKUP($A252,Spells!$A$2:$I1002,MATCH(E$3,Spells!$A$1:$I$1,0),FALSE))</f>
        <v/>
      </c>
      <c r="F252" s="49" t="str">
        <f>IFNA(VLOOKUP($A252,Spells!$A$2:$I1002,MATCH(F$3,Spells!$A$1:$I$1,0),FALSE))</f>
        <v/>
      </c>
      <c r="G252" s="49" t="str">
        <f>IFNA(VLOOKUP($A252,Spells!$A$2:$I1002,MATCH(G$3,Spells!$A$1:$I$1,0),FALSE))</f>
        <v/>
      </c>
      <c r="H252" s="49" t="str">
        <f>IFNA(VLOOKUP($A252,Spells!$A$2:$I1002,MATCH(H$3,Spells!$A$1:$I$1,0),FALSE))</f>
        <v/>
      </c>
    </row>
    <row r="253">
      <c r="A253" s="49"/>
      <c r="B253" s="49" t="str">
        <f>IFNA(VLOOKUP($A253,Spells!$A$2:$I1002,MATCH(B$3,Spells!$A$1:$I$1,0),FALSE))</f>
        <v/>
      </c>
      <c r="C253" s="49" t="str">
        <f>IFNA(VLOOKUP($A253,Spells!$A$2:$I1002,MATCH(C$3,Spells!$A$1:$I$1,0),FALSE))</f>
        <v/>
      </c>
      <c r="D253" s="49" t="str">
        <f>IFNA(VLOOKUP($A253,Spells!$A$2:$I1002,MATCH(D$3,Spells!$A$1:$I$1,0),FALSE))</f>
        <v/>
      </c>
      <c r="E253" s="49" t="str">
        <f>IFNA(VLOOKUP($A253,Spells!$A$2:$I1002,MATCH(E$3,Spells!$A$1:$I$1,0),FALSE))</f>
        <v/>
      </c>
      <c r="F253" s="49" t="str">
        <f>IFNA(VLOOKUP($A253,Spells!$A$2:$I1002,MATCH(F$3,Spells!$A$1:$I$1,0),FALSE))</f>
        <v/>
      </c>
      <c r="G253" s="49" t="str">
        <f>IFNA(VLOOKUP($A253,Spells!$A$2:$I1002,MATCH(G$3,Spells!$A$1:$I$1,0),FALSE))</f>
        <v/>
      </c>
      <c r="H253" s="49" t="str">
        <f>IFNA(VLOOKUP($A253,Spells!$A$2:$I1002,MATCH(H$3,Spells!$A$1:$I$1,0),FALSE))</f>
        <v/>
      </c>
    </row>
    <row r="254">
      <c r="A254" s="49"/>
      <c r="B254" s="49" t="str">
        <f>IFNA(VLOOKUP($A254,Spells!$A$2:$I1002,MATCH(B$3,Spells!$A$1:$I$1,0),FALSE))</f>
        <v/>
      </c>
      <c r="C254" s="49" t="str">
        <f>IFNA(VLOOKUP($A254,Spells!$A$2:$I1002,MATCH(C$3,Spells!$A$1:$I$1,0),FALSE))</f>
        <v/>
      </c>
      <c r="D254" s="49" t="str">
        <f>IFNA(VLOOKUP($A254,Spells!$A$2:$I1002,MATCH(D$3,Spells!$A$1:$I$1,0),FALSE))</f>
        <v/>
      </c>
      <c r="E254" s="49" t="str">
        <f>IFNA(VLOOKUP($A254,Spells!$A$2:$I1002,MATCH(E$3,Spells!$A$1:$I$1,0),FALSE))</f>
        <v/>
      </c>
      <c r="F254" s="49" t="str">
        <f>IFNA(VLOOKUP($A254,Spells!$A$2:$I1002,MATCH(F$3,Spells!$A$1:$I$1,0),FALSE))</f>
        <v/>
      </c>
      <c r="G254" s="49" t="str">
        <f>IFNA(VLOOKUP($A254,Spells!$A$2:$I1002,MATCH(G$3,Spells!$A$1:$I$1,0),FALSE))</f>
        <v/>
      </c>
      <c r="H254" s="49" t="str">
        <f>IFNA(VLOOKUP($A254,Spells!$A$2:$I1002,MATCH(H$3,Spells!$A$1:$I$1,0),FALSE))</f>
        <v/>
      </c>
    </row>
    <row r="255">
      <c r="A255" s="49"/>
      <c r="B255" s="49" t="str">
        <f>IFNA(VLOOKUP($A255,Spells!$A$2:$I1002,MATCH(B$3,Spells!$A$1:$I$1,0),FALSE))</f>
        <v/>
      </c>
      <c r="C255" s="49" t="str">
        <f>IFNA(VLOOKUP($A255,Spells!$A$2:$I1002,MATCH(C$3,Spells!$A$1:$I$1,0),FALSE))</f>
        <v/>
      </c>
      <c r="D255" s="49" t="str">
        <f>IFNA(VLOOKUP($A255,Spells!$A$2:$I1002,MATCH(D$3,Spells!$A$1:$I$1,0),FALSE))</f>
        <v/>
      </c>
      <c r="E255" s="49" t="str">
        <f>IFNA(VLOOKUP($A255,Spells!$A$2:$I1002,MATCH(E$3,Spells!$A$1:$I$1,0),FALSE))</f>
        <v/>
      </c>
      <c r="F255" s="49" t="str">
        <f>IFNA(VLOOKUP($A255,Spells!$A$2:$I1002,MATCH(F$3,Spells!$A$1:$I$1,0),FALSE))</f>
        <v/>
      </c>
      <c r="G255" s="49" t="str">
        <f>IFNA(VLOOKUP($A255,Spells!$A$2:$I1002,MATCH(G$3,Spells!$A$1:$I$1,0),FALSE))</f>
        <v/>
      </c>
      <c r="H255" s="49" t="str">
        <f>IFNA(VLOOKUP($A255,Spells!$A$2:$I1002,MATCH(H$3,Spells!$A$1:$I$1,0),FALSE))</f>
        <v/>
      </c>
    </row>
    <row r="256">
      <c r="A256" s="49"/>
      <c r="B256" s="49" t="str">
        <f>IFNA(VLOOKUP($A256,Spells!$A$2:$I1002,MATCH(B$3,Spells!$A$1:$I$1,0),FALSE))</f>
        <v/>
      </c>
      <c r="C256" s="49" t="str">
        <f>IFNA(VLOOKUP($A256,Spells!$A$2:$I1002,MATCH(C$3,Spells!$A$1:$I$1,0),FALSE))</f>
        <v/>
      </c>
      <c r="D256" s="49" t="str">
        <f>IFNA(VLOOKUP($A256,Spells!$A$2:$I1002,MATCH(D$3,Spells!$A$1:$I$1,0),FALSE))</f>
        <v/>
      </c>
      <c r="E256" s="49" t="str">
        <f>IFNA(VLOOKUP($A256,Spells!$A$2:$I1002,MATCH(E$3,Spells!$A$1:$I$1,0),FALSE))</f>
        <v/>
      </c>
      <c r="F256" s="49" t="str">
        <f>IFNA(VLOOKUP($A256,Spells!$A$2:$I1002,MATCH(F$3,Spells!$A$1:$I$1,0),FALSE))</f>
        <v/>
      </c>
      <c r="G256" s="49" t="str">
        <f>IFNA(VLOOKUP($A256,Spells!$A$2:$I1002,MATCH(G$3,Spells!$A$1:$I$1,0),FALSE))</f>
        <v/>
      </c>
      <c r="H256" s="49" t="str">
        <f>IFNA(VLOOKUP($A256,Spells!$A$2:$I1002,MATCH(H$3,Spells!$A$1:$I$1,0),FALSE))</f>
        <v/>
      </c>
    </row>
    <row r="257">
      <c r="A257" s="49"/>
      <c r="B257" s="49" t="str">
        <f>IFNA(VLOOKUP($A257,Spells!$A$2:$I1002,MATCH(B$3,Spells!$A$1:$I$1,0),FALSE))</f>
        <v/>
      </c>
      <c r="C257" s="49" t="str">
        <f>IFNA(VLOOKUP($A257,Spells!$A$2:$I1002,MATCH(C$3,Spells!$A$1:$I$1,0),FALSE))</f>
        <v/>
      </c>
      <c r="D257" s="49" t="str">
        <f>IFNA(VLOOKUP($A257,Spells!$A$2:$I1002,MATCH(D$3,Spells!$A$1:$I$1,0),FALSE))</f>
        <v/>
      </c>
      <c r="E257" s="49" t="str">
        <f>IFNA(VLOOKUP($A257,Spells!$A$2:$I1002,MATCH(E$3,Spells!$A$1:$I$1,0),FALSE))</f>
        <v/>
      </c>
      <c r="F257" s="49" t="str">
        <f>IFNA(VLOOKUP($A257,Spells!$A$2:$I1002,MATCH(F$3,Spells!$A$1:$I$1,0),FALSE))</f>
        <v/>
      </c>
      <c r="G257" s="49" t="str">
        <f>IFNA(VLOOKUP($A257,Spells!$A$2:$I1002,MATCH(G$3,Spells!$A$1:$I$1,0),FALSE))</f>
        <v/>
      </c>
      <c r="H257" s="49" t="str">
        <f>IFNA(VLOOKUP($A257,Spells!$A$2:$I1002,MATCH(H$3,Spells!$A$1:$I$1,0),FALSE))</f>
        <v/>
      </c>
    </row>
    <row r="258">
      <c r="A258" s="49"/>
      <c r="B258" s="49" t="str">
        <f>IFNA(VLOOKUP($A258,Spells!$A$2:$I1002,MATCH(B$3,Spells!$A$1:$I$1,0),FALSE))</f>
        <v/>
      </c>
      <c r="C258" s="49" t="str">
        <f>IFNA(VLOOKUP($A258,Spells!$A$2:$I1002,MATCH(C$3,Spells!$A$1:$I$1,0),FALSE))</f>
        <v/>
      </c>
      <c r="D258" s="49" t="str">
        <f>IFNA(VLOOKUP($A258,Spells!$A$2:$I1002,MATCH(D$3,Spells!$A$1:$I$1,0),FALSE))</f>
        <v/>
      </c>
      <c r="E258" s="49" t="str">
        <f>IFNA(VLOOKUP($A258,Spells!$A$2:$I1002,MATCH(E$3,Spells!$A$1:$I$1,0),FALSE))</f>
        <v/>
      </c>
      <c r="F258" s="49" t="str">
        <f>IFNA(VLOOKUP($A258,Spells!$A$2:$I1002,MATCH(F$3,Spells!$A$1:$I$1,0),FALSE))</f>
        <v/>
      </c>
      <c r="G258" s="49" t="str">
        <f>IFNA(VLOOKUP($A258,Spells!$A$2:$I1002,MATCH(G$3,Spells!$A$1:$I$1,0),FALSE))</f>
        <v/>
      </c>
      <c r="H258" s="49" t="str">
        <f>IFNA(VLOOKUP($A258,Spells!$A$2:$I1002,MATCH(H$3,Spells!$A$1:$I$1,0),FALSE))</f>
        <v/>
      </c>
    </row>
    <row r="259">
      <c r="A259" s="49"/>
      <c r="B259" s="49" t="str">
        <f>IFNA(VLOOKUP($A259,Spells!$A$2:$I1002,MATCH(B$3,Spells!$A$1:$I$1,0),FALSE))</f>
        <v/>
      </c>
      <c r="C259" s="49" t="str">
        <f>IFNA(VLOOKUP($A259,Spells!$A$2:$I1002,MATCH(C$3,Spells!$A$1:$I$1,0),FALSE))</f>
        <v/>
      </c>
      <c r="D259" s="49" t="str">
        <f>IFNA(VLOOKUP($A259,Spells!$A$2:$I1002,MATCH(D$3,Spells!$A$1:$I$1,0),FALSE))</f>
        <v/>
      </c>
      <c r="E259" s="49" t="str">
        <f>IFNA(VLOOKUP($A259,Spells!$A$2:$I1002,MATCH(E$3,Spells!$A$1:$I$1,0),FALSE))</f>
        <v/>
      </c>
      <c r="F259" s="49" t="str">
        <f>IFNA(VLOOKUP($A259,Spells!$A$2:$I1002,MATCH(F$3,Spells!$A$1:$I$1,0),FALSE))</f>
        <v/>
      </c>
      <c r="G259" s="49" t="str">
        <f>IFNA(VLOOKUP($A259,Spells!$A$2:$I1002,MATCH(G$3,Spells!$A$1:$I$1,0),FALSE))</f>
        <v/>
      </c>
      <c r="H259" s="49" t="str">
        <f>IFNA(VLOOKUP($A259,Spells!$A$2:$I1002,MATCH(H$3,Spells!$A$1:$I$1,0),FALSE))</f>
        <v/>
      </c>
    </row>
    <row r="260">
      <c r="A260" s="49"/>
      <c r="B260" s="49" t="str">
        <f>IFNA(VLOOKUP($A260,Spells!$A$2:$I1002,MATCH(B$3,Spells!$A$1:$I$1,0),FALSE))</f>
        <v/>
      </c>
      <c r="C260" s="49" t="str">
        <f>IFNA(VLOOKUP($A260,Spells!$A$2:$I1002,MATCH(C$3,Spells!$A$1:$I$1,0),FALSE))</f>
        <v/>
      </c>
      <c r="D260" s="49" t="str">
        <f>IFNA(VLOOKUP($A260,Spells!$A$2:$I1002,MATCH(D$3,Spells!$A$1:$I$1,0),FALSE))</f>
        <v/>
      </c>
      <c r="E260" s="49" t="str">
        <f>IFNA(VLOOKUP($A260,Spells!$A$2:$I1002,MATCH(E$3,Spells!$A$1:$I$1,0),FALSE))</f>
        <v/>
      </c>
      <c r="F260" s="49" t="str">
        <f>IFNA(VLOOKUP($A260,Spells!$A$2:$I1002,MATCH(F$3,Spells!$A$1:$I$1,0),FALSE))</f>
        <v/>
      </c>
      <c r="G260" s="49" t="str">
        <f>IFNA(VLOOKUP($A260,Spells!$A$2:$I1002,MATCH(G$3,Spells!$A$1:$I$1,0),FALSE))</f>
        <v/>
      </c>
      <c r="H260" s="49" t="str">
        <f>IFNA(VLOOKUP($A260,Spells!$A$2:$I1002,MATCH(H$3,Spells!$A$1:$I$1,0),FALSE))</f>
        <v/>
      </c>
    </row>
    <row r="261">
      <c r="A261" s="49"/>
      <c r="B261" s="49" t="str">
        <f>IFNA(VLOOKUP($A261,Spells!$A$2:$I1002,MATCH(B$3,Spells!$A$1:$I$1,0),FALSE))</f>
        <v/>
      </c>
      <c r="C261" s="49" t="str">
        <f>IFNA(VLOOKUP($A261,Spells!$A$2:$I1002,MATCH(C$3,Spells!$A$1:$I$1,0),FALSE))</f>
        <v/>
      </c>
      <c r="D261" s="49" t="str">
        <f>IFNA(VLOOKUP($A261,Spells!$A$2:$I1002,MATCH(D$3,Spells!$A$1:$I$1,0),FALSE))</f>
        <v/>
      </c>
      <c r="E261" s="49" t="str">
        <f>IFNA(VLOOKUP($A261,Spells!$A$2:$I1002,MATCH(E$3,Spells!$A$1:$I$1,0),FALSE))</f>
        <v/>
      </c>
      <c r="F261" s="49" t="str">
        <f>IFNA(VLOOKUP($A261,Spells!$A$2:$I1002,MATCH(F$3,Spells!$A$1:$I$1,0),FALSE))</f>
        <v/>
      </c>
      <c r="G261" s="49" t="str">
        <f>IFNA(VLOOKUP($A261,Spells!$A$2:$I1002,MATCH(G$3,Spells!$A$1:$I$1,0),FALSE))</f>
        <v/>
      </c>
      <c r="H261" s="49" t="str">
        <f>IFNA(VLOOKUP($A261,Spells!$A$2:$I1002,MATCH(H$3,Spells!$A$1:$I$1,0),FALSE))</f>
        <v/>
      </c>
    </row>
    <row r="262">
      <c r="A262" s="49"/>
      <c r="B262" s="49" t="str">
        <f>IFNA(VLOOKUP($A262,Spells!$A$2:$I1002,MATCH(B$3,Spells!$A$1:$I$1,0),FALSE))</f>
        <v/>
      </c>
      <c r="C262" s="49" t="str">
        <f>IFNA(VLOOKUP($A262,Spells!$A$2:$I1002,MATCH(C$3,Spells!$A$1:$I$1,0),FALSE))</f>
        <v/>
      </c>
      <c r="D262" s="49" t="str">
        <f>IFNA(VLOOKUP($A262,Spells!$A$2:$I1002,MATCH(D$3,Spells!$A$1:$I$1,0),FALSE))</f>
        <v/>
      </c>
      <c r="E262" s="49" t="str">
        <f>IFNA(VLOOKUP($A262,Spells!$A$2:$I1002,MATCH(E$3,Spells!$A$1:$I$1,0),FALSE))</f>
        <v/>
      </c>
      <c r="F262" s="49" t="str">
        <f>IFNA(VLOOKUP($A262,Spells!$A$2:$I1002,MATCH(F$3,Spells!$A$1:$I$1,0),FALSE))</f>
        <v/>
      </c>
      <c r="G262" s="49" t="str">
        <f>IFNA(VLOOKUP($A262,Spells!$A$2:$I1002,MATCH(G$3,Spells!$A$1:$I$1,0),FALSE))</f>
        <v/>
      </c>
      <c r="H262" s="49" t="str">
        <f>IFNA(VLOOKUP($A262,Spells!$A$2:$I1002,MATCH(H$3,Spells!$A$1:$I$1,0),FALSE))</f>
        <v/>
      </c>
    </row>
    <row r="263">
      <c r="A263" s="49"/>
      <c r="B263" s="49" t="str">
        <f>IFNA(VLOOKUP($A263,Spells!$A$2:$I1002,MATCH(B$3,Spells!$A$1:$I$1,0),FALSE))</f>
        <v/>
      </c>
      <c r="C263" s="49" t="str">
        <f>IFNA(VLOOKUP($A263,Spells!$A$2:$I1002,MATCH(C$3,Spells!$A$1:$I$1,0),FALSE))</f>
        <v/>
      </c>
      <c r="D263" s="49" t="str">
        <f>IFNA(VLOOKUP($A263,Spells!$A$2:$I1002,MATCH(D$3,Spells!$A$1:$I$1,0),FALSE))</f>
        <v/>
      </c>
      <c r="E263" s="49" t="str">
        <f>IFNA(VLOOKUP($A263,Spells!$A$2:$I1002,MATCH(E$3,Spells!$A$1:$I$1,0),FALSE))</f>
        <v/>
      </c>
      <c r="F263" s="49" t="str">
        <f>IFNA(VLOOKUP($A263,Spells!$A$2:$I1002,MATCH(F$3,Spells!$A$1:$I$1,0),FALSE))</f>
        <v/>
      </c>
      <c r="G263" s="49" t="str">
        <f>IFNA(VLOOKUP($A263,Spells!$A$2:$I1002,MATCH(G$3,Spells!$A$1:$I$1,0),FALSE))</f>
        <v/>
      </c>
      <c r="H263" s="49" t="str">
        <f>IFNA(VLOOKUP($A263,Spells!$A$2:$I1002,MATCH(H$3,Spells!$A$1:$I$1,0),FALSE))</f>
        <v/>
      </c>
    </row>
    <row r="264">
      <c r="A264" s="49"/>
      <c r="B264" s="49" t="str">
        <f>IFNA(VLOOKUP($A264,Spells!$A$2:$I1002,MATCH(B$3,Spells!$A$1:$I$1,0),FALSE))</f>
        <v/>
      </c>
      <c r="C264" s="49" t="str">
        <f>IFNA(VLOOKUP($A264,Spells!$A$2:$I1002,MATCH(C$3,Spells!$A$1:$I$1,0),FALSE))</f>
        <v/>
      </c>
      <c r="D264" s="49" t="str">
        <f>IFNA(VLOOKUP($A264,Spells!$A$2:$I1002,MATCH(D$3,Spells!$A$1:$I$1,0),FALSE))</f>
        <v/>
      </c>
      <c r="E264" s="49" t="str">
        <f>IFNA(VLOOKUP($A264,Spells!$A$2:$I1002,MATCH(E$3,Spells!$A$1:$I$1,0),FALSE))</f>
        <v/>
      </c>
      <c r="F264" s="49" t="str">
        <f>IFNA(VLOOKUP($A264,Spells!$A$2:$I1002,MATCH(F$3,Spells!$A$1:$I$1,0),FALSE))</f>
        <v/>
      </c>
      <c r="G264" s="49" t="str">
        <f>IFNA(VLOOKUP($A264,Spells!$A$2:$I1002,MATCH(G$3,Spells!$A$1:$I$1,0),FALSE))</f>
        <v/>
      </c>
      <c r="H264" s="49" t="str">
        <f>IFNA(VLOOKUP($A264,Spells!$A$2:$I1002,MATCH(H$3,Spells!$A$1:$I$1,0),FALSE))</f>
        <v/>
      </c>
    </row>
    <row r="265">
      <c r="A265" s="49"/>
      <c r="B265" s="49" t="str">
        <f>IFNA(VLOOKUP($A265,Spells!$A$2:$I1002,MATCH(B$3,Spells!$A$1:$I$1,0),FALSE))</f>
        <v/>
      </c>
      <c r="C265" s="49" t="str">
        <f>IFNA(VLOOKUP($A265,Spells!$A$2:$I1002,MATCH(C$3,Spells!$A$1:$I$1,0),FALSE))</f>
        <v/>
      </c>
      <c r="D265" s="49" t="str">
        <f>IFNA(VLOOKUP($A265,Spells!$A$2:$I1002,MATCH(D$3,Spells!$A$1:$I$1,0),FALSE))</f>
        <v/>
      </c>
      <c r="E265" s="49" t="str">
        <f>IFNA(VLOOKUP($A265,Spells!$A$2:$I1002,MATCH(E$3,Spells!$A$1:$I$1,0),FALSE))</f>
        <v/>
      </c>
      <c r="F265" s="49" t="str">
        <f>IFNA(VLOOKUP($A265,Spells!$A$2:$I1002,MATCH(F$3,Spells!$A$1:$I$1,0),FALSE))</f>
        <v/>
      </c>
      <c r="G265" s="49" t="str">
        <f>IFNA(VLOOKUP($A265,Spells!$A$2:$I1002,MATCH(G$3,Spells!$A$1:$I$1,0),FALSE))</f>
        <v/>
      </c>
      <c r="H265" s="49" t="str">
        <f>IFNA(VLOOKUP($A265,Spells!$A$2:$I1002,MATCH(H$3,Spells!$A$1:$I$1,0),FALSE))</f>
        <v/>
      </c>
    </row>
    <row r="266">
      <c r="A266" s="49"/>
      <c r="B266" s="49" t="str">
        <f>IFNA(VLOOKUP($A266,Spells!$A$2:$I1002,MATCH(B$3,Spells!$A$1:$I$1,0),FALSE))</f>
        <v/>
      </c>
      <c r="C266" s="49" t="str">
        <f>IFNA(VLOOKUP($A266,Spells!$A$2:$I1002,MATCH(C$3,Spells!$A$1:$I$1,0),FALSE))</f>
        <v/>
      </c>
      <c r="D266" s="49" t="str">
        <f>IFNA(VLOOKUP($A266,Spells!$A$2:$I1002,MATCH(D$3,Spells!$A$1:$I$1,0),FALSE))</f>
        <v/>
      </c>
      <c r="E266" s="49" t="str">
        <f>IFNA(VLOOKUP($A266,Spells!$A$2:$I1002,MATCH(E$3,Spells!$A$1:$I$1,0),FALSE))</f>
        <v/>
      </c>
      <c r="F266" s="49" t="str">
        <f>IFNA(VLOOKUP($A266,Spells!$A$2:$I1002,MATCH(F$3,Spells!$A$1:$I$1,0),FALSE))</f>
        <v/>
      </c>
      <c r="G266" s="49" t="str">
        <f>IFNA(VLOOKUP($A266,Spells!$A$2:$I1002,MATCH(G$3,Spells!$A$1:$I$1,0),FALSE))</f>
        <v/>
      </c>
      <c r="H266" s="49" t="str">
        <f>IFNA(VLOOKUP($A266,Spells!$A$2:$I1002,MATCH(H$3,Spells!$A$1:$I$1,0),FALSE))</f>
        <v/>
      </c>
    </row>
    <row r="267">
      <c r="A267" s="49"/>
      <c r="B267" s="49" t="str">
        <f>IFNA(VLOOKUP($A267,Spells!$A$2:$I1002,MATCH(B$3,Spells!$A$1:$I$1,0),FALSE))</f>
        <v/>
      </c>
      <c r="C267" s="49" t="str">
        <f>IFNA(VLOOKUP($A267,Spells!$A$2:$I1002,MATCH(C$3,Spells!$A$1:$I$1,0),FALSE))</f>
        <v/>
      </c>
      <c r="D267" s="49" t="str">
        <f>IFNA(VLOOKUP($A267,Spells!$A$2:$I1002,MATCH(D$3,Spells!$A$1:$I$1,0),FALSE))</f>
        <v/>
      </c>
      <c r="E267" s="49" t="str">
        <f>IFNA(VLOOKUP($A267,Spells!$A$2:$I1002,MATCH(E$3,Spells!$A$1:$I$1,0),FALSE))</f>
        <v/>
      </c>
      <c r="F267" s="49" t="str">
        <f>IFNA(VLOOKUP($A267,Spells!$A$2:$I1002,MATCH(F$3,Spells!$A$1:$I$1,0),FALSE))</f>
        <v/>
      </c>
      <c r="G267" s="49" t="str">
        <f>IFNA(VLOOKUP($A267,Spells!$A$2:$I1002,MATCH(G$3,Spells!$A$1:$I$1,0),FALSE))</f>
        <v/>
      </c>
      <c r="H267" s="49" t="str">
        <f>IFNA(VLOOKUP($A267,Spells!$A$2:$I1002,MATCH(H$3,Spells!$A$1:$I$1,0),FALSE))</f>
        <v/>
      </c>
    </row>
    <row r="268">
      <c r="A268" s="49"/>
      <c r="B268" s="49" t="str">
        <f>IFNA(VLOOKUP($A268,Spells!$A$2:$I1002,MATCH(B$3,Spells!$A$1:$I$1,0),FALSE))</f>
        <v/>
      </c>
      <c r="C268" s="49" t="str">
        <f>IFNA(VLOOKUP($A268,Spells!$A$2:$I1002,MATCH(C$3,Spells!$A$1:$I$1,0),FALSE))</f>
        <v/>
      </c>
      <c r="D268" s="49" t="str">
        <f>IFNA(VLOOKUP($A268,Spells!$A$2:$I1002,MATCH(D$3,Spells!$A$1:$I$1,0),FALSE))</f>
        <v/>
      </c>
      <c r="E268" s="49" t="str">
        <f>IFNA(VLOOKUP($A268,Spells!$A$2:$I1002,MATCH(E$3,Spells!$A$1:$I$1,0),FALSE))</f>
        <v/>
      </c>
      <c r="F268" s="49" t="str">
        <f>IFNA(VLOOKUP($A268,Spells!$A$2:$I1002,MATCH(F$3,Spells!$A$1:$I$1,0),FALSE))</f>
        <v/>
      </c>
      <c r="G268" s="49" t="str">
        <f>IFNA(VLOOKUP($A268,Spells!$A$2:$I1002,MATCH(G$3,Spells!$A$1:$I$1,0),FALSE))</f>
        <v/>
      </c>
      <c r="H268" s="49" t="str">
        <f>IFNA(VLOOKUP($A268,Spells!$A$2:$I1002,MATCH(H$3,Spells!$A$1:$I$1,0),FALSE))</f>
        <v/>
      </c>
    </row>
    <row r="269">
      <c r="A269" s="49"/>
      <c r="B269" s="49" t="str">
        <f>IFNA(VLOOKUP($A269,Spells!$A$2:$I1002,MATCH(B$3,Spells!$A$1:$I$1,0),FALSE))</f>
        <v/>
      </c>
      <c r="C269" s="49" t="str">
        <f>IFNA(VLOOKUP($A269,Spells!$A$2:$I1002,MATCH(C$3,Spells!$A$1:$I$1,0),FALSE))</f>
        <v/>
      </c>
      <c r="D269" s="49" t="str">
        <f>IFNA(VLOOKUP($A269,Spells!$A$2:$I1002,MATCH(D$3,Spells!$A$1:$I$1,0),FALSE))</f>
        <v/>
      </c>
      <c r="E269" s="49" t="str">
        <f>IFNA(VLOOKUP($A269,Spells!$A$2:$I1002,MATCH(E$3,Spells!$A$1:$I$1,0),FALSE))</f>
        <v/>
      </c>
      <c r="F269" s="49" t="str">
        <f>IFNA(VLOOKUP($A269,Spells!$A$2:$I1002,MATCH(F$3,Spells!$A$1:$I$1,0),FALSE))</f>
        <v/>
      </c>
      <c r="G269" s="49" t="str">
        <f>IFNA(VLOOKUP($A269,Spells!$A$2:$I1002,MATCH(G$3,Spells!$A$1:$I$1,0),FALSE))</f>
        <v/>
      </c>
      <c r="H269" s="49" t="str">
        <f>IFNA(VLOOKUP($A269,Spells!$A$2:$I1002,MATCH(H$3,Spells!$A$1:$I$1,0),FALSE))</f>
        <v/>
      </c>
    </row>
    <row r="270">
      <c r="A270" s="49"/>
      <c r="B270" s="49" t="str">
        <f>IFNA(VLOOKUP($A270,Spells!$A$2:$I1002,MATCH(B$3,Spells!$A$1:$I$1,0),FALSE))</f>
        <v/>
      </c>
      <c r="C270" s="49" t="str">
        <f>IFNA(VLOOKUP($A270,Spells!$A$2:$I1002,MATCH(C$3,Spells!$A$1:$I$1,0),FALSE))</f>
        <v/>
      </c>
      <c r="D270" s="49" t="str">
        <f>IFNA(VLOOKUP($A270,Spells!$A$2:$I1002,MATCH(D$3,Spells!$A$1:$I$1,0),FALSE))</f>
        <v/>
      </c>
      <c r="E270" s="49" t="str">
        <f>IFNA(VLOOKUP($A270,Spells!$A$2:$I1002,MATCH(E$3,Spells!$A$1:$I$1,0),FALSE))</f>
        <v/>
      </c>
      <c r="F270" s="49" t="str">
        <f>IFNA(VLOOKUP($A270,Spells!$A$2:$I1002,MATCH(F$3,Spells!$A$1:$I$1,0),FALSE))</f>
        <v/>
      </c>
      <c r="G270" s="49" t="str">
        <f>IFNA(VLOOKUP($A270,Spells!$A$2:$I1002,MATCH(G$3,Spells!$A$1:$I$1,0),FALSE))</f>
        <v/>
      </c>
      <c r="H270" s="49" t="str">
        <f>IFNA(VLOOKUP($A270,Spells!$A$2:$I1002,MATCH(H$3,Spells!$A$1:$I$1,0),FALSE))</f>
        <v/>
      </c>
    </row>
    <row r="271">
      <c r="A271" s="49"/>
      <c r="B271" s="49" t="str">
        <f>IFNA(VLOOKUP($A271,Spells!$A$2:$I1002,MATCH(B$3,Spells!$A$1:$I$1,0),FALSE))</f>
        <v/>
      </c>
      <c r="C271" s="49" t="str">
        <f>IFNA(VLOOKUP($A271,Spells!$A$2:$I1002,MATCH(C$3,Spells!$A$1:$I$1,0),FALSE))</f>
        <v/>
      </c>
      <c r="D271" s="49" t="str">
        <f>IFNA(VLOOKUP($A271,Spells!$A$2:$I1002,MATCH(D$3,Spells!$A$1:$I$1,0),FALSE))</f>
        <v/>
      </c>
      <c r="E271" s="49" t="str">
        <f>IFNA(VLOOKUP($A271,Spells!$A$2:$I1002,MATCH(E$3,Spells!$A$1:$I$1,0),FALSE))</f>
        <v/>
      </c>
      <c r="F271" s="49" t="str">
        <f>IFNA(VLOOKUP($A271,Spells!$A$2:$I1002,MATCH(F$3,Spells!$A$1:$I$1,0),FALSE))</f>
        <v/>
      </c>
      <c r="G271" s="49" t="str">
        <f>IFNA(VLOOKUP($A271,Spells!$A$2:$I1002,MATCH(G$3,Spells!$A$1:$I$1,0),FALSE))</f>
        <v/>
      </c>
      <c r="H271" s="49" t="str">
        <f>IFNA(VLOOKUP($A271,Spells!$A$2:$I1002,MATCH(H$3,Spells!$A$1:$I$1,0),FALSE))</f>
        <v/>
      </c>
    </row>
    <row r="272">
      <c r="A272" s="49"/>
      <c r="B272" s="49" t="str">
        <f>IFNA(VLOOKUP($A272,Spells!$A$2:$I1002,MATCH(B$3,Spells!$A$1:$I$1,0),FALSE))</f>
        <v/>
      </c>
      <c r="C272" s="49" t="str">
        <f>IFNA(VLOOKUP($A272,Spells!$A$2:$I1002,MATCH(C$3,Spells!$A$1:$I$1,0),FALSE))</f>
        <v/>
      </c>
      <c r="D272" s="49" t="str">
        <f>IFNA(VLOOKUP($A272,Spells!$A$2:$I1002,MATCH(D$3,Spells!$A$1:$I$1,0),FALSE))</f>
        <v/>
      </c>
      <c r="E272" s="49" t="str">
        <f>IFNA(VLOOKUP($A272,Spells!$A$2:$I1002,MATCH(E$3,Spells!$A$1:$I$1,0),FALSE))</f>
        <v/>
      </c>
      <c r="F272" s="49" t="str">
        <f>IFNA(VLOOKUP($A272,Spells!$A$2:$I1002,MATCH(F$3,Spells!$A$1:$I$1,0),FALSE))</f>
        <v/>
      </c>
      <c r="G272" s="49" t="str">
        <f>IFNA(VLOOKUP($A272,Spells!$A$2:$I1002,MATCH(G$3,Spells!$A$1:$I$1,0),FALSE))</f>
        <v/>
      </c>
      <c r="H272" s="49" t="str">
        <f>IFNA(VLOOKUP($A272,Spells!$A$2:$I1002,MATCH(H$3,Spells!$A$1:$I$1,0),FALSE))</f>
        <v/>
      </c>
    </row>
    <row r="273">
      <c r="A273" s="49"/>
      <c r="B273" s="49" t="str">
        <f>IFNA(VLOOKUP($A273,Spells!$A$2:$I1002,MATCH(B$3,Spells!$A$1:$I$1,0),FALSE))</f>
        <v/>
      </c>
      <c r="C273" s="49" t="str">
        <f>IFNA(VLOOKUP($A273,Spells!$A$2:$I1002,MATCH(C$3,Spells!$A$1:$I$1,0),FALSE))</f>
        <v/>
      </c>
      <c r="D273" s="49" t="str">
        <f>IFNA(VLOOKUP($A273,Spells!$A$2:$I1002,MATCH(D$3,Spells!$A$1:$I$1,0),FALSE))</f>
        <v/>
      </c>
      <c r="E273" s="49" t="str">
        <f>IFNA(VLOOKUP($A273,Spells!$A$2:$I1002,MATCH(E$3,Spells!$A$1:$I$1,0),FALSE))</f>
        <v/>
      </c>
      <c r="F273" s="49" t="str">
        <f>IFNA(VLOOKUP($A273,Spells!$A$2:$I1002,MATCH(F$3,Spells!$A$1:$I$1,0),FALSE))</f>
        <v/>
      </c>
      <c r="G273" s="49" t="str">
        <f>IFNA(VLOOKUP($A273,Spells!$A$2:$I1002,MATCH(G$3,Spells!$A$1:$I$1,0),FALSE))</f>
        <v/>
      </c>
      <c r="H273" s="49" t="str">
        <f>IFNA(VLOOKUP($A273,Spells!$A$2:$I1002,MATCH(H$3,Spells!$A$1:$I$1,0),FALSE))</f>
        <v/>
      </c>
    </row>
    <row r="274">
      <c r="A274" s="49"/>
      <c r="B274" s="49" t="str">
        <f>IFNA(VLOOKUP($A274,Spells!$A$2:$I1002,MATCH(B$3,Spells!$A$1:$I$1,0),FALSE))</f>
        <v/>
      </c>
      <c r="C274" s="49" t="str">
        <f>IFNA(VLOOKUP($A274,Spells!$A$2:$I1002,MATCH(C$3,Spells!$A$1:$I$1,0),FALSE))</f>
        <v/>
      </c>
      <c r="D274" s="49" t="str">
        <f>IFNA(VLOOKUP($A274,Spells!$A$2:$I1002,MATCH(D$3,Spells!$A$1:$I$1,0),FALSE))</f>
        <v/>
      </c>
      <c r="E274" s="49" t="str">
        <f>IFNA(VLOOKUP($A274,Spells!$A$2:$I1002,MATCH(E$3,Spells!$A$1:$I$1,0),FALSE))</f>
        <v/>
      </c>
      <c r="F274" s="49" t="str">
        <f>IFNA(VLOOKUP($A274,Spells!$A$2:$I1002,MATCH(F$3,Spells!$A$1:$I$1,0),FALSE))</f>
        <v/>
      </c>
      <c r="G274" s="49" t="str">
        <f>IFNA(VLOOKUP($A274,Spells!$A$2:$I1002,MATCH(G$3,Spells!$A$1:$I$1,0),FALSE))</f>
        <v/>
      </c>
      <c r="H274" s="49" t="str">
        <f>IFNA(VLOOKUP($A274,Spells!$A$2:$I1002,MATCH(H$3,Spells!$A$1:$I$1,0),FALSE))</f>
        <v/>
      </c>
    </row>
    <row r="275">
      <c r="A275" s="49"/>
      <c r="B275" s="49" t="str">
        <f>IFNA(VLOOKUP($A275,Spells!$A$2:$I1002,MATCH(B$3,Spells!$A$1:$I$1,0),FALSE))</f>
        <v/>
      </c>
      <c r="C275" s="49" t="str">
        <f>IFNA(VLOOKUP($A275,Spells!$A$2:$I1002,MATCH(C$3,Spells!$A$1:$I$1,0),FALSE))</f>
        <v/>
      </c>
      <c r="D275" s="49" t="str">
        <f>IFNA(VLOOKUP($A275,Spells!$A$2:$I1002,MATCH(D$3,Spells!$A$1:$I$1,0),FALSE))</f>
        <v/>
      </c>
      <c r="E275" s="49" t="str">
        <f>IFNA(VLOOKUP($A275,Spells!$A$2:$I1002,MATCH(E$3,Spells!$A$1:$I$1,0),FALSE))</f>
        <v/>
      </c>
      <c r="F275" s="49" t="str">
        <f>IFNA(VLOOKUP($A275,Spells!$A$2:$I1002,MATCH(F$3,Spells!$A$1:$I$1,0),FALSE))</f>
        <v/>
      </c>
      <c r="G275" s="49" t="str">
        <f>IFNA(VLOOKUP($A275,Spells!$A$2:$I1002,MATCH(G$3,Spells!$A$1:$I$1,0),FALSE))</f>
        <v/>
      </c>
      <c r="H275" s="49" t="str">
        <f>IFNA(VLOOKUP($A275,Spells!$A$2:$I1002,MATCH(H$3,Spells!$A$1:$I$1,0),FALSE))</f>
        <v/>
      </c>
    </row>
    <row r="276">
      <c r="A276" s="49"/>
      <c r="B276" s="49" t="str">
        <f>IFNA(VLOOKUP($A276,Spells!$A$2:$I1002,MATCH(B$3,Spells!$A$1:$I$1,0),FALSE))</f>
        <v/>
      </c>
      <c r="C276" s="49" t="str">
        <f>IFNA(VLOOKUP($A276,Spells!$A$2:$I1002,MATCH(C$3,Spells!$A$1:$I$1,0),FALSE))</f>
        <v/>
      </c>
      <c r="D276" s="49" t="str">
        <f>IFNA(VLOOKUP($A276,Spells!$A$2:$I1002,MATCH(D$3,Spells!$A$1:$I$1,0),FALSE))</f>
        <v/>
      </c>
      <c r="E276" s="49" t="str">
        <f>IFNA(VLOOKUP($A276,Spells!$A$2:$I1002,MATCH(E$3,Spells!$A$1:$I$1,0),FALSE))</f>
        <v/>
      </c>
      <c r="F276" s="49" t="str">
        <f>IFNA(VLOOKUP($A276,Spells!$A$2:$I1002,MATCH(F$3,Spells!$A$1:$I$1,0),FALSE))</f>
        <v/>
      </c>
      <c r="G276" s="49" t="str">
        <f>IFNA(VLOOKUP($A276,Spells!$A$2:$I1002,MATCH(G$3,Spells!$A$1:$I$1,0),FALSE))</f>
        <v/>
      </c>
      <c r="H276" s="49" t="str">
        <f>IFNA(VLOOKUP($A276,Spells!$A$2:$I1002,MATCH(H$3,Spells!$A$1:$I$1,0),FALSE))</f>
        <v/>
      </c>
    </row>
    <row r="277">
      <c r="A277" s="49"/>
      <c r="B277" s="49" t="str">
        <f>IFNA(VLOOKUP($A277,Spells!$A$2:$I1002,MATCH(B$3,Spells!$A$1:$I$1,0),FALSE))</f>
        <v/>
      </c>
      <c r="C277" s="49" t="str">
        <f>IFNA(VLOOKUP($A277,Spells!$A$2:$I1002,MATCH(C$3,Spells!$A$1:$I$1,0),FALSE))</f>
        <v/>
      </c>
      <c r="D277" s="49" t="str">
        <f>IFNA(VLOOKUP($A277,Spells!$A$2:$I1002,MATCH(D$3,Spells!$A$1:$I$1,0),FALSE))</f>
        <v/>
      </c>
      <c r="E277" s="49" t="str">
        <f>IFNA(VLOOKUP($A277,Spells!$A$2:$I1002,MATCH(E$3,Spells!$A$1:$I$1,0),FALSE))</f>
        <v/>
      </c>
      <c r="F277" s="49" t="str">
        <f>IFNA(VLOOKUP($A277,Spells!$A$2:$I1002,MATCH(F$3,Spells!$A$1:$I$1,0),FALSE))</f>
        <v/>
      </c>
      <c r="G277" s="49" t="str">
        <f>IFNA(VLOOKUP($A277,Spells!$A$2:$I1002,MATCH(G$3,Spells!$A$1:$I$1,0),FALSE))</f>
        <v/>
      </c>
      <c r="H277" s="49" t="str">
        <f>IFNA(VLOOKUP($A277,Spells!$A$2:$I1002,MATCH(H$3,Spells!$A$1:$I$1,0),FALSE))</f>
        <v/>
      </c>
    </row>
    <row r="278">
      <c r="A278" s="49"/>
      <c r="B278" s="49" t="str">
        <f>IFNA(VLOOKUP($A278,Spells!$A$2:$I1002,MATCH(B$3,Spells!$A$1:$I$1,0),FALSE))</f>
        <v/>
      </c>
      <c r="C278" s="49" t="str">
        <f>IFNA(VLOOKUP($A278,Spells!$A$2:$I1002,MATCH(C$3,Spells!$A$1:$I$1,0),FALSE))</f>
        <v/>
      </c>
      <c r="D278" s="49" t="str">
        <f>IFNA(VLOOKUP($A278,Spells!$A$2:$I1002,MATCH(D$3,Spells!$A$1:$I$1,0),FALSE))</f>
        <v/>
      </c>
      <c r="E278" s="49" t="str">
        <f>IFNA(VLOOKUP($A278,Spells!$A$2:$I1002,MATCH(E$3,Spells!$A$1:$I$1,0),FALSE))</f>
        <v/>
      </c>
      <c r="F278" s="49" t="str">
        <f>IFNA(VLOOKUP($A278,Spells!$A$2:$I1002,MATCH(F$3,Spells!$A$1:$I$1,0),FALSE))</f>
        <v/>
      </c>
      <c r="G278" s="49" t="str">
        <f>IFNA(VLOOKUP($A278,Spells!$A$2:$I1002,MATCH(G$3,Spells!$A$1:$I$1,0),FALSE))</f>
        <v/>
      </c>
      <c r="H278" s="49" t="str">
        <f>IFNA(VLOOKUP($A278,Spells!$A$2:$I1002,MATCH(H$3,Spells!$A$1:$I$1,0),FALSE))</f>
        <v/>
      </c>
    </row>
    <row r="279">
      <c r="A279" s="49"/>
      <c r="B279" s="49" t="str">
        <f>IFNA(VLOOKUP($A279,Spells!$A$2:$I1002,MATCH(B$3,Spells!$A$1:$I$1,0),FALSE))</f>
        <v/>
      </c>
      <c r="C279" s="49" t="str">
        <f>IFNA(VLOOKUP($A279,Spells!$A$2:$I1002,MATCH(C$3,Spells!$A$1:$I$1,0),FALSE))</f>
        <v/>
      </c>
      <c r="D279" s="49" t="str">
        <f>IFNA(VLOOKUP($A279,Spells!$A$2:$I1002,MATCH(D$3,Spells!$A$1:$I$1,0),FALSE))</f>
        <v/>
      </c>
      <c r="E279" s="49" t="str">
        <f>IFNA(VLOOKUP($A279,Spells!$A$2:$I1002,MATCH(E$3,Spells!$A$1:$I$1,0),FALSE))</f>
        <v/>
      </c>
      <c r="F279" s="49" t="str">
        <f>IFNA(VLOOKUP($A279,Spells!$A$2:$I1002,MATCH(F$3,Spells!$A$1:$I$1,0),FALSE))</f>
        <v/>
      </c>
      <c r="G279" s="49" t="str">
        <f>IFNA(VLOOKUP($A279,Spells!$A$2:$I1002,MATCH(G$3,Spells!$A$1:$I$1,0),FALSE))</f>
        <v/>
      </c>
      <c r="H279" s="49" t="str">
        <f>IFNA(VLOOKUP($A279,Spells!$A$2:$I1002,MATCH(H$3,Spells!$A$1:$I$1,0),FALSE))</f>
        <v/>
      </c>
    </row>
    <row r="280">
      <c r="A280" s="49"/>
      <c r="B280" s="49" t="str">
        <f>IFNA(VLOOKUP($A280,Spells!$A$2:$I1002,MATCH(B$3,Spells!$A$1:$I$1,0),FALSE))</f>
        <v/>
      </c>
      <c r="C280" s="49" t="str">
        <f>IFNA(VLOOKUP($A280,Spells!$A$2:$I1002,MATCH(C$3,Spells!$A$1:$I$1,0),FALSE))</f>
        <v/>
      </c>
      <c r="D280" s="49" t="str">
        <f>IFNA(VLOOKUP($A280,Spells!$A$2:$I1002,MATCH(D$3,Spells!$A$1:$I$1,0),FALSE))</f>
        <v/>
      </c>
      <c r="E280" s="49" t="str">
        <f>IFNA(VLOOKUP($A280,Spells!$A$2:$I1002,MATCH(E$3,Spells!$A$1:$I$1,0),FALSE))</f>
        <v/>
      </c>
      <c r="F280" s="49" t="str">
        <f>IFNA(VLOOKUP($A280,Spells!$A$2:$I1002,MATCH(F$3,Spells!$A$1:$I$1,0),FALSE))</f>
        <v/>
      </c>
      <c r="G280" s="49" t="str">
        <f>IFNA(VLOOKUP($A280,Spells!$A$2:$I1002,MATCH(G$3,Spells!$A$1:$I$1,0),FALSE))</f>
        <v/>
      </c>
      <c r="H280" s="49" t="str">
        <f>IFNA(VLOOKUP($A280,Spells!$A$2:$I1002,MATCH(H$3,Spells!$A$1:$I$1,0),FALSE))</f>
        <v/>
      </c>
    </row>
    <row r="281">
      <c r="A281" s="49"/>
      <c r="B281" s="49" t="str">
        <f>IFNA(VLOOKUP($A281,Spells!$A$2:$I1002,MATCH(B$3,Spells!$A$1:$I$1,0),FALSE))</f>
        <v/>
      </c>
      <c r="C281" s="49" t="str">
        <f>IFNA(VLOOKUP($A281,Spells!$A$2:$I1002,MATCH(C$3,Spells!$A$1:$I$1,0),FALSE))</f>
        <v/>
      </c>
      <c r="D281" s="49" t="str">
        <f>IFNA(VLOOKUP($A281,Spells!$A$2:$I1002,MATCH(D$3,Spells!$A$1:$I$1,0),FALSE))</f>
        <v/>
      </c>
      <c r="E281" s="49" t="str">
        <f>IFNA(VLOOKUP($A281,Spells!$A$2:$I1002,MATCH(E$3,Spells!$A$1:$I$1,0),FALSE))</f>
        <v/>
      </c>
      <c r="F281" s="49" t="str">
        <f>IFNA(VLOOKUP($A281,Spells!$A$2:$I1002,MATCH(F$3,Spells!$A$1:$I$1,0),FALSE))</f>
        <v/>
      </c>
      <c r="G281" s="49" t="str">
        <f>IFNA(VLOOKUP($A281,Spells!$A$2:$I1002,MATCH(G$3,Spells!$A$1:$I$1,0),FALSE))</f>
        <v/>
      </c>
      <c r="H281" s="49" t="str">
        <f>IFNA(VLOOKUP($A281,Spells!$A$2:$I1002,MATCH(H$3,Spells!$A$1:$I$1,0),FALSE))</f>
        <v/>
      </c>
    </row>
    <row r="282">
      <c r="A282" s="49"/>
      <c r="B282" s="49" t="str">
        <f>IFNA(VLOOKUP($A282,Spells!$A$2:$I1002,MATCH(B$3,Spells!$A$1:$I$1,0),FALSE))</f>
        <v/>
      </c>
      <c r="C282" s="49" t="str">
        <f>IFNA(VLOOKUP($A282,Spells!$A$2:$I1002,MATCH(C$3,Spells!$A$1:$I$1,0),FALSE))</f>
        <v/>
      </c>
      <c r="D282" s="49" t="str">
        <f>IFNA(VLOOKUP($A282,Spells!$A$2:$I1002,MATCH(D$3,Spells!$A$1:$I$1,0),FALSE))</f>
        <v/>
      </c>
      <c r="E282" s="49" t="str">
        <f>IFNA(VLOOKUP($A282,Spells!$A$2:$I1002,MATCH(E$3,Spells!$A$1:$I$1,0),FALSE))</f>
        <v/>
      </c>
      <c r="F282" s="49" t="str">
        <f>IFNA(VLOOKUP($A282,Spells!$A$2:$I1002,MATCH(F$3,Spells!$A$1:$I$1,0),FALSE))</f>
        <v/>
      </c>
      <c r="G282" s="49" t="str">
        <f>IFNA(VLOOKUP($A282,Spells!$A$2:$I1002,MATCH(G$3,Spells!$A$1:$I$1,0),FALSE))</f>
        <v/>
      </c>
      <c r="H282" s="49" t="str">
        <f>IFNA(VLOOKUP($A282,Spells!$A$2:$I1002,MATCH(H$3,Spells!$A$1:$I$1,0),FALSE))</f>
        <v/>
      </c>
    </row>
    <row r="283">
      <c r="A283" s="49"/>
      <c r="B283" s="49" t="str">
        <f>IFNA(VLOOKUP($A283,Spells!$A$2:$I1002,MATCH(B$3,Spells!$A$1:$I$1,0),FALSE))</f>
        <v/>
      </c>
      <c r="C283" s="49" t="str">
        <f>IFNA(VLOOKUP($A283,Spells!$A$2:$I1002,MATCH(C$3,Spells!$A$1:$I$1,0),FALSE))</f>
        <v/>
      </c>
      <c r="D283" s="49" t="str">
        <f>IFNA(VLOOKUP($A283,Spells!$A$2:$I1002,MATCH(D$3,Spells!$A$1:$I$1,0),FALSE))</f>
        <v/>
      </c>
      <c r="E283" s="49" t="str">
        <f>IFNA(VLOOKUP($A283,Spells!$A$2:$I1002,MATCH(E$3,Spells!$A$1:$I$1,0),FALSE))</f>
        <v/>
      </c>
      <c r="F283" s="49" t="str">
        <f>IFNA(VLOOKUP($A283,Spells!$A$2:$I1002,MATCH(F$3,Spells!$A$1:$I$1,0),FALSE))</f>
        <v/>
      </c>
      <c r="G283" s="49" t="str">
        <f>IFNA(VLOOKUP($A283,Spells!$A$2:$I1002,MATCH(G$3,Spells!$A$1:$I$1,0),FALSE))</f>
        <v/>
      </c>
      <c r="H283" s="49" t="str">
        <f>IFNA(VLOOKUP($A283,Spells!$A$2:$I1002,MATCH(H$3,Spells!$A$1:$I$1,0),FALSE))</f>
        <v/>
      </c>
    </row>
    <row r="284">
      <c r="A284" s="49"/>
      <c r="B284" s="49" t="str">
        <f>IFNA(VLOOKUP($A284,Spells!$A$2:$I1002,MATCH(B$3,Spells!$A$1:$I$1,0),FALSE))</f>
        <v/>
      </c>
      <c r="C284" s="49" t="str">
        <f>IFNA(VLOOKUP($A284,Spells!$A$2:$I1002,MATCH(C$3,Spells!$A$1:$I$1,0),FALSE))</f>
        <v/>
      </c>
      <c r="D284" s="49" t="str">
        <f>IFNA(VLOOKUP($A284,Spells!$A$2:$I1002,MATCH(D$3,Spells!$A$1:$I$1,0),FALSE))</f>
        <v/>
      </c>
      <c r="E284" s="49" t="str">
        <f>IFNA(VLOOKUP($A284,Spells!$A$2:$I1002,MATCH(E$3,Spells!$A$1:$I$1,0),FALSE))</f>
        <v/>
      </c>
      <c r="F284" s="49" t="str">
        <f>IFNA(VLOOKUP($A284,Spells!$A$2:$I1002,MATCH(F$3,Spells!$A$1:$I$1,0),FALSE))</f>
        <v/>
      </c>
      <c r="G284" s="49" t="str">
        <f>IFNA(VLOOKUP($A284,Spells!$A$2:$I1002,MATCH(G$3,Spells!$A$1:$I$1,0),FALSE))</f>
        <v/>
      </c>
      <c r="H284" s="49" t="str">
        <f>IFNA(VLOOKUP($A284,Spells!$A$2:$I1002,MATCH(H$3,Spells!$A$1:$I$1,0),FALSE))</f>
        <v/>
      </c>
    </row>
    <row r="285">
      <c r="A285" s="49"/>
      <c r="B285" s="49" t="str">
        <f>IFNA(VLOOKUP($A285,Spells!$A$2:$I1002,MATCH(B$3,Spells!$A$1:$I$1,0),FALSE))</f>
        <v/>
      </c>
      <c r="C285" s="49" t="str">
        <f>IFNA(VLOOKUP($A285,Spells!$A$2:$I1002,MATCH(C$3,Spells!$A$1:$I$1,0),FALSE))</f>
        <v/>
      </c>
      <c r="D285" s="49" t="str">
        <f>IFNA(VLOOKUP($A285,Spells!$A$2:$I1002,MATCH(D$3,Spells!$A$1:$I$1,0),FALSE))</f>
        <v/>
      </c>
      <c r="E285" s="49" t="str">
        <f>IFNA(VLOOKUP($A285,Spells!$A$2:$I1002,MATCH(E$3,Spells!$A$1:$I$1,0),FALSE))</f>
        <v/>
      </c>
      <c r="F285" s="49" t="str">
        <f>IFNA(VLOOKUP($A285,Spells!$A$2:$I1002,MATCH(F$3,Spells!$A$1:$I$1,0),FALSE))</f>
        <v/>
      </c>
      <c r="G285" s="49" t="str">
        <f>IFNA(VLOOKUP($A285,Spells!$A$2:$I1002,MATCH(G$3,Spells!$A$1:$I$1,0),FALSE))</f>
        <v/>
      </c>
      <c r="H285" s="49" t="str">
        <f>IFNA(VLOOKUP($A285,Spells!$A$2:$I1002,MATCH(H$3,Spells!$A$1:$I$1,0),FALSE))</f>
        <v/>
      </c>
    </row>
    <row r="286">
      <c r="A286" s="49"/>
      <c r="B286" s="49" t="str">
        <f>IFNA(VLOOKUP($A286,Spells!$A$2:$I1002,MATCH(B$3,Spells!$A$1:$I$1,0),FALSE))</f>
        <v/>
      </c>
      <c r="C286" s="49" t="str">
        <f>IFNA(VLOOKUP($A286,Spells!$A$2:$I1002,MATCH(C$3,Spells!$A$1:$I$1,0),FALSE))</f>
        <v/>
      </c>
      <c r="D286" s="49" t="str">
        <f>IFNA(VLOOKUP($A286,Spells!$A$2:$I1002,MATCH(D$3,Spells!$A$1:$I$1,0),FALSE))</f>
        <v/>
      </c>
      <c r="E286" s="49" t="str">
        <f>IFNA(VLOOKUP($A286,Spells!$A$2:$I1002,MATCH(E$3,Spells!$A$1:$I$1,0),FALSE))</f>
        <v/>
      </c>
      <c r="F286" s="49" t="str">
        <f>IFNA(VLOOKUP($A286,Spells!$A$2:$I1002,MATCH(F$3,Spells!$A$1:$I$1,0),FALSE))</f>
        <v/>
      </c>
      <c r="G286" s="49" t="str">
        <f>IFNA(VLOOKUP($A286,Spells!$A$2:$I1002,MATCH(G$3,Spells!$A$1:$I$1,0),FALSE))</f>
        <v/>
      </c>
      <c r="H286" s="49" t="str">
        <f>IFNA(VLOOKUP($A286,Spells!$A$2:$I1002,MATCH(H$3,Spells!$A$1:$I$1,0),FALSE))</f>
        <v/>
      </c>
    </row>
    <row r="287">
      <c r="A287" s="49"/>
      <c r="B287" s="49" t="str">
        <f>IFNA(VLOOKUP($A287,Spells!$A$2:$I1002,MATCH(B$3,Spells!$A$1:$I$1,0),FALSE))</f>
        <v/>
      </c>
      <c r="C287" s="49" t="str">
        <f>IFNA(VLOOKUP($A287,Spells!$A$2:$I1002,MATCH(C$3,Spells!$A$1:$I$1,0),FALSE))</f>
        <v/>
      </c>
      <c r="D287" s="49" t="str">
        <f>IFNA(VLOOKUP($A287,Spells!$A$2:$I1002,MATCH(D$3,Spells!$A$1:$I$1,0),FALSE))</f>
        <v/>
      </c>
      <c r="E287" s="49" t="str">
        <f>IFNA(VLOOKUP($A287,Spells!$A$2:$I1002,MATCH(E$3,Spells!$A$1:$I$1,0),FALSE))</f>
        <v/>
      </c>
      <c r="F287" s="49" t="str">
        <f>IFNA(VLOOKUP($A287,Spells!$A$2:$I1002,MATCH(F$3,Spells!$A$1:$I$1,0),FALSE))</f>
        <v/>
      </c>
      <c r="G287" s="49" t="str">
        <f>IFNA(VLOOKUP($A287,Spells!$A$2:$I1002,MATCH(G$3,Spells!$A$1:$I$1,0),FALSE))</f>
        <v/>
      </c>
      <c r="H287" s="49" t="str">
        <f>IFNA(VLOOKUP($A287,Spells!$A$2:$I1002,MATCH(H$3,Spells!$A$1:$I$1,0),FALSE))</f>
        <v/>
      </c>
    </row>
    <row r="288">
      <c r="A288" s="49"/>
      <c r="B288" s="49" t="str">
        <f>IFNA(VLOOKUP($A288,Spells!$A$2:$I1002,MATCH(B$3,Spells!$A$1:$I$1,0),FALSE))</f>
        <v/>
      </c>
      <c r="C288" s="49" t="str">
        <f>IFNA(VLOOKUP($A288,Spells!$A$2:$I1002,MATCH(C$3,Spells!$A$1:$I$1,0),FALSE))</f>
        <v/>
      </c>
      <c r="D288" s="49" t="str">
        <f>IFNA(VLOOKUP($A288,Spells!$A$2:$I1002,MATCH(D$3,Spells!$A$1:$I$1,0),FALSE))</f>
        <v/>
      </c>
      <c r="E288" s="49" t="str">
        <f>IFNA(VLOOKUP($A288,Spells!$A$2:$I1002,MATCH(E$3,Spells!$A$1:$I$1,0),FALSE))</f>
        <v/>
      </c>
      <c r="F288" s="49" t="str">
        <f>IFNA(VLOOKUP($A288,Spells!$A$2:$I1002,MATCH(F$3,Spells!$A$1:$I$1,0),FALSE))</f>
        <v/>
      </c>
      <c r="G288" s="49" t="str">
        <f>IFNA(VLOOKUP($A288,Spells!$A$2:$I1002,MATCH(G$3,Spells!$A$1:$I$1,0),FALSE))</f>
        <v/>
      </c>
      <c r="H288" s="49" t="str">
        <f>IFNA(VLOOKUP($A288,Spells!$A$2:$I1002,MATCH(H$3,Spells!$A$1:$I$1,0),FALSE))</f>
        <v/>
      </c>
    </row>
    <row r="289">
      <c r="A289" s="49"/>
      <c r="B289" s="49" t="str">
        <f>IFNA(VLOOKUP($A289,Spells!$A$2:$I1002,MATCH(B$3,Spells!$A$1:$I$1,0),FALSE))</f>
        <v/>
      </c>
      <c r="C289" s="49" t="str">
        <f>IFNA(VLOOKUP($A289,Spells!$A$2:$I1002,MATCH(C$3,Spells!$A$1:$I$1,0),FALSE))</f>
        <v/>
      </c>
      <c r="D289" s="49" t="str">
        <f>IFNA(VLOOKUP($A289,Spells!$A$2:$I1002,MATCH(D$3,Spells!$A$1:$I$1,0),FALSE))</f>
        <v/>
      </c>
      <c r="E289" s="49" t="str">
        <f>IFNA(VLOOKUP($A289,Spells!$A$2:$I1002,MATCH(E$3,Spells!$A$1:$I$1,0),FALSE))</f>
        <v/>
      </c>
      <c r="F289" s="49" t="str">
        <f>IFNA(VLOOKUP($A289,Spells!$A$2:$I1002,MATCH(F$3,Spells!$A$1:$I$1,0),FALSE))</f>
        <v/>
      </c>
      <c r="G289" s="49" t="str">
        <f>IFNA(VLOOKUP($A289,Spells!$A$2:$I1002,MATCH(G$3,Spells!$A$1:$I$1,0),FALSE))</f>
        <v/>
      </c>
      <c r="H289" s="49" t="str">
        <f>IFNA(VLOOKUP($A289,Spells!$A$2:$I1002,MATCH(H$3,Spells!$A$1:$I$1,0),FALSE))</f>
        <v/>
      </c>
    </row>
    <row r="290">
      <c r="A290" s="49"/>
      <c r="B290" s="49" t="str">
        <f>IFNA(VLOOKUP($A290,Spells!$A$2:$I1002,MATCH(B$3,Spells!$A$1:$I$1,0),FALSE))</f>
        <v/>
      </c>
      <c r="C290" s="49" t="str">
        <f>IFNA(VLOOKUP($A290,Spells!$A$2:$I1002,MATCH(C$3,Spells!$A$1:$I$1,0),FALSE))</f>
        <v/>
      </c>
      <c r="D290" s="49" t="str">
        <f>IFNA(VLOOKUP($A290,Spells!$A$2:$I1002,MATCH(D$3,Spells!$A$1:$I$1,0),FALSE))</f>
        <v/>
      </c>
      <c r="E290" s="49" t="str">
        <f>IFNA(VLOOKUP($A290,Spells!$A$2:$I1002,MATCH(E$3,Spells!$A$1:$I$1,0),FALSE))</f>
        <v/>
      </c>
      <c r="F290" s="49" t="str">
        <f>IFNA(VLOOKUP($A290,Spells!$A$2:$I1002,MATCH(F$3,Spells!$A$1:$I$1,0),FALSE))</f>
        <v/>
      </c>
      <c r="G290" s="49" t="str">
        <f>IFNA(VLOOKUP($A290,Spells!$A$2:$I1002,MATCH(G$3,Spells!$A$1:$I$1,0),FALSE))</f>
        <v/>
      </c>
      <c r="H290" s="49" t="str">
        <f>IFNA(VLOOKUP($A290,Spells!$A$2:$I1002,MATCH(H$3,Spells!$A$1:$I$1,0),FALSE))</f>
        <v/>
      </c>
    </row>
    <row r="291">
      <c r="A291" s="49"/>
      <c r="B291" s="49" t="str">
        <f>IFNA(VLOOKUP($A291,Spells!$A$2:$I1002,MATCH(B$3,Spells!$A$1:$I$1,0),FALSE))</f>
        <v/>
      </c>
      <c r="C291" s="49" t="str">
        <f>IFNA(VLOOKUP($A291,Spells!$A$2:$I1002,MATCH(C$3,Spells!$A$1:$I$1,0),FALSE))</f>
        <v/>
      </c>
      <c r="D291" s="49" t="str">
        <f>IFNA(VLOOKUP($A291,Spells!$A$2:$I1002,MATCH(D$3,Spells!$A$1:$I$1,0),FALSE))</f>
        <v/>
      </c>
      <c r="E291" s="49" t="str">
        <f>IFNA(VLOOKUP($A291,Spells!$A$2:$I1002,MATCH(E$3,Spells!$A$1:$I$1,0),FALSE))</f>
        <v/>
      </c>
      <c r="F291" s="49" t="str">
        <f>IFNA(VLOOKUP($A291,Spells!$A$2:$I1002,MATCH(F$3,Spells!$A$1:$I$1,0),FALSE))</f>
        <v/>
      </c>
      <c r="G291" s="49" t="str">
        <f>IFNA(VLOOKUP($A291,Spells!$A$2:$I1002,MATCH(G$3,Spells!$A$1:$I$1,0),FALSE))</f>
        <v/>
      </c>
      <c r="H291" s="49" t="str">
        <f>IFNA(VLOOKUP($A291,Spells!$A$2:$I1002,MATCH(H$3,Spells!$A$1:$I$1,0),FALSE))</f>
        <v/>
      </c>
    </row>
    <row r="292">
      <c r="A292" s="49"/>
      <c r="B292" s="49" t="str">
        <f>IFNA(VLOOKUP($A292,Spells!$A$2:$I1002,MATCH(B$3,Spells!$A$1:$I$1,0),FALSE))</f>
        <v/>
      </c>
      <c r="C292" s="49" t="str">
        <f>IFNA(VLOOKUP($A292,Spells!$A$2:$I1002,MATCH(C$3,Spells!$A$1:$I$1,0),FALSE))</f>
        <v/>
      </c>
      <c r="D292" s="49" t="str">
        <f>IFNA(VLOOKUP($A292,Spells!$A$2:$I1002,MATCH(D$3,Spells!$A$1:$I$1,0),FALSE))</f>
        <v/>
      </c>
      <c r="E292" s="49" t="str">
        <f>IFNA(VLOOKUP($A292,Spells!$A$2:$I1002,MATCH(E$3,Spells!$A$1:$I$1,0),FALSE))</f>
        <v/>
      </c>
      <c r="F292" s="49" t="str">
        <f>IFNA(VLOOKUP($A292,Spells!$A$2:$I1002,MATCH(F$3,Spells!$A$1:$I$1,0),FALSE))</f>
        <v/>
      </c>
      <c r="G292" s="49" t="str">
        <f>IFNA(VLOOKUP($A292,Spells!$A$2:$I1002,MATCH(G$3,Spells!$A$1:$I$1,0),FALSE))</f>
        <v/>
      </c>
      <c r="H292" s="49" t="str">
        <f>IFNA(VLOOKUP($A292,Spells!$A$2:$I1002,MATCH(H$3,Spells!$A$1:$I$1,0),FALSE))</f>
        <v/>
      </c>
    </row>
    <row r="293">
      <c r="A293" s="49"/>
      <c r="B293" s="49" t="str">
        <f>IFNA(VLOOKUP($A293,Spells!$A$2:$I1002,MATCH(B$3,Spells!$A$1:$I$1,0),FALSE))</f>
        <v/>
      </c>
      <c r="C293" s="49" t="str">
        <f>IFNA(VLOOKUP($A293,Spells!$A$2:$I1002,MATCH(C$3,Spells!$A$1:$I$1,0),FALSE))</f>
        <v/>
      </c>
      <c r="D293" s="49" t="str">
        <f>IFNA(VLOOKUP($A293,Spells!$A$2:$I1002,MATCH(D$3,Spells!$A$1:$I$1,0),FALSE))</f>
        <v/>
      </c>
      <c r="E293" s="49" t="str">
        <f>IFNA(VLOOKUP($A293,Spells!$A$2:$I1002,MATCH(E$3,Spells!$A$1:$I$1,0),FALSE))</f>
        <v/>
      </c>
      <c r="F293" s="49" t="str">
        <f>IFNA(VLOOKUP($A293,Spells!$A$2:$I1002,MATCH(F$3,Spells!$A$1:$I$1,0),FALSE))</f>
        <v/>
      </c>
      <c r="G293" s="49" t="str">
        <f>IFNA(VLOOKUP($A293,Spells!$A$2:$I1002,MATCH(G$3,Spells!$A$1:$I$1,0),FALSE))</f>
        <v/>
      </c>
      <c r="H293" s="49" t="str">
        <f>IFNA(VLOOKUP($A293,Spells!$A$2:$I1002,MATCH(H$3,Spells!$A$1:$I$1,0),FALSE))</f>
        <v/>
      </c>
    </row>
    <row r="294">
      <c r="A294" s="49"/>
      <c r="B294" s="49" t="str">
        <f>IFNA(VLOOKUP($A294,Spells!$A$2:$I1002,MATCH(B$3,Spells!$A$1:$I$1,0),FALSE))</f>
        <v/>
      </c>
      <c r="C294" s="49" t="str">
        <f>IFNA(VLOOKUP($A294,Spells!$A$2:$I1002,MATCH(C$3,Spells!$A$1:$I$1,0),FALSE))</f>
        <v/>
      </c>
      <c r="D294" s="49" t="str">
        <f>IFNA(VLOOKUP($A294,Spells!$A$2:$I1002,MATCH(D$3,Spells!$A$1:$I$1,0),FALSE))</f>
        <v/>
      </c>
      <c r="E294" s="49" t="str">
        <f>IFNA(VLOOKUP($A294,Spells!$A$2:$I1002,MATCH(E$3,Spells!$A$1:$I$1,0),FALSE))</f>
        <v/>
      </c>
      <c r="F294" s="49" t="str">
        <f>IFNA(VLOOKUP($A294,Spells!$A$2:$I1002,MATCH(F$3,Spells!$A$1:$I$1,0),FALSE))</f>
        <v/>
      </c>
      <c r="G294" s="49" t="str">
        <f>IFNA(VLOOKUP($A294,Spells!$A$2:$I1002,MATCH(G$3,Spells!$A$1:$I$1,0),FALSE))</f>
        <v/>
      </c>
      <c r="H294" s="49" t="str">
        <f>IFNA(VLOOKUP($A294,Spells!$A$2:$I1002,MATCH(H$3,Spells!$A$1:$I$1,0),FALSE))</f>
        <v/>
      </c>
    </row>
    <row r="295">
      <c r="A295" s="49"/>
      <c r="B295" s="49" t="str">
        <f>IFNA(VLOOKUP($A295,Spells!$A$2:$I1002,MATCH(B$3,Spells!$A$1:$I$1,0),FALSE))</f>
        <v/>
      </c>
      <c r="C295" s="49" t="str">
        <f>IFNA(VLOOKUP($A295,Spells!$A$2:$I1002,MATCH(C$3,Spells!$A$1:$I$1,0),FALSE))</f>
        <v/>
      </c>
      <c r="D295" s="49" t="str">
        <f>IFNA(VLOOKUP($A295,Spells!$A$2:$I1002,MATCH(D$3,Spells!$A$1:$I$1,0),FALSE))</f>
        <v/>
      </c>
      <c r="E295" s="49" t="str">
        <f>IFNA(VLOOKUP($A295,Spells!$A$2:$I1002,MATCH(E$3,Spells!$A$1:$I$1,0),FALSE))</f>
        <v/>
      </c>
      <c r="F295" s="49" t="str">
        <f>IFNA(VLOOKUP($A295,Spells!$A$2:$I1002,MATCH(F$3,Spells!$A$1:$I$1,0),FALSE))</f>
        <v/>
      </c>
      <c r="G295" s="49" t="str">
        <f>IFNA(VLOOKUP($A295,Spells!$A$2:$I1002,MATCH(G$3,Spells!$A$1:$I$1,0),FALSE))</f>
        <v/>
      </c>
      <c r="H295" s="49" t="str">
        <f>IFNA(VLOOKUP($A295,Spells!$A$2:$I1002,MATCH(H$3,Spells!$A$1:$I$1,0),FALSE))</f>
        <v/>
      </c>
    </row>
    <row r="296">
      <c r="A296" s="49"/>
      <c r="B296" s="49" t="str">
        <f>IFNA(VLOOKUP($A296,Spells!$A$2:$I1002,MATCH(B$3,Spells!$A$1:$I$1,0),FALSE))</f>
        <v/>
      </c>
      <c r="C296" s="49" t="str">
        <f>IFNA(VLOOKUP($A296,Spells!$A$2:$I1002,MATCH(C$3,Spells!$A$1:$I$1,0),FALSE))</f>
        <v/>
      </c>
      <c r="D296" s="49" t="str">
        <f>IFNA(VLOOKUP($A296,Spells!$A$2:$I1002,MATCH(D$3,Spells!$A$1:$I$1,0),FALSE))</f>
        <v/>
      </c>
      <c r="E296" s="49" t="str">
        <f>IFNA(VLOOKUP($A296,Spells!$A$2:$I1002,MATCH(E$3,Spells!$A$1:$I$1,0),FALSE))</f>
        <v/>
      </c>
      <c r="F296" s="49" t="str">
        <f>IFNA(VLOOKUP($A296,Spells!$A$2:$I1002,MATCH(F$3,Spells!$A$1:$I$1,0),FALSE))</f>
        <v/>
      </c>
      <c r="G296" s="49" t="str">
        <f>IFNA(VLOOKUP($A296,Spells!$A$2:$I1002,MATCH(G$3,Spells!$A$1:$I$1,0),FALSE))</f>
        <v/>
      </c>
      <c r="H296" s="49" t="str">
        <f>IFNA(VLOOKUP($A296,Spells!$A$2:$I1002,MATCH(H$3,Spells!$A$1:$I$1,0),FALSE))</f>
        <v/>
      </c>
    </row>
    <row r="297">
      <c r="A297" s="49"/>
      <c r="B297" s="49" t="str">
        <f>IFNA(VLOOKUP($A297,Spells!$A$2:$I1002,MATCH(B$3,Spells!$A$1:$I$1,0),FALSE))</f>
        <v/>
      </c>
      <c r="C297" s="49" t="str">
        <f>IFNA(VLOOKUP($A297,Spells!$A$2:$I1002,MATCH(C$3,Spells!$A$1:$I$1,0),FALSE))</f>
        <v/>
      </c>
      <c r="D297" s="49" t="str">
        <f>IFNA(VLOOKUP($A297,Spells!$A$2:$I1002,MATCH(D$3,Spells!$A$1:$I$1,0),FALSE))</f>
        <v/>
      </c>
      <c r="E297" s="49" t="str">
        <f>IFNA(VLOOKUP($A297,Spells!$A$2:$I1002,MATCH(E$3,Spells!$A$1:$I$1,0),FALSE))</f>
        <v/>
      </c>
      <c r="F297" s="49" t="str">
        <f>IFNA(VLOOKUP($A297,Spells!$A$2:$I1002,MATCH(F$3,Spells!$A$1:$I$1,0),FALSE))</f>
        <v/>
      </c>
      <c r="G297" s="49" t="str">
        <f>IFNA(VLOOKUP($A297,Spells!$A$2:$I1002,MATCH(G$3,Spells!$A$1:$I$1,0),FALSE))</f>
        <v/>
      </c>
      <c r="H297" s="49" t="str">
        <f>IFNA(VLOOKUP($A297,Spells!$A$2:$I1002,MATCH(H$3,Spells!$A$1:$I$1,0),FALSE))</f>
        <v/>
      </c>
    </row>
    <row r="298">
      <c r="A298" s="49"/>
      <c r="B298" s="49" t="str">
        <f>IFNA(VLOOKUP($A298,Spells!$A$2:$I1002,MATCH(B$3,Spells!$A$1:$I$1,0),FALSE))</f>
        <v/>
      </c>
      <c r="C298" s="49" t="str">
        <f>IFNA(VLOOKUP($A298,Spells!$A$2:$I1002,MATCH(C$3,Spells!$A$1:$I$1,0),FALSE))</f>
        <v/>
      </c>
      <c r="D298" s="49" t="str">
        <f>IFNA(VLOOKUP($A298,Spells!$A$2:$I1002,MATCH(D$3,Spells!$A$1:$I$1,0),FALSE))</f>
        <v/>
      </c>
      <c r="E298" s="49" t="str">
        <f>IFNA(VLOOKUP($A298,Spells!$A$2:$I1002,MATCH(E$3,Spells!$A$1:$I$1,0),FALSE))</f>
        <v/>
      </c>
      <c r="F298" s="49" t="str">
        <f>IFNA(VLOOKUP($A298,Spells!$A$2:$I1002,MATCH(F$3,Spells!$A$1:$I$1,0),FALSE))</f>
        <v/>
      </c>
      <c r="G298" s="49" t="str">
        <f>IFNA(VLOOKUP($A298,Spells!$A$2:$I1002,MATCH(G$3,Spells!$A$1:$I$1,0),FALSE))</f>
        <v/>
      </c>
      <c r="H298" s="49" t="str">
        <f>IFNA(VLOOKUP($A298,Spells!$A$2:$I1002,MATCH(H$3,Spells!$A$1:$I$1,0),FALSE))</f>
        <v/>
      </c>
    </row>
    <row r="299">
      <c r="A299" s="49"/>
      <c r="B299" s="49" t="str">
        <f>IFNA(VLOOKUP($A299,Spells!$A$2:$I1002,MATCH(B$3,Spells!$A$1:$I$1,0),FALSE))</f>
        <v/>
      </c>
      <c r="C299" s="49" t="str">
        <f>IFNA(VLOOKUP($A299,Spells!$A$2:$I1002,MATCH(C$3,Spells!$A$1:$I$1,0),FALSE))</f>
        <v/>
      </c>
      <c r="D299" s="49" t="str">
        <f>IFNA(VLOOKUP($A299,Spells!$A$2:$I1002,MATCH(D$3,Spells!$A$1:$I$1,0),FALSE))</f>
        <v/>
      </c>
      <c r="E299" s="49" t="str">
        <f>IFNA(VLOOKUP($A299,Spells!$A$2:$I1002,MATCH(E$3,Spells!$A$1:$I$1,0),FALSE))</f>
        <v/>
      </c>
      <c r="F299" s="49" t="str">
        <f>IFNA(VLOOKUP($A299,Spells!$A$2:$I1002,MATCH(F$3,Spells!$A$1:$I$1,0),FALSE))</f>
        <v/>
      </c>
      <c r="G299" s="49" t="str">
        <f>IFNA(VLOOKUP($A299,Spells!$A$2:$I1002,MATCH(G$3,Spells!$A$1:$I$1,0),FALSE))</f>
        <v/>
      </c>
      <c r="H299" s="49" t="str">
        <f>IFNA(VLOOKUP($A299,Spells!$A$2:$I1002,MATCH(H$3,Spells!$A$1:$I$1,0),FALSE))</f>
        <v/>
      </c>
    </row>
    <row r="300">
      <c r="A300" s="49"/>
      <c r="B300" s="49" t="str">
        <f>IFNA(VLOOKUP($A300,Spells!$A$2:$I1002,MATCH(B$3,Spells!$A$1:$I$1,0),FALSE))</f>
        <v/>
      </c>
      <c r="C300" s="49" t="str">
        <f>IFNA(VLOOKUP($A300,Spells!$A$2:$I1002,MATCH(C$3,Spells!$A$1:$I$1,0),FALSE))</f>
        <v/>
      </c>
      <c r="D300" s="49" t="str">
        <f>IFNA(VLOOKUP($A300,Spells!$A$2:$I1002,MATCH(D$3,Spells!$A$1:$I$1,0),FALSE))</f>
        <v/>
      </c>
      <c r="E300" s="49" t="str">
        <f>IFNA(VLOOKUP($A300,Spells!$A$2:$I1002,MATCH(E$3,Spells!$A$1:$I$1,0),FALSE))</f>
        <v/>
      </c>
      <c r="F300" s="49" t="str">
        <f>IFNA(VLOOKUP($A300,Spells!$A$2:$I1002,MATCH(F$3,Spells!$A$1:$I$1,0),FALSE))</f>
        <v/>
      </c>
      <c r="G300" s="49" t="str">
        <f>IFNA(VLOOKUP($A300,Spells!$A$2:$I1002,MATCH(G$3,Spells!$A$1:$I$1,0),FALSE))</f>
        <v/>
      </c>
      <c r="H300" s="49" t="str">
        <f>IFNA(VLOOKUP($A300,Spells!$A$2:$I1002,MATCH(H$3,Spells!$A$1:$I$1,0),FALSE))</f>
        <v/>
      </c>
    </row>
    <row r="301">
      <c r="A301" s="49"/>
      <c r="B301" s="49" t="str">
        <f>IFNA(VLOOKUP($A301,Spells!$A$2:$I1002,MATCH(B$3,Spells!$A$1:$I$1,0),FALSE))</f>
        <v/>
      </c>
      <c r="C301" s="49" t="str">
        <f>IFNA(VLOOKUP($A301,Spells!$A$2:$I1002,MATCH(C$3,Spells!$A$1:$I$1,0),FALSE))</f>
        <v/>
      </c>
      <c r="D301" s="49" t="str">
        <f>IFNA(VLOOKUP($A301,Spells!$A$2:$I1002,MATCH(D$3,Spells!$A$1:$I$1,0),FALSE))</f>
        <v/>
      </c>
      <c r="E301" s="49" t="str">
        <f>IFNA(VLOOKUP($A301,Spells!$A$2:$I1002,MATCH(E$3,Spells!$A$1:$I$1,0),FALSE))</f>
        <v/>
      </c>
      <c r="F301" s="49" t="str">
        <f>IFNA(VLOOKUP($A301,Spells!$A$2:$I1002,MATCH(F$3,Spells!$A$1:$I$1,0),FALSE))</f>
        <v/>
      </c>
      <c r="G301" s="49" t="str">
        <f>IFNA(VLOOKUP($A301,Spells!$A$2:$I1002,MATCH(G$3,Spells!$A$1:$I$1,0),FALSE))</f>
        <v/>
      </c>
      <c r="H301" s="49" t="str">
        <f>IFNA(VLOOKUP($A301,Spells!$A$2:$I1002,MATCH(H$3,Spells!$A$1:$I$1,0),FALSE))</f>
        <v/>
      </c>
    </row>
    <row r="302">
      <c r="A302" s="49"/>
      <c r="B302" s="49" t="str">
        <f>IFNA(VLOOKUP($A302,Spells!$A$2:$I1002,MATCH(B$3,Spells!$A$1:$I$1,0),FALSE))</f>
        <v/>
      </c>
      <c r="C302" s="49" t="str">
        <f>IFNA(VLOOKUP($A302,Spells!$A$2:$I1002,MATCH(C$3,Spells!$A$1:$I$1,0),FALSE))</f>
        <v/>
      </c>
      <c r="D302" s="49" t="str">
        <f>IFNA(VLOOKUP($A302,Spells!$A$2:$I1002,MATCH(D$3,Spells!$A$1:$I$1,0),FALSE))</f>
        <v/>
      </c>
      <c r="E302" s="49" t="str">
        <f>IFNA(VLOOKUP($A302,Spells!$A$2:$I1002,MATCH(E$3,Spells!$A$1:$I$1,0),FALSE))</f>
        <v/>
      </c>
      <c r="F302" s="49" t="str">
        <f>IFNA(VLOOKUP($A302,Spells!$A$2:$I1002,MATCH(F$3,Spells!$A$1:$I$1,0),FALSE))</f>
        <v/>
      </c>
      <c r="G302" s="49" t="str">
        <f>IFNA(VLOOKUP($A302,Spells!$A$2:$I1002,MATCH(G$3,Spells!$A$1:$I$1,0),FALSE))</f>
        <v/>
      </c>
      <c r="H302" s="49" t="str">
        <f>IFNA(VLOOKUP($A302,Spells!$A$2:$I1002,MATCH(H$3,Spells!$A$1:$I$1,0),FALSE))</f>
        <v/>
      </c>
    </row>
    <row r="303">
      <c r="A303" s="49"/>
      <c r="B303" s="49" t="str">
        <f>IFNA(VLOOKUP($A303,Spells!$A$2:$I1002,MATCH(B$3,Spells!$A$1:$I$1,0),FALSE))</f>
        <v/>
      </c>
      <c r="C303" s="49" t="str">
        <f>IFNA(VLOOKUP($A303,Spells!$A$2:$I1002,MATCH(C$3,Spells!$A$1:$I$1,0),FALSE))</f>
        <v/>
      </c>
      <c r="D303" s="49" t="str">
        <f>IFNA(VLOOKUP($A303,Spells!$A$2:$I1002,MATCH(D$3,Spells!$A$1:$I$1,0),FALSE))</f>
        <v/>
      </c>
      <c r="E303" s="49" t="str">
        <f>IFNA(VLOOKUP($A303,Spells!$A$2:$I1002,MATCH(E$3,Spells!$A$1:$I$1,0),FALSE))</f>
        <v/>
      </c>
      <c r="F303" s="49" t="str">
        <f>IFNA(VLOOKUP($A303,Spells!$A$2:$I1002,MATCH(F$3,Spells!$A$1:$I$1,0),FALSE))</f>
        <v/>
      </c>
      <c r="G303" s="49" t="str">
        <f>IFNA(VLOOKUP($A303,Spells!$A$2:$I1002,MATCH(G$3,Spells!$A$1:$I$1,0),FALSE))</f>
        <v/>
      </c>
      <c r="H303" s="49" t="str">
        <f>IFNA(VLOOKUP($A303,Spells!$A$2:$I1002,MATCH(H$3,Spells!$A$1:$I$1,0),FALSE))</f>
        <v/>
      </c>
    </row>
    <row r="304">
      <c r="A304" s="49"/>
      <c r="B304" s="49" t="str">
        <f>IFNA(VLOOKUP($A304,Spells!$A$2:$I1002,MATCH(B$3,Spells!$A$1:$I$1,0),FALSE))</f>
        <v/>
      </c>
      <c r="C304" s="49" t="str">
        <f>IFNA(VLOOKUP($A304,Spells!$A$2:$I1002,MATCH(C$3,Spells!$A$1:$I$1,0),FALSE))</f>
        <v/>
      </c>
      <c r="D304" s="49" t="str">
        <f>IFNA(VLOOKUP($A304,Spells!$A$2:$I1002,MATCH(D$3,Spells!$A$1:$I$1,0),FALSE))</f>
        <v/>
      </c>
      <c r="E304" s="49" t="str">
        <f>IFNA(VLOOKUP($A304,Spells!$A$2:$I1002,MATCH(E$3,Spells!$A$1:$I$1,0),FALSE))</f>
        <v/>
      </c>
      <c r="F304" s="49" t="str">
        <f>IFNA(VLOOKUP($A304,Spells!$A$2:$I1002,MATCH(F$3,Spells!$A$1:$I$1,0),FALSE))</f>
        <v/>
      </c>
      <c r="G304" s="49" t="str">
        <f>IFNA(VLOOKUP($A304,Spells!$A$2:$I1002,MATCH(G$3,Spells!$A$1:$I$1,0),FALSE))</f>
        <v/>
      </c>
      <c r="H304" s="49" t="str">
        <f>IFNA(VLOOKUP($A304,Spells!$A$2:$I1002,MATCH(H$3,Spells!$A$1:$I$1,0),FALSE))</f>
        <v/>
      </c>
    </row>
    <row r="305">
      <c r="A305" s="49"/>
      <c r="B305" s="49" t="str">
        <f>IFNA(VLOOKUP($A305,Spells!$A$2:$I1002,MATCH(B$3,Spells!$A$1:$I$1,0),FALSE))</f>
        <v/>
      </c>
      <c r="C305" s="49" t="str">
        <f>IFNA(VLOOKUP($A305,Spells!$A$2:$I1002,MATCH(C$3,Spells!$A$1:$I$1,0),FALSE))</f>
        <v/>
      </c>
      <c r="D305" s="49" t="str">
        <f>IFNA(VLOOKUP($A305,Spells!$A$2:$I1002,MATCH(D$3,Spells!$A$1:$I$1,0),FALSE))</f>
        <v/>
      </c>
      <c r="E305" s="49" t="str">
        <f>IFNA(VLOOKUP($A305,Spells!$A$2:$I1002,MATCH(E$3,Spells!$A$1:$I$1,0),FALSE))</f>
        <v/>
      </c>
      <c r="F305" s="49" t="str">
        <f>IFNA(VLOOKUP($A305,Spells!$A$2:$I1002,MATCH(F$3,Spells!$A$1:$I$1,0),FALSE))</f>
        <v/>
      </c>
      <c r="G305" s="49" t="str">
        <f>IFNA(VLOOKUP($A305,Spells!$A$2:$I1002,MATCH(G$3,Spells!$A$1:$I$1,0),FALSE))</f>
        <v/>
      </c>
      <c r="H305" s="49" t="str">
        <f>IFNA(VLOOKUP($A305,Spells!$A$2:$I1002,MATCH(H$3,Spells!$A$1:$I$1,0),FALSE))</f>
        <v/>
      </c>
    </row>
    <row r="306">
      <c r="A306" s="49"/>
      <c r="B306" s="49" t="str">
        <f>IFNA(VLOOKUP($A306,Spells!$A$2:$I1002,MATCH(B$3,Spells!$A$1:$I$1,0),FALSE))</f>
        <v/>
      </c>
      <c r="C306" s="49" t="str">
        <f>IFNA(VLOOKUP($A306,Spells!$A$2:$I1002,MATCH(C$3,Spells!$A$1:$I$1,0),FALSE))</f>
        <v/>
      </c>
      <c r="D306" s="49" t="str">
        <f>IFNA(VLOOKUP($A306,Spells!$A$2:$I1002,MATCH(D$3,Spells!$A$1:$I$1,0),FALSE))</f>
        <v/>
      </c>
      <c r="E306" s="49" t="str">
        <f>IFNA(VLOOKUP($A306,Spells!$A$2:$I1002,MATCH(E$3,Spells!$A$1:$I$1,0),FALSE))</f>
        <v/>
      </c>
      <c r="F306" s="49" t="str">
        <f>IFNA(VLOOKUP($A306,Spells!$A$2:$I1002,MATCH(F$3,Spells!$A$1:$I$1,0),FALSE))</f>
        <v/>
      </c>
      <c r="G306" s="49" t="str">
        <f>IFNA(VLOOKUP($A306,Spells!$A$2:$I1002,MATCH(G$3,Spells!$A$1:$I$1,0),FALSE))</f>
        <v/>
      </c>
      <c r="H306" s="49" t="str">
        <f>IFNA(VLOOKUP($A306,Spells!$A$2:$I1002,MATCH(H$3,Spells!$A$1:$I$1,0),FALSE))</f>
        <v/>
      </c>
    </row>
    <row r="307">
      <c r="A307" s="49"/>
      <c r="B307" s="49" t="str">
        <f>IFNA(VLOOKUP($A307,Spells!$A$2:$I1002,MATCH(B$3,Spells!$A$1:$I$1,0),FALSE))</f>
        <v/>
      </c>
      <c r="C307" s="49" t="str">
        <f>IFNA(VLOOKUP($A307,Spells!$A$2:$I1002,MATCH(C$3,Spells!$A$1:$I$1,0),FALSE))</f>
        <v/>
      </c>
      <c r="D307" s="49" t="str">
        <f>IFNA(VLOOKUP($A307,Spells!$A$2:$I1002,MATCH(D$3,Spells!$A$1:$I$1,0),FALSE))</f>
        <v/>
      </c>
      <c r="E307" s="49" t="str">
        <f>IFNA(VLOOKUP($A307,Spells!$A$2:$I1002,MATCH(E$3,Spells!$A$1:$I$1,0),FALSE))</f>
        <v/>
      </c>
      <c r="F307" s="49" t="str">
        <f>IFNA(VLOOKUP($A307,Spells!$A$2:$I1002,MATCH(F$3,Spells!$A$1:$I$1,0),FALSE))</f>
        <v/>
      </c>
      <c r="G307" s="49" t="str">
        <f>IFNA(VLOOKUP($A307,Spells!$A$2:$I1002,MATCH(G$3,Spells!$A$1:$I$1,0),FALSE))</f>
        <v/>
      </c>
      <c r="H307" s="49" t="str">
        <f>IFNA(VLOOKUP($A307,Spells!$A$2:$I1002,MATCH(H$3,Spells!$A$1:$I$1,0),FALSE))</f>
        <v/>
      </c>
    </row>
    <row r="308">
      <c r="A308" s="49"/>
      <c r="B308" s="49" t="str">
        <f>IFNA(VLOOKUP($A308,Spells!$A$2:$I1002,MATCH(B$3,Spells!$A$1:$I$1,0),FALSE))</f>
        <v/>
      </c>
      <c r="C308" s="49" t="str">
        <f>IFNA(VLOOKUP($A308,Spells!$A$2:$I1002,MATCH(C$3,Spells!$A$1:$I$1,0),FALSE))</f>
        <v/>
      </c>
      <c r="D308" s="49" t="str">
        <f>IFNA(VLOOKUP($A308,Spells!$A$2:$I1002,MATCH(D$3,Spells!$A$1:$I$1,0),FALSE))</f>
        <v/>
      </c>
      <c r="E308" s="49" t="str">
        <f>IFNA(VLOOKUP($A308,Spells!$A$2:$I1002,MATCH(E$3,Spells!$A$1:$I$1,0),FALSE))</f>
        <v/>
      </c>
      <c r="F308" s="49" t="str">
        <f>IFNA(VLOOKUP($A308,Spells!$A$2:$I1002,MATCH(F$3,Spells!$A$1:$I$1,0),FALSE))</f>
        <v/>
      </c>
      <c r="G308" s="49" t="str">
        <f>IFNA(VLOOKUP($A308,Spells!$A$2:$I1002,MATCH(G$3,Spells!$A$1:$I$1,0),FALSE))</f>
        <v/>
      </c>
      <c r="H308" s="49" t="str">
        <f>IFNA(VLOOKUP($A308,Spells!$A$2:$I1002,MATCH(H$3,Spells!$A$1:$I$1,0),FALSE))</f>
        <v/>
      </c>
    </row>
    <row r="309">
      <c r="A309" s="49"/>
      <c r="B309" s="49" t="str">
        <f>IFNA(VLOOKUP($A309,Spells!$A$2:$I1002,MATCH(B$3,Spells!$A$1:$I$1,0),FALSE))</f>
        <v/>
      </c>
      <c r="C309" s="49" t="str">
        <f>IFNA(VLOOKUP($A309,Spells!$A$2:$I1002,MATCH(C$3,Spells!$A$1:$I$1,0),FALSE))</f>
        <v/>
      </c>
      <c r="D309" s="49" t="str">
        <f>IFNA(VLOOKUP($A309,Spells!$A$2:$I1002,MATCH(D$3,Spells!$A$1:$I$1,0),FALSE))</f>
        <v/>
      </c>
      <c r="E309" s="49" t="str">
        <f>IFNA(VLOOKUP($A309,Spells!$A$2:$I1002,MATCH(E$3,Spells!$A$1:$I$1,0),FALSE))</f>
        <v/>
      </c>
      <c r="F309" s="49" t="str">
        <f>IFNA(VLOOKUP($A309,Spells!$A$2:$I1002,MATCH(F$3,Spells!$A$1:$I$1,0),FALSE))</f>
        <v/>
      </c>
      <c r="G309" s="49" t="str">
        <f>IFNA(VLOOKUP($A309,Spells!$A$2:$I1002,MATCH(G$3,Spells!$A$1:$I$1,0),FALSE))</f>
        <v/>
      </c>
      <c r="H309" s="49" t="str">
        <f>IFNA(VLOOKUP($A309,Spells!$A$2:$I1002,MATCH(H$3,Spells!$A$1:$I$1,0),FALSE))</f>
        <v/>
      </c>
    </row>
    <row r="310">
      <c r="A310" s="49"/>
      <c r="B310" s="49" t="str">
        <f>IFNA(VLOOKUP($A310,Spells!$A$2:$I1002,MATCH(B$3,Spells!$A$1:$I$1,0),FALSE))</f>
        <v/>
      </c>
      <c r="C310" s="49" t="str">
        <f>IFNA(VLOOKUP($A310,Spells!$A$2:$I1002,MATCH(C$3,Spells!$A$1:$I$1,0),FALSE))</f>
        <v/>
      </c>
      <c r="D310" s="49" t="str">
        <f>IFNA(VLOOKUP($A310,Spells!$A$2:$I1002,MATCH(D$3,Spells!$A$1:$I$1,0),FALSE))</f>
        <v/>
      </c>
      <c r="E310" s="49" t="str">
        <f>IFNA(VLOOKUP($A310,Spells!$A$2:$I1002,MATCH(E$3,Spells!$A$1:$I$1,0),FALSE))</f>
        <v/>
      </c>
      <c r="F310" s="49" t="str">
        <f>IFNA(VLOOKUP($A310,Spells!$A$2:$I1002,MATCH(F$3,Spells!$A$1:$I$1,0),FALSE))</f>
        <v/>
      </c>
      <c r="G310" s="49" t="str">
        <f>IFNA(VLOOKUP($A310,Spells!$A$2:$I1002,MATCH(G$3,Spells!$A$1:$I$1,0),FALSE))</f>
        <v/>
      </c>
      <c r="H310" s="49" t="str">
        <f>IFNA(VLOOKUP($A310,Spells!$A$2:$I1002,MATCH(H$3,Spells!$A$1:$I$1,0),FALSE))</f>
        <v/>
      </c>
    </row>
    <row r="311">
      <c r="A311" s="49"/>
      <c r="B311" s="49" t="str">
        <f>IFNA(VLOOKUP($A311,Spells!$A$2:$I1002,MATCH(B$3,Spells!$A$1:$I$1,0),FALSE))</f>
        <v/>
      </c>
      <c r="C311" s="49" t="str">
        <f>IFNA(VLOOKUP($A311,Spells!$A$2:$I1002,MATCH(C$3,Spells!$A$1:$I$1,0),FALSE))</f>
        <v/>
      </c>
      <c r="D311" s="49" t="str">
        <f>IFNA(VLOOKUP($A311,Spells!$A$2:$I1002,MATCH(D$3,Spells!$A$1:$I$1,0),FALSE))</f>
        <v/>
      </c>
      <c r="E311" s="49" t="str">
        <f>IFNA(VLOOKUP($A311,Spells!$A$2:$I1002,MATCH(E$3,Spells!$A$1:$I$1,0),FALSE))</f>
        <v/>
      </c>
      <c r="F311" s="49" t="str">
        <f>IFNA(VLOOKUP($A311,Spells!$A$2:$I1002,MATCH(F$3,Spells!$A$1:$I$1,0),FALSE))</f>
        <v/>
      </c>
      <c r="G311" s="49" t="str">
        <f>IFNA(VLOOKUP($A311,Spells!$A$2:$I1002,MATCH(G$3,Spells!$A$1:$I$1,0),FALSE))</f>
        <v/>
      </c>
      <c r="H311" s="49" t="str">
        <f>IFNA(VLOOKUP($A311,Spells!$A$2:$I1002,MATCH(H$3,Spells!$A$1:$I$1,0),FALSE))</f>
        <v/>
      </c>
    </row>
    <row r="312">
      <c r="A312" s="49"/>
      <c r="B312" s="49" t="str">
        <f>IFNA(VLOOKUP($A312,Spells!$A$2:$I1002,MATCH(B$3,Spells!$A$1:$I$1,0),FALSE))</f>
        <v/>
      </c>
      <c r="C312" s="49" t="str">
        <f>IFNA(VLOOKUP($A312,Spells!$A$2:$I1002,MATCH(C$3,Spells!$A$1:$I$1,0),FALSE))</f>
        <v/>
      </c>
      <c r="D312" s="49" t="str">
        <f>IFNA(VLOOKUP($A312,Spells!$A$2:$I1002,MATCH(D$3,Spells!$A$1:$I$1,0),FALSE))</f>
        <v/>
      </c>
      <c r="E312" s="49" t="str">
        <f>IFNA(VLOOKUP($A312,Spells!$A$2:$I1002,MATCH(E$3,Spells!$A$1:$I$1,0),FALSE))</f>
        <v/>
      </c>
      <c r="F312" s="49" t="str">
        <f>IFNA(VLOOKUP($A312,Spells!$A$2:$I1002,MATCH(F$3,Spells!$A$1:$I$1,0),FALSE))</f>
        <v/>
      </c>
      <c r="G312" s="49" t="str">
        <f>IFNA(VLOOKUP($A312,Spells!$A$2:$I1002,MATCH(G$3,Spells!$A$1:$I$1,0),FALSE))</f>
        <v/>
      </c>
      <c r="H312" s="49" t="str">
        <f>IFNA(VLOOKUP($A312,Spells!$A$2:$I1002,MATCH(H$3,Spells!$A$1:$I$1,0),FALSE))</f>
        <v/>
      </c>
    </row>
    <row r="313">
      <c r="A313" s="49"/>
      <c r="B313" s="49" t="str">
        <f>IFNA(VLOOKUP($A313,Spells!$A$2:$I1002,MATCH(B$3,Spells!$A$1:$I$1,0),FALSE))</f>
        <v/>
      </c>
      <c r="C313" s="49" t="str">
        <f>IFNA(VLOOKUP($A313,Spells!$A$2:$I1002,MATCH(C$3,Spells!$A$1:$I$1,0),FALSE))</f>
        <v/>
      </c>
      <c r="D313" s="49" t="str">
        <f>IFNA(VLOOKUP($A313,Spells!$A$2:$I1002,MATCH(D$3,Spells!$A$1:$I$1,0),FALSE))</f>
        <v/>
      </c>
      <c r="E313" s="49" t="str">
        <f>IFNA(VLOOKUP($A313,Spells!$A$2:$I1002,MATCH(E$3,Spells!$A$1:$I$1,0),FALSE))</f>
        <v/>
      </c>
      <c r="F313" s="49" t="str">
        <f>IFNA(VLOOKUP($A313,Spells!$A$2:$I1002,MATCH(F$3,Spells!$A$1:$I$1,0),FALSE))</f>
        <v/>
      </c>
      <c r="G313" s="49" t="str">
        <f>IFNA(VLOOKUP($A313,Spells!$A$2:$I1002,MATCH(G$3,Spells!$A$1:$I$1,0),FALSE))</f>
        <v/>
      </c>
      <c r="H313" s="49" t="str">
        <f>IFNA(VLOOKUP($A313,Spells!$A$2:$I1002,MATCH(H$3,Spells!$A$1:$I$1,0),FALSE))</f>
        <v/>
      </c>
    </row>
    <row r="314">
      <c r="A314" s="49"/>
      <c r="B314" s="49" t="str">
        <f>IFNA(VLOOKUP($A314,Spells!$A$2:$I1002,MATCH(B$3,Spells!$A$1:$I$1,0),FALSE))</f>
        <v/>
      </c>
      <c r="C314" s="49" t="str">
        <f>IFNA(VLOOKUP($A314,Spells!$A$2:$I1002,MATCH(C$3,Spells!$A$1:$I$1,0),FALSE))</f>
        <v/>
      </c>
      <c r="D314" s="49" t="str">
        <f>IFNA(VLOOKUP($A314,Spells!$A$2:$I1002,MATCH(D$3,Spells!$A$1:$I$1,0),FALSE))</f>
        <v/>
      </c>
      <c r="E314" s="49" t="str">
        <f>IFNA(VLOOKUP($A314,Spells!$A$2:$I1002,MATCH(E$3,Spells!$A$1:$I$1,0),FALSE))</f>
        <v/>
      </c>
      <c r="F314" s="49" t="str">
        <f>IFNA(VLOOKUP($A314,Spells!$A$2:$I1002,MATCH(F$3,Spells!$A$1:$I$1,0),FALSE))</f>
        <v/>
      </c>
      <c r="G314" s="49" t="str">
        <f>IFNA(VLOOKUP($A314,Spells!$A$2:$I1002,MATCH(G$3,Spells!$A$1:$I$1,0),FALSE))</f>
        <v/>
      </c>
      <c r="H314" s="49" t="str">
        <f>IFNA(VLOOKUP($A314,Spells!$A$2:$I1002,MATCH(H$3,Spells!$A$1:$I$1,0),FALSE))</f>
        <v/>
      </c>
    </row>
    <row r="315">
      <c r="A315" s="49"/>
      <c r="B315" s="49" t="str">
        <f>IFNA(VLOOKUP($A315,Spells!$A$2:$I1002,MATCH(B$3,Spells!$A$1:$I$1,0),FALSE))</f>
        <v/>
      </c>
      <c r="C315" s="49" t="str">
        <f>IFNA(VLOOKUP($A315,Spells!$A$2:$I1002,MATCH(C$3,Spells!$A$1:$I$1,0),FALSE))</f>
        <v/>
      </c>
      <c r="D315" s="49" t="str">
        <f>IFNA(VLOOKUP($A315,Spells!$A$2:$I1002,MATCH(D$3,Spells!$A$1:$I$1,0),FALSE))</f>
        <v/>
      </c>
      <c r="E315" s="49" t="str">
        <f>IFNA(VLOOKUP($A315,Spells!$A$2:$I1002,MATCH(E$3,Spells!$A$1:$I$1,0),FALSE))</f>
        <v/>
      </c>
      <c r="F315" s="49" t="str">
        <f>IFNA(VLOOKUP($A315,Spells!$A$2:$I1002,MATCH(F$3,Spells!$A$1:$I$1,0),FALSE))</f>
        <v/>
      </c>
      <c r="G315" s="49" t="str">
        <f>IFNA(VLOOKUP($A315,Spells!$A$2:$I1002,MATCH(G$3,Spells!$A$1:$I$1,0),FALSE))</f>
        <v/>
      </c>
      <c r="H315" s="49" t="str">
        <f>IFNA(VLOOKUP($A315,Spells!$A$2:$I1002,MATCH(H$3,Spells!$A$1:$I$1,0),FALSE))</f>
        <v/>
      </c>
    </row>
    <row r="316">
      <c r="A316" s="49"/>
      <c r="B316" s="49" t="str">
        <f>IFNA(VLOOKUP($A316,Spells!$A$2:$I1002,MATCH(B$3,Spells!$A$1:$I$1,0),FALSE))</f>
        <v/>
      </c>
      <c r="C316" s="49" t="str">
        <f>IFNA(VLOOKUP($A316,Spells!$A$2:$I1002,MATCH(C$3,Spells!$A$1:$I$1,0),FALSE))</f>
        <v/>
      </c>
      <c r="D316" s="49" t="str">
        <f>IFNA(VLOOKUP($A316,Spells!$A$2:$I1002,MATCH(D$3,Spells!$A$1:$I$1,0),FALSE))</f>
        <v/>
      </c>
      <c r="E316" s="49" t="str">
        <f>IFNA(VLOOKUP($A316,Spells!$A$2:$I1002,MATCH(E$3,Spells!$A$1:$I$1,0),FALSE))</f>
        <v/>
      </c>
      <c r="F316" s="49" t="str">
        <f>IFNA(VLOOKUP($A316,Spells!$A$2:$I1002,MATCH(F$3,Spells!$A$1:$I$1,0),FALSE))</f>
        <v/>
      </c>
      <c r="G316" s="49" t="str">
        <f>IFNA(VLOOKUP($A316,Spells!$A$2:$I1002,MATCH(G$3,Spells!$A$1:$I$1,0),FALSE))</f>
        <v/>
      </c>
      <c r="H316" s="49" t="str">
        <f>IFNA(VLOOKUP($A316,Spells!$A$2:$I1002,MATCH(H$3,Spells!$A$1:$I$1,0),FALSE))</f>
        <v/>
      </c>
    </row>
    <row r="317">
      <c r="A317" s="49"/>
      <c r="B317" s="49" t="str">
        <f>IFNA(VLOOKUP($A317,Spells!$A$2:$I1002,MATCH(B$3,Spells!$A$1:$I$1,0),FALSE))</f>
        <v/>
      </c>
      <c r="C317" s="49" t="str">
        <f>IFNA(VLOOKUP($A317,Spells!$A$2:$I1002,MATCH(C$3,Spells!$A$1:$I$1,0),FALSE))</f>
        <v/>
      </c>
      <c r="D317" s="49" t="str">
        <f>IFNA(VLOOKUP($A317,Spells!$A$2:$I1002,MATCH(D$3,Spells!$A$1:$I$1,0),FALSE))</f>
        <v/>
      </c>
      <c r="E317" s="49" t="str">
        <f>IFNA(VLOOKUP($A317,Spells!$A$2:$I1002,MATCH(E$3,Spells!$A$1:$I$1,0),FALSE))</f>
        <v/>
      </c>
      <c r="F317" s="49" t="str">
        <f>IFNA(VLOOKUP($A317,Spells!$A$2:$I1002,MATCH(F$3,Spells!$A$1:$I$1,0),FALSE))</f>
        <v/>
      </c>
      <c r="G317" s="49" t="str">
        <f>IFNA(VLOOKUP($A317,Spells!$A$2:$I1002,MATCH(G$3,Spells!$A$1:$I$1,0),FALSE))</f>
        <v/>
      </c>
      <c r="H317" s="49" t="str">
        <f>IFNA(VLOOKUP($A317,Spells!$A$2:$I1002,MATCH(H$3,Spells!$A$1:$I$1,0),FALSE))</f>
        <v/>
      </c>
    </row>
    <row r="318">
      <c r="A318" s="49"/>
      <c r="B318" s="49" t="str">
        <f>IFNA(VLOOKUP($A318,Spells!$A$2:$I1002,MATCH(B$3,Spells!$A$1:$I$1,0),FALSE))</f>
        <v/>
      </c>
      <c r="C318" s="49" t="str">
        <f>IFNA(VLOOKUP($A318,Spells!$A$2:$I1002,MATCH(C$3,Spells!$A$1:$I$1,0),FALSE))</f>
        <v/>
      </c>
      <c r="D318" s="49" t="str">
        <f>IFNA(VLOOKUP($A318,Spells!$A$2:$I1002,MATCH(D$3,Spells!$A$1:$I$1,0),FALSE))</f>
        <v/>
      </c>
      <c r="E318" s="49" t="str">
        <f>IFNA(VLOOKUP($A318,Spells!$A$2:$I1002,MATCH(E$3,Spells!$A$1:$I$1,0),FALSE))</f>
        <v/>
      </c>
      <c r="F318" s="49" t="str">
        <f>IFNA(VLOOKUP($A318,Spells!$A$2:$I1002,MATCH(F$3,Spells!$A$1:$I$1,0),FALSE))</f>
        <v/>
      </c>
      <c r="G318" s="49" t="str">
        <f>IFNA(VLOOKUP($A318,Spells!$A$2:$I1002,MATCH(G$3,Spells!$A$1:$I$1,0),FALSE))</f>
        <v/>
      </c>
      <c r="H318" s="49" t="str">
        <f>IFNA(VLOOKUP($A318,Spells!$A$2:$I1002,MATCH(H$3,Spells!$A$1:$I$1,0),FALSE))</f>
        <v/>
      </c>
    </row>
    <row r="319">
      <c r="A319" s="49"/>
      <c r="B319" s="49" t="str">
        <f>IFNA(VLOOKUP($A319,Spells!$A$2:$I1002,MATCH(B$3,Spells!$A$1:$I$1,0),FALSE))</f>
        <v/>
      </c>
      <c r="C319" s="49" t="str">
        <f>IFNA(VLOOKUP($A319,Spells!$A$2:$I1002,MATCH(C$3,Spells!$A$1:$I$1,0),FALSE))</f>
        <v/>
      </c>
      <c r="D319" s="49" t="str">
        <f>IFNA(VLOOKUP($A319,Spells!$A$2:$I1002,MATCH(D$3,Spells!$A$1:$I$1,0),FALSE))</f>
        <v/>
      </c>
      <c r="E319" s="49" t="str">
        <f>IFNA(VLOOKUP($A319,Spells!$A$2:$I1002,MATCH(E$3,Spells!$A$1:$I$1,0),FALSE))</f>
        <v/>
      </c>
      <c r="F319" s="49" t="str">
        <f>IFNA(VLOOKUP($A319,Spells!$A$2:$I1002,MATCH(F$3,Spells!$A$1:$I$1,0),FALSE))</f>
        <v/>
      </c>
      <c r="G319" s="49" t="str">
        <f>IFNA(VLOOKUP($A319,Spells!$A$2:$I1002,MATCH(G$3,Spells!$A$1:$I$1,0),FALSE))</f>
        <v/>
      </c>
      <c r="H319" s="49" t="str">
        <f>IFNA(VLOOKUP($A319,Spells!$A$2:$I1002,MATCH(H$3,Spells!$A$1:$I$1,0),FALSE))</f>
        <v/>
      </c>
    </row>
    <row r="320">
      <c r="A320" s="49"/>
      <c r="B320" s="49" t="str">
        <f>IFNA(VLOOKUP($A320,Spells!$A$2:$I1002,MATCH(B$3,Spells!$A$1:$I$1,0),FALSE))</f>
        <v/>
      </c>
      <c r="C320" s="49" t="str">
        <f>IFNA(VLOOKUP($A320,Spells!$A$2:$I1002,MATCH(C$3,Spells!$A$1:$I$1,0),FALSE))</f>
        <v/>
      </c>
      <c r="D320" s="49" t="str">
        <f>IFNA(VLOOKUP($A320,Spells!$A$2:$I1002,MATCH(D$3,Spells!$A$1:$I$1,0),FALSE))</f>
        <v/>
      </c>
      <c r="E320" s="49" t="str">
        <f>IFNA(VLOOKUP($A320,Spells!$A$2:$I1002,MATCH(E$3,Spells!$A$1:$I$1,0),FALSE))</f>
        <v/>
      </c>
      <c r="F320" s="49" t="str">
        <f>IFNA(VLOOKUP($A320,Spells!$A$2:$I1002,MATCH(F$3,Spells!$A$1:$I$1,0),FALSE))</f>
        <v/>
      </c>
      <c r="G320" s="49" t="str">
        <f>IFNA(VLOOKUP($A320,Spells!$A$2:$I1002,MATCH(G$3,Spells!$A$1:$I$1,0),FALSE))</f>
        <v/>
      </c>
      <c r="H320" s="49" t="str">
        <f>IFNA(VLOOKUP($A320,Spells!$A$2:$I1002,MATCH(H$3,Spells!$A$1:$I$1,0),FALSE))</f>
        <v/>
      </c>
    </row>
    <row r="321">
      <c r="A321" s="49"/>
      <c r="B321" s="49" t="str">
        <f>IFNA(VLOOKUP($A321,Spells!$A$2:$I1002,MATCH(B$3,Spells!$A$1:$I$1,0),FALSE))</f>
        <v/>
      </c>
      <c r="C321" s="49" t="str">
        <f>IFNA(VLOOKUP($A321,Spells!$A$2:$I1002,MATCH(C$3,Spells!$A$1:$I$1,0),FALSE))</f>
        <v/>
      </c>
      <c r="D321" s="49" t="str">
        <f>IFNA(VLOOKUP($A321,Spells!$A$2:$I1002,MATCH(D$3,Spells!$A$1:$I$1,0),FALSE))</f>
        <v/>
      </c>
      <c r="E321" s="49" t="str">
        <f>IFNA(VLOOKUP($A321,Spells!$A$2:$I1002,MATCH(E$3,Spells!$A$1:$I$1,0),FALSE))</f>
        <v/>
      </c>
      <c r="F321" s="49" t="str">
        <f>IFNA(VLOOKUP($A321,Spells!$A$2:$I1002,MATCH(F$3,Spells!$A$1:$I$1,0),FALSE))</f>
        <v/>
      </c>
      <c r="G321" s="49" t="str">
        <f>IFNA(VLOOKUP($A321,Spells!$A$2:$I1002,MATCH(G$3,Spells!$A$1:$I$1,0),FALSE))</f>
        <v/>
      </c>
      <c r="H321" s="49" t="str">
        <f>IFNA(VLOOKUP($A321,Spells!$A$2:$I1002,MATCH(H$3,Spells!$A$1:$I$1,0),FALSE))</f>
        <v/>
      </c>
    </row>
    <row r="322">
      <c r="A322" s="49"/>
      <c r="B322" s="49" t="str">
        <f>IFNA(VLOOKUP($A322,Spells!$A$2:$I1002,MATCH(B$3,Spells!$A$1:$I$1,0),FALSE))</f>
        <v/>
      </c>
      <c r="C322" s="49" t="str">
        <f>IFNA(VLOOKUP($A322,Spells!$A$2:$I1002,MATCH(C$3,Spells!$A$1:$I$1,0),FALSE))</f>
        <v/>
      </c>
      <c r="D322" s="49" t="str">
        <f>IFNA(VLOOKUP($A322,Spells!$A$2:$I1002,MATCH(D$3,Spells!$A$1:$I$1,0),FALSE))</f>
        <v/>
      </c>
      <c r="E322" s="49" t="str">
        <f>IFNA(VLOOKUP($A322,Spells!$A$2:$I1002,MATCH(E$3,Spells!$A$1:$I$1,0),FALSE))</f>
        <v/>
      </c>
      <c r="F322" s="49" t="str">
        <f>IFNA(VLOOKUP($A322,Spells!$A$2:$I1002,MATCH(F$3,Spells!$A$1:$I$1,0),FALSE))</f>
        <v/>
      </c>
      <c r="G322" s="49" t="str">
        <f>IFNA(VLOOKUP($A322,Spells!$A$2:$I1002,MATCH(G$3,Spells!$A$1:$I$1,0),FALSE))</f>
        <v/>
      </c>
      <c r="H322" s="49" t="str">
        <f>IFNA(VLOOKUP($A322,Spells!$A$2:$I1002,MATCH(H$3,Spells!$A$1:$I$1,0),FALSE))</f>
        <v/>
      </c>
    </row>
    <row r="323">
      <c r="A323" s="49"/>
      <c r="B323" s="49" t="str">
        <f>IFNA(VLOOKUP($A323,Spells!$A$2:$I1002,MATCH(B$3,Spells!$A$1:$I$1,0),FALSE))</f>
        <v/>
      </c>
      <c r="C323" s="49" t="str">
        <f>IFNA(VLOOKUP($A323,Spells!$A$2:$I1002,MATCH(C$3,Spells!$A$1:$I$1,0),FALSE))</f>
        <v/>
      </c>
      <c r="D323" s="49" t="str">
        <f>IFNA(VLOOKUP($A323,Spells!$A$2:$I1002,MATCH(D$3,Spells!$A$1:$I$1,0),FALSE))</f>
        <v/>
      </c>
      <c r="E323" s="49" t="str">
        <f>IFNA(VLOOKUP($A323,Spells!$A$2:$I1002,MATCH(E$3,Spells!$A$1:$I$1,0),FALSE))</f>
        <v/>
      </c>
      <c r="F323" s="49" t="str">
        <f>IFNA(VLOOKUP($A323,Spells!$A$2:$I1002,MATCH(F$3,Spells!$A$1:$I$1,0),FALSE))</f>
        <v/>
      </c>
      <c r="G323" s="49" t="str">
        <f>IFNA(VLOOKUP($A323,Spells!$A$2:$I1002,MATCH(G$3,Spells!$A$1:$I$1,0),FALSE))</f>
        <v/>
      </c>
      <c r="H323" s="49" t="str">
        <f>IFNA(VLOOKUP($A323,Spells!$A$2:$I1002,MATCH(H$3,Spells!$A$1:$I$1,0),FALSE))</f>
        <v/>
      </c>
    </row>
    <row r="324">
      <c r="A324" s="49"/>
      <c r="B324" s="49" t="str">
        <f>IFNA(VLOOKUP($A324,Spells!$A$2:$I1002,MATCH(B$3,Spells!$A$1:$I$1,0),FALSE))</f>
        <v/>
      </c>
      <c r="C324" s="49" t="str">
        <f>IFNA(VLOOKUP($A324,Spells!$A$2:$I1002,MATCH(C$3,Spells!$A$1:$I$1,0),FALSE))</f>
        <v/>
      </c>
      <c r="D324" s="49" t="str">
        <f>IFNA(VLOOKUP($A324,Spells!$A$2:$I1002,MATCH(D$3,Spells!$A$1:$I$1,0),FALSE))</f>
        <v/>
      </c>
      <c r="E324" s="49" t="str">
        <f>IFNA(VLOOKUP($A324,Spells!$A$2:$I1002,MATCH(E$3,Spells!$A$1:$I$1,0),FALSE))</f>
        <v/>
      </c>
      <c r="F324" s="49" t="str">
        <f>IFNA(VLOOKUP($A324,Spells!$A$2:$I1002,MATCH(F$3,Spells!$A$1:$I$1,0),FALSE))</f>
        <v/>
      </c>
      <c r="G324" s="49" t="str">
        <f>IFNA(VLOOKUP($A324,Spells!$A$2:$I1002,MATCH(G$3,Spells!$A$1:$I$1,0),FALSE))</f>
        <v/>
      </c>
      <c r="H324" s="49" t="str">
        <f>IFNA(VLOOKUP($A324,Spells!$A$2:$I1002,MATCH(H$3,Spells!$A$1:$I$1,0),FALSE))</f>
        <v/>
      </c>
    </row>
    <row r="325">
      <c r="A325" s="49"/>
      <c r="B325" s="49" t="str">
        <f>IFNA(VLOOKUP($A325,Spells!$A$2:$I1002,MATCH(B$3,Spells!$A$1:$I$1,0),FALSE))</f>
        <v/>
      </c>
      <c r="C325" s="49" t="str">
        <f>IFNA(VLOOKUP($A325,Spells!$A$2:$I1002,MATCH(C$3,Spells!$A$1:$I$1,0),FALSE))</f>
        <v/>
      </c>
      <c r="D325" s="49" t="str">
        <f>IFNA(VLOOKUP($A325,Spells!$A$2:$I1002,MATCH(D$3,Spells!$A$1:$I$1,0),FALSE))</f>
        <v/>
      </c>
      <c r="E325" s="49" t="str">
        <f>IFNA(VLOOKUP($A325,Spells!$A$2:$I1002,MATCH(E$3,Spells!$A$1:$I$1,0),FALSE))</f>
        <v/>
      </c>
      <c r="F325" s="49" t="str">
        <f>IFNA(VLOOKUP($A325,Spells!$A$2:$I1002,MATCH(F$3,Spells!$A$1:$I$1,0),FALSE))</f>
        <v/>
      </c>
      <c r="G325" s="49" t="str">
        <f>IFNA(VLOOKUP($A325,Spells!$A$2:$I1002,MATCH(G$3,Spells!$A$1:$I$1,0),FALSE))</f>
        <v/>
      </c>
      <c r="H325" s="49" t="str">
        <f>IFNA(VLOOKUP($A325,Spells!$A$2:$I1002,MATCH(H$3,Spells!$A$1:$I$1,0),FALSE))</f>
        <v/>
      </c>
    </row>
    <row r="326">
      <c r="A326" s="49"/>
      <c r="B326" s="49" t="str">
        <f>IFNA(VLOOKUP($A326,Spells!$A$2:$I1002,MATCH(B$3,Spells!$A$1:$I$1,0),FALSE))</f>
        <v/>
      </c>
      <c r="C326" s="49" t="str">
        <f>IFNA(VLOOKUP($A326,Spells!$A$2:$I1002,MATCH(C$3,Spells!$A$1:$I$1,0),FALSE))</f>
        <v/>
      </c>
      <c r="D326" s="49" t="str">
        <f>IFNA(VLOOKUP($A326,Spells!$A$2:$I1002,MATCH(D$3,Spells!$A$1:$I$1,0),FALSE))</f>
        <v/>
      </c>
      <c r="E326" s="49" t="str">
        <f>IFNA(VLOOKUP($A326,Spells!$A$2:$I1002,MATCH(E$3,Spells!$A$1:$I$1,0),FALSE))</f>
        <v/>
      </c>
      <c r="F326" s="49" t="str">
        <f>IFNA(VLOOKUP($A326,Spells!$A$2:$I1002,MATCH(F$3,Spells!$A$1:$I$1,0),FALSE))</f>
        <v/>
      </c>
      <c r="G326" s="49" t="str">
        <f>IFNA(VLOOKUP($A326,Spells!$A$2:$I1002,MATCH(G$3,Spells!$A$1:$I$1,0),FALSE))</f>
        <v/>
      </c>
      <c r="H326" s="49" t="str">
        <f>IFNA(VLOOKUP($A326,Spells!$A$2:$I1002,MATCH(H$3,Spells!$A$1:$I$1,0),FALSE))</f>
        <v/>
      </c>
    </row>
    <row r="327">
      <c r="A327" s="49"/>
      <c r="B327" s="49" t="str">
        <f>IFNA(VLOOKUP($A327,Spells!$A$2:$I1002,MATCH(B$3,Spells!$A$1:$I$1,0),FALSE))</f>
        <v/>
      </c>
      <c r="C327" s="49" t="str">
        <f>IFNA(VLOOKUP($A327,Spells!$A$2:$I1002,MATCH(C$3,Spells!$A$1:$I$1,0),FALSE))</f>
        <v/>
      </c>
      <c r="D327" s="49" t="str">
        <f>IFNA(VLOOKUP($A327,Spells!$A$2:$I1002,MATCH(D$3,Spells!$A$1:$I$1,0),FALSE))</f>
        <v/>
      </c>
      <c r="E327" s="49" t="str">
        <f>IFNA(VLOOKUP($A327,Spells!$A$2:$I1002,MATCH(E$3,Spells!$A$1:$I$1,0),FALSE))</f>
        <v/>
      </c>
      <c r="F327" s="49" t="str">
        <f>IFNA(VLOOKUP($A327,Spells!$A$2:$I1002,MATCH(F$3,Spells!$A$1:$I$1,0),FALSE))</f>
        <v/>
      </c>
      <c r="G327" s="49" t="str">
        <f>IFNA(VLOOKUP($A327,Spells!$A$2:$I1002,MATCH(G$3,Spells!$A$1:$I$1,0),FALSE))</f>
        <v/>
      </c>
      <c r="H327" s="49" t="str">
        <f>IFNA(VLOOKUP($A327,Spells!$A$2:$I1002,MATCH(H$3,Spells!$A$1:$I$1,0),FALSE))</f>
        <v/>
      </c>
    </row>
    <row r="328">
      <c r="A328" s="49"/>
      <c r="B328" s="49" t="str">
        <f>IFNA(VLOOKUP($A328,Spells!$A$2:$I1002,MATCH(B$3,Spells!$A$1:$I$1,0),FALSE))</f>
        <v/>
      </c>
      <c r="C328" s="49" t="str">
        <f>IFNA(VLOOKUP($A328,Spells!$A$2:$I1002,MATCH(C$3,Spells!$A$1:$I$1,0),FALSE))</f>
        <v/>
      </c>
      <c r="D328" s="49" t="str">
        <f>IFNA(VLOOKUP($A328,Spells!$A$2:$I1002,MATCH(D$3,Spells!$A$1:$I$1,0),FALSE))</f>
        <v/>
      </c>
      <c r="E328" s="49" t="str">
        <f>IFNA(VLOOKUP($A328,Spells!$A$2:$I1002,MATCH(E$3,Spells!$A$1:$I$1,0),FALSE))</f>
        <v/>
      </c>
      <c r="F328" s="49" t="str">
        <f>IFNA(VLOOKUP($A328,Spells!$A$2:$I1002,MATCH(F$3,Spells!$A$1:$I$1,0),FALSE))</f>
        <v/>
      </c>
      <c r="G328" s="49" t="str">
        <f>IFNA(VLOOKUP($A328,Spells!$A$2:$I1002,MATCH(G$3,Spells!$A$1:$I$1,0),FALSE))</f>
        <v/>
      </c>
      <c r="H328" s="49" t="str">
        <f>IFNA(VLOOKUP($A328,Spells!$A$2:$I1002,MATCH(H$3,Spells!$A$1:$I$1,0),FALSE))</f>
        <v/>
      </c>
    </row>
    <row r="329">
      <c r="A329" s="49"/>
      <c r="B329" s="49" t="str">
        <f>IFNA(VLOOKUP($A329,Spells!$A$2:$I1002,MATCH(B$3,Spells!$A$1:$I$1,0),FALSE))</f>
        <v/>
      </c>
      <c r="C329" s="49" t="str">
        <f>IFNA(VLOOKUP($A329,Spells!$A$2:$I1002,MATCH(C$3,Spells!$A$1:$I$1,0),FALSE))</f>
        <v/>
      </c>
      <c r="D329" s="49" t="str">
        <f>IFNA(VLOOKUP($A329,Spells!$A$2:$I1002,MATCH(D$3,Spells!$A$1:$I$1,0),FALSE))</f>
        <v/>
      </c>
      <c r="E329" s="49" t="str">
        <f>IFNA(VLOOKUP($A329,Spells!$A$2:$I1002,MATCH(E$3,Spells!$A$1:$I$1,0),FALSE))</f>
        <v/>
      </c>
      <c r="F329" s="49" t="str">
        <f>IFNA(VLOOKUP($A329,Spells!$A$2:$I1002,MATCH(F$3,Spells!$A$1:$I$1,0),FALSE))</f>
        <v/>
      </c>
      <c r="G329" s="49" t="str">
        <f>IFNA(VLOOKUP($A329,Spells!$A$2:$I1002,MATCH(G$3,Spells!$A$1:$I$1,0),FALSE))</f>
        <v/>
      </c>
      <c r="H329" s="49" t="str">
        <f>IFNA(VLOOKUP($A329,Spells!$A$2:$I1002,MATCH(H$3,Spells!$A$1:$I$1,0),FALSE))</f>
        <v/>
      </c>
    </row>
    <row r="330">
      <c r="A330" s="49"/>
      <c r="B330" s="49" t="str">
        <f>IFNA(VLOOKUP($A330,Spells!$A$2:$I1002,MATCH(B$3,Spells!$A$1:$I$1,0),FALSE))</f>
        <v/>
      </c>
      <c r="C330" s="49" t="str">
        <f>IFNA(VLOOKUP($A330,Spells!$A$2:$I1002,MATCH(C$3,Spells!$A$1:$I$1,0),FALSE))</f>
        <v/>
      </c>
      <c r="D330" s="49" t="str">
        <f>IFNA(VLOOKUP($A330,Spells!$A$2:$I1002,MATCH(D$3,Spells!$A$1:$I$1,0),FALSE))</f>
        <v/>
      </c>
      <c r="E330" s="49" t="str">
        <f>IFNA(VLOOKUP($A330,Spells!$A$2:$I1002,MATCH(E$3,Spells!$A$1:$I$1,0),FALSE))</f>
        <v/>
      </c>
      <c r="F330" s="49" t="str">
        <f>IFNA(VLOOKUP($A330,Spells!$A$2:$I1002,MATCH(F$3,Spells!$A$1:$I$1,0),FALSE))</f>
        <v/>
      </c>
      <c r="G330" s="49" t="str">
        <f>IFNA(VLOOKUP($A330,Spells!$A$2:$I1002,MATCH(G$3,Spells!$A$1:$I$1,0),FALSE))</f>
        <v/>
      </c>
      <c r="H330" s="49" t="str">
        <f>IFNA(VLOOKUP($A330,Spells!$A$2:$I1002,MATCH(H$3,Spells!$A$1:$I$1,0),FALSE))</f>
        <v/>
      </c>
    </row>
    <row r="331">
      <c r="A331" s="49"/>
      <c r="B331" s="49" t="str">
        <f>IFNA(VLOOKUP($A331,Spells!$A$2:$I1002,MATCH(B$3,Spells!$A$1:$I$1,0),FALSE))</f>
        <v/>
      </c>
      <c r="C331" s="49" t="str">
        <f>IFNA(VLOOKUP($A331,Spells!$A$2:$I1002,MATCH(C$3,Spells!$A$1:$I$1,0),FALSE))</f>
        <v/>
      </c>
      <c r="D331" s="49" t="str">
        <f>IFNA(VLOOKUP($A331,Spells!$A$2:$I1002,MATCH(D$3,Spells!$A$1:$I$1,0),FALSE))</f>
        <v/>
      </c>
      <c r="E331" s="49" t="str">
        <f>IFNA(VLOOKUP($A331,Spells!$A$2:$I1002,MATCH(E$3,Spells!$A$1:$I$1,0),FALSE))</f>
        <v/>
      </c>
      <c r="F331" s="49" t="str">
        <f>IFNA(VLOOKUP($A331,Spells!$A$2:$I1002,MATCH(F$3,Spells!$A$1:$I$1,0),FALSE))</f>
        <v/>
      </c>
      <c r="G331" s="49" t="str">
        <f>IFNA(VLOOKUP($A331,Spells!$A$2:$I1002,MATCH(G$3,Spells!$A$1:$I$1,0),FALSE))</f>
        <v/>
      </c>
      <c r="H331" s="49" t="str">
        <f>IFNA(VLOOKUP($A331,Spells!$A$2:$I1002,MATCH(H$3,Spells!$A$1:$I$1,0),FALSE))</f>
        <v/>
      </c>
    </row>
    <row r="332">
      <c r="A332" s="49"/>
      <c r="B332" s="49" t="str">
        <f>IFNA(VLOOKUP($A332,Spells!$A$2:$I1002,MATCH(B$3,Spells!$A$1:$I$1,0),FALSE))</f>
        <v/>
      </c>
      <c r="C332" s="49" t="str">
        <f>IFNA(VLOOKUP($A332,Spells!$A$2:$I1002,MATCH(C$3,Spells!$A$1:$I$1,0),FALSE))</f>
        <v/>
      </c>
      <c r="D332" s="49" t="str">
        <f>IFNA(VLOOKUP($A332,Spells!$A$2:$I1002,MATCH(D$3,Spells!$A$1:$I$1,0),FALSE))</f>
        <v/>
      </c>
      <c r="E332" s="49" t="str">
        <f>IFNA(VLOOKUP($A332,Spells!$A$2:$I1002,MATCH(E$3,Spells!$A$1:$I$1,0),FALSE))</f>
        <v/>
      </c>
      <c r="F332" s="49" t="str">
        <f>IFNA(VLOOKUP($A332,Spells!$A$2:$I1002,MATCH(F$3,Spells!$A$1:$I$1,0),FALSE))</f>
        <v/>
      </c>
      <c r="G332" s="49" t="str">
        <f>IFNA(VLOOKUP($A332,Spells!$A$2:$I1002,MATCH(G$3,Spells!$A$1:$I$1,0),FALSE))</f>
        <v/>
      </c>
      <c r="H332" s="49" t="str">
        <f>IFNA(VLOOKUP($A332,Spells!$A$2:$I1002,MATCH(H$3,Spells!$A$1:$I$1,0),FALSE))</f>
        <v/>
      </c>
    </row>
    <row r="333">
      <c r="A333" s="49"/>
      <c r="B333" s="49" t="str">
        <f>IFNA(VLOOKUP($A333,Spells!$A$2:$I1002,MATCH(B$3,Spells!$A$1:$I$1,0),FALSE))</f>
        <v/>
      </c>
      <c r="C333" s="49" t="str">
        <f>IFNA(VLOOKUP($A333,Spells!$A$2:$I1002,MATCH(C$3,Spells!$A$1:$I$1,0),FALSE))</f>
        <v/>
      </c>
      <c r="D333" s="49" t="str">
        <f>IFNA(VLOOKUP($A333,Spells!$A$2:$I1002,MATCH(D$3,Spells!$A$1:$I$1,0),FALSE))</f>
        <v/>
      </c>
      <c r="E333" s="49" t="str">
        <f>IFNA(VLOOKUP($A333,Spells!$A$2:$I1002,MATCH(E$3,Spells!$A$1:$I$1,0),FALSE))</f>
        <v/>
      </c>
      <c r="F333" s="49" t="str">
        <f>IFNA(VLOOKUP($A333,Spells!$A$2:$I1002,MATCH(F$3,Spells!$A$1:$I$1,0),FALSE))</f>
        <v/>
      </c>
      <c r="G333" s="49" t="str">
        <f>IFNA(VLOOKUP($A333,Spells!$A$2:$I1002,MATCH(G$3,Spells!$A$1:$I$1,0),FALSE))</f>
        <v/>
      </c>
      <c r="H333" s="49" t="str">
        <f>IFNA(VLOOKUP($A333,Spells!$A$2:$I1002,MATCH(H$3,Spells!$A$1:$I$1,0),FALSE))</f>
        <v/>
      </c>
    </row>
    <row r="334">
      <c r="A334" s="49"/>
      <c r="B334" s="49" t="str">
        <f>IFNA(VLOOKUP($A334,Spells!$A$2:$I1002,MATCH(B$3,Spells!$A$1:$I$1,0),FALSE))</f>
        <v/>
      </c>
      <c r="C334" s="49" t="str">
        <f>IFNA(VLOOKUP($A334,Spells!$A$2:$I1002,MATCH(C$3,Spells!$A$1:$I$1,0),FALSE))</f>
        <v/>
      </c>
      <c r="D334" s="49" t="str">
        <f>IFNA(VLOOKUP($A334,Spells!$A$2:$I1002,MATCH(D$3,Spells!$A$1:$I$1,0),FALSE))</f>
        <v/>
      </c>
      <c r="E334" s="49" t="str">
        <f>IFNA(VLOOKUP($A334,Spells!$A$2:$I1002,MATCH(E$3,Spells!$A$1:$I$1,0),FALSE))</f>
        <v/>
      </c>
      <c r="F334" s="49" t="str">
        <f>IFNA(VLOOKUP($A334,Spells!$A$2:$I1002,MATCH(F$3,Spells!$A$1:$I$1,0),FALSE))</f>
        <v/>
      </c>
      <c r="G334" s="49" t="str">
        <f>IFNA(VLOOKUP($A334,Spells!$A$2:$I1002,MATCH(G$3,Spells!$A$1:$I$1,0),FALSE))</f>
        <v/>
      </c>
      <c r="H334" s="49" t="str">
        <f>IFNA(VLOOKUP($A334,Spells!$A$2:$I1002,MATCH(H$3,Spells!$A$1:$I$1,0),FALSE))</f>
        <v/>
      </c>
    </row>
    <row r="335">
      <c r="A335" s="49"/>
      <c r="B335" s="49" t="str">
        <f>IFNA(VLOOKUP($A335,Spells!$A$2:$I1002,MATCH(B$3,Spells!$A$1:$I$1,0),FALSE))</f>
        <v/>
      </c>
      <c r="C335" s="49" t="str">
        <f>IFNA(VLOOKUP($A335,Spells!$A$2:$I1002,MATCH(C$3,Spells!$A$1:$I$1,0),FALSE))</f>
        <v/>
      </c>
      <c r="D335" s="49" t="str">
        <f>IFNA(VLOOKUP($A335,Spells!$A$2:$I1002,MATCH(D$3,Spells!$A$1:$I$1,0),FALSE))</f>
        <v/>
      </c>
      <c r="E335" s="49" t="str">
        <f>IFNA(VLOOKUP($A335,Spells!$A$2:$I1002,MATCH(E$3,Spells!$A$1:$I$1,0),FALSE))</f>
        <v/>
      </c>
      <c r="F335" s="49" t="str">
        <f>IFNA(VLOOKUP($A335,Spells!$A$2:$I1002,MATCH(F$3,Spells!$A$1:$I$1,0),FALSE))</f>
        <v/>
      </c>
      <c r="G335" s="49" t="str">
        <f>IFNA(VLOOKUP($A335,Spells!$A$2:$I1002,MATCH(G$3,Spells!$A$1:$I$1,0),FALSE))</f>
        <v/>
      </c>
      <c r="H335" s="49" t="str">
        <f>IFNA(VLOOKUP($A335,Spells!$A$2:$I1002,MATCH(H$3,Spells!$A$1:$I$1,0),FALSE))</f>
        <v/>
      </c>
    </row>
    <row r="336">
      <c r="A336" s="49"/>
      <c r="B336" s="49" t="str">
        <f>IFNA(VLOOKUP($A336,Spells!$A$2:$I1002,MATCH(B$3,Spells!$A$1:$I$1,0),FALSE))</f>
        <v/>
      </c>
      <c r="C336" s="49" t="str">
        <f>IFNA(VLOOKUP($A336,Spells!$A$2:$I1002,MATCH(C$3,Spells!$A$1:$I$1,0),FALSE))</f>
        <v/>
      </c>
      <c r="D336" s="49" t="str">
        <f>IFNA(VLOOKUP($A336,Spells!$A$2:$I1002,MATCH(D$3,Spells!$A$1:$I$1,0),FALSE))</f>
        <v/>
      </c>
      <c r="E336" s="49" t="str">
        <f>IFNA(VLOOKUP($A336,Spells!$A$2:$I1002,MATCH(E$3,Spells!$A$1:$I$1,0),FALSE))</f>
        <v/>
      </c>
      <c r="F336" s="49" t="str">
        <f>IFNA(VLOOKUP($A336,Spells!$A$2:$I1002,MATCH(F$3,Spells!$A$1:$I$1,0),FALSE))</f>
        <v/>
      </c>
      <c r="G336" s="49" t="str">
        <f>IFNA(VLOOKUP($A336,Spells!$A$2:$I1002,MATCH(G$3,Spells!$A$1:$I$1,0),FALSE))</f>
        <v/>
      </c>
      <c r="H336" s="49" t="str">
        <f>IFNA(VLOOKUP($A336,Spells!$A$2:$I1002,MATCH(H$3,Spells!$A$1:$I$1,0),FALSE))</f>
        <v/>
      </c>
    </row>
    <row r="337">
      <c r="A337" s="49"/>
      <c r="B337" s="49" t="str">
        <f>IFNA(VLOOKUP($A337,Spells!$A$2:$I1002,MATCH(B$3,Spells!$A$1:$I$1,0),FALSE))</f>
        <v/>
      </c>
      <c r="C337" s="49" t="str">
        <f>IFNA(VLOOKUP($A337,Spells!$A$2:$I1002,MATCH(C$3,Spells!$A$1:$I$1,0),FALSE))</f>
        <v/>
      </c>
      <c r="D337" s="49" t="str">
        <f>IFNA(VLOOKUP($A337,Spells!$A$2:$I1002,MATCH(D$3,Spells!$A$1:$I$1,0),FALSE))</f>
        <v/>
      </c>
      <c r="E337" s="49" t="str">
        <f>IFNA(VLOOKUP($A337,Spells!$A$2:$I1002,MATCH(E$3,Spells!$A$1:$I$1,0),FALSE))</f>
        <v/>
      </c>
      <c r="F337" s="49" t="str">
        <f>IFNA(VLOOKUP($A337,Spells!$A$2:$I1002,MATCH(F$3,Spells!$A$1:$I$1,0),FALSE))</f>
        <v/>
      </c>
      <c r="G337" s="49" t="str">
        <f>IFNA(VLOOKUP($A337,Spells!$A$2:$I1002,MATCH(G$3,Spells!$A$1:$I$1,0),FALSE))</f>
        <v/>
      </c>
      <c r="H337" s="49" t="str">
        <f>IFNA(VLOOKUP($A337,Spells!$A$2:$I1002,MATCH(H$3,Spells!$A$1:$I$1,0),FALSE))</f>
        <v/>
      </c>
    </row>
    <row r="338">
      <c r="A338" s="49"/>
      <c r="B338" s="49" t="str">
        <f>IFNA(VLOOKUP($A338,Spells!$A$2:$I1002,MATCH(B$3,Spells!$A$1:$I$1,0),FALSE))</f>
        <v/>
      </c>
      <c r="C338" s="49" t="str">
        <f>IFNA(VLOOKUP($A338,Spells!$A$2:$I1002,MATCH(C$3,Spells!$A$1:$I$1,0),FALSE))</f>
        <v/>
      </c>
      <c r="D338" s="49" t="str">
        <f>IFNA(VLOOKUP($A338,Spells!$A$2:$I1002,MATCH(D$3,Spells!$A$1:$I$1,0),FALSE))</f>
        <v/>
      </c>
      <c r="E338" s="49" t="str">
        <f>IFNA(VLOOKUP($A338,Spells!$A$2:$I1002,MATCH(E$3,Spells!$A$1:$I$1,0),FALSE))</f>
        <v/>
      </c>
      <c r="F338" s="49" t="str">
        <f>IFNA(VLOOKUP($A338,Spells!$A$2:$I1002,MATCH(F$3,Spells!$A$1:$I$1,0),FALSE))</f>
        <v/>
      </c>
      <c r="G338" s="49" t="str">
        <f>IFNA(VLOOKUP($A338,Spells!$A$2:$I1002,MATCH(G$3,Spells!$A$1:$I$1,0),FALSE))</f>
        <v/>
      </c>
      <c r="H338" s="49" t="str">
        <f>IFNA(VLOOKUP($A338,Spells!$A$2:$I1002,MATCH(H$3,Spells!$A$1:$I$1,0),FALSE))</f>
        <v/>
      </c>
    </row>
    <row r="339">
      <c r="A339" s="49"/>
      <c r="B339" s="49" t="str">
        <f>IFNA(VLOOKUP($A339,Spells!$A$2:$I1002,MATCH(B$3,Spells!$A$1:$I$1,0),FALSE))</f>
        <v/>
      </c>
      <c r="C339" s="49" t="str">
        <f>IFNA(VLOOKUP($A339,Spells!$A$2:$I1002,MATCH(C$3,Spells!$A$1:$I$1,0),FALSE))</f>
        <v/>
      </c>
      <c r="D339" s="49" t="str">
        <f>IFNA(VLOOKUP($A339,Spells!$A$2:$I1002,MATCH(D$3,Spells!$A$1:$I$1,0),FALSE))</f>
        <v/>
      </c>
      <c r="E339" s="49" t="str">
        <f>IFNA(VLOOKUP($A339,Spells!$A$2:$I1002,MATCH(E$3,Spells!$A$1:$I$1,0),FALSE))</f>
        <v/>
      </c>
      <c r="F339" s="49" t="str">
        <f>IFNA(VLOOKUP($A339,Spells!$A$2:$I1002,MATCH(F$3,Spells!$A$1:$I$1,0),FALSE))</f>
        <v/>
      </c>
      <c r="G339" s="49" t="str">
        <f>IFNA(VLOOKUP($A339,Spells!$A$2:$I1002,MATCH(G$3,Spells!$A$1:$I$1,0),FALSE))</f>
        <v/>
      </c>
      <c r="H339" s="49" t="str">
        <f>IFNA(VLOOKUP($A339,Spells!$A$2:$I1002,MATCH(H$3,Spells!$A$1:$I$1,0),FALSE))</f>
        <v/>
      </c>
    </row>
    <row r="340">
      <c r="A340" s="49"/>
      <c r="B340" s="49" t="str">
        <f>IFNA(VLOOKUP($A340,Spells!$A$2:$I1002,MATCH(B$3,Spells!$A$1:$I$1,0),FALSE))</f>
        <v/>
      </c>
      <c r="C340" s="49" t="str">
        <f>IFNA(VLOOKUP($A340,Spells!$A$2:$I1002,MATCH(C$3,Spells!$A$1:$I$1,0),FALSE))</f>
        <v/>
      </c>
      <c r="D340" s="49" t="str">
        <f>IFNA(VLOOKUP($A340,Spells!$A$2:$I1002,MATCH(D$3,Spells!$A$1:$I$1,0),FALSE))</f>
        <v/>
      </c>
      <c r="E340" s="49" t="str">
        <f>IFNA(VLOOKUP($A340,Spells!$A$2:$I1002,MATCH(E$3,Spells!$A$1:$I$1,0),FALSE))</f>
        <v/>
      </c>
      <c r="F340" s="49" t="str">
        <f>IFNA(VLOOKUP($A340,Spells!$A$2:$I1002,MATCH(F$3,Spells!$A$1:$I$1,0),FALSE))</f>
        <v/>
      </c>
      <c r="G340" s="49" t="str">
        <f>IFNA(VLOOKUP($A340,Spells!$A$2:$I1002,MATCH(G$3,Spells!$A$1:$I$1,0),FALSE))</f>
        <v/>
      </c>
      <c r="H340" s="49" t="str">
        <f>IFNA(VLOOKUP($A340,Spells!$A$2:$I1002,MATCH(H$3,Spells!$A$1:$I$1,0),FALSE))</f>
        <v/>
      </c>
    </row>
    <row r="341">
      <c r="A341" s="49"/>
      <c r="B341" s="49" t="str">
        <f>IFNA(VLOOKUP($A341,Spells!$A$2:$I1002,MATCH(B$3,Spells!$A$1:$I$1,0),FALSE))</f>
        <v/>
      </c>
      <c r="C341" s="49" t="str">
        <f>IFNA(VLOOKUP($A341,Spells!$A$2:$I1002,MATCH(C$3,Spells!$A$1:$I$1,0),FALSE))</f>
        <v/>
      </c>
      <c r="D341" s="49" t="str">
        <f>IFNA(VLOOKUP($A341,Spells!$A$2:$I1002,MATCH(D$3,Spells!$A$1:$I$1,0),FALSE))</f>
        <v/>
      </c>
      <c r="E341" s="49" t="str">
        <f>IFNA(VLOOKUP($A341,Spells!$A$2:$I1002,MATCH(E$3,Spells!$A$1:$I$1,0),FALSE))</f>
        <v/>
      </c>
      <c r="F341" s="49" t="str">
        <f>IFNA(VLOOKUP($A341,Spells!$A$2:$I1002,MATCH(F$3,Spells!$A$1:$I$1,0),FALSE))</f>
        <v/>
      </c>
      <c r="G341" s="49" t="str">
        <f>IFNA(VLOOKUP($A341,Spells!$A$2:$I1002,MATCH(G$3,Spells!$A$1:$I$1,0),FALSE))</f>
        <v/>
      </c>
      <c r="H341" s="49" t="str">
        <f>IFNA(VLOOKUP($A341,Spells!$A$2:$I1002,MATCH(H$3,Spells!$A$1:$I$1,0),FALSE))</f>
        <v/>
      </c>
    </row>
    <row r="342">
      <c r="A342" s="49"/>
      <c r="B342" s="49" t="str">
        <f>IFNA(VLOOKUP($A342,Spells!$A$2:$I1002,MATCH(B$3,Spells!$A$1:$I$1,0),FALSE))</f>
        <v/>
      </c>
      <c r="C342" s="49" t="str">
        <f>IFNA(VLOOKUP($A342,Spells!$A$2:$I1002,MATCH(C$3,Spells!$A$1:$I$1,0),FALSE))</f>
        <v/>
      </c>
      <c r="D342" s="49" t="str">
        <f>IFNA(VLOOKUP($A342,Spells!$A$2:$I1002,MATCH(D$3,Spells!$A$1:$I$1,0),FALSE))</f>
        <v/>
      </c>
      <c r="E342" s="49" t="str">
        <f>IFNA(VLOOKUP($A342,Spells!$A$2:$I1002,MATCH(E$3,Spells!$A$1:$I$1,0),FALSE))</f>
        <v/>
      </c>
      <c r="F342" s="49" t="str">
        <f>IFNA(VLOOKUP($A342,Spells!$A$2:$I1002,MATCH(F$3,Spells!$A$1:$I$1,0),FALSE))</f>
        <v/>
      </c>
      <c r="G342" s="49" t="str">
        <f>IFNA(VLOOKUP($A342,Spells!$A$2:$I1002,MATCH(G$3,Spells!$A$1:$I$1,0),FALSE))</f>
        <v/>
      </c>
      <c r="H342" s="49" t="str">
        <f>IFNA(VLOOKUP($A342,Spells!$A$2:$I1002,MATCH(H$3,Spells!$A$1:$I$1,0),FALSE))</f>
        <v/>
      </c>
    </row>
    <row r="343">
      <c r="A343" s="49"/>
      <c r="B343" s="49" t="str">
        <f>IFNA(VLOOKUP($A343,Spells!$A$2:$I1002,MATCH(B$3,Spells!$A$1:$I$1,0),FALSE))</f>
        <v/>
      </c>
      <c r="C343" s="49" t="str">
        <f>IFNA(VLOOKUP($A343,Spells!$A$2:$I1002,MATCH(C$3,Spells!$A$1:$I$1,0),FALSE))</f>
        <v/>
      </c>
      <c r="D343" s="49" t="str">
        <f>IFNA(VLOOKUP($A343,Spells!$A$2:$I1002,MATCH(D$3,Spells!$A$1:$I$1,0),FALSE))</f>
        <v/>
      </c>
      <c r="E343" s="49" t="str">
        <f>IFNA(VLOOKUP($A343,Spells!$A$2:$I1002,MATCH(E$3,Spells!$A$1:$I$1,0),FALSE))</f>
        <v/>
      </c>
      <c r="F343" s="49" t="str">
        <f>IFNA(VLOOKUP($A343,Spells!$A$2:$I1002,MATCH(F$3,Spells!$A$1:$I$1,0),FALSE))</f>
        <v/>
      </c>
      <c r="G343" s="49" t="str">
        <f>IFNA(VLOOKUP($A343,Spells!$A$2:$I1002,MATCH(G$3,Spells!$A$1:$I$1,0),FALSE))</f>
        <v/>
      </c>
      <c r="H343" s="49" t="str">
        <f>IFNA(VLOOKUP($A343,Spells!$A$2:$I1002,MATCH(H$3,Spells!$A$1:$I$1,0),FALSE))</f>
        <v/>
      </c>
    </row>
    <row r="344">
      <c r="A344" s="49"/>
      <c r="B344" s="49" t="str">
        <f>IFNA(VLOOKUP($A344,Spells!$A$2:$I1002,MATCH(B$3,Spells!$A$1:$I$1,0),FALSE))</f>
        <v/>
      </c>
      <c r="C344" s="49" t="str">
        <f>IFNA(VLOOKUP($A344,Spells!$A$2:$I1002,MATCH(C$3,Spells!$A$1:$I$1,0),FALSE))</f>
        <v/>
      </c>
      <c r="D344" s="49" t="str">
        <f>IFNA(VLOOKUP($A344,Spells!$A$2:$I1002,MATCH(D$3,Spells!$A$1:$I$1,0),FALSE))</f>
        <v/>
      </c>
      <c r="E344" s="49" t="str">
        <f>IFNA(VLOOKUP($A344,Spells!$A$2:$I1002,MATCH(E$3,Spells!$A$1:$I$1,0),FALSE))</f>
        <v/>
      </c>
      <c r="F344" s="49" t="str">
        <f>IFNA(VLOOKUP($A344,Spells!$A$2:$I1002,MATCH(F$3,Spells!$A$1:$I$1,0),FALSE))</f>
        <v/>
      </c>
      <c r="G344" s="49" t="str">
        <f>IFNA(VLOOKUP($A344,Spells!$A$2:$I1002,MATCH(G$3,Spells!$A$1:$I$1,0),FALSE))</f>
        <v/>
      </c>
      <c r="H344" s="49" t="str">
        <f>IFNA(VLOOKUP($A344,Spells!$A$2:$I1002,MATCH(H$3,Spells!$A$1:$I$1,0),FALSE))</f>
        <v/>
      </c>
    </row>
    <row r="345">
      <c r="A345" s="49"/>
      <c r="B345" s="49" t="str">
        <f>IFNA(VLOOKUP($A345,Spells!$A$2:$I1002,MATCH(B$3,Spells!$A$1:$I$1,0),FALSE))</f>
        <v/>
      </c>
      <c r="C345" s="49" t="str">
        <f>IFNA(VLOOKUP($A345,Spells!$A$2:$I1002,MATCH(C$3,Spells!$A$1:$I$1,0),FALSE))</f>
        <v/>
      </c>
      <c r="D345" s="49" t="str">
        <f>IFNA(VLOOKUP($A345,Spells!$A$2:$I1002,MATCH(D$3,Spells!$A$1:$I$1,0),FALSE))</f>
        <v/>
      </c>
      <c r="E345" s="49" t="str">
        <f>IFNA(VLOOKUP($A345,Spells!$A$2:$I1002,MATCH(E$3,Spells!$A$1:$I$1,0),FALSE))</f>
        <v/>
      </c>
      <c r="F345" s="49" t="str">
        <f>IFNA(VLOOKUP($A345,Spells!$A$2:$I1002,MATCH(F$3,Spells!$A$1:$I$1,0),FALSE))</f>
        <v/>
      </c>
      <c r="G345" s="49" t="str">
        <f>IFNA(VLOOKUP($A345,Spells!$A$2:$I1002,MATCH(G$3,Spells!$A$1:$I$1,0),FALSE))</f>
        <v/>
      </c>
      <c r="H345" s="49" t="str">
        <f>IFNA(VLOOKUP($A345,Spells!$A$2:$I1002,MATCH(H$3,Spells!$A$1:$I$1,0),FALSE))</f>
        <v/>
      </c>
    </row>
    <row r="346">
      <c r="A346" s="49"/>
      <c r="B346" s="49" t="str">
        <f>IFNA(VLOOKUP($A346,Spells!$A$2:$I1002,MATCH(B$3,Spells!$A$1:$I$1,0),FALSE))</f>
        <v/>
      </c>
      <c r="C346" s="49" t="str">
        <f>IFNA(VLOOKUP($A346,Spells!$A$2:$I1002,MATCH(C$3,Spells!$A$1:$I$1,0),FALSE))</f>
        <v/>
      </c>
      <c r="D346" s="49" t="str">
        <f>IFNA(VLOOKUP($A346,Spells!$A$2:$I1002,MATCH(D$3,Spells!$A$1:$I$1,0),FALSE))</f>
        <v/>
      </c>
      <c r="E346" s="49" t="str">
        <f>IFNA(VLOOKUP($A346,Spells!$A$2:$I1002,MATCH(E$3,Spells!$A$1:$I$1,0),FALSE))</f>
        <v/>
      </c>
      <c r="F346" s="49" t="str">
        <f>IFNA(VLOOKUP($A346,Spells!$A$2:$I1002,MATCH(F$3,Spells!$A$1:$I$1,0),FALSE))</f>
        <v/>
      </c>
      <c r="G346" s="49" t="str">
        <f>IFNA(VLOOKUP($A346,Spells!$A$2:$I1002,MATCH(G$3,Spells!$A$1:$I$1,0),FALSE))</f>
        <v/>
      </c>
      <c r="H346" s="49" t="str">
        <f>IFNA(VLOOKUP($A346,Spells!$A$2:$I1002,MATCH(H$3,Spells!$A$1:$I$1,0),FALSE))</f>
        <v/>
      </c>
    </row>
    <row r="347">
      <c r="A347" s="49"/>
      <c r="B347" s="49" t="str">
        <f>IFNA(VLOOKUP($A347,Spells!$A$2:$I1002,MATCH(B$3,Spells!$A$1:$I$1,0),FALSE))</f>
        <v/>
      </c>
      <c r="C347" s="49" t="str">
        <f>IFNA(VLOOKUP($A347,Spells!$A$2:$I1002,MATCH(C$3,Spells!$A$1:$I$1,0),FALSE))</f>
        <v/>
      </c>
      <c r="D347" s="49" t="str">
        <f>IFNA(VLOOKUP($A347,Spells!$A$2:$I1002,MATCH(D$3,Spells!$A$1:$I$1,0),FALSE))</f>
        <v/>
      </c>
      <c r="E347" s="49" t="str">
        <f>IFNA(VLOOKUP($A347,Spells!$A$2:$I1002,MATCH(E$3,Spells!$A$1:$I$1,0),FALSE))</f>
        <v/>
      </c>
      <c r="F347" s="49" t="str">
        <f>IFNA(VLOOKUP($A347,Spells!$A$2:$I1002,MATCH(F$3,Spells!$A$1:$I$1,0),FALSE))</f>
        <v/>
      </c>
      <c r="G347" s="49" t="str">
        <f>IFNA(VLOOKUP($A347,Spells!$A$2:$I1002,MATCH(G$3,Spells!$A$1:$I$1,0),FALSE))</f>
        <v/>
      </c>
      <c r="H347" s="49" t="str">
        <f>IFNA(VLOOKUP($A347,Spells!$A$2:$I1002,MATCH(H$3,Spells!$A$1:$I$1,0),FALSE))</f>
        <v/>
      </c>
    </row>
    <row r="348">
      <c r="A348" s="49"/>
      <c r="B348" s="49" t="str">
        <f>IFNA(VLOOKUP($A348,Spells!$A$2:$I1002,MATCH(B$3,Spells!$A$1:$I$1,0),FALSE))</f>
        <v/>
      </c>
      <c r="C348" s="49" t="str">
        <f>IFNA(VLOOKUP($A348,Spells!$A$2:$I1002,MATCH(C$3,Spells!$A$1:$I$1,0),FALSE))</f>
        <v/>
      </c>
      <c r="D348" s="49" t="str">
        <f>IFNA(VLOOKUP($A348,Spells!$A$2:$I1002,MATCH(D$3,Spells!$A$1:$I$1,0),FALSE))</f>
        <v/>
      </c>
      <c r="E348" s="49" t="str">
        <f>IFNA(VLOOKUP($A348,Spells!$A$2:$I1002,MATCH(E$3,Spells!$A$1:$I$1,0),FALSE))</f>
        <v/>
      </c>
      <c r="F348" s="49" t="str">
        <f>IFNA(VLOOKUP($A348,Spells!$A$2:$I1002,MATCH(F$3,Spells!$A$1:$I$1,0),FALSE))</f>
        <v/>
      </c>
      <c r="G348" s="49" t="str">
        <f>IFNA(VLOOKUP($A348,Spells!$A$2:$I1002,MATCH(G$3,Spells!$A$1:$I$1,0),FALSE))</f>
        <v/>
      </c>
      <c r="H348" s="49" t="str">
        <f>IFNA(VLOOKUP($A348,Spells!$A$2:$I1002,MATCH(H$3,Spells!$A$1:$I$1,0),FALSE))</f>
        <v/>
      </c>
    </row>
    <row r="349">
      <c r="A349" s="49"/>
      <c r="B349" s="49" t="str">
        <f>IFNA(VLOOKUP($A349,Spells!$A$2:$I1002,MATCH(B$3,Spells!$A$1:$I$1,0),FALSE))</f>
        <v/>
      </c>
      <c r="C349" s="49" t="str">
        <f>IFNA(VLOOKUP($A349,Spells!$A$2:$I1002,MATCH(C$3,Spells!$A$1:$I$1,0),FALSE))</f>
        <v/>
      </c>
      <c r="D349" s="49" t="str">
        <f>IFNA(VLOOKUP($A349,Spells!$A$2:$I1002,MATCH(D$3,Spells!$A$1:$I$1,0),FALSE))</f>
        <v/>
      </c>
      <c r="E349" s="49" t="str">
        <f>IFNA(VLOOKUP($A349,Spells!$A$2:$I1002,MATCH(E$3,Spells!$A$1:$I$1,0),FALSE))</f>
        <v/>
      </c>
      <c r="F349" s="49" t="str">
        <f>IFNA(VLOOKUP($A349,Spells!$A$2:$I1002,MATCH(F$3,Spells!$A$1:$I$1,0),FALSE))</f>
        <v/>
      </c>
      <c r="G349" s="49" t="str">
        <f>IFNA(VLOOKUP($A349,Spells!$A$2:$I1002,MATCH(G$3,Spells!$A$1:$I$1,0),FALSE))</f>
        <v/>
      </c>
      <c r="H349" s="49" t="str">
        <f>IFNA(VLOOKUP($A349,Spells!$A$2:$I1002,MATCH(H$3,Spells!$A$1:$I$1,0),FALSE))</f>
        <v/>
      </c>
    </row>
    <row r="350">
      <c r="A350" s="49"/>
      <c r="B350" s="49" t="str">
        <f>IFNA(VLOOKUP($A350,Spells!$A$2:$I1002,MATCH(B$3,Spells!$A$1:$I$1,0),FALSE))</f>
        <v/>
      </c>
      <c r="C350" s="49" t="str">
        <f>IFNA(VLOOKUP($A350,Spells!$A$2:$I1002,MATCH(C$3,Spells!$A$1:$I$1,0),FALSE))</f>
        <v/>
      </c>
      <c r="D350" s="49" t="str">
        <f>IFNA(VLOOKUP($A350,Spells!$A$2:$I1002,MATCH(D$3,Spells!$A$1:$I$1,0),FALSE))</f>
        <v/>
      </c>
      <c r="E350" s="49" t="str">
        <f>IFNA(VLOOKUP($A350,Spells!$A$2:$I1002,MATCH(E$3,Spells!$A$1:$I$1,0),FALSE))</f>
        <v/>
      </c>
      <c r="F350" s="49" t="str">
        <f>IFNA(VLOOKUP($A350,Spells!$A$2:$I1002,MATCH(F$3,Spells!$A$1:$I$1,0),FALSE))</f>
        <v/>
      </c>
      <c r="G350" s="49" t="str">
        <f>IFNA(VLOOKUP($A350,Spells!$A$2:$I1002,MATCH(G$3,Spells!$A$1:$I$1,0),FALSE))</f>
        <v/>
      </c>
      <c r="H350" s="49" t="str">
        <f>IFNA(VLOOKUP($A350,Spells!$A$2:$I1002,MATCH(H$3,Spells!$A$1:$I$1,0),FALSE))</f>
        <v/>
      </c>
    </row>
    <row r="351">
      <c r="A351" s="49"/>
      <c r="B351" s="49" t="str">
        <f>IFNA(VLOOKUP($A351,Spells!$A$2:$I1002,MATCH(B$3,Spells!$A$1:$I$1,0),FALSE))</f>
        <v/>
      </c>
      <c r="C351" s="49" t="str">
        <f>IFNA(VLOOKUP($A351,Spells!$A$2:$I1002,MATCH(C$3,Spells!$A$1:$I$1,0),FALSE))</f>
        <v/>
      </c>
      <c r="D351" s="49" t="str">
        <f>IFNA(VLOOKUP($A351,Spells!$A$2:$I1002,MATCH(D$3,Spells!$A$1:$I$1,0),FALSE))</f>
        <v/>
      </c>
      <c r="E351" s="49" t="str">
        <f>IFNA(VLOOKUP($A351,Spells!$A$2:$I1002,MATCH(E$3,Spells!$A$1:$I$1,0),FALSE))</f>
        <v/>
      </c>
      <c r="F351" s="49" t="str">
        <f>IFNA(VLOOKUP($A351,Spells!$A$2:$I1002,MATCH(F$3,Spells!$A$1:$I$1,0),FALSE))</f>
        <v/>
      </c>
      <c r="G351" s="49" t="str">
        <f>IFNA(VLOOKUP($A351,Spells!$A$2:$I1002,MATCH(G$3,Spells!$A$1:$I$1,0),FALSE))</f>
        <v/>
      </c>
      <c r="H351" s="49" t="str">
        <f>IFNA(VLOOKUP($A351,Spells!$A$2:$I1002,MATCH(H$3,Spells!$A$1:$I$1,0),FALSE))</f>
        <v/>
      </c>
    </row>
    <row r="352">
      <c r="A352" s="49"/>
      <c r="B352" s="49" t="str">
        <f>IFNA(VLOOKUP($A352,Spells!$A$2:$I1002,MATCH(B$3,Spells!$A$1:$I$1,0),FALSE))</f>
        <v/>
      </c>
      <c r="C352" s="49" t="str">
        <f>IFNA(VLOOKUP($A352,Spells!$A$2:$I1002,MATCH(C$3,Spells!$A$1:$I$1,0),FALSE))</f>
        <v/>
      </c>
      <c r="D352" s="49" t="str">
        <f>IFNA(VLOOKUP($A352,Spells!$A$2:$I1002,MATCH(D$3,Spells!$A$1:$I$1,0),FALSE))</f>
        <v/>
      </c>
      <c r="E352" s="49" t="str">
        <f>IFNA(VLOOKUP($A352,Spells!$A$2:$I1002,MATCH(E$3,Spells!$A$1:$I$1,0),FALSE))</f>
        <v/>
      </c>
      <c r="F352" s="49" t="str">
        <f>IFNA(VLOOKUP($A352,Spells!$A$2:$I1002,MATCH(F$3,Spells!$A$1:$I$1,0),FALSE))</f>
        <v/>
      </c>
      <c r="G352" s="49" t="str">
        <f>IFNA(VLOOKUP($A352,Spells!$A$2:$I1002,MATCH(G$3,Spells!$A$1:$I$1,0),FALSE))</f>
        <v/>
      </c>
      <c r="H352" s="49" t="str">
        <f>IFNA(VLOOKUP($A352,Spells!$A$2:$I1002,MATCH(H$3,Spells!$A$1:$I$1,0),FALSE))</f>
        <v/>
      </c>
    </row>
    <row r="353">
      <c r="A353" s="49"/>
      <c r="B353" s="49" t="str">
        <f>IFNA(VLOOKUP($A353,Spells!$A$2:$I1002,MATCH(B$3,Spells!$A$1:$I$1,0),FALSE))</f>
        <v/>
      </c>
      <c r="C353" s="49" t="str">
        <f>IFNA(VLOOKUP($A353,Spells!$A$2:$I1002,MATCH(C$3,Spells!$A$1:$I$1,0),FALSE))</f>
        <v/>
      </c>
      <c r="D353" s="49" t="str">
        <f>IFNA(VLOOKUP($A353,Spells!$A$2:$I1002,MATCH(D$3,Spells!$A$1:$I$1,0),FALSE))</f>
        <v/>
      </c>
      <c r="E353" s="49" t="str">
        <f>IFNA(VLOOKUP($A353,Spells!$A$2:$I1002,MATCH(E$3,Spells!$A$1:$I$1,0),FALSE))</f>
        <v/>
      </c>
      <c r="F353" s="49" t="str">
        <f>IFNA(VLOOKUP($A353,Spells!$A$2:$I1002,MATCH(F$3,Spells!$A$1:$I$1,0),FALSE))</f>
        <v/>
      </c>
      <c r="G353" s="49" t="str">
        <f>IFNA(VLOOKUP($A353,Spells!$A$2:$I1002,MATCH(G$3,Spells!$A$1:$I$1,0),FALSE))</f>
        <v/>
      </c>
      <c r="H353" s="49" t="str">
        <f>IFNA(VLOOKUP($A353,Spells!$A$2:$I1002,MATCH(H$3,Spells!$A$1:$I$1,0),FALSE))</f>
        <v/>
      </c>
    </row>
    <row r="354">
      <c r="A354" s="49"/>
      <c r="B354" s="49" t="str">
        <f>IFNA(VLOOKUP($A354,Spells!$A$2:$I1002,MATCH(B$3,Spells!$A$1:$I$1,0),FALSE))</f>
        <v/>
      </c>
      <c r="C354" s="49" t="str">
        <f>IFNA(VLOOKUP($A354,Spells!$A$2:$I1002,MATCH(C$3,Spells!$A$1:$I$1,0),FALSE))</f>
        <v/>
      </c>
      <c r="D354" s="49" t="str">
        <f>IFNA(VLOOKUP($A354,Spells!$A$2:$I1002,MATCH(D$3,Spells!$A$1:$I$1,0),FALSE))</f>
        <v/>
      </c>
      <c r="E354" s="49" t="str">
        <f>IFNA(VLOOKUP($A354,Spells!$A$2:$I1002,MATCH(E$3,Spells!$A$1:$I$1,0),FALSE))</f>
        <v/>
      </c>
      <c r="F354" s="49" t="str">
        <f>IFNA(VLOOKUP($A354,Spells!$A$2:$I1002,MATCH(F$3,Spells!$A$1:$I$1,0),FALSE))</f>
        <v/>
      </c>
      <c r="G354" s="49" t="str">
        <f>IFNA(VLOOKUP($A354,Spells!$A$2:$I1002,MATCH(G$3,Spells!$A$1:$I$1,0),FALSE))</f>
        <v/>
      </c>
      <c r="H354" s="49" t="str">
        <f>IFNA(VLOOKUP($A354,Spells!$A$2:$I1002,MATCH(H$3,Spells!$A$1:$I$1,0),FALSE))</f>
        <v/>
      </c>
    </row>
    <row r="355">
      <c r="A355" s="49"/>
      <c r="B355" s="49" t="str">
        <f>IFNA(VLOOKUP($A355,Spells!$A$2:$I1002,MATCH(B$3,Spells!$A$1:$I$1,0),FALSE))</f>
        <v/>
      </c>
      <c r="C355" s="49" t="str">
        <f>IFNA(VLOOKUP($A355,Spells!$A$2:$I1002,MATCH(C$3,Spells!$A$1:$I$1,0),FALSE))</f>
        <v/>
      </c>
      <c r="D355" s="49" t="str">
        <f>IFNA(VLOOKUP($A355,Spells!$A$2:$I1002,MATCH(D$3,Spells!$A$1:$I$1,0),FALSE))</f>
        <v/>
      </c>
      <c r="E355" s="49" t="str">
        <f>IFNA(VLOOKUP($A355,Spells!$A$2:$I1002,MATCH(E$3,Spells!$A$1:$I$1,0),FALSE))</f>
        <v/>
      </c>
      <c r="F355" s="49" t="str">
        <f>IFNA(VLOOKUP($A355,Spells!$A$2:$I1002,MATCH(F$3,Spells!$A$1:$I$1,0),FALSE))</f>
        <v/>
      </c>
      <c r="G355" s="49" t="str">
        <f>IFNA(VLOOKUP($A355,Spells!$A$2:$I1002,MATCH(G$3,Spells!$A$1:$I$1,0),FALSE))</f>
        <v/>
      </c>
      <c r="H355" s="49" t="str">
        <f>IFNA(VLOOKUP($A355,Spells!$A$2:$I1002,MATCH(H$3,Spells!$A$1:$I$1,0),FALSE))</f>
        <v/>
      </c>
    </row>
    <row r="356">
      <c r="A356" s="49"/>
      <c r="B356" s="49" t="str">
        <f>IFNA(VLOOKUP($A356,Spells!$A$2:$I1002,MATCH(B$3,Spells!$A$1:$I$1,0),FALSE))</f>
        <v/>
      </c>
      <c r="C356" s="49" t="str">
        <f>IFNA(VLOOKUP($A356,Spells!$A$2:$I1002,MATCH(C$3,Spells!$A$1:$I$1,0),FALSE))</f>
        <v/>
      </c>
      <c r="D356" s="49" t="str">
        <f>IFNA(VLOOKUP($A356,Spells!$A$2:$I1002,MATCH(D$3,Spells!$A$1:$I$1,0),FALSE))</f>
        <v/>
      </c>
      <c r="E356" s="49" t="str">
        <f>IFNA(VLOOKUP($A356,Spells!$A$2:$I1002,MATCH(E$3,Spells!$A$1:$I$1,0),FALSE))</f>
        <v/>
      </c>
      <c r="F356" s="49" t="str">
        <f>IFNA(VLOOKUP($A356,Spells!$A$2:$I1002,MATCH(F$3,Spells!$A$1:$I$1,0),FALSE))</f>
        <v/>
      </c>
      <c r="G356" s="49" t="str">
        <f>IFNA(VLOOKUP($A356,Spells!$A$2:$I1002,MATCH(G$3,Spells!$A$1:$I$1,0),FALSE))</f>
        <v/>
      </c>
      <c r="H356" s="49" t="str">
        <f>IFNA(VLOOKUP($A356,Spells!$A$2:$I1002,MATCH(H$3,Spells!$A$1:$I$1,0),FALSE))</f>
        <v/>
      </c>
    </row>
    <row r="357">
      <c r="A357" s="49"/>
      <c r="B357" s="49" t="str">
        <f>IFNA(VLOOKUP($A357,Spells!$A$2:$I1002,MATCH(B$3,Spells!$A$1:$I$1,0),FALSE))</f>
        <v/>
      </c>
      <c r="C357" s="49" t="str">
        <f>IFNA(VLOOKUP($A357,Spells!$A$2:$I1002,MATCH(C$3,Spells!$A$1:$I$1,0),FALSE))</f>
        <v/>
      </c>
      <c r="D357" s="49" t="str">
        <f>IFNA(VLOOKUP($A357,Spells!$A$2:$I1002,MATCH(D$3,Spells!$A$1:$I$1,0),FALSE))</f>
        <v/>
      </c>
      <c r="E357" s="49" t="str">
        <f>IFNA(VLOOKUP($A357,Spells!$A$2:$I1002,MATCH(E$3,Spells!$A$1:$I$1,0),FALSE))</f>
        <v/>
      </c>
      <c r="F357" s="49" t="str">
        <f>IFNA(VLOOKUP($A357,Spells!$A$2:$I1002,MATCH(F$3,Spells!$A$1:$I$1,0),FALSE))</f>
        <v/>
      </c>
      <c r="G357" s="49" t="str">
        <f>IFNA(VLOOKUP($A357,Spells!$A$2:$I1002,MATCH(G$3,Spells!$A$1:$I$1,0),FALSE))</f>
        <v/>
      </c>
      <c r="H357" s="49" t="str">
        <f>IFNA(VLOOKUP($A357,Spells!$A$2:$I1002,MATCH(H$3,Spells!$A$1:$I$1,0),FALSE))</f>
        <v/>
      </c>
    </row>
    <row r="358">
      <c r="A358" s="49"/>
      <c r="B358" s="49" t="str">
        <f>IFNA(VLOOKUP($A358,Spells!$A$2:$I1002,MATCH(B$3,Spells!$A$1:$I$1,0),FALSE))</f>
        <v/>
      </c>
      <c r="C358" s="49" t="str">
        <f>IFNA(VLOOKUP($A358,Spells!$A$2:$I1002,MATCH(C$3,Spells!$A$1:$I$1,0),FALSE))</f>
        <v/>
      </c>
      <c r="D358" s="49" t="str">
        <f>IFNA(VLOOKUP($A358,Spells!$A$2:$I1002,MATCH(D$3,Spells!$A$1:$I$1,0),FALSE))</f>
        <v/>
      </c>
      <c r="E358" s="49" t="str">
        <f>IFNA(VLOOKUP($A358,Spells!$A$2:$I1002,MATCH(E$3,Spells!$A$1:$I$1,0),FALSE))</f>
        <v/>
      </c>
      <c r="F358" s="49" t="str">
        <f>IFNA(VLOOKUP($A358,Spells!$A$2:$I1002,MATCH(F$3,Spells!$A$1:$I$1,0),FALSE))</f>
        <v/>
      </c>
      <c r="G358" s="49" t="str">
        <f>IFNA(VLOOKUP($A358,Spells!$A$2:$I1002,MATCH(G$3,Spells!$A$1:$I$1,0),FALSE))</f>
        <v/>
      </c>
      <c r="H358" s="49" t="str">
        <f>IFNA(VLOOKUP($A358,Spells!$A$2:$I1002,MATCH(H$3,Spells!$A$1:$I$1,0),FALSE))</f>
        <v/>
      </c>
    </row>
    <row r="359">
      <c r="A359" s="49"/>
      <c r="B359" s="49" t="str">
        <f>IFNA(VLOOKUP($A359,Spells!$A$2:$I1002,MATCH(B$3,Spells!$A$1:$I$1,0),FALSE))</f>
        <v/>
      </c>
      <c r="C359" s="49" t="str">
        <f>IFNA(VLOOKUP($A359,Spells!$A$2:$I1002,MATCH(C$3,Spells!$A$1:$I$1,0),FALSE))</f>
        <v/>
      </c>
      <c r="D359" s="49" t="str">
        <f>IFNA(VLOOKUP($A359,Spells!$A$2:$I1002,MATCH(D$3,Spells!$A$1:$I$1,0),FALSE))</f>
        <v/>
      </c>
      <c r="E359" s="49" t="str">
        <f>IFNA(VLOOKUP($A359,Spells!$A$2:$I1002,MATCH(E$3,Spells!$A$1:$I$1,0),FALSE))</f>
        <v/>
      </c>
      <c r="F359" s="49" t="str">
        <f>IFNA(VLOOKUP($A359,Spells!$A$2:$I1002,MATCH(F$3,Spells!$A$1:$I$1,0),FALSE))</f>
        <v/>
      </c>
      <c r="G359" s="49" t="str">
        <f>IFNA(VLOOKUP($A359,Spells!$A$2:$I1002,MATCH(G$3,Spells!$A$1:$I$1,0),FALSE))</f>
        <v/>
      </c>
      <c r="H359" s="49" t="str">
        <f>IFNA(VLOOKUP($A359,Spells!$A$2:$I1002,MATCH(H$3,Spells!$A$1:$I$1,0),FALSE))</f>
        <v/>
      </c>
    </row>
    <row r="360">
      <c r="A360" s="49"/>
      <c r="B360" s="49" t="str">
        <f>IFNA(VLOOKUP($A360,Spells!$A$2:$I1002,MATCH(B$3,Spells!$A$1:$I$1,0),FALSE))</f>
        <v/>
      </c>
      <c r="C360" s="49" t="str">
        <f>IFNA(VLOOKUP($A360,Spells!$A$2:$I1002,MATCH(C$3,Spells!$A$1:$I$1,0),FALSE))</f>
        <v/>
      </c>
      <c r="D360" s="49" t="str">
        <f>IFNA(VLOOKUP($A360,Spells!$A$2:$I1002,MATCH(D$3,Spells!$A$1:$I$1,0),FALSE))</f>
        <v/>
      </c>
      <c r="E360" s="49" t="str">
        <f>IFNA(VLOOKUP($A360,Spells!$A$2:$I1002,MATCH(E$3,Spells!$A$1:$I$1,0),FALSE))</f>
        <v/>
      </c>
      <c r="F360" s="49" t="str">
        <f>IFNA(VLOOKUP($A360,Spells!$A$2:$I1002,MATCH(F$3,Spells!$A$1:$I$1,0),FALSE))</f>
        <v/>
      </c>
      <c r="G360" s="49" t="str">
        <f>IFNA(VLOOKUP($A360,Spells!$A$2:$I1002,MATCH(G$3,Spells!$A$1:$I$1,0),FALSE))</f>
        <v/>
      </c>
      <c r="H360" s="49" t="str">
        <f>IFNA(VLOOKUP($A360,Spells!$A$2:$I1002,MATCH(H$3,Spells!$A$1:$I$1,0),FALSE))</f>
        <v/>
      </c>
    </row>
    <row r="361">
      <c r="A361" s="49"/>
      <c r="B361" s="49" t="str">
        <f>IFNA(VLOOKUP($A361,Spells!$A$2:$I1002,MATCH(B$3,Spells!$A$1:$I$1,0),FALSE))</f>
        <v/>
      </c>
      <c r="C361" s="49" t="str">
        <f>IFNA(VLOOKUP($A361,Spells!$A$2:$I1002,MATCH(C$3,Spells!$A$1:$I$1,0),FALSE))</f>
        <v/>
      </c>
      <c r="D361" s="49" t="str">
        <f>IFNA(VLOOKUP($A361,Spells!$A$2:$I1002,MATCH(D$3,Spells!$A$1:$I$1,0),FALSE))</f>
        <v/>
      </c>
      <c r="E361" s="49" t="str">
        <f>IFNA(VLOOKUP($A361,Spells!$A$2:$I1002,MATCH(E$3,Spells!$A$1:$I$1,0),FALSE))</f>
        <v/>
      </c>
      <c r="F361" s="49" t="str">
        <f>IFNA(VLOOKUP($A361,Spells!$A$2:$I1002,MATCH(F$3,Spells!$A$1:$I$1,0),FALSE))</f>
        <v/>
      </c>
      <c r="G361" s="49" t="str">
        <f>IFNA(VLOOKUP($A361,Spells!$A$2:$I1002,MATCH(G$3,Spells!$A$1:$I$1,0),FALSE))</f>
        <v/>
      </c>
      <c r="H361" s="49" t="str">
        <f>IFNA(VLOOKUP($A361,Spells!$A$2:$I1002,MATCH(H$3,Spells!$A$1:$I$1,0),FALSE))</f>
        <v/>
      </c>
    </row>
    <row r="362">
      <c r="A362" s="49"/>
      <c r="B362" s="49" t="str">
        <f>IFNA(VLOOKUP($A362,Spells!$A$2:$I1002,MATCH(B$3,Spells!$A$1:$I$1,0),FALSE))</f>
        <v/>
      </c>
      <c r="C362" s="49" t="str">
        <f>IFNA(VLOOKUP($A362,Spells!$A$2:$I1002,MATCH(C$3,Spells!$A$1:$I$1,0),FALSE))</f>
        <v/>
      </c>
      <c r="D362" s="49" t="str">
        <f>IFNA(VLOOKUP($A362,Spells!$A$2:$I1002,MATCH(D$3,Spells!$A$1:$I$1,0),FALSE))</f>
        <v/>
      </c>
      <c r="E362" s="49" t="str">
        <f>IFNA(VLOOKUP($A362,Spells!$A$2:$I1002,MATCH(E$3,Spells!$A$1:$I$1,0),FALSE))</f>
        <v/>
      </c>
      <c r="F362" s="49" t="str">
        <f>IFNA(VLOOKUP($A362,Spells!$A$2:$I1002,MATCH(F$3,Spells!$A$1:$I$1,0),FALSE))</f>
        <v/>
      </c>
      <c r="G362" s="49" t="str">
        <f>IFNA(VLOOKUP($A362,Spells!$A$2:$I1002,MATCH(G$3,Spells!$A$1:$I$1,0),FALSE))</f>
        <v/>
      </c>
      <c r="H362" s="49" t="str">
        <f>IFNA(VLOOKUP($A362,Spells!$A$2:$I1002,MATCH(H$3,Spells!$A$1:$I$1,0),FALSE))</f>
        <v/>
      </c>
    </row>
    <row r="363">
      <c r="A363" s="49"/>
      <c r="B363" s="49" t="str">
        <f>IFNA(VLOOKUP($A363,Spells!$A$2:$I1002,MATCH(B$3,Spells!$A$1:$I$1,0),FALSE))</f>
        <v/>
      </c>
      <c r="C363" s="49" t="str">
        <f>IFNA(VLOOKUP($A363,Spells!$A$2:$I1002,MATCH(C$3,Spells!$A$1:$I$1,0),FALSE))</f>
        <v/>
      </c>
      <c r="D363" s="49" t="str">
        <f>IFNA(VLOOKUP($A363,Spells!$A$2:$I1002,MATCH(D$3,Spells!$A$1:$I$1,0),FALSE))</f>
        <v/>
      </c>
      <c r="E363" s="49" t="str">
        <f>IFNA(VLOOKUP($A363,Spells!$A$2:$I1002,MATCH(E$3,Spells!$A$1:$I$1,0),FALSE))</f>
        <v/>
      </c>
      <c r="F363" s="49" t="str">
        <f>IFNA(VLOOKUP($A363,Spells!$A$2:$I1002,MATCH(F$3,Spells!$A$1:$I$1,0),FALSE))</f>
        <v/>
      </c>
      <c r="G363" s="49" t="str">
        <f>IFNA(VLOOKUP($A363,Spells!$A$2:$I1002,MATCH(G$3,Spells!$A$1:$I$1,0),FALSE))</f>
        <v/>
      </c>
      <c r="H363" s="49" t="str">
        <f>IFNA(VLOOKUP($A363,Spells!$A$2:$I1002,MATCH(H$3,Spells!$A$1:$I$1,0),FALSE))</f>
        <v/>
      </c>
    </row>
    <row r="364">
      <c r="A364" s="49"/>
      <c r="B364" s="49" t="str">
        <f>IFNA(VLOOKUP($A364,Spells!$A$2:$I1002,MATCH(B$3,Spells!$A$1:$I$1,0),FALSE))</f>
        <v/>
      </c>
      <c r="C364" s="49" t="str">
        <f>IFNA(VLOOKUP($A364,Spells!$A$2:$I1002,MATCH(C$3,Spells!$A$1:$I$1,0),FALSE))</f>
        <v/>
      </c>
      <c r="D364" s="49" t="str">
        <f>IFNA(VLOOKUP($A364,Spells!$A$2:$I1002,MATCH(D$3,Spells!$A$1:$I$1,0),FALSE))</f>
        <v/>
      </c>
      <c r="E364" s="49" t="str">
        <f>IFNA(VLOOKUP($A364,Spells!$A$2:$I1002,MATCH(E$3,Spells!$A$1:$I$1,0),FALSE))</f>
        <v/>
      </c>
      <c r="F364" s="49" t="str">
        <f>IFNA(VLOOKUP($A364,Spells!$A$2:$I1002,MATCH(F$3,Spells!$A$1:$I$1,0),FALSE))</f>
        <v/>
      </c>
      <c r="G364" s="49" t="str">
        <f>IFNA(VLOOKUP($A364,Spells!$A$2:$I1002,MATCH(G$3,Spells!$A$1:$I$1,0),FALSE))</f>
        <v/>
      </c>
      <c r="H364" s="49" t="str">
        <f>IFNA(VLOOKUP($A364,Spells!$A$2:$I1002,MATCH(H$3,Spells!$A$1:$I$1,0),FALSE))</f>
        <v/>
      </c>
    </row>
    <row r="365">
      <c r="A365" s="49"/>
      <c r="B365" s="49" t="str">
        <f>IFNA(VLOOKUP($A365,Spells!$A$2:$I1002,MATCH(B$3,Spells!$A$1:$I$1,0),FALSE))</f>
        <v/>
      </c>
      <c r="C365" s="49" t="str">
        <f>IFNA(VLOOKUP($A365,Spells!$A$2:$I1002,MATCH(C$3,Spells!$A$1:$I$1,0),FALSE))</f>
        <v/>
      </c>
      <c r="D365" s="49" t="str">
        <f>IFNA(VLOOKUP($A365,Spells!$A$2:$I1002,MATCH(D$3,Spells!$A$1:$I$1,0),FALSE))</f>
        <v/>
      </c>
      <c r="E365" s="49" t="str">
        <f>IFNA(VLOOKUP($A365,Spells!$A$2:$I1002,MATCH(E$3,Spells!$A$1:$I$1,0),FALSE))</f>
        <v/>
      </c>
      <c r="F365" s="49" t="str">
        <f>IFNA(VLOOKUP($A365,Spells!$A$2:$I1002,MATCH(F$3,Spells!$A$1:$I$1,0),FALSE))</f>
        <v/>
      </c>
      <c r="G365" s="49" t="str">
        <f>IFNA(VLOOKUP($A365,Spells!$A$2:$I1002,MATCH(G$3,Spells!$A$1:$I$1,0),FALSE))</f>
        <v/>
      </c>
      <c r="H365" s="49" t="str">
        <f>IFNA(VLOOKUP($A365,Spells!$A$2:$I1002,MATCH(H$3,Spells!$A$1:$I$1,0),FALSE))</f>
        <v/>
      </c>
    </row>
    <row r="366">
      <c r="A366" s="49"/>
      <c r="B366" s="49" t="str">
        <f>IFNA(VLOOKUP($A366,Spells!$A$2:$I1002,MATCH(B$3,Spells!$A$1:$I$1,0),FALSE))</f>
        <v/>
      </c>
      <c r="C366" s="49" t="str">
        <f>IFNA(VLOOKUP($A366,Spells!$A$2:$I1002,MATCH(C$3,Spells!$A$1:$I$1,0),FALSE))</f>
        <v/>
      </c>
      <c r="D366" s="49" t="str">
        <f>IFNA(VLOOKUP($A366,Spells!$A$2:$I1002,MATCH(D$3,Spells!$A$1:$I$1,0),FALSE))</f>
        <v/>
      </c>
      <c r="E366" s="49" t="str">
        <f>IFNA(VLOOKUP($A366,Spells!$A$2:$I1002,MATCH(E$3,Spells!$A$1:$I$1,0),FALSE))</f>
        <v/>
      </c>
      <c r="F366" s="49" t="str">
        <f>IFNA(VLOOKUP($A366,Spells!$A$2:$I1002,MATCH(F$3,Spells!$A$1:$I$1,0),FALSE))</f>
        <v/>
      </c>
      <c r="G366" s="49" t="str">
        <f>IFNA(VLOOKUP($A366,Spells!$A$2:$I1002,MATCH(G$3,Spells!$A$1:$I$1,0),FALSE))</f>
        <v/>
      </c>
      <c r="H366" s="49" t="str">
        <f>IFNA(VLOOKUP($A366,Spells!$A$2:$I1002,MATCH(H$3,Spells!$A$1:$I$1,0),FALSE))</f>
        <v/>
      </c>
    </row>
    <row r="367">
      <c r="A367" s="49"/>
      <c r="B367" s="49" t="str">
        <f>IFNA(VLOOKUP($A367,Spells!$A$2:$I1002,MATCH(B$3,Spells!$A$1:$I$1,0),FALSE))</f>
        <v/>
      </c>
      <c r="C367" s="49" t="str">
        <f>IFNA(VLOOKUP($A367,Spells!$A$2:$I1002,MATCH(C$3,Spells!$A$1:$I$1,0),FALSE))</f>
        <v/>
      </c>
      <c r="D367" s="49" t="str">
        <f>IFNA(VLOOKUP($A367,Spells!$A$2:$I1002,MATCH(D$3,Spells!$A$1:$I$1,0),FALSE))</f>
        <v/>
      </c>
      <c r="E367" s="49" t="str">
        <f>IFNA(VLOOKUP($A367,Spells!$A$2:$I1002,MATCH(E$3,Spells!$A$1:$I$1,0),FALSE))</f>
        <v/>
      </c>
      <c r="F367" s="49" t="str">
        <f>IFNA(VLOOKUP($A367,Spells!$A$2:$I1002,MATCH(F$3,Spells!$A$1:$I$1,0),FALSE))</f>
        <v/>
      </c>
      <c r="G367" s="49" t="str">
        <f>IFNA(VLOOKUP($A367,Spells!$A$2:$I1002,MATCH(G$3,Spells!$A$1:$I$1,0),FALSE))</f>
        <v/>
      </c>
      <c r="H367" s="49" t="str">
        <f>IFNA(VLOOKUP($A367,Spells!$A$2:$I1002,MATCH(H$3,Spells!$A$1:$I$1,0),FALSE))</f>
        <v/>
      </c>
    </row>
    <row r="368">
      <c r="A368" s="49"/>
      <c r="B368" s="49" t="str">
        <f>IFNA(VLOOKUP($A368,Spells!$A$2:$I1002,MATCH(B$3,Spells!$A$1:$I$1,0),FALSE))</f>
        <v/>
      </c>
      <c r="C368" s="49" t="str">
        <f>IFNA(VLOOKUP($A368,Spells!$A$2:$I1002,MATCH(C$3,Spells!$A$1:$I$1,0),FALSE))</f>
        <v/>
      </c>
      <c r="D368" s="49" t="str">
        <f>IFNA(VLOOKUP($A368,Spells!$A$2:$I1002,MATCH(D$3,Spells!$A$1:$I$1,0),FALSE))</f>
        <v/>
      </c>
      <c r="E368" s="49" t="str">
        <f>IFNA(VLOOKUP($A368,Spells!$A$2:$I1002,MATCH(E$3,Spells!$A$1:$I$1,0),FALSE))</f>
        <v/>
      </c>
      <c r="F368" s="49" t="str">
        <f>IFNA(VLOOKUP($A368,Spells!$A$2:$I1002,MATCH(F$3,Spells!$A$1:$I$1,0),FALSE))</f>
        <v/>
      </c>
      <c r="G368" s="49" t="str">
        <f>IFNA(VLOOKUP($A368,Spells!$A$2:$I1002,MATCH(G$3,Spells!$A$1:$I$1,0),FALSE))</f>
        <v/>
      </c>
      <c r="H368" s="49" t="str">
        <f>IFNA(VLOOKUP($A368,Spells!$A$2:$I1002,MATCH(H$3,Spells!$A$1:$I$1,0),FALSE))</f>
        <v/>
      </c>
    </row>
    <row r="369">
      <c r="A369" s="49"/>
      <c r="B369" s="49" t="str">
        <f>IFNA(VLOOKUP($A369,Spells!$A$2:$I1002,MATCH(B$3,Spells!$A$1:$I$1,0),FALSE))</f>
        <v/>
      </c>
      <c r="C369" s="49" t="str">
        <f>IFNA(VLOOKUP($A369,Spells!$A$2:$I1002,MATCH(C$3,Spells!$A$1:$I$1,0),FALSE))</f>
        <v/>
      </c>
      <c r="D369" s="49" t="str">
        <f>IFNA(VLOOKUP($A369,Spells!$A$2:$I1002,MATCH(D$3,Spells!$A$1:$I$1,0),FALSE))</f>
        <v/>
      </c>
      <c r="E369" s="49" t="str">
        <f>IFNA(VLOOKUP($A369,Spells!$A$2:$I1002,MATCH(E$3,Spells!$A$1:$I$1,0),FALSE))</f>
        <v/>
      </c>
      <c r="F369" s="49" t="str">
        <f>IFNA(VLOOKUP($A369,Spells!$A$2:$I1002,MATCH(F$3,Spells!$A$1:$I$1,0),FALSE))</f>
        <v/>
      </c>
      <c r="G369" s="49" t="str">
        <f>IFNA(VLOOKUP($A369,Spells!$A$2:$I1002,MATCH(G$3,Spells!$A$1:$I$1,0),FALSE))</f>
        <v/>
      </c>
      <c r="H369" s="49" t="str">
        <f>IFNA(VLOOKUP($A369,Spells!$A$2:$I1002,MATCH(H$3,Spells!$A$1:$I$1,0),FALSE))</f>
        <v/>
      </c>
    </row>
    <row r="370">
      <c r="A370" s="49"/>
      <c r="B370" s="49" t="str">
        <f>IFNA(VLOOKUP($A370,Spells!$A$2:$I1002,MATCH(B$3,Spells!$A$1:$I$1,0),FALSE))</f>
        <v/>
      </c>
      <c r="C370" s="49" t="str">
        <f>IFNA(VLOOKUP($A370,Spells!$A$2:$I1002,MATCH(C$3,Spells!$A$1:$I$1,0),FALSE))</f>
        <v/>
      </c>
      <c r="D370" s="49" t="str">
        <f>IFNA(VLOOKUP($A370,Spells!$A$2:$I1002,MATCH(D$3,Spells!$A$1:$I$1,0),FALSE))</f>
        <v/>
      </c>
      <c r="E370" s="49" t="str">
        <f>IFNA(VLOOKUP($A370,Spells!$A$2:$I1002,MATCH(E$3,Spells!$A$1:$I$1,0),FALSE))</f>
        <v/>
      </c>
      <c r="F370" s="49" t="str">
        <f>IFNA(VLOOKUP($A370,Spells!$A$2:$I1002,MATCH(F$3,Spells!$A$1:$I$1,0),FALSE))</f>
        <v/>
      </c>
      <c r="G370" s="49" t="str">
        <f>IFNA(VLOOKUP($A370,Spells!$A$2:$I1002,MATCH(G$3,Spells!$A$1:$I$1,0),FALSE))</f>
        <v/>
      </c>
      <c r="H370" s="49" t="str">
        <f>IFNA(VLOOKUP($A370,Spells!$A$2:$I1002,MATCH(H$3,Spells!$A$1:$I$1,0),FALSE))</f>
        <v/>
      </c>
    </row>
    <row r="371">
      <c r="A371" s="49"/>
      <c r="B371" s="49" t="str">
        <f>IFNA(VLOOKUP($A371,Spells!$A$2:$I1002,MATCH(B$3,Spells!$A$1:$I$1,0),FALSE))</f>
        <v/>
      </c>
      <c r="C371" s="49" t="str">
        <f>IFNA(VLOOKUP($A371,Spells!$A$2:$I1002,MATCH(C$3,Spells!$A$1:$I$1,0),FALSE))</f>
        <v/>
      </c>
      <c r="D371" s="49" t="str">
        <f>IFNA(VLOOKUP($A371,Spells!$A$2:$I1002,MATCH(D$3,Spells!$A$1:$I$1,0),FALSE))</f>
        <v/>
      </c>
      <c r="E371" s="49" t="str">
        <f>IFNA(VLOOKUP($A371,Spells!$A$2:$I1002,MATCH(E$3,Spells!$A$1:$I$1,0),FALSE))</f>
        <v/>
      </c>
      <c r="F371" s="49" t="str">
        <f>IFNA(VLOOKUP($A371,Spells!$A$2:$I1002,MATCH(F$3,Spells!$A$1:$I$1,0),FALSE))</f>
        <v/>
      </c>
      <c r="G371" s="49" t="str">
        <f>IFNA(VLOOKUP($A371,Spells!$A$2:$I1002,MATCH(G$3,Spells!$A$1:$I$1,0),FALSE))</f>
        <v/>
      </c>
      <c r="H371" s="49" t="str">
        <f>IFNA(VLOOKUP($A371,Spells!$A$2:$I1002,MATCH(H$3,Spells!$A$1:$I$1,0),FALSE))</f>
        <v/>
      </c>
    </row>
    <row r="372">
      <c r="A372" s="49"/>
      <c r="B372" s="49" t="str">
        <f>IFNA(VLOOKUP($A372,Spells!$A$2:$I1002,MATCH(B$3,Spells!$A$1:$I$1,0),FALSE))</f>
        <v/>
      </c>
      <c r="C372" s="49" t="str">
        <f>IFNA(VLOOKUP($A372,Spells!$A$2:$I1002,MATCH(C$3,Spells!$A$1:$I$1,0),FALSE))</f>
        <v/>
      </c>
      <c r="D372" s="49" t="str">
        <f>IFNA(VLOOKUP($A372,Spells!$A$2:$I1002,MATCH(D$3,Spells!$A$1:$I$1,0),FALSE))</f>
        <v/>
      </c>
      <c r="E372" s="49" t="str">
        <f>IFNA(VLOOKUP($A372,Spells!$A$2:$I1002,MATCH(E$3,Spells!$A$1:$I$1,0),FALSE))</f>
        <v/>
      </c>
      <c r="F372" s="49" t="str">
        <f>IFNA(VLOOKUP($A372,Spells!$A$2:$I1002,MATCH(F$3,Spells!$A$1:$I$1,0),FALSE))</f>
        <v/>
      </c>
      <c r="G372" s="49" t="str">
        <f>IFNA(VLOOKUP($A372,Spells!$A$2:$I1002,MATCH(G$3,Spells!$A$1:$I$1,0),FALSE))</f>
        <v/>
      </c>
      <c r="H372" s="49" t="str">
        <f>IFNA(VLOOKUP($A372,Spells!$A$2:$I1002,MATCH(H$3,Spells!$A$1:$I$1,0),FALSE))</f>
        <v/>
      </c>
    </row>
    <row r="373">
      <c r="A373" s="49"/>
      <c r="B373" s="49" t="str">
        <f>IFNA(VLOOKUP($A373,Spells!$A$2:$I1002,MATCH(B$3,Spells!$A$1:$I$1,0),FALSE))</f>
        <v/>
      </c>
      <c r="C373" s="49" t="str">
        <f>IFNA(VLOOKUP($A373,Spells!$A$2:$I1002,MATCH(C$3,Spells!$A$1:$I$1,0),FALSE))</f>
        <v/>
      </c>
      <c r="D373" s="49" t="str">
        <f>IFNA(VLOOKUP($A373,Spells!$A$2:$I1002,MATCH(D$3,Spells!$A$1:$I$1,0),FALSE))</f>
        <v/>
      </c>
      <c r="E373" s="49" t="str">
        <f>IFNA(VLOOKUP($A373,Spells!$A$2:$I1002,MATCH(E$3,Spells!$A$1:$I$1,0),FALSE))</f>
        <v/>
      </c>
      <c r="F373" s="49" t="str">
        <f>IFNA(VLOOKUP($A373,Spells!$A$2:$I1002,MATCH(F$3,Spells!$A$1:$I$1,0),FALSE))</f>
        <v/>
      </c>
      <c r="G373" s="49" t="str">
        <f>IFNA(VLOOKUP($A373,Spells!$A$2:$I1002,MATCH(G$3,Spells!$A$1:$I$1,0),FALSE))</f>
        <v/>
      </c>
      <c r="H373" s="49" t="str">
        <f>IFNA(VLOOKUP($A373,Spells!$A$2:$I1002,MATCH(H$3,Spells!$A$1:$I$1,0),FALSE))</f>
        <v/>
      </c>
    </row>
    <row r="374">
      <c r="A374" s="49"/>
      <c r="B374" s="49" t="str">
        <f>IFNA(VLOOKUP($A374,Spells!$A$2:$I1002,MATCH(B$3,Spells!$A$1:$I$1,0),FALSE))</f>
        <v/>
      </c>
      <c r="C374" s="49" t="str">
        <f>IFNA(VLOOKUP($A374,Spells!$A$2:$I1002,MATCH(C$3,Spells!$A$1:$I$1,0),FALSE))</f>
        <v/>
      </c>
      <c r="D374" s="49" t="str">
        <f>IFNA(VLOOKUP($A374,Spells!$A$2:$I1002,MATCH(D$3,Spells!$A$1:$I$1,0),FALSE))</f>
        <v/>
      </c>
      <c r="E374" s="49" t="str">
        <f>IFNA(VLOOKUP($A374,Spells!$A$2:$I1002,MATCH(E$3,Spells!$A$1:$I$1,0),FALSE))</f>
        <v/>
      </c>
      <c r="F374" s="49" t="str">
        <f>IFNA(VLOOKUP($A374,Spells!$A$2:$I1002,MATCH(F$3,Spells!$A$1:$I$1,0),FALSE))</f>
        <v/>
      </c>
      <c r="G374" s="49" t="str">
        <f>IFNA(VLOOKUP($A374,Spells!$A$2:$I1002,MATCH(G$3,Spells!$A$1:$I$1,0),FALSE))</f>
        <v/>
      </c>
      <c r="H374" s="49" t="str">
        <f>IFNA(VLOOKUP($A374,Spells!$A$2:$I1002,MATCH(H$3,Spells!$A$1:$I$1,0),FALSE))</f>
        <v/>
      </c>
    </row>
    <row r="375">
      <c r="A375" s="49"/>
      <c r="B375" s="49" t="str">
        <f>IFNA(VLOOKUP($A375,Spells!$A$2:$I1002,MATCH(B$3,Spells!$A$1:$I$1,0),FALSE))</f>
        <v/>
      </c>
      <c r="C375" s="49" t="str">
        <f>IFNA(VLOOKUP($A375,Spells!$A$2:$I1002,MATCH(C$3,Spells!$A$1:$I$1,0),FALSE))</f>
        <v/>
      </c>
      <c r="D375" s="49" t="str">
        <f>IFNA(VLOOKUP($A375,Spells!$A$2:$I1002,MATCH(D$3,Spells!$A$1:$I$1,0),FALSE))</f>
        <v/>
      </c>
      <c r="E375" s="49" t="str">
        <f>IFNA(VLOOKUP($A375,Spells!$A$2:$I1002,MATCH(E$3,Spells!$A$1:$I$1,0),FALSE))</f>
        <v/>
      </c>
      <c r="F375" s="49" t="str">
        <f>IFNA(VLOOKUP($A375,Spells!$A$2:$I1002,MATCH(F$3,Spells!$A$1:$I$1,0),FALSE))</f>
        <v/>
      </c>
      <c r="G375" s="49" t="str">
        <f>IFNA(VLOOKUP($A375,Spells!$A$2:$I1002,MATCH(G$3,Spells!$A$1:$I$1,0),FALSE))</f>
        <v/>
      </c>
      <c r="H375" s="49" t="str">
        <f>IFNA(VLOOKUP($A375,Spells!$A$2:$I1002,MATCH(H$3,Spells!$A$1:$I$1,0),FALSE))</f>
        <v/>
      </c>
    </row>
    <row r="376">
      <c r="A376" s="49"/>
      <c r="B376" s="49" t="str">
        <f>IFNA(VLOOKUP($A376,Spells!$A$2:$I1002,MATCH(B$3,Spells!$A$1:$I$1,0),FALSE))</f>
        <v/>
      </c>
      <c r="C376" s="49" t="str">
        <f>IFNA(VLOOKUP($A376,Spells!$A$2:$I1002,MATCH(C$3,Spells!$A$1:$I$1,0),FALSE))</f>
        <v/>
      </c>
      <c r="D376" s="49" t="str">
        <f>IFNA(VLOOKUP($A376,Spells!$A$2:$I1002,MATCH(D$3,Spells!$A$1:$I$1,0),FALSE))</f>
        <v/>
      </c>
      <c r="E376" s="49" t="str">
        <f>IFNA(VLOOKUP($A376,Spells!$A$2:$I1002,MATCH(E$3,Spells!$A$1:$I$1,0),FALSE))</f>
        <v/>
      </c>
      <c r="F376" s="49" t="str">
        <f>IFNA(VLOOKUP($A376,Spells!$A$2:$I1002,MATCH(F$3,Spells!$A$1:$I$1,0),FALSE))</f>
        <v/>
      </c>
      <c r="G376" s="49" t="str">
        <f>IFNA(VLOOKUP($A376,Spells!$A$2:$I1002,MATCH(G$3,Spells!$A$1:$I$1,0),FALSE))</f>
        <v/>
      </c>
      <c r="H376" s="49" t="str">
        <f>IFNA(VLOOKUP($A376,Spells!$A$2:$I1002,MATCH(H$3,Spells!$A$1:$I$1,0),FALSE))</f>
        <v/>
      </c>
    </row>
    <row r="377">
      <c r="A377" s="49"/>
      <c r="B377" s="49" t="str">
        <f>IFNA(VLOOKUP($A377,Spells!$A$2:$I1002,MATCH(B$3,Spells!$A$1:$I$1,0),FALSE))</f>
        <v/>
      </c>
      <c r="C377" s="49" t="str">
        <f>IFNA(VLOOKUP($A377,Spells!$A$2:$I1002,MATCH(C$3,Spells!$A$1:$I$1,0),FALSE))</f>
        <v/>
      </c>
      <c r="D377" s="49" t="str">
        <f>IFNA(VLOOKUP($A377,Spells!$A$2:$I1002,MATCH(D$3,Spells!$A$1:$I$1,0),FALSE))</f>
        <v/>
      </c>
      <c r="E377" s="49" t="str">
        <f>IFNA(VLOOKUP($A377,Spells!$A$2:$I1002,MATCH(E$3,Spells!$A$1:$I$1,0),FALSE))</f>
        <v/>
      </c>
      <c r="F377" s="49" t="str">
        <f>IFNA(VLOOKUP($A377,Spells!$A$2:$I1002,MATCH(F$3,Spells!$A$1:$I$1,0),FALSE))</f>
        <v/>
      </c>
      <c r="G377" s="49" t="str">
        <f>IFNA(VLOOKUP($A377,Spells!$A$2:$I1002,MATCH(G$3,Spells!$A$1:$I$1,0),FALSE))</f>
        <v/>
      </c>
      <c r="H377" s="49" t="str">
        <f>IFNA(VLOOKUP($A377,Spells!$A$2:$I1002,MATCH(H$3,Spells!$A$1:$I$1,0),FALSE))</f>
        <v/>
      </c>
    </row>
    <row r="378">
      <c r="A378" s="49"/>
      <c r="B378" s="49" t="str">
        <f>IFNA(VLOOKUP($A378,Spells!$A$2:$I1002,MATCH(B$3,Spells!$A$1:$I$1,0),FALSE))</f>
        <v/>
      </c>
      <c r="C378" s="49" t="str">
        <f>IFNA(VLOOKUP($A378,Spells!$A$2:$I1002,MATCH(C$3,Spells!$A$1:$I$1,0),FALSE))</f>
        <v/>
      </c>
      <c r="D378" s="49" t="str">
        <f>IFNA(VLOOKUP($A378,Spells!$A$2:$I1002,MATCH(D$3,Spells!$A$1:$I$1,0),FALSE))</f>
        <v/>
      </c>
      <c r="E378" s="49" t="str">
        <f>IFNA(VLOOKUP($A378,Spells!$A$2:$I1002,MATCH(E$3,Spells!$A$1:$I$1,0),FALSE))</f>
        <v/>
      </c>
      <c r="F378" s="49" t="str">
        <f>IFNA(VLOOKUP($A378,Spells!$A$2:$I1002,MATCH(F$3,Spells!$A$1:$I$1,0),FALSE))</f>
        <v/>
      </c>
      <c r="G378" s="49" t="str">
        <f>IFNA(VLOOKUP($A378,Spells!$A$2:$I1002,MATCH(G$3,Spells!$A$1:$I$1,0),FALSE))</f>
        <v/>
      </c>
      <c r="H378" s="49" t="str">
        <f>IFNA(VLOOKUP($A378,Spells!$A$2:$I1002,MATCH(H$3,Spells!$A$1:$I$1,0),FALSE))</f>
        <v/>
      </c>
    </row>
    <row r="379">
      <c r="A379" s="49"/>
      <c r="B379" s="49" t="str">
        <f>IFNA(VLOOKUP($A379,Spells!$A$2:$I1002,MATCH(B$3,Spells!$A$1:$I$1,0),FALSE))</f>
        <v/>
      </c>
      <c r="C379" s="49" t="str">
        <f>IFNA(VLOOKUP($A379,Spells!$A$2:$I1002,MATCH(C$3,Spells!$A$1:$I$1,0),FALSE))</f>
        <v/>
      </c>
      <c r="D379" s="49" t="str">
        <f>IFNA(VLOOKUP($A379,Spells!$A$2:$I1002,MATCH(D$3,Spells!$A$1:$I$1,0),FALSE))</f>
        <v/>
      </c>
      <c r="E379" s="49" t="str">
        <f>IFNA(VLOOKUP($A379,Spells!$A$2:$I1002,MATCH(E$3,Spells!$A$1:$I$1,0),FALSE))</f>
        <v/>
      </c>
      <c r="F379" s="49" t="str">
        <f>IFNA(VLOOKUP($A379,Spells!$A$2:$I1002,MATCH(F$3,Spells!$A$1:$I$1,0),FALSE))</f>
        <v/>
      </c>
      <c r="G379" s="49" t="str">
        <f>IFNA(VLOOKUP($A379,Spells!$A$2:$I1002,MATCH(G$3,Spells!$A$1:$I$1,0),FALSE))</f>
        <v/>
      </c>
      <c r="H379" s="49" t="str">
        <f>IFNA(VLOOKUP($A379,Spells!$A$2:$I1002,MATCH(H$3,Spells!$A$1:$I$1,0),FALSE))</f>
        <v/>
      </c>
    </row>
    <row r="380">
      <c r="A380" s="49"/>
      <c r="B380" s="49" t="str">
        <f>IFNA(VLOOKUP($A380,Spells!$A$2:$I1002,MATCH(B$3,Spells!$A$1:$I$1,0),FALSE))</f>
        <v/>
      </c>
      <c r="C380" s="49" t="str">
        <f>IFNA(VLOOKUP($A380,Spells!$A$2:$I1002,MATCH(C$3,Spells!$A$1:$I$1,0),FALSE))</f>
        <v/>
      </c>
      <c r="D380" s="49" t="str">
        <f>IFNA(VLOOKUP($A380,Spells!$A$2:$I1002,MATCH(D$3,Spells!$A$1:$I$1,0),FALSE))</f>
        <v/>
      </c>
      <c r="E380" s="49" t="str">
        <f>IFNA(VLOOKUP($A380,Spells!$A$2:$I1002,MATCH(E$3,Spells!$A$1:$I$1,0),FALSE))</f>
        <v/>
      </c>
      <c r="F380" s="49" t="str">
        <f>IFNA(VLOOKUP($A380,Spells!$A$2:$I1002,MATCH(F$3,Spells!$A$1:$I$1,0),FALSE))</f>
        <v/>
      </c>
      <c r="G380" s="49" t="str">
        <f>IFNA(VLOOKUP($A380,Spells!$A$2:$I1002,MATCH(G$3,Spells!$A$1:$I$1,0),FALSE))</f>
        <v/>
      </c>
      <c r="H380" s="49" t="str">
        <f>IFNA(VLOOKUP($A380,Spells!$A$2:$I1002,MATCH(H$3,Spells!$A$1:$I$1,0),FALSE))</f>
        <v/>
      </c>
    </row>
    <row r="381">
      <c r="A381" s="49"/>
      <c r="B381" s="49" t="str">
        <f>IFNA(VLOOKUP($A381,Spells!$A$2:$I1002,MATCH(B$3,Spells!$A$1:$I$1,0),FALSE))</f>
        <v/>
      </c>
      <c r="C381" s="49" t="str">
        <f>IFNA(VLOOKUP($A381,Spells!$A$2:$I1002,MATCH(C$3,Spells!$A$1:$I$1,0),FALSE))</f>
        <v/>
      </c>
      <c r="D381" s="49" t="str">
        <f>IFNA(VLOOKUP($A381,Spells!$A$2:$I1002,MATCH(D$3,Spells!$A$1:$I$1,0),FALSE))</f>
        <v/>
      </c>
      <c r="E381" s="49" t="str">
        <f>IFNA(VLOOKUP($A381,Spells!$A$2:$I1002,MATCH(E$3,Spells!$A$1:$I$1,0),FALSE))</f>
        <v/>
      </c>
      <c r="F381" s="49" t="str">
        <f>IFNA(VLOOKUP($A381,Spells!$A$2:$I1002,MATCH(F$3,Spells!$A$1:$I$1,0),FALSE))</f>
        <v/>
      </c>
      <c r="G381" s="49" t="str">
        <f>IFNA(VLOOKUP($A381,Spells!$A$2:$I1002,MATCH(G$3,Spells!$A$1:$I$1,0),FALSE))</f>
        <v/>
      </c>
      <c r="H381" s="49" t="str">
        <f>IFNA(VLOOKUP($A381,Spells!$A$2:$I1002,MATCH(H$3,Spells!$A$1:$I$1,0),FALSE))</f>
        <v/>
      </c>
    </row>
    <row r="382">
      <c r="A382" s="49"/>
      <c r="B382" s="49" t="str">
        <f>IFNA(VLOOKUP($A382,Spells!$A$2:$I1002,MATCH(B$3,Spells!$A$1:$I$1,0),FALSE))</f>
        <v/>
      </c>
      <c r="C382" s="49" t="str">
        <f>IFNA(VLOOKUP($A382,Spells!$A$2:$I1002,MATCH(C$3,Spells!$A$1:$I$1,0),FALSE))</f>
        <v/>
      </c>
      <c r="D382" s="49" t="str">
        <f>IFNA(VLOOKUP($A382,Spells!$A$2:$I1002,MATCH(D$3,Spells!$A$1:$I$1,0),FALSE))</f>
        <v/>
      </c>
      <c r="E382" s="49" t="str">
        <f>IFNA(VLOOKUP($A382,Spells!$A$2:$I1002,MATCH(E$3,Spells!$A$1:$I$1,0),FALSE))</f>
        <v/>
      </c>
      <c r="F382" s="49" t="str">
        <f>IFNA(VLOOKUP($A382,Spells!$A$2:$I1002,MATCH(F$3,Spells!$A$1:$I$1,0),FALSE))</f>
        <v/>
      </c>
      <c r="G382" s="49" t="str">
        <f>IFNA(VLOOKUP($A382,Spells!$A$2:$I1002,MATCH(G$3,Spells!$A$1:$I$1,0),FALSE))</f>
        <v/>
      </c>
      <c r="H382" s="49" t="str">
        <f>IFNA(VLOOKUP($A382,Spells!$A$2:$I1002,MATCH(H$3,Spells!$A$1:$I$1,0),FALSE))</f>
        <v/>
      </c>
    </row>
    <row r="383">
      <c r="A383" s="49"/>
      <c r="B383" s="49" t="str">
        <f>IFNA(VLOOKUP($A383,Spells!$A$2:$I1002,MATCH(B$3,Spells!$A$1:$I$1,0),FALSE))</f>
        <v/>
      </c>
      <c r="C383" s="49" t="str">
        <f>IFNA(VLOOKUP($A383,Spells!$A$2:$I1002,MATCH(C$3,Spells!$A$1:$I$1,0),FALSE))</f>
        <v/>
      </c>
      <c r="D383" s="49" t="str">
        <f>IFNA(VLOOKUP($A383,Spells!$A$2:$I1002,MATCH(D$3,Spells!$A$1:$I$1,0),FALSE))</f>
        <v/>
      </c>
      <c r="E383" s="49" t="str">
        <f>IFNA(VLOOKUP($A383,Spells!$A$2:$I1002,MATCH(E$3,Spells!$A$1:$I$1,0),FALSE))</f>
        <v/>
      </c>
      <c r="F383" s="49" t="str">
        <f>IFNA(VLOOKUP($A383,Spells!$A$2:$I1002,MATCH(F$3,Spells!$A$1:$I$1,0),FALSE))</f>
        <v/>
      </c>
      <c r="G383" s="49" t="str">
        <f>IFNA(VLOOKUP($A383,Spells!$A$2:$I1002,MATCH(G$3,Spells!$A$1:$I$1,0),FALSE))</f>
        <v/>
      </c>
      <c r="H383" s="49" t="str">
        <f>IFNA(VLOOKUP($A383,Spells!$A$2:$I1002,MATCH(H$3,Spells!$A$1:$I$1,0),FALSE))</f>
        <v/>
      </c>
    </row>
    <row r="384">
      <c r="A384" s="49"/>
      <c r="B384" s="49" t="str">
        <f>IFNA(VLOOKUP($A384,Spells!$A$2:$I1002,MATCH(B$3,Spells!$A$1:$I$1,0),FALSE))</f>
        <v/>
      </c>
      <c r="C384" s="49" t="str">
        <f>IFNA(VLOOKUP($A384,Spells!$A$2:$I1002,MATCH(C$3,Spells!$A$1:$I$1,0),FALSE))</f>
        <v/>
      </c>
      <c r="D384" s="49" t="str">
        <f>IFNA(VLOOKUP($A384,Spells!$A$2:$I1002,MATCH(D$3,Spells!$A$1:$I$1,0),FALSE))</f>
        <v/>
      </c>
      <c r="E384" s="49" t="str">
        <f>IFNA(VLOOKUP($A384,Spells!$A$2:$I1002,MATCH(E$3,Spells!$A$1:$I$1,0),FALSE))</f>
        <v/>
      </c>
      <c r="F384" s="49" t="str">
        <f>IFNA(VLOOKUP($A384,Spells!$A$2:$I1002,MATCH(F$3,Spells!$A$1:$I$1,0),FALSE))</f>
        <v/>
      </c>
      <c r="G384" s="49" t="str">
        <f>IFNA(VLOOKUP($A384,Spells!$A$2:$I1002,MATCH(G$3,Spells!$A$1:$I$1,0),FALSE))</f>
        <v/>
      </c>
      <c r="H384" s="49" t="str">
        <f>IFNA(VLOOKUP($A384,Spells!$A$2:$I1002,MATCH(H$3,Spells!$A$1:$I$1,0),FALSE))</f>
        <v/>
      </c>
    </row>
    <row r="385">
      <c r="A385" s="49"/>
      <c r="B385" s="49" t="str">
        <f>IFNA(VLOOKUP($A385,Spells!$A$2:$I1002,MATCH(B$3,Spells!$A$1:$I$1,0),FALSE))</f>
        <v/>
      </c>
      <c r="C385" s="49" t="str">
        <f>IFNA(VLOOKUP($A385,Spells!$A$2:$I1002,MATCH(C$3,Spells!$A$1:$I$1,0),FALSE))</f>
        <v/>
      </c>
      <c r="D385" s="49" t="str">
        <f>IFNA(VLOOKUP($A385,Spells!$A$2:$I1002,MATCH(D$3,Spells!$A$1:$I$1,0),FALSE))</f>
        <v/>
      </c>
      <c r="E385" s="49" t="str">
        <f>IFNA(VLOOKUP($A385,Spells!$A$2:$I1002,MATCH(E$3,Spells!$A$1:$I$1,0),FALSE))</f>
        <v/>
      </c>
      <c r="F385" s="49" t="str">
        <f>IFNA(VLOOKUP($A385,Spells!$A$2:$I1002,MATCH(F$3,Spells!$A$1:$I$1,0),FALSE))</f>
        <v/>
      </c>
      <c r="G385" s="49" t="str">
        <f>IFNA(VLOOKUP($A385,Spells!$A$2:$I1002,MATCH(G$3,Spells!$A$1:$I$1,0),FALSE))</f>
        <v/>
      </c>
      <c r="H385" s="49" t="str">
        <f>IFNA(VLOOKUP($A385,Spells!$A$2:$I1002,MATCH(H$3,Spells!$A$1:$I$1,0),FALSE))</f>
        <v/>
      </c>
    </row>
    <row r="386">
      <c r="A386" s="49"/>
      <c r="B386" s="49" t="str">
        <f>IFNA(VLOOKUP($A386,Spells!$A$2:$I1002,MATCH(B$3,Spells!$A$1:$I$1,0),FALSE))</f>
        <v/>
      </c>
      <c r="C386" s="49" t="str">
        <f>IFNA(VLOOKUP($A386,Spells!$A$2:$I1002,MATCH(C$3,Spells!$A$1:$I$1,0),FALSE))</f>
        <v/>
      </c>
      <c r="D386" s="49" t="str">
        <f>IFNA(VLOOKUP($A386,Spells!$A$2:$I1002,MATCH(D$3,Spells!$A$1:$I$1,0),FALSE))</f>
        <v/>
      </c>
      <c r="E386" s="49" t="str">
        <f>IFNA(VLOOKUP($A386,Spells!$A$2:$I1002,MATCH(E$3,Spells!$A$1:$I$1,0),FALSE))</f>
        <v/>
      </c>
      <c r="F386" s="49" t="str">
        <f>IFNA(VLOOKUP($A386,Spells!$A$2:$I1002,MATCH(F$3,Spells!$A$1:$I$1,0),FALSE))</f>
        <v/>
      </c>
      <c r="G386" s="49" t="str">
        <f>IFNA(VLOOKUP($A386,Spells!$A$2:$I1002,MATCH(G$3,Spells!$A$1:$I$1,0),FALSE))</f>
        <v/>
      </c>
      <c r="H386" s="49" t="str">
        <f>IFNA(VLOOKUP($A386,Spells!$A$2:$I1002,MATCH(H$3,Spells!$A$1:$I$1,0),FALSE))</f>
        <v/>
      </c>
    </row>
    <row r="387">
      <c r="A387" s="49"/>
      <c r="B387" s="49" t="str">
        <f>IFNA(VLOOKUP($A387,Spells!$A$2:$I1002,MATCH(B$3,Spells!$A$1:$I$1,0),FALSE))</f>
        <v/>
      </c>
      <c r="C387" s="49" t="str">
        <f>IFNA(VLOOKUP($A387,Spells!$A$2:$I1002,MATCH(C$3,Spells!$A$1:$I$1,0),FALSE))</f>
        <v/>
      </c>
      <c r="D387" s="49" t="str">
        <f>IFNA(VLOOKUP($A387,Spells!$A$2:$I1002,MATCH(D$3,Spells!$A$1:$I$1,0),FALSE))</f>
        <v/>
      </c>
      <c r="E387" s="49" t="str">
        <f>IFNA(VLOOKUP($A387,Spells!$A$2:$I1002,MATCH(E$3,Spells!$A$1:$I$1,0),FALSE))</f>
        <v/>
      </c>
      <c r="F387" s="49" t="str">
        <f>IFNA(VLOOKUP($A387,Spells!$A$2:$I1002,MATCH(F$3,Spells!$A$1:$I$1,0),FALSE))</f>
        <v/>
      </c>
      <c r="G387" s="49" t="str">
        <f>IFNA(VLOOKUP($A387,Spells!$A$2:$I1002,MATCH(G$3,Spells!$A$1:$I$1,0),FALSE))</f>
        <v/>
      </c>
      <c r="H387" s="49" t="str">
        <f>IFNA(VLOOKUP($A387,Spells!$A$2:$I1002,MATCH(H$3,Spells!$A$1:$I$1,0),FALSE))</f>
        <v/>
      </c>
    </row>
    <row r="388">
      <c r="A388" s="49"/>
      <c r="B388" s="49" t="str">
        <f>IFNA(VLOOKUP($A388,Spells!$A$2:$I1002,MATCH(B$3,Spells!$A$1:$I$1,0),FALSE))</f>
        <v/>
      </c>
      <c r="C388" s="49" t="str">
        <f>IFNA(VLOOKUP($A388,Spells!$A$2:$I1002,MATCH(C$3,Spells!$A$1:$I$1,0),FALSE))</f>
        <v/>
      </c>
      <c r="D388" s="49" t="str">
        <f>IFNA(VLOOKUP($A388,Spells!$A$2:$I1002,MATCH(D$3,Spells!$A$1:$I$1,0),FALSE))</f>
        <v/>
      </c>
      <c r="E388" s="49" t="str">
        <f>IFNA(VLOOKUP($A388,Spells!$A$2:$I1002,MATCH(E$3,Spells!$A$1:$I$1,0),FALSE))</f>
        <v/>
      </c>
      <c r="F388" s="49" t="str">
        <f>IFNA(VLOOKUP($A388,Spells!$A$2:$I1002,MATCH(F$3,Spells!$A$1:$I$1,0),FALSE))</f>
        <v/>
      </c>
      <c r="G388" s="49" t="str">
        <f>IFNA(VLOOKUP($A388,Spells!$A$2:$I1002,MATCH(G$3,Spells!$A$1:$I$1,0),FALSE))</f>
        <v/>
      </c>
      <c r="H388" s="49" t="str">
        <f>IFNA(VLOOKUP($A388,Spells!$A$2:$I1002,MATCH(H$3,Spells!$A$1:$I$1,0),FALSE))</f>
        <v/>
      </c>
    </row>
    <row r="389">
      <c r="A389" s="49"/>
      <c r="B389" s="49" t="str">
        <f>IFNA(VLOOKUP($A389,Spells!$A$2:$I1002,MATCH(B$3,Spells!$A$1:$I$1,0),FALSE))</f>
        <v/>
      </c>
      <c r="C389" s="49" t="str">
        <f>IFNA(VLOOKUP($A389,Spells!$A$2:$I1002,MATCH(C$3,Spells!$A$1:$I$1,0),FALSE))</f>
        <v/>
      </c>
      <c r="D389" s="49" t="str">
        <f>IFNA(VLOOKUP($A389,Spells!$A$2:$I1002,MATCH(D$3,Spells!$A$1:$I$1,0),FALSE))</f>
        <v/>
      </c>
      <c r="E389" s="49" t="str">
        <f>IFNA(VLOOKUP($A389,Spells!$A$2:$I1002,MATCH(E$3,Spells!$A$1:$I$1,0),FALSE))</f>
        <v/>
      </c>
      <c r="F389" s="49" t="str">
        <f>IFNA(VLOOKUP($A389,Spells!$A$2:$I1002,MATCH(F$3,Spells!$A$1:$I$1,0),FALSE))</f>
        <v/>
      </c>
      <c r="G389" s="49" t="str">
        <f>IFNA(VLOOKUP($A389,Spells!$A$2:$I1002,MATCH(G$3,Spells!$A$1:$I$1,0),FALSE))</f>
        <v/>
      </c>
      <c r="H389" s="49" t="str">
        <f>IFNA(VLOOKUP($A389,Spells!$A$2:$I1002,MATCH(H$3,Spells!$A$1:$I$1,0),FALSE))</f>
        <v/>
      </c>
    </row>
    <row r="390">
      <c r="A390" s="49"/>
      <c r="B390" s="49" t="str">
        <f>IFNA(VLOOKUP($A390,Spells!$A$2:$I1002,MATCH(B$3,Spells!$A$1:$I$1,0),FALSE))</f>
        <v/>
      </c>
      <c r="C390" s="49" t="str">
        <f>IFNA(VLOOKUP($A390,Spells!$A$2:$I1002,MATCH(C$3,Spells!$A$1:$I$1,0),FALSE))</f>
        <v/>
      </c>
      <c r="D390" s="49" t="str">
        <f>IFNA(VLOOKUP($A390,Spells!$A$2:$I1002,MATCH(D$3,Spells!$A$1:$I$1,0),FALSE))</f>
        <v/>
      </c>
      <c r="E390" s="49" t="str">
        <f>IFNA(VLOOKUP($A390,Spells!$A$2:$I1002,MATCH(E$3,Spells!$A$1:$I$1,0),FALSE))</f>
        <v/>
      </c>
      <c r="F390" s="49" t="str">
        <f>IFNA(VLOOKUP($A390,Spells!$A$2:$I1002,MATCH(F$3,Spells!$A$1:$I$1,0),FALSE))</f>
        <v/>
      </c>
      <c r="G390" s="49" t="str">
        <f>IFNA(VLOOKUP($A390,Spells!$A$2:$I1002,MATCH(G$3,Spells!$A$1:$I$1,0),FALSE))</f>
        <v/>
      </c>
      <c r="H390" s="49" t="str">
        <f>IFNA(VLOOKUP($A390,Spells!$A$2:$I1002,MATCH(H$3,Spells!$A$1:$I$1,0),FALSE))</f>
        <v/>
      </c>
    </row>
    <row r="391">
      <c r="A391" s="49"/>
      <c r="B391" s="49" t="str">
        <f>IFNA(VLOOKUP($A391,Spells!$A$2:$I1002,MATCH(B$3,Spells!$A$1:$I$1,0),FALSE))</f>
        <v/>
      </c>
      <c r="C391" s="49" t="str">
        <f>IFNA(VLOOKUP($A391,Spells!$A$2:$I1002,MATCH(C$3,Spells!$A$1:$I$1,0),FALSE))</f>
        <v/>
      </c>
      <c r="D391" s="49" t="str">
        <f>IFNA(VLOOKUP($A391,Spells!$A$2:$I1002,MATCH(D$3,Spells!$A$1:$I$1,0),FALSE))</f>
        <v/>
      </c>
      <c r="E391" s="49" t="str">
        <f>IFNA(VLOOKUP($A391,Spells!$A$2:$I1002,MATCH(E$3,Spells!$A$1:$I$1,0),FALSE))</f>
        <v/>
      </c>
      <c r="F391" s="49" t="str">
        <f>IFNA(VLOOKUP($A391,Spells!$A$2:$I1002,MATCH(F$3,Spells!$A$1:$I$1,0),FALSE))</f>
        <v/>
      </c>
      <c r="G391" s="49" t="str">
        <f>IFNA(VLOOKUP($A391,Spells!$A$2:$I1002,MATCH(G$3,Spells!$A$1:$I$1,0),FALSE))</f>
        <v/>
      </c>
      <c r="H391" s="49" t="str">
        <f>IFNA(VLOOKUP($A391,Spells!$A$2:$I1002,MATCH(H$3,Spells!$A$1:$I$1,0),FALSE))</f>
        <v/>
      </c>
    </row>
    <row r="392">
      <c r="A392" s="49"/>
      <c r="B392" s="49" t="str">
        <f>IFNA(VLOOKUP($A392,Spells!$A$2:$I1002,MATCH(B$3,Spells!$A$1:$I$1,0),FALSE))</f>
        <v/>
      </c>
      <c r="C392" s="49" t="str">
        <f>IFNA(VLOOKUP($A392,Spells!$A$2:$I1002,MATCH(C$3,Spells!$A$1:$I$1,0),FALSE))</f>
        <v/>
      </c>
      <c r="D392" s="49" t="str">
        <f>IFNA(VLOOKUP($A392,Spells!$A$2:$I1002,MATCH(D$3,Spells!$A$1:$I$1,0),FALSE))</f>
        <v/>
      </c>
      <c r="E392" s="49" t="str">
        <f>IFNA(VLOOKUP($A392,Spells!$A$2:$I1002,MATCH(E$3,Spells!$A$1:$I$1,0),FALSE))</f>
        <v/>
      </c>
      <c r="F392" s="49" t="str">
        <f>IFNA(VLOOKUP($A392,Spells!$A$2:$I1002,MATCH(F$3,Spells!$A$1:$I$1,0),FALSE))</f>
        <v/>
      </c>
      <c r="G392" s="49" t="str">
        <f>IFNA(VLOOKUP($A392,Spells!$A$2:$I1002,MATCH(G$3,Spells!$A$1:$I$1,0),FALSE))</f>
        <v/>
      </c>
      <c r="H392" s="49" t="str">
        <f>IFNA(VLOOKUP($A392,Spells!$A$2:$I1002,MATCH(H$3,Spells!$A$1:$I$1,0),FALSE))</f>
        <v/>
      </c>
    </row>
    <row r="393">
      <c r="A393" s="49"/>
      <c r="B393" s="49" t="str">
        <f>IFNA(VLOOKUP($A393,Spells!$A$2:$I1002,MATCH(B$3,Spells!$A$1:$I$1,0),FALSE))</f>
        <v/>
      </c>
      <c r="C393" s="49" t="str">
        <f>IFNA(VLOOKUP($A393,Spells!$A$2:$I1002,MATCH(C$3,Spells!$A$1:$I$1,0),FALSE))</f>
        <v/>
      </c>
      <c r="D393" s="49" t="str">
        <f>IFNA(VLOOKUP($A393,Spells!$A$2:$I1002,MATCH(D$3,Spells!$A$1:$I$1,0),FALSE))</f>
        <v/>
      </c>
      <c r="E393" s="49" t="str">
        <f>IFNA(VLOOKUP($A393,Spells!$A$2:$I1002,MATCH(E$3,Spells!$A$1:$I$1,0),FALSE))</f>
        <v/>
      </c>
      <c r="F393" s="49" t="str">
        <f>IFNA(VLOOKUP($A393,Spells!$A$2:$I1002,MATCH(F$3,Spells!$A$1:$I$1,0),FALSE))</f>
        <v/>
      </c>
      <c r="G393" s="49" t="str">
        <f>IFNA(VLOOKUP($A393,Spells!$A$2:$I1002,MATCH(G$3,Spells!$A$1:$I$1,0),FALSE))</f>
        <v/>
      </c>
      <c r="H393" s="49" t="str">
        <f>IFNA(VLOOKUP($A393,Spells!$A$2:$I1002,MATCH(H$3,Spells!$A$1:$I$1,0),FALSE))</f>
        <v/>
      </c>
    </row>
    <row r="394">
      <c r="A394" s="49"/>
      <c r="B394" s="49" t="str">
        <f>IFNA(VLOOKUP($A394,Spells!$A$2:$I1002,MATCH(B$3,Spells!$A$1:$I$1,0),FALSE))</f>
        <v/>
      </c>
      <c r="C394" s="49" t="str">
        <f>IFNA(VLOOKUP($A394,Spells!$A$2:$I1002,MATCH(C$3,Spells!$A$1:$I$1,0),FALSE))</f>
        <v/>
      </c>
      <c r="D394" s="49" t="str">
        <f>IFNA(VLOOKUP($A394,Spells!$A$2:$I1002,MATCH(D$3,Spells!$A$1:$I$1,0),FALSE))</f>
        <v/>
      </c>
      <c r="E394" s="49" t="str">
        <f>IFNA(VLOOKUP($A394,Spells!$A$2:$I1002,MATCH(E$3,Spells!$A$1:$I$1,0),FALSE))</f>
        <v/>
      </c>
      <c r="F394" s="49" t="str">
        <f>IFNA(VLOOKUP($A394,Spells!$A$2:$I1002,MATCH(F$3,Spells!$A$1:$I$1,0),FALSE))</f>
        <v/>
      </c>
      <c r="G394" s="49" t="str">
        <f>IFNA(VLOOKUP($A394,Spells!$A$2:$I1002,MATCH(G$3,Spells!$A$1:$I$1,0),FALSE))</f>
        <v/>
      </c>
      <c r="H394" s="49" t="str">
        <f>IFNA(VLOOKUP($A394,Spells!$A$2:$I1002,MATCH(H$3,Spells!$A$1:$I$1,0),FALSE))</f>
        <v/>
      </c>
    </row>
    <row r="395">
      <c r="A395" s="49"/>
      <c r="B395" s="49" t="str">
        <f>IFNA(VLOOKUP($A395,Spells!$A$2:$I1002,MATCH(B$3,Spells!$A$1:$I$1,0),FALSE))</f>
        <v/>
      </c>
      <c r="C395" s="49" t="str">
        <f>IFNA(VLOOKUP($A395,Spells!$A$2:$I1002,MATCH(C$3,Spells!$A$1:$I$1,0),FALSE))</f>
        <v/>
      </c>
      <c r="D395" s="49" t="str">
        <f>IFNA(VLOOKUP($A395,Spells!$A$2:$I1002,MATCH(D$3,Spells!$A$1:$I$1,0),FALSE))</f>
        <v/>
      </c>
      <c r="E395" s="49" t="str">
        <f>IFNA(VLOOKUP($A395,Spells!$A$2:$I1002,MATCH(E$3,Spells!$A$1:$I$1,0),FALSE))</f>
        <v/>
      </c>
      <c r="F395" s="49" t="str">
        <f>IFNA(VLOOKUP($A395,Spells!$A$2:$I1002,MATCH(F$3,Spells!$A$1:$I$1,0),FALSE))</f>
        <v/>
      </c>
      <c r="G395" s="49" t="str">
        <f>IFNA(VLOOKUP($A395,Spells!$A$2:$I1002,MATCH(G$3,Spells!$A$1:$I$1,0),FALSE))</f>
        <v/>
      </c>
      <c r="H395" s="49" t="str">
        <f>IFNA(VLOOKUP($A395,Spells!$A$2:$I1002,MATCH(H$3,Spells!$A$1:$I$1,0),FALSE))</f>
        <v/>
      </c>
    </row>
    <row r="396">
      <c r="A396" s="49"/>
      <c r="B396" s="49" t="str">
        <f>IFNA(VLOOKUP($A396,Spells!$A$2:$I1002,MATCH(B$3,Spells!$A$1:$I$1,0),FALSE))</f>
        <v/>
      </c>
      <c r="C396" s="49" t="str">
        <f>IFNA(VLOOKUP($A396,Spells!$A$2:$I1002,MATCH(C$3,Spells!$A$1:$I$1,0),FALSE))</f>
        <v/>
      </c>
      <c r="D396" s="49" t="str">
        <f>IFNA(VLOOKUP($A396,Spells!$A$2:$I1002,MATCH(D$3,Spells!$A$1:$I$1,0),FALSE))</f>
        <v/>
      </c>
      <c r="E396" s="49" t="str">
        <f>IFNA(VLOOKUP($A396,Spells!$A$2:$I1002,MATCH(E$3,Spells!$A$1:$I$1,0),FALSE))</f>
        <v/>
      </c>
      <c r="F396" s="49" t="str">
        <f>IFNA(VLOOKUP($A396,Spells!$A$2:$I1002,MATCH(F$3,Spells!$A$1:$I$1,0),FALSE))</f>
        <v/>
      </c>
      <c r="G396" s="49" t="str">
        <f>IFNA(VLOOKUP($A396,Spells!$A$2:$I1002,MATCH(G$3,Spells!$A$1:$I$1,0),FALSE))</f>
        <v/>
      </c>
      <c r="H396" s="49" t="str">
        <f>IFNA(VLOOKUP($A396,Spells!$A$2:$I1002,MATCH(H$3,Spells!$A$1:$I$1,0),FALSE))</f>
        <v/>
      </c>
    </row>
    <row r="397">
      <c r="A397" s="49"/>
      <c r="B397" s="49" t="str">
        <f>IFNA(VLOOKUP($A397,Spells!$A$2:$I1002,MATCH(B$3,Spells!$A$1:$I$1,0),FALSE))</f>
        <v/>
      </c>
      <c r="C397" s="49" t="str">
        <f>IFNA(VLOOKUP($A397,Spells!$A$2:$I1002,MATCH(C$3,Spells!$A$1:$I$1,0),FALSE))</f>
        <v/>
      </c>
      <c r="D397" s="49" t="str">
        <f>IFNA(VLOOKUP($A397,Spells!$A$2:$I1002,MATCH(D$3,Spells!$A$1:$I$1,0),FALSE))</f>
        <v/>
      </c>
      <c r="E397" s="49" t="str">
        <f>IFNA(VLOOKUP($A397,Spells!$A$2:$I1002,MATCH(E$3,Spells!$A$1:$I$1,0),FALSE))</f>
        <v/>
      </c>
      <c r="F397" s="49" t="str">
        <f>IFNA(VLOOKUP($A397,Spells!$A$2:$I1002,MATCH(F$3,Spells!$A$1:$I$1,0),FALSE))</f>
        <v/>
      </c>
      <c r="G397" s="49" t="str">
        <f>IFNA(VLOOKUP($A397,Spells!$A$2:$I1002,MATCH(G$3,Spells!$A$1:$I$1,0),FALSE))</f>
        <v/>
      </c>
      <c r="H397" s="49" t="str">
        <f>IFNA(VLOOKUP($A397,Spells!$A$2:$I1002,MATCH(H$3,Spells!$A$1:$I$1,0),FALSE))</f>
        <v/>
      </c>
    </row>
    <row r="398">
      <c r="A398" s="49"/>
      <c r="B398" s="49" t="str">
        <f>IFNA(VLOOKUP($A398,Spells!$A$2:$I1002,MATCH(B$3,Spells!$A$1:$I$1,0),FALSE))</f>
        <v/>
      </c>
      <c r="C398" s="49" t="str">
        <f>IFNA(VLOOKUP($A398,Spells!$A$2:$I1002,MATCH(C$3,Spells!$A$1:$I$1,0),FALSE))</f>
        <v/>
      </c>
      <c r="D398" s="49" t="str">
        <f>IFNA(VLOOKUP($A398,Spells!$A$2:$I1002,MATCH(D$3,Spells!$A$1:$I$1,0),FALSE))</f>
        <v/>
      </c>
      <c r="E398" s="49" t="str">
        <f>IFNA(VLOOKUP($A398,Spells!$A$2:$I1002,MATCH(E$3,Spells!$A$1:$I$1,0),FALSE))</f>
        <v/>
      </c>
      <c r="F398" s="49" t="str">
        <f>IFNA(VLOOKUP($A398,Spells!$A$2:$I1002,MATCH(F$3,Spells!$A$1:$I$1,0),FALSE))</f>
        <v/>
      </c>
      <c r="G398" s="49" t="str">
        <f>IFNA(VLOOKUP($A398,Spells!$A$2:$I1002,MATCH(G$3,Spells!$A$1:$I$1,0),FALSE))</f>
        <v/>
      </c>
      <c r="H398" s="49" t="str">
        <f>IFNA(VLOOKUP($A398,Spells!$A$2:$I1002,MATCH(H$3,Spells!$A$1:$I$1,0),FALSE))</f>
        <v/>
      </c>
    </row>
    <row r="399">
      <c r="A399" s="49"/>
      <c r="B399" s="49" t="str">
        <f>IFNA(VLOOKUP($A399,Spells!$A$2:$I1002,MATCH(B$3,Spells!$A$1:$I$1,0),FALSE))</f>
        <v/>
      </c>
      <c r="C399" s="49" t="str">
        <f>IFNA(VLOOKUP($A399,Spells!$A$2:$I1002,MATCH(C$3,Spells!$A$1:$I$1,0),FALSE))</f>
        <v/>
      </c>
      <c r="D399" s="49" t="str">
        <f>IFNA(VLOOKUP($A399,Spells!$A$2:$I1002,MATCH(D$3,Spells!$A$1:$I$1,0),FALSE))</f>
        <v/>
      </c>
      <c r="E399" s="49" t="str">
        <f>IFNA(VLOOKUP($A399,Spells!$A$2:$I1002,MATCH(E$3,Spells!$A$1:$I$1,0),FALSE))</f>
        <v/>
      </c>
      <c r="F399" s="49" t="str">
        <f>IFNA(VLOOKUP($A399,Spells!$A$2:$I1002,MATCH(F$3,Spells!$A$1:$I$1,0),FALSE))</f>
        <v/>
      </c>
      <c r="G399" s="49" t="str">
        <f>IFNA(VLOOKUP($A399,Spells!$A$2:$I1002,MATCH(G$3,Spells!$A$1:$I$1,0),FALSE))</f>
        <v/>
      </c>
      <c r="H399" s="49" t="str">
        <f>IFNA(VLOOKUP($A399,Spells!$A$2:$I1002,MATCH(H$3,Spells!$A$1:$I$1,0),FALSE))</f>
        <v/>
      </c>
    </row>
    <row r="400">
      <c r="A400" s="49"/>
      <c r="B400" s="49" t="str">
        <f>IFNA(VLOOKUP($A400,Spells!$A$2:$I1002,MATCH(B$3,Spells!$A$1:$I$1,0),FALSE))</f>
        <v/>
      </c>
      <c r="C400" s="49" t="str">
        <f>IFNA(VLOOKUP($A400,Spells!$A$2:$I1002,MATCH(C$3,Spells!$A$1:$I$1,0),FALSE))</f>
        <v/>
      </c>
      <c r="D400" s="49" t="str">
        <f>IFNA(VLOOKUP($A400,Spells!$A$2:$I1002,MATCH(D$3,Spells!$A$1:$I$1,0),FALSE))</f>
        <v/>
      </c>
      <c r="E400" s="49" t="str">
        <f>IFNA(VLOOKUP($A400,Spells!$A$2:$I1002,MATCH(E$3,Spells!$A$1:$I$1,0),FALSE))</f>
        <v/>
      </c>
      <c r="F400" s="49" t="str">
        <f>IFNA(VLOOKUP($A400,Spells!$A$2:$I1002,MATCH(F$3,Spells!$A$1:$I$1,0),FALSE))</f>
        <v/>
      </c>
      <c r="G400" s="49" t="str">
        <f>IFNA(VLOOKUP($A400,Spells!$A$2:$I1002,MATCH(G$3,Spells!$A$1:$I$1,0),FALSE))</f>
        <v/>
      </c>
      <c r="H400" s="49" t="str">
        <f>IFNA(VLOOKUP($A400,Spells!$A$2:$I1002,MATCH(H$3,Spells!$A$1:$I$1,0),FALSE))</f>
        <v/>
      </c>
    </row>
    <row r="401">
      <c r="A401" s="49"/>
      <c r="B401" s="49" t="str">
        <f>IFNA(VLOOKUP($A401,Spells!$A$2:$I1002,MATCH(B$3,Spells!$A$1:$I$1,0),FALSE))</f>
        <v/>
      </c>
      <c r="C401" s="49" t="str">
        <f>IFNA(VLOOKUP($A401,Spells!$A$2:$I1002,MATCH(C$3,Spells!$A$1:$I$1,0),FALSE))</f>
        <v/>
      </c>
      <c r="D401" s="49" t="str">
        <f>IFNA(VLOOKUP($A401,Spells!$A$2:$I1002,MATCH(D$3,Spells!$A$1:$I$1,0),FALSE))</f>
        <v/>
      </c>
      <c r="E401" s="49" t="str">
        <f>IFNA(VLOOKUP($A401,Spells!$A$2:$I1002,MATCH(E$3,Spells!$A$1:$I$1,0),FALSE))</f>
        <v/>
      </c>
      <c r="F401" s="49" t="str">
        <f>IFNA(VLOOKUP($A401,Spells!$A$2:$I1002,MATCH(F$3,Spells!$A$1:$I$1,0),FALSE))</f>
        <v/>
      </c>
      <c r="G401" s="49" t="str">
        <f>IFNA(VLOOKUP($A401,Spells!$A$2:$I1002,MATCH(G$3,Spells!$A$1:$I$1,0),FALSE))</f>
        <v/>
      </c>
      <c r="H401" s="49" t="str">
        <f>IFNA(VLOOKUP($A401,Spells!$A$2:$I1002,MATCH(H$3,Spells!$A$1:$I$1,0),FALSE))</f>
        <v/>
      </c>
    </row>
    <row r="402">
      <c r="A402" s="49"/>
      <c r="B402" s="49" t="str">
        <f>IFNA(VLOOKUP($A402,Spells!$A$2:$I1002,MATCH(B$3,Spells!$A$1:$I$1,0),FALSE))</f>
        <v/>
      </c>
      <c r="C402" s="49" t="str">
        <f>IFNA(VLOOKUP($A402,Spells!$A$2:$I1002,MATCH(C$3,Spells!$A$1:$I$1,0),FALSE))</f>
        <v/>
      </c>
      <c r="D402" s="49" t="str">
        <f>IFNA(VLOOKUP($A402,Spells!$A$2:$I1002,MATCH(D$3,Spells!$A$1:$I$1,0),FALSE))</f>
        <v/>
      </c>
      <c r="E402" s="49" t="str">
        <f>IFNA(VLOOKUP($A402,Spells!$A$2:$I1002,MATCH(E$3,Spells!$A$1:$I$1,0),FALSE))</f>
        <v/>
      </c>
      <c r="F402" s="49" t="str">
        <f>IFNA(VLOOKUP($A402,Spells!$A$2:$I1002,MATCH(F$3,Spells!$A$1:$I$1,0),FALSE))</f>
        <v/>
      </c>
      <c r="G402" s="49" t="str">
        <f>IFNA(VLOOKUP($A402,Spells!$A$2:$I1002,MATCH(G$3,Spells!$A$1:$I$1,0),FALSE))</f>
        <v/>
      </c>
      <c r="H402" s="49" t="str">
        <f>IFNA(VLOOKUP($A402,Spells!$A$2:$I1002,MATCH(H$3,Spells!$A$1:$I$1,0),FALSE))</f>
        <v/>
      </c>
    </row>
    <row r="403">
      <c r="A403" s="49"/>
      <c r="B403" s="49" t="str">
        <f>IFNA(VLOOKUP($A403,Spells!$A$2:$I1002,MATCH(B$3,Spells!$A$1:$I$1,0),FALSE))</f>
        <v/>
      </c>
      <c r="C403" s="49" t="str">
        <f>IFNA(VLOOKUP($A403,Spells!$A$2:$I1002,MATCH(C$3,Spells!$A$1:$I$1,0),FALSE))</f>
        <v/>
      </c>
      <c r="D403" s="49" t="str">
        <f>IFNA(VLOOKUP($A403,Spells!$A$2:$I1002,MATCH(D$3,Spells!$A$1:$I$1,0),FALSE))</f>
        <v/>
      </c>
      <c r="E403" s="49" t="str">
        <f>IFNA(VLOOKUP($A403,Spells!$A$2:$I1002,MATCH(E$3,Spells!$A$1:$I$1,0),FALSE))</f>
        <v/>
      </c>
      <c r="F403" s="49" t="str">
        <f>IFNA(VLOOKUP($A403,Spells!$A$2:$I1002,MATCH(F$3,Spells!$A$1:$I$1,0),FALSE))</f>
        <v/>
      </c>
      <c r="G403" s="49" t="str">
        <f>IFNA(VLOOKUP($A403,Spells!$A$2:$I1002,MATCH(G$3,Spells!$A$1:$I$1,0),FALSE))</f>
        <v/>
      </c>
      <c r="H403" s="49" t="str">
        <f>IFNA(VLOOKUP($A403,Spells!$A$2:$I1002,MATCH(H$3,Spells!$A$1:$I$1,0),FALSE))</f>
        <v/>
      </c>
    </row>
    <row r="404">
      <c r="A404" s="49"/>
      <c r="B404" s="49" t="str">
        <f>IFNA(VLOOKUP($A404,Spells!$A$2:$I1002,MATCH(B$3,Spells!$A$1:$I$1,0),FALSE))</f>
        <v/>
      </c>
      <c r="C404" s="49" t="str">
        <f>IFNA(VLOOKUP($A404,Spells!$A$2:$I1002,MATCH(C$3,Spells!$A$1:$I$1,0),FALSE))</f>
        <v/>
      </c>
      <c r="D404" s="49" t="str">
        <f>IFNA(VLOOKUP($A404,Spells!$A$2:$I1002,MATCH(D$3,Spells!$A$1:$I$1,0),FALSE))</f>
        <v/>
      </c>
      <c r="E404" s="49" t="str">
        <f>IFNA(VLOOKUP($A404,Spells!$A$2:$I1002,MATCH(E$3,Spells!$A$1:$I$1,0),FALSE))</f>
        <v/>
      </c>
      <c r="F404" s="49" t="str">
        <f>IFNA(VLOOKUP($A404,Spells!$A$2:$I1002,MATCH(F$3,Spells!$A$1:$I$1,0),FALSE))</f>
        <v/>
      </c>
      <c r="G404" s="49" t="str">
        <f>IFNA(VLOOKUP($A404,Spells!$A$2:$I1002,MATCH(G$3,Spells!$A$1:$I$1,0),FALSE))</f>
        <v/>
      </c>
      <c r="H404" s="49" t="str">
        <f>IFNA(VLOOKUP($A404,Spells!$A$2:$I1002,MATCH(H$3,Spells!$A$1:$I$1,0),FALSE))</f>
        <v/>
      </c>
    </row>
    <row r="405">
      <c r="A405" s="49"/>
      <c r="B405" s="49" t="str">
        <f>IFNA(VLOOKUP($A405,Spells!$A$2:$I1002,MATCH(B$3,Spells!$A$1:$I$1,0),FALSE))</f>
        <v/>
      </c>
      <c r="C405" s="49" t="str">
        <f>IFNA(VLOOKUP($A405,Spells!$A$2:$I1002,MATCH(C$3,Spells!$A$1:$I$1,0),FALSE))</f>
        <v/>
      </c>
      <c r="D405" s="49" t="str">
        <f>IFNA(VLOOKUP($A405,Spells!$A$2:$I1002,MATCH(D$3,Spells!$A$1:$I$1,0),FALSE))</f>
        <v/>
      </c>
      <c r="E405" s="49" t="str">
        <f>IFNA(VLOOKUP($A405,Spells!$A$2:$I1002,MATCH(E$3,Spells!$A$1:$I$1,0),FALSE))</f>
        <v/>
      </c>
      <c r="F405" s="49" t="str">
        <f>IFNA(VLOOKUP($A405,Spells!$A$2:$I1002,MATCH(F$3,Spells!$A$1:$I$1,0),FALSE))</f>
        <v/>
      </c>
      <c r="G405" s="49" t="str">
        <f>IFNA(VLOOKUP($A405,Spells!$A$2:$I1002,MATCH(G$3,Spells!$A$1:$I$1,0),FALSE))</f>
        <v/>
      </c>
      <c r="H405" s="49" t="str">
        <f>IFNA(VLOOKUP($A405,Spells!$A$2:$I1002,MATCH(H$3,Spells!$A$1:$I$1,0),FALSE))</f>
        <v/>
      </c>
    </row>
    <row r="406">
      <c r="A406" s="49"/>
      <c r="B406" s="49" t="str">
        <f>IFNA(VLOOKUP($A406,Spells!$A$2:$I1002,MATCH(B$3,Spells!$A$1:$I$1,0),FALSE))</f>
        <v/>
      </c>
      <c r="C406" s="49" t="str">
        <f>IFNA(VLOOKUP($A406,Spells!$A$2:$I1002,MATCH(C$3,Spells!$A$1:$I$1,0),FALSE))</f>
        <v/>
      </c>
      <c r="D406" s="49" t="str">
        <f>IFNA(VLOOKUP($A406,Spells!$A$2:$I1002,MATCH(D$3,Spells!$A$1:$I$1,0),FALSE))</f>
        <v/>
      </c>
      <c r="E406" s="49" t="str">
        <f>IFNA(VLOOKUP($A406,Spells!$A$2:$I1002,MATCH(E$3,Spells!$A$1:$I$1,0),FALSE))</f>
        <v/>
      </c>
      <c r="F406" s="49" t="str">
        <f>IFNA(VLOOKUP($A406,Spells!$A$2:$I1002,MATCH(F$3,Spells!$A$1:$I$1,0),FALSE))</f>
        <v/>
      </c>
      <c r="G406" s="49" t="str">
        <f>IFNA(VLOOKUP($A406,Spells!$A$2:$I1002,MATCH(G$3,Spells!$A$1:$I$1,0),FALSE))</f>
        <v/>
      </c>
      <c r="H406" s="49" t="str">
        <f>IFNA(VLOOKUP($A406,Spells!$A$2:$I1002,MATCH(H$3,Spells!$A$1:$I$1,0),FALSE))</f>
        <v/>
      </c>
    </row>
    <row r="407">
      <c r="A407" s="49"/>
      <c r="B407" s="49" t="str">
        <f>IFNA(VLOOKUP($A407,Spells!$A$2:$I1002,MATCH(B$3,Spells!$A$1:$I$1,0),FALSE))</f>
        <v/>
      </c>
      <c r="C407" s="49" t="str">
        <f>IFNA(VLOOKUP($A407,Spells!$A$2:$I1002,MATCH(C$3,Spells!$A$1:$I$1,0),FALSE))</f>
        <v/>
      </c>
      <c r="D407" s="49" t="str">
        <f>IFNA(VLOOKUP($A407,Spells!$A$2:$I1002,MATCH(D$3,Spells!$A$1:$I$1,0),FALSE))</f>
        <v/>
      </c>
      <c r="E407" s="49" t="str">
        <f>IFNA(VLOOKUP($A407,Spells!$A$2:$I1002,MATCH(E$3,Spells!$A$1:$I$1,0),FALSE))</f>
        <v/>
      </c>
      <c r="F407" s="49" t="str">
        <f>IFNA(VLOOKUP($A407,Spells!$A$2:$I1002,MATCH(F$3,Spells!$A$1:$I$1,0),FALSE))</f>
        <v/>
      </c>
      <c r="G407" s="49" t="str">
        <f>IFNA(VLOOKUP($A407,Spells!$A$2:$I1002,MATCH(G$3,Spells!$A$1:$I$1,0),FALSE))</f>
        <v/>
      </c>
      <c r="H407" s="49" t="str">
        <f>IFNA(VLOOKUP($A407,Spells!$A$2:$I1002,MATCH(H$3,Spells!$A$1:$I$1,0),FALSE))</f>
        <v/>
      </c>
    </row>
    <row r="408">
      <c r="A408" s="49"/>
      <c r="B408" s="49" t="str">
        <f>IFNA(VLOOKUP($A408,Spells!$A$2:$I1002,MATCH(B$3,Spells!$A$1:$I$1,0),FALSE))</f>
        <v/>
      </c>
      <c r="C408" s="49" t="str">
        <f>IFNA(VLOOKUP($A408,Spells!$A$2:$I1002,MATCH(C$3,Spells!$A$1:$I$1,0),FALSE))</f>
        <v/>
      </c>
      <c r="D408" s="49" t="str">
        <f>IFNA(VLOOKUP($A408,Spells!$A$2:$I1002,MATCH(D$3,Spells!$A$1:$I$1,0),FALSE))</f>
        <v/>
      </c>
      <c r="E408" s="49" t="str">
        <f>IFNA(VLOOKUP($A408,Spells!$A$2:$I1002,MATCH(E$3,Spells!$A$1:$I$1,0),FALSE))</f>
        <v/>
      </c>
      <c r="F408" s="49" t="str">
        <f>IFNA(VLOOKUP($A408,Spells!$A$2:$I1002,MATCH(F$3,Spells!$A$1:$I$1,0),FALSE))</f>
        <v/>
      </c>
      <c r="G408" s="49" t="str">
        <f>IFNA(VLOOKUP($A408,Spells!$A$2:$I1002,MATCH(G$3,Spells!$A$1:$I$1,0),FALSE))</f>
        <v/>
      </c>
      <c r="H408" s="49" t="str">
        <f>IFNA(VLOOKUP($A408,Spells!$A$2:$I1002,MATCH(H$3,Spells!$A$1:$I$1,0),FALSE))</f>
        <v/>
      </c>
    </row>
    <row r="409">
      <c r="A409" s="49"/>
      <c r="B409" s="49" t="str">
        <f>IFNA(VLOOKUP($A409,Spells!$A$2:$I1002,MATCH(B$3,Spells!$A$1:$I$1,0),FALSE))</f>
        <v/>
      </c>
      <c r="C409" s="49" t="str">
        <f>IFNA(VLOOKUP($A409,Spells!$A$2:$I1002,MATCH(C$3,Spells!$A$1:$I$1,0),FALSE))</f>
        <v/>
      </c>
      <c r="D409" s="49" t="str">
        <f>IFNA(VLOOKUP($A409,Spells!$A$2:$I1002,MATCH(D$3,Spells!$A$1:$I$1,0),FALSE))</f>
        <v/>
      </c>
      <c r="E409" s="49" t="str">
        <f>IFNA(VLOOKUP($A409,Spells!$A$2:$I1002,MATCH(E$3,Spells!$A$1:$I$1,0),FALSE))</f>
        <v/>
      </c>
      <c r="F409" s="49" t="str">
        <f>IFNA(VLOOKUP($A409,Spells!$A$2:$I1002,MATCH(F$3,Spells!$A$1:$I$1,0),FALSE))</f>
        <v/>
      </c>
      <c r="G409" s="49" t="str">
        <f>IFNA(VLOOKUP($A409,Spells!$A$2:$I1002,MATCH(G$3,Spells!$A$1:$I$1,0),FALSE))</f>
        <v/>
      </c>
      <c r="H409" s="49" t="str">
        <f>IFNA(VLOOKUP($A409,Spells!$A$2:$I1002,MATCH(H$3,Spells!$A$1:$I$1,0),FALSE))</f>
        <v/>
      </c>
    </row>
    <row r="410">
      <c r="A410" s="49"/>
      <c r="B410" s="49" t="str">
        <f>IFNA(VLOOKUP($A410,Spells!$A$2:$I1002,MATCH(B$3,Spells!$A$1:$I$1,0),FALSE))</f>
        <v/>
      </c>
      <c r="C410" s="49" t="str">
        <f>IFNA(VLOOKUP($A410,Spells!$A$2:$I1002,MATCH(C$3,Spells!$A$1:$I$1,0),FALSE))</f>
        <v/>
      </c>
      <c r="D410" s="49" t="str">
        <f>IFNA(VLOOKUP($A410,Spells!$A$2:$I1002,MATCH(D$3,Spells!$A$1:$I$1,0),FALSE))</f>
        <v/>
      </c>
      <c r="E410" s="49" t="str">
        <f>IFNA(VLOOKUP($A410,Spells!$A$2:$I1002,MATCH(E$3,Spells!$A$1:$I$1,0),FALSE))</f>
        <v/>
      </c>
      <c r="F410" s="49" t="str">
        <f>IFNA(VLOOKUP($A410,Spells!$A$2:$I1002,MATCH(F$3,Spells!$A$1:$I$1,0),FALSE))</f>
        <v/>
      </c>
      <c r="G410" s="49" t="str">
        <f>IFNA(VLOOKUP($A410,Spells!$A$2:$I1002,MATCH(G$3,Spells!$A$1:$I$1,0),FALSE))</f>
        <v/>
      </c>
      <c r="H410" s="49" t="str">
        <f>IFNA(VLOOKUP($A410,Spells!$A$2:$I1002,MATCH(H$3,Spells!$A$1:$I$1,0),FALSE))</f>
        <v/>
      </c>
    </row>
    <row r="411">
      <c r="A411" s="49"/>
      <c r="B411" s="49" t="str">
        <f>IFNA(VLOOKUP($A411,Spells!$A$2:$I1002,MATCH(B$3,Spells!$A$1:$I$1,0),FALSE))</f>
        <v/>
      </c>
      <c r="C411" s="49" t="str">
        <f>IFNA(VLOOKUP($A411,Spells!$A$2:$I1002,MATCH(C$3,Spells!$A$1:$I$1,0),FALSE))</f>
        <v/>
      </c>
      <c r="D411" s="49" t="str">
        <f>IFNA(VLOOKUP($A411,Spells!$A$2:$I1002,MATCH(D$3,Spells!$A$1:$I$1,0),FALSE))</f>
        <v/>
      </c>
      <c r="E411" s="49" t="str">
        <f>IFNA(VLOOKUP($A411,Spells!$A$2:$I1002,MATCH(E$3,Spells!$A$1:$I$1,0),FALSE))</f>
        <v/>
      </c>
      <c r="F411" s="49" t="str">
        <f>IFNA(VLOOKUP($A411,Spells!$A$2:$I1002,MATCH(F$3,Spells!$A$1:$I$1,0),FALSE))</f>
        <v/>
      </c>
      <c r="G411" s="49" t="str">
        <f>IFNA(VLOOKUP($A411,Spells!$A$2:$I1002,MATCH(G$3,Spells!$A$1:$I$1,0),FALSE))</f>
        <v/>
      </c>
      <c r="H411" s="49" t="str">
        <f>IFNA(VLOOKUP($A411,Spells!$A$2:$I1002,MATCH(H$3,Spells!$A$1:$I$1,0),FALSE))</f>
        <v/>
      </c>
    </row>
    <row r="412">
      <c r="A412" s="49"/>
      <c r="B412" s="49" t="str">
        <f>IFNA(VLOOKUP($A412,Spells!$A$2:$I1002,MATCH(B$3,Spells!$A$1:$I$1,0),FALSE))</f>
        <v/>
      </c>
      <c r="C412" s="49" t="str">
        <f>IFNA(VLOOKUP($A412,Spells!$A$2:$I1002,MATCH(C$3,Spells!$A$1:$I$1,0),FALSE))</f>
        <v/>
      </c>
      <c r="D412" s="49" t="str">
        <f>IFNA(VLOOKUP($A412,Spells!$A$2:$I1002,MATCH(D$3,Spells!$A$1:$I$1,0),FALSE))</f>
        <v/>
      </c>
      <c r="E412" s="49" t="str">
        <f>IFNA(VLOOKUP($A412,Spells!$A$2:$I1002,MATCH(E$3,Spells!$A$1:$I$1,0),FALSE))</f>
        <v/>
      </c>
      <c r="F412" s="49" t="str">
        <f>IFNA(VLOOKUP($A412,Spells!$A$2:$I1002,MATCH(F$3,Spells!$A$1:$I$1,0),FALSE))</f>
        <v/>
      </c>
      <c r="G412" s="49" t="str">
        <f>IFNA(VLOOKUP($A412,Spells!$A$2:$I1002,MATCH(G$3,Spells!$A$1:$I$1,0),FALSE))</f>
        <v/>
      </c>
      <c r="H412" s="49" t="str">
        <f>IFNA(VLOOKUP($A412,Spells!$A$2:$I1002,MATCH(H$3,Spells!$A$1:$I$1,0),FALSE))</f>
        <v/>
      </c>
    </row>
    <row r="413">
      <c r="A413" s="49"/>
      <c r="B413" s="49" t="str">
        <f>IFNA(VLOOKUP($A413,Spells!$A$2:$I1002,MATCH(B$3,Spells!$A$1:$I$1,0),FALSE))</f>
        <v/>
      </c>
      <c r="C413" s="49" t="str">
        <f>IFNA(VLOOKUP($A413,Spells!$A$2:$I1002,MATCH(C$3,Spells!$A$1:$I$1,0),FALSE))</f>
        <v/>
      </c>
      <c r="D413" s="49" t="str">
        <f>IFNA(VLOOKUP($A413,Spells!$A$2:$I1002,MATCH(D$3,Spells!$A$1:$I$1,0),FALSE))</f>
        <v/>
      </c>
      <c r="E413" s="49" t="str">
        <f>IFNA(VLOOKUP($A413,Spells!$A$2:$I1002,MATCH(E$3,Spells!$A$1:$I$1,0),FALSE))</f>
        <v/>
      </c>
      <c r="F413" s="49" t="str">
        <f>IFNA(VLOOKUP($A413,Spells!$A$2:$I1002,MATCH(F$3,Spells!$A$1:$I$1,0),FALSE))</f>
        <v/>
      </c>
      <c r="G413" s="49" t="str">
        <f>IFNA(VLOOKUP($A413,Spells!$A$2:$I1002,MATCH(G$3,Spells!$A$1:$I$1,0),FALSE))</f>
        <v/>
      </c>
      <c r="H413" s="49" t="str">
        <f>IFNA(VLOOKUP($A413,Spells!$A$2:$I1002,MATCH(H$3,Spells!$A$1:$I$1,0),FALSE))</f>
        <v/>
      </c>
    </row>
    <row r="414">
      <c r="A414" s="49"/>
      <c r="B414" s="49" t="str">
        <f>IFNA(VLOOKUP($A414,Spells!$A$2:$I1002,MATCH(B$3,Spells!$A$1:$I$1,0),FALSE))</f>
        <v/>
      </c>
      <c r="C414" s="49" t="str">
        <f>IFNA(VLOOKUP($A414,Spells!$A$2:$I1002,MATCH(C$3,Spells!$A$1:$I$1,0),FALSE))</f>
        <v/>
      </c>
      <c r="D414" s="49" t="str">
        <f>IFNA(VLOOKUP($A414,Spells!$A$2:$I1002,MATCH(D$3,Spells!$A$1:$I$1,0),FALSE))</f>
        <v/>
      </c>
      <c r="E414" s="49" t="str">
        <f>IFNA(VLOOKUP($A414,Spells!$A$2:$I1002,MATCH(E$3,Spells!$A$1:$I$1,0),FALSE))</f>
        <v/>
      </c>
      <c r="F414" s="49" t="str">
        <f>IFNA(VLOOKUP($A414,Spells!$A$2:$I1002,MATCH(F$3,Spells!$A$1:$I$1,0),FALSE))</f>
        <v/>
      </c>
      <c r="G414" s="49" t="str">
        <f>IFNA(VLOOKUP($A414,Spells!$A$2:$I1002,MATCH(G$3,Spells!$A$1:$I$1,0),FALSE))</f>
        <v/>
      </c>
      <c r="H414" s="49" t="str">
        <f>IFNA(VLOOKUP($A414,Spells!$A$2:$I1002,MATCH(H$3,Spells!$A$1:$I$1,0),FALSE))</f>
        <v/>
      </c>
    </row>
    <row r="415">
      <c r="A415" s="49"/>
      <c r="B415" s="49" t="str">
        <f>IFNA(VLOOKUP($A415,Spells!$A$2:$I1002,MATCH(B$3,Spells!$A$1:$I$1,0),FALSE))</f>
        <v/>
      </c>
      <c r="C415" s="49" t="str">
        <f>IFNA(VLOOKUP($A415,Spells!$A$2:$I1002,MATCH(C$3,Spells!$A$1:$I$1,0),FALSE))</f>
        <v/>
      </c>
      <c r="D415" s="49" t="str">
        <f>IFNA(VLOOKUP($A415,Spells!$A$2:$I1002,MATCH(D$3,Spells!$A$1:$I$1,0),FALSE))</f>
        <v/>
      </c>
      <c r="E415" s="49" t="str">
        <f>IFNA(VLOOKUP($A415,Spells!$A$2:$I1002,MATCH(E$3,Spells!$A$1:$I$1,0),FALSE))</f>
        <v/>
      </c>
      <c r="F415" s="49" t="str">
        <f>IFNA(VLOOKUP($A415,Spells!$A$2:$I1002,MATCH(F$3,Spells!$A$1:$I$1,0),FALSE))</f>
        <v/>
      </c>
      <c r="G415" s="49" t="str">
        <f>IFNA(VLOOKUP($A415,Spells!$A$2:$I1002,MATCH(G$3,Spells!$A$1:$I$1,0),FALSE))</f>
        <v/>
      </c>
      <c r="H415" s="49" t="str">
        <f>IFNA(VLOOKUP($A415,Spells!$A$2:$I1002,MATCH(H$3,Spells!$A$1:$I$1,0),FALSE))</f>
        <v/>
      </c>
    </row>
    <row r="416">
      <c r="A416" s="49"/>
      <c r="B416" s="49" t="str">
        <f>IFNA(VLOOKUP($A416,Spells!$A$2:$I1002,MATCH(B$3,Spells!$A$1:$I$1,0),FALSE))</f>
        <v/>
      </c>
      <c r="C416" s="49" t="str">
        <f>IFNA(VLOOKUP($A416,Spells!$A$2:$I1002,MATCH(C$3,Spells!$A$1:$I$1,0),FALSE))</f>
        <v/>
      </c>
      <c r="D416" s="49" t="str">
        <f>IFNA(VLOOKUP($A416,Spells!$A$2:$I1002,MATCH(D$3,Spells!$A$1:$I$1,0),FALSE))</f>
        <v/>
      </c>
      <c r="E416" s="49" t="str">
        <f>IFNA(VLOOKUP($A416,Spells!$A$2:$I1002,MATCH(E$3,Spells!$A$1:$I$1,0),FALSE))</f>
        <v/>
      </c>
      <c r="F416" s="49" t="str">
        <f>IFNA(VLOOKUP($A416,Spells!$A$2:$I1002,MATCH(F$3,Spells!$A$1:$I$1,0),FALSE))</f>
        <v/>
      </c>
      <c r="G416" s="49" t="str">
        <f>IFNA(VLOOKUP($A416,Spells!$A$2:$I1002,MATCH(G$3,Spells!$A$1:$I$1,0),FALSE))</f>
        <v/>
      </c>
      <c r="H416" s="49" t="str">
        <f>IFNA(VLOOKUP($A416,Spells!$A$2:$I1002,MATCH(H$3,Spells!$A$1:$I$1,0),FALSE))</f>
        <v/>
      </c>
    </row>
    <row r="417">
      <c r="A417" s="49"/>
      <c r="B417" s="49" t="str">
        <f>IFNA(VLOOKUP($A417,Spells!$A$2:$I1002,MATCH(B$3,Spells!$A$1:$I$1,0),FALSE))</f>
        <v/>
      </c>
      <c r="C417" s="49" t="str">
        <f>IFNA(VLOOKUP($A417,Spells!$A$2:$I1002,MATCH(C$3,Spells!$A$1:$I$1,0),FALSE))</f>
        <v/>
      </c>
      <c r="D417" s="49" t="str">
        <f>IFNA(VLOOKUP($A417,Spells!$A$2:$I1002,MATCH(D$3,Spells!$A$1:$I$1,0),FALSE))</f>
        <v/>
      </c>
      <c r="E417" s="49" t="str">
        <f>IFNA(VLOOKUP($A417,Spells!$A$2:$I1002,MATCH(E$3,Spells!$A$1:$I$1,0),FALSE))</f>
        <v/>
      </c>
      <c r="F417" s="49" t="str">
        <f>IFNA(VLOOKUP($A417,Spells!$A$2:$I1002,MATCH(F$3,Spells!$A$1:$I$1,0),FALSE))</f>
        <v/>
      </c>
      <c r="G417" s="49" t="str">
        <f>IFNA(VLOOKUP($A417,Spells!$A$2:$I1002,MATCH(G$3,Spells!$A$1:$I$1,0),FALSE))</f>
        <v/>
      </c>
      <c r="H417" s="49" t="str">
        <f>IFNA(VLOOKUP($A417,Spells!$A$2:$I1002,MATCH(H$3,Spells!$A$1:$I$1,0),FALSE))</f>
        <v/>
      </c>
    </row>
    <row r="418">
      <c r="A418" s="49"/>
      <c r="B418" s="49" t="str">
        <f>IFNA(VLOOKUP($A418,Spells!$A$2:$I1002,MATCH(B$3,Spells!$A$1:$I$1,0),FALSE))</f>
        <v/>
      </c>
      <c r="C418" s="49" t="str">
        <f>IFNA(VLOOKUP($A418,Spells!$A$2:$I1002,MATCH(C$3,Spells!$A$1:$I$1,0),FALSE))</f>
        <v/>
      </c>
      <c r="D418" s="49" t="str">
        <f>IFNA(VLOOKUP($A418,Spells!$A$2:$I1002,MATCH(D$3,Spells!$A$1:$I$1,0),FALSE))</f>
        <v/>
      </c>
      <c r="E418" s="49" t="str">
        <f>IFNA(VLOOKUP($A418,Spells!$A$2:$I1002,MATCH(E$3,Spells!$A$1:$I$1,0),FALSE))</f>
        <v/>
      </c>
      <c r="F418" s="49" t="str">
        <f>IFNA(VLOOKUP($A418,Spells!$A$2:$I1002,MATCH(F$3,Spells!$A$1:$I$1,0),FALSE))</f>
        <v/>
      </c>
      <c r="G418" s="49" t="str">
        <f>IFNA(VLOOKUP($A418,Spells!$A$2:$I1002,MATCH(G$3,Spells!$A$1:$I$1,0),FALSE))</f>
        <v/>
      </c>
      <c r="H418" s="49" t="str">
        <f>IFNA(VLOOKUP($A418,Spells!$A$2:$I1002,MATCH(H$3,Spells!$A$1:$I$1,0),FALSE))</f>
        <v/>
      </c>
    </row>
    <row r="419">
      <c r="A419" s="49"/>
      <c r="B419" s="49" t="str">
        <f>IFNA(VLOOKUP($A419,Spells!$A$2:$I1002,MATCH(B$3,Spells!$A$1:$I$1,0),FALSE))</f>
        <v/>
      </c>
      <c r="C419" s="49" t="str">
        <f>IFNA(VLOOKUP($A419,Spells!$A$2:$I1002,MATCH(C$3,Spells!$A$1:$I$1,0),FALSE))</f>
        <v/>
      </c>
      <c r="D419" s="49" t="str">
        <f>IFNA(VLOOKUP($A419,Spells!$A$2:$I1002,MATCH(D$3,Spells!$A$1:$I$1,0),FALSE))</f>
        <v/>
      </c>
      <c r="E419" s="49" t="str">
        <f>IFNA(VLOOKUP($A419,Spells!$A$2:$I1002,MATCH(E$3,Spells!$A$1:$I$1,0),FALSE))</f>
        <v/>
      </c>
      <c r="F419" s="49" t="str">
        <f>IFNA(VLOOKUP($A419,Spells!$A$2:$I1002,MATCH(F$3,Spells!$A$1:$I$1,0),FALSE))</f>
        <v/>
      </c>
      <c r="G419" s="49" t="str">
        <f>IFNA(VLOOKUP($A419,Spells!$A$2:$I1002,MATCH(G$3,Spells!$A$1:$I$1,0),FALSE))</f>
        <v/>
      </c>
      <c r="H419" s="49" t="str">
        <f>IFNA(VLOOKUP($A419,Spells!$A$2:$I1002,MATCH(H$3,Spells!$A$1:$I$1,0),FALSE))</f>
        <v/>
      </c>
    </row>
    <row r="420">
      <c r="A420" s="49"/>
      <c r="B420" s="49" t="str">
        <f>IFNA(VLOOKUP($A420,Spells!$A$2:$I1002,MATCH(B$3,Spells!$A$1:$I$1,0),FALSE))</f>
        <v/>
      </c>
      <c r="C420" s="49" t="str">
        <f>IFNA(VLOOKUP($A420,Spells!$A$2:$I1002,MATCH(C$3,Spells!$A$1:$I$1,0),FALSE))</f>
        <v/>
      </c>
      <c r="D420" s="49" t="str">
        <f>IFNA(VLOOKUP($A420,Spells!$A$2:$I1002,MATCH(D$3,Spells!$A$1:$I$1,0),FALSE))</f>
        <v/>
      </c>
      <c r="E420" s="49" t="str">
        <f>IFNA(VLOOKUP($A420,Spells!$A$2:$I1002,MATCH(E$3,Spells!$A$1:$I$1,0),FALSE))</f>
        <v/>
      </c>
      <c r="F420" s="49" t="str">
        <f>IFNA(VLOOKUP($A420,Spells!$A$2:$I1002,MATCH(F$3,Spells!$A$1:$I$1,0),FALSE))</f>
        <v/>
      </c>
      <c r="G420" s="49" t="str">
        <f>IFNA(VLOOKUP($A420,Spells!$A$2:$I1002,MATCH(G$3,Spells!$A$1:$I$1,0),FALSE))</f>
        <v/>
      </c>
      <c r="H420" s="49" t="str">
        <f>IFNA(VLOOKUP($A420,Spells!$A$2:$I1002,MATCH(H$3,Spells!$A$1:$I$1,0),FALSE))</f>
        <v/>
      </c>
    </row>
    <row r="421">
      <c r="A421" s="49"/>
      <c r="B421" s="49" t="str">
        <f>IFNA(VLOOKUP($A421,Spells!$A$2:$I1002,MATCH(B$3,Spells!$A$1:$I$1,0),FALSE))</f>
        <v/>
      </c>
      <c r="C421" s="49" t="str">
        <f>IFNA(VLOOKUP($A421,Spells!$A$2:$I1002,MATCH(C$3,Spells!$A$1:$I$1,0),FALSE))</f>
        <v/>
      </c>
      <c r="D421" s="49" t="str">
        <f>IFNA(VLOOKUP($A421,Spells!$A$2:$I1002,MATCH(D$3,Spells!$A$1:$I$1,0),FALSE))</f>
        <v/>
      </c>
      <c r="E421" s="49" t="str">
        <f>IFNA(VLOOKUP($A421,Spells!$A$2:$I1002,MATCH(E$3,Spells!$A$1:$I$1,0),FALSE))</f>
        <v/>
      </c>
      <c r="F421" s="49" t="str">
        <f>IFNA(VLOOKUP($A421,Spells!$A$2:$I1002,MATCH(F$3,Spells!$A$1:$I$1,0),FALSE))</f>
        <v/>
      </c>
      <c r="G421" s="49" t="str">
        <f>IFNA(VLOOKUP($A421,Spells!$A$2:$I1002,MATCH(G$3,Spells!$A$1:$I$1,0),FALSE))</f>
        <v/>
      </c>
      <c r="H421" s="49" t="str">
        <f>IFNA(VLOOKUP($A421,Spells!$A$2:$I1002,MATCH(H$3,Spells!$A$1:$I$1,0),FALSE))</f>
        <v/>
      </c>
    </row>
    <row r="422">
      <c r="A422" s="49"/>
      <c r="B422" s="49" t="str">
        <f>IFNA(VLOOKUP($A422,Spells!$A$2:$I1002,MATCH(B$3,Spells!$A$1:$I$1,0),FALSE))</f>
        <v/>
      </c>
      <c r="C422" s="49" t="str">
        <f>IFNA(VLOOKUP($A422,Spells!$A$2:$I1002,MATCH(C$3,Spells!$A$1:$I$1,0),FALSE))</f>
        <v/>
      </c>
      <c r="D422" s="49" t="str">
        <f>IFNA(VLOOKUP($A422,Spells!$A$2:$I1002,MATCH(D$3,Spells!$A$1:$I$1,0),FALSE))</f>
        <v/>
      </c>
      <c r="E422" s="49" t="str">
        <f>IFNA(VLOOKUP($A422,Spells!$A$2:$I1002,MATCH(E$3,Spells!$A$1:$I$1,0),FALSE))</f>
        <v/>
      </c>
      <c r="F422" s="49" t="str">
        <f>IFNA(VLOOKUP($A422,Spells!$A$2:$I1002,MATCH(F$3,Spells!$A$1:$I$1,0),FALSE))</f>
        <v/>
      </c>
      <c r="G422" s="49" t="str">
        <f>IFNA(VLOOKUP($A422,Spells!$A$2:$I1002,MATCH(G$3,Spells!$A$1:$I$1,0),FALSE))</f>
        <v/>
      </c>
      <c r="H422" s="49" t="str">
        <f>IFNA(VLOOKUP($A422,Spells!$A$2:$I1002,MATCH(H$3,Spells!$A$1:$I$1,0),FALSE))</f>
        <v/>
      </c>
    </row>
    <row r="423">
      <c r="A423" s="49"/>
      <c r="B423" s="49" t="str">
        <f>IFNA(VLOOKUP($A423,Spells!$A$2:$I1002,MATCH(B$3,Spells!$A$1:$I$1,0),FALSE))</f>
        <v/>
      </c>
      <c r="C423" s="49" t="str">
        <f>IFNA(VLOOKUP($A423,Spells!$A$2:$I1002,MATCH(C$3,Spells!$A$1:$I$1,0),FALSE))</f>
        <v/>
      </c>
      <c r="D423" s="49" t="str">
        <f>IFNA(VLOOKUP($A423,Spells!$A$2:$I1002,MATCH(D$3,Spells!$A$1:$I$1,0),FALSE))</f>
        <v/>
      </c>
      <c r="E423" s="49" t="str">
        <f>IFNA(VLOOKUP($A423,Spells!$A$2:$I1002,MATCH(E$3,Spells!$A$1:$I$1,0),FALSE))</f>
        <v/>
      </c>
      <c r="F423" s="49" t="str">
        <f>IFNA(VLOOKUP($A423,Spells!$A$2:$I1002,MATCH(F$3,Spells!$A$1:$I$1,0),FALSE))</f>
        <v/>
      </c>
      <c r="G423" s="49" t="str">
        <f>IFNA(VLOOKUP($A423,Spells!$A$2:$I1002,MATCH(G$3,Spells!$A$1:$I$1,0),FALSE))</f>
        <v/>
      </c>
      <c r="H423" s="49" t="str">
        <f>IFNA(VLOOKUP($A423,Spells!$A$2:$I1002,MATCH(H$3,Spells!$A$1:$I$1,0),FALSE))</f>
        <v/>
      </c>
    </row>
    <row r="424">
      <c r="A424" s="49"/>
      <c r="B424" s="49" t="str">
        <f>IFNA(VLOOKUP($A424,Spells!$A$2:$I1002,MATCH(B$3,Spells!$A$1:$I$1,0),FALSE))</f>
        <v/>
      </c>
      <c r="C424" s="49" t="str">
        <f>IFNA(VLOOKUP($A424,Spells!$A$2:$I1002,MATCH(C$3,Spells!$A$1:$I$1,0),FALSE))</f>
        <v/>
      </c>
      <c r="D424" s="49" t="str">
        <f>IFNA(VLOOKUP($A424,Spells!$A$2:$I1002,MATCH(D$3,Spells!$A$1:$I$1,0),FALSE))</f>
        <v/>
      </c>
      <c r="E424" s="49" t="str">
        <f>IFNA(VLOOKUP($A424,Spells!$A$2:$I1002,MATCH(E$3,Spells!$A$1:$I$1,0),FALSE))</f>
        <v/>
      </c>
      <c r="F424" s="49" t="str">
        <f>IFNA(VLOOKUP($A424,Spells!$A$2:$I1002,MATCH(F$3,Spells!$A$1:$I$1,0),FALSE))</f>
        <v/>
      </c>
      <c r="G424" s="49" t="str">
        <f>IFNA(VLOOKUP($A424,Spells!$A$2:$I1002,MATCH(G$3,Spells!$A$1:$I$1,0),FALSE))</f>
        <v/>
      </c>
      <c r="H424" s="49" t="str">
        <f>IFNA(VLOOKUP($A424,Spells!$A$2:$I1002,MATCH(H$3,Spells!$A$1:$I$1,0),FALSE))</f>
        <v/>
      </c>
    </row>
    <row r="425">
      <c r="A425" s="49"/>
      <c r="B425" s="49" t="str">
        <f>IFNA(VLOOKUP($A425,Spells!$A$2:$I1002,MATCH(B$3,Spells!$A$1:$I$1,0),FALSE))</f>
        <v/>
      </c>
      <c r="C425" s="49" t="str">
        <f>IFNA(VLOOKUP($A425,Spells!$A$2:$I1002,MATCH(C$3,Spells!$A$1:$I$1,0),FALSE))</f>
        <v/>
      </c>
      <c r="D425" s="49" t="str">
        <f>IFNA(VLOOKUP($A425,Spells!$A$2:$I1002,MATCH(D$3,Spells!$A$1:$I$1,0),FALSE))</f>
        <v/>
      </c>
      <c r="E425" s="49" t="str">
        <f>IFNA(VLOOKUP($A425,Spells!$A$2:$I1002,MATCH(E$3,Spells!$A$1:$I$1,0),FALSE))</f>
        <v/>
      </c>
      <c r="F425" s="49" t="str">
        <f>IFNA(VLOOKUP($A425,Spells!$A$2:$I1002,MATCH(F$3,Spells!$A$1:$I$1,0),FALSE))</f>
        <v/>
      </c>
      <c r="G425" s="49" t="str">
        <f>IFNA(VLOOKUP($A425,Spells!$A$2:$I1002,MATCH(G$3,Spells!$A$1:$I$1,0),FALSE))</f>
        <v/>
      </c>
      <c r="H425" s="49" t="str">
        <f>IFNA(VLOOKUP($A425,Spells!$A$2:$I1002,MATCH(H$3,Spells!$A$1:$I$1,0),FALSE))</f>
        <v/>
      </c>
    </row>
    <row r="426">
      <c r="A426" s="49"/>
      <c r="B426" s="49" t="str">
        <f>IFNA(VLOOKUP($A426,Spells!$A$2:$I1002,MATCH(B$3,Spells!$A$1:$I$1,0),FALSE))</f>
        <v/>
      </c>
      <c r="C426" s="49" t="str">
        <f>IFNA(VLOOKUP($A426,Spells!$A$2:$I1002,MATCH(C$3,Spells!$A$1:$I$1,0),FALSE))</f>
        <v/>
      </c>
      <c r="D426" s="49" t="str">
        <f>IFNA(VLOOKUP($A426,Spells!$A$2:$I1002,MATCH(D$3,Spells!$A$1:$I$1,0),FALSE))</f>
        <v/>
      </c>
      <c r="E426" s="49" t="str">
        <f>IFNA(VLOOKUP($A426,Spells!$A$2:$I1002,MATCH(E$3,Spells!$A$1:$I$1,0),FALSE))</f>
        <v/>
      </c>
      <c r="F426" s="49" t="str">
        <f>IFNA(VLOOKUP($A426,Spells!$A$2:$I1002,MATCH(F$3,Spells!$A$1:$I$1,0),FALSE))</f>
        <v/>
      </c>
      <c r="G426" s="49" t="str">
        <f>IFNA(VLOOKUP($A426,Spells!$A$2:$I1002,MATCH(G$3,Spells!$A$1:$I$1,0),FALSE))</f>
        <v/>
      </c>
      <c r="H426" s="49" t="str">
        <f>IFNA(VLOOKUP($A426,Spells!$A$2:$I1002,MATCH(H$3,Spells!$A$1:$I$1,0),FALSE))</f>
        <v/>
      </c>
    </row>
    <row r="427">
      <c r="A427" s="49"/>
      <c r="B427" s="49" t="str">
        <f>IFNA(VLOOKUP($A427,Spells!$A$2:$I1002,MATCH(B$3,Spells!$A$1:$I$1,0),FALSE))</f>
        <v/>
      </c>
      <c r="C427" s="49" t="str">
        <f>IFNA(VLOOKUP($A427,Spells!$A$2:$I1002,MATCH(C$3,Spells!$A$1:$I$1,0),FALSE))</f>
        <v/>
      </c>
      <c r="D427" s="49" t="str">
        <f>IFNA(VLOOKUP($A427,Spells!$A$2:$I1002,MATCH(D$3,Spells!$A$1:$I$1,0),FALSE))</f>
        <v/>
      </c>
      <c r="E427" s="49" t="str">
        <f>IFNA(VLOOKUP($A427,Spells!$A$2:$I1002,MATCH(E$3,Spells!$A$1:$I$1,0),FALSE))</f>
        <v/>
      </c>
      <c r="F427" s="49" t="str">
        <f>IFNA(VLOOKUP($A427,Spells!$A$2:$I1002,MATCH(F$3,Spells!$A$1:$I$1,0),FALSE))</f>
        <v/>
      </c>
      <c r="G427" s="49" t="str">
        <f>IFNA(VLOOKUP($A427,Spells!$A$2:$I1002,MATCH(G$3,Spells!$A$1:$I$1,0),FALSE))</f>
        <v/>
      </c>
      <c r="H427" s="49" t="str">
        <f>IFNA(VLOOKUP($A427,Spells!$A$2:$I1002,MATCH(H$3,Spells!$A$1:$I$1,0),FALSE))</f>
        <v/>
      </c>
    </row>
    <row r="428">
      <c r="A428" s="49"/>
      <c r="B428" s="49" t="str">
        <f>IFNA(VLOOKUP($A428,Spells!$A$2:$I1002,MATCH(B$3,Spells!$A$1:$I$1,0),FALSE))</f>
        <v/>
      </c>
      <c r="C428" s="49" t="str">
        <f>IFNA(VLOOKUP($A428,Spells!$A$2:$I1002,MATCH(C$3,Spells!$A$1:$I$1,0),FALSE))</f>
        <v/>
      </c>
      <c r="D428" s="49" t="str">
        <f>IFNA(VLOOKUP($A428,Spells!$A$2:$I1002,MATCH(D$3,Spells!$A$1:$I$1,0),FALSE))</f>
        <v/>
      </c>
      <c r="E428" s="49" t="str">
        <f>IFNA(VLOOKUP($A428,Spells!$A$2:$I1002,MATCH(E$3,Spells!$A$1:$I$1,0),FALSE))</f>
        <v/>
      </c>
      <c r="F428" s="49" t="str">
        <f>IFNA(VLOOKUP($A428,Spells!$A$2:$I1002,MATCH(F$3,Spells!$A$1:$I$1,0),FALSE))</f>
        <v/>
      </c>
      <c r="G428" s="49" t="str">
        <f>IFNA(VLOOKUP($A428,Spells!$A$2:$I1002,MATCH(G$3,Spells!$A$1:$I$1,0),FALSE))</f>
        <v/>
      </c>
      <c r="H428" s="49" t="str">
        <f>IFNA(VLOOKUP($A428,Spells!$A$2:$I1002,MATCH(H$3,Spells!$A$1:$I$1,0),FALSE))</f>
        <v/>
      </c>
    </row>
    <row r="429">
      <c r="A429" s="49"/>
      <c r="B429" s="49" t="str">
        <f>IFNA(VLOOKUP($A429,Spells!$A$2:$I1002,MATCH(B$3,Spells!$A$1:$I$1,0),FALSE))</f>
        <v/>
      </c>
      <c r="C429" s="49" t="str">
        <f>IFNA(VLOOKUP($A429,Spells!$A$2:$I1002,MATCH(C$3,Spells!$A$1:$I$1,0),FALSE))</f>
        <v/>
      </c>
      <c r="D429" s="49" t="str">
        <f>IFNA(VLOOKUP($A429,Spells!$A$2:$I1002,MATCH(D$3,Spells!$A$1:$I$1,0),FALSE))</f>
        <v/>
      </c>
      <c r="E429" s="49" t="str">
        <f>IFNA(VLOOKUP($A429,Spells!$A$2:$I1002,MATCH(E$3,Spells!$A$1:$I$1,0),FALSE))</f>
        <v/>
      </c>
      <c r="F429" s="49" t="str">
        <f>IFNA(VLOOKUP($A429,Spells!$A$2:$I1002,MATCH(F$3,Spells!$A$1:$I$1,0),FALSE))</f>
        <v/>
      </c>
      <c r="G429" s="49" t="str">
        <f>IFNA(VLOOKUP($A429,Spells!$A$2:$I1002,MATCH(G$3,Spells!$A$1:$I$1,0),FALSE))</f>
        <v/>
      </c>
      <c r="H429" s="49" t="str">
        <f>IFNA(VLOOKUP($A429,Spells!$A$2:$I1002,MATCH(H$3,Spells!$A$1:$I$1,0),FALSE))</f>
        <v/>
      </c>
    </row>
    <row r="430">
      <c r="A430" s="49"/>
      <c r="B430" s="49" t="str">
        <f>IFNA(VLOOKUP($A430,Spells!$A$2:$I1002,MATCH(B$3,Spells!$A$1:$I$1,0),FALSE))</f>
        <v/>
      </c>
      <c r="C430" s="49" t="str">
        <f>IFNA(VLOOKUP($A430,Spells!$A$2:$I1002,MATCH(C$3,Spells!$A$1:$I$1,0),FALSE))</f>
        <v/>
      </c>
      <c r="D430" s="49" t="str">
        <f>IFNA(VLOOKUP($A430,Spells!$A$2:$I1002,MATCH(D$3,Spells!$A$1:$I$1,0),FALSE))</f>
        <v/>
      </c>
      <c r="E430" s="49" t="str">
        <f>IFNA(VLOOKUP($A430,Spells!$A$2:$I1002,MATCH(E$3,Spells!$A$1:$I$1,0),FALSE))</f>
        <v/>
      </c>
      <c r="F430" s="49" t="str">
        <f>IFNA(VLOOKUP($A430,Spells!$A$2:$I1002,MATCH(F$3,Spells!$A$1:$I$1,0),FALSE))</f>
        <v/>
      </c>
      <c r="G430" s="49" t="str">
        <f>IFNA(VLOOKUP($A430,Spells!$A$2:$I1002,MATCH(G$3,Spells!$A$1:$I$1,0),FALSE))</f>
        <v/>
      </c>
      <c r="H430" s="49" t="str">
        <f>IFNA(VLOOKUP($A430,Spells!$A$2:$I1002,MATCH(H$3,Spells!$A$1:$I$1,0),FALSE))</f>
        <v/>
      </c>
    </row>
    <row r="431">
      <c r="A431" s="49"/>
      <c r="B431" s="49" t="str">
        <f>IFNA(VLOOKUP($A431,Spells!$A$2:$I1002,MATCH(B$3,Spells!$A$1:$I$1,0),FALSE))</f>
        <v/>
      </c>
      <c r="C431" s="49" t="str">
        <f>IFNA(VLOOKUP($A431,Spells!$A$2:$I1002,MATCH(C$3,Spells!$A$1:$I$1,0),FALSE))</f>
        <v/>
      </c>
      <c r="D431" s="49" t="str">
        <f>IFNA(VLOOKUP($A431,Spells!$A$2:$I1002,MATCH(D$3,Spells!$A$1:$I$1,0),FALSE))</f>
        <v/>
      </c>
      <c r="E431" s="49" t="str">
        <f>IFNA(VLOOKUP($A431,Spells!$A$2:$I1002,MATCH(E$3,Spells!$A$1:$I$1,0),FALSE))</f>
        <v/>
      </c>
      <c r="F431" s="49" t="str">
        <f>IFNA(VLOOKUP($A431,Spells!$A$2:$I1002,MATCH(F$3,Spells!$A$1:$I$1,0),FALSE))</f>
        <v/>
      </c>
      <c r="G431" s="49" t="str">
        <f>IFNA(VLOOKUP($A431,Spells!$A$2:$I1002,MATCH(G$3,Spells!$A$1:$I$1,0),FALSE))</f>
        <v/>
      </c>
      <c r="H431" s="49" t="str">
        <f>IFNA(VLOOKUP($A431,Spells!$A$2:$I1002,MATCH(H$3,Spells!$A$1:$I$1,0),FALSE))</f>
        <v/>
      </c>
    </row>
    <row r="432">
      <c r="A432" s="49"/>
      <c r="B432" s="49" t="str">
        <f>IFNA(VLOOKUP($A432,Spells!$A$2:$I1002,MATCH(B$3,Spells!$A$1:$I$1,0),FALSE))</f>
        <v/>
      </c>
      <c r="C432" s="49" t="str">
        <f>IFNA(VLOOKUP($A432,Spells!$A$2:$I1002,MATCH(C$3,Spells!$A$1:$I$1,0),FALSE))</f>
        <v/>
      </c>
      <c r="D432" s="49" t="str">
        <f>IFNA(VLOOKUP($A432,Spells!$A$2:$I1002,MATCH(D$3,Spells!$A$1:$I$1,0),FALSE))</f>
        <v/>
      </c>
      <c r="E432" s="49" t="str">
        <f>IFNA(VLOOKUP($A432,Spells!$A$2:$I1002,MATCH(E$3,Spells!$A$1:$I$1,0),FALSE))</f>
        <v/>
      </c>
      <c r="F432" s="49" t="str">
        <f>IFNA(VLOOKUP($A432,Spells!$A$2:$I1002,MATCH(F$3,Spells!$A$1:$I$1,0),FALSE))</f>
        <v/>
      </c>
      <c r="G432" s="49" t="str">
        <f>IFNA(VLOOKUP($A432,Spells!$A$2:$I1002,MATCH(G$3,Spells!$A$1:$I$1,0),FALSE))</f>
        <v/>
      </c>
      <c r="H432" s="49" t="str">
        <f>IFNA(VLOOKUP($A432,Spells!$A$2:$I1002,MATCH(H$3,Spells!$A$1:$I$1,0),FALSE))</f>
        <v/>
      </c>
    </row>
    <row r="433">
      <c r="A433" s="49"/>
      <c r="B433" s="49" t="str">
        <f>IFNA(VLOOKUP($A433,Spells!$A$2:$I1002,MATCH(B$3,Spells!$A$1:$I$1,0),FALSE))</f>
        <v/>
      </c>
      <c r="C433" s="49" t="str">
        <f>IFNA(VLOOKUP($A433,Spells!$A$2:$I1002,MATCH(C$3,Spells!$A$1:$I$1,0),FALSE))</f>
        <v/>
      </c>
      <c r="D433" s="49" t="str">
        <f>IFNA(VLOOKUP($A433,Spells!$A$2:$I1002,MATCH(D$3,Spells!$A$1:$I$1,0),FALSE))</f>
        <v/>
      </c>
      <c r="E433" s="49" t="str">
        <f>IFNA(VLOOKUP($A433,Spells!$A$2:$I1002,MATCH(E$3,Spells!$A$1:$I$1,0),FALSE))</f>
        <v/>
      </c>
      <c r="F433" s="49" t="str">
        <f>IFNA(VLOOKUP($A433,Spells!$A$2:$I1002,MATCH(F$3,Spells!$A$1:$I$1,0),FALSE))</f>
        <v/>
      </c>
      <c r="G433" s="49" t="str">
        <f>IFNA(VLOOKUP($A433,Spells!$A$2:$I1002,MATCH(G$3,Spells!$A$1:$I$1,0),FALSE))</f>
        <v/>
      </c>
      <c r="H433" s="49" t="str">
        <f>IFNA(VLOOKUP($A433,Spells!$A$2:$I1002,MATCH(H$3,Spells!$A$1:$I$1,0),FALSE))</f>
        <v/>
      </c>
    </row>
    <row r="434">
      <c r="A434" s="49"/>
      <c r="B434" s="49" t="str">
        <f>IFNA(VLOOKUP($A434,Spells!$A$2:$I1002,MATCH(B$3,Spells!$A$1:$I$1,0),FALSE))</f>
        <v/>
      </c>
      <c r="C434" s="49" t="str">
        <f>IFNA(VLOOKUP($A434,Spells!$A$2:$I1002,MATCH(C$3,Spells!$A$1:$I$1,0),FALSE))</f>
        <v/>
      </c>
      <c r="D434" s="49" t="str">
        <f>IFNA(VLOOKUP($A434,Spells!$A$2:$I1002,MATCH(D$3,Spells!$A$1:$I$1,0),FALSE))</f>
        <v/>
      </c>
      <c r="E434" s="49" t="str">
        <f>IFNA(VLOOKUP($A434,Spells!$A$2:$I1002,MATCH(E$3,Spells!$A$1:$I$1,0),FALSE))</f>
        <v/>
      </c>
      <c r="F434" s="49" t="str">
        <f>IFNA(VLOOKUP($A434,Spells!$A$2:$I1002,MATCH(F$3,Spells!$A$1:$I$1,0),FALSE))</f>
        <v/>
      </c>
      <c r="G434" s="49" t="str">
        <f>IFNA(VLOOKUP($A434,Spells!$A$2:$I1002,MATCH(G$3,Spells!$A$1:$I$1,0),FALSE))</f>
        <v/>
      </c>
      <c r="H434" s="49" t="str">
        <f>IFNA(VLOOKUP($A434,Spells!$A$2:$I1002,MATCH(H$3,Spells!$A$1:$I$1,0),FALSE))</f>
        <v/>
      </c>
    </row>
    <row r="435">
      <c r="A435" s="49"/>
      <c r="B435" s="49" t="str">
        <f>IFNA(VLOOKUP($A435,Spells!$A$2:$I1002,MATCH(B$3,Spells!$A$1:$I$1,0),FALSE))</f>
        <v/>
      </c>
      <c r="C435" s="49" t="str">
        <f>IFNA(VLOOKUP($A435,Spells!$A$2:$I1002,MATCH(C$3,Spells!$A$1:$I$1,0),FALSE))</f>
        <v/>
      </c>
      <c r="D435" s="49" t="str">
        <f>IFNA(VLOOKUP($A435,Spells!$A$2:$I1002,MATCH(D$3,Spells!$A$1:$I$1,0),FALSE))</f>
        <v/>
      </c>
      <c r="E435" s="49" t="str">
        <f>IFNA(VLOOKUP($A435,Spells!$A$2:$I1002,MATCH(E$3,Spells!$A$1:$I$1,0),FALSE))</f>
        <v/>
      </c>
      <c r="F435" s="49" t="str">
        <f>IFNA(VLOOKUP($A435,Spells!$A$2:$I1002,MATCH(F$3,Spells!$A$1:$I$1,0),FALSE))</f>
        <v/>
      </c>
      <c r="G435" s="49" t="str">
        <f>IFNA(VLOOKUP($A435,Spells!$A$2:$I1002,MATCH(G$3,Spells!$A$1:$I$1,0),FALSE))</f>
        <v/>
      </c>
      <c r="H435" s="49" t="str">
        <f>IFNA(VLOOKUP($A435,Spells!$A$2:$I1002,MATCH(H$3,Spells!$A$1:$I$1,0),FALSE))</f>
        <v/>
      </c>
    </row>
    <row r="436">
      <c r="A436" s="49"/>
      <c r="B436" s="49" t="str">
        <f>IFNA(VLOOKUP($A436,Spells!$A$2:$I1002,MATCH(B$3,Spells!$A$1:$I$1,0),FALSE))</f>
        <v/>
      </c>
      <c r="C436" s="49" t="str">
        <f>IFNA(VLOOKUP($A436,Spells!$A$2:$I1002,MATCH(C$3,Spells!$A$1:$I$1,0),FALSE))</f>
        <v/>
      </c>
      <c r="D436" s="49" t="str">
        <f>IFNA(VLOOKUP($A436,Spells!$A$2:$I1002,MATCH(D$3,Spells!$A$1:$I$1,0),FALSE))</f>
        <v/>
      </c>
      <c r="E436" s="49" t="str">
        <f>IFNA(VLOOKUP($A436,Spells!$A$2:$I1002,MATCH(E$3,Spells!$A$1:$I$1,0),FALSE))</f>
        <v/>
      </c>
      <c r="F436" s="49" t="str">
        <f>IFNA(VLOOKUP($A436,Spells!$A$2:$I1002,MATCH(F$3,Spells!$A$1:$I$1,0),FALSE))</f>
        <v/>
      </c>
      <c r="G436" s="49" t="str">
        <f>IFNA(VLOOKUP($A436,Spells!$A$2:$I1002,MATCH(G$3,Spells!$A$1:$I$1,0),FALSE))</f>
        <v/>
      </c>
      <c r="H436" s="49" t="str">
        <f>IFNA(VLOOKUP($A436,Spells!$A$2:$I1002,MATCH(H$3,Spells!$A$1:$I$1,0),FALSE))</f>
        <v/>
      </c>
    </row>
    <row r="437">
      <c r="A437" s="49"/>
      <c r="B437" s="49" t="str">
        <f>IFNA(VLOOKUP($A437,Spells!$A$2:$I1002,MATCH(B$3,Spells!$A$1:$I$1,0),FALSE))</f>
        <v/>
      </c>
      <c r="C437" s="49" t="str">
        <f>IFNA(VLOOKUP($A437,Spells!$A$2:$I1002,MATCH(C$3,Spells!$A$1:$I$1,0),FALSE))</f>
        <v/>
      </c>
      <c r="D437" s="49" t="str">
        <f>IFNA(VLOOKUP($A437,Spells!$A$2:$I1002,MATCH(D$3,Spells!$A$1:$I$1,0),FALSE))</f>
        <v/>
      </c>
      <c r="E437" s="49" t="str">
        <f>IFNA(VLOOKUP($A437,Spells!$A$2:$I1002,MATCH(E$3,Spells!$A$1:$I$1,0),FALSE))</f>
        <v/>
      </c>
      <c r="F437" s="49" t="str">
        <f>IFNA(VLOOKUP($A437,Spells!$A$2:$I1002,MATCH(F$3,Spells!$A$1:$I$1,0),FALSE))</f>
        <v/>
      </c>
      <c r="G437" s="49" t="str">
        <f>IFNA(VLOOKUP($A437,Spells!$A$2:$I1002,MATCH(G$3,Spells!$A$1:$I$1,0),FALSE))</f>
        <v/>
      </c>
      <c r="H437" s="49" t="str">
        <f>IFNA(VLOOKUP($A437,Spells!$A$2:$I1002,MATCH(H$3,Spells!$A$1:$I$1,0),FALSE))</f>
        <v/>
      </c>
    </row>
    <row r="438">
      <c r="A438" s="49"/>
      <c r="B438" s="49" t="str">
        <f>IFNA(VLOOKUP($A438,Spells!$A$2:$I1002,MATCH(B$3,Spells!$A$1:$I$1,0),FALSE))</f>
        <v/>
      </c>
      <c r="C438" s="49" t="str">
        <f>IFNA(VLOOKUP($A438,Spells!$A$2:$I1002,MATCH(C$3,Spells!$A$1:$I$1,0),FALSE))</f>
        <v/>
      </c>
      <c r="D438" s="49" t="str">
        <f>IFNA(VLOOKUP($A438,Spells!$A$2:$I1002,MATCH(D$3,Spells!$A$1:$I$1,0),FALSE))</f>
        <v/>
      </c>
      <c r="E438" s="49" t="str">
        <f>IFNA(VLOOKUP($A438,Spells!$A$2:$I1002,MATCH(E$3,Spells!$A$1:$I$1,0),FALSE))</f>
        <v/>
      </c>
      <c r="F438" s="49" t="str">
        <f>IFNA(VLOOKUP($A438,Spells!$A$2:$I1002,MATCH(F$3,Spells!$A$1:$I$1,0),FALSE))</f>
        <v/>
      </c>
      <c r="G438" s="49" t="str">
        <f>IFNA(VLOOKUP($A438,Spells!$A$2:$I1002,MATCH(G$3,Spells!$A$1:$I$1,0),FALSE))</f>
        <v/>
      </c>
      <c r="H438" s="49" t="str">
        <f>IFNA(VLOOKUP($A438,Spells!$A$2:$I1002,MATCH(H$3,Spells!$A$1:$I$1,0),FALSE))</f>
        <v/>
      </c>
    </row>
    <row r="439">
      <c r="A439" s="49"/>
      <c r="B439" s="49" t="str">
        <f>IFNA(VLOOKUP($A439,Spells!$A$2:$I1002,MATCH(B$3,Spells!$A$1:$I$1,0),FALSE))</f>
        <v/>
      </c>
      <c r="C439" s="49" t="str">
        <f>IFNA(VLOOKUP($A439,Spells!$A$2:$I1002,MATCH(C$3,Spells!$A$1:$I$1,0),FALSE))</f>
        <v/>
      </c>
      <c r="D439" s="49" t="str">
        <f>IFNA(VLOOKUP($A439,Spells!$A$2:$I1002,MATCH(D$3,Spells!$A$1:$I$1,0),FALSE))</f>
        <v/>
      </c>
      <c r="E439" s="49" t="str">
        <f>IFNA(VLOOKUP($A439,Spells!$A$2:$I1002,MATCH(E$3,Spells!$A$1:$I$1,0),FALSE))</f>
        <v/>
      </c>
      <c r="F439" s="49" t="str">
        <f>IFNA(VLOOKUP($A439,Spells!$A$2:$I1002,MATCH(F$3,Spells!$A$1:$I$1,0),FALSE))</f>
        <v/>
      </c>
      <c r="G439" s="49" t="str">
        <f>IFNA(VLOOKUP($A439,Spells!$A$2:$I1002,MATCH(G$3,Spells!$A$1:$I$1,0),FALSE))</f>
        <v/>
      </c>
      <c r="H439" s="49" t="str">
        <f>IFNA(VLOOKUP($A439,Spells!$A$2:$I1002,MATCH(H$3,Spells!$A$1:$I$1,0),FALSE))</f>
        <v/>
      </c>
    </row>
    <row r="440">
      <c r="A440" s="49"/>
      <c r="B440" s="49" t="str">
        <f>IFNA(VLOOKUP($A440,Spells!$A$2:$I1002,MATCH(B$3,Spells!$A$1:$I$1,0),FALSE))</f>
        <v/>
      </c>
      <c r="C440" s="49" t="str">
        <f>IFNA(VLOOKUP($A440,Spells!$A$2:$I1002,MATCH(C$3,Spells!$A$1:$I$1,0),FALSE))</f>
        <v/>
      </c>
      <c r="D440" s="49" t="str">
        <f>IFNA(VLOOKUP($A440,Spells!$A$2:$I1002,MATCH(D$3,Spells!$A$1:$I$1,0),FALSE))</f>
        <v/>
      </c>
      <c r="E440" s="49" t="str">
        <f>IFNA(VLOOKUP($A440,Spells!$A$2:$I1002,MATCH(E$3,Spells!$A$1:$I$1,0),FALSE))</f>
        <v/>
      </c>
      <c r="F440" s="49" t="str">
        <f>IFNA(VLOOKUP($A440,Spells!$A$2:$I1002,MATCH(F$3,Spells!$A$1:$I$1,0),FALSE))</f>
        <v/>
      </c>
      <c r="G440" s="49" t="str">
        <f>IFNA(VLOOKUP($A440,Spells!$A$2:$I1002,MATCH(G$3,Spells!$A$1:$I$1,0),FALSE))</f>
        <v/>
      </c>
      <c r="H440" s="49" t="str">
        <f>IFNA(VLOOKUP($A440,Spells!$A$2:$I1002,MATCH(H$3,Spells!$A$1:$I$1,0),FALSE))</f>
        <v/>
      </c>
    </row>
    <row r="441">
      <c r="A441" s="49"/>
      <c r="B441" s="49" t="str">
        <f>IFNA(VLOOKUP($A441,Spells!$A$2:$I1002,MATCH(B$3,Spells!$A$1:$I$1,0),FALSE))</f>
        <v/>
      </c>
      <c r="C441" s="49" t="str">
        <f>IFNA(VLOOKUP($A441,Spells!$A$2:$I1002,MATCH(C$3,Spells!$A$1:$I$1,0),FALSE))</f>
        <v/>
      </c>
      <c r="D441" s="49" t="str">
        <f>IFNA(VLOOKUP($A441,Spells!$A$2:$I1002,MATCH(D$3,Spells!$A$1:$I$1,0),FALSE))</f>
        <v/>
      </c>
      <c r="E441" s="49" t="str">
        <f>IFNA(VLOOKUP($A441,Spells!$A$2:$I1002,MATCH(E$3,Spells!$A$1:$I$1,0),FALSE))</f>
        <v/>
      </c>
      <c r="F441" s="49" t="str">
        <f>IFNA(VLOOKUP($A441,Spells!$A$2:$I1002,MATCH(F$3,Spells!$A$1:$I$1,0),FALSE))</f>
        <v/>
      </c>
      <c r="G441" s="49" t="str">
        <f>IFNA(VLOOKUP($A441,Spells!$A$2:$I1002,MATCH(G$3,Spells!$A$1:$I$1,0),FALSE))</f>
        <v/>
      </c>
      <c r="H441" s="49" t="str">
        <f>IFNA(VLOOKUP($A441,Spells!$A$2:$I1002,MATCH(H$3,Spells!$A$1:$I$1,0),FALSE))</f>
        <v/>
      </c>
    </row>
    <row r="442">
      <c r="A442" s="49"/>
      <c r="B442" s="49" t="str">
        <f>IFNA(VLOOKUP($A442,Spells!$A$2:$I1002,MATCH(B$3,Spells!$A$1:$I$1,0),FALSE))</f>
        <v/>
      </c>
      <c r="C442" s="49" t="str">
        <f>IFNA(VLOOKUP($A442,Spells!$A$2:$I1002,MATCH(C$3,Spells!$A$1:$I$1,0),FALSE))</f>
        <v/>
      </c>
      <c r="D442" s="49" t="str">
        <f>IFNA(VLOOKUP($A442,Spells!$A$2:$I1002,MATCH(D$3,Spells!$A$1:$I$1,0),FALSE))</f>
        <v/>
      </c>
      <c r="E442" s="49" t="str">
        <f>IFNA(VLOOKUP($A442,Spells!$A$2:$I1002,MATCH(E$3,Spells!$A$1:$I$1,0),FALSE))</f>
        <v/>
      </c>
      <c r="F442" s="49" t="str">
        <f>IFNA(VLOOKUP($A442,Spells!$A$2:$I1002,MATCH(F$3,Spells!$A$1:$I$1,0),FALSE))</f>
        <v/>
      </c>
      <c r="G442" s="49" t="str">
        <f>IFNA(VLOOKUP($A442,Spells!$A$2:$I1002,MATCH(G$3,Spells!$A$1:$I$1,0),FALSE))</f>
        <v/>
      </c>
      <c r="H442" s="49" t="str">
        <f>IFNA(VLOOKUP($A442,Spells!$A$2:$I1002,MATCH(H$3,Spells!$A$1:$I$1,0),FALSE))</f>
        <v/>
      </c>
    </row>
    <row r="443">
      <c r="A443" s="49"/>
      <c r="B443" s="49" t="str">
        <f>IFNA(VLOOKUP($A443,Spells!$A$2:$I1002,MATCH(B$3,Spells!$A$1:$I$1,0),FALSE))</f>
        <v/>
      </c>
      <c r="C443" s="49" t="str">
        <f>IFNA(VLOOKUP($A443,Spells!$A$2:$I1002,MATCH(C$3,Spells!$A$1:$I$1,0),FALSE))</f>
        <v/>
      </c>
      <c r="D443" s="49" t="str">
        <f>IFNA(VLOOKUP($A443,Spells!$A$2:$I1002,MATCH(D$3,Spells!$A$1:$I$1,0),FALSE))</f>
        <v/>
      </c>
      <c r="E443" s="49" t="str">
        <f>IFNA(VLOOKUP($A443,Spells!$A$2:$I1002,MATCH(E$3,Spells!$A$1:$I$1,0),FALSE))</f>
        <v/>
      </c>
      <c r="F443" s="49" t="str">
        <f>IFNA(VLOOKUP($A443,Spells!$A$2:$I1002,MATCH(F$3,Spells!$A$1:$I$1,0),FALSE))</f>
        <v/>
      </c>
      <c r="G443" s="49" t="str">
        <f>IFNA(VLOOKUP($A443,Spells!$A$2:$I1002,MATCH(G$3,Spells!$A$1:$I$1,0),FALSE))</f>
        <v/>
      </c>
      <c r="H443" s="49" t="str">
        <f>IFNA(VLOOKUP($A443,Spells!$A$2:$I1002,MATCH(H$3,Spells!$A$1:$I$1,0),FALSE))</f>
        <v/>
      </c>
    </row>
    <row r="444">
      <c r="A444" s="49"/>
      <c r="B444" s="49" t="str">
        <f>IFNA(VLOOKUP($A444,Spells!$A$2:$I1002,MATCH(B$3,Spells!$A$1:$I$1,0),FALSE))</f>
        <v/>
      </c>
      <c r="C444" s="49" t="str">
        <f>IFNA(VLOOKUP($A444,Spells!$A$2:$I1002,MATCH(C$3,Spells!$A$1:$I$1,0),FALSE))</f>
        <v/>
      </c>
      <c r="D444" s="49" t="str">
        <f>IFNA(VLOOKUP($A444,Spells!$A$2:$I1002,MATCH(D$3,Spells!$A$1:$I$1,0),FALSE))</f>
        <v/>
      </c>
      <c r="E444" s="49" t="str">
        <f>IFNA(VLOOKUP($A444,Spells!$A$2:$I1002,MATCH(E$3,Spells!$A$1:$I$1,0),FALSE))</f>
        <v/>
      </c>
      <c r="F444" s="49" t="str">
        <f>IFNA(VLOOKUP($A444,Spells!$A$2:$I1002,MATCH(F$3,Spells!$A$1:$I$1,0),FALSE))</f>
        <v/>
      </c>
      <c r="G444" s="49" t="str">
        <f>IFNA(VLOOKUP($A444,Spells!$A$2:$I1002,MATCH(G$3,Spells!$A$1:$I$1,0),FALSE))</f>
        <v/>
      </c>
      <c r="H444" s="49" t="str">
        <f>IFNA(VLOOKUP($A444,Spells!$A$2:$I1002,MATCH(H$3,Spells!$A$1:$I$1,0),FALSE))</f>
        <v/>
      </c>
    </row>
    <row r="445">
      <c r="A445" s="49"/>
      <c r="B445" s="49" t="str">
        <f>IFNA(VLOOKUP($A445,Spells!$A$2:$I1002,MATCH(B$3,Spells!$A$1:$I$1,0),FALSE))</f>
        <v/>
      </c>
      <c r="C445" s="49" t="str">
        <f>IFNA(VLOOKUP($A445,Spells!$A$2:$I1002,MATCH(C$3,Spells!$A$1:$I$1,0),FALSE))</f>
        <v/>
      </c>
      <c r="D445" s="49" t="str">
        <f>IFNA(VLOOKUP($A445,Spells!$A$2:$I1002,MATCH(D$3,Spells!$A$1:$I$1,0),FALSE))</f>
        <v/>
      </c>
      <c r="E445" s="49" t="str">
        <f>IFNA(VLOOKUP($A445,Spells!$A$2:$I1002,MATCH(E$3,Spells!$A$1:$I$1,0),FALSE))</f>
        <v/>
      </c>
      <c r="F445" s="49" t="str">
        <f>IFNA(VLOOKUP($A445,Spells!$A$2:$I1002,MATCH(F$3,Spells!$A$1:$I$1,0),FALSE))</f>
        <v/>
      </c>
      <c r="G445" s="49" t="str">
        <f>IFNA(VLOOKUP($A445,Spells!$A$2:$I1002,MATCH(G$3,Spells!$A$1:$I$1,0),FALSE))</f>
        <v/>
      </c>
      <c r="H445" s="49" t="str">
        <f>IFNA(VLOOKUP($A445,Spells!$A$2:$I1002,MATCH(H$3,Spells!$A$1:$I$1,0),FALSE))</f>
        <v/>
      </c>
    </row>
    <row r="446">
      <c r="A446" s="49"/>
      <c r="B446" s="49" t="str">
        <f>IFNA(VLOOKUP($A446,Spells!$A$2:$I1002,MATCH(B$3,Spells!$A$1:$I$1,0),FALSE))</f>
        <v/>
      </c>
      <c r="C446" s="49" t="str">
        <f>IFNA(VLOOKUP($A446,Spells!$A$2:$I1002,MATCH(C$3,Spells!$A$1:$I$1,0),FALSE))</f>
        <v/>
      </c>
      <c r="D446" s="49" t="str">
        <f>IFNA(VLOOKUP($A446,Spells!$A$2:$I1002,MATCH(D$3,Spells!$A$1:$I$1,0),FALSE))</f>
        <v/>
      </c>
      <c r="E446" s="49" t="str">
        <f>IFNA(VLOOKUP($A446,Spells!$A$2:$I1002,MATCH(E$3,Spells!$A$1:$I$1,0),FALSE))</f>
        <v/>
      </c>
      <c r="F446" s="49" t="str">
        <f>IFNA(VLOOKUP($A446,Spells!$A$2:$I1002,MATCH(F$3,Spells!$A$1:$I$1,0),FALSE))</f>
        <v/>
      </c>
      <c r="G446" s="49" t="str">
        <f>IFNA(VLOOKUP($A446,Spells!$A$2:$I1002,MATCH(G$3,Spells!$A$1:$I$1,0),FALSE))</f>
        <v/>
      </c>
      <c r="H446" s="49" t="str">
        <f>IFNA(VLOOKUP($A446,Spells!$A$2:$I1002,MATCH(H$3,Spells!$A$1:$I$1,0),FALSE))</f>
        <v/>
      </c>
    </row>
    <row r="447">
      <c r="A447" s="49"/>
      <c r="B447" s="49" t="str">
        <f>IFNA(VLOOKUP($A447,Spells!$A$2:$I1002,MATCH(B$3,Spells!$A$1:$I$1,0),FALSE))</f>
        <v/>
      </c>
      <c r="C447" s="49" t="str">
        <f>IFNA(VLOOKUP($A447,Spells!$A$2:$I1002,MATCH(C$3,Spells!$A$1:$I$1,0),FALSE))</f>
        <v/>
      </c>
      <c r="D447" s="49" t="str">
        <f>IFNA(VLOOKUP($A447,Spells!$A$2:$I1002,MATCH(D$3,Spells!$A$1:$I$1,0),FALSE))</f>
        <v/>
      </c>
      <c r="E447" s="49" t="str">
        <f>IFNA(VLOOKUP($A447,Spells!$A$2:$I1002,MATCH(E$3,Spells!$A$1:$I$1,0),FALSE))</f>
        <v/>
      </c>
      <c r="F447" s="49" t="str">
        <f>IFNA(VLOOKUP($A447,Spells!$A$2:$I1002,MATCH(F$3,Spells!$A$1:$I$1,0),FALSE))</f>
        <v/>
      </c>
      <c r="G447" s="49" t="str">
        <f>IFNA(VLOOKUP($A447,Spells!$A$2:$I1002,MATCH(G$3,Spells!$A$1:$I$1,0),FALSE))</f>
        <v/>
      </c>
      <c r="H447" s="49" t="str">
        <f>IFNA(VLOOKUP($A447,Spells!$A$2:$I1002,MATCH(H$3,Spells!$A$1:$I$1,0),FALSE))</f>
        <v/>
      </c>
    </row>
    <row r="448">
      <c r="A448" s="49"/>
      <c r="B448" s="49" t="str">
        <f>IFNA(VLOOKUP($A448,Spells!$A$2:$I1002,MATCH(B$3,Spells!$A$1:$I$1,0),FALSE))</f>
        <v/>
      </c>
      <c r="C448" s="49" t="str">
        <f>IFNA(VLOOKUP($A448,Spells!$A$2:$I1002,MATCH(C$3,Spells!$A$1:$I$1,0),FALSE))</f>
        <v/>
      </c>
      <c r="D448" s="49" t="str">
        <f>IFNA(VLOOKUP($A448,Spells!$A$2:$I1002,MATCH(D$3,Spells!$A$1:$I$1,0),FALSE))</f>
        <v/>
      </c>
      <c r="E448" s="49" t="str">
        <f>IFNA(VLOOKUP($A448,Spells!$A$2:$I1002,MATCH(E$3,Spells!$A$1:$I$1,0),FALSE))</f>
        <v/>
      </c>
      <c r="F448" s="49" t="str">
        <f>IFNA(VLOOKUP($A448,Spells!$A$2:$I1002,MATCH(F$3,Spells!$A$1:$I$1,0),FALSE))</f>
        <v/>
      </c>
      <c r="G448" s="49" t="str">
        <f>IFNA(VLOOKUP($A448,Spells!$A$2:$I1002,MATCH(G$3,Spells!$A$1:$I$1,0),FALSE))</f>
        <v/>
      </c>
      <c r="H448" s="49" t="str">
        <f>IFNA(VLOOKUP($A448,Spells!$A$2:$I1002,MATCH(H$3,Spells!$A$1:$I$1,0),FALSE))</f>
        <v/>
      </c>
    </row>
    <row r="449">
      <c r="A449" s="49"/>
      <c r="B449" s="49" t="str">
        <f>IFNA(VLOOKUP($A449,Spells!$A$2:$I1002,MATCH(B$3,Spells!$A$1:$I$1,0),FALSE))</f>
        <v/>
      </c>
      <c r="C449" s="49" t="str">
        <f>IFNA(VLOOKUP($A449,Spells!$A$2:$I1002,MATCH(C$3,Spells!$A$1:$I$1,0),FALSE))</f>
        <v/>
      </c>
      <c r="D449" s="49" t="str">
        <f>IFNA(VLOOKUP($A449,Spells!$A$2:$I1002,MATCH(D$3,Spells!$A$1:$I$1,0),FALSE))</f>
        <v/>
      </c>
      <c r="E449" s="49" t="str">
        <f>IFNA(VLOOKUP($A449,Spells!$A$2:$I1002,MATCH(E$3,Spells!$A$1:$I$1,0),FALSE))</f>
        <v/>
      </c>
      <c r="F449" s="49" t="str">
        <f>IFNA(VLOOKUP($A449,Spells!$A$2:$I1002,MATCH(F$3,Spells!$A$1:$I$1,0),FALSE))</f>
        <v/>
      </c>
      <c r="G449" s="49" t="str">
        <f>IFNA(VLOOKUP($A449,Spells!$A$2:$I1002,MATCH(G$3,Spells!$A$1:$I$1,0),FALSE))</f>
        <v/>
      </c>
      <c r="H449" s="49" t="str">
        <f>IFNA(VLOOKUP($A449,Spells!$A$2:$I1002,MATCH(H$3,Spells!$A$1:$I$1,0),FALSE))</f>
        <v/>
      </c>
    </row>
    <row r="450">
      <c r="A450" s="49"/>
      <c r="B450" s="49" t="str">
        <f>IFNA(VLOOKUP($A450,Spells!$A$2:$I1002,MATCH(B$3,Spells!$A$1:$I$1,0),FALSE))</f>
        <v/>
      </c>
      <c r="C450" s="49" t="str">
        <f>IFNA(VLOOKUP($A450,Spells!$A$2:$I1002,MATCH(C$3,Spells!$A$1:$I$1,0),FALSE))</f>
        <v/>
      </c>
      <c r="D450" s="49" t="str">
        <f>IFNA(VLOOKUP($A450,Spells!$A$2:$I1002,MATCH(D$3,Spells!$A$1:$I$1,0),FALSE))</f>
        <v/>
      </c>
      <c r="E450" s="49" t="str">
        <f>IFNA(VLOOKUP($A450,Spells!$A$2:$I1002,MATCH(E$3,Spells!$A$1:$I$1,0),FALSE))</f>
        <v/>
      </c>
      <c r="F450" s="49" t="str">
        <f>IFNA(VLOOKUP($A450,Spells!$A$2:$I1002,MATCH(F$3,Spells!$A$1:$I$1,0),FALSE))</f>
        <v/>
      </c>
      <c r="G450" s="49" t="str">
        <f>IFNA(VLOOKUP($A450,Spells!$A$2:$I1002,MATCH(G$3,Spells!$A$1:$I$1,0),FALSE))</f>
        <v/>
      </c>
      <c r="H450" s="49" t="str">
        <f>IFNA(VLOOKUP($A450,Spells!$A$2:$I1002,MATCH(H$3,Spells!$A$1:$I$1,0),FALSE))</f>
        <v/>
      </c>
    </row>
    <row r="451">
      <c r="A451" s="49"/>
      <c r="B451" s="49" t="str">
        <f>IFNA(VLOOKUP($A451,Spells!$A$2:$I1002,MATCH(B$3,Spells!$A$1:$I$1,0),FALSE))</f>
        <v/>
      </c>
      <c r="C451" s="49" t="str">
        <f>IFNA(VLOOKUP($A451,Spells!$A$2:$I1002,MATCH(C$3,Spells!$A$1:$I$1,0),FALSE))</f>
        <v/>
      </c>
      <c r="D451" s="49" t="str">
        <f>IFNA(VLOOKUP($A451,Spells!$A$2:$I1002,MATCH(D$3,Spells!$A$1:$I$1,0),FALSE))</f>
        <v/>
      </c>
      <c r="E451" s="49" t="str">
        <f>IFNA(VLOOKUP($A451,Spells!$A$2:$I1002,MATCH(E$3,Spells!$A$1:$I$1,0),FALSE))</f>
        <v/>
      </c>
      <c r="F451" s="49" t="str">
        <f>IFNA(VLOOKUP($A451,Spells!$A$2:$I1002,MATCH(F$3,Spells!$A$1:$I$1,0),FALSE))</f>
        <v/>
      </c>
      <c r="G451" s="49" t="str">
        <f>IFNA(VLOOKUP($A451,Spells!$A$2:$I1002,MATCH(G$3,Spells!$A$1:$I$1,0),FALSE))</f>
        <v/>
      </c>
      <c r="H451" s="49" t="str">
        <f>IFNA(VLOOKUP($A451,Spells!$A$2:$I1002,MATCH(H$3,Spells!$A$1:$I$1,0),FALSE))</f>
        <v/>
      </c>
    </row>
    <row r="452">
      <c r="A452" s="49"/>
      <c r="B452" s="49" t="str">
        <f>IFNA(VLOOKUP($A452,Spells!$A$2:$I1002,MATCH(B$3,Spells!$A$1:$I$1,0),FALSE))</f>
        <v/>
      </c>
      <c r="C452" s="49" t="str">
        <f>IFNA(VLOOKUP($A452,Spells!$A$2:$I1002,MATCH(C$3,Spells!$A$1:$I$1,0),FALSE))</f>
        <v/>
      </c>
      <c r="D452" s="49" t="str">
        <f>IFNA(VLOOKUP($A452,Spells!$A$2:$I1002,MATCH(D$3,Spells!$A$1:$I$1,0),FALSE))</f>
        <v/>
      </c>
      <c r="E452" s="49" t="str">
        <f>IFNA(VLOOKUP($A452,Spells!$A$2:$I1002,MATCH(E$3,Spells!$A$1:$I$1,0),FALSE))</f>
        <v/>
      </c>
      <c r="F452" s="49" t="str">
        <f>IFNA(VLOOKUP($A452,Spells!$A$2:$I1002,MATCH(F$3,Spells!$A$1:$I$1,0),FALSE))</f>
        <v/>
      </c>
      <c r="G452" s="49" t="str">
        <f>IFNA(VLOOKUP($A452,Spells!$A$2:$I1002,MATCH(G$3,Spells!$A$1:$I$1,0),FALSE))</f>
        <v/>
      </c>
      <c r="H452" s="49" t="str">
        <f>IFNA(VLOOKUP($A452,Spells!$A$2:$I1002,MATCH(H$3,Spells!$A$1:$I$1,0),FALSE))</f>
        <v/>
      </c>
    </row>
    <row r="453">
      <c r="A453" s="49"/>
      <c r="B453" s="49" t="str">
        <f>IFNA(VLOOKUP($A453,Spells!$A$2:$I1002,MATCH(B$3,Spells!$A$1:$I$1,0),FALSE))</f>
        <v/>
      </c>
      <c r="C453" s="49" t="str">
        <f>IFNA(VLOOKUP($A453,Spells!$A$2:$I1002,MATCH(C$3,Spells!$A$1:$I$1,0),FALSE))</f>
        <v/>
      </c>
      <c r="D453" s="49" t="str">
        <f>IFNA(VLOOKUP($A453,Spells!$A$2:$I1002,MATCH(D$3,Spells!$A$1:$I$1,0),FALSE))</f>
        <v/>
      </c>
      <c r="E453" s="49" t="str">
        <f>IFNA(VLOOKUP($A453,Spells!$A$2:$I1002,MATCH(E$3,Spells!$A$1:$I$1,0),FALSE))</f>
        <v/>
      </c>
      <c r="F453" s="49" t="str">
        <f>IFNA(VLOOKUP($A453,Spells!$A$2:$I1002,MATCH(F$3,Spells!$A$1:$I$1,0),FALSE))</f>
        <v/>
      </c>
      <c r="G453" s="49" t="str">
        <f>IFNA(VLOOKUP($A453,Spells!$A$2:$I1002,MATCH(G$3,Spells!$A$1:$I$1,0),FALSE))</f>
        <v/>
      </c>
      <c r="H453" s="49" t="str">
        <f>IFNA(VLOOKUP($A453,Spells!$A$2:$I1002,MATCH(H$3,Spells!$A$1:$I$1,0),FALSE))</f>
        <v/>
      </c>
    </row>
    <row r="454">
      <c r="A454" s="49"/>
      <c r="B454" s="49" t="str">
        <f>IFNA(VLOOKUP($A454,Spells!$A$2:$I1002,MATCH(B$3,Spells!$A$1:$I$1,0),FALSE))</f>
        <v/>
      </c>
      <c r="C454" s="49" t="str">
        <f>IFNA(VLOOKUP($A454,Spells!$A$2:$I1002,MATCH(C$3,Spells!$A$1:$I$1,0),FALSE))</f>
        <v/>
      </c>
      <c r="D454" s="49" t="str">
        <f>IFNA(VLOOKUP($A454,Spells!$A$2:$I1002,MATCH(D$3,Spells!$A$1:$I$1,0),FALSE))</f>
        <v/>
      </c>
      <c r="E454" s="49" t="str">
        <f>IFNA(VLOOKUP($A454,Spells!$A$2:$I1002,MATCH(E$3,Spells!$A$1:$I$1,0),FALSE))</f>
        <v/>
      </c>
      <c r="F454" s="49" t="str">
        <f>IFNA(VLOOKUP($A454,Spells!$A$2:$I1002,MATCH(F$3,Spells!$A$1:$I$1,0),FALSE))</f>
        <v/>
      </c>
      <c r="G454" s="49" t="str">
        <f>IFNA(VLOOKUP($A454,Spells!$A$2:$I1002,MATCH(G$3,Spells!$A$1:$I$1,0),FALSE))</f>
        <v/>
      </c>
      <c r="H454" s="49" t="str">
        <f>IFNA(VLOOKUP($A454,Spells!$A$2:$I1002,MATCH(H$3,Spells!$A$1:$I$1,0),FALSE))</f>
        <v/>
      </c>
    </row>
    <row r="455">
      <c r="A455" s="49"/>
      <c r="B455" s="49" t="str">
        <f>IFNA(VLOOKUP($A455,Spells!$A$2:$I1002,MATCH(B$3,Spells!$A$1:$I$1,0),FALSE))</f>
        <v/>
      </c>
      <c r="C455" s="49" t="str">
        <f>IFNA(VLOOKUP($A455,Spells!$A$2:$I1002,MATCH(C$3,Spells!$A$1:$I$1,0),FALSE))</f>
        <v/>
      </c>
      <c r="D455" s="49" t="str">
        <f>IFNA(VLOOKUP($A455,Spells!$A$2:$I1002,MATCH(D$3,Spells!$A$1:$I$1,0),FALSE))</f>
        <v/>
      </c>
      <c r="E455" s="49" t="str">
        <f>IFNA(VLOOKUP($A455,Spells!$A$2:$I1002,MATCH(E$3,Spells!$A$1:$I$1,0),FALSE))</f>
        <v/>
      </c>
      <c r="F455" s="49" t="str">
        <f>IFNA(VLOOKUP($A455,Spells!$A$2:$I1002,MATCH(F$3,Spells!$A$1:$I$1,0),FALSE))</f>
        <v/>
      </c>
      <c r="G455" s="49" t="str">
        <f>IFNA(VLOOKUP($A455,Spells!$A$2:$I1002,MATCH(G$3,Spells!$A$1:$I$1,0),FALSE))</f>
        <v/>
      </c>
      <c r="H455" s="49" t="str">
        <f>IFNA(VLOOKUP($A455,Spells!$A$2:$I1002,MATCH(H$3,Spells!$A$1:$I$1,0),FALSE))</f>
        <v/>
      </c>
    </row>
    <row r="456">
      <c r="A456" s="49"/>
      <c r="B456" s="49" t="str">
        <f>IFNA(VLOOKUP($A456,Spells!$A$2:$I1002,MATCH(B$3,Spells!$A$1:$I$1,0),FALSE))</f>
        <v/>
      </c>
      <c r="C456" s="49" t="str">
        <f>IFNA(VLOOKUP($A456,Spells!$A$2:$I1002,MATCH(C$3,Spells!$A$1:$I$1,0),FALSE))</f>
        <v/>
      </c>
      <c r="D456" s="49" t="str">
        <f>IFNA(VLOOKUP($A456,Spells!$A$2:$I1002,MATCH(D$3,Spells!$A$1:$I$1,0),FALSE))</f>
        <v/>
      </c>
      <c r="E456" s="49" t="str">
        <f>IFNA(VLOOKUP($A456,Spells!$A$2:$I1002,MATCH(E$3,Spells!$A$1:$I$1,0),FALSE))</f>
        <v/>
      </c>
      <c r="F456" s="49" t="str">
        <f>IFNA(VLOOKUP($A456,Spells!$A$2:$I1002,MATCH(F$3,Spells!$A$1:$I$1,0),FALSE))</f>
        <v/>
      </c>
      <c r="G456" s="49" t="str">
        <f>IFNA(VLOOKUP($A456,Spells!$A$2:$I1002,MATCH(G$3,Spells!$A$1:$I$1,0),FALSE))</f>
        <v/>
      </c>
      <c r="H456" s="49" t="str">
        <f>IFNA(VLOOKUP($A456,Spells!$A$2:$I1002,MATCH(H$3,Spells!$A$1:$I$1,0),FALSE))</f>
        <v/>
      </c>
    </row>
    <row r="457">
      <c r="A457" s="49"/>
      <c r="B457" s="49" t="str">
        <f>IFNA(VLOOKUP($A457,Spells!$A$2:$I1002,MATCH(B$3,Spells!$A$1:$I$1,0),FALSE))</f>
        <v/>
      </c>
      <c r="C457" s="49" t="str">
        <f>IFNA(VLOOKUP($A457,Spells!$A$2:$I1002,MATCH(C$3,Spells!$A$1:$I$1,0),FALSE))</f>
        <v/>
      </c>
      <c r="D457" s="49" t="str">
        <f>IFNA(VLOOKUP($A457,Spells!$A$2:$I1002,MATCH(D$3,Spells!$A$1:$I$1,0),FALSE))</f>
        <v/>
      </c>
      <c r="E457" s="49" t="str">
        <f>IFNA(VLOOKUP($A457,Spells!$A$2:$I1002,MATCH(E$3,Spells!$A$1:$I$1,0),FALSE))</f>
        <v/>
      </c>
      <c r="F457" s="49" t="str">
        <f>IFNA(VLOOKUP($A457,Spells!$A$2:$I1002,MATCH(F$3,Spells!$A$1:$I$1,0),FALSE))</f>
        <v/>
      </c>
      <c r="G457" s="49" t="str">
        <f>IFNA(VLOOKUP($A457,Spells!$A$2:$I1002,MATCH(G$3,Spells!$A$1:$I$1,0),FALSE))</f>
        <v/>
      </c>
      <c r="H457" s="49" t="str">
        <f>IFNA(VLOOKUP($A457,Spells!$A$2:$I1002,MATCH(H$3,Spells!$A$1:$I$1,0),FALSE))</f>
        <v/>
      </c>
    </row>
    <row r="458">
      <c r="A458" s="49"/>
      <c r="B458" s="49" t="str">
        <f>IFNA(VLOOKUP($A458,Spells!$A$2:$I1002,MATCH(B$3,Spells!$A$1:$I$1,0),FALSE))</f>
        <v/>
      </c>
      <c r="C458" s="49" t="str">
        <f>IFNA(VLOOKUP($A458,Spells!$A$2:$I1002,MATCH(C$3,Spells!$A$1:$I$1,0),FALSE))</f>
        <v/>
      </c>
      <c r="D458" s="49" t="str">
        <f>IFNA(VLOOKUP($A458,Spells!$A$2:$I1002,MATCH(D$3,Spells!$A$1:$I$1,0),FALSE))</f>
        <v/>
      </c>
      <c r="E458" s="49" t="str">
        <f>IFNA(VLOOKUP($A458,Spells!$A$2:$I1002,MATCH(E$3,Spells!$A$1:$I$1,0),FALSE))</f>
        <v/>
      </c>
      <c r="F458" s="49" t="str">
        <f>IFNA(VLOOKUP($A458,Spells!$A$2:$I1002,MATCH(F$3,Spells!$A$1:$I$1,0),FALSE))</f>
        <v/>
      </c>
      <c r="G458" s="49" t="str">
        <f>IFNA(VLOOKUP($A458,Spells!$A$2:$I1002,MATCH(G$3,Spells!$A$1:$I$1,0),FALSE))</f>
        <v/>
      </c>
      <c r="H458" s="49" t="str">
        <f>IFNA(VLOOKUP($A458,Spells!$A$2:$I1002,MATCH(H$3,Spells!$A$1:$I$1,0),FALSE))</f>
        <v/>
      </c>
    </row>
    <row r="459">
      <c r="A459" s="49"/>
      <c r="B459" s="49" t="str">
        <f>IFNA(VLOOKUP($A459,Spells!$A$2:$I1002,MATCH(B$3,Spells!$A$1:$I$1,0),FALSE))</f>
        <v/>
      </c>
      <c r="C459" s="49" t="str">
        <f>IFNA(VLOOKUP($A459,Spells!$A$2:$I1002,MATCH(C$3,Spells!$A$1:$I$1,0),FALSE))</f>
        <v/>
      </c>
      <c r="D459" s="49" t="str">
        <f>IFNA(VLOOKUP($A459,Spells!$A$2:$I1002,MATCH(D$3,Spells!$A$1:$I$1,0),FALSE))</f>
        <v/>
      </c>
      <c r="E459" s="49" t="str">
        <f>IFNA(VLOOKUP($A459,Spells!$A$2:$I1002,MATCH(E$3,Spells!$A$1:$I$1,0),FALSE))</f>
        <v/>
      </c>
      <c r="F459" s="49" t="str">
        <f>IFNA(VLOOKUP($A459,Spells!$A$2:$I1002,MATCH(F$3,Spells!$A$1:$I$1,0),FALSE))</f>
        <v/>
      </c>
      <c r="G459" s="49" t="str">
        <f>IFNA(VLOOKUP($A459,Spells!$A$2:$I1002,MATCH(G$3,Spells!$A$1:$I$1,0),FALSE))</f>
        <v/>
      </c>
      <c r="H459" s="49" t="str">
        <f>IFNA(VLOOKUP($A459,Spells!$A$2:$I1002,MATCH(H$3,Spells!$A$1:$I$1,0),FALSE))</f>
        <v/>
      </c>
    </row>
    <row r="460">
      <c r="A460" s="49"/>
      <c r="B460" s="49" t="str">
        <f>IFNA(VLOOKUP($A460,Spells!$A$2:$I1002,MATCH(B$3,Spells!$A$1:$I$1,0),FALSE))</f>
        <v/>
      </c>
      <c r="C460" s="49" t="str">
        <f>IFNA(VLOOKUP($A460,Spells!$A$2:$I1002,MATCH(C$3,Spells!$A$1:$I$1,0),FALSE))</f>
        <v/>
      </c>
      <c r="D460" s="49" t="str">
        <f>IFNA(VLOOKUP($A460,Spells!$A$2:$I1002,MATCH(D$3,Spells!$A$1:$I$1,0),FALSE))</f>
        <v/>
      </c>
      <c r="E460" s="49" t="str">
        <f>IFNA(VLOOKUP($A460,Spells!$A$2:$I1002,MATCH(E$3,Spells!$A$1:$I$1,0),FALSE))</f>
        <v/>
      </c>
      <c r="F460" s="49" t="str">
        <f>IFNA(VLOOKUP($A460,Spells!$A$2:$I1002,MATCH(F$3,Spells!$A$1:$I$1,0),FALSE))</f>
        <v/>
      </c>
      <c r="G460" s="49" t="str">
        <f>IFNA(VLOOKUP($A460,Spells!$A$2:$I1002,MATCH(G$3,Spells!$A$1:$I$1,0),FALSE))</f>
        <v/>
      </c>
      <c r="H460" s="49" t="str">
        <f>IFNA(VLOOKUP($A460,Spells!$A$2:$I1002,MATCH(H$3,Spells!$A$1:$I$1,0),FALSE))</f>
        <v/>
      </c>
    </row>
    <row r="461">
      <c r="A461" s="49"/>
      <c r="B461" s="49" t="str">
        <f>IFNA(VLOOKUP($A461,Spells!$A$2:$I1002,MATCH(B$3,Spells!$A$1:$I$1,0),FALSE))</f>
        <v/>
      </c>
      <c r="C461" s="49" t="str">
        <f>IFNA(VLOOKUP($A461,Spells!$A$2:$I1002,MATCH(C$3,Spells!$A$1:$I$1,0),FALSE))</f>
        <v/>
      </c>
      <c r="D461" s="49" t="str">
        <f>IFNA(VLOOKUP($A461,Spells!$A$2:$I1002,MATCH(D$3,Spells!$A$1:$I$1,0),FALSE))</f>
        <v/>
      </c>
      <c r="E461" s="49" t="str">
        <f>IFNA(VLOOKUP($A461,Spells!$A$2:$I1002,MATCH(E$3,Spells!$A$1:$I$1,0),FALSE))</f>
        <v/>
      </c>
      <c r="F461" s="49" t="str">
        <f>IFNA(VLOOKUP($A461,Spells!$A$2:$I1002,MATCH(F$3,Spells!$A$1:$I$1,0),FALSE))</f>
        <v/>
      </c>
      <c r="G461" s="49" t="str">
        <f>IFNA(VLOOKUP($A461,Spells!$A$2:$I1002,MATCH(G$3,Spells!$A$1:$I$1,0),FALSE))</f>
        <v/>
      </c>
      <c r="H461" s="49" t="str">
        <f>IFNA(VLOOKUP($A461,Spells!$A$2:$I1002,MATCH(H$3,Spells!$A$1:$I$1,0),FALSE))</f>
        <v/>
      </c>
    </row>
    <row r="462">
      <c r="A462" s="49"/>
      <c r="B462" s="49" t="str">
        <f>IFNA(VLOOKUP($A462,Spells!$A$2:$I1002,MATCH(B$3,Spells!$A$1:$I$1,0),FALSE))</f>
        <v/>
      </c>
      <c r="C462" s="49" t="str">
        <f>IFNA(VLOOKUP($A462,Spells!$A$2:$I1002,MATCH(C$3,Spells!$A$1:$I$1,0),FALSE))</f>
        <v/>
      </c>
      <c r="D462" s="49" t="str">
        <f>IFNA(VLOOKUP($A462,Spells!$A$2:$I1002,MATCH(D$3,Spells!$A$1:$I$1,0),FALSE))</f>
        <v/>
      </c>
      <c r="E462" s="49" t="str">
        <f>IFNA(VLOOKUP($A462,Spells!$A$2:$I1002,MATCH(E$3,Spells!$A$1:$I$1,0),FALSE))</f>
        <v/>
      </c>
      <c r="F462" s="49" t="str">
        <f>IFNA(VLOOKUP($A462,Spells!$A$2:$I1002,MATCH(F$3,Spells!$A$1:$I$1,0),FALSE))</f>
        <v/>
      </c>
      <c r="G462" s="49" t="str">
        <f>IFNA(VLOOKUP($A462,Spells!$A$2:$I1002,MATCH(G$3,Spells!$A$1:$I$1,0),FALSE))</f>
        <v/>
      </c>
      <c r="H462" s="49" t="str">
        <f>IFNA(VLOOKUP($A462,Spells!$A$2:$I1002,MATCH(H$3,Spells!$A$1:$I$1,0),FALSE))</f>
        <v/>
      </c>
    </row>
    <row r="463">
      <c r="A463" s="49"/>
      <c r="B463" s="49" t="str">
        <f>IFNA(VLOOKUP($A463,Spells!$A$2:$I1002,MATCH(B$3,Spells!$A$1:$I$1,0),FALSE))</f>
        <v/>
      </c>
      <c r="C463" s="49" t="str">
        <f>IFNA(VLOOKUP($A463,Spells!$A$2:$I1002,MATCH(C$3,Spells!$A$1:$I$1,0),FALSE))</f>
        <v/>
      </c>
      <c r="D463" s="49" t="str">
        <f>IFNA(VLOOKUP($A463,Spells!$A$2:$I1002,MATCH(D$3,Spells!$A$1:$I$1,0),FALSE))</f>
        <v/>
      </c>
      <c r="E463" s="49" t="str">
        <f>IFNA(VLOOKUP($A463,Spells!$A$2:$I1002,MATCH(E$3,Spells!$A$1:$I$1,0),FALSE))</f>
        <v/>
      </c>
      <c r="F463" s="49" t="str">
        <f>IFNA(VLOOKUP($A463,Spells!$A$2:$I1002,MATCH(F$3,Spells!$A$1:$I$1,0),FALSE))</f>
        <v/>
      </c>
      <c r="G463" s="49" t="str">
        <f>IFNA(VLOOKUP($A463,Spells!$A$2:$I1002,MATCH(G$3,Spells!$A$1:$I$1,0),FALSE))</f>
        <v/>
      </c>
      <c r="H463" s="49" t="str">
        <f>IFNA(VLOOKUP($A463,Spells!$A$2:$I1002,MATCH(H$3,Spells!$A$1:$I$1,0),FALSE))</f>
        <v/>
      </c>
    </row>
    <row r="464">
      <c r="A464" s="49"/>
      <c r="B464" s="49" t="str">
        <f>IFNA(VLOOKUP($A464,Spells!$A$2:$I1002,MATCH(B$3,Spells!$A$1:$I$1,0),FALSE))</f>
        <v/>
      </c>
      <c r="C464" s="49" t="str">
        <f>IFNA(VLOOKUP($A464,Spells!$A$2:$I1002,MATCH(C$3,Spells!$A$1:$I$1,0),FALSE))</f>
        <v/>
      </c>
      <c r="D464" s="49" t="str">
        <f>IFNA(VLOOKUP($A464,Spells!$A$2:$I1002,MATCH(D$3,Spells!$A$1:$I$1,0),FALSE))</f>
        <v/>
      </c>
      <c r="E464" s="49" t="str">
        <f>IFNA(VLOOKUP($A464,Spells!$A$2:$I1002,MATCH(E$3,Spells!$A$1:$I$1,0),FALSE))</f>
        <v/>
      </c>
      <c r="F464" s="49" t="str">
        <f>IFNA(VLOOKUP($A464,Spells!$A$2:$I1002,MATCH(F$3,Spells!$A$1:$I$1,0),FALSE))</f>
        <v/>
      </c>
      <c r="G464" s="49" t="str">
        <f>IFNA(VLOOKUP($A464,Spells!$A$2:$I1002,MATCH(G$3,Spells!$A$1:$I$1,0),FALSE))</f>
        <v/>
      </c>
      <c r="H464" s="49" t="str">
        <f>IFNA(VLOOKUP($A464,Spells!$A$2:$I1002,MATCH(H$3,Spells!$A$1:$I$1,0),FALSE))</f>
        <v/>
      </c>
    </row>
    <row r="465">
      <c r="A465" s="49"/>
      <c r="B465" s="49" t="str">
        <f>IFNA(VLOOKUP($A465,Spells!$A$2:$I1002,MATCH(B$3,Spells!$A$1:$I$1,0),FALSE))</f>
        <v/>
      </c>
      <c r="C465" s="49" t="str">
        <f>IFNA(VLOOKUP($A465,Spells!$A$2:$I1002,MATCH(C$3,Spells!$A$1:$I$1,0),FALSE))</f>
        <v/>
      </c>
      <c r="D465" s="49" t="str">
        <f>IFNA(VLOOKUP($A465,Spells!$A$2:$I1002,MATCH(D$3,Spells!$A$1:$I$1,0),FALSE))</f>
        <v/>
      </c>
      <c r="E465" s="49" t="str">
        <f>IFNA(VLOOKUP($A465,Spells!$A$2:$I1002,MATCH(E$3,Spells!$A$1:$I$1,0),FALSE))</f>
        <v/>
      </c>
      <c r="F465" s="49" t="str">
        <f>IFNA(VLOOKUP($A465,Spells!$A$2:$I1002,MATCH(F$3,Spells!$A$1:$I$1,0),FALSE))</f>
        <v/>
      </c>
      <c r="G465" s="49" t="str">
        <f>IFNA(VLOOKUP($A465,Spells!$A$2:$I1002,MATCH(G$3,Spells!$A$1:$I$1,0),FALSE))</f>
        <v/>
      </c>
      <c r="H465" s="49" t="str">
        <f>IFNA(VLOOKUP($A465,Spells!$A$2:$I1002,MATCH(H$3,Spells!$A$1:$I$1,0),FALSE))</f>
        <v/>
      </c>
    </row>
    <row r="466">
      <c r="A466" s="49"/>
      <c r="B466" s="49" t="str">
        <f>IFNA(VLOOKUP($A466,Spells!$A$2:$I1002,MATCH(B$3,Spells!$A$1:$I$1,0),FALSE))</f>
        <v/>
      </c>
      <c r="C466" s="49" t="str">
        <f>IFNA(VLOOKUP($A466,Spells!$A$2:$I1002,MATCH(C$3,Spells!$A$1:$I$1,0),FALSE))</f>
        <v/>
      </c>
      <c r="D466" s="49" t="str">
        <f>IFNA(VLOOKUP($A466,Spells!$A$2:$I1002,MATCH(D$3,Spells!$A$1:$I$1,0),FALSE))</f>
        <v/>
      </c>
      <c r="E466" s="49" t="str">
        <f>IFNA(VLOOKUP($A466,Spells!$A$2:$I1002,MATCH(E$3,Spells!$A$1:$I$1,0),FALSE))</f>
        <v/>
      </c>
      <c r="F466" s="49" t="str">
        <f>IFNA(VLOOKUP($A466,Spells!$A$2:$I1002,MATCH(F$3,Spells!$A$1:$I$1,0),FALSE))</f>
        <v/>
      </c>
      <c r="G466" s="49" t="str">
        <f>IFNA(VLOOKUP($A466,Spells!$A$2:$I1002,MATCH(G$3,Spells!$A$1:$I$1,0),FALSE))</f>
        <v/>
      </c>
      <c r="H466" s="49" t="str">
        <f>IFNA(VLOOKUP($A466,Spells!$A$2:$I1002,MATCH(H$3,Spells!$A$1:$I$1,0),FALSE))</f>
        <v/>
      </c>
    </row>
    <row r="467">
      <c r="A467" s="49"/>
      <c r="B467" s="49" t="str">
        <f>IFNA(VLOOKUP($A467,Spells!$A$2:$I1002,MATCH(B$3,Spells!$A$1:$I$1,0),FALSE))</f>
        <v/>
      </c>
      <c r="C467" s="49" t="str">
        <f>IFNA(VLOOKUP($A467,Spells!$A$2:$I1002,MATCH(C$3,Spells!$A$1:$I$1,0),FALSE))</f>
        <v/>
      </c>
      <c r="D467" s="49" t="str">
        <f>IFNA(VLOOKUP($A467,Spells!$A$2:$I1002,MATCH(D$3,Spells!$A$1:$I$1,0),FALSE))</f>
        <v/>
      </c>
      <c r="E467" s="49" t="str">
        <f>IFNA(VLOOKUP($A467,Spells!$A$2:$I1002,MATCH(E$3,Spells!$A$1:$I$1,0),FALSE))</f>
        <v/>
      </c>
      <c r="F467" s="49" t="str">
        <f>IFNA(VLOOKUP($A467,Spells!$A$2:$I1002,MATCH(F$3,Spells!$A$1:$I$1,0),FALSE))</f>
        <v/>
      </c>
      <c r="G467" s="49" t="str">
        <f>IFNA(VLOOKUP($A467,Spells!$A$2:$I1002,MATCH(G$3,Spells!$A$1:$I$1,0),FALSE))</f>
        <v/>
      </c>
      <c r="H467" s="49" t="str">
        <f>IFNA(VLOOKUP($A467,Spells!$A$2:$I1002,MATCH(H$3,Spells!$A$1:$I$1,0),FALSE))</f>
        <v/>
      </c>
    </row>
    <row r="468">
      <c r="A468" s="49"/>
      <c r="B468" s="49" t="str">
        <f>IFNA(VLOOKUP($A468,Spells!$A$2:$I1002,MATCH(B$3,Spells!$A$1:$I$1,0),FALSE))</f>
        <v/>
      </c>
      <c r="C468" s="49" t="str">
        <f>IFNA(VLOOKUP($A468,Spells!$A$2:$I1002,MATCH(C$3,Spells!$A$1:$I$1,0),FALSE))</f>
        <v/>
      </c>
      <c r="D468" s="49" t="str">
        <f>IFNA(VLOOKUP($A468,Spells!$A$2:$I1002,MATCH(D$3,Spells!$A$1:$I$1,0),FALSE))</f>
        <v/>
      </c>
      <c r="E468" s="49" t="str">
        <f>IFNA(VLOOKUP($A468,Spells!$A$2:$I1002,MATCH(E$3,Spells!$A$1:$I$1,0),FALSE))</f>
        <v/>
      </c>
      <c r="F468" s="49" t="str">
        <f>IFNA(VLOOKUP($A468,Spells!$A$2:$I1002,MATCH(F$3,Spells!$A$1:$I$1,0),FALSE))</f>
        <v/>
      </c>
      <c r="G468" s="49" t="str">
        <f>IFNA(VLOOKUP($A468,Spells!$A$2:$I1002,MATCH(G$3,Spells!$A$1:$I$1,0),FALSE))</f>
        <v/>
      </c>
      <c r="H468" s="49" t="str">
        <f>IFNA(VLOOKUP($A468,Spells!$A$2:$I1002,MATCH(H$3,Spells!$A$1:$I$1,0),FALSE))</f>
        <v/>
      </c>
    </row>
    <row r="469">
      <c r="A469" s="49"/>
      <c r="B469" s="49" t="str">
        <f>IFNA(VLOOKUP($A469,Spells!$A$2:$I1002,MATCH(B$3,Spells!$A$1:$I$1,0),FALSE))</f>
        <v/>
      </c>
      <c r="C469" s="49" t="str">
        <f>IFNA(VLOOKUP($A469,Spells!$A$2:$I1002,MATCH(C$3,Spells!$A$1:$I$1,0),FALSE))</f>
        <v/>
      </c>
      <c r="D469" s="49" t="str">
        <f>IFNA(VLOOKUP($A469,Spells!$A$2:$I1002,MATCH(D$3,Spells!$A$1:$I$1,0),FALSE))</f>
        <v/>
      </c>
      <c r="E469" s="49" t="str">
        <f>IFNA(VLOOKUP($A469,Spells!$A$2:$I1002,MATCH(E$3,Spells!$A$1:$I$1,0),FALSE))</f>
        <v/>
      </c>
      <c r="F469" s="49" t="str">
        <f>IFNA(VLOOKUP($A469,Spells!$A$2:$I1002,MATCH(F$3,Spells!$A$1:$I$1,0),FALSE))</f>
        <v/>
      </c>
      <c r="G469" s="49" t="str">
        <f>IFNA(VLOOKUP($A469,Spells!$A$2:$I1002,MATCH(G$3,Spells!$A$1:$I$1,0),FALSE))</f>
        <v/>
      </c>
      <c r="H469" s="49" t="str">
        <f>IFNA(VLOOKUP($A469,Spells!$A$2:$I1002,MATCH(H$3,Spells!$A$1:$I$1,0),FALSE))</f>
        <v/>
      </c>
    </row>
    <row r="470">
      <c r="A470" s="49"/>
      <c r="B470" s="49" t="str">
        <f>IFNA(VLOOKUP($A470,Spells!$A$2:$I1002,MATCH(B$3,Spells!$A$1:$I$1,0),FALSE))</f>
        <v/>
      </c>
      <c r="C470" s="49" t="str">
        <f>IFNA(VLOOKUP($A470,Spells!$A$2:$I1002,MATCH(C$3,Spells!$A$1:$I$1,0),FALSE))</f>
        <v/>
      </c>
      <c r="D470" s="49" t="str">
        <f>IFNA(VLOOKUP($A470,Spells!$A$2:$I1002,MATCH(D$3,Spells!$A$1:$I$1,0),FALSE))</f>
        <v/>
      </c>
      <c r="E470" s="49" t="str">
        <f>IFNA(VLOOKUP($A470,Spells!$A$2:$I1002,MATCH(E$3,Spells!$A$1:$I$1,0),FALSE))</f>
        <v/>
      </c>
      <c r="F470" s="49" t="str">
        <f>IFNA(VLOOKUP($A470,Spells!$A$2:$I1002,MATCH(F$3,Spells!$A$1:$I$1,0),FALSE))</f>
        <v/>
      </c>
      <c r="G470" s="49" t="str">
        <f>IFNA(VLOOKUP($A470,Spells!$A$2:$I1002,MATCH(G$3,Spells!$A$1:$I$1,0),FALSE))</f>
        <v/>
      </c>
      <c r="H470" s="49" t="str">
        <f>IFNA(VLOOKUP($A470,Spells!$A$2:$I1002,MATCH(H$3,Spells!$A$1:$I$1,0),FALSE))</f>
        <v/>
      </c>
    </row>
    <row r="471">
      <c r="A471" s="49"/>
      <c r="B471" s="49" t="str">
        <f>IFNA(VLOOKUP($A471,Spells!$A$2:$I1002,MATCH(B$3,Spells!$A$1:$I$1,0),FALSE))</f>
        <v/>
      </c>
      <c r="C471" s="49" t="str">
        <f>IFNA(VLOOKUP($A471,Spells!$A$2:$I1002,MATCH(C$3,Spells!$A$1:$I$1,0),FALSE))</f>
        <v/>
      </c>
      <c r="D471" s="49" t="str">
        <f>IFNA(VLOOKUP($A471,Spells!$A$2:$I1002,MATCH(D$3,Spells!$A$1:$I$1,0),FALSE))</f>
        <v/>
      </c>
      <c r="E471" s="49" t="str">
        <f>IFNA(VLOOKUP($A471,Spells!$A$2:$I1002,MATCH(E$3,Spells!$A$1:$I$1,0),FALSE))</f>
        <v/>
      </c>
      <c r="F471" s="49" t="str">
        <f>IFNA(VLOOKUP($A471,Spells!$A$2:$I1002,MATCH(F$3,Spells!$A$1:$I$1,0),FALSE))</f>
        <v/>
      </c>
      <c r="G471" s="49" t="str">
        <f>IFNA(VLOOKUP($A471,Spells!$A$2:$I1002,MATCH(G$3,Spells!$A$1:$I$1,0),FALSE))</f>
        <v/>
      </c>
      <c r="H471" s="49" t="str">
        <f>IFNA(VLOOKUP($A471,Spells!$A$2:$I1002,MATCH(H$3,Spells!$A$1:$I$1,0),FALSE))</f>
        <v/>
      </c>
    </row>
    <row r="472">
      <c r="A472" s="49"/>
      <c r="B472" s="49" t="str">
        <f>IFNA(VLOOKUP($A472,Spells!$A$2:$I1002,MATCH(B$3,Spells!$A$1:$I$1,0),FALSE))</f>
        <v/>
      </c>
      <c r="C472" s="49" t="str">
        <f>IFNA(VLOOKUP($A472,Spells!$A$2:$I1002,MATCH(C$3,Spells!$A$1:$I$1,0),FALSE))</f>
        <v/>
      </c>
      <c r="D472" s="49" t="str">
        <f>IFNA(VLOOKUP($A472,Spells!$A$2:$I1002,MATCH(D$3,Spells!$A$1:$I$1,0),FALSE))</f>
        <v/>
      </c>
      <c r="E472" s="49" t="str">
        <f>IFNA(VLOOKUP($A472,Spells!$A$2:$I1002,MATCH(E$3,Spells!$A$1:$I$1,0),FALSE))</f>
        <v/>
      </c>
      <c r="F472" s="49" t="str">
        <f>IFNA(VLOOKUP($A472,Spells!$A$2:$I1002,MATCH(F$3,Spells!$A$1:$I$1,0),FALSE))</f>
        <v/>
      </c>
      <c r="G472" s="49" t="str">
        <f>IFNA(VLOOKUP($A472,Spells!$A$2:$I1002,MATCH(G$3,Spells!$A$1:$I$1,0),FALSE))</f>
        <v/>
      </c>
      <c r="H472" s="49" t="str">
        <f>IFNA(VLOOKUP($A472,Spells!$A$2:$I1002,MATCH(H$3,Spells!$A$1:$I$1,0),FALSE))</f>
        <v/>
      </c>
    </row>
    <row r="473">
      <c r="A473" s="49"/>
      <c r="B473" s="49" t="str">
        <f>IFNA(VLOOKUP($A473,Spells!$A$2:$I1002,MATCH(B$3,Spells!$A$1:$I$1,0),FALSE))</f>
        <v/>
      </c>
      <c r="C473" s="49" t="str">
        <f>IFNA(VLOOKUP($A473,Spells!$A$2:$I1002,MATCH(C$3,Spells!$A$1:$I$1,0),FALSE))</f>
        <v/>
      </c>
      <c r="D473" s="49" t="str">
        <f>IFNA(VLOOKUP($A473,Spells!$A$2:$I1002,MATCH(D$3,Spells!$A$1:$I$1,0),FALSE))</f>
        <v/>
      </c>
      <c r="E473" s="49" t="str">
        <f>IFNA(VLOOKUP($A473,Spells!$A$2:$I1002,MATCH(E$3,Spells!$A$1:$I$1,0),FALSE))</f>
        <v/>
      </c>
      <c r="F473" s="49" t="str">
        <f>IFNA(VLOOKUP($A473,Spells!$A$2:$I1002,MATCH(F$3,Spells!$A$1:$I$1,0),FALSE))</f>
        <v/>
      </c>
      <c r="G473" s="49" t="str">
        <f>IFNA(VLOOKUP($A473,Spells!$A$2:$I1002,MATCH(G$3,Spells!$A$1:$I$1,0),FALSE))</f>
        <v/>
      </c>
      <c r="H473" s="49" t="str">
        <f>IFNA(VLOOKUP($A473,Spells!$A$2:$I1002,MATCH(H$3,Spells!$A$1:$I$1,0),FALSE))</f>
        <v/>
      </c>
    </row>
    <row r="474">
      <c r="A474" s="49"/>
      <c r="B474" s="49" t="str">
        <f>IFNA(VLOOKUP($A474,Spells!$A$2:$I1002,MATCH(B$3,Spells!$A$1:$I$1,0),FALSE))</f>
        <v/>
      </c>
      <c r="C474" s="49" t="str">
        <f>IFNA(VLOOKUP($A474,Spells!$A$2:$I1002,MATCH(C$3,Spells!$A$1:$I$1,0),FALSE))</f>
        <v/>
      </c>
      <c r="D474" s="49" t="str">
        <f>IFNA(VLOOKUP($A474,Spells!$A$2:$I1002,MATCH(D$3,Spells!$A$1:$I$1,0),FALSE))</f>
        <v/>
      </c>
      <c r="E474" s="49" t="str">
        <f>IFNA(VLOOKUP($A474,Spells!$A$2:$I1002,MATCH(E$3,Spells!$A$1:$I$1,0),FALSE))</f>
        <v/>
      </c>
      <c r="F474" s="49" t="str">
        <f>IFNA(VLOOKUP($A474,Spells!$A$2:$I1002,MATCH(F$3,Spells!$A$1:$I$1,0),FALSE))</f>
        <v/>
      </c>
      <c r="G474" s="49" t="str">
        <f>IFNA(VLOOKUP($A474,Spells!$A$2:$I1002,MATCH(G$3,Spells!$A$1:$I$1,0),FALSE))</f>
        <v/>
      </c>
      <c r="H474" s="49" t="str">
        <f>IFNA(VLOOKUP($A474,Spells!$A$2:$I1002,MATCH(H$3,Spells!$A$1:$I$1,0),FALSE))</f>
        <v/>
      </c>
    </row>
    <row r="475">
      <c r="A475" s="49"/>
      <c r="B475" s="49" t="str">
        <f>IFNA(VLOOKUP($A475,Spells!$A$2:$I1002,MATCH(B$3,Spells!$A$1:$I$1,0),FALSE))</f>
        <v/>
      </c>
      <c r="C475" s="49" t="str">
        <f>IFNA(VLOOKUP($A475,Spells!$A$2:$I1002,MATCH(C$3,Spells!$A$1:$I$1,0),FALSE))</f>
        <v/>
      </c>
      <c r="D475" s="49" t="str">
        <f>IFNA(VLOOKUP($A475,Spells!$A$2:$I1002,MATCH(D$3,Spells!$A$1:$I$1,0),FALSE))</f>
        <v/>
      </c>
      <c r="E475" s="49" t="str">
        <f>IFNA(VLOOKUP($A475,Spells!$A$2:$I1002,MATCH(E$3,Spells!$A$1:$I$1,0),FALSE))</f>
        <v/>
      </c>
      <c r="F475" s="49" t="str">
        <f>IFNA(VLOOKUP($A475,Spells!$A$2:$I1002,MATCH(F$3,Spells!$A$1:$I$1,0),FALSE))</f>
        <v/>
      </c>
      <c r="G475" s="49" t="str">
        <f>IFNA(VLOOKUP($A475,Spells!$A$2:$I1002,MATCH(G$3,Spells!$A$1:$I$1,0),FALSE))</f>
        <v/>
      </c>
      <c r="H475" s="49" t="str">
        <f>IFNA(VLOOKUP($A475,Spells!$A$2:$I1002,MATCH(H$3,Spells!$A$1:$I$1,0),FALSE))</f>
        <v/>
      </c>
    </row>
    <row r="476">
      <c r="A476" s="49"/>
      <c r="B476" s="49" t="str">
        <f>IFNA(VLOOKUP($A476,Spells!$A$2:$I1002,MATCH(B$3,Spells!$A$1:$I$1,0),FALSE))</f>
        <v/>
      </c>
      <c r="C476" s="49" t="str">
        <f>IFNA(VLOOKUP($A476,Spells!$A$2:$I1002,MATCH(C$3,Spells!$A$1:$I$1,0),FALSE))</f>
        <v/>
      </c>
      <c r="D476" s="49" t="str">
        <f>IFNA(VLOOKUP($A476,Spells!$A$2:$I1002,MATCH(D$3,Spells!$A$1:$I$1,0),FALSE))</f>
        <v/>
      </c>
      <c r="E476" s="49" t="str">
        <f>IFNA(VLOOKUP($A476,Spells!$A$2:$I1002,MATCH(E$3,Spells!$A$1:$I$1,0),FALSE))</f>
        <v/>
      </c>
      <c r="F476" s="49" t="str">
        <f>IFNA(VLOOKUP($A476,Spells!$A$2:$I1002,MATCH(F$3,Spells!$A$1:$I$1,0),FALSE))</f>
        <v/>
      </c>
      <c r="G476" s="49" t="str">
        <f>IFNA(VLOOKUP($A476,Spells!$A$2:$I1002,MATCH(G$3,Spells!$A$1:$I$1,0),FALSE))</f>
        <v/>
      </c>
      <c r="H476" s="49" t="str">
        <f>IFNA(VLOOKUP($A476,Spells!$A$2:$I1002,MATCH(H$3,Spells!$A$1:$I$1,0),FALSE))</f>
        <v/>
      </c>
    </row>
    <row r="477">
      <c r="A477" s="49"/>
      <c r="B477" s="49" t="str">
        <f>IFNA(VLOOKUP($A477,Spells!$A$2:$I1002,MATCH(B$3,Spells!$A$1:$I$1,0),FALSE))</f>
        <v/>
      </c>
      <c r="C477" s="49" t="str">
        <f>IFNA(VLOOKUP($A477,Spells!$A$2:$I1002,MATCH(C$3,Spells!$A$1:$I$1,0),FALSE))</f>
        <v/>
      </c>
      <c r="D477" s="49" t="str">
        <f>IFNA(VLOOKUP($A477,Spells!$A$2:$I1002,MATCH(D$3,Spells!$A$1:$I$1,0),FALSE))</f>
        <v/>
      </c>
      <c r="E477" s="49" t="str">
        <f>IFNA(VLOOKUP($A477,Spells!$A$2:$I1002,MATCH(E$3,Spells!$A$1:$I$1,0),FALSE))</f>
        <v/>
      </c>
      <c r="F477" s="49" t="str">
        <f>IFNA(VLOOKUP($A477,Spells!$A$2:$I1002,MATCH(F$3,Spells!$A$1:$I$1,0),FALSE))</f>
        <v/>
      </c>
      <c r="G477" s="49" t="str">
        <f>IFNA(VLOOKUP($A477,Spells!$A$2:$I1002,MATCH(G$3,Spells!$A$1:$I$1,0),FALSE))</f>
        <v/>
      </c>
      <c r="H477" s="49" t="str">
        <f>IFNA(VLOOKUP($A477,Spells!$A$2:$I1002,MATCH(H$3,Spells!$A$1:$I$1,0),FALSE))</f>
        <v/>
      </c>
    </row>
    <row r="478">
      <c r="A478" s="49"/>
      <c r="B478" s="49" t="str">
        <f>IFNA(VLOOKUP($A478,Spells!$A$2:$I1002,MATCH(B$3,Spells!$A$1:$I$1,0),FALSE))</f>
        <v/>
      </c>
      <c r="C478" s="49" t="str">
        <f>IFNA(VLOOKUP($A478,Spells!$A$2:$I1002,MATCH(C$3,Spells!$A$1:$I$1,0),FALSE))</f>
        <v/>
      </c>
      <c r="D478" s="49" t="str">
        <f>IFNA(VLOOKUP($A478,Spells!$A$2:$I1002,MATCH(D$3,Spells!$A$1:$I$1,0),FALSE))</f>
        <v/>
      </c>
      <c r="E478" s="49" t="str">
        <f>IFNA(VLOOKUP($A478,Spells!$A$2:$I1002,MATCH(E$3,Spells!$A$1:$I$1,0),FALSE))</f>
        <v/>
      </c>
      <c r="F478" s="49" t="str">
        <f>IFNA(VLOOKUP($A478,Spells!$A$2:$I1002,MATCH(F$3,Spells!$A$1:$I$1,0),FALSE))</f>
        <v/>
      </c>
      <c r="G478" s="49" t="str">
        <f>IFNA(VLOOKUP($A478,Spells!$A$2:$I1002,MATCH(G$3,Spells!$A$1:$I$1,0),FALSE))</f>
        <v/>
      </c>
      <c r="H478" s="49" t="str">
        <f>IFNA(VLOOKUP($A478,Spells!$A$2:$I1002,MATCH(H$3,Spells!$A$1:$I$1,0),FALSE))</f>
        <v/>
      </c>
    </row>
    <row r="479">
      <c r="A479" s="49"/>
      <c r="B479" s="49" t="str">
        <f>IFNA(VLOOKUP($A479,Spells!$A$2:$I1002,MATCH(B$3,Spells!$A$1:$I$1,0),FALSE))</f>
        <v/>
      </c>
      <c r="C479" s="49" t="str">
        <f>IFNA(VLOOKUP($A479,Spells!$A$2:$I1002,MATCH(C$3,Spells!$A$1:$I$1,0),FALSE))</f>
        <v/>
      </c>
      <c r="D479" s="49" t="str">
        <f>IFNA(VLOOKUP($A479,Spells!$A$2:$I1002,MATCH(D$3,Spells!$A$1:$I$1,0),FALSE))</f>
        <v/>
      </c>
      <c r="E479" s="49" t="str">
        <f>IFNA(VLOOKUP($A479,Spells!$A$2:$I1002,MATCH(E$3,Spells!$A$1:$I$1,0),FALSE))</f>
        <v/>
      </c>
      <c r="F479" s="49" t="str">
        <f>IFNA(VLOOKUP($A479,Spells!$A$2:$I1002,MATCH(F$3,Spells!$A$1:$I$1,0),FALSE))</f>
        <v/>
      </c>
      <c r="G479" s="49" t="str">
        <f>IFNA(VLOOKUP($A479,Spells!$A$2:$I1002,MATCH(G$3,Spells!$A$1:$I$1,0),FALSE))</f>
        <v/>
      </c>
      <c r="H479" s="49" t="str">
        <f>IFNA(VLOOKUP($A479,Spells!$A$2:$I1002,MATCH(H$3,Spells!$A$1:$I$1,0),FALSE))</f>
        <v/>
      </c>
    </row>
    <row r="480">
      <c r="A480" s="49"/>
      <c r="B480" s="49" t="str">
        <f>IFNA(VLOOKUP($A480,Spells!$A$2:$I1002,MATCH(B$3,Spells!$A$1:$I$1,0),FALSE))</f>
        <v/>
      </c>
      <c r="C480" s="49" t="str">
        <f>IFNA(VLOOKUP($A480,Spells!$A$2:$I1002,MATCH(C$3,Spells!$A$1:$I$1,0),FALSE))</f>
        <v/>
      </c>
      <c r="D480" s="49" t="str">
        <f>IFNA(VLOOKUP($A480,Spells!$A$2:$I1002,MATCH(D$3,Spells!$A$1:$I$1,0),FALSE))</f>
        <v/>
      </c>
      <c r="E480" s="49" t="str">
        <f>IFNA(VLOOKUP($A480,Spells!$A$2:$I1002,MATCH(E$3,Spells!$A$1:$I$1,0),FALSE))</f>
        <v/>
      </c>
      <c r="F480" s="49" t="str">
        <f>IFNA(VLOOKUP($A480,Spells!$A$2:$I1002,MATCH(F$3,Spells!$A$1:$I$1,0),FALSE))</f>
        <v/>
      </c>
      <c r="G480" s="49" t="str">
        <f>IFNA(VLOOKUP($A480,Spells!$A$2:$I1002,MATCH(G$3,Spells!$A$1:$I$1,0),FALSE))</f>
        <v/>
      </c>
      <c r="H480" s="49" t="str">
        <f>IFNA(VLOOKUP($A480,Spells!$A$2:$I1002,MATCH(H$3,Spells!$A$1:$I$1,0),FALSE))</f>
        <v/>
      </c>
    </row>
    <row r="481">
      <c r="A481" s="49"/>
      <c r="B481" s="49" t="str">
        <f>IFNA(VLOOKUP($A481,Spells!$A$2:$I1002,MATCH(B$3,Spells!$A$1:$I$1,0),FALSE))</f>
        <v/>
      </c>
      <c r="C481" s="49" t="str">
        <f>IFNA(VLOOKUP($A481,Spells!$A$2:$I1002,MATCH(C$3,Spells!$A$1:$I$1,0),FALSE))</f>
        <v/>
      </c>
      <c r="D481" s="49" t="str">
        <f>IFNA(VLOOKUP($A481,Spells!$A$2:$I1002,MATCH(D$3,Spells!$A$1:$I$1,0),FALSE))</f>
        <v/>
      </c>
      <c r="E481" s="49" t="str">
        <f>IFNA(VLOOKUP($A481,Spells!$A$2:$I1002,MATCH(E$3,Spells!$A$1:$I$1,0),FALSE))</f>
        <v/>
      </c>
      <c r="F481" s="49" t="str">
        <f>IFNA(VLOOKUP($A481,Spells!$A$2:$I1002,MATCH(F$3,Spells!$A$1:$I$1,0),FALSE))</f>
        <v/>
      </c>
      <c r="G481" s="49" t="str">
        <f>IFNA(VLOOKUP($A481,Spells!$A$2:$I1002,MATCH(G$3,Spells!$A$1:$I$1,0),FALSE))</f>
        <v/>
      </c>
      <c r="H481" s="49" t="str">
        <f>IFNA(VLOOKUP($A481,Spells!$A$2:$I1002,MATCH(H$3,Spells!$A$1:$I$1,0),FALSE))</f>
        <v/>
      </c>
    </row>
    <row r="482">
      <c r="A482" s="49"/>
      <c r="B482" s="49" t="str">
        <f>IFNA(VLOOKUP($A482,Spells!$A$2:$I1002,MATCH(B$3,Spells!$A$1:$I$1,0),FALSE))</f>
        <v/>
      </c>
      <c r="C482" s="49" t="str">
        <f>IFNA(VLOOKUP($A482,Spells!$A$2:$I1002,MATCH(C$3,Spells!$A$1:$I$1,0),FALSE))</f>
        <v/>
      </c>
      <c r="D482" s="49" t="str">
        <f>IFNA(VLOOKUP($A482,Spells!$A$2:$I1002,MATCH(D$3,Spells!$A$1:$I$1,0),FALSE))</f>
        <v/>
      </c>
      <c r="E482" s="49" t="str">
        <f>IFNA(VLOOKUP($A482,Spells!$A$2:$I1002,MATCH(E$3,Spells!$A$1:$I$1,0),FALSE))</f>
        <v/>
      </c>
      <c r="F482" s="49" t="str">
        <f>IFNA(VLOOKUP($A482,Spells!$A$2:$I1002,MATCH(F$3,Spells!$A$1:$I$1,0),FALSE))</f>
        <v/>
      </c>
      <c r="G482" s="49" t="str">
        <f>IFNA(VLOOKUP($A482,Spells!$A$2:$I1002,MATCH(G$3,Spells!$A$1:$I$1,0),FALSE))</f>
        <v/>
      </c>
      <c r="H482" s="49" t="str">
        <f>IFNA(VLOOKUP($A482,Spells!$A$2:$I1002,MATCH(H$3,Spells!$A$1:$I$1,0),FALSE))</f>
        <v/>
      </c>
    </row>
    <row r="483">
      <c r="A483" s="49"/>
      <c r="B483" s="49" t="str">
        <f>IFNA(VLOOKUP($A483,Spells!$A$2:$I1002,MATCH(B$3,Spells!$A$1:$I$1,0),FALSE))</f>
        <v/>
      </c>
      <c r="C483" s="49" t="str">
        <f>IFNA(VLOOKUP($A483,Spells!$A$2:$I1002,MATCH(C$3,Spells!$A$1:$I$1,0),FALSE))</f>
        <v/>
      </c>
      <c r="D483" s="49" t="str">
        <f>IFNA(VLOOKUP($A483,Spells!$A$2:$I1002,MATCH(D$3,Spells!$A$1:$I$1,0),FALSE))</f>
        <v/>
      </c>
      <c r="E483" s="49" t="str">
        <f>IFNA(VLOOKUP($A483,Spells!$A$2:$I1002,MATCH(E$3,Spells!$A$1:$I$1,0),FALSE))</f>
        <v/>
      </c>
      <c r="F483" s="49" t="str">
        <f>IFNA(VLOOKUP($A483,Spells!$A$2:$I1002,MATCH(F$3,Spells!$A$1:$I$1,0),FALSE))</f>
        <v/>
      </c>
      <c r="G483" s="49" t="str">
        <f>IFNA(VLOOKUP($A483,Spells!$A$2:$I1002,MATCH(G$3,Spells!$A$1:$I$1,0),FALSE))</f>
        <v/>
      </c>
      <c r="H483" s="49" t="str">
        <f>IFNA(VLOOKUP($A483,Spells!$A$2:$I1002,MATCH(H$3,Spells!$A$1:$I$1,0),FALSE))</f>
        <v/>
      </c>
    </row>
    <row r="484">
      <c r="A484" s="49"/>
      <c r="B484" s="49" t="str">
        <f>IFNA(VLOOKUP($A484,Spells!$A$2:$I1002,MATCH(B$3,Spells!$A$1:$I$1,0),FALSE))</f>
        <v/>
      </c>
      <c r="C484" s="49" t="str">
        <f>IFNA(VLOOKUP($A484,Spells!$A$2:$I1002,MATCH(C$3,Spells!$A$1:$I$1,0),FALSE))</f>
        <v/>
      </c>
      <c r="D484" s="49" t="str">
        <f>IFNA(VLOOKUP($A484,Spells!$A$2:$I1002,MATCH(D$3,Spells!$A$1:$I$1,0),FALSE))</f>
        <v/>
      </c>
      <c r="E484" s="49" t="str">
        <f>IFNA(VLOOKUP($A484,Spells!$A$2:$I1002,MATCH(E$3,Spells!$A$1:$I$1,0),FALSE))</f>
        <v/>
      </c>
      <c r="F484" s="49" t="str">
        <f>IFNA(VLOOKUP($A484,Spells!$A$2:$I1002,MATCH(F$3,Spells!$A$1:$I$1,0),FALSE))</f>
        <v/>
      </c>
      <c r="G484" s="49" t="str">
        <f>IFNA(VLOOKUP($A484,Spells!$A$2:$I1002,MATCH(G$3,Spells!$A$1:$I$1,0),FALSE))</f>
        <v/>
      </c>
      <c r="H484" s="49" t="str">
        <f>IFNA(VLOOKUP($A484,Spells!$A$2:$I1002,MATCH(H$3,Spells!$A$1:$I$1,0),FALSE))</f>
        <v/>
      </c>
    </row>
    <row r="485">
      <c r="A485" s="49"/>
      <c r="B485" s="49" t="str">
        <f>IFNA(VLOOKUP($A485,Spells!$A$2:$I1002,MATCH(B$3,Spells!$A$1:$I$1,0),FALSE))</f>
        <v/>
      </c>
      <c r="C485" s="49" t="str">
        <f>IFNA(VLOOKUP($A485,Spells!$A$2:$I1002,MATCH(C$3,Spells!$A$1:$I$1,0),FALSE))</f>
        <v/>
      </c>
      <c r="D485" s="49" t="str">
        <f>IFNA(VLOOKUP($A485,Spells!$A$2:$I1002,MATCH(D$3,Spells!$A$1:$I$1,0),FALSE))</f>
        <v/>
      </c>
      <c r="E485" s="49" t="str">
        <f>IFNA(VLOOKUP($A485,Spells!$A$2:$I1002,MATCH(E$3,Spells!$A$1:$I$1,0),FALSE))</f>
        <v/>
      </c>
      <c r="F485" s="49" t="str">
        <f>IFNA(VLOOKUP($A485,Spells!$A$2:$I1002,MATCH(F$3,Spells!$A$1:$I$1,0),FALSE))</f>
        <v/>
      </c>
      <c r="G485" s="49" t="str">
        <f>IFNA(VLOOKUP($A485,Spells!$A$2:$I1002,MATCH(G$3,Spells!$A$1:$I$1,0),FALSE))</f>
        <v/>
      </c>
      <c r="H485" s="49" t="str">
        <f>IFNA(VLOOKUP($A485,Spells!$A$2:$I1002,MATCH(H$3,Spells!$A$1:$I$1,0),FALSE))</f>
        <v/>
      </c>
    </row>
    <row r="486">
      <c r="A486" s="49"/>
      <c r="B486" s="49" t="str">
        <f>IFNA(VLOOKUP($A486,Spells!$A$2:$I1002,MATCH(B$3,Spells!$A$1:$I$1,0),FALSE))</f>
        <v/>
      </c>
      <c r="C486" s="49" t="str">
        <f>IFNA(VLOOKUP($A486,Spells!$A$2:$I1002,MATCH(C$3,Spells!$A$1:$I$1,0),FALSE))</f>
        <v/>
      </c>
      <c r="D486" s="49" t="str">
        <f>IFNA(VLOOKUP($A486,Spells!$A$2:$I1002,MATCH(D$3,Spells!$A$1:$I$1,0),FALSE))</f>
        <v/>
      </c>
      <c r="E486" s="49" t="str">
        <f>IFNA(VLOOKUP($A486,Spells!$A$2:$I1002,MATCH(E$3,Spells!$A$1:$I$1,0),FALSE))</f>
        <v/>
      </c>
      <c r="F486" s="49" t="str">
        <f>IFNA(VLOOKUP($A486,Spells!$A$2:$I1002,MATCH(F$3,Spells!$A$1:$I$1,0),FALSE))</f>
        <v/>
      </c>
      <c r="G486" s="49" t="str">
        <f>IFNA(VLOOKUP($A486,Spells!$A$2:$I1002,MATCH(G$3,Spells!$A$1:$I$1,0),FALSE))</f>
        <v/>
      </c>
      <c r="H486" s="49" t="str">
        <f>IFNA(VLOOKUP($A486,Spells!$A$2:$I1002,MATCH(H$3,Spells!$A$1:$I$1,0),FALSE))</f>
        <v/>
      </c>
    </row>
    <row r="487">
      <c r="A487" s="49"/>
      <c r="B487" s="49" t="str">
        <f>IFNA(VLOOKUP($A487,Spells!$A$2:$I1002,MATCH(B$3,Spells!$A$1:$I$1,0),FALSE))</f>
        <v/>
      </c>
      <c r="C487" s="49" t="str">
        <f>IFNA(VLOOKUP($A487,Spells!$A$2:$I1002,MATCH(C$3,Spells!$A$1:$I$1,0),FALSE))</f>
        <v/>
      </c>
      <c r="D487" s="49" t="str">
        <f>IFNA(VLOOKUP($A487,Spells!$A$2:$I1002,MATCH(D$3,Spells!$A$1:$I$1,0),FALSE))</f>
        <v/>
      </c>
      <c r="E487" s="49" t="str">
        <f>IFNA(VLOOKUP($A487,Spells!$A$2:$I1002,MATCH(E$3,Spells!$A$1:$I$1,0),FALSE))</f>
        <v/>
      </c>
      <c r="F487" s="49" t="str">
        <f>IFNA(VLOOKUP($A487,Spells!$A$2:$I1002,MATCH(F$3,Spells!$A$1:$I$1,0),FALSE))</f>
        <v/>
      </c>
      <c r="G487" s="49" t="str">
        <f>IFNA(VLOOKUP($A487,Spells!$A$2:$I1002,MATCH(G$3,Spells!$A$1:$I$1,0),FALSE))</f>
        <v/>
      </c>
      <c r="H487" s="49" t="str">
        <f>IFNA(VLOOKUP($A487,Spells!$A$2:$I1002,MATCH(H$3,Spells!$A$1:$I$1,0),FALSE))</f>
        <v/>
      </c>
    </row>
    <row r="488">
      <c r="A488" s="49"/>
      <c r="B488" s="49" t="str">
        <f>IFNA(VLOOKUP($A488,Spells!$A$2:$I1002,MATCH(B$3,Spells!$A$1:$I$1,0),FALSE))</f>
        <v/>
      </c>
      <c r="C488" s="49" t="str">
        <f>IFNA(VLOOKUP($A488,Spells!$A$2:$I1002,MATCH(C$3,Spells!$A$1:$I$1,0),FALSE))</f>
        <v/>
      </c>
      <c r="D488" s="49" t="str">
        <f>IFNA(VLOOKUP($A488,Spells!$A$2:$I1002,MATCH(D$3,Spells!$A$1:$I$1,0),FALSE))</f>
        <v/>
      </c>
      <c r="E488" s="49" t="str">
        <f>IFNA(VLOOKUP($A488,Spells!$A$2:$I1002,MATCH(E$3,Spells!$A$1:$I$1,0),FALSE))</f>
        <v/>
      </c>
      <c r="F488" s="49" t="str">
        <f>IFNA(VLOOKUP($A488,Spells!$A$2:$I1002,MATCH(F$3,Spells!$A$1:$I$1,0),FALSE))</f>
        <v/>
      </c>
      <c r="G488" s="49" t="str">
        <f>IFNA(VLOOKUP($A488,Spells!$A$2:$I1002,MATCH(G$3,Spells!$A$1:$I$1,0),FALSE))</f>
        <v/>
      </c>
      <c r="H488" s="49" t="str">
        <f>IFNA(VLOOKUP($A488,Spells!$A$2:$I1002,MATCH(H$3,Spells!$A$1:$I$1,0),FALSE))</f>
        <v/>
      </c>
    </row>
    <row r="489">
      <c r="A489" s="49"/>
      <c r="B489" s="49" t="str">
        <f>IFNA(VLOOKUP($A489,Spells!$A$2:$I1002,MATCH(B$3,Spells!$A$1:$I$1,0),FALSE))</f>
        <v/>
      </c>
      <c r="C489" s="49" t="str">
        <f>IFNA(VLOOKUP($A489,Spells!$A$2:$I1002,MATCH(C$3,Spells!$A$1:$I$1,0),FALSE))</f>
        <v/>
      </c>
      <c r="D489" s="49" t="str">
        <f>IFNA(VLOOKUP($A489,Spells!$A$2:$I1002,MATCH(D$3,Spells!$A$1:$I$1,0),FALSE))</f>
        <v/>
      </c>
      <c r="E489" s="49" t="str">
        <f>IFNA(VLOOKUP($A489,Spells!$A$2:$I1002,MATCH(E$3,Spells!$A$1:$I$1,0),FALSE))</f>
        <v/>
      </c>
      <c r="F489" s="49" t="str">
        <f>IFNA(VLOOKUP($A489,Spells!$A$2:$I1002,MATCH(F$3,Spells!$A$1:$I$1,0),FALSE))</f>
        <v/>
      </c>
      <c r="G489" s="49" t="str">
        <f>IFNA(VLOOKUP($A489,Spells!$A$2:$I1002,MATCH(G$3,Spells!$A$1:$I$1,0),FALSE))</f>
        <v/>
      </c>
      <c r="H489" s="49" t="str">
        <f>IFNA(VLOOKUP($A489,Spells!$A$2:$I1002,MATCH(H$3,Spells!$A$1:$I$1,0),FALSE))</f>
        <v/>
      </c>
    </row>
    <row r="490">
      <c r="A490" s="49"/>
      <c r="B490" s="49" t="str">
        <f>IFNA(VLOOKUP($A490,Spells!$A$2:$I1002,MATCH(B$3,Spells!$A$1:$I$1,0),FALSE))</f>
        <v/>
      </c>
      <c r="C490" s="49" t="str">
        <f>IFNA(VLOOKUP($A490,Spells!$A$2:$I1002,MATCH(C$3,Spells!$A$1:$I$1,0),FALSE))</f>
        <v/>
      </c>
      <c r="D490" s="49" t="str">
        <f>IFNA(VLOOKUP($A490,Spells!$A$2:$I1002,MATCH(D$3,Spells!$A$1:$I$1,0),FALSE))</f>
        <v/>
      </c>
      <c r="E490" s="49" t="str">
        <f>IFNA(VLOOKUP($A490,Spells!$A$2:$I1002,MATCH(E$3,Spells!$A$1:$I$1,0),FALSE))</f>
        <v/>
      </c>
      <c r="F490" s="49" t="str">
        <f>IFNA(VLOOKUP($A490,Spells!$A$2:$I1002,MATCH(F$3,Spells!$A$1:$I$1,0),FALSE))</f>
        <v/>
      </c>
      <c r="G490" s="49" t="str">
        <f>IFNA(VLOOKUP($A490,Spells!$A$2:$I1002,MATCH(G$3,Spells!$A$1:$I$1,0),FALSE))</f>
        <v/>
      </c>
      <c r="H490" s="49" t="str">
        <f>IFNA(VLOOKUP($A490,Spells!$A$2:$I1002,MATCH(H$3,Spells!$A$1:$I$1,0),FALSE))</f>
        <v/>
      </c>
    </row>
    <row r="491">
      <c r="A491" s="49"/>
      <c r="B491" s="49" t="str">
        <f>IFNA(VLOOKUP($A491,Spells!$A$2:$I1002,MATCH(B$3,Spells!$A$1:$I$1,0),FALSE))</f>
        <v/>
      </c>
      <c r="C491" s="49" t="str">
        <f>IFNA(VLOOKUP($A491,Spells!$A$2:$I1002,MATCH(C$3,Spells!$A$1:$I$1,0),FALSE))</f>
        <v/>
      </c>
      <c r="D491" s="49" t="str">
        <f>IFNA(VLOOKUP($A491,Spells!$A$2:$I1002,MATCH(D$3,Spells!$A$1:$I$1,0),FALSE))</f>
        <v/>
      </c>
      <c r="E491" s="49" t="str">
        <f>IFNA(VLOOKUP($A491,Spells!$A$2:$I1002,MATCH(E$3,Spells!$A$1:$I$1,0),FALSE))</f>
        <v/>
      </c>
      <c r="F491" s="49" t="str">
        <f>IFNA(VLOOKUP($A491,Spells!$A$2:$I1002,MATCH(F$3,Spells!$A$1:$I$1,0),FALSE))</f>
        <v/>
      </c>
      <c r="G491" s="49" t="str">
        <f>IFNA(VLOOKUP($A491,Spells!$A$2:$I1002,MATCH(G$3,Spells!$A$1:$I$1,0),FALSE))</f>
        <v/>
      </c>
      <c r="H491" s="49" t="str">
        <f>IFNA(VLOOKUP($A491,Spells!$A$2:$I1002,MATCH(H$3,Spells!$A$1:$I$1,0),FALSE))</f>
        <v/>
      </c>
    </row>
    <row r="492">
      <c r="A492" s="49"/>
      <c r="B492" s="49" t="str">
        <f>IFNA(VLOOKUP($A492,Spells!$A$2:$I1002,MATCH(B$3,Spells!$A$1:$I$1,0),FALSE))</f>
        <v/>
      </c>
      <c r="C492" s="49" t="str">
        <f>IFNA(VLOOKUP($A492,Spells!$A$2:$I1002,MATCH(C$3,Spells!$A$1:$I$1,0),FALSE))</f>
        <v/>
      </c>
      <c r="D492" s="49" t="str">
        <f>IFNA(VLOOKUP($A492,Spells!$A$2:$I1002,MATCH(D$3,Spells!$A$1:$I$1,0),FALSE))</f>
        <v/>
      </c>
      <c r="E492" s="49" t="str">
        <f>IFNA(VLOOKUP($A492,Spells!$A$2:$I1002,MATCH(E$3,Spells!$A$1:$I$1,0),FALSE))</f>
        <v/>
      </c>
      <c r="F492" s="49" t="str">
        <f>IFNA(VLOOKUP($A492,Spells!$A$2:$I1002,MATCH(F$3,Spells!$A$1:$I$1,0),FALSE))</f>
        <v/>
      </c>
      <c r="G492" s="49" t="str">
        <f>IFNA(VLOOKUP($A492,Spells!$A$2:$I1002,MATCH(G$3,Spells!$A$1:$I$1,0),FALSE))</f>
        <v/>
      </c>
      <c r="H492" s="49" t="str">
        <f>IFNA(VLOOKUP($A492,Spells!$A$2:$I1002,MATCH(H$3,Spells!$A$1:$I$1,0),FALSE))</f>
        <v/>
      </c>
    </row>
    <row r="493">
      <c r="A493" s="49"/>
      <c r="B493" s="49" t="str">
        <f>IFNA(VLOOKUP($A493,Spells!$A$2:$I1002,MATCH(B$3,Spells!$A$1:$I$1,0),FALSE))</f>
        <v/>
      </c>
      <c r="C493" s="49" t="str">
        <f>IFNA(VLOOKUP($A493,Spells!$A$2:$I1002,MATCH(C$3,Spells!$A$1:$I$1,0),FALSE))</f>
        <v/>
      </c>
      <c r="D493" s="49" t="str">
        <f>IFNA(VLOOKUP($A493,Spells!$A$2:$I1002,MATCH(D$3,Spells!$A$1:$I$1,0),FALSE))</f>
        <v/>
      </c>
      <c r="E493" s="49" t="str">
        <f>IFNA(VLOOKUP($A493,Spells!$A$2:$I1002,MATCH(E$3,Spells!$A$1:$I$1,0),FALSE))</f>
        <v/>
      </c>
      <c r="F493" s="49" t="str">
        <f>IFNA(VLOOKUP($A493,Spells!$A$2:$I1002,MATCH(F$3,Spells!$A$1:$I$1,0),FALSE))</f>
        <v/>
      </c>
      <c r="G493" s="49" t="str">
        <f>IFNA(VLOOKUP($A493,Spells!$A$2:$I1002,MATCH(G$3,Spells!$A$1:$I$1,0),FALSE))</f>
        <v/>
      </c>
      <c r="H493" s="49" t="str">
        <f>IFNA(VLOOKUP($A493,Spells!$A$2:$I1002,MATCH(H$3,Spells!$A$1:$I$1,0),FALSE))</f>
        <v/>
      </c>
    </row>
    <row r="494">
      <c r="A494" s="49"/>
      <c r="B494" s="49" t="str">
        <f>IFNA(VLOOKUP($A494,Spells!$A$2:$I1002,MATCH(B$3,Spells!$A$1:$I$1,0),FALSE))</f>
        <v/>
      </c>
      <c r="C494" s="49" t="str">
        <f>IFNA(VLOOKUP($A494,Spells!$A$2:$I1002,MATCH(C$3,Spells!$A$1:$I$1,0),FALSE))</f>
        <v/>
      </c>
      <c r="D494" s="49" t="str">
        <f>IFNA(VLOOKUP($A494,Spells!$A$2:$I1002,MATCH(D$3,Spells!$A$1:$I$1,0),FALSE))</f>
        <v/>
      </c>
      <c r="E494" s="49" t="str">
        <f>IFNA(VLOOKUP($A494,Spells!$A$2:$I1002,MATCH(E$3,Spells!$A$1:$I$1,0),FALSE))</f>
        <v/>
      </c>
      <c r="F494" s="49" t="str">
        <f>IFNA(VLOOKUP($A494,Spells!$A$2:$I1002,MATCH(F$3,Spells!$A$1:$I$1,0),FALSE))</f>
        <v/>
      </c>
      <c r="G494" s="49" t="str">
        <f>IFNA(VLOOKUP($A494,Spells!$A$2:$I1002,MATCH(G$3,Spells!$A$1:$I$1,0),FALSE))</f>
        <v/>
      </c>
      <c r="H494" s="49" t="str">
        <f>IFNA(VLOOKUP($A494,Spells!$A$2:$I1002,MATCH(H$3,Spells!$A$1:$I$1,0),FALSE))</f>
        <v/>
      </c>
    </row>
    <row r="495">
      <c r="A495" s="49"/>
      <c r="B495" s="49" t="str">
        <f>IFNA(VLOOKUP($A495,Spells!$A$2:$I1002,MATCH(B$3,Spells!$A$1:$I$1,0),FALSE))</f>
        <v/>
      </c>
      <c r="C495" s="49" t="str">
        <f>IFNA(VLOOKUP($A495,Spells!$A$2:$I1002,MATCH(C$3,Spells!$A$1:$I$1,0),FALSE))</f>
        <v/>
      </c>
      <c r="D495" s="49" t="str">
        <f>IFNA(VLOOKUP($A495,Spells!$A$2:$I1002,MATCH(D$3,Spells!$A$1:$I$1,0),FALSE))</f>
        <v/>
      </c>
      <c r="E495" s="49" t="str">
        <f>IFNA(VLOOKUP($A495,Spells!$A$2:$I1002,MATCH(E$3,Spells!$A$1:$I$1,0),FALSE))</f>
        <v/>
      </c>
      <c r="F495" s="49" t="str">
        <f>IFNA(VLOOKUP($A495,Spells!$A$2:$I1002,MATCH(F$3,Spells!$A$1:$I$1,0),FALSE))</f>
        <v/>
      </c>
      <c r="G495" s="49" t="str">
        <f>IFNA(VLOOKUP($A495,Spells!$A$2:$I1002,MATCH(G$3,Spells!$A$1:$I$1,0),FALSE))</f>
        <v/>
      </c>
      <c r="H495" s="49" t="str">
        <f>IFNA(VLOOKUP($A495,Spells!$A$2:$I1002,MATCH(H$3,Spells!$A$1:$I$1,0),FALSE))</f>
        <v/>
      </c>
    </row>
    <row r="496">
      <c r="A496" s="49"/>
      <c r="B496" s="49" t="str">
        <f>IFNA(VLOOKUP($A496,Spells!$A$2:$I1002,MATCH(B$3,Spells!$A$1:$I$1,0),FALSE))</f>
        <v/>
      </c>
      <c r="C496" s="49" t="str">
        <f>IFNA(VLOOKUP($A496,Spells!$A$2:$I1002,MATCH(C$3,Spells!$A$1:$I$1,0),FALSE))</f>
        <v/>
      </c>
      <c r="D496" s="49" t="str">
        <f>IFNA(VLOOKUP($A496,Spells!$A$2:$I1002,MATCH(D$3,Spells!$A$1:$I$1,0),FALSE))</f>
        <v/>
      </c>
      <c r="E496" s="49" t="str">
        <f>IFNA(VLOOKUP($A496,Spells!$A$2:$I1002,MATCH(E$3,Spells!$A$1:$I$1,0),FALSE))</f>
        <v/>
      </c>
      <c r="F496" s="49" t="str">
        <f>IFNA(VLOOKUP($A496,Spells!$A$2:$I1002,MATCH(F$3,Spells!$A$1:$I$1,0),FALSE))</f>
        <v/>
      </c>
      <c r="G496" s="49" t="str">
        <f>IFNA(VLOOKUP($A496,Spells!$A$2:$I1002,MATCH(G$3,Spells!$A$1:$I$1,0),FALSE))</f>
        <v/>
      </c>
      <c r="H496" s="49" t="str">
        <f>IFNA(VLOOKUP($A496,Spells!$A$2:$I1002,MATCH(H$3,Spells!$A$1:$I$1,0),FALSE))</f>
        <v/>
      </c>
    </row>
    <row r="497">
      <c r="A497" s="49"/>
      <c r="B497" s="49" t="str">
        <f>IFNA(VLOOKUP($A497,Spells!$A$2:$I1002,MATCH(B$3,Spells!$A$1:$I$1,0),FALSE))</f>
        <v/>
      </c>
      <c r="C497" s="49" t="str">
        <f>IFNA(VLOOKUP($A497,Spells!$A$2:$I1002,MATCH(C$3,Spells!$A$1:$I$1,0),FALSE))</f>
        <v/>
      </c>
      <c r="D497" s="49" t="str">
        <f>IFNA(VLOOKUP($A497,Spells!$A$2:$I1002,MATCH(D$3,Spells!$A$1:$I$1,0),FALSE))</f>
        <v/>
      </c>
      <c r="E497" s="49" t="str">
        <f>IFNA(VLOOKUP($A497,Spells!$A$2:$I1002,MATCH(E$3,Spells!$A$1:$I$1,0),FALSE))</f>
        <v/>
      </c>
      <c r="F497" s="49" t="str">
        <f>IFNA(VLOOKUP($A497,Spells!$A$2:$I1002,MATCH(F$3,Spells!$A$1:$I$1,0),FALSE))</f>
        <v/>
      </c>
      <c r="G497" s="49" t="str">
        <f>IFNA(VLOOKUP($A497,Spells!$A$2:$I1002,MATCH(G$3,Spells!$A$1:$I$1,0),FALSE))</f>
        <v/>
      </c>
      <c r="H497" s="49" t="str">
        <f>IFNA(VLOOKUP($A497,Spells!$A$2:$I1002,MATCH(H$3,Spells!$A$1:$I$1,0),FALSE))</f>
        <v/>
      </c>
    </row>
    <row r="498">
      <c r="A498" s="49"/>
      <c r="B498" s="49" t="str">
        <f>IFNA(VLOOKUP($A498,Spells!$A$2:$I1002,MATCH(B$3,Spells!$A$1:$I$1,0),FALSE))</f>
        <v/>
      </c>
      <c r="C498" s="49" t="str">
        <f>IFNA(VLOOKUP($A498,Spells!$A$2:$I1002,MATCH(C$3,Spells!$A$1:$I$1,0),FALSE))</f>
        <v/>
      </c>
      <c r="D498" s="49" t="str">
        <f>IFNA(VLOOKUP($A498,Spells!$A$2:$I1002,MATCH(D$3,Spells!$A$1:$I$1,0),FALSE))</f>
        <v/>
      </c>
      <c r="E498" s="49" t="str">
        <f>IFNA(VLOOKUP($A498,Spells!$A$2:$I1002,MATCH(E$3,Spells!$A$1:$I$1,0),FALSE))</f>
        <v/>
      </c>
      <c r="F498" s="49" t="str">
        <f>IFNA(VLOOKUP($A498,Spells!$A$2:$I1002,MATCH(F$3,Spells!$A$1:$I$1,0),FALSE))</f>
        <v/>
      </c>
      <c r="G498" s="49" t="str">
        <f>IFNA(VLOOKUP($A498,Spells!$A$2:$I1002,MATCH(G$3,Spells!$A$1:$I$1,0),FALSE))</f>
        <v/>
      </c>
      <c r="H498" s="49" t="str">
        <f>IFNA(VLOOKUP($A498,Spells!$A$2:$I1002,MATCH(H$3,Spells!$A$1:$I$1,0),FALSE))</f>
        <v/>
      </c>
    </row>
    <row r="499">
      <c r="A499" s="49"/>
      <c r="B499" s="49" t="str">
        <f>IFNA(VLOOKUP($A499,Spells!$A$2:$I1002,MATCH(B$3,Spells!$A$1:$I$1,0),FALSE))</f>
        <v/>
      </c>
      <c r="C499" s="49" t="str">
        <f>IFNA(VLOOKUP($A499,Spells!$A$2:$I1002,MATCH(C$3,Spells!$A$1:$I$1,0),FALSE))</f>
        <v/>
      </c>
      <c r="D499" s="49" t="str">
        <f>IFNA(VLOOKUP($A499,Spells!$A$2:$I1002,MATCH(D$3,Spells!$A$1:$I$1,0),FALSE))</f>
        <v/>
      </c>
      <c r="E499" s="49" t="str">
        <f>IFNA(VLOOKUP($A499,Spells!$A$2:$I1002,MATCH(E$3,Spells!$A$1:$I$1,0),FALSE))</f>
        <v/>
      </c>
      <c r="F499" s="49" t="str">
        <f>IFNA(VLOOKUP($A499,Spells!$A$2:$I1002,MATCH(F$3,Spells!$A$1:$I$1,0),FALSE))</f>
        <v/>
      </c>
      <c r="G499" s="49" t="str">
        <f>IFNA(VLOOKUP($A499,Spells!$A$2:$I1002,MATCH(G$3,Spells!$A$1:$I$1,0),FALSE))</f>
        <v/>
      </c>
      <c r="H499" s="49" t="str">
        <f>IFNA(VLOOKUP($A499,Spells!$A$2:$I1002,MATCH(H$3,Spells!$A$1:$I$1,0),FALSE))</f>
        <v/>
      </c>
    </row>
    <row r="500">
      <c r="A500" s="49"/>
      <c r="B500" s="49" t="str">
        <f>IFNA(VLOOKUP($A500,Spells!$A$2:$I1002,MATCH(B$3,Spells!$A$1:$I$1,0),FALSE))</f>
        <v/>
      </c>
      <c r="C500" s="49" t="str">
        <f>IFNA(VLOOKUP($A500,Spells!$A$2:$I1002,MATCH(C$3,Spells!$A$1:$I$1,0),FALSE))</f>
        <v/>
      </c>
      <c r="D500" s="49" t="str">
        <f>IFNA(VLOOKUP($A500,Spells!$A$2:$I1002,MATCH(D$3,Spells!$A$1:$I$1,0),FALSE))</f>
        <v/>
      </c>
      <c r="E500" s="49" t="str">
        <f>IFNA(VLOOKUP($A500,Spells!$A$2:$I1002,MATCH(E$3,Spells!$A$1:$I$1,0),FALSE))</f>
        <v/>
      </c>
      <c r="F500" s="49" t="str">
        <f>IFNA(VLOOKUP($A500,Spells!$A$2:$I1002,MATCH(F$3,Spells!$A$1:$I$1,0),FALSE))</f>
        <v/>
      </c>
      <c r="G500" s="49" t="str">
        <f>IFNA(VLOOKUP($A500,Spells!$A$2:$I1002,MATCH(G$3,Spells!$A$1:$I$1,0),FALSE))</f>
        <v/>
      </c>
      <c r="H500" s="49" t="str">
        <f>IFNA(VLOOKUP($A500,Spells!$A$2:$I1002,MATCH(H$3,Spells!$A$1:$I$1,0),FALSE))</f>
        <v/>
      </c>
    </row>
    <row r="501">
      <c r="A501" s="49"/>
      <c r="B501" s="49" t="str">
        <f>IFNA(VLOOKUP($A501,Spells!$A$2:$I1002,MATCH(B$3,Spells!$A$1:$I$1,0),FALSE))</f>
        <v/>
      </c>
      <c r="C501" s="49" t="str">
        <f>IFNA(VLOOKUP($A501,Spells!$A$2:$I1002,MATCH(C$3,Spells!$A$1:$I$1,0),FALSE))</f>
        <v/>
      </c>
      <c r="D501" s="49" t="str">
        <f>IFNA(VLOOKUP($A501,Spells!$A$2:$I1002,MATCH(D$3,Spells!$A$1:$I$1,0),FALSE))</f>
        <v/>
      </c>
      <c r="E501" s="49" t="str">
        <f>IFNA(VLOOKUP($A501,Spells!$A$2:$I1002,MATCH(E$3,Spells!$A$1:$I$1,0),FALSE))</f>
        <v/>
      </c>
      <c r="F501" s="49" t="str">
        <f>IFNA(VLOOKUP($A501,Spells!$A$2:$I1002,MATCH(F$3,Spells!$A$1:$I$1,0),FALSE))</f>
        <v/>
      </c>
      <c r="G501" s="49" t="str">
        <f>IFNA(VLOOKUP($A501,Spells!$A$2:$I1002,MATCH(G$3,Spells!$A$1:$I$1,0),FALSE))</f>
        <v/>
      </c>
      <c r="H501" s="49" t="str">
        <f>IFNA(VLOOKUP($A501,Spells!$A$2:$I1002,MATCH(H$3,Spells!$A$1:$I$1,0),FALSE))</f>
        <v/>
      </c>
    </row>
    <row r="502">
      <c r="A502" s="49"/>
      <c r="B502" s="49" t="str">
        <f>IFNA(VLOOKUP($A502,Spells!$A$2:$I1002,MATCH(B$3,Spells!$A$1:$I$1,0),FALSE))</f>
        <v/>
      </c>
      <c r="C502" s="49" t="str">
        <f>IFNA(VLOOKUP($A502,Spells!$A$2:$I1002,MATCH(C$3,Spells!$A$1:$I$1,0),FALSE))</f>
        <v/>
      </c>
      <c r="D502" s="49" t="str">
        <f>IFNA(VLOOKUP($A502,Spells!$A$2:$I1002,MATCH(D$3,Spells!$A$1:$I$1,0),FALSE))</f>
        <v/>
      </c>
      <c r="E502" s="49" t="str">
        <f>IFNA(VLOOKUP($A502,Spells!$A$2:$I1002,MATCH(E$3,Spells!$A$1:$I$1,0),FALSE))</f>
        <v/>
      </c>
      <c r="F502" s="49" t="str">
        <f>IFNA(VLOOKUP($A502,Spells!$A$2:$I1002,MATCH(F$3,Spells!$A$1:$I$1,0),FALSE))</f>
        <v/>
      </c>
      <c r="G502" s="49" t="str">
        <f>IFNA(VLOOKUP($A502,Spells!$A$2:$I1002,MATCH(G$3,Spells!$A$1:$I$1,0),FALSE))</f>
        <v/>
      </c>
      <c r="H502" s="49" t="str">
        <f>IFNA(VLOOKUP($A502,Spells!$A$2:$I1002,MATCH(H$3,Spells!$A$1:$I$1,0),FALSE))</f>
        <v/>
      </c>
    </row>
    <row r="503">
      <c r="A503" s="49"/>
      <c r="B503" s="49" t="str">
        <f>IFNA(VLOOKUP($A503,Spells!$A$2:$I1002,MATCH(B$3,Spells!$A$1:$I$1,0),FALSE))</f>
        <v/>
      </c>
      <c r="C503" s="49" t="str">
        <f>IFNA(VLOOKUP($A503,Spells!$A$2:$I1002,MATCH(C$3,Spells!$A$1:$I$1,0),FALSE))</f>
        <v/>
      </c>
      <c r="D503" s="49" t="str">
        <f>IFNA(VLOOKUP($A503,Spells!$A$2:$I1002,MATCH(D$3,Spells!$A$1:$I$1,0),FALSE))</f>
        <v/>
      </c>
      <c r="E503" s="49" t="str">
        <f>IFNA(VLOOKUP($A503,Spells!$A$2:$I1002,MATCH(E$3,Spells!$A$1:$I$1,0),FALSE))</f>
        <v/>
      </c>
      <c r="F503" s="49" t="str">
        <f>IFNA(VLOOKUP($A503,Spells!$A$2:$I1002,MATCH(F$3,Spells!$A$1:$I$1,0),FALSE))</f>
        <v/>
      </c>
      <c r="G503" s="49" t="str">
        <f>IFNA(VLOOKUP($A503,Spells!$A$2:$I1002,MATCH(G$3,Spells!$A$1:$I$1,0),FALSE))</f>
        <v/>
      </c>
      <c r="H503" s="49" t="str">
        <f>IFNA(VLOOKUP($A503,Spells!$A$2:$I1002,MATCH(H$3,Spells!$A$1:$I$1,0),FALSE))</f>
        <v/>
      </c>
    </row>
    <row r="504">
      <c r="A504" s="49"/>
      <c r="B504" s="49" t="str">
        <f>IFNA(VLOOKUP($A504,Spells!$A$2:$I1002,MATCH(B$3,Spells!$A$1:$I$1,0),FALSE))</f>
        <v/>
      </c>
      <c r="C504" s="49" t="str">
        <f>IFNA(VLOOKUP($A504,Spells!$A$2:$I1002,MATCH(C$3,Spells!$A$1:$I$1,0),FALSE))</f>
        <v/>
      </c>
      <c r="D504" s="49" t="str">
        <f>IFNA(VLOOKUP($A504,Spells!$A$2:$I1002,MATCH(D$3,Spells!$A$1:$I$1,0),FALSE))</f>
        <v/>
      </c>
      <c r="E504" s="49" t="str">
        <f>IFNA(VLOOKUP($A504,Spells!$A$2:$I1002,MATCH(E$3,Spells!$A$1:$I$1,0),FALSE))</f>
        <v/>
      </c>
      <c r="F504" s="49" t="str">
        <f>IFNA(VLOOKUP($A504,Spells!$A$2:$I1002,MATCH(F$3,Spells!$A$1:$I$1,0),FALSE))</f>
        <v/>
      </c>
      <c r="G504" s="49" t="str">
        <f>IFNA(VLOOKUP($A504,Spells!$A$2:$I1002,MATCH(G$3,Spells!$A$1:$I$1,0),FALSE))</f>
        <v/>
      </c>
      <c r="H504" s="49" t="str">
        <f>IFNA(VLOOKUP($A504,Spells!$A$2:$I1002,MATCH(H$3,Spells!$A$1:$I$1,0),FALSE))</f>
        <v/>
      </c>
    </row>
    <row r="505">
      <c r="A505" s="49"/>
      <c r="B505" s="49" t="str">
        <f>IFNA(VLOOKUP($A505,Spells!$A$2:$I1002,MATCH(B$3,Spells!$A$1:$I$1,0),FALSE))</f>
        <v/>
      </c>
      <c r="C505" s="49" t="str">
        <f>IFNA(VLOOKUP($A505,Spells!$A$2:$I1002,MATCH(C$3,Spells!$A$1:$I$1,0),FALSE))</f>
        <v/>
      </c>
      <c r="D505" s="49" t="str">
        <f>IFNA(VLOOKUP($A505,Spells!$A$2:$I1002,MATCH(D$3,Spells!$A$1:$I$1,0),FALSE))</f>
        <v/>
      </c>
      <c r="E505" s="49" t="str">
        <f>IFNA(VLOOKUP($A505,Spells!$A$2:$I1002,MATCH(E$3,Spells!$A$1:$I$1,0),FALSE))</f>
        <v/>
      </c>
      <c r="F505" s="49" t="str">
        <f>IFNA(VLOOKUP($A505,Spells!$A$2:$I1002,MATCH(F$3,Spells!$A$1:$I$1,0),FALSE))</f>
        <v/>
      </c>
      <c r="G505" s="49" t="str">
        <f>IFNA(VLOOKUP($A505,Spells!$A$2:$I1002,MATCH(G$3,Spells!$A$1:$I$1,0),FALSE))</f>
        <v/>
      </c>
      <c r="H505" s="49" t="str">
        <f>IFNA(VLOOKUP($A505,Spells!$A$2:$I1002,MATCH(H$3,Spells!$A$1:$I$1,0),FALSE))</f>
        <v/>
      </c>
    </row>
    <row r="506">
      <c r="A506" s="49"/>
      <c r="B506" s="49" t="str">
        <f>IFNA(VLOOKUP($A506,Spells!$A$2:$I1002,MATCH(B$3,Spells!$A$1:$I$1,0),FALSE))</f>
        <v/>
      </c>
      <c r="C506" s="49" t="str">
        <f>IFNA(VLOOKUP($A506,Spells!$A$2:$I1002,MATCH(C$3,Spells!$A$1:$I$1,0),FALSE))</f>
        <v/>
      </c>
      <c r="D506" s="49" t="str">
        <f>IFNA(VLOOKUP($A506,Spells!$A$2:$I1002,MATCH(D$3,Spells!$A$1:$I$1,0),FALSE))</f>
        <v/>
      </c>
      <c r="E506" s="49" t="str">
        <f>IFNA(VLOOKUP($A506,Spells!$A$2:$I1002,MATCH(E$3,Spells!$A$1:$I$1,0),FALSE))</f>
        <v/>
      </c>
      <c r="F506" s="49" t="str">
        <f>IFNA(VLOOKUP($A506,Spells!$A$2:$I1002,MATCH(F$3,Spells!$A$1:$I$1,0),FALSE))</f>
        <v/>
      </c>
      <c r="G506" s="49" t="str">
        <f>IFNA(VLOOKUP($A506,Spells!$A$2:$I1002,MATCH(G$3,Spells!$A$1:$I$1,0),FALSE))</f>
        <v/>
      </c>
      <c r="H506" s="49" t="str">
        <f>IFNA(VLOOKUP($A506,Spells!$A$2:$I1002,MATCH(H$3,Spells!$A$1:$I$1,0),FALSE))</f>
        <v/>
      </c>
    </row>
    <row r="507">
      <c r="A507" s="49"/>
      <c r="B507" s="49" t="str">
        <f>IFNA(VLOOKUP($A507,Spells!$A$2:$I1002,MATCH(B$3,Spells!$A$1:$I$1,0),FALSE))</f>
        <v/>
      </c>
      <c r="C507" s="49" t="str">
        <f>IFNA(VLOOKUP($A507,Spells!$A$2:$I1002,MATCH(C$3,Spells!$A$1:$I$1,0),FALSE))</f>
        <v/>
      </c>
      <c r="D507" s="49" t="str">
        <f>IFNA(VLOOKUP($A507,Spells!$A$2:$I1002,MATCH(D$3,Spells!$A$1:$I$1,0),FALSE))</f>
        <v/>
      </c>
      <c r="E507" s="49" t="str">
        <f>IFNA(VLOOKUP($A507,Spells!$A$2:$I1002,MATCH(E$3,Spells!$A$1:$I$1,0),FALSE))</f>
        <v/>
      </c>
      <c r="F507" s="49" t="str">
        <f>IFNA(VLOOKUP($A507,Spells!$A$2:$I1002,MATCH(F$3,Spells!$A$1:$I$1,0),FALSE))</f>
        <v/>
      </c>
      <c r="G507" s="49" t="str">
        <f>IFNA(VLOOKUP($A507,Spells!$A$2:$I1002,MATCH(G$3,Spells!$A$1:$I$1,0),FALSE))</f>
        <v/>
      </c>
      <c r="H507" s="49" t="str">
        <f>IFNA(VLOOKUP($A507,Spells!$A$2:$I1002,MATCH(H$3,Spells!$A$1:$I$1,0),FALSE))</f>
        <v/>
      </c>
    </row>
    <row r="508">
      <c r="A508" s="49"/>
      <c r="B508" s="49" t="str">
        <f>IFNA(VLOOKUP($A508,Spells!$A$2:$I1002,MATCH(B$3,Spells!$A$1:$I$1,0),FALSE))</f>
        <v/>
      </c>
      <c r="C508" s="49" t="str">
        <f>IFNA(VLOOKUP($A508,Spells!$A$2:$I1002,MATCH(C$3,Spells!$A$1:$I$1,0),FALSE))</f>
        <v/>
      </c>
      <c r="D508" s="49" t="str">
        <f>IFNA(VLOOKUP($A508,Spells!$A$2:$I1002,MATCH(D$3,Spells!$A$1:$I$1,0),FALSE))</f>
        <v/>
      </c>
      <c r="E508" s="49" t="str">
        <f>IFNA(VLOOKUP($A508,Spells!$A$2:$I1002,MATCH(E$3,Spells!$A$1:$I$1,0),FALSE))</f>
        <v/>
      </c>
      <c r="F508" s="49" t="str">
        <f>IFNA(VLOOKUP($A508,Spells!$A$2:$I1002,MATCH(F$3,Spells!$A$1:$I$1,0),FALSE))</f>
        <v/>
      </c>
      <c r="G508" s="49" t="str">
        <f>IFNA(VLOOKUP($A508,Spells!$A$2:$I1002,MATCH(G$3,Spells!$A$1:$I$1,0),FALSE))</f>
        <v/>
      </c>
      <c r="H508" s="49" t="str">
        <f>IFNA(VLOOKUP($A508,Spells!$A$2:$I1002,MATCH(H$3,Spells!$A$1:$I$1,0),FALSE))</f>
        <v/>
      </c>
    </row>
    <row r="509">
      <c r="A509" s="49"/>
      <c r="B509" s="49" t="str">
        <f>IFNA(VLOOKUP($A509,Spells!$A$2:$I1002,MATCH(B$3,Spells!$A$1:$I$1,0),FALSE))</f>
        <v/>
      </c>
      <c r="C509" s="49" t="str">
        <f>IFNA(VLOOKUP($A509,Spells!$A$2:$I1002,MATCH(C$3,Spells!$A$1:$I$1,0),FALSE))</f>
        <v/>
      </c>
      <c r="D509" s="49" t="str">
        <f>IFNA(VLOOKUP($A509,Spells!$A$2:$I1002,MATCH(D$3,Spells!$A$1:$I$1,0),FALSE))</f>
        <v/>
      </c>
      <c r="E509" s="49" t="str">
        <f>IFNA(VLOOKUP($A509,Spells!$A$2:$I1002,MATCH(E$3,Spells!$A$1:$I$1,0),FALSE))</f>
        <v/>
      </c>
      <c r="F509" s="49" t="str">
        <f>IFNA(VLOOKUP($A509,Spells!$A$2:$I1002,MATCH(F$3,Spells!$A$1:$I$1,0),FALSE))</f>
        <v/>
      </c>
      <c r="G509" s="49" t="str">
        <f>IFNA(VLOOKUP($A509,Spells!$A$2:$I1002,MATCH(G$3,Spells!$A$1:$I$1,0),FALSE))</f>
        <v/>
      </c>
      <c r="H509" s="49" t="str">
        <f>IFNA(VLOOKUP($A509,Spells!$A$2:$I1002,MATCH(H$3,Spells!$A$1:$I$1,0),FALSE))</f>
        <v/>
      </c>
    </row>
    <row r="510">
      <c r="A510" s="49"/>
      <c r="B510" s="49" t="str">
        <f>IFNA(VLOOKUP($A510,Spells!$A$2:$I1002,MATCH(B$3,Spells!$A$1:$I$1,0),FALSE))</f>
        <v/>
      </c>
      <c r="C510" s="49" t="str">
        <f>IFNA(VLOOKUP($A510,Spells!$A$2:$I1002,MATCH(C$3,Spells!$A$1:$I$1,0),FALSE))</f>
        <v/>
      </c>
      <c r="D510" s="49" t="str">
        <f>IFNA(VLOOKUP($A510,Spells!$A$2:$I1002,MATCH(D$3,Spells!$A$1:$I$1,0),FALSE))</f>
        <v/>
      </c>
      <c r="E510" s="49" t="str">
        <f>IFNA(VLOOKUP($A510,Spells!$A$2:$I1002,MATCH(E$3,Spells!$A$1:$I$1,0),FALSE))</f>
        <v/>
      </c>
      <c r="F510" s="49" t="str">
        <f>IFNA(VLOOKUP($A510,Spells!$A$2:$I1002,MATCH(F$3,Spells!$A$1:$I$1,0),FALSE))</f>
        <v/>
      </c>
      <c r="G510" s="49" t="str">
        <f>IFNA(VLOOKUP($A510,Spells!$A$2:$I1002,MATCH(G$3,Spells!$A$1:$I$1,0),FALSE))</f>
        <v/>
      </c>
      <c r="H510" s="49" t="str">
        <f>IFNA(VLOOKUP($A510,Spells!$A$2:$I1002,MATCH(H$3,Spells!$A$1:$I$1,0),FALSE))</f>
        <v/>
      </c>
    </row>
    <row r="511">
      <c r="A511" s="49"/>
      <c r="B511" s="49" t="str">
        <f>IFNA(VLOOKUP($A511,Spells!$A$2:$I1002,MATCH(B$3,Spells!$A$1:$I$1,0),FALSE))</f>
        <v/>
      </c>
      <c r="C511" s="49" t="str">
        <f>IFNA(VLOOKUP($A511,Spells!$A$2:$I1002,MATCH(C$3,Spells!$A$1:$I$1,0),FALSE))</f>
        <v/>
      </c>
      <c r="D511" s="49" t="str">
        <f>IFNA(VLOOKUP($A511,Spells!$A$2:$I1002,MATCH(D$3,Spells!$A$1:$I$1,0),FALSE))</f>
        <v/>
      </c>
      <c r="E511" s="49" t="str">
        <f>IFNA(VLOOKUP($A511,Spells!$A$2:$I1002,MATCH(E$3,Spells!$A$1:$I$1,0),FALSE))</f>
        <v/>
      </c>
      <c r="F511" s="49" t="str">
        <f>IFNA(VLOOKUP($A511,Spells!$A$2:$I1002,MATCH(F$3,Spells!$A$1:$I$1,0),FALSE))</f>
        <v/>
      </c>
      <c r="G511" s="49" t="str">
        <f>IFNA(VLOOKUP($A511,Spells!$A$2:$I1002,MATCH(G$3,Spells!$A$1:$I$1,0),FALSE))</f>
        <v/>
      </c>
      <c r="H511" s="49" t="str">
        <f>IFNA(VLOOKUP($A511,Spells!$A$2:$I1002,MATCH(H$3,Spells!$A$1:$I$1,0),FALSE))</f>
        <v/>
      </c>
    </row>
    <row r="512">
      <c r="A512" s="49"/>
      <c r="B512" s="49" t="str">
        <f>IFNA(VLOOKUP($A512,Spells!$A$2:$I1002,MATCH(B$3,Spells!$A$1:$I$1,0),FALSE))</f>
        <v/>
      </c>
      <c r="C512" s="49" t="str">
        <f>IFNA(VLOOKUP($A512,Spells!$A$2:$I1002,MATCH(C$3,Spells!$A$1:$I$1,0),FALSE))</f>
        <v/>
      </c>
      <c r="D512" s="49" t="str">
        <f>IFNA(VLOOKUP($A512,Spells!$A$2:$I1002,MATCH(D$3,Spells!$A$1:$I$1,0),FALSE))</f>
        <v/>
      </c>
      <c r="E512" s="49" t="str">
        <f>IFNA(VLOOKUP($A512,Spells!$A$2:$I1002,MATCH(E$3,Spells!$A$1:$I$1,0),FALSE))</f>
        <v/>
      </c>
      <c r="F512" s="49" t="str">
        <f>IFNA(VLOOKUP($A512,Spells!$A$2:$I1002,MATCH(F$3,Spells!$A$1:$I$1,0),FALSE))</f>
        <v/>
      </c>
      <c r="G512" s="49" t="str">
        <f>IFNA(VLOOKUP($A512,Spells!$A$2:$I1002,MATCH(G$3,Spells!$A$1:$I$1,0),FALSE))</f>
        <v/>
      </c>
      <c r="H512" s="49" t="str">
        <f>IFNA(VLOOKUP($A512,Spells!$A$2:$I1002,MATCH(H$3,Spells!$A$1:$I$1,0),FALSE))</f>
        <v/>
      </c>
    </row>
    <row r="513">
      <c r="A513" s="49"/>
      <c r="B513" s="49" t="str">
        <f>IFNA(VLOOKUP($A513,Spells!$A$2:$I1002,MATCH(B$3,Spells!$A$1:$I$1,0),FALSE))</f>
        <v/>
      </c>
      <c r="C513" s="49" t="str">
        <f>IFNA(VLOOKUP($A513,Spells!$A$2:$I1002,MATCH(C$3,Spells!$A$1:$I$1,0),FALSE))</f>
        <v/>
      </c>
      <c r="D513" s="49" t="str">
        <f>IFNA(VLOOKUP($A513,Spells!$A$2:$I1002,MATCH(D$3,Spells!$A$1:$I$1,0),FALSE))</f>
        <v/>
      </c>
      <c r="E513" s="49" t="str">
        <f>IFNA(VLOOKUP($A513,Spells!$A$2:$I1002,MATCH(E$3,Spells!$A$1:$I$1,0),FALSE))</f>
        <v/>
      </c>
      <c r="F513" s="49" t="str">
        <f>IFNA(VLOOKUP($A513,Spells!$A$2:$I1002,MATCH(F$3,Spells!$A$1:$I$1,0),FALSE))</f>
        <v/>
      </c>
      <c r="G513" s="49" t="str">
        <f>IFNA(VLOOKUP($A513,Spells!$A$2:$I1002,MATCH(G$3,Spells!$A$1:$I$1,0),FALSE))</f>
        <v/>
      </c>
      <c r="H513" s="49" t="str">
        <f>IFNA(VLOOKUP($A513,Spells!$A$2:$I1002,MATCH(H$3,Spells!$A$1:$I$1,0),FALSE))</f>
        <v/>
      </c>
    </row>
    <row r="514">
      <c r="A514" s="49"/>
      <c r="B514" s="49" t="str">
        <f>IFNA(VLOOKUP($A514,Spells!$A$2:$I1002,MATCH(B$3,Spells!$A$1:$I$1,0),FALSE))</f>
        <v/>
      </c>
      <c r="C514" s="49" t="str">
        <f>IFNA(VLOOKUP($A514,Spells!$A$2:$I1002,MATCH(C$3,Spells!$A$1:$I$1,0),FALSE))</f>
        <v/>
      </c>
      <c r="D514" s="49" t="str">
        <f>IFNA(VLOOKUP($A514,Spells!$A$2:$I1002,MATCH(D$3,Spells!$A$1:$I$1,0),FALSE))</f>
        <v/>
      </c>
      <c r="E514" s="49" t="str">
        <f>IFNA(VLOOKUP($A514,Spells!$A$2:$I1002,MATCH(E$3,Spells!$A$1:$I$1,0),FALSE))</f>
        <v/>
      </c>
      <c r="F514" s="49" t="str">
        <f>IFNA(VLOOKUP($A514,Spells!$A$2:$I1002,MATCH(F$3,Spells!$A$1:$I$1,0),FALSE))</f>
        <v/>
      </c>
      <c r="G514" s="49" t="str">
        <f>IFNA(VLOOKUP($A514,Spells!$A$2:$I1002,MATCH(G$3,Spells!$A$1:$I$1,0),FALSE))</f>
        <v/>
      </c>
      <c r="H514" s="49" t="str">
        <f>IFNA(VLOOKUP($A514,Spells!$A$2:$I1002,MATCH(H$3,Spells!$A$1:$I$1,0),FALSE))</f>
        <v/>
      </c>
    </row>
    <row r="515">
      <c r="A515" s="49"/>
      <c r="B515" s="49" t="str">
        <f>IFNA(VLOOKUP($A515,Spells!$A$2:$I1002,MATCH(B$3,Spells!$A$1:$I$1,0),FALSE))</f>
        <v/>
      </c>
      <c r="C515" s="49" t="str">
        <f>IFNA(VLOOKUP($A515,Spells!$A$2:$I1002,MATCH(C$3,Spells!$A$1:$I$1,0),FALSE))</f>
        <v/>
      </c>
      <c r="D515" s="49" t="str">
        <f>IFNA(VLOOKUP($A515,Spells!$A$2:$I1002,MATCH(D$3,Spells!$A$1:$I$1,0),FALSE))</f>
        <v/>
      </c>
      <c r="E515" s="49" t="str">
        <f>IFNA(VLOOKUP($A515,Spells!$A$2:$I1002,MATCH(E$3,Spells!$A$1:$I$1,0),FALSE))</f>
        <v/>
      </c>
      <c r="F515" s="49" t="str">
        <f>IFNA(VLOOKUP($A515,Spells!$A$2:$I1002,MATCH(F$3,Spells!$A$1:$I$1,0),FALSE))</f>
        <v/>
      </c>
      <c r="G515" s="49" t="str">
        <f>IFNA(VLOOKUP($A515,Spells!$A$2:$I1002,MATCH(G$3,Spells!$A$1:$I$1,0),FALSE))</f>
        <v/>
      </c>
      <c r="H515" s="49" t="str">
        <f>IFNA(VLOOKUP($A515,Spells!$A$2:$I1002,MATCH(H$3,Spells!$A$1:$I$1,0),FALSE))</f>
        <v/>
      </c>
    </row>
    <row r="516">
      <c r="A516" s="49"/>
      <c r="B516" s="49" t="str">
        <f>IFNA(VLOOKUP($A516,Spells!$A$2:$I1002,MATCH(B$3,Spells!$A$1:$I$1,0),FALSE))</f>
        <v/>
      </c>
      <c r="C516" s="49" t="str">
        <f>IFNA(VLOOKUP($A516,Spells!$A$2:$I1002,MATCH(C$3,Spells!$A$1:$I$1,0),FALSE))</f>
        <v/>
      </c>
      <c r="D516" s="49" t="str">
        <f>IFNA(VLOOKUP($A516,Spells!$A$2:$I1002,MATCH(D$3,Spells!$A$1:$I$1,0),FALSE))</f>
        <v/>
      </c>
      <c r="E516" s="49" t="str">
        <f>IFNA(VLOOKUP($A516,Spells!$A$2:$I1002,MATCH(E$3,Spells!$A$1:$I$1,0),FALSE))</f>
        <v/>
      </c>
      <c r="F516" s="49" t="str">
        <f>IFNA(VLOOKUP($A516,Spells!$A$2:$I1002,MATCH(F$3,Spells!$A$1:$I$1,0),FALSE))</f>
        <v/>
      </c>
      <c r="G516" s="49" t="str">
        <f>IFNA(VLOOKUP($A516,Spells!$A$2:$I1002,MATCH(G$3,Spells!$A$1:$I$1,0),FALSE))</f>
        <v/>
      </c>
      <c r="H516" s="49" t="str">
        <f>IFNA(VLOOKUP($A516,Spells!$A$2:$I1002,MATCH(H$3,Spells!$A$1:$I$1,0),FALSE))</f>
        <v/>
      </c>
    </row>
    <row r="517">
      <c r="A517" s="49"/>
      <c r="B517" s="49" t="str">
        <f>IFNA(VLOOKUP($A517,Spells!$A$2:$I1002,MATCH(B$3,Spells!$A$1:$I$1,0),FALSE))</f>
        <v/>
      </c>
      <c r="C517" s="49" t="str">
        <f>IFNA(VLOOKUP($A517,Spells!$A$2:$I1002,MATCH(C$3,Spells!$A$1:$I$1,0),FALSE))</f>
        <v/>
      </c>
      <c r="D517" s="49" t="str">
        <f>IFNA(VLOOKUP($A517,Spells!$A$2:$I1002,MATCH(D$3,Spells!$A$1:$I$1,0),FALSE))</f>
        <v/>
      </c>
      <c r="E517" s="49" t="str">
        <f>IFNA(VLOOKUP($A517,Spells!$A$2:$I1002,MATCH(E$3,Spells!$A$1:$I$1,0),FALSE))</f>
        <v/>
      </c>
      <c r="F517" s="49" t="str">
        <f>IFNA(VLOOKUP($A517,Spells!$A$2:$I1002,MATCH(F$3,Spells!$A$1:$I$1,0),FALSE))</f>
        <v/>
      </c>
      <c r="G517" s="49" t="str">
        <f>IFNA(VLOOKUP($A517,Spells!$A$2:$I1002,MATCH(G$3,Spells!$A$1:$I$1,0),FALSE))</f>
        <v/>
      </c>
      <c r="H517" s="49" t="str">
        <f>IFNA(VLOOKUP($A517,Spells!$A$2:$I1002,MATCH(H$3,Spells!$A$1:$I$1,0),FALSE))</f>
        <v/>
      </c>
    </row>
    <row r="518">
      <c r="A518" s="49"/>
      <c r="B518" s="49" t="str">
        <f>IFNA(VLOOKUP($A518,Spells!$A$2:$I1002,MATCH(B$3,Spells!$A$1:$I$1,0),FALSE))</f>
        <v/>
      </c>
      <c r="C518" s="49" t="str">
        <f>IFNA(VLOOKUP($A518,Spells!$A$2:$I1002,MATCH(C$3,Spells!$A$1:$I$1,0),FALSE))</f>
        <v/>
      </c>
      <c r="D518" s="49" t="str">
        <f>IFNA(VLOOKUP($A518,Spells!$A$2:$I1002,MATCH(D$3,Spells!$A$1:$I$1,0),FALSE))</f>
        <v/>
      </c>
      <c r="E518" s="49" t="str">
        <f>IFNA(VLOOKUP($A518,Spells!$A$2:$I1002,MATCH(E$3,Spells!$A$1:$I$1,0),FALSE))</f>
        <v/>
      </c>
      <c r="F518" s="49" t="str">
        <f>IFNA(VLOOKUP($A518,Spells!$A$2:$I1002,MATCH(F$3,Spells!$A$1:$I$1,0),FALSE))</f>
        <v/>
      </c>
      <c r="G518" s="49" t="str">
        <f>IFNA(VLOOKUP($A518,Spells!$A$2:$I1002,MATCH(G$3,Spells!$A$1:$I$1,0),FALSE))</f>
        <v/>
      </c>
      <c r="H518" s="49" t="str">
        <f>IFNA(VLOOKUP($A518,Spells!$A$2:$I1002,MATCH(H$3,Spells!$A$1:$I$1,0),FALSE))</f>
        <v/>
      </c>
    </row>
    <row r="519">
      <c r="A519" s="49"/>
      <c r="B519" s="49" t="str">
        <f>IFNA(VLOOKUP($A519,Spells!$A$2:$I1002,MATCH(B$3,Spells!$A$1:$I$1,0),FALSE))</f>
        <v/>
      </c>
      <c r="C519" s="49" t="str">
        <f>IFNA(VLOOKUP($A519,Spells!$A$2:$I1002,MATCH(C$3,Spells!$A$1:$I$1,0),FALSE))</f>
        <v/>
      </c>
      <c r="D519" s="49" t="str">
        <f>IFNA(VLOOKUP($A519,Spells!$A$2:$I1002,MATCH(D$3,Spells!$A$1:$I$1,0),FALSE))</f>
        <v/>
      </c>
      <c r="E519" s="49" t="str">
        <f>IFNA(VLOOKUP($A519,Spells!$A$2:$I1002,MATCH(E$3,Spells!$A$1:$I$1,0),FALSE))</f>
        <v/>
      </c>
      <c r="F519" s="49" t="str">
        <f>IFNA(VLOOKUP($A519,Spells!$A$2:$I1002,MATCH(F$3,Spells!$A$1:$I$1,0),FALSE))</f>
        <v/>
      </c>
      <c r="G519" s="49" t="str">
        <f>IFNA(VLOOKUP($A519,Spells!$A$2:$I1002,MATCH(G$3,Spells!$A$1:$I$1,0),FALSE))</f>
        <v/>
      </c>
      <c r="H519" s="49" t="str">
        <f>IFNA(VLOOKUP($A519,Spells!$A$2:$I1002,MATCH(H$3,Spells!$A$1:$I$1,0),FALSE))</f>
        <v/>
      </c>
    </row>
    <row r="520">
      <c r="A520" s="49"/>
      <c r="B520" s="49" t="str">
        <f>IFNA(VLOOKUP($A520,Spells!$A$2:$I1002,MATCH(B$3,Spells!$A$1:$I$1,0),FALSE))</f>
        <v/>
      </c>
      <c r="C520" s="49" t="str">
        <f>IFNA(VLOOKUP($A520,Spells!$A$2:$I1002,MATCH(C$3,Spells!$A$1:$I$1,0),FALSE))</f>
        <v/>
      </c>
      <c r="D520" s="49" t="str">
        <f>IFNA(VLOOKUP($A520,Spells!$A$2:$I1002,MATCH(D$3,Spells!$A$1:$I$1,0),FALSE))</f>
        <v/>
      </c>
      <c r="E520" s="49" t="str">
        <f>IFNA(VLOOKUP($A520,Spells!$A$2:$I1002,MATCH(E$3,Spells!$A$1:$I$1,0),FALSE))</f>
        <v/>
      </c>
      <c r="F520" s="49" t="str">
        <f>IFNA(VLOOKUP($A520,Spells!$A$2:$I1002,MATCH(F$3,Spells!$A$1:$I$1,0),FALSE))</f>
        <v/>
      </c>
      <c r="G520" s="49" t="str">
        <f>IFNA(VLOOKUP($A520,Spells!$A$2:$I1002,MATCH(G$3,Spells!$A$1:$I$1,0),FALSE))</f>
        <v/>
      </c>
      <c r="H520" s="49" t="str">
        <f>IFNA(VLOOKUP($A520,Spells!$A$2:$I1002,MATCH(H$3,Spells!$A$1:$I$1,0),FALSE))</f>
        <v/>
      </c>
    </row>
    <row r="521">
      <c r="A521" s="49"/>
      <c r="B521" s="49" t="str">
        <f>IFNA(VLOOKUP($A521,Spells!$A$2:$I1002,MATCH(B$3,Spells!$A$1:$I$1,0),FALSE))</f>
        <v/>
      </c>
      <c r="C521" s="49" t="str">
        <f>IFNA(VLOOKUP($A521,Spells!$A$2:$I1002,MATCH(C$3,Spells!$A$1:$I$1,0),FALSE))</f>
        <v/>
      </c>
      <c r="D521" s="49" t="str">
        <f>IFNA(VLOOKUP($A521,Spells!$A$2:$I1002,MATCH(D$3,Spells!$A$1:$I$1,0),FALSE))</f>
        <v/>
      </c>
      <c r="E521" s="49" t="str">
        <f>IFNA(VLOOKUP($A521,Spells!$A$2:$I1002,MATCH(E$3,Spells!$A$1:$I$1,0),FALSE))</f>
        <v/>
      </c>
      <c r="F521" s="49" t="str">
        <f>IFNA(VLOOKUP($A521,Spells!$A$2:$I1002,MATCH(F$3,Spells!$A$1:$I$1,0),FALSE))</f>
        <v/>
      </c>
      <c r="G521" s="49" t="str">
        <f>IFNA(VLOOKUP($A521,Spells!$A$2:$I1002,MATCH(G$3,Spells!$A$1:$I$1,0),FALSE))</f>
        <v/>
      </c>
      <c r="H521" s="49" t="str">
        <f>IFNA(VLOOKUP($A521,Spells!$A$2:$I1002,MATCH(H$3,Spells!$A$1:$I$1,0),FALSE))</f>
        <v/>
      </c>
    </row>
    <row r="522">
      <c r="A522" s="49"/>
      <c r="B522" s="49" t="str">
        <f>IFNA(VLOOKUP($A522,Spells!$A$2:$I1002,MATCH(B$3,Spells!$A$1:$I$1,0),FALSE))</f>
        <v/>
      </c>
      <c r="C522" s="49" t="str">
        <f>IFNA(VLOOKUP($A522,Spells!$A$2:$I1002,MATCH(C$3,Spells!$A$1:$I$1,0),FALSE))</f>
        <v/>
      </c>
      <c r="D522" s="49" t="str">
        <f>IFNA(VLOOKUP($A522,Spells!$A$2:$I1002,MATCH(D$3,Spells!$A$1:$I$1,0),FALSE))</f>
        <v/>
      </c>
      <c r="E522" s="49" t="str">
        <f>IFNA(VLOOKUP($A522,Spells!$A$2:$I1002,MATCH(E$3,Spells!$A$1:$I$1,0),FALSE))</f>
        <v/>
      </c>
      <c r="F522" s="49" t="str">
        <f>IFNA(VLOOKUP($A522,Spells!$A$2:$I1002,MATCH(F$3,Spells!$A$1:$I$1,0),FALSE))</f>
        <v/>
      </c>
      <c r="G522" s="49" t="str">
        <f>IFNA(VLOOKUP($A522,Spells!$A$2:$I1002,MATCH(G$3,Spells!$A$1:$I$1,0),FALSE))</f>
        <v/>
      </c>
      <c r="H522" s="49" t="str">
        <f>IFNA(VLOOKUP($A522,Spells!$A$2:$I1002,MATCH(H$3,Spells!$A$1:$I$1,0),FALSE))</f>
        <v/>
      </c>
    </row>
    <row r="523">
      <c r="A523" s="49"/>
      <c r="B523" s="49" t="str">
        <f>IFNA(VLOOKUP($A523,Spells!$A$2:$I1002,MATCH(B$3,Spells!$A$1:$I$1,0),FALSE))</f>
        <v/>
      </c>
      <c r="C523" s="49" t="str">
        <f>IFNA(VLOOKUP($A523,Spells!$A$2:$I1002,MATCH(C$3,Spells!$A$1:$I$1,0),FALSE))</f>
        <v/>
      </c>
      <c r="D523" s="49" t="str">
        <f>IFNA(VLOOKUP($A523,Spells!$A$2:$I1002,MATCH(D$3,Spells!$A$1:$I$1,0),FALSE))</f>
        <v/>
      </c>
      <c r="E523" s="49" t="str">
        <f>IFNA(VLOOKUP($A523,Spells!$A$2:$I1002,MATCH(E$3,Spells!$A$1:$I$1,0),FALSE))</f>
        <v/>
      </c>
      <c r="F523" s="49" t="str">
        <f>IFNA(VLOOKUP($A523,Spells!$A$2:$I1002,MATCH(F$3,Spells!$A$1:$I$1,0),FALSE))</f>
        <v/>
      </c>
      <c r="G523" s="49" t="str">
        <f>IFNA(VLOOKUP($A523,Spells!$A$2:$I1002,MATCH(G$3,Spells!$A$1:$I$1,0),FALSE))</f>
        <v/>
      </c>
      <c r="H523" s="49" t="str">
        <f>IFNA(VLOOKUP($A523,Spells!$A$2:$I1002,MATCH(H$3,Spells!$A$1:$I$1,0),FALSE))</f>
        <v/>
      </c>
    </row>
    <row r="524">
      <c r="A524" s="49"/>
      <c r="B524" s="49" t="str">
        <f>IFNA(VLOOKUP($A524,Spells!$A$2:$I1002,MATCH(B$3,Spells!$A$1:$I$1,0),FALSE))</f>
        <v/>
      </c>
      <c r="C524" s="49" t="str">
        <f>IFNA(VLOOKUP($A524,Spells!$A$2:$I1002,MATCH(C$3,Spells!$A$1:$I$1,0),FALSE))</f>
        <v/>
      </c>
      <c r="D524" s="49" t="str">
        <f>IFNA(VLOOKUP($A524,Spells!$A$2:$I1002,MATCH(D$3,Spells!$A$1:$I$1,0),FALSE))</f>
        <v/>
      </c>
      <c r="E524" s="49" t="str">
        <f>IFNA(VLOOKUP($A524,Spells!$A$2:$I1002,MATCH(E$3,Spells!$A$1:$I$1,0),FALSE))</f>
        <v/>
      </c>
      <c r="F524" s="49" t="str">
        <f>IFNA(VLOOKUP($A524,Spells!$A$2:$I1002,MATCH(F$3,Spells!$A$1:$I$1,0),FALSE))</f>
        <v/>
      </c>
      <c r="G524" s="49" t="str">
        <f>IFNA(VLOOKUP($A524,Spells!$A$2:$I1002,MATCH(G$3,Spells!$A$1:$I$1,0),FALSE))</f>
        <v/>
      </c>
      <c r="H524" s="49" t="str">
        <f>IFNA(VLOOKUP($A524,Spells!$A$2:$I1002,MATCH(H$3,Spells!$A$1:$I$1,0),FALSE))</f>
        <v/>
      </c>
    </row>
    <row r="525">
      <c r="A525" s="49"/>
      <c r="B525" s="49" t="str">
        <f>IFNA(VLOOKUP($A525,Spells!$A$2:$I1002,MATCH(B$3,Spells!$A$1:$I$1,0),FALSE))</f>
        <v/>
      </c>
      <c r="C525" s="49" t="str">
        <f>IFNA(VLOOKUP($A525,Spells!$A$2:$I1002,MATCH(C$3,Spells!$A$1:$I$1,0),FALSE))</f>
        <v/>
      </c>
      <c r="D525" s="49" t="str">
        <f>IFNA(VLOOKUP($A525,Spells!$A$2:$I1002,MATCH(D$3,Spells!$A$1:$I$1,0),FALSE))</f>
        <v/>
      </c>
      <c r="E525" s="49" t="str">
        <f>IFNA(VLOOKUP($A525,Spells!$A$2:$I1002,MATCH(E$3,Spells!$A$1:$I$1,0),FALSE))</f>
        <v/>
      </c>
      <c r="F525" s="49" t="str">
        <f>IFNA(VLOOKUP($A525,Spells!$A$2:$I1002,MATCH(F$3,Spells!$A$1:$I$1,0),FALSE))</f>
        <v/>
      </c>
      <c r="G525" s="49" t="str">
        <f>IFNA(VLOOKUP($A525,Spells!$A$2:$I1002,MATCH(G$3,Spells!$A$1:$I$1,0),FALSE))</f>
        <v/>
      </c>
      <c r="H525" s="49" t="str">
        <f>IFNA(VLOOKUP($A525,Spells!$A$2:$I1002,MATCH(H$3,Spells!$A$1:$I$1,0),FALSE))</f>
        <v/>
      </c>
    </row>
    <row r="526">
      <c r="A526" s="49"/>
      <c r="B526" s="49" t="str">
        <f>IFNA(VLOOKUP($A526,Spells!$A$2:$I1002,MATCH(B$3,Spells!$A$1:$I$1,0),FALSE))</f>
        <v/>
      </c>
      <c r="C526" s="49" t="str">
        <f>IFNA(VLOOKUP($A526,Spells!$A$2:$I1002,MATCH(C$3,Spells!$A$1:$I$1,0),FALSE))</f>
        <v/>
      </c>
      <c r="D526" s="49" t="str">
        <f>IFNA(VLOOKUP($A526,Spells!$A$2:$I1002,MATCH(D$3,Spells!$A$1:$I$1,0),FALSE))</f>
        <v/>
      </c>
      <c r="E526" s="49" t="str">
        <f>IFNA(VLOOKUP($A526,Spells!$A$2:$I1002,MATCH(E$3,Spells!$A$1:$I$1,0),FALSE))</f>
        <v/>
      </c>
      <c r="F526" s="49" t="str">
        <f>IFNA(VLOOKUP($A526,Spells!$A$2:$I1002,MATCH(F$3,Spells!$A$1:$I$1,0),FALSE))</f>
        <v/>
      </c>
      <c r="G526" s="49" t="str">
        <f>IFNA(VLOOKUP($A526,Spells!$A$2:$I1002,MATCH(G$3,Spells!$A$1:$I$1,0),FALSE))</f>
        <v/>
      </c>
      <c r="H526" s="49" t="str">
        <f>IFNA(VLOOKUP($A526,Spells!$A$2:$I1002,MATCH(H$3,Spells!$A$1:$I$1,0),FALSE))</f>
        <v/>
      </c>
    </row>
    <row r="527">
      <c r="A527" s="49"/>
      <c r="B527" s="49" t="str">
        <f>IFNA(VLOOKUP($A527,Spells!$A$2:$I1002,MATCH(B$3,Spells!$A$1:$I$1,0),FALSE))</f>
        <v/>
      </c>
      <c r="C527" s="49" t="str">
        <f>IFNA(VLOOKUP($A527,Spells!$A$2:$I1002,MATCH(C$3,Spells!$A$1:$I$1,0),FALSE))</f>
        <v/>
      </c>
      <c r="D527" s="49" t="str">
        <f>IFNA(VLOOKUP($A527,Spells!$A$2:$I1002,MATCH(D$3,Spells!$A$1:$I$1,0),FALSE))</f>
        <v/>
      </c>
      <c r="E527" s="49" t="str">
        <f>IFNA(VLOOKUP($A527,Spells!$A$2:$I1002,MATCH(E$3,Spells!$A$1:$I$1,0),FALSE))</f>
        <v/>
      </c>
      <c r="F527" s="49" t="str">
        <f>IFNA(VLOOKUP($A527,Spells!$A$2:$I1002,MATCH(F$3,Spells!$A$1:$I$1,0),FALSE))</f>
        <v/>
      </c>
      <c r="G527" s="49" t="str">
        <f>IFNA(VLOOKUP($A527,Spells!$A$2:$I1002,MATCH(G$3,Spells!$A$1:$I$1,0),FALSE))</f>
        <v/>
      </c>
      <c r="H527" s="49" t="str">
        <f>IFNA(VLOOKUP($A527,Spells!$A$2:$I1002,MATCH(H$3,Spells!$A$1:$I$1,0),FALSE))</f>
        <v/>
      </c>
    </row>
    <row r="528">
      <c r="A528" s="49"/>
      <c r="B528" s="49" t="str">
        <f>IFNA(VLOOKUP($A528,Spells!$A$2:$I1002,MATCH(B$3,Spells!$A$1:$I$1,0),FALSE))</f>
        <v/>
      </c>
      <c r="C528" s="49" t="str">
        <f>IFNA(VLOOKUP($A528,Spells!$A$2:$I1002,MATCH(C$3,Spells!$A$1:$I$1,0),FALSE))</f>
        <v/>
      </c>
      <c r="D528" s="49" t="str">
        <f>IFNA(VLOOKUP($A528,Spells!$A$2:$I1002,MATCH(D$3,Spells!$A$1:$I$1,0),FALSE))</f>
        <v/>
      </c>
      <c r="E528" s="49" t="str">
        <f>IFNA(VLOOKUP($A528,Spells!$A$2:$I1002,MATCH(E$3,Spells!$A$1:$I$1,0),FALSE))</f>
        <v/>
      </c>
      <c r="F528" s="49" t="str">
        <f>IFNA(VLOOKUP($A528,Spells!$A$2:$I1002,MATCH(F$3,Spells!$A$1:$I$1,0),FALSE))</f>
        <v/>
      </c>
      <c r="G528" s="49" t="str">
        <f>IFNA(VLOOKUP($A528,Spells!$A$2:$I1002,MATCH(G$3,Spells!$A$1:$I$1,0),FALSE))</f>
        <v/>
      </c>
      <c r="H528" s="49" t="str">
        <f>IFNA(VLOOKUP($A528,Spells!$A$2:$I1002,MATCH(H$3,Spells!$A$1:$I$1,0),FALSE))</f>
        <v/>
      </c>
    </row>
    <row r="529">
      <c r="A529" s="49"/>
      <c r="B529" s="49" t="str">
        <f>IFNA(VLOOKUP($A529,Spells!$A$2:$I1002,MATCH(B$3,Spells!$A$1:$I$1,0),FALSE))</f>
        <v/>
      </c>
      <c r="C529" s="49" t="str">
        <f>IFNA(VLOOKUP($A529,Spells!$A$2:$I1002,MATCH(C$3,Spells!$A$1:$I$1,0),FALSE))</f>
        <v/>
      </c>
      <c r="D529" s="49" t="str">
        <f>IFNA(VLOOKUP($A529,Spells!$A$2:$I1002,MATCH(D$3,Spells!$A$1:$I$1,0),FALSE))</f>
        <v/>
      </c>
      <c r="E529" s="49" t="str">
        <f>IFNA(VLOOKUP($A529,Spells!$A$2:$I1002,MATCH(E$3,Spells!$A$1:$I$1,0),FALSE))</f>
        <v/>
      </c>
      <c r="F529" s="49" t="str">
        <f>IFNA(VLOOKUP($A529,Spells!$A$2:$I1002,MATCH(F$3,Spells!$A$1:$I$1,0),FALSE))</f>
        <v/>
      </c>
      <c r="G529" s="49" t="str">
        <f>IFNA(VLOOKUP($A529,Spells!$A$2:$I1002,MATCH(G$3,Spells!$A$1:$I$1,0),FALSE))</f>
        <v/>
      </c>
      <c r="H529" s="49" t="str">
        <f>IFNA(VLOOKUP($A529,Spells!$A$2:$I1002,MATCH(H$3,Spells!$A$1:$I$1,0),FALSE))</f>
        <v/>
      </c>
    </row>
    <row r="530">
      <c r="A530" s="49"/>
      <c r="B530" s="49" t="str">
        <f>IFNA(VLOOKUP($A530,Spells!$A$2:$I1002,MATCH(B$3,Spells!$A$1:$I$1,0),FALSE))</f>
        <v/>
      </c>
      <c r="C530" s="49" t="str">
        <f>IFNA(VLOOKUP($A530,Spells!$A$2:$I1002,MATCH(C$3,Spells!$A$1:$I$1,0),FALSE))</f>
        <v/>
      </c>
      <c r="D530" s="49" t="str">
        <f>IFNA(VLOOKUP($A530,Spells!$A$2:$I1002,MATCH(D$3,Spells!$A$1:$I$1,0),FALSE))</f>
        <v/>
      </c>
      <c r="E530" s="49" t="str">
        <f>IFNA(VLOOKUP($A530,Spells!$A$2:$I1002,MATCH(E$3,Spells!$A$1:$I$1,0),FALSE))</f>
        <v/>
      </c>
      <c r="F530" s="49" t="str">
        <f>IFNA(VLOOKUP($A530,Spells!$A$2:$I1002,MATCH(F$3,Spells!$A$1:$I$1,0),FALSE))</f>
        <v/>
      </c>
      <c r="G530" s="49" t="str">
        <f>IFNA(VLOOKUP($A530,Spells!$A$2:$I1002,MATCH(G$3,Spells!$A$1:$I$1,0),FALSE))</f>
        <v/>
      </c>
      <c r="H530" s="49" t="str">
        <f>IFNA(VLOOKUP($A530,Spells!$A$2:$I1002,MATCH(H$3,Spells!$A$1:$I$1,0),FALSE))</f>
        <v/>
      </c>
    </row>
    <row r="531">
      <c r="A531" s="49"/>
      <c r="B531" s="49" t="str">
        <f>IFNA(VLOOKUP($A531,Spells!$A$2:$I1002,MATCH(B$3,Spells!$A$1:$I$1,0),FALSE))</f>
        <v/>
      </c>
      <c r="C531" s="49" t="str">
        <f>IFNA(VLOOKUP($A531,Spells!$A$2:$I1002,MATCH(C$3,Spells!$A$1:$I$1,0),FALSE))</f>
        <v/>
      </c>
      <c r="D531" s="49" t="str">
        <f>IFNA(VLOOKUP($A531,Spells!$A$2:$I1002,MATCH(D$3,Spells!$A$1:$I$1,0),FALSE))</f>
        <v/>
      </c>
      <c r="E531" s="49" t="str">
        <f>IFNA(VLOOKUP($A531,Spells!$A$2:$I1002,MATCH(E$3,Spells!$A$1:$I$1,0),FALSE))</f>
        <v/>
      </c>
      <c r="F531" s="49" t="str">
        <f>IFNA(VLOOKUP($A531,Spells!$A$2:$I1002,MATCH(F$3,Spells!$A$1:$I$1,0),FALSE))</f>
        <v/>
      </c>
      <c r="G531" s="49" t="str">
        <f>IFNA(VLOOKUP($A531,Spells!$A$2:$I1002,MATCH(G$3,Spells!$A$1:$I$1,0),FALSE))</f>
        <v/>
      </c>
      <c r="H531" s="49" t="str">
        <f>IFNA(VLOOKUP($A531,Spells!$A$2:$I1002,MATCH(H$3,Spells!$A$1:$I$1,0),FALSE))</f>
        <v/>
      </c>
    </row>
    <row r="532">
      <c r="A532" s="49"/>
      <c r="B532" s="49" t="str">
        <f>IFNA(VLOOKUP($A532,Spells!$A$2:$I1002,MATCH(B$3,Spells!$A$1:$I$1,0),FALSE))</f>
        <v/>
      </c>
      <c r="C532" s="49" t="str">
        <f>IFNA(VLOOKUP($A532,Spells!$A$2:$I1002,MATCH(C$3,Spells!$A$1:$I$1,0),FALSE))</f>
        <v/>
      </c>
      <c r="D532" s="49" t="str">
        <f>IFNA(VLOOKUP($A532,Spells!$A$2:$I1002,MATCH(D$3,Spells!$A$1:$I$1,0),FALSE))</f>
        <v/>
      </c>
      <c r="E532" s="49" t="str">
        <f>IFNA(VLOOKUP($A532,Spells!$A$2:$I1002,MATCH(E$3,Spells!$A$1:$I$1,0),FALSE))</f>
        <v/>
      </c>
      <c r="F532" s="49" t="str">
        <f>IFNA(VLOOKUP($A532,Spells!$A$2:$I1002,MATCH(F$3,Spells!$A$1:$I$1,0),FALSE))</f>
        <v/>
      </c>
      <c r="G532" s="49" t="str">
        <f>IFNA(VLOOKUP($A532,Spells!$A$2:$I1002,MATCH(G$3,Spells!$A$1:$I$1,0),FALSE))</f>
        <v/>
      </c>
      <c r="H532" s="49" t="str">
        <f>IFNA(VLOOKUP($A532,Spells!$A$2:$I1002,MATCH(H$3,Spells!$A$1:$I$1,0),FALSE))</f>
        <v/>
      </c>
    </row>
    <row r="533">
      <c r="A533" s="49"/>
      <c r="B533" s="49" t="str">
        <f>IFNA(VLOOKUP($A533,Spells!$A$2:$I1002,MATCH(B$3,Spells!$A$1:$I$1,0),FALSE))</f>
        <v/>
      </c>
      <c r="C533" s="49" t="str">
        <f>IFNA(VLOOKUP($A533,Spells!$A$2:$I1002,MATCH(C$3,Spells!$A$1:$I$1,0),FALSE))</f>
        <v/>
      </c>
      <c r="D533" s="49" t="str">
        <f>IFNA(VLOOKUP($A533,Spells!$A$2:$I1002,MATCH(D$3,Spells!$A$1:$I$1,0),FALSE))</f>
        <v/>
      </c>
      <c r="E533" s="49" t="str">
        <f>IFNA(VLOOKUP($A533,Spells!$A$2:$I1002,MATCH(E$3,Spells!$A$1:$I$1,0),FALSE))</f>
        <v/>
      </c>
      <c r="F533" s="49" t="str">
        <f>IFNA(VLOOKUP($A533,Spells!$A$2:$I1002,MATCH(F$3,Spells!$A$1:$I$1,0),FALSE))</f>
        <v/>
      </c>
      <c r="G533" s="49" t="str">
        <f>IFNA(VLOOKUP($A533,Spells!$A$2:$I1002,MATCH(G$3,Spells!$A$1:$I$1,0),FALSE))</f>
        <v/>
      </c>
      <c r="H533" s="49" t="str">
        <f>IFNA(VLOOKUP($A533,Spells!$A$2:$I1002,MATCH(H$3,Spells!$A$1:$I$1,0),FALSE))</f>
        <v/>
      </c>
    </row>
    <row r="534">
      <c r="A534" s="49"/>
      <c r="B534" s="49" t="str">
        <f>IFNA(VLOOKUP($A534,Spells!$A$2:$I1002,MATCH(B$3,Spells!$A$1:$I$1,0),FALSE))</f>
        <v/>
      </c>
      <c r="C534" s="49" t="str">
        <f>IFNA(VLOOKUP($A534,Spells!$A$2:$I1002,MATCH(C$3,Spells!$A$1:$I$1,0),FALSE))</f>
        <v/>
      </c>
      <c r="D534" s="49" t="str">
        <f>IFNA(VLOOKUP($A534,Spells!$A$2:$I1002,MATCH(D$3,Spells!$A$1:$I$1,0),FALSE))</f>
        <v/>
      </c>
      <c r="E534" s="49" t="str">
        <f>IFNA(VLOOKUP($A534,Spells!$A$2:$I1002,MATCH(E$3,Spells!$A$1:$I$1,0),FALSE))</f>
        <v/>
      </c>
      <c r="F534" s="49" t="str">
        <f>IFNA(VLOOKUP($A534,Spells!$A$2:$I1002,MATCH(F$3,Spells!$A$1:$I$1,0),FALSE))</f>
        <v/>
      </c>
      <c r="G534" s="49" t="str">
        <f>IFNA(VLOOKUP($A534,Spells!$A$2:$I1002,MATCH(G$3,Spells!$A$1:$I$1,0),FALSE))</f>
        <v/>
      </c>
      <c r="H534" s="49" t="str">
        <f>IFNA(VLOOKUP($A534,Spells!$A$2:$I1002,MATCH(H$3,Spells!$A$1:$I$1,0),FALSE))</f>
        <v/>
      </c>
    </row>
    <row r="535">
      <c r="A535" s="49"/>
      <c r="B535" s="49" t="str">
        <f>IFNA(VLOOKUP($A535,Spells!$A$2:$I1002,MATCH(B$3,Spells!$A$1:$I$1,0),FALSE))</f>
        <v/>
      </c>
      <c r="C535" s="49" t="str">
        <f>IFNA(VLOOKUP($A535,Spells!$A$2:$I1002,MATCH(C$3,Spells!$A$1:$I$1,0),FALSE))</f>
        <v/>
      </c>
      <c r="D535" s="49" t="str">
        <f>IFNA(VLOOKUP($A535,Spells!$A$2:$I1002,MATCH(D$3,Spells!$A$1:$I$1,0),FALSE))</f>
        <v/>
      </c>
      <c r="E535" s="49" t="str">
        <f>IFNA(VLOOKUP($A535,Spells!$A$2:$I1002,MATCH(E$3,Spells!$A$1:$I$1,0),FALSE))</f>
        <v/>
      </c>
      <c r="F535" s="49" t="str">
        <f>IFNA(VLOOKUP($A535,Spells!$A$2:$I1002,MATCH(F$3,Spells!$A$1:$I$1,0),FALSE))</f>
        <v/>
      </c>
      <c r="G535" s="49" t="str">
        <f>IFNA(VLOOKUP($A535,Spells!$A$2:$I1002,MATCH(G$3,Spells!$A$1:$I$1,0),FALSE))</f>
        <v/>
      </c>
      <c r="H535" s="49" t="str">
        <f>IFNA(VLOOKUP($A535,Spells!$A$2:$I1002,MATCH(H$3,Spells!$A$1:$I$1,0),FALSE))</f>
        <v/>
      </c>
    </row>
    <row r="536">
      <c r="A536" s="49"/>
      <c r="B536" s="49" t="str">
        <f>IFNA(VLOOKUP($A536,Spells!$A$2:$I1002,MATCH(B$3,Spells!$A$1:$I$1,0),FALSE))</f>
        <v/>
      </c>
      <c r="C536" s="49" t="str">
        <f>IFNA(VLOOKUP($A536,Spells!$A$2:$I1002,MATCH(C$3,Spells!$A$1:$I$1,0),FALSE))</f>
        <v/>
      </c>
      <c r="D536" s="49" t="str">
        <f>IFNA(VLOOKUP($A536,Spells!$A$2:$I1002,MATCH(D$3,Spells!$A$1:$I$1,0),FALSE))</f>
        <v/>
      </c>
      <c r="E536" s="49" t="str">
        <f>IFNA(VLOOKUP($A536,Spells!$A$2:$I1002,MATCH(E$3,Spells!$A$1:$I$1,0),FALSE))</f>
        <v/>
      </c>
      <c r="F536" s="49" t="str">
        <f>IFNA(VLOOKUP($A536,Spells!$A$2:$I1002,MATCH(F$3,Spells!$A$1:$I$1,0),FALSE))</f>
        <v/>
      </c>
      <c r="G536" s="49" t="str">
        <f>IFNA(VLOOKUP($A536,Spells!$A$2:$I1002,MATCH(G$3,Spells!$A$1:$I$1,0),FALSE))</f>
        <v/>
      </c>
      <c r="H536" s="49" t="str">
        <f>IFNA(VLOOKUP($A536,Spells!$A$2:$I1002,MATCH(H$3,Spells!$A$1:$I$1,0),FALSE))</f>
        <v/>
      </c>
    </row>
    <row r="537">
      <c r="A537" s="49"/>
      <c r="B537" s="49" t="str">
        <f>IFNA(VLOOKUP($A537,Spells!$A$2:$I1002,MATCH(B$3,Spells!$A$1:$I$1,0),FALSE))</f>
        <v/>
      </c>
      <c r="C537" s="49" t="str">
        <f>IFNA(VLOOKUP($A537,Spells!$A$2:$I1002,MATCH(C$3,Spells!$A$1:$I$1,0),FALSE))</f>
        <v/>
      </c>
      <c r="D537" s="49" t="str">
        <f>IFNA(VLOOKUP($A537,Spells!$A$2:$I1002,MATCH(D$3,Spells!$A$1:$I$1,0),FALSE))</f>
        <v/>
      </c>
      <c r="E537" s="49" t="str">
        <f>IFNA(VLOOKUP($A537,Spells!$A$2:$I1002,MATCH(E$3,Spells!$A$1:$I$1,0),FALSE))</f>
        <v/>
      </c>
      <c r="F537" s="49" t="str">
        <f>IFNA(VLOOKUP($A537,Spells!$A$2:$I1002,MATCH(F$3,Spells!$A$1:$I$1,0),FALSE))</f>
        <v/>
      </c>
      <c r="G537" s="49" t="str">
        <f>IFNA(VLOOKUP($A537,Spells!$A$2:$I1002,MATCH(G$3,Spells!$A$1:$I$1,0),FALSE))</f>
        <v/>
      </c>
      <c r="H537" s="49" t="str">
        <f>IFNA(VLOOKUP($A537,Spells!$A$2:$I1002,MATCH(H$3,Spells!$A$1:$I$1,0),FALSE))</f>
        <v/>
      </c>
    </row>
    <row r="538">
      <c r="A538" s="49"/>
      <c r="B538" s="49" t="str">
        <f>IFNA(VLOOKUP($A538,Spells!$A$2:$I1002,MATCH(B$3,Spells!$A$1:$I$1,0),FALSE))</f>
        <v/>
      </c>
      <c r="C538" s="49" t="str">
        <f>IFNA(VLOOKUP($A538,Spells!$A$2:$I1002,MATCH(C$3,Spells!$A$1:$I$1,0),FALSE))</f>
        <v/>
      </c>
      <c r="D538" s="49" t="str">
        <f>IFNA(VLOOKUP($A538,Spells!$A$2:$I1002,MATCH(D$3,Spells!$A$1:$I$1,0),FALSE))</f>
        <v/>
      </c>
      <c r="E538" s="49" t="str">
        <f>IFNA(VLOOKUP($A538,Spells!$A$2:$I1002,MATCH(E$3,Spells!$A$1:$I$1,0),FALSE))</f>
        <v/>
      </c>
      <c r="F538" s="49" t="str">
        <f>IFNA(VLOOKUP($A538,Spells!$A$2:$I1002,MATCH(F$3,Spells!$A$1:$I$1,0),FALSE))</f>
        <v/>
      </c>
      <c r="G538" s="49" t="str">
        <f>IFNA(VLOOKUP($A538,Spells!$A$2:$I1002,MATCH(G$3,Spells!$A$1:$I$1,0),FALSE))</f>
        <v/>
      </c>
      <c r="H538" s="49" t="str">
        <f>IFNA(VLOOKUP($A538,Spells!$A$2:$I1002,MATCH(H$3,Spells!$A$1:$I$1,0),FALSE))</f>
        <v/>
      </c>
    </row>
    <row r="539">
      <c r="A539" s="49"/>
      <c r="B539" s="49" t="str">
        <f>IFNA(VLOOKUP($A539,Spells!$A$2:$I1002,MATCH(B$3,Spells!$A$1:$I$1,0),FALSE))</f>
        <v/>
      </c>
      <c r="C539" s="49" t="str">
        <f>IFNA(VLOOKUP($A539,Spells!$A$2:$I1002,MATCH(C$3,Spells!$A$1:$I$1,0),FALSE))</f>
        <v/>
      </c>
      <c r="D539" s="49" t="str">
        <f>IFNA(VLOOKUP($A539,Spells!$A$2:$I1002,MATCH(D$3,Spells!$A$1:$I$1,0),FALSE))</f>
        <v/>
      </c>
      <c r="E539" s="49" t="str">
        <f>IFNA(VLOOKUP($A539,Spells!$A$2:$I1002,MATCH(E$3,Spells!$A$1:$I$1,0),FALSE))</f>
        <v/>
      </c>
      <c r="F539" s="49" t="str">
        <f>IFNA(VLOOKUP($A539,Spells!$A$2:$I1002,MATCH(F$3,Spells!$A$1:$I$1,0),FALSE))</f>
        <v/>
      </c>
      <c r="G539" s="49" t="str">
        <f>IFNA(VLOOKUP($A539,Spells!$A$2:$I1002,MATCH(G$3,Spells!$A$1:$I$1,0),FALSE))</f>
        <v/>
      </c>
      <c r="H539" s="49" t="str">
        <f>IFNA(VLOOKUP($A539,Spells!$A$2:$I1002,MATCH(H$3,Spells!$A$1:$I$1,0),FALSE))</f>
        <v/>
      </c>
    </row>
    <row r="540">
      <c r="A540" s="49"/>
      <c r="B540" s="49" t="str">
        <f>IFNA(VLOOKUP($A540,Spells!$A$2:$I1002,MATCH(B$3,Spells!$A$1:$I$1,0),FALSE))</f>
        <v/>
      </c>
      <c r="C540" s="49" t="str">
        <f>IFNA(VLOOKUP($A540,Spells!$A$2:$I1002,MATCH(C$3,Spells!$A$1:$I$1,0),FALSE))</f>
        <v/>
      </c>
      <c r="D540" s="49" t="str">
        <f>IFNA(VLOOKUP($A540,Spells!$A$2:$I1002,MATCH(D$3,Spells!$A$1:$I$1,0),FALSE))</f>
        <v/>
      </c>
      <c r="E540" s="49" t="str">
        <f>IFNA(VLOOKUP($A540,Spells!$A$2:$I1002,MATCH(E$3,Spells!$A$1:$I$1,0),FALSE))</f>
        <v/>
      </c>
      <c r="F540" s="49" t="str">
        <f>IFNA(VLOOKUP($A540,Spells!$A$2:$I1002,MATCH(F$3,Spells!$A$1:$I$1,0),FALSE))</f>
        <v/>
      </c>
      <c r="G540" s="49" t="str">
        <f>IFNA(VLOOKUP($A540,Spells!$A$2:$I1002,MATCH(G$3,Spells!$A$1:$I$1,0),FALSE))</f>
        <v/>
      </c>
      <c r="H540" s="49" t="str">
        <f>IFNA(VLOOKUP($A540,Spells!$A$2:$I1002,MATCH(H$3,Spells!$A$1:$I$1,0),FALSE))</f>
        <v/>
      </c>
    </row>
    <row r="541">
      <c r="A541" s="49"/>
      <c r="B541" s="49" t="str">
        <f>IFNA(VLOOKUP($A541,Spells!$A$2:$I1002,MATCH(B$3,Spells!$A$1:$I$1,0),FALSE))</f>
        <v/>
      </c>
      <c r="C541" s="49" t="str">
        <f>IFNA(VLOOKUP($A541,Spells!$A$2:$I1002,MATCH(C$3,Spells!$A$1:$I$1,0),FALSE))</f>
        <v/>
      </c>
      <c r="D541" s="49" t="str">
        <f>IFNA(VLOOKUP($A541,Spells!$A$2:$I1002,MATCH(D$3,Spells!$A$1:$I$1,0),FALSE))</f>
        <v/>
      </c>
      <c r="E541" s="49" t="str">
        <f>IFNA(VLOOKUP($A541,Spells!$A$2:$I1002,MATCH(E$3,Spells!$A$1:$I$1,0),FALSE))</f>
        <v/>
      </c>
      <c r="F541" s="49" t="str">
        <f>IFNA(VLOOKUP($A541,Spells!$A$2:$I1002,MATCH(F$3,Spells!$A$1:$I$1,0),FALSE))</f>
        <v/>
      </c>
      <c r="G541" s="49" t="str">
        <f>IFNA(VLOOKUP($A541,Spells!$A$2:$I1002,MATCH(G$3,Spells!$A$1:$I$1,0),FALSE))</f>
        <v/>
      </c>
      <c r="H541" s="49" t="str">
        <f>IFNA(VLOOKUP($A541,Spells!$A$2:$I1002,MATCH(H$3,Spells!$A$1:$I$1,0),FALSE))</f>
        <v/>
      </c>
    </row>
    <row r="542">
      <c r="A542" s="49"/>
      <c r="B542" s="49" t="str">
        <f>IFNA(VLOOKUP($A542,Spells!$A$2:$I1002,MATCH(B$3,Spells!$A$1:$I$1,0),FALSE))</f>
        <v/>
      </c>
      <c r="C542" s="49" t="str">
        <f>IFNA(VLOOKUP($A542,Spells!$A$2:$I1002,MATCH(C$3,Spells!$A$1:$I$1,0),FALSE))</f>
        <v/>
      </c>
      <c r="D542" s="49" t="str">
        <f>IFNA(VLOOKUP($A542,Spells!$A$2:$I1002,MATCH(D$3,Spells!$A$1:$I$1,0),FALSE))</f>
        <v/>
      </c>
      <c r="E542" s="49" t="str">
        <f>IFNA(VLOOKUP($A542,Spells!$A$2:$I1002,MATCH(E$3,Spells!$A$1:$I$1,0),FALSE))</f>
        <v/>
      </c>
      <c r="F542" s="49" t="str">
        <f>IFNA(VLOOKUP($A542,Spells!$A$2:$I1002,MATCH(F$3,Spells!$A$1:$I$1,0),FALSE))</f>
        <v/>
      </c>
      <c r="G542" s="49" t="str">
        <f>IFNA(VLOOKUP($A542,Spells!$A$2:$I1002,MATCH(G$3,Spells!$A$1:$I$1,0),FALSE))</f>
        <v/>
      </c>
      <c r="H542" s="49" t="str">
        <f>IFNA(VLOOKUP($A542,Spells!$A$2:$I1002,MATCH(H$3,Spells!$A$1:$I$1,0),FALSE))</f>
        <v/>
      </c>
    </row>
    <row r="543">
      <c r="A543" s="49"/>
      <c r="B543" s="49" t="str">
        <f>IFNA(VLOOKUP($A543,Spells!$A$2:$I1002,MATCH(B$3,Spells!$A$1:$I$1,0),FALSE))</f>
        <v/>
      </c>
      <c r="C543" s="49" t="str">
        <f>IFNA(VLOOKUP($A543,Spells!$A$2:$I1002,MATCH(C$3,Spells!$A$1:$I$1,0),FALSE))</f>
        <v/>
      </c>
      <c r="D543" s="49" t="str">
        <f>IFNA(VLOOKUP($A543,Spells!$A$2:$I1002,MATCH(D$3,Spells!$A$1:$I$1,0),FALSE))</f>
        <v/>
      </c>
      <c r="E543" s="49" t="str">
        <f>IFNA(VLOOKUP($A543,Spells!$A$2:$I1002,MATCH(E$3,Spells!$A$1:$I$1,0),FALSE))</f>
        <v/>
      </c>
      <c r="F543" s="49" t="str">
        <f>IFNA(VLOOKUP($A543,Spells!$A$2:$I1002,MATCH(F$3,Spells!$A$1:$I$1,0),FALSE))</f>
        <v/>
      </c>
      <c r="G543" s="49" t="str">
        <f>IFNA(VLOOKUP($A543,Spells!$A$2:$I1002,MATCH(G$3,Spells!$A$1:$I$1,0),FALSE))</f>
        <v/>
      </c>
      <c r="H543" s="49" t="str">
        <f>IFNA(VLOOKUP($A543,Spells!$A$2:$I1002,MATCH(H$3,Spells!$A$1:$I$1,0),FALSE))</f>
        <v/>
      </c>
    </row>
    <row r="544">
      <c r="A544" s="49"/>
      <c r="B544" s="49" t="str">
        <f>IFNA(VLOOKUP($A544,Spells!$A$2:$I1002,MATCH(B$3,Spells!$A$1:$I$1,0),FALSE))</f>
        <v/>
      </c>
      <c r="C544" s="49" t="str">
        <f>IFNA(VLOOKUP($A544,Spells!$A$2:$I1002,MATCH(C$3,Spells!$A$1:$I$1,0),FALSE))</f>
        <v/>
      </c>
      <c r="D544" s="49" t="str">
        <f>IFNA(VLOOKUP($A544,Spells!$A$2:$I1002,MATCH(D$3,Spells!$A$1:$I$1,0),FALSE))</f>
        <v/>
      </c>
      <c r="E544" s="49" t="str">
        <f>IFNA(VLOOKUP($A544,Spells!$A$2:$I1002,MATCH(E$3,Spells!$A$1:$I$1,0),FALSE))</f>
        <v/>
      </c>
      <c r="F544" s="49" t="str">
        <f>IFNA(VLOOKUP($A544,Spells!$A$2:$I1002,MATCH(F$3,Spells!$A$1:$I$1,0),FALSE))</f>
        <v/>
      </c>
      <c r="G544" s="49" t="str">
        <f>IFNA(VLOOKUP($A544,Spells!$A$2:$I1002,MATCH(G$3,Spells!$A$1:$I$1,0),FALSE))</f>
        <v/>
      </c>
      <c r="H544" s="49" t="str">
        <f>IFNA(VLOOKUP($A544,Spells!$A$2:$I1002,MATCH(H$3,Spells!$A$1:$I$1,0),FALSE))</f>
        <v/>
      </c>
    </row>
    <row r="545">
      <c r="A545" s="49"/>
      <c r="B545" s="49" t="str">
        <f>IFNA(VLOOKUP($A545,Spells!$A$2:$I1002,MATCH(B$3,Spells!$A$1:$I$1,0),FALSE))</f>
        <v/>
      </c>
      <c r="C545" s="49" t="str">
        <f>IFNA(VLOOKUP($A545,Spells!$A$2:$I1002,MATCH(C$3,Spells!$A$1:$I$1,0),FALSE))</f>
        <v/>
      </c>
      <c r="D545" s="49" t="str">
        <f>IFNA(VLOOKUP($A545,Spells!$A$2:$I1002,MATCH(D$3,Spells!$A$1:$I$1,0),FALSE))</f>
        <v/>
      </c>
      <c r="E545" s="49" t="str">
        <f>IFNA(VLOOKUP($A545,Spells!$A$2:$I1002,MATCH(E$3,Spells!$A$1:$I$1,0),FALSE))</f>
        <v/>
      </c>
      <c r="F545" s="49" t="str">
        <f>IFNA(VLOOKUP($A545,Spells!$A$2:$I1002,MATCH(F$3,Spells!$A$1:$I$1,0),FALSE))</f>
        <v/>
      </c>
      <c r="G545" s="49" t="str">
        <f>IFNA(VLOOKUP($A545,Spells!$A$2:$I1002,MATCH(G$3,Spells!$A$1:$I$1,0),FALSE))</f>
        <v/>
      </c>
      <c r="H545" s="49" t="str">
        <f>IFNA(VLOOKUP($A545,Spells!$A$2:$I1002,MATCH(H$3,Spells!$A$1:$I$1,0),FALSE))</f>
        <v/>
      </c>
    </row>
    <row r="546">
      <c r="A546" s="49"/>
      <c r="B546" s="49" t="str">
        <f>IFNA(VLOOKUP($A546,Spells!$A$2:$I1002,MATCH(B$3,Spells!$A$1:$I$1,0),FALSE))</f>
        <v/>
      </c>
      <c r="C546" s="49" t="str">
        <f>IFNA(VLOOKUP($A546,Spells!$A$2:$I1002,MATCH(C$3,Spells!$A$1:$I$1,0),FALSE))</f>
        <v/>
      </c>
      <c r="D546" s="49" t="str">
        <f>IFNA(VLOOKUP($A546,Spells!$A$2:$I1002,MATCH(D$3,Spells!$A$1:$I$1,0),FALSE))</f>
        <v/>
      </c>
      <c r="E546" s="49" t="str">
        <f>IFNA(VLOOKUP($A546,Spells!$A$2:$I1002,MATCH(E$3,Spells!$A$1:$I$1,0),FALSE))</f>
        <v/>
      </c>
      <c r="F546" s="49" t="str">
        <f>IFNA(VLOOKUP($A546,Spells!$A$2:$I1002,MATCH(F$3,Spells!$A$1:$I$1,0),FALSE))</f>
        <v/>
      </c>
      <c r="G546" s="49" t="str">
        <f>IFNA(VLOOKUP($A546,Spells!$A$2:$I1002,MATCH(G$3,Spells!$A$1:$I$1,0),FALSE))</f>
        <v/>
      </c>
      <c r="H546" s="49" t="str">
        <f>IFNA(VLOOKUP($A546,Spells!$A$2:$I1002,MATCH(H$3,Spells!$A$1:$I$1,0),FALSE))</f>
        <v/>
      </c>
    </row>
    <row r="547">
      <c r="A547" s="49"/>
      <c r="B547" s="49" t="str">
        <f>IFNA(VLOOKUP($A547,Spells!$A$2:$I1002,MATCH(B$3,Spells!$A$1:$I$1,0),FALSE))</f>
        <v/>
      </c>
      <c r="C547" s="49" t="str">
        <f>IFNA(VLOOKUP($A547,Spells!$A$2:$I1002,MATCH(C$3,Spells!$A$1:$I$1,0),FALSE))</f>
        <v/>
      </c>
      <c r="D547" s="49" t="str">
        <f>IFNA(VLOOKUP($A547,Spells!$A$2:$I1002,MATCH(D$3,Spells!$A$1:$I$1,0),FALSE))</f>
        <v/>
      </c>
      <c r="E547" s="49" t="str">
        <f>IFNA(VLOOKUP($A547,Spells!$A$2:$I1002,MATCH(E$3,Spells!$A$1:$I$1,0),FALSE))</f>
        <v/>
      </c>
      <c r="F547" s="49" t="str">
        <f>IFNA(VLOOKUP($A547,Spells!$A$2:$I1002,MATCH(F$3,Spells!$A$1:$I$1,0),FALSE))</f>
        <v/>
      </c>
      <c r="G547" s="49" t="str">
        <f>IFNA(VLOOKUP($A547,Spells!$A$2:$I1002,MATCH(G$3,Spells!$A$1:$I$1,0),FALSE))</f>
        <v/>
      </c>
      <c r="H547" s="49" t="str">
        <f>IFNA(VLOOKUP($A547,Spells!$A$2:$I1002,MATCH(H$3,Spells!$A$1:$I$1,0),FALSE))</f>
        <v/>
      </c>
    </row>
    <row r="548">
      <c r="A548" s="49"/>
      <c r="B548" s="49" t="str">
        <f>IFNA(VLOOKUP($A548,Spells!$A$2:$I1002,MATCH(B$3,Spells!$A$1:$I$1,0),FALSE))</f>
        <v/>
      </c>
      <c r="C548" s="49" t="str">
        <f>IFNA(VLOOKUP($A548,Spells!$A$2:$I1002,MATCH(C$3,Spells!$A$1:$I$1,0),FALSE))</f>
        <v/>
      </c>
      <c r="D548" s="49" t="str">
        <f>IFNA(VLOOKUP($A548,Spells!$A$2:$I1002,MATCH(D$3,Spells!$A$1:$I$1,0),FALSE))</f>
        <v/>
      </c>
      <c r="E548" s="49" t="str">
        <f>IFNA(VLOOKUP($A548,Spells!$A$2:$I1002,MATCH(E$3,Spells!$A$1:$I$1,0),FALSE))</f>
        <v/>
      </c>
      <c r="F548" s="49" t="str">
        <f>IFNA(VLOOKUP($A548,Spells!$A$2:$I1002,MATCH(F$3,Spells!$A$1:$I$1,0),FALSE))</f>
        <v/>
      </c>
      <c r="G548" s="49" t="str">
        <f>IFNA(VLOOKUP($A548,Spells!$A$2:$I1002,MATCH(G$3,Spells!$A$1:$I$1,0),FALSE))</f>
        <v/>
      </c>
      <c r="H548" s="49" t="str">
        <f>IFNA(VLOOKUP($A548,Spells!$A$2:$I1002,MATCH(H$3,Spells!$A$1:$I$1,0),FALSE))</f>
        <v/>
      </c>
    </row>
    <row r="549">
      <c r="A549" s="49"/>
      <c r="B549" s="49" t="str">
        <f>IFNA(VLOOKUP($A549,Spells!$A$2:$I1002,MATCH(B$3,Spells!$A$1:$I$1,0),FALSE))</f>
        <v/>
      </c>
      <c r="C549" s="49" t="str">
        <f>IFNA(VLOOKUP($A549,Spells!$A$2:$I1002,MATCH(C$3,Spells!$A$1:$I$1,0),FALSE))</f>
        <v/>
      </c>
      <c r="D549" s="49" t="str">
        <f>IFNA(VLOOKUP($A549,Spells!$A$2:$I1002,MATCH(D$3,Spells!$A$1:$I$1,0),FALSE))</f>
        <v/>
      </c>
      <c r="E549" s="49" t="str">
        <f>IFNA(VLOOKUP($A549,Spells!$A$2:$I1002,MATCH(E$3,Spells!$A$1:$I$1,0),FALSE))</f>
        <v/>
      </c>
      <c r="F549" s="49" t="str">
        <f>IFNA(VLOOKUP($A549,Spells!$A$2:$I1002,MATCH(F$3,Spells!$A$1:$I$1,0),FALSE))</f>
        <v/>
      </c>
      <c r="G549" s="49" t="str">
        <f>IFNA(VLOOKUP($A549,Spells!$A$2:$I1002,MATCH(G$3,Spells!$A$1:$I$1,0),FALSE))</f>
        <v/>
      </c>
      <c r="H549" s="49" t="str">
        <f>IFNA(VLOOKUP($A549,Spells!$A$2:$I1002,MATCH(H$3,Spells!$A$1:$I$1,0),FALSE))</f>
        <v/>
      </c>
    </row>
    <row r="550">
      <c r="A550" s="49"/>
      <c r="B550" s="49" t="str">
        <f>IFNA(VLOOKUP($A550,Spells!$A$2:$I1002,MATCH(B$3,Spells!$A$1:$I$1,0),FALSE))</f>
        <v/>
      </c>
      <c r="C550" s="49" t="str">
        <f>IFNA(VLOOKUP($A550,Spells!$A$2:$I1002,MATCH(C$3,Spells!$A$1:$I$1,0),FALSE))</f>
        <v/>
      </c>
      <c r="D550" s="49" t="str">
        <f>IFNA(VLOOKUP($A550,Spells!$A$2:$I1002,MATCH(D$3,Spells!$A$1:$I$1,0),FALSE))</f>
        <v/>
      </c>
      <c r="E550" s="49" t="str">
        <f>IFNA(VLOOKUP($A550,Spells!$A$2:$I1002,MATCH(E$3,Spells!$A$1:$I$1,0),FALSE))</f>
        <v/>
      </c>
      <c r="F550" s="49" t="str">
        <f>IFNA(VLOOKUP($A550,Spells!$A$2:$I1002,MATCH(F$3,Spells!$A$1:$I$1,0),FALSE))</f>
        <v/>
      </c>
      <c r="G550" s="49" t="str">
        <f>IFNA(VLOOKUP($A550,Spells!$A$2:$I1002,MATCH(G$3,Spells!$A$1:$I$1,0),FALSE))</f>
        <v/>
      </c>
      <c r="H550" s="49" t="str">
        <f>IFNA(VLOOKUP($A550,Spells!$A$2:$I1002,MATCH(H$3,Spells!$A$1:$I$1,0),FALSE))</f>
        <v/>
      </c>
    </row>
    <row r="551">
      <c r="A551" s="49"/>
      <c r="B551" s="49" t="str">
        <f>IFNA(VLOOKUP($A551,Spells!$A$2:$I1002,MATCH(B$3,Spells!$A$1:$I$1,0),FALSE))</f>
        <v/>
      </c>
      <c r="C551" s="49" t="str">
        <f>IFNA(VLOOKUP($A551,Spells!$A$2:$I1002,MATCH(C$3,Spells!$A$1:$I$1,0),FALSE))</f>
        <v/>
      </c>
      <c r="D551" s="49" t="str">
        <f>IFNA(VLOOKUP($A551,Spells!$A$2:$I1002,MATCH(D$3,Spells!$A$1:$I$1,0),FALSE))</f>
        <v/>
      </c>
      <c r="E551" s="49" t="str">
        <f>IFNA(VLOOKUP($A551,Spells!$A$2:$I1002,MATCH(E$3,Spells!$A$1:$I$1,0),FALSE))</f>
        <v/>
      </c>
      <c r="F551" s="49" t="str">
        <f>IFNA(VLOOKUP($A551,Spells!$A$2:$I1002,MATCH(F$3,Spells!$A$1:$I$1,0),FALSE))</f>
        <v/>
      </c>
      <c r="G551" s="49" t="str">
        <f>IFNA(VLOOKUP($A551,Spells!$A$2:$I1002,MATCH(G$3,Spells!$A$1:$I$1,0),FALSE))</f>
        <v/>
      </c>
      <c r="H551" s="49" t="str">
        <f>IFNA(VLOOKUP($A551,Spells!$A$2:$I1002,MATCH(H$3,Spells!$A$1:$I$1,0),FALSE))</f>
        <v/>
      </c>
    </row>
    <row r="552">
      <c r="A552" s="49"/>
      <c r="B552" s="49" t="str">
        <f>IFNA(VLOOKUP($A552,Spells!$A$2:$I1002,MATCH(B$3,Spells!$A$1:$I$1,0),FALSE))</f>
        <v/>
      </c>
      <c r="C552" s="49" t="str">
        <f>IFNA(VLOOKUP($A552,Spells!$A$2:$I1002,MATCH(C$3,Spells!$A$1:$I$1,0),FALSE))</f>
        <v/>
      </c>
      <c r="D552" s="49" t="str">
        <f>IFNA(VLOOKUP($A552,Spells!$A$2:$I1002,MATCH(D$3,Spells!$A$1:$I$1,0),FALSE))</f>
        <v/>
      </c>
      <c r="E552" s="49" t="str">
        <f>IFNA(VLOOKUP($A552,Spells!$A$2:$I1002,MATCH(E$3,Spells!$A$1:$I$1,0),FALSE))</f>
        <v/>
      </c>
      <c r="F552" s="49" t="str">
        <f>IFNA(VLOOKUP($A552,Spells!$A$2:$I1002,MATCH(F$3,Spells!$A$1:$I$1,0),FALSE))</f>
        <v/>
      </c>
      <c r="G552" s="49" t="str">
        <f>IFNA(VLOOKUP($A552,Spells!$A$2:$I1002,MATCH(G$3,Spells!$A$1:$I$1,0),FALSE))</f>
        <v/>
      </c>
      <c r="H552" s="49" t="str">
        <f>IFNA(VLOOKUP($A552,Spells!$A$2:$I1002,MATCH(H$3,Spells!$A$1:$I$1,0),FALSE))</f>
        <v/>
      </c>
    </row>
    <row r="553">
      <c r="A553" s="49"/>
      <c r="B553" s="49" t="str">
        <f>IFNA(VLOOKUP($A553,Spells!$A$2:$I1002,MATCH(B$3,Spells!$A$1:$I$1,0),FALSE))</f>
        <v/>
      </c>
      <c r="C553" s="49" t="str">
        <f>IFNA(VLOOKUP($A553,Spells!$A$2:$I1002,MATCH(C$3,Spells!$A$1:$I$1,0),FALSE))</f>
        <v/>
      </c>
      <c r="D553" s="49" t="str">
        <f>IFNA(VLOOKUP($A553,Spells!$A$2:$I1002,MATCH(D$3,Spells!$A$1:$I$1,0),FALSE))</f>
        <v/>
      </c>
      <c r="E553" s="49" t="str">
        <f>IFNA(VLOOKUP($A553,Spells!$A$2:$I1002,MATCH(E$3,Spells!$A$1:$I$1,0),FALSE))</f>
        <v/>
      </c>
      <c r="F553" s="49" t="str">
        <f>IFNA(VLOOKUP($A553,Spells!$A$2:$I1002,MATCH(F$3,Spells!$A$1:$I$1,0),FALSE))</f>
        <v/>
      </c>
      <c r="G553" s="49" t="str">
        <f>IFNA(VLOOKUP($A553,Spells!$A$2:$I1002,MATCH(G$3,Spells!$A$1:$I$1,0),FALSE))</f>
        <v/>
      </c>
      <c r="H553" s="49" t="str">
        <f>IFNA(VLOOKUP($A553,Spells!$A$2:$I1002,MATCH(H$3,Spells!$A$1:$I$1,0),FALSE))</f>
        <v/>
      </c>
    </row>
    <row r="554">
      <c r="A554" s="49"/>
      <c r="B554" s="49" t="str">
        <f>IFNA(VLOOKUP($A554,Spells!$A$2:$I1002,MATCH(B$3,Spells!$A$1:$I$1,0),FALSE))</f>
        <v/>
      </c>
      <c r="C554" s="49" t="str">
        <f>IFNA(VLOOKUP($A554,Spells!$A$2:$I1002,MATCH(C$3,Spells!$A$1:$I$1,0),FALSE))</f>
        <v/>
      </c>
      <c r="D554" s="49" t="str">
        <f>IFNA(VLOOKUP($A554,Spells!$A$2:$I1002,MATCH(D$3,Spells!$A$1:$I$1,0),FALSE))</f>
        <v/>
      </c>
      <c r="E554" s="49" t="str">
        <f>IFNA(VLOOKUP($A554,Spells!$A$2:$I1002,MATCH(E$3,Spells!$A$1:$I$1,0),FALSE))</f>
        <v/>
      </c>
      <c r="F554" s="49" t="str">
        <f>IFNA(VLOOKUP($A554,Spells!$A$2:$I1002,MATCH(F$3,Spells!$A$1:$I$1,0),FALSE))</f>
        <v/>
      </c>
      <c r="G554" s="49" t="str">
        <f>IFNA(VLOOKUP($A554,Spells!$A$2:$I1002,MATCH(G$3,Spells!$A$1:$I$1,0),FALSE))</f>
        <v/>
      </c>
      <c r="H554" s="49" t="str">
        <f>IFNA(VLOOKUP($A554,Spells!$A$2:$I1002,MATCH(H$3,Spells!$A$1:$I$1,0),FALSE))</f>
        <v/>
      </c>
    </row>
    <row r="555">
      <c r="A555" s="49"/>
      <c r="B555" s="49" t="str">
        <f>IFNA(VLOOKUP($A555,Spells!$A$2:$I1002,MATCH(B$3,Spells!$A$1:$I$1,0),FALSE))</f>
        <v/>
      </c>
      <c r="C555" s="49" t="str">
        <f>IFNA(VLOOKUP($A555,Spells!$A$2:$I1002,MATCH(C$3,Spells!$A$1:$I$1,0),FALSE))</f>
        <v/>
      </c>
      <c r="D555" s="49" t="str">
        <f>IFNA(VLOOKUP($A555,Spells!$A$2:$I1002,MATCH(D$3,Spells!$A$1:$I$1,0),FALSE))</f>
        <v/>
      </c>
      <c r="E555" s="49" t="str">
        <f>IFNA(VLOOKUP($A555,Spells!$A$2:$I1002,MATCH(E$3,Spells!$A$1:$I$1,0),FALSE))</f>
        <v/>
      </c>
      <c r="F555" s="49" t="str">
        <f>IFNA(VLOOKUP($A555,Spells!$A$2:$I1002,MATCH(F$3,Spells!$A$1:$I$1,0),FALSE))</f>
        <v/>
      </c>
      <c r="G555" s="49" t="str">
        <f>IFNA(VLOOKUP($A555,Spells!$A$2:$I1002,MATCH(G$3,Spells!$A$1:$I$1,0),FALSE))</f>
        <v/>
      </c>
      <c r="H555" s="49" t="str">
        <f>IFNA(VLOOKUP($A555,Spells!$A$2:$I1002,MATCH(H$3,Spells!$A$1:$I$1,0),FALSE))</f>
        <v/>
      </c>
    </row>
    <row r="556">
      <c r="A556" s="49"/>
      <c r="B556" s="49" t="str">
        <f>IFNA(VLOOKUP($A556,Spells!$A$2:$I1002,MATCH(B$3,Spells!$A$1:$I$1,0),FALSE))</f>
        <v/>
      </c>
      <c r="C556" s="49" t="str">
        <f>IFNA(VLOOKUP($A556,Spells!$A$2:$I1002,MATCH(C$3,Spells!$A$1:$I$1,0),FALSE))</f>
        <v/>
      </c>
      <c r="D556" s="49" t="str">
        <f>IFNA(VLOOKUP($A556,Spells!$A$2:$I1002,MATCH(D$3,Spells!$A$1:$I$1,0),FALSE))</f>
        <v/>
      </c>
      <c r="E556" s="49" t="str">
        <f>IFNA(VLOOKUP($A556,Spells!$A$2:$I1002,MATCH(E$3,Spells!$A$1:$I$1,0),FALSE))</f>
        <v/>
      </c>
      <c r="F556" s="49" t="str">
        <f>IFNA(VLOOKUP($A556,Spells!$A$2:$I1002,MATCH(F$3,Spells!$A$1:$I$1,0),FALSE))</f>
        <v/>
      </c>
      <c r="G556" s="49" t="str">
        <f>IFNA(VLOOKUP($A556,Spells!$A$2:$I1002,MATCH(G$3,Spells!$A$1:$I$1,0),FALSE))</f>
        <v/>
      </c>
      <c r="H556" s="49" t="str">
        <f>IFNA(VLOOKUP($A556,Spells!$A$2:$I1002,MATCH(H$3,Spells!$A$1:$I$1,0),FALSE))</f>
        <v/>
      </c>
    </row>
    <row r="557">
      <c r="A557" s="49"/>
      <c r="B557" s="49" t="str">
        <f>IFNA(VLOOKUP($A557,Spells!$A$2:$I1002,MATCH(B$3,Spells!$A$1:$I$1,0),FALSE))</f>
        <v/>
      </c>
      <c r="C557" s="49" t="str">
        <f>IFNA(VLOOKUP($A557,Spells!$A$2:$I1002,MATCH(C$3,Spells!$A$1:$I$1,0),FALSE))</f>
        <v/>
      </c>
      <c r="D557" s="49" t="str">
        <f>IFNA(VLOOKUP($A557,Spells!$A$2:$I1002,MATCH(D$3,Spells!$A$1:$I$1,0),FALSE))</f>
        <v/>
      </c>
      <c r="E557" s="49" t="str">
        <f>IFNA(VLOOKUP($A557,Spells!$A$2:$I1002,MATCH(E$3,Spells!$A$1:$I$1,0),FALSE))</f>
        <v/>
      </c>
      <c r="F557" s="49" t="str">
        <f>IFNA(VLOOKUP($A557,Spells!$A$2:$I1002,MATCH(F$3,Spells!$A$1:$I$1,0),FALSE))</f>
        <v/>
      </c>
      <c r="G557" s="49" t="str">
        <f>IFNA(VLOOKUP($A557,Spells!$A$2:$I1002,MATCH(G$3,Spells!$A$1:$I$1,0),FALSE))</f>
        <v/>
      </c>
      <c r="H557" s="49" t="str">
        <f>IFNA(VLOOKUP($A557,Spells!$A$2:$I1002,MATCH(H$3,Spells!$A$1:$I$1,0),FALSE))</f>
        <v/>
      </c>
    </row>
    <row r="558">
      <c r="A558" s="49"/>
      <c r="B558" s="49" t="str">
        <f>IFNA(VLOOKUP($A558,Spells!$A$2:$I1002,MATCH(B$3,Spells!$A$1:$I$1,0),FALSE))</f>
        <v/>
      </c>
      <c r="C558" s="49" t="str">
        <f>IFNA(VLOOKUP($A558,Spells!$A$2:$I1002,MATCH(C$3,Spells!$A$1:$I$1,0),FALSE))</f>
        <v/>
      </c>
      <c r="D558" s="49" t="str">
        <f>IFNA(VLOOKUP($A558,Spells!$A$2:$I1002,MATCH(D$3,Spells!$A$1:$I$1,0),FALSE))</f>
        <v/>
      </c>
      <c r="E558" s="49" t="str">
        <f>IFNA(VLOOKUP($A558,Spells!$A$2:$I1002,MATCH(E$3,Spells!$A$1:$I$1,0),FALSE))</f>
        <v/>
      </c>
      <c r="F558" s="49" t="str">
        <f>IFNA(VLOOKUP($A558,Spells!$A$2:$I1002,MATCH(F$3,Spells!$A$1:$I$1,0),FALSE))</f>
        <v/>
      </c>
      <c r="G558" s="49" t="str">
        <f>IFNA(VLOOKUP($A558,Spells!$A$2:$I1002,MATCH(G$3,Spells!$A$1:$I$1,0),FALSE))</f>
        <v/>
      </c>
      <c r="H558" s="49" t="str">
        <f>IFNA(VLOOKUP($A558,Spells!$A$2:$I1002,MATCH(H$3,Spells!$A$1:$I$1,0),FALSE))</f>
        <v/>
      </c>
    </row>
    <row r="559">
      <c r="A559" s="49"/>
      <c r="B559" s="49" t="str">
        <f>IFNA(VLOOKUP($A559,Spells!$A$2:$I1002,MATCH(B$3,Spells!$A$1:$I$1,0),FALSE))</f>
        <v/>
      </c>
      <c r="C559" s="49" t="str">
        <f>IFNA(VLOOKUP($A559,Spells!$A$2:$I1002,MATCH(C$3,Spells!$A$1:$I$1,0),FALSE))</f>
        <v/>
      </c>
      <c r="D559" s="49" t="str">
        <f>IFNA(VLOOKUP($A559,Spells!$A$2:$I1002,MATCH(D$3,Spells!$A$1:$I$1,0),FALSE))</f>
        <v/>
      </c>
      <c r="E559" s="49" t="str">
        <f>IFNA(VLOOKUP($A559,Spells!$A$2:$I1002,MATCH(E$3,Spells!$A$1:$I$1,0),FALSE))</f>
        <v/>
      </c>
      <c r="F559" s="49" t="str">
        <f>IFNA(VLOOKUP($A559,Spells!$A$2:$I1002,MATCH(F$3,Spells!$A$1:$I$1,0),FALSE))</f>
        <v/>
      </c>
      <c r="G559" s="49" t="str">
        <f>IFNA(VLOOKUP($A559,Spells!$A$2:$I1002,MATCH(G$3,Spells!$A$1:$I$1,0),FALSE))</f>
        <v/>
      </c>
      <c r="H559" s="49" t="str">
        <f>IFNA(VLOOKUP($A559,Spells!$A$2:$I1002,MATCH(H$3,Spells!$A$1:$I$1,0),FALSE))</f>
        <v/>
      </c>
    </row>
    <row r="560">
      <c r="A560" s="49"/>
      <c r="B560" s="49" t="str">
        <f>IFNA(VLOOKUP($A560,Spells!$A$2:$I1002,MATCH(B$3,Spells!$A$1:$I$1,0),FALSE))</f>
        <v/>
      </c>
      <c r="C560" s="49" t="str">
        <f>IFNA(VLOOKUP($A560,Spells!$A$2:$I1002,MATCH(C$3,Spells!$A$1:$I$1,0),FALSE))</f>
        <v/>
      </c>
      <c r="D560" s="49" t="str">
        <f>IFNA(VLOOKUP($A560,Spells!$A$2:$I1002,MATCH(D$3,Spells!$A$1:$I$1,0),FALSE))</f>
        <v/>
      </c>
      <c r="E560" s="49" t="str">
        <f>IFNA(VLOOKUP($A560,Spells!$A$2:$I1002,MATCH(E$3,Spells!$A$1:$I$1,0),FALSE))</f>
        <v/>
      </c>
      <c r="F560" s="49" t="str">
        <f>IFNA(VLOOKUP($A560,Spells!$A$2:$I1002,MATCH(F$3,Spells!$A$1:$I$1,0),FALSE))</f>
        <v/>
      </c>
      <c r="G560" s="49" t="str">
        <f>IFNA(VLOOKUP($A560,Spells!$A$2:$I1002,MATCH(G$3,Spells!$A$1:$I$1,0),FALSE))</f>
        <v/>
      </c>
      <c r="H560" s="49" t="str">
        <f>IFNA(VLOOKUP($A560,Spells!$A$2:$I1002,MATCH(H$3,Spells!$A$1:$I$1,0),FALSE))</f>
        <v/>
      </c>
    </row>
    <row r="561">
      <c r="A561" s="49"/>
      <c r="B561" s="49" t="str">
        <f>IFNA(VLOOKUP($A561,Spells!$A$2:$I1002,MATCH(B$3,Spells!$A$1:$I$1,0),FALSE))</f>
        <v/>
      </c>
      <c r="C561" s="49" t="str">
        <f>IFNA(VLOOKUP($A561,Spells!$A$2:$I1002,MATCH(C$3,Spells!$A$1:$I$1,0),FALSE))</f>
        <v/>
      </c>
      <c r="D561" s="49" t="str">
        <f>IFNA(VLOOKUP($A561,Spells!$A$2:$I1002,MATCH(D$3,Spells!$A$1:$I$1,0),FALSE))</f>
        <v/>
      </c>
      <c r="E561" s="49" t="str">
        <f>IFNA(VLOOKUP($A561,Spells!$A$2:$I1002,MATCH(E$3,Spells!$A$1:$I$1,0),FALSE))</f>
        <v/>
      </c>
      <c r="F561" s="49" t="str">
        <f>IFNA(VLOOKUP($A561,Spells!$A$2:$I1002,MATCH(F$3,Spells!$A$1:$I$1,0),FALSE))</f>
        <v/>
      </c>
      <c r="G561" s="49" t="str">
        <f>IFNA(VLOOKUP($A561,Spells!$A$2:$I1002,MATCH(G$3,Spells!$A$1:$I$1,0),FALSE))</f>
        <v/>
      </c>
      <c r="H561" s="49" t="str">
        <f>IFNA(VLOOKUP($A561,Spells!$A$2:$I1002,MATCH(H$3,Spells!$A$1:$I$1,0),FALSE))</f>
        <v/>
      </c>
    </row>
    <row r="562">
      <c r="A562" s="49"/>
      <c r="B562" s="49" t="str">
        <f>IFNA(VLOOKUP($A562,Spells!$A$2:$I1002,MATCH(B$3,Spells!$A$1:$I$1,0),FALSE))</f>
        <v/>
      </c>
      <c r="C562" s="49" t="str">
        <f>IFNA(VLOOKUP($A562,Spells!$A$2:$I1002,MATCH(C$3,Spells!$A$1:$I$1,0),FALSE))</f>
        <v/>
      </c>
      <c r="D562" s="49" t="str">
        <f>IFNA(VLOOKUP($A562,Spells!$A$2:$I1002,MATCH(D$3,Spells!$A$1:$I$1,0),FALSE))</f>
        <v/>
      </c>
      <c r="E562" s="49" t="str">
        <f>IFNA(VLOOKUP($A562,Spells!$A$2:$I1002,MATCH(E$3,Spells!$A$1:$I$1,0),FALSE))</f>
        <v/>
      </c>
      <c r="F562" s="49" t="str">
        <f>IFNA(VLOOKUP($A562,Spells!$A$2:$I1002,MATCH(F$3,Spells!$A$1:$I$1,0),FALSE))</f>
        <v/>
      </c>
      <c r="G562" s="49" t="str">
        <f>IFNA(VLOOKUP($A562,Spells!$A$2:$I1002,MATCH(G$3,Spells!$A$1:$I$1,0),FALSE))</f>
        <v/>
      </c>
      <c r="H562" s="49" t="str">
        <f>IFNA(VLOOKUP($A562,Spells!$A$2:$I1002,MATCH(H$3,Spells!$A$1:$I$1,0),FALSE))</f>
        <v/>
      </c>
    </row>
    <row r="563">
      <c r="A563" s="49"/>
      <c r="B563" s="49" t="str">
        <f>IFNA(VLOOKUP($A563,Spells!$A$2:$I1002,MATCH(B$3,Spells!$A$1:$I$1,0),FALSE))</f>
        <v/>
      </c>
      <c r="C563" s="49" t="str">
        <f>IFNA(VLOOKUP($A563,Spells!$A$2:$I1002,MATCH(C$3,Spells!$A$1:$I$1,0),FALSE))</f>
        <v/>
      </c>
      <c r="D563" s="49" t="str">
        <f>IFNA(VLOOKUP($A563,Spells!$A$2:$I1002,MATCH(D$3,Spells!$A$1:$I$1,0),FALSE))</f>
        <v/>
      </c>
      <c r="E563" s="49" t="str">
        <f>IFNA(VLOOKUP($A563,Spells!$A$2:$I1002,MATCH(E$3,Spells!$A$1:$I$1,0),FALSE))</f>
        <v/>
      </c>
      <c r="F563" s="49" t="str">
        <f>IFNA(VLOOKUP($A563,Spells!$A$2:$I1002,MATCH(F$3,Spells!$A$1:$I$1,0),FALSE))</f>
        <v/>
      </c>
      <c r="G563" s="49" t="str">
        <f>IFNA(VLOOKUP($A563,Spells!$A$2:$I1002,MATCH(G$3,Spells!$A$1:$I$1,0),FALSE))</f>
        <v/>
      </c>
      <c r="H563" s="49" t="str">
        <f>IFNA(VLOOKUP($A563,Spells!$A$2:$I1002,MATCH(H$3,Spells!$A$1:$I$1,0),FALSE))</f>
        <v/>
      </c>
    </row>
    <row r="564">
      <c r="A564" s="49"/>
      <c r="B564" s="49" t="str">
        <f>IFNA(VLOOKUP($A564,Spells!$A$2:$I1002,MATCH(B$3,Spells!$A$1:$I$1,0),FALSE))</f>
        <v/>
      </c>
      <c r="C564" s="49" t="str">
        <f>IFNA(VLOOKUP($A564,Spells!$A$2:$I1002,MATCH(C$3,Spells!$A$1:$I$1,0),FALSE))</f>
        <v/>
      </c>
      <c r="D564" s="49" t="str">
        <f>IFNA(VLOOKUP($A564,Spells!$A$2:$I1002,MATCH(D$3,Spells!$A$1:$I$1,0),FALSE))</f>
        <v/>
      </c>
      <c r="E564" s="49" t="str">
        <f>IFNA(VLOOKUP($A564,Spells!$A$2:$I1002,MATCH(E$3,Spells!$A$1:$I$1,0),FALSE))</f>
        <v/>
      </c>
      <c r="F564" s="49" t="str">
        <f>IFNA(VLOOKUP($A564,Spells!$A$2:$I1002,MATCH(F$3,Spells!$A$1:$I$1,0),FALSE))</f>
        <v/>
      </c>
      <c r="G564" s="49" t="str">
        <f>IFNA(VLOOKUP($A564,Spells!$A$2:$I1002,MATCH(G$3,Spells!$A$1:$I$1,0),FALSE))</f>
        <v/>
      </c>
      <c r="H564" s="49" t="str">
        <f>IFNA(VLOOKUP($A564,Spells!$A$2:$I1002,MATCH(H$3,Spells!$A$1:$I$1,0),FALSE))</f>
        <v/>
      </c>
    </row>
    <row r="565">
      <c r="A565" s="49"/>
      <c r="B565" s="49" t="str">
        <f>IFNA(VLOOKUP($A565,Spells!$A$2:$I1002,MATCH(B$3,Spells!$A$1:$I$1,0),FALSE))</f>
        <v/>
      </c>
      <c r="C565" s="49" t="str">
        <f>IFNA(VLOOKUP($A565,Spells!$A$2:$I1002,MATCH(C$3,Spells!$A$1:$I$1,0),FALSE))</f>
        <v/>
      </c>
      <c r="D565" s="49" t="str">
        <f>IFNA(VLOOKUP($A565,Spells!$A$2:$I1002,MATCH(D$3,Spells!$A$1:$I$1,0),FALSE))</f>
        <v/>
      </c>
      <c r="E565" s="49" t="str">
        <f>IFNA(VLOOKUP($A565,Spells!$A$2:$I1002,MATCH(E$3,Spells!$A$1:$I$1,0),FALSE))</f>
        <v/>
      </c>
      <c r="F565" s="49" t="str">
        <f>IFNA(VLOOKUP($A565,Spells!$A$2:$I1002,MATCH(F$3,Spells!$A$1:$I$1,0),FALSE))</f>
        <v/>
      </c>
      <c r="G565" s="49" t="str">
        <f>IFNA(VLOOKUP($A565,Spells!$A$2:$I1002,MATCH(G$3,Spells!$A$1:$I$1,0),FALSE))</f>
        <v/>
      </c>
      <c r="H565" s="49" t="str">
        <f>IFNA(VLOOKUP($A565,Spells!$A$2:$I1002,MATCH(H$3,Spells!$A$1:$I$1,0),FALSE))</f>
        <v/>
      </c>
    </row>
    <row r="566">
      <c r="A566" s="49"/>
      <c r="B566" s="49" t="str">
        <f>IFNA(VLOOKUP($A566,Spells!$A$2:$I1002,MATCH(B$3,Spells!$A$1:$I$1,0),FALSE))</f>
        <v/>
      </c>
      <c r="C566" s="49" t="str">
        <f>IFNA(VLOOKUP($A566,Spells!$A$2:$I1002,MATCH(C$3,Spells!$A$1:$I$1,0),FALSE))</f>
        <v/>
      </c>
      <c r="D566" s="49" t="str">
        <f>IFNA(VLOOKUP($A566,Spells!$A$2:$I1002,MATCH(D$3,Spells!$A$1:$I$1,0),FALSE))</f>
        <v/>
      </c>
      <c r="E566" s="49" t="str">
        <f>IFNA(VLOOKUP($A566,Spells!$A$2:$I1002,MATCH(E$3,Spells!$A$1:$I$1,0),FALSE))</f>
        <v/>
      </c>
      <c r="F566" s="49" t="str">
        <f>IFNA(VLOOKUP($A566,Spells!$A$2:$I1002,MATCH(F$3,Spells!$A$1:$I$1,0),FALSE))</f>
        <v/>
      </c>
      <c r="G566" s="49" t="str">
        <f>IFNA(VLOOKUP($A566,Spells!$A$2:$I1002,MATCH(G$3,Spells!$A$1:$I$1,0),FALSE))</f>
        <v/>
      </c>
      <c r="H566" s="49" t="str">
        <f>IFNA(VLOOKUP($A566,Spells!$A$2:$I1002,MATCH(H$3,Spells!$A$1:$I$1,0),FALSE))</f>
        <v/>
      </c>
    </row>
    <row r="567">
      <c r="A567" s="49"/>
      <c r="B567" s="49" t="str">
        <f>IFNA(VLOOKUP($A567,Spells!$A$2:$I1002,MATCH(B$3,Spells!$A$1:$I$1,0),FALSE))</f>
        <v/>
      </c>
      <c r="C567" s="49" t="str">
        <f>IFNA(VLOOKUP($A567,Spells!$A$2:$I1002,MATCH(C$3,Spells!$A$1:$I$1,0),FALSE))</f>
        <v/>
      </c>
      <c r="D567" s="49" t="str">
        <f>IFNA(VLOOKUP($A567,Spells!$A$2:$I1002,MATCH(D$3,Spells!$A$1:$I$1,0),FALSE))</f>
        <v/>
      </c>
      <c r="E567" s="49" t="str">
        <f>IFNA(VLOOKUP($A567,Spells!$A$2:$I1002,MATCH(E$3,Spells!$A$1:$I$1,0),FALSE))</f>
        <v/>
      </c>
      <c r="F567" s="49" t="str">
        <f>IFNA(VLOOKUP($A567,Spells!$A$2:$I1002,MATCH(F$3,Spells!$A$1:$I$1,0),FALSE))</f>
        <v/>
      </c>
      <c r="G567" s="49" t="str">
        <f>IFNA(VLOOKUP($A567,Spells!$A$2:$I1002,MATCH(G$3,Spells!$A$1:$I$1,0),FALSE))</f>
        <v/>
      </c>
      <c r="H567" s="49" t="str">
        <f>IFNA(VLOOKUP($A567,Spells!$A$2:$I1002,MATCH(H$3,Spells!$A$1:$I$1,0),FALSE))</f>
        <v/>
      </c>
    </row>
    <row r="568">
      <c r="A568" s="49"/>
      <c r="B568" s="49" t="str">
        <f>IFNA(VLOOKUP($A568,Spells!$A$2:$I1002,MATCH(B$3,Spells!$A$1:$I$1,0),FALSE))</f>
        <v/>
      </c>
      <c r="C568" s="49" t="str">
        <f>IFNA(VLOOKUP($A568,Spells!$A$2:$I1002,MATCH(C$3,Spells!$A$1:$I$1,0),FALSE))</f>
        <v/>
      </c>
      <c r="D568" s="49" t="str">
        <f>IFNA(VLOOKUP($A568,Spells!$A$2:$I1002,MATCH(D$3,Spells!$A$1:$I$1,0),FALSE))</f>
        <v/>
      </c>
      <c r="E568" s="49" t="str">
        <f>IFNA(VLOOKUP($A568,Spells!$A$2:$I1002,MATCH(E$3,Spells!$A$1:$I$1,0),FALSE))</f>
        <v/>
      </c>
      <c r="F568" s="49" t="str">
        <f>IFNA(VLOOKUP($A568,Spells!$A$2:$I1002,MATCH(F$3,Spells!$A$1:$I$1,0),FALSE))</f>
        <v/>
      </c>
      <c r="G568" s="49" t="str">
        <f>IFNA(VLOOKUP($A568,Spells!$A$2:$I1002,MATCH(G$3,Spells!$A$1:$I$1,0),FALSE))</f>
        <v/>
      </c>
      <c r="H568" s="49" t="str">
        <f>IFNA(VLOOKUP($A568,Spells!$A$2:$I1002,MATCH(H$3,Spells!$A$1:$I$1,0),FALSE))</f>
        <v/>
      </c>
    </row>
    <row r="569">
      <c r="A569" s="49"/>
      <c r="B569" s="49" t="str">
        <f>IFNA(VLOOKUP($A569,Spells!$A$2:$I1002,MATCH(B$3,Spells!$A$1:$I$1,0),FALSE))</f>
        <v/>
      </c>
      <c r="C569" s="49" t="str">
        <f>IFNA(VLOOKUP($A569,Spells!$A$2:$I1002,MATCH(C$3,Spells!$A$1:$I$1,0),FALSE))</f>
        <v/>
      </c>
      <c r="D569" s="49" t="str">
        <f>IFNA(VLOOKUP($A569,Spells!$A$2:$I1002,MATCH(D$3,Spells!$A$1:$I$1,0),FALSE))</f>
        <v/>
      </c>
      <c r="E569" s="49" t="str">
        <f>IFNA(VLOOKUP($A569,Spells!$A$2:$I1002,MATCH(E$3,Spells!$A$1:$I$1,0),FALSE))</f>
        <v/>
      </c>
      <c r="F569" s="49" t="str">
        <f>IFNA(VLOOKUP($A569,Spells!$A$2:$I1002,MATCH(F$3,Spells!$A$1:$I$1,0),FALSE))</f>
        <v/>
      </c>
      <c r="G569" s="49" t="str">
        <f>IFNA(VLOOKUP($A569,Spells!$A$2:$I1002,MATCH(G$3,Spells!$A$1:$I$1,0),FALSE))</f>
        <v/>
      </c>
      <c r="H569" s="49" t="str">
        <f>IFNA(VLOOKUP($A569,Spells!$A$2:$I1002,MATCH(H$3,Spells!$A$1:$I$1,0),FALSE))</f>
        <v/>
      </c>
    </row>
    <row r="570">
      <c r="A570" s="49"/>
      <c r="B570" s="49" t="str">
        <f>IFNA(VLOOKUP($A570,Spells!$A$2:$I1002,MATCH(B$3,Spells!$A$1:$I$1,0),FALSE))</f>
        <v/>
      </c>
      <c r="C570" s="49" t="str">
        <f>IFNA(VLOOKUP($A570,Spells!$A$2:$I1002,MATCH(C$3,Spells!$A$1:$I$1,0),FALSE))</f>
        <v/>
      </c>
      <c r="D570" s="49" t="str">
        <f>IFNA(VLOOKUP($A570,Spells!$A$2:$I1002,MATCH(D$3,Spells!$A$1:$I$1,0),FALSE))</f>
        <v/>
      </c>
      <c r="E570" s="49" t="str">
        <f>IFNA(VLOOKUP($A570,Spells!$A$2:$I1002,MATCH(E$3,Spells!$A$1:$I$1,0),FALSE))</f>
        <v/>
      </c>
      <c r="F570" s="49" t="str">
        <f>IFNA(VLOOKUP($A570,Spells!$A$2:$I1002,MATCH(F$3,Spells!$A$1:$I$1,0),FALSE))</f>
        <v/>
      </c>
      <c r="G570" s="49" t="str">
        <f>IFNA(VLOOKUP($A570,Spells!$A$2:$I1002,MATCH(G$3,Spells!$A$1:$I$1,0),FALSE))</f>
        <v/>
      </c>
      <c r="H570" s="49" t="str">
        <f>IFNA(VLOOKUP($A570,Spells!$A$2:$I1002,MATCH(H$3,Spells!$A$1:$I$1,0),FALSE))</f>
        <v/>
      </c>
    </row>
    <row r="571">
      <c r="A571" s="49"/>
      <c r="B571" s="49" t="str">
        <f>IFNA(VLOOKUP($A571,Spells!$A$2:$I1002,MATCH(B$3,Spells!$A$1:$I$1,0),FALSE))</f>
        <v/>
      </c>
      <c r="C571" s="49" t="str">
        <f>IFNA(VLOOKUP($A571,Spells!$A$2:$I1002,MATCH(C$3,Spells!$A$1:$I$1,0),FALSE))</f>
        <v/>
      </c>
      <c r="D571" s="49" t="str">
        <f>IFNA(VLOOKUP($A571,Spells!$A$2:$I1002,MATCH(D$3,Spells!$A$1:$I$1,0),FALSE))</f>
        <v/>
      </c>
      <c r="E571" s="49" t="str">
        <f>IFNA(VLOOKUP($A571,Spells!$A$2:$I1002,MATCH(E$3,Spells!$A$1:$I$1,0),FALSE))</f>
        <v/>
      </c>
      <c r="F571" s="49" t="str">
        <f>IFNA(VLOOKUP($A571,Spells!$A$2:$I1002,MATCH(F$3,Spells!$A$1:$I$1,0),FALSE))</f>
        <v/>
      </c>
      <c r="G571" s="49" t="str">
        <f>IFNA(VLOOKUP($A571,Spells!$A$2:$I1002,MATCH(G$3,Spells!$A$1:$I$1,0),FALSE))</f>
        <v/>
      </c>
      <c r="H571" s="49" t="str">
        <f>IFNA(VLOOKUP($A571,Spells!$A$2:$I1002,MATCH(H$3,Spells!$A$1:$I$1,0),FALSE))</f>
        <v/>
      </c>
    </row>
    <row r="572">
      <c r="A572" s="49"/>
      <c r="B572" s="49" t="str">
        <f>IFNA(VLOOKUP($A572,Spells!$A$2:$I1002,MATCH(B$3,Spells!$A$1:$I$1,0),FALSE))</f>
        <v/>
      </c>
      <c r="C572" s="49" t="str">
        <f>IFNA(VLOOKUP($A572,Spells!$A$2:$I1002,MATCH(C$3,Spells!$A$1:$I$1,0),FALSE))</f>
        <v/>
      </c>
      <c r="D572" s="49" t="str">
        <f>IFNA(VLOOKUP($A572,Spells!$A$2:$I1002,MATCH(D$3,Spells!$A$1:$I$1,0),FALSE))</f>
        <v/>
      </c>
      <c r="E572" s="49" t="str">
        <f>IFNA(VLOOKUP($A572,Spells!$A$2:$I1002,MATCH(E$3,Spells!$A$1:$I$1,0),FALSE))</f>
        <v/>
      </c>
      <c r="F572" s="49" t="str">
        <f>IFNA(VLOOKUP($A572,Spells!$A$2:$I1002,MATCH(F$3,Spells!$A$1:$I$1,0),FALSE))</f>
        <v/>
      </c>
      <c r="G572" s="49" t="str">
        <f>IFNA(VLOOKUP($A572,Spells!$A$2:$I1002,MATCH(G$3,Spells!$A$1:$I$1,0),FALSE))</f>
        <v/>
      </c>
      <c r="H572" s="49" t="str">
        <f>IFNA(VLOOKUP($A572,Spells!$A$2:$I1002,MATCH(H$3,Spells!$A$1:$I$1,0),FALSE))</f>
        <v/>
      </c>
    </row>
    <row r="573">
      <c r="A573" s="49"/>
      <c r="B573" s="49" t="str">
        <f>IFNA(VLOOKUP($A573,Spells!$A$2:$I1002,MATCH(B$3,Spells!$A$1:$I$1,0),FALSE))</f>
        <v/>
      </c>
      <c r="C573" s="49" t="str">
        <f>IFNA(VLOOKUP($A573,Spells!$A$2:$I1002,MATCH(C$3,Spells!$A$1:$I$1,0),FALSE))</f>
        <v/>
      </c>
      <c r="D573" s="49" t="str">
        <f>IFNA(VLOOKUP($A573,Spells!$A$2:$I1002,MATCH(D$3,Spells!$A$1:$I$1,0),FALSE))</f>
        <v/>
      </c>
      <c r="E573" s="49" t="str">
        <f>IFNA(VLOOKUP($A573,Spells!$A$2:$I1002,MATCH(E$3,Spells!$A$1:$I$1,0),FALSE))</f>
        <v/>
      </c>
      <c r="F573" s="49" t="str">
        <f>IFNA(VLOOKUP($A573,Spells!$A$2:$I1002,MATCH(F$3,Spells!$A$1:$I$1,0),FALSE))</f>
        <v/>
      </c>
      <c r="G573" s="49" t="str">
        <f>IFNA(VLOOKUP($A573,Spells!$A$2:$I1002,MATCH(G$3,Spells!$A$1:$I$1,0),FALSE))</f>
        <v/>
      </c>
      <c r="H573" s="49" t="str">
        <f>IFNA(VLOOKUP($A573,Spells!$A$2:$I1002,MATCH(H$3,Spells!$A$1:$I$1,0),FALSE))</f>
        <v/>
      </c>
    </row>
    <row r="574">
      <c r="A574" s="49"/>
      <c r="B574" s="49" t="str">
        <f>IFNA(VLOOKUP($A574,Spells!$A$2:$I1002,MATCH(B$3,Spells!$A$1:$I$1,0),FALSE))</f>
        <v/>
      </c>
      <c r="C574" s="49" t="str">
        <f>IFNA(VLOOKUP($A574,Spells!$A$2:$I1002,MATCH(C$3,Spells!$A$1:$I$1,0),FALSE))</f>
        <v/>
      </c>
      <c r="D574" s="49" t="str">
        <f>IFNA(VLOOKUP($A574,Spells!$A$2:$I1002,MATCH(D$3,Spells!$A$1:$I$1,0),FALSE))</f>
        <v/>
      </c>
      <c r="E574" s="49" t="str">
        <f>IFNA(VLOOKUP($A574,Spells!$A$2:$I1002,MATCH(E$3,Spells!$A$1:$I$1,0),FALSE))</f>
        <v/>
      </c>
      <c r="F574" s="49" t="str">
        <f>IFNA(VLOOKUP($A574,Spells!$A$2:$I1002,MATCH(F$3,Spells!$A$1:$I$1,0),FALSE))</f>
        <v/>
      </c>
      <c r="G574" s="49" t="str">
        <f>IFNA(VLOOKUP($A574,Spells!$A$2:$I1002,MATCH(G$3,Spells!$A$1:$I$1,0),FALSE))</f>
        <v/>
      </c>
      <c r="H574" s="49" t="str">
        <f>IFNA(VLOOKUP($A574,Spells!$A$2:$I1002,MATCH(H$3,Spells!$A$1:$I$1,0),FALSE))</f>
        <v/>
      </c>
    </row>
    <row r="575">
      <c r="A575" s="49"/>
      <c r="B575" s="49" t="str">
        <f>IFNA(VLOOKUP($A575,Spells!$A$2:$I1002,MATCH(B$3,Spells!$A$1:$I$1,0),FALSE))</f>
        <v/>
      </c>
      <c r="C575" s="49" t="str">
        <f>IFNA(VLOOKUP($A575,Spells!$A$2:$I1002,MATCH(C$3,Spells!$A$1:$I$1,0),FALSE))</f>
        <v/>
      </c>
      <c r="D575" s="49" t="str">
        <f>IFNA(VLOOKUP($A575,Spells!$A$2:$I1002,MATCH(D$3,Spells!$A$1:$I$1,0),FALSE))</f>
        <v/>
      </c>
      <c r="E575" s="49" t="str">
        <f>IFNA(VLOOKUP($A575,Spells!$A$2:$I1002,MATCH(E$3,Spells!$A$1:$I$1,0),FALSE))</f>
        <v/>
      </c>
      <c r="F575" s="49" t="str">
        <f>IFNA(VLOOKUP($A575,Spells!$A$2:$I1002,MATCH(F$3,Spells!$A$1:$I$1,0),FALSE))</f>
        <v/>
      </c>
      <c r="G575" s="49" t="str">
        <f>IFNA(VLOOKUP($A575,Spells!$A$2:$I1002,MATCH(G$3,Spells!$A$1:$I$1,0),FALSE))</f>
        <v/>
      </c>
      <c r="H575" s="49" t="str">
        <f>IFNA(VLOOKUP($A575,Spells!$A$2:$I1002,MATCH(H$3,Spells!$A$1:$I$1,0),FALSE))</f>
        <v/>
      </c>
    </row>
    <row r="576">
      <c r="A576" s="49"/>
      <c r="B576" s="49" t="str">
        <f>IFNA(VLOOKUP($A576,Spells!$A$2:$I1002,MATCH(B$3,Spells!$A$1:$I$1,0),FALSE))</f>
        <v/>
      </c>
      <c r="C576" s="49" t="str">
        <f>IFNA(VLOOKUP($A576,Spells!$A$2:$I1002,MATCH(C$3,Spells!$A$1:$I$1,0),FALSE))</f>
        <v/>
      </c>
      <c r="D576" s="49" t="str">
        <f>IFNA(VLOOKUP($A576,Spells!$A$2:$I1002,MATCH(D$3,Spells!$A$1:$I$1,0),FALSE))</f>
        <v/>
      </c>
      <c r="E576" s="49" t="str">
        <f>IFNA(VLOOKUP($A576,Spells!$A$2:$I1002,MATCH(E$3,Spells!$A$1:$I$1,0),FALSE))</f>
        <v/>
      </c>
      <c r="F576" s="49" t="str">
        <f>IFNA(VLOOKUP($A576,Spells!$A$2:$I1002,MATCH(F$3,Spells!$A$1:$I$1,0),FALSE))</f>
        <v/>
      </c>
      <c r="G576" s="49" t="str">
        <f>IFNA(VLOOKUP($A576,Spells!$A$2:$I1002,MATCH(G$3,Spells!$A$1:$I$1,0),FALSE))</f>
        <v/>
      </c>
      <c r="H576" s="49" t="str">
        <f>IFNA(VLOOKUP($A576,Spells!$A$2:$I1002,MATCH(H$3,Spells!$A$1:$I$1,0),FALSE))</f>
        <v/>
      </c>
    </row>
    <row r="577">
      <c r="A577" s="49"/>
      <c r="B577" s="49" t="str">
        <f>IFNA(VLOOKUP($A577,Spells!$A$2:$I1002,MATCH(B$3,Spells!$A$1:$I$1,0),FALSE))</f>
        <v/>
      </c>
      <c r="C577" s="49" t="str">
        <f>IFNA(VLOOKUP($A577,Spells!$A$2:$I1002,MATCH(C$3,Spells!$A$1:$I$1,0),FALSE))</f>
        <v/>
      </c>
      <c r="D577" s="49" t="str">
        <f>IFNA(VLOOKUP($A577,Spells!$A$2:$I1002,MATCH(D$3,Spells!$A$1:$I$1,0),FALSE))</f>
        <v/>
      </c>
      <c r="E577" s="49" t="str">
        <f>IFNA(VLOOKUP($A577,Spells!$A$2:$I1002,MATCH(E$3,Spells!$A$1:$I$1,0),FALSE))</f>
        <v/>
      </c>
      <c r="F577" s="49" t="str">
        <f>IFNA(VLOOKUP($A577,Spells!$A$2:$I1002,MATCH(F$3,Spells!$A$1:$I$1,0),FALSE))</f>
        <v/>
      </c>
      <c r="G577" s="49" t="str">
        <f>IFNA(VLOOKUP($A577,Spells!$A$2:$I1002,MATCH(G$3,Spells!$A$1:$I$1,0),FALSE))</f>
        <v/>
      </c>
      <c r="H577" s="49" t="str">
        <f>IFNA(VLOOKUP($A577,Spells!$A$2:$I1002,MATCH(H$3,Spells!$A$1:$I$1,0),FALSE))</f>
        <v/>
      </c>
    </row>
    <row r="578">
      <c r="A578" s="49"/>
      <c r="B578" s="49" t="str">
        <f>IFNA(VLOOKUP($A578,Spells!$A$2:$I1002,MATCH(B$3,Spells!$A$1:$I$1,0),FALSE))</f>
        <v/>
      </c>
      <c r="C578" s="49" t="str">
        <f>IFNA(VLOOKUP($A578,Spells!$A$2:$I1002,MATCH(C$3,Spells!$A$1:$I$1,0),FALSE))</f>
        <v/>
      </c>
      <c r="D578" s="49" t="str">
        <f>IFNA(VLOOKUP($A578,Spells!$A$2:$I1002,MATCH(D$3,Spells!$A$1:$I$1,0),FALSE))</f>
        <v/>
      </c>
      <c r="E578" s="49" t="str">
        <f>IFNA(VLOOKUP($A578,Spells!$A$2:$I1002,MATCH(E$3,Spells!$A$1:$I$1,0),FALSE))</f>
        <v/>
      </c>
      <c r="F578" s="49" t="str">
        <f>IFNA(VLOOKUP($A578,Spells!$A$2:$I1002,MATCH(F$3,Spells!$A$1:$I$1,0),FALSE))</f>
        <v/>
      </c>
      <c r="G578" s="49" t="str">
        <f>IFNA(VLOOKUP($A578,Spells!$A$2:$I1002,MATCH(G$3,Spells!$A$1:$I$1,0),FALSE))</f>
        <v/>
      </c>
      <c r="H578" s="49" t="str">
        <f>IFNA(VLOOKUP($A578,Spells!$A$2:$I1002,MATCH(H$3,Spells!$A$1:$I$1,0),FALSE))</f>
        <v/>
      </c>
    </row>
    <row r="579">
      <c r="A579" s="49"/>
      <c r="B579" s="49" t="str">
        <f>IFNA(VLOOKUP($A579,Spells!$A$2:$I1002,MATCH(B$3,Spells!$A$1:$I$1,0),FALSE))</f>
        <v/>
      </c>
      <c r="C579" s="49" t="str">
        <f>IFNA(VLOOKUP($A579,Spells!$A$2:$I1002,MATCH(C$3,Spells!$A$1:$I$1,0),FALSE))</f>
        <v/>
      </c>
      <c r="D579" s="49" t="str">
        <f>IFNA(VLOOKUP($A579,Spells!$A$2:$I1002,MATCH(D$3,Spells!$A$1:$I$1,0),FALSE))</f>
        <v/>
      </c>
      <c r="E579" s="49" t="str">
        <f>IFNA(VLOOKUP($A579,Spells!$A$2:$I1002,MATCH(E$3,Spells!$A$1:$I$1,0),FALSE))</f>
        <v/>
      </c>
      <c r="F579" s="49" t="str">
        <f>IFNA(VLOOKUP($A579,Spells!$A$2:$I1002,MATCH(F$3,Spells!$A$1:$I$1,0),FALSE))</f>
        <v/>
      </c>
      <c r="G579" s="49" t="str">
        <f>IFNA(VLOOKUP($A579,Spells!$A$2:$I1002,MATCH(G$3,Spells!$A$1:$I$1,0),FALSE))</f>
        <v/>
      </c>
      <c r="H579" s="49" t="str">
        <f>IFNA(VLOOKUP($A579,Spells!$A$2:$I1002,MATCH(H$3,Spells!$A$1:$I$1,0),FALSE))</f>
        <v/>
      </c>
    </row>
    <row r="580">
      <c r="A580" s="49"/>
      <c r="B580" s="49" t="str">
        <f>IFNA(VLOOKUP($A580,Spells!$A$2:$I1002,MATCH(B$3,Spells!$A$1:$I$1,0),FALSE))</f>
        <v/>
      </c>
      <c r="C580" s="49" t="str">
        <f>IFNA(VLOOKUP($A580,Spells!$A$2:$I1002,MATCH(C$3,Spells!$A$1:$I$1,0),FALSE))</f>
        <v/>
      </c>
      <c r="D580" s="49" t="str">
        <f>IFNA(VLOOKUP($A580,Spells!$A$2:$I1002,MATCH(D$3,Spells!$A$1:$I$1,0),FALSE))</f>
        <v/>
      </c>
      <c r="E580" s="49" t="str">
        <f>IFNA(VLOOKUP($A580,Spells!$A$2:$I1002,MATCH(E$3,Spells!$A$1:$I$1,0),FALSE))</f>
        <v/>
      </c>
      <c r="F580" s="49" t="str">
        <f>IFNA(VLOOKUP($A580,Spells!$A$2:$I1002,MATCH(F$3,Spells!$A$1:$I$1,0),FALSE))</f>
        <v/>
      </c>
      <c r="G580" s="49" t="str">
        <f>IFNA(VLOOKUP($A580,Spells!$A$2:$I1002,MATCH(G$3,Spells!$A$1:$I$1,0),FALSE))</f>
        <v/>
      </c>
      <c r="H580" s="49" t="str">
        <f>IFNA(VLOOKUP($A580,Spells!$A$2:$I1002,MATCH(H$3,Spells!$A$1:$I$1,0),FALSE))</f>
        <v/>
      </c>
    </row>
    <row r="581">
      <c r="A581" s="49"/>
      <c r="B581" s="49" t="str">
        <f>IFNA(VLOOKUP($A581,Spells!$A$2:$I1002,MATCH(B$3,Spells!$A$1:$I$1,0),FALSE))</f>
        <v/>
      </c>
      <c r="C581" s="49" t="str">
        <f>IFNA(VLOOKUP($A581,Spells!$A$2:$I1002,MATCH(C$3,Spells!$A$1:$I$1,0),FALSE))</f>
        <v/>
      </c>
      <c r="D581" s="49" t="str">
        <f>IFNA(VLOOKUP($A581,Spells!$A$2:$I1002,MATCH(D$3,Spells!$A$1:$I$1,0),FALSE))</f>
        <v/>
      </c>
      <c r="E581" s="49" t="str">
        <f>IFNA(VLOOKUP($A581,Spells!$A$2:$I1002,MATCH(E$3,Spells!$A$1:$I$1,0),FALSE))</f>
        <v/>
      </c>
      <c r="F581" s="49" t="str">
        <f>IFNA(VLOOKUP($A581,Spells!$A$2:$I1002,MATCH(F$3,Spells!$A$1:$I$1,0),FALSE))</f>
        <v/>
      </c>
      <c r="G581" s="49" t="str">
        <f>IFNA(VLOOKUP($A581,Spells!$A$2:$I1002,MATCH(G$3,Spells!$A$1:$I$1,0),FALSE))</f>
        <v/>
      </c>
      <c r="H581" s="49" t="str">
        <f>IFNA(VLOOKUP($A581,Spells!$A$2:$I1002,MATCH(H$3,Spells!$A$1:$I$1,0),FALSE))</f>
        <v/>
      </c>
    </row>
    <row r="582">
      <c r="A582" s="49"/>
      <c r="B582" s="49" t="str">
        <f>IFNA(VLOOKUP($A582,Spells!$A$2:$I1002,MATCH(B$3,Spells!$A$1:$I$1,0),FALSE))</f>
        <v/>
      </c>
      <c r="C582" s="49" t="str">
        <f>IFNA(VLOOKUP($A582,Spells!$A$2:$I1002,MATCH(C$3,Spells!$A$1:$I$1,0),FALSE))</f>
        <v/>
      </c>
      <c r="D582" s="49" t="str">
        <f>IFNA(VLOOKUP($A582,Spells!$A$2:$I1002,MATCH(D$3,Spells!$A$1:$I$1,0),FALSE))</f>
        <v/>
      </c>
      <c r="E582" s="49" t="str">
        <f>IFNA(VLOOKUP($A582,Spells!$A$2:$I1002,MATCH(E$3,Spells!$A$1:$I$1,0),FALSE))</f>
        <v/>
      </c>
      <c r="F582" s="49" t="str">
        <f>IFNA(VLOOKUP($A582,Spells!$A$2:$I1002,MATCH(F$3,Spells!$A$1:$I$1,0),FALSE))</f>
        <v/>
      </c>
      <c r="G582" s="49" t="str">
        <f>IFNA(VLOOKUP($A582,Spells!$A$2:$I1002,MATCH(G$3,Spells!$A$1:$I$1,0),FALSE))</f>
        <v/>
      </c>
      <c r="H582" s="49" t="str">
        <f>IFNA(VLOOKUP($A582,Spells!$A$2:$I1002,MATCH(H$3,Spells!$A$1:$I$1,0),FALSE))</f>
        <v/>
      </c>
    </row>
    <row r="583">
      <c r="A583" s="49"/>
      <c r="B583" s="49" t="str">
        <f>IFNA(VLOOKUP($A583,Spells!$A$2:$I1002,MATCH(B$3,Spells!$A$1:$I$1,0),FALSE))</f>
        <v/>
      </c>
      <c r="C583" s="49" t="str">
        <f>IFNA(VLOOKUP($A583,Spells!$A$2:$I1002,MATCH(C$3,Spells!$A$1:$I$1,0),FALSE))</f>
        <v/>
      </c>
      <c r="D583" s="49" t="str">
        <f>IFNA(VLOOKUP($A583,Spells!$A$2:$I1002,MATCH(D$3,Spells!$A$1:$I$1,0),FALSE))</f>
        <v/>
      </c>
      <c r="E583" s="49" t="str">
        <f>IFNA(VLOOKUP($A583,Spells!$A$2:$I1002,MATCH(E$3,Spells!$A$1:$I$1,0),FALSE))</f>
        <v/>
      </c>
      <c r="F583" s="49" t="str">
        <f>IFNA(VLOOKUP($A583,Spells!$A$2:$I1002,MATCH(F$3,Spells!$A$1:$I$1,0),FALSE))</f>
        <v/>
      </c>
      <c r="G583" s="49" t="str">
        <f>IFNA(VLOOKUP($A583,Spells!$A$2:$I1002,MATCH(G$3,Spells!$A$1:$I$1,0),FALSE))</f>
        <v/>
      </c>
      <c r="H583" s="49" t="str">
        <f>IFNA(VLOOKUP($A583,Spells!$A$2:$I1002,MATCH(H$3,Spells!$A$1:$I$1,0),FALSE))</f>
        <v/>
      </c>
    </row>
    <row r="584">
      <c r="A584" s="49"/>
      <c r="B584" s="49" t="str">
        <f>IFNA(VLOOKUP($A584,Spells!$A$2:$I1002,MATCH(B$3,Spells!$A$1:$I$1,0),FALSE))</f>
        <v/>
      </c>
      <c r="C584" s="49" t="str">
        <f>IFNA(VLOOKUP($A584,Spells!$A$2:$I1002,MATCH(C$3,Spells!$A$1:$I$1,0),FALSE))</f>
        <v/>
      </c>
      <c r="D584" s="49" t="str">
        <f>IFNA(VLOOKUP($A584,Spells!$A$2:$I1002,MATCH(D$3,Spells!$A$1:$I$1,0),FALSE))</f>
        <v/>
      </c>
      <c r="E584" s="49" t="str">
        <f>IFNA(VLOOKUP($A584,Spells!$A$2:$I1002,MATCH(E$3,Spells!$A$1:$I$1,0),FALSE))</f>
        <v/>
      </c>
      <c r="F584" s="49" t="str">
        <f>IFNA(VLOOKUP($A584,Spells!$A$2:$I1002,MATCH(F$3,Spells!$A$1:$I$1,0),FALSE))</f>
        <v/>
      </c>
      <c r="G584" s="49" t="str">
        <f>IFNA(VLOOKUP($A584,Spells!$A$2:$I1002,MATCH(G$3,Spells!$A$1:$I$1,0),FALSE))</f>
        <v/>
      </c>
      <c r="H584" s="49" t="str">
        <f>IFNA(VLOOKUP($A584,Spells!$A$2:$I1002,MATCH(H$3,Spells!$A$1:$I$1,0),FALSE))</f>
        <v/>
      </c>
    </row>
    <row r="585">
      <c r="A585" s="49"/>
      <c r="B585" s="49" t="str">
        <f>IFNA(VLOOKUP($A585,Spells!$A$2:$I1002,MATCH(B$3,Spells!$A$1:$I$1,0),FALSE))</f>
        <v/>
      </c>
      <c r="C585" s="49" t="str">
        <f>IFNA(VLOOKUP($A585,Spells!$A$2:$I1002,MATCH(C$3,Spells!$A$1:$I$1,0),FALSE))</f>
        <v/>
      </c>
      <c r="D585" s="49" t="str">
        <f>IFNA(VLOOKUP($A585,Spells!$A$2:$I1002,MATCH(D$3,Spells!$A$1:$I$1,0),FALSE))</f>
        <v/>
      </c>
      <c r="E585" s="49" t="str">
        <f>IFNA(VLOOKUP($A585,Spells!$A$2:$I1002,MATCH(E$3,Spells!$A$1:$I$1,0),FALSE))</f>
        <v/>
      </c>
      <c r="F585" s="49" t="str">
        <f>IFNA(VLOOKUP($A585,Spells!$A$2:$I1002,MATCH(F$3,Spells!$A$1:$I$1,0),FALSE))</f>
        <v/>
      </c>
      <c r="G585" s="49" t="str">
        <f>IFNA(VLOOKUP($A585,Spells!$A$2:$I1002,MATCH(G$3,Spells!$A$1:$I$1,0),FALSE))</f>
        <v/>
      </c>
      <c r="H585" s="49" t="str">
        <f>IFNA(VLOOKUP($A585,Spells!$A$2:$I1002,MATCH(H$3,Spells!$A$1:$I$1,0),FALSE))</f>
        <v/>
      </c>
    </row>
    <row r="586">
      <c r="A586" s="49"/>
      <c r="B586" s="49" t="str">
        <f>IFNA(VLOOKUP($A586,Spells!$A$2:$I1002,MATCH(B$3,Spells!$A$1:$I$1,0),FALSE))</f>
        <v/>
      </c>
      <c r="C586" s="49" t="str">
        <f>IFNA(VLOOKUP($A586,Spells!$A$2:$I1002,MATCH(C$3,Spells!$A$1:$I$1,0),FALSE))</f>
        <v/>
      </c>
      <c r="D586" s="49" t="str">
        <f>IFNA(VLOOKUP($A586,Spells!$A$2:$I1002,MATCH(D$3,Spells!$A$1:$I$1,0),FALSE))</f>
        <v/>
      </c>
      <c r="E586" s="49" t="str">
        <f>IFNA(VLOOKUP($A586,Spells!$A$2:$I1002,MATCH(E$3,Spells!$A$1:$I$1,0),FALSE))</f>
        <v/>
      </c>
      <c r="F586" s="49" t="str">
        <f>IFNA(VLOOKUP($A586,Spells!$A$2:$I1002,MATCH(F$3,Spells!$A$1:$I$1,0),FALSE))</f>
        <v/>
      </c>
      <c r="G586" s="49" t="str">
        <f>IFNA(VLOOKUP($A586,Spells!$A$2:$I1002,MATCH(G$3,Spells!$A$1:$I$1,0),FALSE))</f>
        <v/>
      </c>
      <c r="H586" s="49" t="str">
        <f>IFNA(VLOOKUP($A586,Spells!$A$2:$I1002,MATCH(H$3,Spells!$A$1:$I$1,0),FALSE))</f>
        <v/>
      </c>
    </row>
    <row r="587">
      <c r="A587" s="49"/>
      <c r="B587" s="49" t="str">
        <f>IFNA(VLOOKUP($A587,Spells!$A$2:$I1002,MATCH(B$3,Spells!$A$1:$I$1,0),FALSE))</f>
        <v/>
      </c>
      <c r="C587" s="49" t="str">
        <f>IFNA(VLOOKUP($A587,Spells!$A$2:$I1002,MATCH(C$3,Spells!$A$1:$I$1,0),FALSE))</f>
        <v/>
      </c>
      <c r="D587" s="49" t="str">
        <f>IFNA(VLOOKUP($A587,Spells!$A$2:$I1002,MATCH(D$3,Spells!$A$1:$I$1,0),FALSE))</f>
        <v/>
      </c>
      <c r="E587" s="49" t="str">
        <f>IFNA(VLOOKUP($A587,Spells!$A$2:$I1002,MATCH(E$3,Spells!$A$1:$I$1,0),FALSE))</f>
        <v/>
      </c>
      <c r="F587" s="49" t="str">
        <f>IFNA(VLOOKUP($A587,Spells!$A$2:$I1002,MATCH(F$3,Spells!$A$1:$I$1,0),FALSE))</f>
        <v/>
      </c>
      <c r="G587" s="49" t="str">
        <f>IFNA(VLOOKUP($A587,Spells!$A$2:$I1002,MATCH(G$3,Spells!$A$1:$I$1,0),FALSE))</f>
        <v/>
      </c>
      <c r="H587" s="49" t="str">
        <f>IFNA(VLOOKUP($A587,Spells!$A$2:$I1002,MATCH(H$3,Spells!$A$1:$I$1,0),FALSE))</f>
        <v/>
      </c>
    </row>
    <row r="588">
      <c r="A588" s="49"/>
      <c r="B588" s="49" t="str">
        <f>IFNA(VLOOKUP($A588,Spells!$A$2:$I1002,MATCH(B$3,Spells!$A$1:$I$1,0),FALSE))</f>
        <v/>
      </c>
      <c r="C588" s="49" t="str">
        <f>IFNA(VLOOKUP($A588,Spells!$A$2:$I1002,MATCH(C$3,Spells!$A$1:$I$1,0),FALSE))</f>
        <v/>
      </c>
      <c r="D588" s="49" t="str">
        <f>IFNA(VLOOKUP($A588,Spells!$A$2:$I1002,MATCH(D$3,Spells!$A$1:$I$1,0),FALSE))</f>
        <v/>
      </c>
      <c r="E588" s="49" t="str">
        <f>IFNA(VLOOKUP($A588,Spells!$A$2:$I1002,MATCH(E$3,Spells!$A$1:$I$1,0),FALSE))</f>
        <v/>
      </c>
      <c r="F588" s="49" t="str">
        <f>IFNA(VLOOKUP($A588,Spells!$A$2:$I1002,MATCH(F$3,Spells!$A$1:$I$1,0),FALSE))</f>
        <v/>
      </c>
      <c r="G588" s="49" t="str">
        <f>IFNA(VLOOKUP($A588,Spells!$A$2:$I1002,MATCH(G$3,Spells!$A$1:$I$1,0),FALSE))</f>
        <v/>
      </c>
      <c r="H588" s="49" t="str">
        <f>IFNA(VLOOKUP($A588,Spells!$A$2:$I1002,MATCH(H$3,Spells!$A$1:$I$1,0),FALSE))</f>
        <v/>
      </c>
    </row>
    <row r="589">
      <c r="A589" s="49"/>
      <c r="B589" s="49" t="str">
        <f>IFNA(VLOOKUP($A589,Spells!$A$2:$I1002,MATCH(B$3,Spells!$A$1:$I$1,0),FALSE))</f>
        <v/>
      </c>
      <c r="C589" s="49" t="str">
        <f>IFNA(VLOOKUP($A589,Spells!$A$2:$I1002,MATCH(C$3,Spells!$A$1:$I$1,0),FALSE))</f>
        <v/>
      </c>
      <c r="D589" s="49" t="str">
        <f>IFNA(VLOOKUP($A589,Spells!$A$2:$I1002,MATCH(D$3,Spells!$A$1:$I$1,0),FALSE))</f>
        <v/>
      </c>
      <c r="E589" s="49" t="str">
        <f>IFNA(VLOOKUP($A589,Spells!$A$2:$I1002,MATCH(E$3,Spells!$A$1:$I$1,0),FALSE))</f>
        <v/>
      </c>
      <c r="F589" s="49" t="str">
        <f>IFNA(VLOOKUP($A589,Spells!$A$2:$I1002,MATCH(F$3,Spells!$A$1:$I$1,0),FALSE))</f>
        <v/>
      </c>
      <c r="G589" s="49" t="str">
        <f>IFNA(VLOOKUP($A589,Spells!$A$2:$I1002,MATCH(G$3,Spells!$A$1:$I$1,0),FALSE))</f>
        <v/>
      </c>
      <c r="H589" s="49" t="str">
        <f>IFNA(VLOOKUP($A589,Spells!$A$2:$I1002,MATCH(H$3,Spells!$A$1:$I$1,0),FALSE))</f>
        <v/>
      </c>
    </row>
    <row r="590">
      <c r="A590" s="49"/>
      <c r="B590" s="49" t="str">
        <f>IFNA(VLOOKUP($A590,Spells!$A$2:$I1002,MATCH(B$3,Spells!$A$1:$I$1,0),FALSE))</f>
        <v/>
      </c>
      <c r="C590" s="49" t="str">
        <f>IFNA(VLOOKUP($A590,Spells!$A$2:$I1002,MATCH(C$3,Spells!$A$1:$I$1,0),FALSE))</f>
        <v/>
      </c>
      <c r="D590" s="49" t="str">
        <f>IFNA(VLOOKUP($A590,Spells!$A$2:$I1002,MATCH(D$3,Spells!$A$1:$I$1,0),FALSE))</f>
        <v/>
      </c>
      <c r="E590" s="49" t="str">
        <f>IFNA(VLOOKUP($A590,Spells!$A$2:$I1002,MATCH(E$3,Spells!$A$1:$I$1,0),FALSE))</f>
        <v/>
      </c>
      <c r="F590" s="49" t="str">
        <f>IFNA(VLOOKUP($A590,Spells!$A$2:$I1002,MATCH(F$3,Spells!$A$1:$I$1,0),FALSE))</f>
        <v/>
      </c>
      <c r="G590" s="49" t="str">
        <f>IFNA(VLOOKUP($A590,Spells!$A$2:$I1002,MATCH(G$3,Spells!$A$1:$I$1,0),FALSE))</f>
        <v/>
      </c>
      <c r="H590" s="49" t="str">
        <f>IFNA(VLOOKUP($A590,Spells!$A$2:$I1002,MATCH(H$3,Spells!$A$1:$I$1,0),FALSE))</f>
        <v/>
      </c>
    </row>
    <row r="591">
      <c r="A591" s="49"/>
      <c r="B591" s="49" t="str">
        <f>IFNA(VLOOKUP($A591,Spells!$A$2:$I1002,MATCH(B$3,Spells!$A$1:$I$1,0),FALSE))</f>
        <v/>
      </c>
      <c r="C591" s="49" t="str">
        <f>IFNA(VLOOKUP($A591,Spells!$A$2:$I1002,MATCH(C$3,Spells!$A$1:$I$1,0),FALSE))</f>
        <v/>
      </c>
      <c r="D591" s="49" t="str">
        <f>IFNA(VLOOKUP($A591,Spells!$A$2:$I1002,MATCH(D$3,Spells!$A$1:$I$1,0),FALSE))</f>
        <v/>
      </c>
      <c r="E591" s="49" t="str">
        <f>IFNA(VLOOKUP($A591,Spells!$A$2:$I1002,MATCH(E$3,Spells!$A$1:$I$1,0),FALSE))</f>
        <v/>
      </c>
      <c r="F591" s="49" t="str">
        <f>IFNA(VLOOKUP($A591,Spells!$A$2:$I1002,MATCH(F$3,Spells!$A$1:$I$1,0),FALSE))</f>
        <v/>
      </c>
      <c r="G591" s="49" t="str">
        <f>IFNA(VLOOKUP($A591,Spells!$A$2:$I1002,MATCH(G$3,Spells!$A$1:$I$1,0),FALSE))</f>
        <v/>
      </c>
      <c r="H591" s="49" t="str">
        <f>IFNA(VLOOKUP($A591,Spells!$A$2:$I1002,MATCH(H$3,Spells!$A$1:$I$1,0),FALSE))</f>
        <v/>
      </c>
    </row>
    <row r="592">
      <c r="A592" s="49"/>
      <c r="B592" s="49" t="str">
        <f>IFNA(VLOOKUP($A592,Spells!$A$2:$I1002,MATCH(B$3,Spells!$A$1:$I$1,0),FALSE))</f>
        <v/>
      </c>
      <c r="C592" s="49" t="str">
        <f>IFNA(VLOOKUP($A592,Spells!$A$2:$I1002,MATCH(C$3,Spells!$A$1:$I$1,0),FALSE))</f>
        <v/>
      </c>
      <c r="D592" s="49" t="str">
        <f>IFNA(VLOOKUP($A592,Spells!$A$2:$I1002,MATCH(D$3,Spells!$A$1:$I$1,0),FALSE))</f>
        <v/>
      </c>
      <c r="E592" s="49" t="str">
        <f>IFNA(VLOOKUP($A592,Spells!$A$2:$I1002,MATCH(E$3,Spells!$A$1:$I$1,0),FALSE))</f>
        <v/>
      </c>
      <c r="F592" s="49" t="str">
        <f>IFNA(VLOOKUP($A592,Spells!$A$2:$I1002,MATCH(F$3,Spells!$A$1:$I$1,0),FALSE))</f>
        <v/>
      </c>
      <c r="G592" s="49" t="str">
        <f>IFNA(VLOOKUP($A592,Spells!$A$2:$I1002,MATCH(G$3,Spells!$A$1:$I$1,0),FALSE))</f>
        <v/>
      </c>
      <c r="H592" s="49" t="str">
        <f>IFNA(VLOOKUP($A592,Spells!$A$2:$I1002,MATCH(H$3,Spells!$A$1:$I$1,0),FALSE))</f>
        <v/>
      </c>
    </row>
    <row r="593">
      <c r="A593" s="49"/>
      <c r="B593" s="49" t="str">
        <f>IFNA(VLOOKUP($A593,Spells!$A$2:$I1002,MATCH(B$3,Spells!$A$1:$I$1,0),FALSE))</f>
        <v/>
      </c>
      <c r="C593" s="49" t="str">
        <f>IFNA(VLOOKUP($A593,Spells!$A$2:$I1002,MATCH(C$3,Spells!$A$1:$I$1,0),FALSE))</f>
        <v/>
      </c>
      <c r="D593" s="49" t="str">
        <f>IFNA(VLOOKUP($A593,Spells!$A$2:$I1002,MATCH(D$3,Spells!$A$1:$I$1,0),FALSE))</f>
        <v/>
      </c>
      <c r="E593" s="49" t="str">
        <f>IFNA(VLOOKUP($A593,Spells!$A$2:$I1002,MATCH(E$3,Spells!$A$1:$I$1,0),FALSE))</f>
        <v/>
      </c>
      <c r="F593" s="49" t="str">
        <f>IFNA(VLOOKUP($A593,Spells!$A$2:$I1002,MATCH(F$3,Spells!$A$1:$I$1,0),FALSE))</f>
        <v/>
      </c>
      <c r="G593" s="49" t="str">
        <f>IFNA(VLOOKUP($A593,Spells!$A$2:$I1002,MATCH(G$3,Spells!$A$1:$I$1,0),FALSE))</f>
        <v/>
      </c>
      <c r="H593" s="49" t="str">
        <f>IFNA(VLOOKUP($A593,Spells!$A$2:$I1002,MATCH(H$3,Spells!$A$1:$I$1,0),FALSE))</f>
        <v/>
      </c>
    </row>
    <row r="594">
      <c r="A594" s="49"/>
      <c r="B594" s="49" t="str">
        <f>IFNA(VLOOKUP($A594,Spells!$A$2:$I1002,MATCH(B$3,Spells!$A$1:$I$1,0),FALSE))</f>
        <v/>
      </c>
      <c r="C594" s="49" t="str">
        <f>IFNA(VLOOKUP($A594,Spells!$A$2:$I1002,MATCH(C$3,Spells!$A$1:$I$1,0),FALSE))</f>
        <v/>
      </c>
      <c r="D594" s="49" t="str">
        <f>IFNA(VLOOKUP($A594,Spells!$A$2:$I1002,MATCH(D$3,Spells!$A$1:$I$1,0),FALSE))</f>
        <v/>
      </c>
      <c r="E594" s="49" t="str">
        <f>IFNA(VLOOKUP($A594,Spells!$A$2:$I1002,MATCH(E$3,Spells!$A$1:$I$1,0),FALSE))</f>
        <v/>
      </c>
      <c r="F594" s="49" t="str">
        <f>IFNA(VLOOKUP($A594,Spells!$A$2:$I1002,MATCH(F$3,Spells!$A$1:$I$1,0),FALSE))</f>
        <v/>
      </c>
      <c r="G594" s="49" t="str">
        <f>IFNA(VLOOKUP($A594,Spells!$A$2:$I1002,MATCH(G$3,Spells!$A$1:$I$1,0),FALSE))</f>
        <v/>
      </c>
      <c r="H594" s="49" t="str">
        <f>IFNA(VLOOKUP($A594,Spells!$A$2:$I1002,MATCH(H$3,Spells!$A$1:$I$1,0),FALSE))</f>
        <v/>
      </c>
    </row>
    <row r="595">
      <c r="A595" s="49"/>
      <c r="B595" s="49" t="str">
        <f>IFNA(VLOOKUP($A595,Spells!$A$2:$I1002,MATCH(B$3,Spells!$A$1:$I$1,0),FALSE))</f>
        <v/>
      </c>
      <c r="C595" s="49" t="str">
        <f>IFNA(VLOOKUP($A595,Spells!$A$2:$I1002,MATCH(C$3,Spells!$A$1:$I$1,0),FALSE))</f>
        <v/>
      </c>
      <c r="D595" s="49" t="str">
        <f>IFNA(VLOOKUP($A595,Spells!$A$2:$I1002,MATCH(D$3,Spells!$A$1:$I$1,0),FALSE))</f>
        <v/>
      </c>
      <c r="E595" s="49" t="str">
        <f>IFNA(VLOOKUP($A595,Spells!$A$2:$I1002,MATCH(E$3,Spells!$A$1:$I$1,0),FALSE))</f>
        <v/>
      </c>
      <c r="F595" s="49" t="str">
        <f>IFNA(VLOOKUP($A595,Spells!$A$2:$I1002,MATCH(F$3,Spells!$A$1:$I$1,0),FALSE))</f>
        <v/>
      </c>
      <c r="G595" s="49" t="str">
        <f>IFNA(VLOOKUP($A595,Spells!$A$2:$I1002,MATCH(G$3,Spells!$A$1:$I$1,0),FALSE))</f>
        <v/>
      </c>
      <c r="H595" s="49" t="str">
        <f>IFNA(VLOOKUP($A595,Spells!$A$2:$I1002,MATCH(H$3,Spells!$A$1:$I$1,0),FALSE))</f>
        <v/>
      </c>
    </row>
    <row r="596">
      <c r="A596" s="49"/>
      <c r="B596" s="49" t="str">
        <f>IFNA(VLOOKUP($A596,Spells!$A$2:$I1002,MATCH(B$3,Spells!$A$1:$I$1,0),FALSE))</f>
        <v/>
      </c>
      <c r="C596" s="49" t="str">
        <f>IFNA(VLOOKUP($A596,Spells!$A$2:$I1002,MATCH(C$3,Spells!$A$1:$I$1,0),FALSE))</f>
        <v/>
      </c>
      <c r="D596" s="49" t="str">
        <f>IFNA(VLOOKUP($A596,Spells!$A$2:$I1002,MATCH(D$3,Spells!$A$1:$I$1,0),FALSE))</f>
        <v/>
      </c>
      <c r="E596" s="49" t="str">
        <f>IFNA(VLOOKUP($A596,Spells!$A$2:$I1002,MATCH(E$3,Spells!$A$1:$I$1,0),FALSE))</f>
        <v/>
      </c>
      <c r="F596" s="49" t="str">
        <f>IFNA(VLOOKUP($A596,Spells!$A$2:$I1002,MATCH(F$3,Spells!$A$1:$I$1,0),FALSE))</f>
        <v/>
      </c>
      <c r="G596" s="49" t="str">
        <f>IFNA(VLOOKUP($A596,Spells!$A$2:$I1002,MATCH(G$3,Spells!$A$1:$I$1,0),FALSE))</f>
        <v/>
      </c>
      <c r="H596" s="49" t="str">
        <f>IFNA(VLOOKUP($A596,Spells!$A$2:$I1002,MATCH(H$3,Spells!$A$1:$I$1,0),FALSE))</f>
        <v/>
      </c>
    </row>
    <row r="597">
      <c r="A597" s="49"/>
      <c r="B597" s="49" t="str">
        <f>IFNA(VLOOKUP($A597,Spells!$A$2:$I1002,MATCH(B$3,Spells!$A$1:$I$1,0),FALSE))</f>
        <v/>
      </c>
      <c r="C597" s="49" t="str">
        <f>IFNA(VLOOKUP($A597,Spells!$A$2:$I1002,MATCH(C$3,Spells!$A$1:$I$1,0),FALSE))</f>
        <v/>
      </c>
      <c r="D597" s="49" t="str">
        <f>IFNA(VLOOKUP($A597,Spells!$A$2:$I1002,MATCH(D$3,Spells!$A$1:$I$1,0),FALSE))</f>
        <v/>
      </c>
      <c r="E597" s="49" t="str">
        <f>IFNA(VLOOKUP($A597,Spells!$A$2:$I1002,MATCH(E$3,Spells!$A$1:$I$1,0),FALSE))</f>
        <v/>
      </c>
      <c r="F597" s="49" t="str">
        <f>IFNA(VLOOKUP($A597,Spells!$A$2:$I1002,MATCH(F$3,Spells!$A$1:$I$1,0),FALSE))</f>
        <v/>
      </c>
      <c r="G597" s="49" t="str">
        <f>IFNA(VLOOKUP($A597,Spells!$A$2:$I1002,MATCH(G$3,Spells!$A$1:$I$1,0),FALSE))</f>
        <v/>
      </c>
      <c r="H597" s="49" t="str">
        <f>IFNA(VLOOKUP($A597,Spells!$A$2:$I1002,MATCH(H$3,Spells!$A$1:$I$1,0),FALSE))</f>
        <v/>
      </c>
    </row>
    <row r="598">
      <c r="A598" s="49"/>
      <c r="B598" s="49" t="str">
        <f>IFNA(VLOOKUP($A598,Spells!$A$2:$I1002,MATCH(B$3,Spells!$A$1:$I$1,0),FALSE))</f>
        <v/>
      </c>
      <c r="C598" s="49" t="str">
        <f>IFNA(VLOOKUP($A598,Spells!$A$2:$I1002,MATCH(C$3,Spells!$A$1:$I$1,0),FALSE))</f>
        <v/>
      </c>
      <c r="D598" s="49" t="str">
        <f>IFNA(VLOOKUP($A598,Spells!$A$2:$I1002,MATCH(D$3,Spells!$A$1:$I$1,0),FALSE))</f>
        <v/>
      </c>
      <c r="E598" s="49" t="str">
        <f>IFNA(VLOOKUP($A598,Spells!$A$2:$I1002,MATCH(E$3,Spells!$A$1:$I$1,0),FALSE))</f>
        <v/>
      </c>
      <c r="F598" s="49" t="str">
        <f>IFNA(VLOOKUP($A598,Spells!$A$2:$I1002,MATCH(F$3,Spells!$A$1:$I$1,0),FALSE))</f>
        <v/>
      </c>
      <c r="G598" s="49" t="str">
        <f>IFNA(VLOOKUP($A598,Spells!$A$2:$I1002,MATCH(G$3,Spells!$A$1:$I$1,0),FALSE))</f>
        <v/>
      </c>
      <c r="H598" s="49" t="str">
        <f>IFNA(VLOOKUP($A598,Spells!$A$2:$I1002,MATCH(H$3,Spells!$A$1:$I$1,0),FALSE))</f>
        <v/>
      </c>
    </row>
    <row r="599">
      <c r="A599" s="49"/>
      <c r="B599" s="49" t="str">
        <f>IFNA(VLOOKUP($A599,Spells!$A$2:$I1002,MATCH(B$3,Spells!$A$1:$I$1,0),FALSE))</f>
        <v/>
      </c>
      <c r="C599" s="49" t="str">
        <f>IFNA(VLOOKUP($A599,Spells!$A$2:$I1002,MATCH(C$3,Spells!$A$1:$I$1,0),FALSE))</f>
        <v/>
      </c>
      <c r="D599" s="49" t="str">
        <f>IFNA(VLOOKUP($A599,Spells!$A$2:$I1002,MATCH(D$3,Spells!$A$1:$I$1,0),FALSE))</f>
        <v/>
      </c>
      <c r="E599" s="49" t="str">
        <f>IFNA(VLOOKUP($A599,Spells!$A$2:$I1002,MATCH(E$3,Spells!$A$1:$I$1,0),FALSE))</f>
        <v/>
      </c>
      <c r="F599" s="49" t="str">
        <f>IFNA(VLOOKUP($A599,Spells!$A$2:$I1002,MATCH(F$3,Spells!$A$1:$I$1,0),FALSE))</f>
        <v/>
      </c>
      <c r="G599" s="49" t="str">
        <f>IFNA(VLOOKUP($A599,Spells!$A$2:$I1002,MATCH(G$3,Spells!$A$1:$I$1,0),FALSE))</f>
        <v/>
      </c>
      <c r="H599" s="49" t="str">
        <f>IFNA(VLOOKUP($A599,Spells!$A$2:$I1002,MATCH(H$3,Spells!$A$1:$I$1,0),FALSE))</f>
        <v/>
      </c>
    </row>
    <row r="600">
      <c r="A600" s="49"/>
      <c r="B600" s="49" t="str">
        <f>IFNA(VLOOKUP($A600,Spells!$A$2:$I1002,MATCH(B$3,Spells!$A$1:$I$1,0),FALSE))</f>
        <v/>
      </c>
      <c r="C600" s="49" t="str">
        <f>IFNA(VLOOKUP($A600,Spells!$A$2:$I1002,MATCH(C$3,Spells!$A$1:$I$1,0),FALSE))</f>
        <v/>
      </c>
      <c r="D600" s="49" t="str">
        <f>IFNA(VLOOKUP($A600,Spells!$A$2:$I1002,MATCH(D$3,Spells!$A$1:$I$1,0),FALSE))</f>
        <v/>
      </c>
      <c r="E600" s="49" t="str">
        <f>IFNA(VLOOKUP($A600,Spells!$A$2:$I1002,MATCH(E$3,Spells!$A$1:$I$1,0),FALSE))</f>
        <v/>
      </c>
      <c r="F600" s="49" t="str">
        <f>IFNA(VLOOKUP($A600,Spells!$A$2:$I1002,MATCH(F$3,Spells!$A$1:$I$1,0),FALSE))</f>
        <v/>
      </c>
      <c r="G600" s="49" t="str">
        <f>IFNA(VLOOKUP($A600,Spells!$A$2:$I1002,MATCH(G$3,Spells!$A$1:$I$1,0),FALSE))</f>
        <v/>
      </c>
      <c r="H600" s="49" t="str">
        <f>IFNA(VLOOKUP($A600,Spells!$A$2:$I1002,MATCH(H$3,Spells!$A$1:$I$1,0),FALSE))</f>
        <v/>
      </c>
    </row>
    <row r="601">
      <c r="A601" s="49"/>
      <c r="B601" s="49" t="str">
        <f>IFNA(VLOOKUP($A601,Spells!$A$2:$I1002,MATCH(B$3,Spells!$A$1:$I$1,0),FALSE))</f>
        <v/>
      </c>
      <c r="C601" s="49" t="str">
        <f>IFNA(VLOOKUP($A601,Spells!$A$2:$I1002,MATCH(C$3,Spells!$A$1:$I$1,0),FALSE))</f>
        <v/>
      </c>
      <c r="D601" s="49" t="str">
        <f>IFNA(VLOOKUP($A601,Spells!$A$2:$I1002,MATCH(D$3,Spells!$A$1:$I$1,0),FALSE))</f>
        <v/>
      </c>
      <c r="E601" s="49" t="str">
        <f>IFNA(VLOOKUP($A601,Spells!$A$2:$I1002,MATCH(E$3,Spells!$A$1:$I$1,0),FALSE))</f>
        <v/>
      </c>
      <c r="F601" s="49" t="str">
        <f>IFNA(VLOOKUP($A601,Spells!$A$2:$I1002,MATCH(F$3,Spells!$A$1:$I$1,0),FALSE))</f>
        <v/>
      </c>
      <c r="G601" s="49" t="str">
        <f>IFNA(VLOOKUP($A601,Spells!$A$2:$I1002,MATCH(G$3,Spells!$A$1:$I$1,0),FALSE))</f>
        <v/>
      </c>
      <c r="H601" s="49" t="str">
        <f>IFNA(VLOOKUP($A601,Spells!$A$2:$I1002,MATCH(H$3,Spells!$A$1:$I$1,0),FALSE))</f>
        <v/>
      </c>
    </row>
    <row r="602">
      <c r="A602" s="49"/>
      <c r="B602" s="49" t="str">
        <f>IFNA(VLOOKUP($A602,Spells!$A$2:$I1002,MATCH(B$3,Spells!$A$1:$I$1,0),FALSE))</f>
        <v/>
      </c>
      <c r="C602" s="49" t="str">
        <f>IFNA(VLOOKUP($A602,Spells!$A$2:$I1002,MATCH(C$3,Spells!$A$1:$I$1,0),FALSE))</f>
        <v/>
      </c>
      <c r="D602" s="49" t="str">
        <f>IFNA(VLOOKUP($A602,Spells!$A$2:$I1002,MATCH(D$3,Spells!$A$1:$I$1,0),FALSE))</f>
        <v/>
      </c>
      <c r="E602" s="49" t="str">
        <f>IFNA(VLOOKUP($A602,Spells!$A$2:$I1002,MATCH(E$3,Spells!$A$1:$I$1,0),FALSE))</f>
        <v/>
      </c>
      <c r="F602" s="49" t="str">
        <f>IFNA(VLOOKUP($A602,Spells!$A$2:$I1002,MATCH(F$3,Spells!$A$1:$I$1,0),FALSE))</f>
        <v/>
      </c>
      <c r="G602" s="49" t="str">
        <f>IFNA(VLOOKUP($A602,Spells!$A$2:$I1002,MATCH(G$3,Spells!$A$1:$I$1,0),FALSE))</f>
        <v/>
      </c>
      <c r="H602" s="49" t="str">
        <f>IFNA(VLOOKUP($A602,Spells!$A$2:$I1002,MATCH(H$3,Spells!$A$1:$I$1,0),FALSE))</f>
        <v/>
      </c>
    </row>
    <row r="603">
      <c r="A603" s="49"/>
      <c r="B603" s="49" t="str">
        <f>IFNA(VLOOKUP($A603,Spells!$A$2:$I1002,MATCH(B$3,Spells!$A$1:$I$1,0),FALSE))</f>
        <v/>
      </c>
      <c r="C603" s="49" t="str">
        <f>IFNA(VLOOKUP($A603,Spells!$A$2:$I1002,MATCH(C$3,Spells!$A$1:$I$1,0),FALSE))</f>
        <v/>
      </c>
      <c r="D603" s="49" t="str">
        <f>IFNA(VLOOKUP($A603,Spells!$A$2:$I1002,MATCH(D$3,Spells!$A$1:$I$1,0),FALSE))</f>
        <v/>
      </c>
      <c r="E603" s="49" t="str">
        <f>IFNA(VLOOKUP($A603,Spells!$A$2:$I1002,MATCH(E$3,Spells!$A$1:$I$1,0),FALSE))</f>
        <v/>
      </c>
      <c r="F603" s="49" t="str">
        <f>IFNA(VLOOKUP($A603,Spells!$A$2:$I1002,MATCH(F$3,Spells!$A$1:$I$1,0),FALSE))</f>
        <v/>
      </c>
      <c r="G603" s="49" t="str">
        <f>IFNA(VLOOKUP($A603,Spells!$A$2:$I1002,MATCH(G$3,Spells!$A$1:$I$1,0),FALSE))</f>
        <v/>
      </c>
      <c r="H603" s="49" t="str">
        <f>IFNA(VLOOKUP($A603,Spells!$A$2:$I1002,MATCH(H$3,Spells!$A$1:$I$1,0),FALSE))</f>
        <v/>
      </c>
    </row>
    <row r="604">
      <c r="A604" s="49"/>
      <c r="B604" s="49" t="str">
        <f>IFNA(VLOOKUP($A604,Spells!$A$2:$I1002,MATCH(B$3,Spells!$A$1:$I$1,0),FALSE))</f>
        <v/>
      </c>
      <c r="C604" s="49" t="str">
        <f>IFNA(VLOOKUP($A604,Spells!$A$2:$I1002,MATCH(C$3,Spells!$A$1:$I$1,0),FALSE))</f>
        <v/>
      </c>
      <c r="D604" s="49" t="str">
        <f>IFNA(VLOOKUP($A604,Spells!$A$2:$I1002,MATCH(D$3,Spells!$A$1:$I$1,0),FALSE))</f>
        <v/>
      </c>
      <c r="E604" s="49" t="str">
        <f>IFNA(VLOOKUP($A604,Spells!$A$2:$I1002,MATCH(E$3,Spells!$A$1:$I$1,0),FALSE))</f>
        <v/>
      </c>
      <c r="F604" s="49" t="str">
        <f>IFNA(VLOOKUP($A604,Spells!$A$2:$I1002,MATCH(F$3,Spells!$A$1:$I$1,0),FALSE))</f>
        <v/>
      </c>
      <c r="G604" s="49" t="str">
        <f>IFNA(VLOOKUP($A604,Spells!$A$2:$I1002,MATCH(G$3,Spells!$A$1:$I$1,0),FALSE))</f>
        <v/>
      </c>
      <c r="H604" s="49" t="str">
        <f>IFNA(VLOOKUP($A604,Spells!$A$2:$I1002,MATCH(H$3,Spells!$A$1:$I$1,0),FALSE))</f>
        <v/>
      </c>
    </row>
    <row r="605">
      <c r="A605" s="49"/>
      <c r="B605" s="49" t="str">
        <f>IFNA(VLOOKUP($A605,Spells!$A$2:$I1002,MATCH(B$3,Spells!$A$1:$I$1,0),FALSE))</f>
        <v/>
      </c>
      <c r="C605" s="49" t="str">
        <f>IFNA(VLOOKUP($A605,Spells!$A$2:$I1002,MATCH(C$3,Spells!$A$1:$I$1,0),FALSE))</f>
        <v/>
      </c>
      <c r="D605" s="49" t="str">
        <f>IFNA(VLOOKUP($A605,Spells!$A$2:$I1002,MATCH(D$3,Spells!$A$1:$I$1,0),FALSE))</f>
        <v/>
      </c>
      <c r="E605" s="49" t="str">
        <f>IFNA(VLOOKUP($A605,Spells!$A$2:$I1002,MATCH(E$3,Spells!$A$1:$I$1,0),FALSE))</f>
        <v/>
      </c>
      <c r="F605" s="49" t="str">
        <f>IFNA(VLOOKUP($A605,Spells!$A$2:$I1002,MATCH(F$3,Spells!$A$1:$I$1,0),FALSE))</f>
        <v/>
      </c>
      <c r="G605" s="49" t="str">
        <f>IFNA(VLOOKUP($A605,Spells!$A$2:$I1002,MATCH(G$3,Spells!$A$1:$I$1,0),FALSE))</f>
        <v/>
      </c>
      <c r="H605" s="49" t="str">
        <f>IFNA(VLOOKUP($A605,Spells!$A$2:$I1002,MATCH(H$3,Spells!$A$1:$I$1,0),FALSE))</f>
        <v/>
      </c>
    </row>
    <row r="606">
      <c r="A606" s="49"/>
      <c r="B606" s="49" t="str">
        <f>IFNA(VLOOKUP($A606,Spells!$A$2:$I1002,MATCH(B$3,Spells!$A$1:$I$1,0),FALSE))</f>
        <v/>
      </c>
      <c r="C606" s="49" t="str">
        <f>IFNA(VLOOKUP($A606,Spells!$A$2:$I1002,MATCH(C$3,Spells!$A$1:$I$1,0),FALSE))</f>
        <v/>
      </c>
      <c r="D606" s="49" t="str">
        <f>IFNA(VLOOKUP($A606,Spells!$A$2:$I1002,MATCH(D$3,Spells!$A$1:$I$1,0),FALSE))</f>
        <v/>
      </c>
      <c r="E606" s="49" t="str">
        <f>IFNA(VLOOKUP($A606,Spells!$A$2:$I1002,MATCH(E$3,Spells!$A$1:$I$1,0),FALSE))</f>
        <v/>
      </c>
      <c r="F606" s="49" t="str">
        <f>IFNA(VLOOKUP($A606,Spells!$A$2:$I1002,MATCH(F$3,Spells!$A$1:$I$1,0),FALSE))</f>
        <v/>
      </c>
      <c r="G606" s="49" t="str">
        <f>IFNA(VLOOKUP($A606,Spells!$A$2:$I1002,MATCH(G$3,Spells!$A$1:$I$1,0),FALSE))</f>
        <v/>
      </c>
      <c r="H606" s="49" t="str">
        <f>IFNA(VLOOKUP($A606,Spells!$A$2:$I1002,MATCH(H$3,Spells!$A$1:$I$1,0),FALSE))</f>
        <v/>
      </c>
    </row>
    <row r="607">
      <c r="A607" s="49"/>
      <c r="B607" s="49" t="str">
        <f>IFNA(VLOOKUP($A607,Spells!$A$2:$I1002,MATCH(B$3,Spells!$A$1:$I$1,0),FALSE))</f>
        <v/>
      </c>
      <c r="C607" s="49" t="str">
        <f>IFNA(VLOOKUP($A607,Spells!$A$2:$I1002,MATCH(C$3,Spells!$A$1:$I$1,0),FALSE))</f>
        <v/>
      </c>
      <c r="D607" s="49" t="str">
        <f>IFNA(VLOOKUP($A607,Spells!$A$2:$I1002,MATCH(D$3,Spells!$A$1:$I$1,0),FALSE))</f>
        <v/>
      </c>
      <c r="E607" s="49" t="str">
        <f>IFNA(VLOOKUP($A607,Spells!$A$2:$I1002,MATCH(E$3,Spells!$A$1:$I$1,0),FALSE))</f>
        <v/>
      </c>
      <c r="F607" s="49" t="str">
        <f>IFNA(VLOOKUP($A607,Spells!$A$2:$I1002,MATCH(F$3,Spells!$A$1:$I$1,0),FALSE))</f>
        <v/>
      </c>
      <c r="G607" s="49" t="str">
        <f>IFNA(VLOOKUP($A607,Spells!$A$2:$I1002,MATCH(G$3,Spells!$A$1:$I$1,0),FALSE))</f>
        <v/>
      </c>
      <c r="H607" s="49" t="str">
        <f>IFNA(VLOOKUP($A607,Spells!$A$2:$I1002,MATCH(H$3,Spells!$A$1:$I$1,0),FALSE))</f>
        <v/>
      </c>
    </row>
    <row r="608">
      <c r="A608" s="49"/>
      <c r="B608" s="49" t="str">
        <f>IFNA(VLOOKUP($A608,Spells!$A$2:$I1002,MATCH(B$3,Spells!$A$1:$I$1,0),FALSE))</f>
        <v/>
      </c>
      <c r="C608" s="49" t="str">
        <f>IFNA(VLOOKUP($A608,Spells!$A$2:$I1002,MATCH(C$3,Spells!$A$1:$I$1,0),FALSE))</f>
        <v/>
      </c>
      <c r="D608" s="49" t="str">
        <f>IFNA(VLOOKUP($A608,Spells!$A$2:$I1002,MATCH(D$3,Spells!$A$1:$I$1,0),FALSE))</f>
        <v/>
      </c>
      <c r="E608" s="49" t="str">
        <f>IFNA(VLOOKUP($A608,Spells!$A$2:$I1002,MATCH(E$3,Spells!$A$1:$I$1,0),FALSE))</f>
        <v/>
      </c>
      <c r="F608" s="49" t="str">
        <f>IFNA(VLOOKUP($A608,Spells!$A$2:$I1002,MATCH(F$3,Spells!$A$1:$I$1,0),FALSE))</f>
        <v/>
      </c>
      <c r="G608" s="49" t="str">
        <f>IFNA(VLOOKUP($A608,Spells!$A$2:$I1002,MATCH(G$3,Spells!$A$1:$I$1,0),FALSE))</f>
        <v/>
      </c>
      <c r="H608" s="49" t="str">
        <f>IFNA(VLOOKUP($A608,Spells!$A$2:$I1002,MATCH(H$3,Spells!$A$1:$I$1,0),FALSE))</f>
        <v/>
      </c>
    </row>
    <row r="609">
      <c r="A609" s="49"/>
      <c r="B609" s="49" t="str">
        <f>IFNA(VLOOKUP($A609,Spells!$A$2:$I1002,MATCH(B$3,Spells!$A$1:$I$1,0),FALSE))</f>
        <v/>
      </c>
      <c r="C609" s="49" t="str">
        <f>IFNA(VLOOKUP($A609,Spells!$A$2:$I1002,MATCH(C$3,Spells!$A$1:$I$1,0),FALSE))</f>
        <v/>
      </c>
      <c r="D609" s="49" t="str">
        <f>IFNA(VLOOKUP($A609,Spells!$A$2:$I1002,MATCH(D$3,Spells!$A$1:$I$1,0),FALSE))</f>
        <v/>
      </c>
      <c r="E609" s="49" t="str">
        <f>IFNA(VLOOKUP($A609,Spells!$A$2:$I1002,MATCH(E$3,Spells!$A$1:$I$1,0),FALSE))</f>
        <v/>
      </c>
      <c r="F609" s="49" t="str">
        <f>IFNA(VLOOKUP($A609,Spells!$A$2:$I1002,MATCH(F$3,Spells!$A$1:$I$1,0),FALSE))</f>
        <v/>
      </c>
      <c r="G609" s="49" t="str">
        <f>IFNA(VLOOKUP($A609,Spells!$A$2:$I1002,MATCH(G$3,Spells!$A$1:$I$1,0),FALSE))</f>
        <v/>
      </c>
      <c r="H609" s="49" t="str">
        <f>IFNA(VLOOKUP($A609,Spells!$A$2:$I1002,MATCH(H$3,Spells!$A$1:$I$1,0),FALSE))</f>
        <v/>
      </c>
    </row>
    <row r="610">
      <c r="A610" s="49"/>
      <c r="B610" s="49" t="str">
        <f>IFNA(VLOOKUP($A610,Spells!$A$2:$I1002,MATCH(B$3,Spells!$A$1:$I$1,0),FALSE))</f>
        <v/>
      </c>
      <c r="C610" s="49" t="str">
        <f>IFNA(VLOOKUP($A610,Spells!$A$2:$I1002,MATCH(C$3,Spells!$A$1:$I$1,0),FALSE))</f>
        <v/>
      </c>
      <c r="D610" s="49" t="str">
        <f>IFNA(VLOOKUP($A610,Spells!$A$2:$I1002,MATCH(D$3,Spells!$A$1:$I$1,0),FALSE))</f>
        <v/>
      </c>
      <c r="E610" s="49" t="str">
        <f>IFNA(VLOOKUP($A610,Spells!$A$2:$I1002,MATCH(E$3,Spells!$A$1:$I$1,0),FALSE))</f>
        <v/>
      </c>
      <c r="F610" s="49" t="str">
        <f>IFNA(VLOOKUP($A610,Spells!$A$2:$I1002,MATCH(F$3,Spells!$A$1:$I$1,0),FALSE))</f>
        <v/>
      </c>
      <c r="G610" s="49" t="str">
        <f>IFNA(VLOOKUP($A610,Spells!$A$2:$I1002,MATCH(G$3,Spells!$A$1:$I$1,0),FALSE))</f>
        <v/>
      </c>
      <c r="H610" s="49" t="str">
        <f>IFNA(VLOOKUP($A610,Spells!$A$2:$I1002,MATCH(H$3,Spells!$A$1:$I$1,0),FALSE))</f>
        <v/>
      </c>
    </row>
    <row r="611">
      <c r="A611" s="49"/>
      <c r="B611" s="49" t="str">
        <f>IFNA(VLOOKUP($A611,Spells!$A$2:$I1002,MATCH(B$3,Spells!$A$1:$I$1,0),FALSE))</f>
        <v/>
      </c>
      <c r="C611" s="49" t="str">
        <f>IFNA(VLOOKUP($A611,Spells!$A$2:$I1002,MATCH(C$3,Spells!$A$1:$I$1,0),FALSE))</f>
        <v/>
      </c>
      <c r="D611" s="49" t="str">
        <f>IFNA(VLOOKUP($A611,Spells!$A$2:$I1002,MATCH(D$3,Spells!$A$1:$I$1,0),FALSE))</f>
        <v/>
      </c>
      <c r="E611" s="49" t="str">
        <f>IFNA(VLOOKUP($A611,Spells!$A$2:$I1002,MATCH(E$3,Spells!$A$1:$I$1,0),FALSE))</f>
        <v/>
      </c>
      <c r="F611" s="49" t="str">
        <f>IFNA(VLOOKUP($A611,Spells!$A$2:$I1002,MATCH(F$3,Spells!$A$1:$I$1,0),FALSE))</f>
        <v/>
      </c>
      <c r="G611" s="49" t="str">
        <f>IFNA(VLOOKUP($A611,Spells!$A$2:$I1002,MATCH(G$3,Spells!$A$1:$I$1,0),FALSE))</f>
        <v/>
      </c>
      <c r="H611" s="49" t="str">
        <f>IFNA(VLOOKUP($A611,Spells!$A$2:$I1002,MATCH(H$3,Spells!$A$1:$I$1,0),FALSE))</f>
        <v/>
      </c>
    </row>
    <row r="612">
      <c r="A612" s="49"/>
      <c r="B612" s="49" t="str">
        <f>IFNA(VLOOKUP($A612,Spells!$A$2:$I1002,MATCH(B$3,Spells!$A$1:$I$1,0),FALSE))</f>
        <v/>
      </c>
      <c r="C612" s="49" t="str">
        <f>IFNA(VLOOKUP($A612,Spells!$A$2:$I1002,MATCH(C$3,Spells!$A$1:$I$1,0),FALSE))</f>
        <v/>
      </c>
      <c r="D612" s="49" t="str">
        <f>IFNA(VLOOKUP($A612,Spells!$A$2:$I1002,MATCH(D$3,Spells!$A$1:$I$1,0),FALSE))</f>
        <v/>
      </c>
      <c r="E612" s="49" t="str">
        <f>IFNA(VLOOKUP($A612,Spells!$A$2:$I1002,MATCH(E$3,Spells!$A$1:$I$1,0),FALSE))</f>
        <v/>
      </c>
      <c r="F612" s="49" t="str">
        <f>IFNA(VLOOKUP($A612,Spells!$A$2:$I1002,MATCH(F$3,Spells!$A$1:$I$1,0),FALSE))</f>
        <v/>
      </c>
      <c r="G612" s="49" t="str">
        <f>IFNA(VLOOKUP($A612,Spells!$A$2:$I1002,MATCH(G$3,Spells!$A$1:$I$1,0),FALSE))</f>
        <v/>
      </c>
      <c r="H612" s="49" t="str">
        <f>IFNA(VLOOKUP($A612,Spells!$A$2:$I1002,MATCH(H$3,Spells!$A$1:$I$1,0),FALSE))</f>
        <v/>
      </c>
    </row>
    <row r="613">
      <c r="A613" s="49"/>
      <c r="B613" s="49" t="str">
        <f>IFNA(VLOOKUP($A613,Spells!$A$2:$I1002,MATCH(B$3,Spells!$A$1:$I$1,0),FALSE))</f>
        <v/>
      </c>
      <c r="C613" s="49" t="str">
        <f>IFNA(VLOOKUP($A613,Spells!$A$2:$I1002,MATCH(C$3,Spells!$A$1:$I$1,0),FALSE))</f>
        <v/>
      </c>
      <c r="D613" s="49" t="str">
        <f>IFNA(VLOOKUP($A613,Spells!$A$2:$I1002,MATCH(D$3,Spells!$A$1:$I$1,0),FALSE))</f>
        <v/>
      </c>
      <c r="E613" s="49" t="str">
        <f>IFNA(VLOOKUP($A613,Spells!$A$2:$I1002,MATCH(E$3,Spells!$A$1:$I$1,0),FALSE))</f>
        <v/>
      </c>
      <c r="F613" s="49" t="str">
        <f>IFNA(VLOOKUP($A613,Spells!$A$2:$I1002,MATCH(F$3,Spells!$A$1:$I$1,0),FALSE))</f>
        <v/>
      </c>
      <c r="G613" s="49" t="str">
        <f>IFNA(VLOOKUP($A613,Spells!$A$2:$I1002,MATCH(G$3,Spells!$A$1:$I$1,0),FALSE))</f>
        <v/>
      </c>
      <c r="H613" s="49" t="str">
        <f>IFNA(VLOOKUP($A613,Spells!$A$2:$I1002,MATCH(H$3,Spells!$A$1:$I$1,0),FALSE))</f>
        <v/>
      </c>
    </row>
    <row r="614">
      <c r="A614" s="49"/>
      <c r="B614" s="49" t="str">
        <f>IFNA(VLOOKUP($A614,Spells!$A$2:$I1002,MATCH(B$3,Spells!$A$1:$I$1,0),FALSE))</f>
        <v/>
      </c>
      <c r="C614" s="49" t="str">
        <f>IFNA(VLOOKUP($A614,Spells!$A$2:$I1002,MATCH(C$3,Spells!$A$1:$I$1,0),FALSE))</f>
        <v/>
      </c>
      <c r="D614" s="49" t="str">
        <f>IFNA(VLOOKUP($A614,Spells!$A$2:$I1002,MATCH(D$3,Spells!$A$1:$I$1,0),FALSE))</f>
        <v/>
      </c>
      <c r="E614" s="49" t="str">
        <f>IFNA(VLOOKUP($A614,Spells!$A$2:$I1002,MATCH(E$3,Spells!$A$1:$I$1,0),FALSE))</f>
        <v/>
      </c>
      <c r="F614" s="49" t="str">
        <f>IFNA(VLOOKUP($A614,Spells!$A$2:$I1002,MATCH(F$3,Spells!$A$1:$I$1,0),FALSE))</f>
        <v/>
      </c>
      <c r="G614" s="49" t="str">
        <f>IFNA(VLOOKUP($A614,Spells!$A$2:$I1002,MATCH(G$3,Spells!$A$1:$I$1,0),FALSE))</f>
        <v/>
      </c>
      <c r="H614" s="49" t="str">
        <f>IFNA(VLOOKUP($A614,Spells!$A$2:$I1002,MATCH(H$3,Spells!$A$1:$I$1,0),FALSE))</f>
        <v/>
      </c>
    </row>
    <row r="615">
      <c r="A615" s="49"/>
      <c r="B615" s="49" t="str">
        <f>IFNA(VLOOKUP($A615,Spells!$A$2:$I1002,MATCH(B$3,Spells!$A$1:$I$1,0),FALSE))</f>
        <v/>
      </c>
      <c r="C615" s="49" t="str">
        <f>IFNA(VLOOKUP($A615,Spells!$A$2:$I1002,MATCH(C$3,Spells!$A$1:$I$1,0),FALSE))</f>
        <v/>
      </c>
      <c r="D615" s="49" t="str">
        <f>IFNA(VLOOKUP($A615,Spells!$A$2:$I1002,MATCH(D$3,Spells!$A$1:$I$1,0),FALSE))</f>
        <v/>
      </c>
      <c r="E615" s="49" t="str">
        <f>IFNA(VLOOKUP($A615,Spells!$A$2:$I1002,MATCH(E$3,Spells!$A$1:$I$1,0),FALSE))</f>
        <v/>
      </c>
      <c r="F615" s="49" t="str">
        <f>IFNA(VLOOKUP($A615,Spells!$A$2:$I1002,MATCH(F$3,Spells!$A$1:$I$1,0),FALSE))</f>
        <v/>
      </c>
      <c r="G615" s="49" t="str">
        <f>IFNA(VLOOKUP($A615,Spells!$A$2:$I1002,MATCH(G$3,Spells!$A$1:$I$1,0),FALSE))</f>
        <v/>
      </c>
      <c r="H615" s="49" t="str">
        <f>IFNA(VLOOKUP($A615,Spells!$A$2:$I1002,MATCH(H$3,Spells!$A$1:$I$1,0),FALSE))</f>
        <v/>
      </c>
    </row>
    <row r="616">
      <c r="A616" s="49"/>
      <c r="B616" s="49" t="str">
        <f>IFNA(VLOOKUP($A616,Spells!$A$2:$I1002,MATCH(B$3,Spells!$A$1:$I$1,0),FALSE))</f>
        <v/>
      </c>
      <c r="C616" s="49" t="str">
        <f>IFNA(VLOOKUP($A616,Spells!$A$2:$I1002,MATCH(C$3,Spells!$A$1:$I$1,0),FALSE))</f>
        <v/>
      </c>
      <c r="D616" s="49" t="str">
        <f>IFNA(VLOOKUP($A616,Spells!$A$2:$I1002,MATCH(D$3,Spells!$A$1:$I$1,0),FALSE))</f>
        <v/>
      </c>
      <c r="E616" s="49" t="str">
        <f>IFNA(VLOOKUP($A616,Spells!$A$2:$I1002,MATCH(E$3,Spells!$A$1:$I$1,0),FALSE))</f>
        <v/>
      </c>
      <c r="F616" s="49" t="str">
        <f>IFNA(VLOOKUP($A616,Spells!$A$2:$I1002,MATCH(F$3,Spells!$A$1:$I$1,0),FALSE))</f>
        <v/>
      </c>
      <c r="G616" s="49" t="str">
        <f>IFNA(VLOOKUP($A616,Spells!$A$2:$I1002,MATCH(G$3,Spells!$A$1:$I$1,0),FALSE))</f>
        <v/>
      </c>
      <c r="H616" s="49" t="str">
        <f>IFNA(VLOOKUP($A616,Spells!$A$2:$I1002,MATCH(H$3,Spells!$A$1:$I$1,0),FALSE))</f>
        <v/>
      </c>
    </row>
    <row r="617">
      <c r="A617" s="49"/>
      <c r="B617" s="49" t="str">
        <f>IFNA(VLOOKUP($A617,Spells!$A$2:$I1002,MATCH(B$3,Spells!$A$1:$I$1,0),FALSE))</f>
        <v/>
      </c>
      <c r="C617" s="49" t="str">
        <f>IFNA(VLOOKUP($A617,Spells!$A$2:$I1002,MATCH(C$3,Spells!$A$1:$I$1,0),FALSE))</f>
        <v/>
      </c>
      <c r="D617" s="49" t="str">
        <f>IFNA(VLOOKUP($A617,Spells!$A$2:$I1002,MATCH(D$3,Spells!$A$1:$I$1,0),FALSE))</f>
        <v/>
      </c>
      <c r="E617" s="49" t="str">
        <f>IFNA(VLOOKUP($A617,Spells!$A$2:$I1002,MATCH(E$3,Spells!$A$1:$I$1,0),FALSE))</f>
        <v/>
      </c>
      <c r="F617" s="49" t="str">
        <f>IFNA(VLOOKUP($A617,Spells!$A$2:$I1002,MATCH(F$3,Spells!$A$1:$I$1,0),FALSE))</f>
        <v/>
      </c>
      <c r="G617" s="49" t="str">
        <f>IFNA(VLOOKUP($A617,Spells!$A$2:$I1002,MATCH(G$3,Spells!$A$1:$I$1,0),FALSE))</f>
        <v/>
      </c>
      <c r="H617" s="49" t="str">
        <f>IFNA(VLOOKUP($A617,Spells!$A$2:$I1002,MATCH(H$3,Spells!$A$1:$I$1,0),FALSE))</f>
        <v/>
      </c>
    </row>
    <row r="618">
      <c r="A618" s="49"/>
      <c r="B618" s="49" t="str">
        <f>IFNA(VLOOKUP($A618,Spells!$A$2:$I1002,MATCH(B$3,Spells!$A$1:$I$1,0),FALSE))</f>
        <v/>
      </c>
      <c r="C618" s="49" t="str">
        <f>IFNA(VLOOKUP($A618,Spells!$A$2:$I1002,MATCH(C$3,Spells!$A$1:$I$1,0),FALSE))</f>
        <v/>
      </c>
      <c r="D618" s="49" t="str">
        <f>IFNA(VLOOKUP($A618,Spells!$A$2:$I1002,MATCH(D$3,Spells!$A$1:$I$1,0),FALSE))</f>
        <v/>
      </c>
      <c r="E618" s="49" t="str">
        <f>IFNA(VLOOKUP($A618,Spells!$A$2:$I1002,MATCH(E$3,Spells!$A$1:$I$1,0),FALSE))</f>
        <v/>
      </c>
      <c r="F618" s="49" t="str">
        <f>IFNA(VLOOKUP($A618,Spells!$A$2:$I1002,MATCH(F$3,Spells!$A$1:$I$1,0),FALSE))</f>
        <v/>
      </c>
      <c r="G618" s="49" t="str">
        <f>IFNA(VLOOKUP($A618,Spells!$A$2:$I1002,MATCH(G$3,Spells!$A$1:$I$1,0),FALSE))</f>
        <v/>
      </c>
      <c r="H618" s="49" t="str">
        <f>IFNA(VLOOKUP($A618,Spells!$A$2:$I1002,MATCH(H$3,Spells!$A$1:$I$1,0),FALSE))</f>
        <v/>
      </c>
    </row>
    <row r="619">
      <c r="A619" s="49"/>
      <c r="B619" s="49" t="str">
        <f>IFNA(VLOOKUP($A619,Spells!$A$2:$I1002,MATCH(B$3,Spells!$A$1:$I$1,0),FALSE))</f>
        <v/>
      </c>
      <c r="C619" s="49" t="str">
        <f>IFNA(VLOOKUP($A619,Spells!$A$2:$I1002,MATCH(C$3,Spells!$A$1:$I$1,0),FALSE))</f>
        <v/>
      </c>
      <c r="D619" s="49" t="str">
        <f>IFNA(VLOOKUP($A619,Spells!$A$2:$I1002,MATCH(D$3,Spells!$A$1:$I$1,0),FALSE))</f>
        <v/>
      </c>
      <c r="E619" s="49" t="str">
        <f>IFNA(VLOOKUP($A619,Spells!$A$2:$I1002,MATCH(E$3,Spells!$A$1:$I$1,0),FALSE))</f>
        <v/>
      </c>
      <c r="F619" s="49" t="str">
        <f>IFNA(VLOOKUP($A619,Spells!$A$2:$I1002,MATCH(F$3,Spells!$A$1:$I$1,0),FALSE))</f>
        <v/>
      </c>
      <c r="G619" s="49" t="str">
        <f>IFNA(VLOOKUP($A619,Spells!$A$2:$I1002,MATCH(G$3,Spells!$A$1:$I$1,0),FALSE))</f>
        <v/>
      </c>
      <c r="H619" s="49" t="str">
        <f>IFNA(VLOOKUP($A619,Spells!$A$2:$I1002,MATCH(H$3,Spells!$A$1:$I$1,0),FALSE))</f>
        <v/>
      </c>
    </row>
    <row r="620">
      <c r="A620" s="49"/>
      <c r="B620" s="49" t="str">
        <f>IFNA(VLOOKUP($A620,Spells!$A$2:$I1002,MATCH(B$3,Spells!$A$1:$I$1,0),FALSE))</f>
        <v/>
      </c>
      <c r="C620" s="49" t="str">
        <f>IFNA(VLOOKUP($A620,Spells!$A$2:$I1002,MATCH(C$3,Spells!$A$1:$I$1,0),FALSE))</f>
        <v/>
      </c>
      <c r="D620" s="49" t="str">
        <f>IFNA(VLOOKUP($A620,Spells!$A$2:$I1002,MATCH(D$3,Spells!$A$1:$I$1,0),FALSE))</f>
        <v/>
      </c>
      <c r="E620" s="49" t="str">
        <f>IFNA(VLOOKUP($A620,Spells!$A$2:$I1002,MATCH(E$3,Spells!$A$1:$I$1,0),FALSE))</f>
        <v/>
      </c>
      <c r="F620" s="49" t="str">
        <f>IFNA(VLOOKUP($A620,Spells!$A$2:$I1002,MATCH(F$3,Spells!$A$1:$I$1,0),FALSE))</f>
        <v/>
      </c>
      <c r="G620" s="49" t="str">
        <f>IFNA(VLOOKUP($A620,Spells!$A$2:$I1002,MATCH(G$3,Spells!$A$1:$I$1,0),FALSE))</f>
        <v/>
      </c>
      <c r="H620" s="49" t="str">
        <f>IFNA(VLOOKUP($A620,Spells!$A$2:$I1002,MATCH(H$3,Spells!$A$1:$I$1,0),FALSE))</f>
        <v/>
      </c>
    </row>
    <row r="621">
      <c r="A621" s="49"/>
      <c r="B621" s="49" t="str">
        <f>IFNA(VLOOKUP($A621,Spells!$A$2:$I1002,MATCH(B$3,Spells!$A$1:$I$1,0),FALSE))</f>
        <v/>
      </c>
      <c r="C621" s="49" t="str">
        <f>IFNA(VLOOKUP($A621,Spells!$A$2:$I1002,MATCH(C$3,Spells!$A$1:$I$1,0),FALSE))</f>
        <v/>
      </c>
      <c r="D621" s="49" t="str">
        <f>IFNA(VLOOKUP($A621,Spells!$A$2:$I1002,MATCH(D$3,Spells!$A$1:$I$1,0),FALSE))</f>
        <v/>
      </c>
      <c r="E621" s="49" t="str">
        <f>IFNA(VLOOKUP($A621,Spells!$A$2:$I1002,MATCH(E$3,Spells!$A$1:$I$1,0),FALSE))</f>
        <v/>
      </c>
      <c r="F621" s="49" t="str">
        <f>IFNA(VLOOKUP($A621,Spells!$A$2:$I1002,MATCH(F$3,Spells!$A$1:$I$1,0),FALSE))</f>
        <v/>
      </c>
      <c r="G621" s="49" t="str">
        <f>IFNA(VLOOKUP($A621,Spells!$A$2:$I1002,MATCH(G$3,Spells!$A$1:$I$1,0),FALSE))</f>
        <v/>
      </c>
      <c r="H621" s="49" t="str">
        <f>IFNA(VLOOKUP($A621,Spells!$A$2:$I1002,MATCH(H$3,Spells!$A$1:$I$1,0),FALSE))</f>
        <v/>
      </c>
    </row>
    <row r="622">
      <c r="A622" s="49"/>
      <c r="B622" s="49" t="str">
        <f>IFNA(VLOOKUP($A622,Spells!$A$2:$I1002,MATCH(B$3,Spells!$A$1:$I$1,0),FALSE))</f>
        <v/>
      </c>
      <c r="C622" s="49" t="str">
        <f>IFNA(VLOOKUP($A622,Spells!$A$2:$I1002,MATCH(C$3,Spells!$A$1:$I$1,0),FALSE))</f>
        <v/>
      </c>
      <c r="D622" s="49" t="str">
        <f>IFNA(VLOOKUP($A622,Spells!$A$2:$I1002,MATCH(D$3,Spells!$A$1:$I$1,0),FALSE))</f>
        <v/>
      </c>
      <c r="E622" s="49" t="str">
        <f>IFNA(VLOOKUP($A622,Spells!$A$2:$I1002,MATCH(E$3,Spells!$A$1:$I$1,0),FALSE))</f>
        <v/>
      </c>
      <c r="F622" s="49" t="str">
        <f>IFNA(VLOOKUP($A622,Spells!$A$2:$I1002,MATCH(F$3,Spells!$A$1:$I$1,0),FALSE))</f>
        <v/>
      </c>
      <c r="G622" s="49" t="str">
        <f>IFNA(VLOOKUP($A622,Spells!$A$2:$I1002,MATCH(G$3,Spells!$A$1:$I$1,0),FALSE))</f>
        <v/>
      </c>
      <c r="H622" s="49" t="str">
        <f>IFNA(VLOOKUP($A622,Spells!$A$2:$I1002,MATCH(H$3,Spells!$A$1:$I$1,0),FALSE))</f>
        <v/>
      </c>
    </row>
    <row r="623">
      <c r="A623" s="49"/>
      <c r="B623" s="49" t="str">
        <f>IFNA(VLOOKUP($A623,Spells!$A$2:$I1002,MATCH(B$3,Spells!$A$1:$I$1,0),FALSE))</f>
        <v/>
      </c>
      <c r="C623" s="49" t="str">
        <f>IFNA(VLOOKUP($A623,Spells!$A$2:$I1002,MATCH(C$3,Spells!$A$1:$I$1,0),FALSE))</f>
        <v/>
      </c>
      <c r="D623" s="49" t="str">
        <f>IFNA(VLOOKUP($A623,Spells!$A$2:$I1002,MATCH(D$3,Spells!$A$1:$I$1,0),FALSE))</f>
        <v/>
      </c>
      <c r="E623" s="49" t="str">
        <f>IFNA(VLOOKUP($A623,Spells!$A$2:$I1002,MATCH(E$3,Spells!$A$1:$I$1,0),FALSE))</f>
        <v/>
      </c>
      <c r="F623" s="49" t="str">
        <f>IFNA(VLOOKUP($A623,Spells!$A$2:$I1002,MATCH(F$3,Spells!$A$1:$I$1,0),FALSE))</f>
        <v/>
      </c>
      <c r="G623" s="49" t="str">
        <f>IFNA(VLOOKUP($A623,Spells!$A$2:$I1002,MATCH(G$3,Spells!$A$1:$I$1,0),FALSE))</f>
        <v/>
      </c>
      <c r="H623" s="49" t="str">
        <f>IFNA(VLOOKUP($A623,Spells!$A$2:$I1002,MATCH(H$3,Spells!$A$1:$I$1,0),FALSE))</f>
        <v/>
      </c>
    </row>
    <row r="624">
      <c r="A624" s="49"/>
      <c r="B624" s="49" t="str">
        <f>IFNA(VLOOKUP($A624,Spells!$A$2:$I1002,MATCH(B$3,Spells!$A$1:$I$1,0),FALSE))</f>
        <v/>
      </c>
      <c r="C624" s="49" t="str">
        <f>IFNA(VLOOKUP($A624,Spells!$A$2:$I1002,MATCH(C$3,Spells!$A$1:$I$1,0),FALSE))</f>
        <v/>
      </c>
      <c r="D624" s="49" t="str">
        <f>IFNA(VLOOKUP($A624,Spells!$A$2:$I1002,MATCH(D$3,Spells!$A$1:$I$1,0),FALSE))</f>
        <v/>
      </c>
      <c r="E624" s="49" t="str">
        <f>IFNA(VLOOKUP($A624,Spells!$A$2:$I1002,MATCH(E$3,Spells!$A$1:$I$1,0),FALSE))</f>
        <v/>
      </c>
      <c r="F624" s="49" t="str">
        <f>IFNA(VLOOKUP($A624,Spells!$A$2:$I1002,MATCH(F$3,Spells!$A$1:$I$1,0),FALSE))</f>
        <v/>
      </c>
      <c r="G624" s="49" t="str">
        <f>IFNA(VLOOKUP($A624,Spells!$A$2:$I1002,MATCH(G$3,Spells!$A$1:$I$1,0),FALSE))</f>
        <v/>
      </c>
      <c r="H624" s="49" t="str">
        <f>IFNA(VLOOKUP($A624,Spells!$A$2:$I1002,MATCH(H$3,Spells!$A$1:$I$1,0),FALSE))</f>
        <v/>
      </c>
    </row>
    <row r="625">
      <c r="A625" s="49"/>
      <c r="B625" s="49" t="str">
        <f>IFNA(VLOOKUP($A625,Spells!$A$2:$I1002,MATCH(B$3,Spells!$A$1:$I$1,0),FALSE))</f>
        <v/>
      </c>
      <c r="C625" s="49" t="str">
        <f>IFNA(VLOOKUP($A625,Spells!$A$2:$I1002,MATCH(C$3,Spells!$A$1:$I$1,0),FALSE))</f>
        <v/>
      </c>
      <c r="D625" s="49" t="str">
        <f>IFNA(VLOOKUP($A625,Spells!$A$2:$I1002,MATCH(D$3,Spells!$A$1:$I$1,0),FALSE))</f>
        <v/>
      </c>
      <c r="E625" s="49" t="str">
        <f>IFNA(VLOOKUP($A625,Spells!$A$2:$I1002,MATCH(E$3,Spells!$A$1:$I$1,0),FALSE))</f>
        <v/>
      </c>
      <c r="F625" s="49" t="str">
        <f>IFNA(VLOOKUP($A625,Spells!$A$2:$I1002,MATCH(F$3,Spells!$A$1:$I$1,0),FALSE))</f>
        <v/>
      </c>
      <c r="G625" s="49" t="str">
        <f>IFNA(VLOOKUP($A625,Spells!$A$2:$I1002,MATCH(G$3,Spells!$A$1:$I$1,0),FALSE))</f>
        <v/>
      </c>
      <c r="H625" s="49" t="str">
        <f>IFNA(VLOOKUP($A625,Spells!$A$2:$I1002,MATCH(H$3,Spells!$A$1:$I$1,0),FALSE))</f>
        <v/>
      </c>
    </row>
    <row r="626">
      <c r="A626" s="49"/>
      <c r="B626" s="49" t="str">
        <f>IFNA(VLOOKUP($A626,Spells!$A$2:$I1002,MATCH(B$3,Spells!$A$1:$I$1,0),FALSE))</f>
        <v/>
      </c>
      <c r="C626" s="49" t="str">
        <f>IFNA(VLOOKUP($A626,Spells!$A$2:$I1002,MATCH(C$3,Spells!$A$1:$I$1,0),FALSE))</f>
        <v/>
      </c>
      <c r="D626" s="49" t="str">
        <f>IFNA(VLOOKUP($A626,Spells!$A$2:$I1002,MATCH(D$3,Spells!$A$1:$I$1,0),FALSE))</f>
        <v/>
      </c>
      <c r="E626" s="49" t="str">
        <f>IFNA(VLOOKUP($A626,Spells!$A$2:$I1002,MATCH(E$3,Spells!$A$1:$I$1,0),FALSE))</f>
        <v/>
      </c>
      <c r="F626" s="49" t="str">
        <f>IFNA(VLOOKUP($A626,Spells!$A$2:$I1002,MATCH(F$3,Spells!$A$1:$I$1,0),FALSE))</f>
        <v/>
      </c>
      <c r="G626" s="49" t="str">
        <f>IFNA(VLOOKUP($A626,Spells!$A$2:$I1002,MATCH(G$3,Spells!$A$1:$I$1,0),FALSE))</f>
        <v/>
      </c>
      <c r="H626" s="49" t="str">
        <f>IFNA(VLOOKUP($A626,Spells!$A$2:$I1002,MATCH(H$3,Spells!$A$1:$I$1,0),FALSE))</f>
        <v/>
      </c>
    </row>
    <row r="627">
      <c r="A627" s="49"/>
      <c r="B627" s="49" t="str">
        <f>IFNA(VLOOKUP($A627,Spells!$A$2:$I1002,MATCH(B$3,Spells!$A$1:$I$1,0),FALSE))</f>
        <v/>
      </c>
      <c r="C627" s="49" t="str">
        <f>IFNA(VLOOKUP($A627,Spells!$A$2:$I1002,MATCH(C$3,Spells!$A$1:$I$1,0),FALSE))</f>
        <v/>
      </c>
      <c r="D627" s="49" t="str">
        <f>IFNA(VLOOKUP($A627,Spells!$A$2:$I1002,MATCH(D$3,Spells!$A$1:$I$1,0),FALSE))</f>
        <v/>
      </c>
      <c r="E627" s="49" t="str">
        <f>IFNA(VLOOKUP($A627,Spells!$A$2:$I1002,MATCH(E$3,Spells!$A$1:$I$1,0),FALSE))</f>
        <v/>
      </c>
      <c r="F627" s="49" t="str">
        <f>IFNA(VLOOKUP($A627,Spells!$A$2:$I1002,MATCH(F$3,Spells!$A$1:$I$1,0),FALSE))</f>
        <v/>
      </c>
      <c r="G627" s="49" t="str">
        <f>IFNA(VLOOKUP($A627,Spells!$A$2:$I1002,MATCH(G$3,Spells!$A$1:$I$1,0),FALSE))</f>
        <v/>
      </c>
      <c r="H627" s="49" t="str">
        <f>IFNA(VLOOKUP($A627,Spells!$A$2:$I1002,MATCH(H$3,Spells!$A$1:$I$1,0),FALSE))</f>
        <v/>
      </c>
    </row>
    <row r="628">
      <c r="A628" s="49"/>
      <c r="B628" s="49" t="str">
        <f>IFNA(VLOOKUP($A628,Spells!$A$2:$I1002,MATCH(B$3,Spells!$A$1:$I$1,0),FALSE))</f>
        <v/>
      </c>
      <c r="C628" s="49" t="str">
        <f>IFNA(VLOOKUP($A628,Spells!$A$2:$I1002,MATCH(C$3,Spells!$A$1:$I$1,0),FALSE))</f>
        <v/>
      </c>
      <c r="D628" s="49" t="str">
        <f>IFNA(VLOOKUP($A628,Spells!$A$2:$I1002,MATCH(D$3,Spells!$A$1:$I$1,0),FALSE))</f>
        <v/>
      </c>
      <c r="E628" s="49" t="str">
        <f>IFNA(VLOOKUP($A628,Spells!$A$2:$I1002,MATCH(E$3,Spells!$A$1:$I$1,0),FALSE))</f>
        <v/>
      </c>
      <c r="F628" s="49" t="str">
        <f>IFNA(VLOOKUP($A628,Spells!$A$2:$I1002,MATCH(F$3,Spells!$A$1:$I$1,0),FALSE))</f>
        <v/>
      </c>
      <c r="G628" s="49" t="str">
        <f>IFNA(VLOOKUP($A628,Spells!$A$2:$I1002,MATCH(G$3,Spells!$A$1:$I$1,0),FALSE))</f>
        <v/>
      </c>
      <c r="H628" s="49" t="str">
        <f>IFNA(VLOOKUP($A628,Spells!$A$2:$I1002,MATCH(H$3,Spells!$A$1:$I$1,0),FALSE))</f>
        <v/>
      </c>
    </row>
    <row r="629">
      <c r="A629" s="49"/>
      <c r="B629" s="49" t="str">
        <f>IFNA(VLOOKUP($A629,Spells!$A$2:$I1002,MATCH(B$3,Spells!$A$1:$I$1,0),FALSE))</f>
        <v/>
      </c>
      <c r="C629" s="49" t="str">
        <f>IFNA(VLOOKUP($A629,Spells!$A$2:$I1002,MATCH(C$3,Spells!$A$1:$I$1,0),FALSE))</f>
        <v/>
      </c>
      <c r="D629" s="49" t="str">
        <f>IFNA(VLOOKUP($A629,Spells!$A$2:$I1002,MATCH(D$3,Spells!$A$1:$I$1,0),FALSE))</f>
        <v/>
      </c>
      <c r="E629" s="49" t="str">
        <f>IFNA(VLOOKUP($A629,Spells!$A$2:$I1002,MATCH(E$3,Spells!$A$1:$I$1,0),FALSE))</f>
        <v/>
      </c>
      <c r="F629" s="49" t="str">
        <f>IFNA(VLOOKUP($A629,Spells!$A$2:$I1002,MATCH(F$3,Spells!$A$1:$I$1,0),FALSE))</f>
        <v/>
      </c>
      <c r="G629" s="49" t="str">
        <f>IFNA(VLOOKUP($A629,Spells!$A$2:$I1002,MATCH(G$3,Spells!$A$1:$I$1,0),FALSE))</f>
        <v/>
      </c>
      <c r="H629" s="49" t="str">
        <f>IFNA(VLOOKUP($A629,Spells!$A$2:$I1002,MATCH(H$3,Spells!$A$1:$I$1,0),FALSE))</f>
        <v/>
      </c>
    </row>
    <row r="630">
      <c r="A630" s="49"/>
      <c r="B630" s="49" t="str">
        <f>IFNA(VLOOKUP($A630,Spells!$A$2:$I1002,MATCH(B$3,Spells!$A$1:$I$1,0),FALSE))</f>
        <v/>
      </c>
      <c r="C630" s="49" t="str">
        <f>IFNA(VLOOKUP($A630,Spells!$A$2:$I1002,MATCH(C$3,Spells!$A$1:$I$1,0),FALSE))</f>
        <v/>
      </c>
      <c r="D630" s="49" t="str">
        <f>IFNA(VLOOKUP($A630,Spells!$A$2:$I1002,MATCH(D$3,Spells!$A$1:$I$1,0),FALSE))</f>
        <v/>
      </c>
      <c r="E630" s="49" t="str">
        <f>IFNA(VLOOKUP($A630,Spells!$A$2:$I1002,MATCH(E$3,Spells!$A$1:$I$1,0),FALSE))</f>
        <v/>
      </c>
      <c r="F630" s="49" t="str">
        <f>IFNA(VLOOKUP($A630,Spells!$A$2:$I1002,MATCH(F$3,Spells!$A$1:$I$1,0),FALSE))</f>
        <v/>
      </c>
      <c r="G630" s="49" t="str">
        <f>IFNA(VLOOKUP($A630,Spells!$A$2:$I1002,MATCH(G$3,Spells!$A$1:$I$1,0),FALSE))</f>
        <v/>
      </c>
      <c r="H630" s="49" t="str">
        <f>IFNA(VLOOKUP($A630,Spells!$A$2:$I1002,MATCH(H$3,Spells!$A$1:$I$1,0),FALSE))</f>
        <v/>
      </c>
    </row>
    <row r="631">
      <c r="A631" s="49"/>
      <c r="B631" s="49" t="str">
        <f>IFNA(VLOOKUP($A631,Spells!$A$2:$I1002,MATCH(B$3,Spells!$A$1:$I$1,0),FALSE))</f>
        <v/>
      </c>
      <c r="C631" s="49" t="str">
        <f>IFNA(VLOOKUP($A631,Spells!$A$2:$I1002,MATCH(C$3,Spells!$A$1:$I$1,0),FALSE))</f>
        <v/>
      </c>
      <c r="D631" s="49" t="str">
        <f>IFNA(VLOOKUP($A631,Spells!$A$2:$I1002,MATCH(D$3,Spells!$A$1:$I$1,0),FALSE))</f>
        <v/>
      </c>
      <c r="E631" s="49" t="str">
        <f>IFNA(VLOOKUP($A631,Spells!$A$2:$I1002,MATCH(E$3,Spells!$A$1:$I$1,0),FALSE))</f>
        <v/>
      </c>
      <c r="F631" s="49" t="str">
        <f>IFNA(VLOOKUP($A631,Spells!$A$2:$I1002,MATCH(F$3,Spells!$A$1:$I$1,0),FALSE))</f>
        <v/>
      </c>
      <c r="G631" s="49" t="str">
        <f>IFNA(VLOOKUP($A631,Spells!$A$2:$I1002,MATCH(G$3,Spells!$A$1:$I$1,0),FALSE))</f>
        <v/>
      </c>
      <c r="H631" s="49" t="str">
        <f>IFNA(VLOOKUP($A631,Spells!$A$2:$I1002,MATCH(H$3,Spells!$A$1:$I$1,0),FALSE))</f>
        <v/>
      </c>
    </row>
    <row r="632">
      <c r="A632" s="49"/>
      <c r="B632" s="49" t="str">
        <f>IFNA(VLOOKUP($A632,Spells!$A$2:$I1002,MATCH(B$3,Spells!$A$1:$I$1,0),FALSE))</f>
        <v/>
      </c>
      <c r="C632" s="49" t="str">
        <f>IFNA(VLOOKUP($A632,Spells!$A$2:$I1002,MATCH(C$3,Spells!$A$1:$I$1,0),FALSE))</f>
        <v/>
      </c>
      <c r="D632" s="49" t="str">
        <f>IFNA(VLOOKUP($A632,Spells!$A$2:$I1002,MATCH(D$3,Spells!$A$1:$I$1,0),FALSE))</f>
        <v/>
      </c>
      <c r="E632" s="49" t="str">
        <f>IFNA(VLOOKUP($A632,Spells!$A$2:$I1002,MATCH(E$3,Spells!$A$1:$I$1,0),FALSE))</f>
        <v/>
      </c>
      <c r="F632" s="49" t="str">
        <f>IFNA(VLOOKUP($A632,Spells!$A$2:$I1002,MATCH(F$3,Spells!$A$1:$I$1,0),FALSE))</f>
        <v/>
      </c>
      <c r="G632" s="49" t="str">
        <f>IFNA(VLOOKUP($A632,Spells!$A$2:$I1002,MATCH(G$3,Spells!$A$1:$I$1,0),FALSE))</f>
        <v/>
      </c>
      <c r="H632" s="49" t="str">
        <f>IFNA(VLOOKUP($A632,Spells!$A$2:$I1002,MATCH(H$3,Spells!$A$1:$I$1,0),FALSE))</f>
        <v/>
      </c>
    </row>
    <row r="633">
      <c r="A633" s="49"/>
      <c r="B633" s="49" t="str">
        <f>IFNA(VLOOKUP($A633,Spells!$A$2:$I1002,MATCH(B$3,Spells!$A$1:$I$1,0),FALSE))</f>
        <v/>
      </c>
      <c r="C633" s="49" t="str">
        <f>IFNA(VLOOKUP($A633,Spells!$A$2:$I1002,MATCH(C$3,Spells!$A$1:$I$1,0),FALSE))</f>
        <v/>
      </c>
      <c r="D633" s="49" t="str">
        <f>IFNA(VLOOKUP($A633,Spells!$A$2:$I1002,MATCH(D$3,Spells!$A$1:$I$1,0),FALSE))</f>
        <v/>
      </c>
      <c r="E633" s="49" t="str">
        <f>IFNA(VLOOKUP($A633,Spells!$A$2:$I1002,MATCH(E$3,Spells!$A$1:$I$1,0),FALSE))</f>
        <v/>
      </c>
      <c r="F633" s="49" t="str">
        <f>IFNA(VLOOKUP($A633,Spells!$A$2:$I1002,MATCH(F$3,Spells!$A$1:$I$1,0),FALSE))</f>
        <v/>
      </c>
      <c r="G633" s="49" t="str">
        <f>IFNA(VLOOKUP($A633,Spells!$A$2:$I1002,MATCH(G$3,Spells!$A$1:$I$1,0),FALSE))</f>
        <v/>
      </c>
      <c r="H633" s="49" t="str">
        <f>IFNA(VLOOKUP($A633,Spells!$A$2:$I1002,MATCH(H$3,Spells!$A$1:$I$1,0),FALSE))</f>
        <v/>
      </c>
    </row>
    <row r="634">
      <c r="A634" s="49"/>
      <c r="B634" s="49" t="str">
        <f>IFNA(VLOOKUP($A634,Spells!$A$2:$I1002,MATCH(B$3,Spells!$A$1:$I$1,0),FALSE))</f>
        <v/>
      </c>
      <c r="C634" s="49" t="str">
        <f>IFNA(VLOOKUP($A634,Spells!$A$2:$I1002,MATCH(C$3,Spells!$A$1:$I$1,0),FALSE))</f>
        <v/>
      </c>
      <c r="D634" s="49" t="str">
        <f>IFNA(VLOOKUP($A634,Spells!$A$2:$I1002,MATCH(D$3,Spells!$A$1:$I$1,0),FALSE))</f>
        <v/>
      </c>
      <c r="E634" s="49" t="str">
        <f>IFNA(VLOOKUP($A634,Spells!$A$2:$I1002,MATCH(E$3,Spells!$A$1:$I$1,0),FALSE))</f>
        <v/>
      </c>
      <c r="F634" s="49" t="str">
        <f>IFNA(VLOOKUP($A634,Spells!$A$2:$I1002,MATCH(F$3,Spells!$A$1:$I$1,0),FALSE))</f>
        <v/>
      </c>
      <c r="G634" s="49" t="str">
        <f>IFNA(VLOOKUP($A634,Spells!$A$2:$I1002,MATCH(G$3,Spells!$A$1:$I$1,0),FALSE))</f>
        <v/>
      </c>
      <c r="H634" s="49" t="str">
        <f>IFNA(VLOOKUP($A634,Spells!$A$2:$I1002,MATCH(H$3,Spells!$A$1:$I$1,0),FALSE))</f>
        <v/>
      </c>
    </row>
    <row r="635">
      <c r="A635" s="49"/>
      <c r="B635" s="49" t="str">
        <f>IFNA(VLOOKUP($A635,Spells!$A$2:$I1002,MATCH(B$3,Spells!$A$1:$I$1,0),FALSE))</f>
        <v/>
      </c>
      <c r="C635" s="49" t="str">
        <f>IFNA(VLOOKUP($A635,Spells!$A$2:$I1002,MATCH(C$3,Spells!$A$1:$I$1,0),FALSE))</f>
        <v/>
      </c>
      <c r="D635" s="49" t="str">
        <f>IFNA(VLOOKUP($A635,Spells!$A$2:$I1002,MATCH(D$3,Spells!$A$1:$I$1,0),FALSE))</f>
        <v/>
      </c>
      <c r="E635" s="49" t="str">
        <f>IFNA(VLOOKUP($A635,Spells!$A$2:$I1002,MATCH(E$3,Spells!$A$1:$I$1,0),FALSE))</f>
        <v/>
      </c>
      <c r="F635" s="49" t="str">
        <f>IFNA(VLOOKUP($A635,Spells!$A$2:$I1002,MATCH(F$3,Spells!$A$1:$I$1,0),FALSE))</f>
        <v/>
      </c>
      <c r="G635" s="49" t="str">
        <f>IFNA(VLOOKUP($A635,Spells!$A$2:$I1002,MATCH(G$3,Spells!$A$1:$I$1,0),FALSE))</f>
        <v/>
      </c>
      <c r="H635" s="49" t="str">
        <f>IFNA(VLOOKUP($A635,Spells!$A$2:$I1002,MATCH(H$3,Spells!$A$1:$I$1,0),FALSE))</f>
        <v/>
      </c>
    </row>
    <row r="636">
      <c r="A636" s="49"/>
      <c r="B636" s="49" t="str">
        <f>IFNA(VLOOKUP($A636,Spells!$A$2:$I1002,MATCH(B$3,Spells!$A$1:$I$1,0),FALSE))</f>
        <v/>
      </c>
      <c r="C636" s="49" t="str">
        <f>IFNA(VLOOKUP($A636,Spells!$A$2:$I1002,MATCH(C$3,Spells!$A$1:$I$1,0),FALSE))</f>
        <v/>
      </c>
      <c r="D636" s="49" t="str">
        <f>IFNA(VLOOKUP($A636,Spells!$A$2:$I1002,MATCH(D$3,Spells!$A$1:$I$1,0),FALSE))</f>
        <v/>
      </c>
      <c r="E636" s="49" t="str">
        <f>IFNA(VLOOKUP($A636,Spells!$A$2:$I1002,MATCH(E$3,Spells!$A$1:$I$1,0),FALSE))</f>
        <v/>
      </c>
      <c r="F636" s="49" t="str">
        <f>IFNA(VLOOKUP($A636,Spells!$A$2:$I1002,MATCH(F$3,Spells!$A$1:$I$1,0),FALSE))</f>
        <v/>
      </c>
      <c r="G636" s="49" t="str">
        <f>IFNA(VLOOKUP($A636,Spells!$A$2:$I1002,MATCH(G$3,Spells!$A$1:$I$1,0),FALSE))</f>
        <v/>
      </c>
      <c r="H636" s="49" t="str">
        <f>IFNA(VLOOKUP($A636,Spells!$A$2:$I1002,MATCH(H$3,Spells!$A$1:$I$1,0),FALSE))</f>
        <v/>
      </c>
    </row>
    <row r="637">
      <c r="A637" s="49"/>
      <c r="B637" s="49" t="str">
        <f>IFNA(VLOOKUP($A637,Spells!$A$2:$I1002,MATCH(B$3,Spells!$A$1:$I$1,0),FALSE))</f>
        <v/>
      </c>
      <c r="C637" s="49" t="str">
        <f>IFNA(VLOOKUP($A637,Spells!$A$2:$I1002,MATCH(C$3,Spells!$A$1:$I$1,0),FALSE))</f>
        <v/>
      </c>
      <c r="D637" s="49" t="str">
        <f>IFNA(VLOOKUP($A637,Spells!$A$2:$I1002,MATCH(D$3,Spells!$A$1:$I$1,0),FALSE))</f>
        <v/>
      </c>
      <c r="E637" s="49" t="str">
        <f>IFNA(VLOOKUP($A637,Spells!$A$2:$I1002,MATCH(E$3,Spells!$A$1:$I$1,0),FALSE))</f>
        <v/>
      </c>
      <c r="F637" s="49" t="str">
        <f>IFNA(VLOOKUP($A637,Spells!$A$2:$I1002,MATCH(F$3,Spells!$A$1:$I$1,0),FALSE))</f>
        <v/>
      </c>
      <c r="G637" s="49" t="str">
        <f>IFNA(VLOOKUP($A637,Spells!$A$2:$I1002,MATCH(G$3,Spells!$A$1:$I$1,0),FALSE))</f>
        <v/>
      </c>
      <c r="H637" s="49" t="str">
        <f>IFNA(VLOOKUP($A637,Spells!$A$2:$I1002,MATCH(H$3,Spells!$A$1:$I$1,0),FALSE))</f>
        <v/>
      </c>
    </row>
    <row r="638">
      <c r="A638" s="49"/>
      <c r="B638" s="49" t="str">
        <f>IFNA(VLOOKUP($A638,Spells!$A$2:$I1002,MATCH(B$3,Spells!$A$1:$I$1,0),FALSE))</f>
        <v/>
      </c>
      <c r="C638" s="49" t="str">
        <f>IFNA(VLOOKUP($A638,Spells!$A$2:$I1002,MATCH(C$3,Spells!$A$1:$I$1,0),FALSE))</f>
        <v/>
      </c>
      <c r="D638" s="49" t="str">
        <f>IFNA(VLOOKUP($A638,Spells!$A$2:$I1002,MATCH(D$3,Spells!$A$1:$I$1,0),FALSE))</f>
        <v/>
      </c>
      <c r="E638" s="49" t="str">
        <f>IFNA(VLOOKUP($A638,Spells!$A$2:$I1002,MATCH(E$3,Spells!$A$1:$I$1,0),FALSE))</f>
        <v/>
      </c>
      <c r="F638" s="49" t="str">
        <f>IFNA(VLOOKUP($A638,Spells!$A$2:$I1002,MATCH(F$3,Spells!$A$1:$I$1,0),FALSE))</f>
        <v/>
      </c>
      <c r="G638" s="49" t="str">
        <f>IFNA(VLOOKUP($A638,Spells!$A$2:$I1002,MATCH(G$3,Spells!$A$1:$I$1,0),FALSE))</f>
        <v/>
      </c>
      <c r="H638" s="49" t="str">
        <f>IFNA(VLOOKUP($A638,Spells!$A$2:$I1002,MATCH(H$3,Spells!$A$1:$I$1,0),FALSE))</f>
        <v/>
      </c>
    </row>
    <row r="639">
      <c r="A639" s="49"/>
      <c r="B639" s="49" t="str">
        <f>IFNA(VLOOKUP($A639,Spells!$A$2:$I1002,MATCH(B$3,Spells!$A$1:$I$1,0),FALSE))</f>
        <v/>
      </c>
      <c r="C639" s="49" t="str">
        <f>IFNA(VLOOKUP($A639,Spells!$A$2:$I1002,MATCH(C$3,Spells!$A$1:$I$1,0),FALSE))</f>
        <v/>
      </c>
      <c r="D639" s="49" t="str">
        <f>IFNA(VLOOKUP($A639,Spells!$A$2:$I1002,MATCH(D$3,Spells!$A$1:$I$1,0),FALSE))</f>
        <v/>
      </c>
      <c r="E639" s="49" t="str">
        <f>IFNA(VLOOKUP($A639,Spells!$A$2:$I1002,MATCH(E$3,Spells!$A$1:$I$1,0),FALSE))</f>
        <v/>
      </c>
      <c r="F639" s="49" t="str">
        <f>IFNA(VLOOKUP($A639,Spells!$A$2:$I1002,MATCH(F$3,Spells!$A$1:$I$1,0),FALSE))</f>
        <v/>
      </c>
      <c r="G639" s="49" t="str">
        <f>IFNA(VLOOKUP($A639,Spells!$A$2:$I1002,MATCH(G$3,Spells!$A$1:$I$1,0),FALSE))</f>
        <v/>
      </c>
      <c r="H639" s="49" t="str">
        <f>IFNA(VLOOKUP($A639,Spells!$A$2:$I1002,MATCH(H$3,Spells!$A$1:$I$1,0),FALSE))</f>
        <v/>
      </c>
    </row>
    <row r="640">
      <c r="A640" s="49"/>
      <c r="B640" s="49" t="str">
        <f>IFNA(VLOOKUP($A640,Spells!$A$2:$I1002,MATCH(B$3,Spells!$A$1:$I$1,0),FALSE))</f>
        <v/>
      </c>
      <c r="C640" s="49" t="str">
        <f>IFNA(VLOOKUP($A640,Spells!$A$2:$I1002,MATCH(C$3,Spells!$A$1:$I$1,0),FALSE))</f>
        <v/>
      </c>
      <c r="D640" s="49" t="str">
        <f>IFNA(VLOOKUP($A640,Spells!$A$2:$I1002,MATCH(D$3,Spells!$A$1:$I$1,0),FALSE))</f>
        <v/>
      </c>
      <c r="E640" s="49" t="str">
        <f>IFNA(VLOOKUP($A640,Spells!$A$2:$I1002,MATCH(E$3,Spells!$A$1:$I$1,0),FALSE))</f>
        <v/>
      </c>
      <c r="F640" s="49" t="str">
        <f>IFNA(VLOOKUP($A640,Spells!$A$2:$I1002,MATCH(F$3,Spells!$A$1:$I$1,0),FALSE))</f>
        <v/>
      </c>
      <c r="G640" s="49" t="str">
        <f>IFNA(VLOOKUP($A640,Spells!$A$2:$I1002,MATCH(G$3,Spells!$A$1:$I$1,0),FALSE))</f>
        <v/>
      </c>
      <c r="H640" s="49" t="str">
        <f>IFNA(VLOOKUP($A640,Spells!$A$2:$I1002,MATCH(H$3,Spells!$A$1:$I$1,0),FALSE))</f>
        <v/>
      </c>
    </row>
    <row r="641">
      <c r="A641" s="49"/>
      <c r="B641" s="49" t="str">
        <f>IFNA(VLOOKUP($A641,Spells!$A$2:$I1002,MATCH(B$3,Spells!$A$1:$I$1,0),FALSE))</f>
        <v/>
      </c>
      <c r="C641" s="49" t="str">
        <f>IFNA(VLOOKUP($A641,Spells!$A$2:$I1002,MATCH(C$3,Spells!$A$1:$I$1,0),FALSE))</f>
        <v/>
      </c>
      <c r="D641" s="49" t="str">
        <f>IFNA(VLOOKUP($A641,Spells!$A$2:$I1002,MATCH(D$3,Spells!$A$1:$I$1,0),FALSE))</f>
        <v/>
      </c>
      <c r="E641" s="49" t="str">
        <f>IFNA(VLOOKUP($A641,Spells!$A$2:$I1002,MATCH(E$3,Spells!$A$1:$I$1,0),FALSE))</f>
        <v/>
      </c>
      <c r="F641" s="49" t="str">
        <f>IFNA(VLOOKUP($A641,Spells!$A$2:$I1002,MATCH(F$3,Spells!$A$1:$I$1,0),FALSE))</f>
        <v/>
      </c>
      <c r="G641" s="49" t="str">
        <f>IFNA(VLOOKUP($A641,Spells!$A$2:$I1002,MATCH(G$3,Spells!$A$1:$I$1,0),FALSE))</f>
        <v/>
      </c>
      <c r="H641" s="49" t="str">
        <f>IFNA(VLOOKUP($A641,Spells!$A$2:$I1002,MATCH(H$3,Spells!$A$1:$I$1,0),FALSE))</f>
        <v/>
      </c>
    </row>
    <row r="642">
      <c r="A642" s="49"/>
      <c r="B642" s="49" t="str">
        <f>IFNA(VLOOKUP($A642,Spells!$A$2:$I1002,MATCH(B$3,Spells!$A$1:$I$1,0),FALSE))</f>
        <v/>
      </c>
      <c r="C642" s="49" t="str">
        <f>IFNA(VLOOKUP($A642,Spells!$A$2:$I1002,MATCH(C$3,Spells!$A$1:$I$1,0),FALSE))</f>
        <v/>
      </c>
      <c r="D642" s="49" t="str">
        <f>IFNA(VLOOKUP($A642,Spells!$A$2:$I1002,MATCH(D$3,Spells!$A$1:$I$1,0),FALSE))</f>
        <v/>
      </c>
      <c r="E642" s="49" t="str">
        <f>IFNA(VLOOKUP($A642,Spells!$A$2:$I1002,MATCH(E$3,Spells!$A$1:$I$1,0),FALSE))</f>
        <v/>
      </c>
      <c r="F642" s="49" t="str">
        <f>IFNA(VLOOKUP($A642,Spells!$A$2:$I1002,MATCH(F$3,Spells!$A$1:$I$1,0),FALSE))</f>
        <v/>
      </c>
      <c r="G642" s="49" t="str">
        <f>IFNA(VLOOKUP($A642,Spells!$A$2:$I1002,MATCH(G$3,Spells!$A$1:$I$1,0),FALSE))</f>
        <v/>
      </c>
      <c r="H642" s="49" t="str">
        <f>IFNA(VLOOKUP($A642,Spells!$A$2:$I1002,MATCH(H$3,Spells!$A$1:$I$1,0),FALSE))</f>
        <v/>
      </c>
    </row>
    <row r="643">
      <c r="A643" s="49"/>
      <c r="B643" s="49" t="str">
        <f>IFNA(VLOOKUP($A643,Spells!$A$2:$I1002,MATCH(B$3,Spells!$A$1:$I$1,0),FALSE))</f>
        <v/>
      </c>
      <c r="C643" s="49" t="str">
        <f>IFNA(VLOOKUP($A643,Spells!$A$2:$I1002,MATCH(C$3,Spells!$A$1:$I$1,0),FALSE))</f>
        <v/>
      </c>
      <c r="D643" s="49" t="str">
        <f>IFNA(VLOOKUP($A643,Spells!$A$2:$I1002,MATCH(D$3,Spells!$A$1:$I$1,0),FALSE))</f>
        <v/>
      </c>
      <c r="E643" s="49" t="str">
        <f>IFNA(VLOOKUP($A643,Spells!$A$2:$I1002,MATCH(E$3,Spells!$A$1:$I$1,0),FALSE))</f>
        <v/>
      </c>
      <c r="F643" s="49" t="str">
        <f>IFNA(VLOOKUP($A643,Spells!$A$2:$I1002,MATCH(F$3,Spells!$A$1:$I$1,0),FALSE))</f>
        <v/>
      </c>
      <c r="G643" s="49" t="str">
        <f>IFNA(VLOOKUP($A643,Spells!$A$2:$I1002,MATCH(G$3,Spells!$A$1:$I$1,0),FALSE))</f>
        <v/>
      </c>
      <c r="H643" s="49" t="str">
        <f>IFNA(VLOOKUP($A643,Spells!$A$2:$I1002,MATCH(H$3,Spells!$A$1:$I$1,0),FALSE))</f>
        <v/>
      </c>
    </row>
    <row r="644">
      <c r="A644" s="49"/>
      <c r="B644" s="49" t="str">
        <f>IFNA(VLOOKUP($A644,Spells!$A$2:$I1002,MATCH(B$3,Spells!$A$1:$I$1,0),FALSE))</f>
        <v/>
      </c>
      <c r="C644" s="49" t="str">
        <f>IFNA(VLOOKUP($A644,Spells!$A$2:$I1002,MATCH(C$3,Spells!$A$1:$I$1,0),FALSE))</f>
        <v/>
      </c>
      <c r="D644" s="49" t="str">
        <f>IFNA(VLOOKUP($A644,Spells!$A$2:$I1002,MATCH(D$3,Spells!$A$1:$I$1,0),FALSE))</f>
        <v/>
      </c>
      <c r="E644" s="49" t="str">
        <f>IFNA(VLOOKUP($A644,Spells!$A$2:$I1002,MATCH(E$3,Spells!$A$1:$I$1,0),FALSE))</f>
        <v/>
      </c>
      <c r="F644" s="49" t="str">
        <f>IFNA(VLOOKUP($A644,Spells!$A$2:$I1002,MATCH(F$3,Spells!$A$1:$I$1,0),FALSE))</f>
        <v/>
      </c>
      <c r="G644" s="49" t="str">
        <f>IFNA(VLOOKUP($A644,Spells!$A$2:$I1002,MATCH(G$3,Spells!$A$1:$I$1,0),FALSE))</f>
        <v/>
      </c>
      <c r="H644" s="49" t="str">
        <f>IFNA(VLOOKUP($A644,Spells!$A$2:$I1002,MATCH(H$3,Spells!$A$1:$I$1,0),FALSE))</f>
        <v/>
      </c>
    </row>
    <row r="645">
      <c r="A645" s="49"/>
      <c r="B645" s="49" t="str">
        <f>IFNA(VLOOKUP($A645,Spells!$A$2:$I1002,MATCH(B$3,Spells!$A$1:$I$1,0),FALSE))</f>
        <v/>
      </c>
      <c r="C645" s="49" t="str">
        <f>IFNA(VLOOKUP($A645,Spells!$A$2:$I1002,MATCH(C$3,Spells!$A$1:$I$1,0),FALSE))</f>
        <v/>
      </c>
      <c r="D645" s="49" t="str">
        <f>IFNA(VLOOKUP($A645,Spells!$A$2:$I1002,MATCH(D$3,Spells!$A$1:$I$1,0),FALSE))</f>
        <v/>
      </c>
      <c r="E645" s="49" t="str">
        <f>IFNA(VLOOKUP($A645,Spells!$A$2:$I1002,MATCH(E$3,Spells!$A$1:$I$1,0),FALSE))</f>
        <v/>
      </c>
      <c r="F645" s="49" t="str">
        <f>IFNA(VLOOKUP($A645,Spells!$A$2:$I1002,MATCH(F$3,Spells!$A$1:$I$1,0),FALSE))</f>
        <v/>
      </c>
      <c r="G645" s="49" t="str">
        <f>IFNA(VLOOKUP($A645,Spells!$A$2:$I1002,MATCH(G$3,Spells!$A$1:$I$1,0),FALSE))</f>
        <v/>
      </c>
      <c r="H645" s="49" t="str">
        <f>IFNA(VLOOKUP($A645,Spells!$A$2:$I1002,MATCH(H$3,Spells!$A$1:$I$1,0),FALSE))</f>
        <v/>
      </c>
    </row>
    <row r="646">
      <c r="A646" s="49"/>
      <c r="B646" s="49" t="str">
        <f>IFNA(VLOOKUP($A646,Spells!$A$2:$I1002,MATCH(B$3,Spells!$A$1:$I$1,0),FALSE))</f>
        <v/>
      </c>
      <c r="C646" s="49" t="str">
        <f>IFNA(VLOOKUP($A646,Spells!$A$2:$I1002,MATCH(C$3,Spells!$A$1:$I$1,0),FALSE))</f>
        <v/>
      </c>
      <c r="D646" s="49" t="str">
        <f>IFNA(VLOOKUP($A646,Spells!$A$2:$I1002,MATCH(D$3,Spells!$A$1:$I$1,0),FALSE))</f>
        <v/>
      </c>
      <c r="E646" s="49" t="str">
        <f>IFNA(VLOOKUP($A646,Spells!$A$2:$I1002,MATCH(E$3,Spells!$A$1:$I$1,0),FALSE))</f>
        <v/>
      </c>
      <c r="F646" s="49" t="str">
        <f>IFNA(VLOOKUP($A646,Spells!$A$2:$I1002,MATCH(F$3,Spells!$A$1:$I$1,0),FALSE))</f>
        <v/>
      </c>
      <c r="G646" s="49" t="str">
        <f>IFNA(VLOOKUP($A646,Spells!$A$2:$I1002,MATCH(G$3,Spells!$A$1:$I$1,0),FALSE))</f>
        <v/>
      </c>
      <c r="H646" s="49" t="str">
        <f>IFNA(VLOOKUP($A646,Spells!$A$2:$I1002,MATCH(H$3,Spells!$A$1:$I$1,0),FALSE))</f>
        <v/>
      </c>
    </row>
    <row r="647">
      <c r="A647" s="49"/>
      <c r="B647" s="49" t="str">
        <f>IFNA(VLOOKUP($A647,Spells!$A$2:$I1002,MATCH(B$3,Spells!$A$1:$I$1,0),FALSE))</f>
        <v/>
      </c>
      <c r="C647" s="49" t="str">
        <f>IFNA(VLOOKUP($A647,Spells!$A$2:$I1002,MATCH(C$3,Spells!$A$1:$I$1,0),FALSE))</f>
        <v/>
      </c>
      <c r="D647" s="49" t="str">
        <f>IFNA(VLOOKUP($A647,Spells!$A$2:$I1002,MATCH(D$3,Spells!$A$1:$I$1,0),FALSE))</f>
        <v/>
      </c>
      <c r="E647" s="49" t="str">
        <f>IFNA(VLOOKUP($A647,Spells!$A$2:$I1002,MATCH(E$3,Spells!$A$1:$I$1,0),FALSE))</f>
        <v/>
      </c>
      <c r="F647" s="49" t="str">
        <f>IFNA(VLOOKUP($A647,Spells!$A$2:$I1002,MATCH(F$3,Spells!$A$1:$I$1,0),FALSE))</f>
        <v/>
      </c>
      <c r="G647" s="49" t="str">
        <f>IFNA(VLOOKUP($A647,Spells!$A$2:$I1002,MATCH(G$3,Spells!$A$1:$I$1,0),FALSE))</f>
        <v/>
      </c>
      <c r="H647" s="49" t="str">
        <f>IFNA(VLOOKUP($A647,Spells!$A$2:$I1002,MATCH(H$3,Spells!$A$1:$I$1,0),FALSE))</f>
        <v/>
      </c>
    </row>
    <row r="648">
      <c r="A648" s="49"/>
      <c r="B648" s="49" t="str">
        <f>IFNA(VLOOKUP($A648,Spells!$A$2:$I1002,MATCH(B$3,Spells!$A$1:$I$1,0),FALSE))</f>
        <v/>
      </c>
      <c r="C648" s="49" t="str">
        <f>IFNA(VLOOKUP($A648,Spells!$A$2:$I1002,MATCH(C$3,Spells!$A$1:$I$1,0),FALSE))</f>
        <v/>
      </c>
      <c r="D648" s="49" t="str">
        <f>IFNA(VLOOKUP($A648,Spells!$A$2:$I1002,MATCH(D$3,Spells!$A$1:$I$1,0),FALSE))</f>
        <v/>
      </c>
      <c r="E648" s="49" t="str">
        <f>IFNA(VLOOKUP($A648,Spells!$A$2:$I1002,MATCH(E$3,Spells!$A$1:$I$1,0),FALSE))</f>
        <v/>
      </c>
      <c r="F648" s="49" t="str">
        <f>IFNA(VLOOKUP($A648,Spells!$A$2:$I1002,MATCH(F$3,Spells!$A$1:$I$1,0),FALSE))</f>
        <v/>
      </c>
      <c r="G648" s="49" t="str">
        <f>IFNA(VLOOKUP($A648,Spells!$A$2:$I1002,MATCH(G$3,Spells!$A$1:$I$1,0),FALSE))</f>
        <v/>
      </c>
      <c r="H648" s="49" t="str">
        <f>IFNA(VLOOKUP($A648,Spells!$A$2:$I1002,MATCH(H$3,Spells!$A$1:$I$1,0),FALSE))</f>
        <v/>
      </c>
    </row>
    <row r="649">
      <c r="A649" s="49"/>
      <c r="B649" s="49" t="str">
        <f>IFNA(VLOOKUP($A649,Spells!$A$2:$I1002,MATCH(B$3,Spells!$A$1:$I$1,0),FALSE))</f>
        <v/>
      </c>
      <c r="C649" s="49" t="str">
        <f>IFNA(VLOOKUP($A649,Spells!$A$2:$I1002,MATCH(C$3,Spells!$A$1:$I$1,0),FALSE))</f>
        <v/>
      </c>
      <c r="D649" s="49" t="str">
        <f>IFNA(VLOOKUP($A649,Spells!$A$2:$I1002,MATCH(D$3,Spells!$A$1:$I$1,0),FALSE))</f>
        <v/>
      </c>
      <c r="E649" s="49" t="str">
        <f>IFNA(VLOOKUP($A649,Spells!$A$2:$I1002,MATCH(E$3,Spells!$A$1:$I$1,0),FALSE))</f>
        <v/>
      </c>
      <c r="F649" s="49" t="str">
        <f>IFNA(VLOOKUP($A649,Spells!$A$2:$I1002,MATCH(F$3,Spells!$A$1:$I$1,0),FALSE))</f>
        <v/>
      </c>
      <c r="G649" s="49" t="str">
        <f>IFNA(VLOOKUP($A649,Spells!$A$2:$I1002,MATCH(G$3,Spells!$A$1:$I$1,0),FALSE))</f>
        <v/>
      </c>
      <c r="H649" s="49" t="str">
        <f>IFNA(VLOOKUP($A649,Spells!$A$2:$I1002,MATCH(H$3,Spells!$A$1:$I$1,0),FALSE))</f>
        <v/>
      </c>
    </row>
    <row r="650">
      <c r="A650" s="49"/>
      <c r="B650" s="49" t="str">
        <f>IFNA(VLOOKUP($A650,Spells!$A$2:$I1002,MATCH(B$3,Spells!$A$1:$I$1,0),FALSE))</f>
        <v/>
      </c>
      <c r="C650" s="49" t="str">
        <f>IFNA(VLOOKUP($A650,Spells!$A$2:$I1002,MATCH(C$3,Spells!$A$1:$I$1,0),FALSE))</f>
        <v/>
      </c>
      <c r="D650" s="49" t="str">
        <f>IFNA(VLOOKUP($A650,Spells!$A$2:$I1002,MATCH(D$3,Spells!$A$1:$I$1,0),FALSE))</f>
        <v/>
      </c>
      <c r="E650" s="49" t="str">
        <f>IFNA(VLOOKUP($A650,Spells!$A$2:$I1002,MATCH(E$3,Spells!$A$1:$I$1,0),FALSE))</f>
        <v/>
      </c>
      <c r="F650" s="49" t="str">
        <f>IFNA(VLOOKUP($A650,Spells!$A$2:$I1002,MATCH(F$3,Spells!$A$1:$I$1,0),FALSE))</f>
        <v/>
      </c>
      <c r="G650" s="49" t="str">
        <f>IFNA(VLOOKUP($A650,Spells!$A$2:$I1002,MATCH(G$3,Spells!$A$1:$I$1,0),FALSE))</f>
        <v/>
      </c>
      <c r="H650" s="49" t="str">
        <f>IFNA(VLOOKUP($A650,Spells!$A$2:$I1002,MATCH(H$3,Spells!$A$1:$I$1,0),FALSE))</f>
        <v/>
      </c>
    </row>
    <row r="651">
      <c r="A651" s="49"/>
      <c r="B651" s="49" t="str">
        <f>IFNA(VLOOKUP($A651,Spells!$A$2:$I1002,MATCH(B$3,Spells!$A$1:$I$1,0),FALSE))</f>
        <v/>
      </c>
      <c r="C651" s="49" t="str">
        <f>IFNA(VLOOKUP($A651,Spells!$A$2:$I1002,MATCH(C$3,Spells!$A$1:$I$1,0),FALSE))</f>
        <v/>
      </c>
      <c r="D651" s="49" t="str">
        <f>IFNA(VLOOKUP($A651,Spells!$A$2:$I1002,MATCH(D$3,Spells!$A$1:$I$1,0),FALSE))</f>
        <v/>
      </c>
      <c r="E651" s="49" t="str">
        <f>IFNA(VLOOKUP($A651,Spells!$A$2:$I1002,MATCH(E$3,Spells!$A$1:$I$1,0),FALSE))</f>
        <v/>
      </c>
      <c r="F651" s="49" t="str">
        <f>IFNA(VLOOKUP($A651,Spells!$A$2:$I1002,MATCH(F$3,Spells!$A$1:$I$1,0),FALSE))</f>
        <v/>
      </c>
      <c r="G651" s="49" t="str">
        <f>IFNA(VLOOKUP($A651,Spells!$A$2:$I1002,MATCH(G$3,Spells!$A$1:$I$1,0),FALSE))</f>
        <v/>
      </c>
      <c r="H651" s="49" t="str">
        <f>IFNA(VLOOKUP($A651,Spells!$A$2:$I1002,MATCH(H$3,Spells!$A$1:$I$1,0),FALSE))</f>
        <v/>
      </c>
    </row>
    <row r="652">
      <c r="A652" s="49"/>
      <c r="B652" s="49" t="str">
        <f>IFNA(VLOOKUP($A652,Spells!$A$2:$I1002,MATCH(B$3,Spells!$A$1:$I$1,0),FALSE))</f>
        <v/>
      </c>
      <c r="C652" s="49" t="str">
        <f>IFNA(VLOOKUP($A652,Spells!$A$2:$I1002,MATCH(C$3,Spells!$A$1:$I$1,0),FALSE))</f>
        <v/>
      </c>
      <c r="D652" s="49" t="str">
        <f>IFNA(VLOOKUP($A652,Spells!$A$2:$I1002,MATCH(D$3,Spells!$A$1:$I$1,0),FALSE))</f>
        <v/>
      </c>
      <c r="E652" s="49" t="str">
        <f>IFNA(VLOOKUP($A652,Spells!$A$2:$I1002,MATCH(E$3,Spells!$A$1:$I$1,0),FALSE))</f>
        <v/>
      </c>
      <c r="F652" s="49" t="str">
        <f>IFNA(VLOOKUP($A652,Spells!$A$2:$I1002,MATCH(F$3,Spells!$A$1:$I$1,0),FALSE))</f>
        <v/>
      </c>
      <c r="G652" s="49" t="str">
        <f>IFNA(VLOOKUP($A652,Spells!$A$2:$I1002,MATCH(G$3,Spells!$A$1:$I$1,0),FALSE))</f>
        <v/>
      </c>
      <c r="H652" s="49" t="str">
        <f>IFNA(VLOOKUP($A652,Spells!$A$2:$I1002,MATCH(H$3,Spells!$A$1:$I$1,0),FALSE))</f>
        <v/>
      </c>
    </row>
    <row r="653">
      <c r="A653" s="49"/>
      <c r="B653" s="49" t="str">
        <f>IFNA(VLOOKUP($A653,Spells!$A$2:$I1002,MATCH(B$3,Spells!$A$1:$I$1,0),FALSE))</f>
        <v/>
      </c>
      <c r="C653" s="49" t="str">
        <f>IFNA(VLOOKUP($A653,Spells!$A$2:$I1002,MATCH(C$3,Spells!$A$1:$I$1,0),FALSE))</f>
        <v/>
      </c>
      <c r="D653" s="49" t="str">
        <f>IFNA(VLOOKUP($A653,Spells!$A$2:$I1002,MATCH(D$3,Spells!$A$1:$I$1,0),FALSE))</f>
        <v/>
      </c>
      <c r="E653" s="49" t="str">
        <f>IFNA(VLOOKUP($A653,Spells!$A$2:$I1002,MATCH(E$3,Spells!$A$1:$I$1,0),FALSE))</f>
        <v/>
      </c>
      <c r="F653" s="49" t="str">
        <f>IFNA(VLOOKUP($A653,Spells!$A$2:$I1002,MATCH(F$3,Spells!$A$1:$I$1,0),FALSE))</f>
        <v/>
      </c>
      <c r="G653" s="49" t="str">
        <f>IFNA(VLOOKUP($A653,Spells!$A$2:$I1002,MATCH(G$3,Spells!$A$1:$I$1,0),FALSE))</f>
        <v/>
      </c>
      <c r="H653" s="49" t="str">
        <f>IFNA(VLOOKUP($A653,Spells!$A$2:$I1002,MATCH(H$3,Spells!$A$1:$I$1,0),FALSE))</f>
        <v/>
      </c>
    </row>
    <row r="654">
      <c r="A654" s="49"/>
      <c r="B654" s="49" t="str">
        <f>IFNA(VLOOKUP($A654,Spells!$A$2:$I1002,MATCH(B$3,Spells!$A$1:$I$1,0),FALSE))</f>
        <v/>
      </c>
      <c r="C654" s="49" t="str">
        <f>IFNA(VLOOKUP($A654,Spells!$A$2:$I1002,MATCH(C$3,Spells!$A$1:$I$1,0),FALSE))</f>
        <v/>
      </c>
      <c r="D654" s="49" t="str">
        <f>IFNA(VLOOKUP($A654,Spells!$A$2:$I1002,MATCH(D$3,Spells!$A$1:$I$1,0),FALSE))</f>
        <v/>
      </c>
      <c r="E654" s="49" t="str">
        <f>IFNA(VLOOKUP($A654,Spells!$A$2:$I1002,MATCH(E$3,Spells!$A$1:$I$1,0),FALSE))</f>
        <v/>
      </c>
      <c r="F654" s="49" t="str">
        <f>IFNA(VLOOKUP($A654,Spells!$A$2:$I1002,MATCH(F$3,Spells!$A$1:$I$1,0),FALSE))</f>
        <v/>
      </c>
      <c r="G654" s="49" t="str">
        <f>IFNA(VLOOKUP($A654,Spells!$A$2:$I1002,MATCH(G$3,Spells!$A$1:$I$1,0),FALSE))</f>
        <v/>
      </c>
      <c r="H654" s="49" t="str">
        <f>IFNA(VLOOKUP($A654,Spells!$A$2:$I1002,MATCH(H$3,Spells!$A$1:$I$1,0),FALSE))</f>
        <v/>
      </c>
    </row>
    <row r="655">
      <c r="A655" s="49"/>
      <c r="B655" s="49" t="str">
        <f>IFNA(VLOOKUP($A655,Spells!$A$2:$I1002,MATCH(B$3,Spells!$A$1:$I$1,0),FALSE))</f>
        <v/>
      </c>
      <c r="C655" s="49" t="str">
        <f>IFNA(VLOOKUP($A655,Spells!$A$2:$I1002,MATCH(C$3,Spells!$A$1:$I$1,0),FALSE))</f>
        <v/>
      </c>
      <c r="D655" s="49" t="str">
        <f>IFNA(VLOOKUP($A655,Spells!$A$2:$I1002,MATCH(D$3,Spells!$A$1:$I$1,0),FALSE))</f>
        <v/>
      </c>
      <c r="E655" s="49" t="str">
        <f>IFNA(VLOOKUP($A655,Spells!$A$2:$I1002,MATCH(E$3,Spells!$A$1:$I$1,0),FALSE))</f>
        <v/>
      </c>
      <c r="F655" s="49" t="str">
        <f>IFNA(VLOOKUP($A655,Spells!$A$2:$I1002,MATCH(F$3,Spells!$A$1:$I$1,0),FALSE))</f>
        <v/>
      </c>
      <c r="G655" s="49" t="str">
        <f>IFNA(VLOOKUP($A655,Spells!$A$2:$I1002,MATCH(G$3,Spells!$A$1:$I$1,0),FALSE))</f>
        <v/>
      </c>
      <c r="H655" s="49" t="str">
        <f>IFNA(VLOOKUP($A655,Spells!$A$2:$I1002,MATCH(H$3,Spells!$A$1:$I$1,0),FALSE))</f>
        <v/>
      </c>
    </row>
    <row r="656">
      <c r="A656" s="49"/>
      <c r="B656" s="49" t="str">
        <f>IFNA(VLOOKUP($A656,Spells!$A$2:$I1002,MATCH(B$3,Spells!$A$1:$I$1,0),FALSE))</f>
        <v/>
      </c>
      <c r="C656" s="49" t="str">
        <f>IFNA(VLOOKUP($A656,Spells!$A$2:$I1002,MATCH(C$3,Spells!$A$1:$I$1,0),FALSE))</f>
        <v/>
      </c>
      <c r="D656" s="49" t="str">
        <f>IFNA(VLOOKUP($A656,Spells!$A$2:$I1002,MATCH(D$3,Spells!$A$1:$I$1,0),FALSE))</f>
        <v/>
      </c>
      <c r="E656" s="49" t="str">
        <f>IFNA(VLOOKUP($A656,Spells!$A$2:$I1002,MATCH(E$3,Spells!$A$1:$I$1,0),FALSE))</f>
        <v/>
      </c>
      <c r="F656" s="49" t="str">
        <f>IFNA(VLOOKUP($A656,Spells!$A$2:$I1002,MATCH(F$3,Spells!$A$1:$I$1,0),FALSE))</f>
        <v/>
      </c>
      <c r="G656" s="49" t="str">
        <f>IFNA(VLOOKUP($A656,Spells!$A$2:$I1002,MATCH(G$3,Spells!$A$1:$I$1,0),FALSE))</f>
        <v/>
      </c>
      <c r="H656" s="49" t="str">
        <f>IFNA(VLOOKUP($A656,Spells!$A$2:$I1002,MATCH(H$3,Spells!$A$1:$I$1,0),FALSE))</f>
        <v/>
      </c>
    </row>
    <row r="657">
      <c r="A657" s="49"/>
      <c r="B657" s="49" t="str">
        <f>IFNA(VLOOKUP($A657,Spells!$A$2:$I1002,MATCH(B$3,Spells!$A$1:$I$1,0),FALSE))</f>
        <v/>
      </c>
      <c r="C657" s="49" t="str">
        <f>IFNA(VLOOKUP($A657,Spells!$A$2:$I1002,MATCH(C$3,Spells!$A$1:$I$1,0),FALSE))</f>
        <v/>
      </c>
      <c r="D657" s="49" t="str">
        <f>IFNA(VLOOKUP($A657,Spells!$A$2:$I1002,MATCH(D$3,Spells!$A$1:$I$1,0),FALSE))</f>
        <v/>
      </c>
      <c r="E657" s="49" t="str">
        <f>IFNA(VLOOKUP($A657,Spells!$A$2:$I1002,MATCH(E$3,Spells!$A$1:$I$1,0),FALSE))</f>
        <v/>
      </c>
      <c r="F657" s="49" t="str">
        <f>IFNA(VLOOKUP($A657,Spells!$A$2:$I1002,MATCH(F$3,Spells!$A$1:$I$1,0),FALSE))</f>
        <v/>
      </c>
      <c r="G657" s="49" t="str">
        <f>IFNA(VLOOKUP($A657,Spells!$A$2:$I1002,MATCH(G$3,Spells!$A$1:$I$1,0),FALSE))</f>
        <v/>
      </c>
      <c r="H657" s="49" t="str">
        <f>IFNA(VLOOKUP($A657,Spells!$A$2:$I1002,MATCH(H$3,Spells!$A$1:$I$1,0),FALSE))</f>
        <v/>
      </c>
    </row>
    <row r="658">
      <c r="A658" s="49"/>
      <c r="B658" s="49" t="str">
        <f>IFNA(VLOOKUP($A658,Spells!$A$2:$I1002,MATCH(B$3,Spells!$A$1:$I$1,0),FALSE))</f>
        <v/>
      </c>
      <c r="C658" s="49" t="str">
        <f>IFNA(VLOOKUP($A658,Spells!$A$2:$I1002,MATCH(C$3,Spells!$A$1:$I$1,0),FALSE))</f>
        <v/>
      </c>
      <c r="D658" s="49" t="str">
        <f>IFNA(VLOOKUP($A658,Spells!$A$2:$I1002,MATCH(D$3,Spells!$A$1:$I$1,0),FALSE))</f>
        <v/>
      </c>
      <c r="E658" s="49" t="str">
        <f>IFNA(VLOOKUP($A658,Spells!$A$2:$I1002,MATCH(E$3,Spells!$A$1:$I$1,0),FALSE))</f>
        <v/>
      </c>
      <c r="F658" s="49" t="str">
        <f>IFNA(VLOOKUP($A658,Spells!$A$2:$I1002,MATCH(F$3,Spells!$A$1:$I$1,0),FALSE))</f>
        <v/>
      </c>
      <c r="G658" s="49" t="str">
        <f>IFNA(VLOOKUP($A658,Spells!$A$2:$I1002,MATCH(G$3,Spells!$A$1:$I$1,0),FALSE))</f>
        <v/>
      </c>
      <c r="H658" s="49" t="str">
        <f>IFNA(VLOOKUP($A658,Spells!$A$2:$I1002,MATCH(H$3,Spells!$A$1:$I$1,0),FALSE))</f>
        <v/>
      </c>
    </row>
    <row r="659">
      <c r="A659" s="49"/>
      <c r="B659" s="49" t="str">
        <f>IFNA(VLOOKUP($A659,Spells!$A$2:$I1002,MATCH(B$3,Spells!$A$1:$I$1,0),FALSE))</f>
        <v/>
      </c>
      <c r="C659" s="49" t="str">
        <f>IFNA(VLOOKUP($A659,Spells!$A$2:$I1002,MATCH(C$3,Spells!$A$1:$I$1,0),FALSE))</f>
        <v/>
      </c>
      <c r="D659" s="49" t="str">
        <f>IFNA(VLOOKUP($A659,Spells!$A$2:$I1002,MATCH(D$3,Spells!$A$1:$I$1,0),FALSE))</f>
        <v/>
      </c>
      <c r="E659" s="49" t="str">
        <f>IFNA(VLOOKUP($A659,Spells!$A$2:$I1002,MATCH(E$3,Spells!$A$1:$I$1,0),FALSE))</f>
        <v/>
      </c>
      <c r="F659" s="49" t="str">
        <f>IFNA(VLOOKUP($A659,Spells!$A$2:$I1002,MATCH(F$3,Spells!$A$1:$I$1,0),FALSE))</f>
        <v/>
      </c>
      <c r="G659" s="49" t="str">
        <f>IFNA(VLOOKUP($A659,Spells!$A$2:$I1002,MATCH(G$3,Spells!$A$1:$I$1,0),FALSE))</f>
        <v/>
      </c>
      <c r="H659" s="49" t="str">
        <f>IFNA(VLOOKUP($A659,Spells!$A$2:$I1002,MATCH(H$3,Spells!$A$1:$I$1,0),FALSE))</f>
        <v/>
      </c>
    </row>
    <row r="660">
      <c r="A660" s="49"/>
      <c r="B660" s="49" t="str">
        <f>IFNA(VLOOKUP($A660,Spells!$A$2:$I1002,MATCH(B$3,Spells!$A$1:$I$1,0),FALSE))</f>
        <v/>
      </c>
      <c r="C660" s="49" t="str">
        <f>IFNA(VLOOKUP($A660,Spells!$A$2:$I1002,MATCH(C$3,Spells!$A$1:$I$1,0),FALSE))</f>
        <v/>
      </c>
      <c r="D660" s="49" t="str">
        <f>IFNA(VLOOKUP($A660,Spells!$A$2:$I1002,MATCH(D$3,Spells!$A$1:$I$1,0),FALSE))</f>
        <v/>
      </c>
      <c r="E660" s="49" t="str">
        <f>IFNA(VLOOKUP($A660,Spells!$A$2:$I1002,MATCH(E$3,Spells!$A$1:$I$1,0),FALSE))</f>
        <v/>
      </c>
      <c r="F660" s="49" t="str">
        <f>IFNA(VLOOKUP($A660,Spells!$A$2:$I1002,MATCH(F$3,Spells!$A$1:$I$1,0),FALSE))</f>
        <v/>
      </c>
      <c r="G660" s="49" t="str">
        <f>IFNA(VLOOKUP($A660,Spells!$A$2:$I1002,MATCH(G$3,Spells!$A$1:$I$1,0),FALSE))</f>
        <v/>
      </c>
      <c r="H660" s="49" t="str">
        <f>IFNA(VLOOKUP($A660,Spells!$A$2:$I1002,MATCH(H$3,Spells!$A$1:$I$1,0),FALSE))</f>
        <v/>
      </c>
    </row>
    <row r="661">
      <c r="A661" s="49"/>
      <c r="B661" s="49" t="str">
        <f>IFNA(VLOOKUP($A661,Spells!$A$2:$I1002,MATCH(B$3,Spells!$A$1:$I$1,0),FALSE))</f>
        <v/>
      </c>
      <c r="C661" s="49" t="str">
        <f>IFNA(VLOOKUP($A661,Spells!$A$2:$I1002,MATCH(C$3,Spells!$A$1:$I$1,0),FALSE))</f>
        <v/>
      </c>
      <c r="D661" s="49" t="str">
        <f>IFNA(VLOOKUP($A661,Spells!$A$2:$I1002,MATCH(D$3,Spells!$A$1:$I$1,0),FALSE))</f>
        <v/>
      </c>
      <c r="E661" s="49" t="str">
        <f>IFNA(VLOOKUP($A661,Spells!$A$2:$I1002,MATCH(E$3,Spells!$A$1:$I$1,0),FALSE))</f>
        <v/>
      </c>
      <c r="F661" s="49" t="str">
        <f>IFNA(VLOOKUP($A661,Spells!$A$2:$I1002,MATCH(F$3,Spells!$A$1:$I$1,0),FALSE))</f>
        <v/>
      </c>
      <c r="G661" s="49" t="str">
        <f>IFNA(VLOOKUP($A661,Spells!$A$2:$I1002,MATCH(G$3,Spells!$A$1:$I$1,0),FALSE))</f>
        <v/>
      </c>
      <c r="H661" s="49" t="str">
        <f>IFNA(VLOOKUP($A661,Spells!$A$2:$I1002,MATCH(H$3,Spells!$A$1:$I$1,0),FALSE))</f>
        <v/>
      </c>
    </row>
    <row r="662">
      <c r="A662" s="49"/>
      <c r="B662" s="49" t="str">
        <f>IFNA(VLOOKUP($A662,Spells!$A$2:$I1002,MATCH(B$3,Spells!$A$1:$I$1,0),FALSE))</f>
        <v/>
      </c>
      <c r="C662" s="49" t="str">
        <f>IFNA(VLOOKUP($A662,Spells!$A$2:$I1002,MATCH(C$3,Spells!$A$1:$I$1,0),FALSE))</f>
        <v/>
      </c>
      <c r="D662" s="49" t="str">
        <f>IFNA(VLOOKUP($A662,Spells!$A$2:$I1002,MATCH(D$3,Spells!$A$1:$I$1,0),FALSE))</f>
        <v/>
      </c>
      <c r="E662" s="49" t="str">
        <f>IFNA(VLOOKUP($A662,Spells!$A$2:$I1002,MATCH(E$3,Spells!$A$1:$I$1,0),FALSE))</f>
        <v/>
      </c>
      <c r="F662" s="49" t="str">
        <f>IFNA(VLOOKUP($A662,Spells!$A$2:$I1002,MATCH(F$3,Spells!$A$1:$I$1,0),FALSE))</f>
        <v/>
      </c>
      <c r="G662" s="49" t="str">
        <f>IFNA(VLOOKUP($A662,Spells!$A$2:$I1002,MATCH(G$3,Spells!$A$1:$I$1,0),FALSE))</f>
        <v/>
      </c>
      <c r="H662" s="49" t="str">
        <f>IFNA(VLOOKUP($A662,Spells!$A$2:$I1002,MATCH(H$3,Spells!$A$1:$I$1,0),FALSE))</f>
        <v/>
      </c>
    </row>
    <row r="663">
      <c r="A663" s="49"/>
      <c r="B663" s="49" t="str">
        <f>IFNA(VLOOKUP($A663,Spells!$A$2:$I1002,MATCH(B$3,Spells!$A$1:$I$1,0),FALSE))</f>
        <v/>
      </c>
      <c r="C663" s="49" t="str">
        <f>IFNA(VLOOKUP($A663,Spells!$A$2:$I1002,MATCH(C$3,Spells!$A$1:$I$1,0),FALSE))</f>
        <v/>
      </c>
      <c r="D663" s="49" t="str">
        <f>IFNA(VLOOKUP($A663,Spells!$A$2:$I1002,MATCH(D$3,Spells!$A$1:$I$1,0),FALSE))</f>
        <v/>
      </c>
      <c r="E663" s="49" t="str">
        <f>IFNA(VLOOKUP($A663,Spells!$A$2:$I1002,MATCH(E$3,Spells!$A$1:$I$1,0),FALSE))</f>
        <v/>
      </c>
      <c r="F663" s="49" t="str">
        <f>IFNA(VLOOKUP($A663,Spells!$A$2:$I1002,MATCH(F$3,Spells!$A$1:$I$1,0),FALSE))</f>
        <v/>
      </c>
      <c r="G663" s="49" t="str">
        <f>IFNA(VLOOKUP($A663,Spells!$A$2:$I1002,MATCH(G$3,Spells!$A$1:$I$1,0),FALSE))</f>
        <v/>
      </c>
      <c r="H663" s="49" t="str">
        <f>IFNA(VLOOKUP($A663,Spells!$A$2:$I1002,MATCH(H$3,Spells!$A$1:$I$1,0),FALSE))</f>
        <v/>
      </c>
    </row>
    <row r="664">
      <c r="A664" s="49"/>
      <c r="B664" s="49" t="str">
        <f>IFNA(VLOOKUP($A664,Spells!$A$2:$I1002,MATCH(B$3,Spells!$A$1:$I$1,0),FALSE))</f>
        <v/>
      </c>
      <c r="C664" s="49" t="str">
        <f>IFNA(VLOOKUP($A664,Spells!$A$2:$I1002,MATCH(C$3,Spells!$A$1:$I$1,0),FALSE))</f>
        <v/>
      </c>
      <c r="D664" s="49" t="str">
        <f>IFNA(VLOOKUP($A664,Spells!$A$2:$I1002,MATCH(D$3,Spells!$A$1:$I$1,0),FALSE))</f>
        <v/>
      </c>
      <c r="E664" s="49" t="str">
        <f>IFNA(VLOOKUP($A664,Spells!$A$2:$I1002,MATCH(E$3,Spells!$A$1:$I$1,0),FALSE))</f>
        <v/>
      </c>
      <c r="F664" s="49" t="str">
        <f>IFNA(VLOOKUP($A664,Spells!$A$2:$I1002,MATCH(F$3,Spells!$A$1:$I$1,0),FALSE))</f>
        <v/>
      </c>
      <c r="G664" s="49" t="str">
        <f>IFNA(VLOOKUP($A664,Spells!$A$2:$I1002,MATCH(G$3,Spells!$A$1:$I$1,0),FALSE))</f>
        <v/>
      </c>
      <c r="H664" s="49" t="str">
        <f>IFNA(VLOOKUP($A664,Spells!$A$2:$I1002,MATCH(H$3,Spells!$A$1:$I$1,0),FALSE))</f>
        <v/>
      </c>
    </row>
    <row r="665">
      <c r="A665" s="49"/>
      <c r="B665" s="49" t="str">
        <f>IFNA(VLOOKUP($A665,Spells!$A$2:$I1002,MATCH(B$3,Spells!$A$1:$I$1,0),FALSE))</f>
        <v/>
      </c>
      <c r="C665" s="49" t="str">
        <f>IFNA(VLOOKUP($A665,Spells!$A$2:$I1002,MATCH(C$3,Spells!$A$1:$I$1,0),FALSE))</f>
        <v/>
      </c>
      <c r="D665" s="49" t="str">
        <f>IFNA(VLOOKUP($A665,Spells!$A$2:$I1002,MATCH(D$3,Spells!$A$1:$I$1,0),FALSE))</f>
        <v/>
      </c>
      <c r="E665" s="49" t="str">
        <f>IFNA(VLOOKUP($A665,Spells!$A$2:$I1002,MATCH(E$3,Spells!$A$1:$I$1,0),FALSE))</f>
        <v/>
      </c>
      <c r="F665" s="49" t="str">
        <f>IFNA(VLOOKUP($A665,Spells!$A$2:$I1002,MATCH(F$3,Spells!$A$1:$I$1,0),FALSE))</f>
        <v/>
      </c>
      <c r="G665" s="49" t="str">
        <f>IFNA(VLOOKUP($A665,Spells!$A$2:$I1002,MATCH(G$3,Spells!$A$1:$I$1,0),FALSE))</f>
        <v/>
      </c>
      <c r="H665" s="49" t="str">
        <f>IFNA(VLOOKUP($A665,Spells!$A$2:$I1002,MATCH(H$3,Spells!$A$1:$I$1,0),FALSE))</f>
        <v/>
      </c>
    </row>
    <row r="666">
      <c r="A666" s="49"/>
      <c r="B666" s="49" t="str">
        <f>IFNA(VLOOKUP($A666,Spells!$A$2:$I1002,MATCH(B$3,Spells!$A$1:$I$1,0),FALSE))</f>
        <v/>
      </c>
      <c r="C666" s="49" t="str">
        <f>IFNA(VLOOKUP($A666,Spells!$A$2:$I1002,MATCH(C$3,Spells!$A$1:$I$1,0),FALSE))</f>
        <v/>
      </c>
      <c r="D666" s="49" t="str">
        <f>IFNA(VLOOKUP($A666,Spells!$A$2:$I1002,MATCH(D$3,Spells!$A$1:$I$1,0),FALSE))</f>
        <v/>
      </c>
      <c r="E666" s="49" t="str">
        <f>IFNA(VLOOKUP($A666,Spells!$A$2:$I1002,MATCH(E$3,Spells!$A$1:$I$1,0),FALSE))</f>
        <v/>
      </c>
      <c r="F666" s="49" t="str">
        <f>IFNA(VLOOKUP($A666,Spells!$A$2:$I1002,MATCH(F$3,Spells!$A$1:$I$1,0),FALSE))</f>
        <v/>
      </c>
      <c r="G666" s="49" t="str">
        <f>IFNA(VLOOKUP($A666,Spells!$A$2:$I1002,MATCH(G$3,Spells!$A$1:$I$1,0),FALSE))</f>
        <v/>
      </c>
      <c r="H666" s="49" t="str">
        <f>IFNA(VLOOKUP($A666,Spells!$A$2:$I1002,MATCH(H$3,Spells!$A$1:$I$1,0),FALSE))</f>
        <v/>
      </c>
    </row>
    <row r="667">
      <c r="A667" s="49"/>
      <c r="B667" s="49" t="str">
        <f>IFNA(VLOOKUP($A667,Spells!$A$2:$I1002,MATCH(B$3,Spells!$A$1:$I$1,0),FALSE))</f>
        <v/>
      </c>
      <c r="C667" s="49" t="str">
        <f>IFNA(VLOOKUP($A667,Spells!$A$2:$I1002,MATCH(C$3,Spells!$A$1:$I$1,0),FALSE))</f>
        <v/>
      </c>
      <c r="D667" s="49" t="str">
        <f>IFNA(VLOOKUP($A667,Spells!$A$2:$I1002,MATCH(D$3,Spells!$A$1:$I$1,0),FALSE))</f>
        <v/>
      </c>
      <c r="E667" s="49" t="str">
        <f>IFNA(VLOOKUP($A667,Spells!$A$2:$I1002,MATCH(E$3,Spells!$A$1:$I$1,0),FALSE))</f>
        <v/>
      </c>
      <c r="F667" s="49" t="str">
        <f>IFNA(VLOOKUP($A667,Spells!$A$2:$I1002,MATCH(F$3,Spells!$A$1:$I$1,0),FALSE))</f>
        <v/>
      </c>
      <c r="G667" s="49" t="str">
        <f>IFNA(VLOOKUP($A667,Spells!$A$2:$I1002,MATCH(G$3,Spells!$A$1:$I$1,0),FALSE))</f>
        <v/>
      </c>
      <c r="H667" s="49" t="str">
        <f>IFNA(VLOOKUP($A667,Spells!$A$2:$I1002,MATCH(H$3,Spells!$A$1:$I$1,0),FALSE))</f>
        <v/>
      </c>
    </row>
    <row r="668">
      <c r="A668" s="49"/>
      <c r="B668" s="49" t="str">
        <f>IFNA(VLOOKUP($A668,Spells!$A$2:$I1002,MATCH(B$3,Spells!$A$1:$I$1,0),FALSE))</f>
        <v/>
      </c>
      <c r="C668" s="49" t="str">
        <f>IFNA(VLOOKUP($A668,Spells!$A$2:$I1002,MATCH(C$3,Spells!$A$1:$I$1,0),FALSE))</f>
        <v/>
      </c>
      <c r="D668" s="49" t="str">
        <f>IFNA(VLOOKUP($A668,Spells!$A$2:$I1002,MATCH(D$3,Spells!$A$1:$I$1,0),FALSE))</f>
        <v/>
      </c>
      <c r="E668" s="49" t="str">
        <f>IFNA(VLOOKUP($A668,Spells!$A$2:$I1002,MATCH(E$3,Spells!$A$1:$I$1,0),FALSE))</f>
        <v/>
      </c>
      <c r="F668" s="49" t="str">
        <f>IFNA(VLOOKUP($A668,Spells!$A$2:$I1002,MATCH(F$3,Spells!$A$1:$I$1,0),FALSE))</f>
        <v/>
      </c>
      <c r="G668" s="49" t="str">
        <f>IFNA(VLOOKUP($A668,Spells!$A$2:$I1002,MATCH(G$3,Spells!$A$1:$I$1,0),FALSE))</f>
        <v/>
      </c>
      <c r="H668" s="49" t="str">
        <f>IFNA(VLOOKUP($A668,Spells!$A$2:$I1002,MATCH(H$3,Spells!$A$1:$I$1,0),FALSE))</f>
        <v/>
      </c>
    </row>
    <row r="669">
      <c r="A669" s="49"/>
      <c r="B669" s="49" t="str">
        <f>IFNA(VLOOKUP($A669,Spells!$A$2:$I1002,MATCH(B$3,Spells!$A$1:$I$1,0),FALSE))</f>
        <v/>
      </c>
      <c r="C669" s="49" t="str">
        <f>IFNA(VLOOKUP($A669,Spells!$A$2:$I1002,MATCH(C$3,Spells!$A$1:$I$1,0),FALSE))</f>
        <v/>
      </c>
      <c r="D669" s="49" t="str">
        <f>IFNA(VLOOKUP($A669,Spells!$A$2:$I1002,MATCH(D$3,Spells!$A$1:$I$1,0),FALSE))</f>
        <v/>
      </c>
      <c r="E669" s="49" t="str">
        <f>IFNA(VLOOKUP($A669,Spells!$A$2:$I1002,MATCH(E$3,Spells!$A$1:$I$1,0),FALSE))</f>
        <v/>
      </c>
      <c r="F669" s="49" t="str">
        <f>IFNA(VLOOKUP($A669,Spells!$A$2:$I1002,MATCH(F$3,Spells!$A$1:$I$1,0),FALSE))</f>
        <v/>
      </c>
      <c r="G669" s="49" t="str">
        <f>IFNA(VLOOKUP($A669,Spells!$A$2:$I1002,MATCH(G$3,Spells!$A$1:$I$1,0),FALSE))</f>
        <v/>
      </c>
      <c r="H669" s="49" t="str">
        <f>IFNA(VLOOKUP($A669,Spells!$A$2:$I1002,MATCH(H$3,Spells!$A$1:$I$1,0),FALSE))</f>
        <v/>
      </c>
    </row>
    <row r="670">
      <c r="A670" s="49"/>
      <c r="B670" s="49" t="str">
        <f>IFNA(VLOOKUP($A670,Spells!$A$2:$I1002,MATCH(B$3,Spells!$A$1:$I$1,0),FALSE))</f>
        <v/>
      </c>
      <c r="C670" s="49" t="str">
        <f>IFNA(VLOOKUP($A670,Spells!$A$2:$I1002,MATCH(C$3,Spells!$A$1:$I$1,0),FALSE))</f>
        <v/>
      </c>
      <c r="D670" s="49" t="str">
        <f>IFNA(VLOOKUP($A670,Spells!$A$2:$I1002,MATCH(D$3,Spells!$A$1:$I$1,0),FALSE))</f>
        <v/>
      </c>
      <c r="E670" s="49" t="str">
        <f>IFNA(VLOOKUP($A670,Spells!$A$2:$I1002,MATCH(E$3,Spells!$A$1:$I$1,0),FALSE))</f>
        <v/>
      </c>
      <c r="F670" s="49" t="str">
        <f>IFNA(VLOOKUP($A670,Spells!$A$2:$I1002,MATCH(F$3,Spells!$A$1:$I$1,0),FALSE))</f>
        <v/>
      </c>
      <c r="G670" s="49" t="str">
        <f>IFNA(VLOOKUP($A670,Spells!$A$2:$I1002,MATCH(G$3,Spells!$A$1:$I$1,0),FALSE))</f>
        <v/>
      </c>
      <c r="H670" s="49" t="str">
        <f>IFNA(VLOOKUP($A670,Spells!$A$2:$I1002,MATCH(H$3,Spells!$A$1:$I$1,0),FALSE))</f>
        <v/>
      </c>
    </row>
    <row r="671">
      <c r="A671" s="49"/>
      <c r="B671" s="49" t="str">
        <f>IFNA(VLOOKUP($A671,Spells!$A$2:$I1002,MATCH(B$3,Spells!$A$1:$I$1,0),FALSE))</f>
        <v/>
      </c>
      <c r="C671" s="49" t="str">
        <f>IFNA(VLOOKUP($A671,Spells!$A$2:$I1002,MATCH(C$3,Spells!$A$1:$I$1,0),FALSE))</f>
        <v/>
      </c>
      <c r="D671" s="49" t="str">
        <f>IFNA(VLOOKUP($A671,Spells!$A$2:$I1002,MATCH(D$3,Spells!$A$1:$I$1,0),FALSE))</f>
        <v/>
      </c>
      <c r="E671" s="49" t="str">
        <f>IFNA(VLOOKUP($A671,Spells!$A$2:$I1002,MATCH(E$3,Spells!$A$1:$I$1,0),FALSE))</f>
        <v/>
      </c>
      <c r="F671" s="49" t="str">
        <f>IFNA(VLOOKUP($A671,Spells!$A$2:$I1002,MATCH(F$3,Spells!$A$1:$I$1,0),FALSE))</f>
        <v/>
      </c>
      <c r="G671" s="49" t="str">
        <f>IFNA(VLOOKUP($A671,Spells!$A$2:$I1002,MATCH(G$3,Spells!$A$1:$I$1,0),FALSE))</f>
        <v/>
      </c>
      <c r="H671" s="49" t="str">
        <f>IFNA(VLOOKUP($A671,Spells!$A$2:$I1002,MATCH(H$3,Spells!$A$1:$I$1,0),FALSE))</f>
        <v/>
      </c>
    </row>
    <row r="672">
      <c r="A672" s="49"/>
      <c r="B672" s="49" t="str">
        <f>IFNA(VLOOKUP($A672,Spells!$A$2:$I1002,MATCH(B$3,Spells!$A$1:$I$1,0),FALSE))</f>
        <v/>
      </c>
      <c r="C672" s="49" t="str">
        <f>IFNA(VLOOKUP($A672,Spells!$A$2:$I1002,MATCH(C$3,Spells!$A$1:$I$1,0),FALSE))</f>
        <v/>
      </c>
      <c r="D672" s="49" t="str">
        <f>IFNA(VLOOKUP($A672,Spells!$A$2:$I1002,MATCH(D$3,Spells!$A$1:$I$1,0),FALSE))</f>
        <v/>
      </c>
      <c r="E672" s="49" t="str">
        <f>IFNA(VLOOKUP($A672,Spells!$A$2:$I1002,MATCH(E$3,Spells!$A$1:$I$1,0),FALSE))</f>
        <v/>
      </c>
      <c r="F672" s="49" t="str">
        <f>IFNA(VLOOKUP($A672,Spells!$A$2:$I1002,MATCH(F$3,Spells!$A$1:$I$1,0),FALSE))</f>
        <v/>
      </c>
      <c r="G672" s="49" t="str">
        <f>IFNA(VLOOKUP($A672,Spells!$A$2:$I1002,MATCH(G$3,Spells!$A$1:$I$1,0),FALSE))</f>
        <v/>
      </c>
      <c r="H672" s="49" t="str">
        <f>IFNA(VLOOKUP($A672,Spells!$A$2:$I1002,MATCH(H$3,Spells!$A$1:$I$1,0),FALSE))</f>
        <v/>
      </c>
    </row>
    <row r="673">
      <c r="A673" s="49"/>
      <c r="B673" s="49" t="str">
        <f>IFNA(VLOOKUP($A673,Spells!$A$2:$I1002,MATCH(B$3,Spells!$A$1:$I$1,0),FALSE))</f>
        <v/>
      </c>
      <c r="C673" s="49" t="str">
        <f>IFNA(VLOOKUP($A673,Spells!$A$2:$I1002,MATCH(C$3,Spells!$A$1:$I$1,0),FALSE))</f>
        <v/>
      </c>
      <c r="D673" s="49" t="str">
        <f>IFNA(VLOOKUP($A673,Spells!$A$2:$I1002,MATCH(D$3,Spells!$A$1:$I$1,0),FALSE))</f>
        <v/>
      </c>
      <c r="E673" s="49" t="str">
        <f>IFNA(VLOOKUP($A673,Spells!$A$2:$I1002,MATCH(E$3,Spells!$A$1:$I$1,0),FALSE))</f>
        <v/>
      </c>
      <c r="F673" s="49" t="str">
        <f>IFNA(VLOOKUP($A673,Spells!$A$2:$I1002,MATCH(F$3,Spells!$A$1:$I$1,0),FALSE))</f>
        <v/>
      </c>
      <c r="G673" s="49" t="str">
        <f>IFNA(VLOOKUP($A673,Spells!$A$2:$I1002,MATCH(G$3,Spells!$A$1:$I$1,0),FALSE))</f>
        <v/>
      </c>
      <c r="H673" s="49" t="str">
        <f>IFNA(VLOOKUP($A673,Spells!$A$2:$I1002,MATCH(H$3,Spells!$A$1:$I$1,0),FALSE))</f>
        <v/>
      </c>
    </row>
    <row r="674">
      <c r="A674" s="49"/>
      <c r="B674" s="49" t="str">
        <f>IFNA(VLOOKUP($A674,Spells!$A$2:$I1002,MATCH(B$3,Spells!$A$1:$I$1,0),FALSE))</f>
        <v/>
      </c>
      <c r="C674" s="49" t="str">
        <f>IFNA(VLOOKUP($A674,Spells!$A$2:$I1002,MATCH(C$3,Spells!$A$1:$I$1,0),FALSE))</f>
        <v/>
      </c>
      <c r="D674" s="49" t="str">
        <f>IFNA(VLOOKUP($A674,Spells!$A$2:$I1002,MATCH(D$3,Spells!$A$1:$I$1,0),FALSE))</f>
        <v/>
      </c>
      <c r="E674" s="49" t="str">
        <f>IFNA(VLOOKUP($A674,Spells!$A$2:$I1002,MATCH(E$3,Spells!$A$1:$I$1,0),FALSE))</f>
        <v/>
      </c>
      <c r="F674" s="49" t="str">
        <f>IFNA(VLOOKUP($A674,Spells!$A$2:$I1002,MATCH(F$3,Spells!$A$1:$I$1,0),FALSE))</f>
        <v/>
      </c>
      <c r="G674" s="49" t="str">
        <f>IFNA(VLOOKUP($A674,Spells!$A$2:$I1002,MATCH(G$3,Spells!$A$1:$I$1,0),FALSE))</f>
        <v/>
      </c>
      <c r="H674" s="49" t="str">
        <f>IFNA(VLOOKUP($A674,Spells!$A$2:$I1002,MATCH(H$3,Spells!$A$1:$I$1,0),FALSE))</f>
        <v/>
      </c>
    </row>
    <row r="675">
      <c r="A675" s="49"/>
      <c r="B675" s="49" t="str">
        <f>IFNA(VLOOKUP($A675,Spells!$A$2:$I1002,MATCH(B$3,Spells!$A$1:$I$1,0),FALSE))</f>
        <v/>
      </c>
      <c r="C675" s="49" t="str">
        <f>IFNA(VLOOKUP($A675,Spells!$A$2:$I1002,MATCH(C$3,Spells!$A$1:$I$1,0),FALSE))</f>
        <v/>
      </c>
      <c r="D675" s="49" t="str">
        <f>IFNA(VLOOKUP($A675,Spells!$A$2:$I1002,MATCH(D$3,Spells!$A$1:$I$1,0),FALSE))</f>
        <v/>
      </c>
      <c r="E675" s="49" t="str">
        <f>IFNA(VLOOKUP($A675,Spells!$A$2:$I1002,MATCH(E$3,Spells!$A$1:$I$1,0),FALSE))</f>
        <v/>
      </c>
      <c r="F675" s="49" t="str">
        <f>IFNA(VLOOKUP($A675,Spells!$A$2:$I1002,MATCH(F$3,Spells!$A$1:$I$1,0),FALSE))</f>
        <v/>
      </c>
      <c r="G675" s="49" t="str">
        <f>IFNA(VLOOKUP($A675,Spells!$A$2:$I1002,MATCH(G$3,Spells!$A$1:$I$1,0),FALSE))</f>
        <v/>
      </c>
      <c r="H675" s="49" t="str">
        <f>IFNA(VLOOKUP($A675,Spells!$A$2:$I1002,MATCH(H$3,Spells!$A$1:$I$1,0),FALSE))</f>
        <v/>
      </c>
    </row>
    <row r="676">
      <c r="A676" s="49"/>
      <c r="B676" s="49" t="str">
        <f>IFNA(VLOOKUP($A676,Spells!$A$2:$I1002,MATCH(B$3,Spells!$A$1:$I$1,0),FALSE))</f>
        <v/>
      </c>
      <c r="C676" s="49" t="str">
        <f>IFNA(VLOOKUP($A676,Spells!$A$2:$I1002,MATCH(C$3,Spells!$A$1:$I$1,0),FALSE))</f>
        <v/>
      </c>
      <c r="D676" s="49" t="str">
        <f>IFNA(VLOOKUP($A676,Spells!$A$2:$I1002,MATCH(D$3,Spells!$A$1:$I$1,0),FALSE))</f>
        <v/>
      </c>
      <c r="E676" s="49" t="str">
        <f>IFNA(VLOOKUP($A676,Spells!$A$2:$I1002,MATCH(E$3,Spells!$A$1:$I$1,0),FALSE))</f>
        <v/>
      </c>
      <c r="F676" s="49" t="str">
        <f>IFNA(VLOOKUP($A676,Spells!$A$2:$I1002,MATCH(F$3,Spells!$A$1:$I$1,0),FALSE))</f>
        <v/>
      </c>
      <c r="G676" s="49" t="str">
        <f>IFNA(VLOOKUP($A676,Spells!$A$2:$I1002,MATCH(G$3,Spells!$A$1:$I$1,0),FALSE))</f>
        <v/>
      </c>
      <c r="H676" s="49" t="str">
        <f>IFNA(VLOOKUP($A676,Spells!$A$2:$I1002,MATCH(H$3,Spells!$A$1:$I$1,0),FALSE))</f>
        <v/>
      </c>
    </row>
    <row r="677">
      <c r="A677" s="49"/>
      <c r="B677" s="49" t="str">
        <f>IFNA(VLOOKUP($A677,Spells!$A$2:$I1002,MATCH(B$3,Spells!$A$1:$I$1,0),FALSE))</f>
        <v/>
      </c>
      <c r="C677" s="49" t="str">
        <f>IFNA(VLOOKUP($A677,Spells!$A$2:$I1002,MATCH(C$3,Spells!$A$1:$I$1,0),FALSE))</f>
        <v/>
      </c>
      <c r="D677" s="49" t="str">
        <f>IFNA(VLOOKUP($A677,Spells!$A$2:$I1002,MATCH(D$3,Spells!$A$1:$I$1,0),FALSE))</f>
        <v/>
      </c>
      <c r="E677" s="49" t="str">
        <f>IFNA(VLOOKUP($A677,Spells!$A$2:$I1002,MATCH(E$3,Spells!$A$1:$I$1,0),FALSE))</f>
        <v/>
      </c>
      <c r="F677" s="49" t="str">
        <f>IFNA(VLOOKUP($A677,Spells!$A$2:$I1002,MATCH(F$3,Spells!$A$1:$I$1,0),FALSE))</f>
        <v/>
      </c>
      <c r="G677" s="49" t="str">
        <f>IFNA(VLOOKUP($A677,Spells!$A$2:$I1002,MATCH(G$3,Spells!$A$1:$I$1,0),FALSE))</f>
        <v/>
      </c>
      <c r="H677" s="49" t="str">
        <f>IFNA(VLOOKUP($A677,Spells!$A$2:$I1002,MATCH(H$3,Spells!$A$1:$I$1,0),FALSE))</f>
        <v/>
      </c>
    </row>
    <row r="678">
      <c r="A678" s="49"/>
      <c r="B678" s="49" t="str">
        <f>IFNA(VLOOKUP($A678,Spells!$A$2:$I1002,MATCH(B$3,Spells!$A$1:$I$1,0),FALSE))</f>
        <v/>
      </c>
      <c r="C678" s="49" t="str">
        <f>IFNA(VLOOKUP($A678,Spells!$A$2:$I1002,MATCH(C$3,Spells!$A$1:$I$1,0),FALSE))</f>
        <v/>
      </c>
      <c r="D678" s="49" t="str">
        <f>IFNA(VLOOKUP($A678,Spells!$A$2:$I1002,MATCH(D$3,Spells!$A$1:$I$1,0),FALSE))</f>
        <v/>
      </c>
      <c r="E678" s="49" t="str">
        <f>IFNA(VLOOKUP($A678,Spells!$A$2:$I1002,MATCH(E$3,Spells!$A$1:$I$1,0),FALSE))</f>
        <v/>
      </c>
      <c r="F678" s="49" t="str">
        <f>IFNA(VLOOKUP($A678,Spells!$A$2:$I1002,MATCH(F$3,Spells!$A$1:$I$1,0),FALSE))</f>
        <v/>
      </c>
      <c r="G678" s="49" t="str">
        <f>IFNA(VLOOKUP($A678,Spells!$A$2:$I1002,MATCH(G$3,Spells!$A$1:$I$1,0),FALSE))</f>
        <v/>
      </c>
      <c r="H678" s="49" t="str">
        <f>IFNA(VLOOKUP($A678,Spells!$A$2:$I1002,MATCH(H$3,Spells!$A$1:$I$1,0),FALSE))</f>
        <v/>
      </c>
    </row>
    <row r="679">
      <c r="A679" s="49"/>
      <c r="B679" s="49" t="str">
        <f>IFNA(VLOOKUP($A679,Spells!$A$2:$I1002,MATCH(B$3,Spells!$A$1:$I$1,0),FALSE))</f>
        <v/>
      </c>
      <c r="C679" s="49" t="str">
        <f>IFNA(VLOOKUP($A679,Spells!$A$2:$I1002,MATCH(C$3,Spells!$A$1:$I$1,0),FALSE))</f>
        <v/>
      </c>
      <c r="D679" s="49" t="str">
        <f>IFNA(VLOOKUP($A679,Spells!$A$2:$I1002,MATCH(D$3,Spells!$A$1:$I$1,0),FALSE))</f>
        <v/>
      </c>
      <c r="E679" s="49" t="str">
        <f>IFNA(VLOOKUP($A679,Spells!$A$2:$I1002,MATCH(E$3,Spells!$A$1:$I$1,0),FALSE))</f>
        <v/>
      </c>
      <c r="F679" s="49" t="str">
        <f>IFNA(VLOOKUP($A679,Spells!$A$2:$I1002,MATCH(F$3,Spells!$A$1:$I$1,0),FALSE))</f>
        <v/>
      </c>
      <c r="G679" s="49" t="str">
        <f>IFNA(VLOOKUP($A679,Spells!$A$2:$I1002,MATCH(G$3,Spells!$A$1:$I$1,0),FALSE))</f>
        <v/>
      </c>
      <c r="H679" s="49" t="str">
        <f>IFNA(VLOOKUP($A679,Spells!$A$2:$I1002,MATCH(H$3,Spells!$A$1:$I$1,0),FALSE))</f>
        <v/>
      </c>
    </row>
    <row r="680">
      <c r="A680" s="49"/>
      <c r="B680" s="49" t="str">
        <f>IFNA(VLOOKUP($A680,Spells!$A$2:$I1002,MATCH(B$3,Spells!$A$1:$I$1,0),FALSE))</f>
        <v/>
      </c>
      <c r="C680" s="49" t="str">
        <f>IFNA(VLOOKUP($A680,Spells!$A$2:$I1002,MATCH(C$3,Spells!$A$1:$I$1,0),FALSE))</f>
        <v/>
      </c>
      <c r="D680" s="49" t="str">
        <f>IFNA(VLOOKUP($A680,Spells!$A$2:$I1002,MATCH(D$3,Spells!$A$1:$I$1,0),FALSE))</f>
        <v/>
      </c>
      <c r="E680" s="49" t="str">
        <f>IFNA(VLOOKUP($A680,Spells!$A$2:$I1002,MATCH(E$3,Spells!$A$1:$I$1,0),FALSE))</f>
        <v/>
      </c>
      <c r="F680" s="49" t="str">
        <f>IFNA(VLOOKUP($A680,Spells!$A$2:$I1002,MATCH(F$3,Spells!$A$1:$I$1,0),FALSE))</f>
        <v/>
      </c>
      <c r="G680" s="49" t="str">
        <f>IFNA(VLOOKUP($A680,Spells!$A$2:$I1002,MATCH(G$3,Spells!$A$1:$I$1,0),FALSE))</f>
        <v/>
      </c>
      <c r="H680" s="49" t="str">
        <f>IFNA(VLOOKUP($A680,Spells!$A$2:$I1002,MATCH(H$3,Spells!$A$1:$I$1,0),FALSE))</f>
        <v/>
      </c>
    </row>
    <row r="681">
      <c r="A681" s="49"/>
      <c r="B681" s="49" t="str">
        <f>IFNA(VLOOKUP($A681,Spells!$A$2:$I1002,MATCH(B$3,Spells!$A$1:$I$1,0),FALSE))</f>
        <v/>
      </c>
      <c r="C681" s="49" t="str">
        <f>IFNA(VLOOKUP($A681,Spells!$A$2:$I1002,MATCH(C$3,Spells!$A$1:$I$1,0),FALSE))</f>
        <v/>
      </c>
      <c r="D681" s="49" t="str">
        <f>IFNA(VLOOKUP($A681,Spells!$A$2:$I1002,MATCH(D$3,Spells!$A$1:$I$1,0),FALSE))</f>
        <v/>
      </c>
      <c r="E681" s="49" t="str">
        <f>IFNA(VLOOKUP($A681,Spells!$A$2:$I1002,MATCH(E$3,Spells!$A$1:$I$1,0),FALSE))</f>
        <v/>
      </c>
      <c r="F681" s="49" t="str">
        <f>IFNA(VLOOKUP($A681,Spells!$A$2:$I1002,MATCH(F$3,Spells!$A$1:$I$1,0),FALSE))</f>
        <v/>
      </c>
      <c r="G681" s="49" t="str">
        <f>IFNA(VLOOKUP($A681,Spells!$A$2:$I1002,MATCH(G$3,Spells!$A$1:$I$1,0),FALSE))</f>
        <v/>
      </c>
      <c r="H681" s="49" t="str">
        <f>IFNA(VLOOKUP($A681,Spells!$A$2:$I1002,MATCH(H$3,Spells!$A$1:$I$1,0),FALSE))</f>
        <v/>
      </c>
    </row>
    <row r="682">
      <c r="A682" s="49"/>
      <c r="B682" s="49" t="str">
        <f>IFNA(VLOOKUP($A682,Spells!$A$2:$I1002,MATCH(B$3,Spells!$A$1:$I$1,0),FALSE))</f>
        <v/>
      </c>
      <c r="C682" s="49" t="str">
        <f>IFNA(VLOOKUP($A682,Spells!$A$2:$I1002,MATCH(C$3,Spells!$A$1:$I$1,0),FALSE))</f>
        <v/>
      </c>
      <c r="D682" s="49" t="str">
        <f>IFNA(VLOOKUP($A682,Spells!$A$2:$I1002,MATCH(D$3,Spells!$A$1:$I$1,0),FALSE))</f>
        <v/>
      </c>
      <c r="E682" s="49" t="str">
        <f>IFNA(VLOOKUP($A682,Spells!$A$2:$I1002,MATCH(E$3,Spells!$A$1:$I$1,0),FALSE))</f>
        <v/>
      </c>
      <c r="F682" s="49" t="str">
        <f>IFNA(VLOOKUP($A682,Spells!$A$2:$I1002,MATCH(F$3,Spells!$A$1:$I$1,0),FALSE))</f>
        <v/>
      </c>
      <c r="G682" s="49" t="str">
        <f>IFNA(VLOOKUP($A682,Spells!$A$2:$I1002,MATCH(G$3,Spells!$A$1:$I$1,0),FALSE))</f>
        <v/>
      </c>
      <c r="H682" s="49" t="str">
        <f>IFNA(VLOOKUP($A682,Spells!$A$2:$I1002,MATCH(H$3,Spells!$A$1:$I$1,0),FALSE))</f>
        <v/>
      </c>
    </row>
    <row r="683">
      <c r="A683" s="49"/>
      <c r="B683" s="49" t="str">
        <f>IFNA(VLOOKUP($A683,Spells!$A$2:$I1002,MATCH(B$3,Spells!$A$1:$I$1,0),FALSE))</f>
        <v/>
      </c>
      <c r="C683" s="49" t="str">
        <f>IFNA(VLOOKUP($A683,Spells!$A$2:$I1002,MATCH(C$3,Spells!$A$1:$I$1,0),FALSE))</f>
        <v/>
      </c>
      <c r="D683" s="49" t="str">
        <f>IFNA(VLOOKUP($A683,Spells!$A$2:$I1002,MATCH(D$3,Spells!$A$1:$I$1,0),FALSE))</f>
        <v/>
      </c>
      <c r="E683" s="49" t="str">
        <f>IFNA(VLOOKUP($A683,Spells!$A$2:$I1002,MATCH(E$3,Spells!$A$1:$I$1,0),FALSE))</f>
        <v/>
      </c>
      <c r="F683" s="49" t="str">
        <f>IFNA(VLOOKUP($A683,Spells!$A$2:$I1002,MATCH(F$3,Spells!$A$1:$I$1,0),FALSE))</f>
        <v/>
      </c>
      <c r="G683" s="49" t="str">
        <f>IFNA(VLOOKUP($A683,Spells!$A$2:$I1002,MATCH(G$3,Spells!$A$1:$I$1,0),FALSE))</f>
        <v/>
      </c>
      <c r="H683" s="49" t="str">
        <f>IFNA(VLOOKUP($A683,Spells!$A$2:$I1002,MATCH(H$3,Spells!$A$1:$I$1,0),FALSE))</f>
        <v/>
      </c>
    </row>
    <row r="684">
      <c r="A684" s="49"/>
      <c r="B684" s="49" t="str">
        <f>IFNA(VLOOKUP($A684,Spells!$A$2:$I1002,MATCH(B$3,Spells!$A$1:$I$1,0),FALSE))</f>
        <v/>
      </c>
      <c r="C684" s="49" t="str">
        <f>IFNA(VLOOKUP($A684,Spells!$A$2:$I1002,MATCH(C$3,Spells!$A$1:$I$1,0),FALSE))</f>
        <v/>
      </c>
      <c r="D684" s="49" t="str">
        <f>IFNA(VLOOKUP($A684,Spells!$A$2:$I1002,MATCH(D$3,Spells!$A$1:$I$1,0),FALSE))</f>
        <v/>
      </c>
      <c r="E684" s="49" t="str">
        <f>IFNA(VLOOKUP($A684,Spells!$A$2:$I1002,MATCH(E$3,Spells!$A$1:$I$1,0),FALSE))</f>
        <v/>
      </c>
      <c r="F684" s="49" t="str">
        <f>IFNA(VLOOKUP($A684,Spells!$A$2:$I1002,MATCH(F$3,Spells!$A$1:$I$1,0),FALSE))</f>
        <v/>
      </c>
      <c r="G684" s="49" t="str">
        <f>IFNA(VLOOKUP($A684,Spells!$A$2:$I1002,MATCH(G$3,Spells!$A$1:$I$1,0),FALSE))</f>
        <v/>
      </c>
      <c r="H684" s="49" t="str">
        <f>IFNA(VLOOKUP($A684,Spells!$A$2:$I1002,MATCH(H$3,Spells!$A$1:$I$1,0),FALSE))</f>
        <v/>
      </c>
    </row>
    <row r="685">
      <c r="A685" s="49"/>
      <c r="B685" s="49" t="str">
        <f>IFNA(VLOOKUP($A685,Spells!$A$2:$I1002,MATCH(B$3,Spells!$A$1:$I$1,0),FALSE))</f>
        <v/>
      </c>
      <c r="C685" s="49" t="str">
        <f>IFNA(VLOOKUP($A685,Spells!$A$2:$I1002,MATCH(C$3,Spells!$A$1:$I$1,0),FALSE))</f>
        <v/>
      </c>
      <c r="D685" s="49" t="str">
        <f>IFNA(VLOOKUP($A685,Spells!$A$2:$I1002,MATCH(D$3,Spells!$A$1:$I$1,0),FALSE))</f>
        <v/>
      </c>
      <c r="E685" s="49" t="str">
        <f>IFNA(VLOOKUP($A685,Spells!$A$2:$I1002,MATCH(E$3,Spells!$A$1:$I$1,0),FALSE))</f>
        <v/>
      </c>
      <c r="F685" s="49" t="str">
        <f>IFNA(VLOOKUP($A685,Spells!$A$2:$I1002,MATCH(F$3,Spells!$A$1:$I$1,0),FALSE))</f>
        <v/>
      </c>
      <c r="G685" s="49" t="str">
        <f>IFNA(VLOOKUP($A685,Spells!$A$2:$I1002,MATCH(G$3,Spells!$A$1:$I$1,0),FALSE))</f>
        <v/>
      </c>
      <c r="H685" s="49" t="str">
        <f>IFNA(VLOOKUP($A685,Spells!$A$2:$I1002,MATCH(H$3,Spells!$A$1:$I$1,0),FALSE))</f>
        <v/>
      </c>
    </row>
    <row r="686">
      <c r="A686" s="49"/>
      <c r="B686" s="49" t="str">
        <f>IFNA(VLOOKUP($A686,Spells!$A$2:$I1002,MATCH(B$3,Spells!$A$1:$I$1,0),FALSE))</f>
        <v/>
      </c>
      <c r="C686" s="49" t="str">
        <f>IFNA(VLOOKUP($A686,Spells!$A$2:$I1002,MATCH(C$3,Spells!$A$1:$I$1,0),FALSE))</f>
        <v/>
      </c>
      <c r="D686" s="49" t="str">
        <f>IFNA(VLOOKUP($A686,Spells!$A$2:$I1002,MATCH(D$3,Spells!$A$1:$I$1,0),FALSE))</f>
        <v/>
      </c>
      <c r="E686" s="49" t="str">
        <f>IFNA(VLOOKUP($A686,Spells!$A$2:$I1002,MATCH(E$3,Spells!$A$1:$I$1,0),FALSE))</f>
        <v/>
      </c>
      <c r="F686" s="49" t="str">
        <f>IFNA(VLOOKUP($A686,Spells!$A$2:$I1002,MATCH(F$3,Spells!$A$1:$I$1,0),FALSE))</f>
        <v/>
      </c>
      <c r="G686" s="49" t="str">
        <f>IFNA(VLOOKUP($A686,Spells!$A$2:$I1002,MATCH(G$3,Spells!$A$1:$I$1,0),FALSE))</f>
        <v/>
      </c>
      <c r="H686" s="49" t="str">
        <f>IFNA(VLOOKUP($A686,Spells!$A$2:$I1002,MATCH(H$3,Spells!$A$1:$I$1,0),FALSE))</f>
        <v/>
      </c>
    </row>
    <row r="687">
      <c r="A687" s="49"/>
      <c r="B687" s="49" t="str">
        <f>IFNA(VLOOKUP($A687,Spells!$A$2:$I1002,MATCH(B$3,Spells!$A$1:$I$1,0),FALSE))</f>
        <v/>
      </c>
      <c r="C687" s="49" t="str">
        <f>IFNA(VLOOKUP($A687,Spells!$A$2:$I1002,MATCH(C$3,Spells!$A$1:$I$1,0),FALSE))</f>
        <v/>
      </c>
      <c r="D687" s="49" t="str">
        <f>IFNA(VLOOKUP($A687,Spells!$A$2:$I1002,MATCH(D$3,Spells!$A$1:$I$1,0),FALSE))</f>
        <v/>
      </c>
      <c r="E687" s="49" t="str">
        <f>IFNA(VLOOKUP($A687,Spells!$A$2:$I1002,MATCH(E$3,Spells!$A$1:$I$1,0),FALSE))</f>
        <v/>
      </c>
      <c r="F687" s="49" t="str">
        <f>IFNA(VLOOKUP($A687,Spells!$A$2:$I1002,MATCH(F$3,Spells!$A$1:$I$1,0),FALSE))</f>
        <v/>
      </c>
      <c r="G687" s="49" t="str">
        <f>IFNA(VLOOKUP($A687,Spells!$A$2:$I1002,MATCH(G$3,Spells!$A$1:$I$1,0),FALSE))</f>
        <v/>
      </c>
      <c r="H687" s="49" t="str">
        <f>IFNA(VLOOKUP($A687,Spells!$A$2:$I1002,MATCH(H$3,Spells!$A$1:$I$1,0),FALSE))</f>
        <v/>
      </c>
    </row>
    <row r="688">
      <c r="A688" s="49"/>
      <c r="B688" s="49" t="str">
        <f>IFNA(VLOOKUP($A688,Spells!$A$2:$I1002,MATCH(B$3,Spells!$A$1:$I$1,0),FALSE))</f>
        <v/>
      </c>
      <c r="C688" s="49" t="str">
        <f>IFNA(VLOOKUP($A688,Spells!$A$2:$I1002,MATCH(C$3,Spells!$A$1:$I$1,0),FALSE))</f>
        <v/>
      </c>
      <c r="D688" s="49" t="str">
        <f>IFNA(VLOOKUP($A688,Spells!$A$2:$I1002,MATCH(D$3,Spells!$A$1:$I$1,0),FALSE))</f>
        <v/>
      </c>
      <c r="E688" s="49" t="str">
        <f>IFNA(VLOOKUP($A688,Spells!$A$2:$I1002,MATCH(E$3,Spells!$A$1:$I$1,0),FALSE))</f>
        <v/>
      </c>
      <c r="F688" s="49" t="str">
        <f>IFNA(VLOOKUP($A688,Spells!$A$2:$I1002,MATCH(F$3,Spells!$A$1:$I$1,0),FALSE))</f>
        <v/>
      </c>
      <c r="G688" s="49" t="str">
        <f>IFNA(VLOOKUP($A688,Spells!$A$2:$I1002,MATCH(G$3,Spells!$A$1:$I$1,0),FALSE))</f>
        <v/>
      </c>
      <c r="H688" s="49" t="str">
        <f>IFNA(VLOOKUP($A688,Spells!$A$2:$I1002,MATCH(H$3,Spells!$A$1:$I$1,0),FALSE))</f>
        <v/>
      </c>
    </row>
    <row r="689">
      <c r="A689" s="49"/>
      <c r="B689" s="49" t="str">
        <f>IFNA(VLOOKUP($A689,Spells!$A$2:$I1002,MATCH(B$3,Spells!$A$1:$I$1,0),FALSE))</f>
        <v/>
      </c>
      <c r="C689" s="49" t="str">
        <f>IFNA(VLOOKUP($A689,Spells!$A$2:$I1002,MATCH(C$3,Spells!$A$1:$I$1,0),FALSE))</f>
        <v/>
      </c>
      <c r="D689" s="49" t="str">
        <f>IFNA(VLOOKUP($A689,Spells!$A$2:$I1002,MATCH(D$3,Spells!$A$1:$I$1,0),FALSE))</f>
        <v/>
      </c>
      <c r="E689" s="49" t="str">
        <f>IFNA(VLOOKUP($A689,Spells!$A$2:$I1002,MATCH(E$3,Spells!$A$1:$I$1,0),FALSE))</f>
        <v/>
      </c>
      <c r="F689" s="49" t="str">
        <f>IFNA(VLOOKUP($A689,Spells!$A$2:$I1002,MATCH(F$3,Spells!$A$1:$I$1,0),FALSE))</f>
        <v/>
      </c>
      <c r="G689" s="49" t="str">
        <f>IFNA(VLOOKUP($A689,Spells!$A$2:$I1002,MATCH(G$3,Spells!$A$1:$I$1,0),FALSE))</f>
        <v/>
      </c>
      <c r="H689" s="49" t="str">
        <f>IFNA(VLOOKUP($A689,Spells!$A$2:$I1002,MATCH(H$3,Spells!$A$1:$I$1,0),FALSE))</f>
        <v/>
      </c>
    </row>
    <row r="690">
      <c r="A690" s="49"/>
      <c r="B690" s="49" t="str">
        <f>IFNA(VLOOKUP($A690,Spells!$A$2:$I1002,MATCH(B$3,Spells!$A$1:$I$1,0),FALSE))</f>
        <v/>
      </c>
      <c r="C690" s="49" t="str">
        <f>IFNA(VLOOKUP($A690,Spells!$A$2:$I1002,MATCH(C$3,Spells!$A$1:$I$1,0),FALSE))</f>
        <v/>
      </c>
      <c r="D690" s="49" t="str">
        <f>IFNA(VLOOKUP($A690,Spells!$A$2:$I1002,MATCH(D$3,Spells!$A$1:$I$1,0),FALSE))</f>
        <v/>
      </c>
      <c r="E690" s="49" t="str">
        <f>IFNA(VLOOKUP($A690,Spells!$A$2:$I1002,MATCH(E$3,Spells!$A$1:$I$1,0),FALSE))</f>
        <v/>
      </c>
      <c r="F690" s="49" t="str">
        <f>IFNA(VLOOKUP($A690,Spells!$A$2:$I1002,MATCH(F$3,Spells!$A$1:$I$1,0),FALSE))</f>
        <v/>
      </c>
      <c r="G690" s="49" t="str">
        <f>IFNA(VLOOKUP($A690,Spells!$A$2:$I1002,MATCH(G$3,Spells!$A$1:$I$1,0),FALSE))</f>
        <v/>
      </c>
      <c r="H690" s="49" t="str">
        <f>IFNA(VLOOKUP($A690,Spells!$A$2:$I1002,MATCH(H$3,Spells!$A$1:$I$1,0),FALSE))</f>
        <v/>
      </c>
    </row>
    <row r="691">
      <c r="A691" s="49"/>
      <c r="B691" s="49" t="str">
        <f>IFNA(VLOOKUP($A691,Spells!$A$2:$I1002,MATCH(B$3,Spells!$A$1:$I$1,0),FALSE))</f>
        <v/>
      </c>
      <c r="C691" s="49" t="str">
        <f>IFNA(VLOOKUP($A691,Spells!$A$2:$I1002,MATCH(C$3,Spells!$A$1:$I$1,0),FALSE))</f>
        <v/>
      </c>
      <c r="D691" s="49" t="str">
        <f>IFNA(VLOOKUP($A691,Spells!$A$2:$I1002,MATCH(D$3,Spells!$A$1:$I$1,0),FALSE))</f>
        <v/>
      </c>
      <c r="E691" s="49" t="str">
        <f>IFNA(VLOOKUP($A691,Spells!$A$2:$I1002,MATCH(E$3,Spells!$A$1:$I$1,0),FALSE))</f>
        <v/>
      </c>
      <c r="F691" s="49" t="str">
        <f>IFNA(VLOOKUP($A691,Spells!$A$2:$I1002,MATCH(F$3,Spells!$A$1:$I$1,0),FALSE))</f>
        <v/>
      </c>
      <c r="G691" s="49" t="str">
        <f>IFNA(VLOOKUP($A691,Spells!$A$2:$I1002,MATCH(G$3,Spells!$A$1:$I$1,0),FALSE))</f>
        <v/>
      </c>
      <c r="H691" s="49" t="str">
        <f>IFNA(VLOOKUP($A691,Spells!$A$2:$I1002,MATCH(H$3,Spells!$A$1:$I$1,0),FALSE))</f>
        <v/>
      </c>
    </row>
    <row r="692">
      <c r="A692" s="49"/>
      <c r="B692" s="49" t="str">
        <f>IFNA(VLOOKUP($A692,Spells!$A$2:$I1002,MATCH(B$3,Spells!$A$1:$I$1,0),FALSE))</f>
        <v/>
      </c>
      <c r="C692" s="49" t="str">
        <f>IFNA(VLOOKUP($A692,Spells!$A$2:$I1002,MATCH(C$3,Spells!$A$1:$I$1,0),FALSE))</f>
        <v/>
      </c>
      <c r="D692" s="49" t="str">
        <f>IFNA(VLOOKUP($A692,Spells!$A$2:$I1002,MATCH(D$3,Spells!$A$1:$I$1,0),FALSE))</f>
        <v/>
      </c>
      <c r="E692" s="49" t="str">
        <f>IFNA(VLOOKUP($A692,Spells!$A$2:$I1002,MATCH(E$3,Spells!$A$1:$I$1,0),FALSE))</f>
        <v/>
      </c>
      <c r="F692" s="49" t="str">
        <f>IFNA(VLOOKUP($A692,Spells!$A$2:$I1002,MATCH(F$3,Spells!$A$1:$I$1,0),FALSE))</f>
        <v/>
      </c>
      <c r="G692" s="49" t="str">
        <f>IFNA(VLOOKUP($A692,Spells!$A$2:$I1002,MATCH(G$3,Spells!$A$1:$I$1,0),FALSE))</f>
        <v/>
      </c>
      <c r="H692" s="49" t="str">
        <f>IFNA(VLOOKUP($A692,Spells!$A$2:$I1002,MATCH(H$3,Spells!$A$1:$I$1,0),FALSE))</f>
        <v/>
      </c>
    </row>
    <row r="693">
      <c r="A693" s="49"/>
      <c r="B693" s="49" t="str">
        <f>IFNA(VLOOKUP($A693,Spells!$A$2:$I1002,MATCH(B$3,Spells!$A$1:$I$1,0),FALSE))</f>
        <v/>
      </c>
      <c r="C693" s="49" t="str">
        <f>IFNA(VLOOKUP($A693,Spells!$A$2:$I1002,MATCH(C$3,Spells!$A$1:$I$1,0),FALSE))</f>
        <v/>
      </c>
      <c r="D693" s="49" t="str">
        <f>IFNA(VLOOKUP($A693,Spells!$A$2:$I1002,MATCH(D$3,Spells!$A$1:$I$1,0),FALSE))</f>
        <v/>
      </c>
      <c r="E693" s="49" t="str">
        <f>IFNA(VLOOKUP($A693,Spells!$A$2:$I1002,MATCH(E$3,Spells!$A$1:$I$1,0),FALSE))</f>
        <v/>
      </c>
      <c r="F693" s="49" t="str">
        <f>IFNA(VLOOKUP($A693,Spells!$A$2:$I1002,MATCH(F$3,Spells!$A$1:$I$1,0),FALSE))</f>
        <v/>
      </c>
      <c r="G693" s="49" t="str">
        <f>IFNA(VLOOKUP($A693,Spells!$A$2:$I1002,MATCH(G$3,Spells!$A$1:$I$1,0),FALSE))</f>
        <v/>
      </c>
      <c r="H693" s="49" t="str">
        <f>IFNA(VLOOKUP($A693,Spells!$A$2:$I1002,MATCH(H$3,Spells!$A$1:$I$1,0),FALSE))</f>
        <v/>
      </c>
    </row>
    <row r="694">
      <c r="A694" s="49"/>
      <c r="B694" s="49" t="str">
        <f>IFNA(VLOOKUP($A694,Spells!$A$2:$I1002,MATCH(B$3,Spells!$A$1:$I$1,0),FALSE))</f>
        <v/>
      </c>
      <c r="C694" s="49" t="str">
        <f>IFNA(VLOOKUP($A694,Spells!$A$2:$I1002,MATCH(C$3,Spells!$A$1:$I$1,0),FALSE))</f>
        <v/>
      </c>
      <c r="D694" s="49" t="str">
        <f>IFNA(VLOOKUP($A694,Spells!$A$2:$I1002,MATCH(D$3,Spells!$A$1:$I$1,0),FALSE))</f>
        <v/>
      </c>
      <c r="E694" s="49" t="str">
        <f>IFNA(VLOOKUP($A694,Spells!$A$2:$I1002,MATCH(E$3,Spells!$A$1:$I$1,0),FALSE))</f>
        <v/>
      </c>
      <c r="F694" s="49" t="str">
        <f>IFNA(VLOOKUP($A694,Spells!$A$2:$I1002,MATCH(F$3,Spells!$A$1:$I$1,0),FALSE))</f>
        <v/>
      </c>
      <c r="G694" s="49" t="str">
        <f>IFNA(VLOOKUP($A694,Spells!$A$2:$I1002,MATCH(G$3,Spells!$A$1:$I$1,0),FALSE))</f>
        <v/>
      </c>
      <c r="H694" s="49" t="str">
        <f>IFNA(VLOOKUP($A694,Spells!$A$2:$I1002,MATCH(H$3,Spells!$A$1:$I$1,0),FALSE))</f>
        <v/>
      </c>
    </row>
    <row r="695">
      <c r="A695" s="49"/>
      <c r="B695" s="49" t="str">
        <f>IFNA(VLOOKUP($A695,Spells!$A$2:$I1002,MATCH(B$3,Spells!$A$1:$I$1,0),FALSE))</f>
        <v/>
      </c>
      <c r="C695" s="49" t="str">
        <f>IFNA(VLOOKUP($A695,Spells!$A$2:$I1002,MATCH(C$3,Spells!$A$1:$I$1,0),FALSE))</f>
        <v/>
      </c>
      <c r="D695" s="49" t="str">
        <f>IFNA(VLOOKUP($A695,Spells!$A$2:$I1002,MATCH(D$3,Spells!$A$1:$I$1,0),FALSE))</f>
        <v/>
      </c>
      <c r="E695" s="49" t="str">
        <f>IFNA(VLOOKUP($A695,Spells!$A$2:$I1002,MATCH(E$3,Spells!$A$1:$I$1,0),FALSE))</f>
        <v/>
      </c>
      <c r="F695" s="49" t="str">
        <f>IFNA(VLOOKUP($A695,Spells!$A$2:$I1002,MATCH(F$3,Spells!$A$1:$I$1,0),FALSE))</f>
        <v/>
      </c>
      <c r="G695" s="49" t="str">
        <f>IFNA(VLOOKUP($A695,Spells!$A$2:$I1002,MATCH(G$3,Spells!$A$1:$I$1,0),FALSE))</f>
        <v/>
      </c>
      <c r="H695" s="49" t="str">
        <f>IFNA(VLOOKUP($A695,Spells!$A$2:$I1002,MATCH(H$3,Spells!$A$1:$I$1,0),FALSE))</f>
        <v/>
      </c>
    </row>
    <row r="696">
      <c r="A696" s="49"/>
      <c r="B696" s="49" t="str">
        <f>IFNA(VLOOKUP($A696,Spells!$A$2:$I1002,MATCH(B$3,Spells!$A$1:$I$1,0),FALSE))</f>
        <v/>
      </c>
      <c r="C696" s="49" t="str">
        <f>IFNA(VLOOKUP($A696,Spells!$A$2:$I1002,MATCH(C$3,Spells!$A$1:$I$1,0),FALSE))</f>
        <v/>
      </c>
      <c r="D696" s="49" t="str">
        <f>IFNA(VLOOKUP($A696,Spells!$A$2:$I1002,MATCH(D$3,Spells!$A$1:$I$1,0),FALSE))</f>
        <v/>
      </c>
      <c r="E696" s="49" t="str">
        <f>IFNA(VLOOKUP($A696,Spells!$A$2:$I1002,MATCH(E$3,Spells!$A$1:$I$1,0),FALSE))</f>
        <v/>
      </c>
      <c r="F696" s="49" t="str">
        <f>IFNA(VLOOKUP($A696,Spells!$A$2:$I1002,MATCH(F$3,Spells!$A$1:$I$1,0),FALSE))</f>
        <v/>
      </c>
      <c r="G696" s="49" t="str">
        <f>IFNA(VLOOKUP($A696,Spells!$A$2:$I1002,MATCH(G$3,Spells!$A$1:$I$1,0),FALSE))</f>
        <v/>
      </c>
      <c r="H696" s="49" t="str">
        <f>IFNA(VLOOKUP($A696,Spells!$A$2:$I1002,MATCH(H$3,Spells!$A$1:$I$1,0),FALSE))</f>
        <v/>
      </c>
    </row>
    <row r="697">
      <c r="A697" s="49"/>
      <c r="B697" s="49" t="str">
        <f>IFNA(VLOOKUP($A697,Spells!$A$2:$I1002,MATCH(B$3,Spells!$A$1:$I$1,0),FALSE))</f>
        <v/>
      </c>
      <c r="C697" s="49" t="str">
        <f>IFNA(VLOOKUP($A697,Spells!$A$2:$I1002,MATCH(C$3,Spells!$A$1:$I$1,0),FALSE))</f>
        <v/>
      </c>
      <c r="D697" s="49" t="str">
        <f>IFNA(VLOOKUP($A697,Spells!$A$2:$I1002,MATCH(D$3,Spells!$A$1:$I$1,0),FALSE))</f>
        <v/>
      </c>
      <c r="E697" s="49" t="str">
        <f>IFNA(VLOOKUP($A697,Spells!$A$2:$I1002,MATCH(E$3,Spells!$A$1:$I$1,0),FALSE))</f>
        <v/>
      </c>
      <c r="F697" s="49" t="str">
        <f>IFNA(VLOOKUP($A697,Spells!$A$2:$I1002,MATCH(F$3,Spells!$A$1:$I$1,0),FALSE))</f>
        <v/>
      </c>
      <c r="G697" s="49" t="str">
        <f>IFNA(VLOOKUP($A697,Spells!$A$2:$I1002,MATCH(G$3,Spells!$A$1:$I$1,0),FALSE))</f>
        <v/>
      </c>
      <c r="H697" s="49" t="str">
        <f>IFNA(VLOOKUP($A697,Spells!$A$2:$I1002,MATCH(H$3,Spells!$A$1:$I$1,0),FALSE))</f>
        <v/>
      </c>
    </row>
    <row r="698">
      <c r="A698" s="49"/>
      <c r="B698" s="49" t="str">
        <f>IFNA(VLOOKUP($A698,Spells!$A$2:$I1002,MATCH(B$3,Spells!$A$1:$I$1,0),FALSE))</f>
        <v/>
      </c>
      <c r="C698" s="49" t="str">
        <f>IFNA(VLOOKUP($A698,Spells!$A$2:$I1002,MATCH(C$3,Spells!$A$1:$I$1,0),FALSE))</f>
        <v/>
      </c>
      <c r="D698" s="49" t="str">
        <f>IFNA(VLOOKUP($A698,Spells!$A$2:$I1002,MATCH(D$3,Spells!$A$1:$I$1,0),FALSE))</f>
        <v/>
      </c>
      <c r="E698" s="49" t="str">
        <f>IFNA(VLOOKUP($A698,Spells!$A$2:$I1002,MATCH(E$3,Spells!$A$1:$I$1,0),FALSE))</f>
        <v/>
      </c>
      <c r="F698" s="49" t="str">
        <f>IFNA(VLOOKUP($A698,Spells!$A$2:$I1002,MATCH(F$3,Spells!$A$1:$I$1,0),FALSE))</f>
        <v/>
      </c>
      <c r="G698" s="49" t="str">
        <f>IFNA(VLOOKUP($A698,Spells!$A$2:$I1002,MATCH(G$3,Spells!$A$1:$I$1,0),FALSE))</f>
        <v/>
      </c>
      <c r="H698" s="49" t="str">
        <f>IFNA(VLOOKUP($A698,Spells!$A$2:$I1002,MATCH(H$3,Spells!$A$1:$I$1,0),FALSE))</f>
        <v/>
      </c>
    </row>
    <row r="699">
      <c r="A699" s="49"/>
      <c r="B699" s="49" t="str">
        <f>IFNA(VLOOKUP($A699,Spells!$A$2:$I1002,MATCH(B$3,Spells!$A$1:$I$1,0),FALSE))</f>
        <v/>
      </c>
      <c r="C699" s="49" t="str">
        <f>IFNA(VLOOKUP($A699,Spells!$A$2:$I1002,MATCH(C$3,Spells!$A$1:$I$1,0),FALSE))</f>
        <v/>
      </c>
      <c r="D699" s="49" t="str">
        <f>IFNA(VLOOKUP($A699,Spells!$A$2:$I1002,MATCH(D$3,Spells!$A$1:$I$1,0),FALSE))</f>
        <v/>
      </c>
      <c r="E699" s="49" t="str">
        <f>IFNA(VLOOKUP($A699,Spells!$A$2:$I1002,MATCH(E$3,Spells!$A$1:$I$1,0),FALSE))</f>
        <v/>
      </c>
      <c r="F699" s="49" t="str">
        <f>IFNA(VLOOKUP($A699,Spells!$A$2:$I1002,MATCH(F$3,Spells!$A$1:$I$1,0),FALSE))</f>
        <v/>
      </c>
      <c r="G699" s="49" t="str">
        <f>IFNA(VLOOKUP($A699,Spells!$A$2:$I1002,MATCH(G$3,Spells!$A$1:$I$1,0),FALSE))</f>
        <v/>
      </c>
      <c r="H699" s="49" t="str">
        <f>IFNA(VLOOKUP($A699,Spells!$A$2:$I1002,MATCH(H$3,Spells!$A$1:$I$1,0),FALSE))</f>
        <v/>
      </c>
    </row>
    <row r="700">
      <c r="A700" s="49"/>
      <c r="B700" s="49" t="str">
        <f>IFNA(VLOOKUP($A700,Spells!$A$2:$I1002,MATCH(B$3,Spells!$A$1:$I$1,0),FALSE))</f>
        <v/>
      </c>
      <c r="C700" s="49" t="str">
        <f>IFNA(VLOOKUP($A700,Spells!$A$2:$I1002,MATCH(C$3,Spells!$A$1:$I$1,0),FALSE))</f>
        <v/>
      </c>
      <c r="D700" s="49" t="str">
        <f>IFNA(VLOOKUP($A700,Spells!$A$2:$I1002,MATCH(D$3,Spells!$A$1:$I$1,0),FALSE))</f>
        <v/>
      </c>
      <c r="E700" s="49" t="str">
        <f>IFNA(VLOOKUP($A700,Spells!$A$2:$I1002,MATCH(E$3,Spells!$A$1:$I$1,0),FALSE))</f>
        <v/>
      </c>
      <c r="F700" s="49" t="str">
        <f>IFNA(VLOOKUP($A700,Spells!$A$2:$I1002,MATCH(F$3,Spells!$A$1:$I$1,0),FALSE))</f>
        <v/>
      </c>
      <c r="G700" s="49" t="str">
        <f>IFNA(VLOOKUP($A700,Spells!$A$2:$I1002,MATCH(G$3,Spells!$A$1:$I$1,0),FALSE))</f>
        <v/>
      </c>
      <c r="H700" s="49" t="str">
        <f>IFNA(VLOOKUP($A700,Spells!$A$2:$I1002,MATCH(H$3,Spells!$A$1:$I$1,0),FALSE))</f>
        <v/>
      </c>
    </row>
    <row r="701">
      <c r="A701" s="49"/>
      <c r="B701" s="49" t="str">
        <f>IFNA(VLOOKUP($A701,Spells!$A$2:$I1002,MATCH(B$3,Spells!$A$1:$I$1,0),FALSE))</f>
        <v/>
      </c>
      <c r="C701" s="49" t="str">
        <f>IFNA(VLOOKUP($A701,Spells!$A$2:$I1002,MATCH(C$3,Spells!$A$1:$I$1,0),FALSE))</f>
        <v/>
      </c>
      <c r="D701" s="49" t="str">
        <f>IFNA(VLOOKUP($A701,Spells!$A$2:$I1002,MATCH(D$3,Spells!$A$1:$I$1,0),FALSE))</f>
        <v/>
      </c>
      <c r="E701" s="49" t="str">
        <f>IFNA(VLOOKUP($A701,Spells!$A$2:$I1002,MATCH(E$3,Spells!$A$1:$I$1,0),FALSE))</f>
        <v/>
      </c>
      <c r="F701" s="49" t="str">
        <f>IFNA(VLOOKUP($A701,Spells!$A$2:$I1002,MATCH(F$3,Spells!$A$1:$I$1,0),FALSE))</f>
        <v/>
      </c>
      <c r="G701" s="49" t="str">
        <f>IFNA(VLOOKUP($A701,Spells!$A$2:$I1002,MATCH(G$3,Spells!$A$1:$I$1,0),FALSE))</f>
        <v/>
      </c>
      <c r="H701" s="49" t="str">
        <f>IFNA(VLOOKUP($A701,Spells!$A$2:$I1002,MATCH(H$3,Spells!$A$1:$I$1,0),FALSE))</f>
        <v/>
      </c>
    </row>
    <row r="702">
      <c r="A702" s="49"/>
      <c r="B702" s="49" t="str">
        <f>IFNA(VLOOKUP($A702,Spells!$A$2:$I1002,MATCH(B$3,Spells!$A$1:$I$1,0),FALSE))</f>
        <v/>
      </c>
      <c r="C702" s="49" t="str">
        <f>IFNA(VLOOKUP($A702,Spells!$A$2:$I1002,MATCH(C$3,Spells!$A$1:$I$1,0),FALSE))</f>
        <v/>
      </c>
      <c r="D702" s="49" t="str">
        <f>IFNA(VLOOKUP($A702,Spells!$A$2:$I1002,MATCH(D$3,Spells!$A$1:$I$1,0),FALSE))</f>
        <v/>
      </c>
      <c r="E702" s="49" t="str">
        <f>IFNA(VLOOKUP($A702,Spells!$A$2:$I1002,MATCH(E$3,Spells!$A$1:$I$1,0),FALSE))</f>
        <v/>
      </c>
      <c r="F702" s="49" t="str">
        <f>IFNA(VLOOKUP($A702,Spells!$A$2:$I1002,MATCH(F$3,Spells!$A$1:$I$1,0),FALSE))</f>
        <v/>
      </c>
      <c r="G702" s="49" t="str">
        <f>IFNA(VLOOKUP($A702,Spells!$A$2:$I1002,MATCH(G$3,Spells!$A$1:$I$1,0),FALSE))</f>
        <v/>
      </c>
      <c r="H702" s="49" t="str">
        <f>IFNA(VLOOKUP($A702,Spells!$A$2:$I1002,MATCH(H$3,Spells!$A$1:$I$1,0),FALSE))</f>
        <v/>
      </c>
    </row>
    <row r="703">
      <c r="A703" s="49"/>
      <c r="B703" s="49" t="str">
        <f>IFNA(VLOOKUP($A703,Spells!$A$2:$I1002,MATCH(B$3,Spells!$A$1:$I$1,0),FALSE))</f>
        <v/>
      </c>
      <c r="C703" s="49" t="str">
        <f>IFNA(VLOOKUP($A703,Spells!$A$2:$I1002,MATCH(C$3,Spells!$A$1:$I$1,0),FALSE))</f>
        <v/>
      </c>
      <c r="D703" s="49" t="str">
        <f>IFNA(VLOOKUP($A703,Spells!$A$2:$I1002,MATCH(D$3,Spells!$A$1:$I$1,0),FALSE))</f>
        <v/>
      </c>
      <c r="E703" s="49" t="str">
        <f>IFNA(VLOOKUP($A703,Spells!$A$2:$I1002,MATCH(E$3,Spells!$A$1:$I$1,0),FALSE))</f>
        <v/>
      </c>
      <c r="F703" s="49" t="str">
        <f>IFNA(VLOOKUP($A703,Spells!$A$2:$I1002,MATCH(F$3,Spells!$A$1:$I$1,0),FALSE))</f>
        <v/>
      </c>
      <c r="G703" s="49" t="str">
        <f>IFNA(VLOOKUP($A703,Spells!$A$2:$I1002,MATCH(G$3,Spells!$A$1:$I$1,0),FALSE))</f>
        <v/>
      </c>
      <c r="H703" s="49" t="str">
        <f>IFNA(VLOOKUP($A703,Spells!$A$2:$I1002,MATCH(H$3,Spells!$A$1:$I$1,0),FALSE))</f>
        <v/>
      </c>
    </row>
    <row r="704">
      <c r="A704" s="49"/>
      <c r="B704" s="49" t="str">
        <f>IFNA(VLOOKUP($A704,Spells!$A$2:$I1002,MATCH(B$3,Spells!$A$1:$I$1,0),FALSE))</f>
        <v/>
      </c>
      <c r="C704" s="49" t="str">
        <f>IFNA(VLOOKUP($A704,Spells!$A$2:$I1002,MATCH(C$3,Spells!$A$1:$I$1,0),FALSE))</f>
        <v/>
      </c>
      <c r="D704" s="49" t="str">
        <f>IFNA(VLOOKUP($A704,Spells!$A$2:$I1002,MATCH(D$3,Spells!$A$1:$I$1,0),FALSE))</f>
        <v/>
      </c>
      <c r="E704" s="49" t="str">
        <f>IFNA(VLOOKUP($A704,Spells!$A$2:$I1002,MATCH(E$3,Spells!$A$1:$I$1,0),FALSE))</f>
        <v/>
      </c>
      <c r="F704" s="49" t="str">
        <f>IFNA(VLOOKUP($A704,Spells!$A$2:$I1002,MATCH(F$3,Spells!$A$1:$I$1,0),FALSE))</f>
        <v/>
      </c>
      <c r="G704" s="49" t="str">
        <f>IFNA(VLOOKUP($A704,Spells!$A$2:$I1002,MATCH(G$3,Spells!$A$1:$I$1,0),FALSE))</f>
        <v/>
      </c>
      <c r="H704" s="49" t="str">
        <f>IFNA(VLOOKUP($A704,Spells!$A$2:$I1002,MATCH(H$3,Spells!$A$1:$I$1,0),FALSE))</f>
        <v/>
      </c>
    </row>
    <row r="705">
      <c r="A705" s="49"/>
      <c r="B705" s="49" t="str">
        <f>IFNA(VLOOKUP($A705,Spells!$A$2:$I1002,MATCH(B$3,Spells!$A$1:$I$1,0),FALSE))</f>
        <v/>
      </c>
      <c r="C705" s="49" t="str">
        <f>IFNA(VLOOKUP($A705,Spells!$A$2:$I1002,MATCH(C$3,Spells!$A$1:$I$1,0),FALSE))</f>
        <v/>
      </c>
      <c r="D705" s="49" t="str">
        <f>IFNA(VLOOKUP($A705,Spells!$A$2:$I1002,MATCH(D$3,Spells!$A$1:$I$1,0),FALSE))</f>
        <v/>
      </c>
      <c r="E705" s="49" t="str">
        <f>IFNA(VLOOKUP($A705,Spells!$A$2:$I1002,MATCH(E$3,Spells!$A$1:$I$1,0),FALSE))</f>
        <v/>
      </c>
      <c r="F705" s="49" t="str">
        <f>IFNA(VLOOKUP($A705,Spells!$A$2:$I1002,MATCH(F$3,Spells!$A$1:$I$1,0),FALSE))</f>
        <v/>
      </c>
      <c r="G705" s="49" t="str">
        <f>IFNA(VLOOKUP($A705,Spells!$A$2:$I1002,MATCH(G$3,Spells!$A$1:$I$1,0),FALSE))</f>
        <v/>
      </c>
      <c r="H705" s="49" t="str">
        <f>IFNA(VLOOKUP($A705,Spells!$A$2:$I1002,MATCH(H$3,Spells!$A$1:$I$1,0),FALSE))</f>
        <v/>
      </c>
    </row>
    <row r="706">
      <c r="A706" s="49"/>
      <c r="B706" s="49" t="str">
        <f>IFNA(VLOOKUP($A706,Spells!$A$2:$I1002,MATCH(B$3,Spells!$A$1:$I$1,0),FALSE))</f>
        <v/>
      </c>
      <c r="C706" s="49" t="str">
        <f>IFNA(VLOOKUP($A706,Spells!$A$2:$I1002,MATCH(C$3,Spells!$A$1:$I$1,0),FALSE))</f>
        <v/>
      </c>
      <c r="D706" s="49" t="str">
        <f>IFNA(VLOOKUP($A706,Spells!$A$2:$I1002,MATCH(D$3,Spells!$A$1:$I$1,0),FALSE))</f>
        <v/>
      </c>
      <c r="E706" s="49" t="str">
        <f>IFNA(VLOOKUP($A706,Spells!$A$2:$I1002,MATCH(E$3,Spells!$A$1:$I$1,0),FALSE))</f>
        <v/>
      </c>
      <c r="F706" s="49" t="str">
        <f>IFNA(VLOOKUP($A706,Spells!$A$2:$I1002,MATCH(F$3,Spells!$A$1:$I$1,0),FALSE))</f>
        <v/>
      </c>
      <c r="G706" s="49" t="str">
        <f>IFNA(VLOOKUP($A706,Spells!$A$2:$I1002,MATCH(G$3,Spells!$A$1:$I$1,0),FALSE))</f>
        <v/>
      </c>
      <c r="H706" s="49" t="str">
        <f>IFNA(VLOOKUP($A706,Spells!$A$2:$I1002,MATCH(H$3,Spells!$A$1:$I$1,0),FALSE))</f>
        <v/>
      </c>
    </row>
    <row r="707">
      <c r="A707" s="49"/>
      <c r="B707" s="49" t="str">
        <f>IFNA(VLOOKUP($A707,Spells!$A$2:$I1002,MATCH(B$3,Spells!$A$1:$I$1,0),FALSE))</f>
        <v/>
      </c>
      <c r="C707" s="49" t="str">
        <f>IFNA(VLOOKUP($A707,Spells!$A$2:$I1002,MATCH(C$3,Spells!$A$1:$I$1,0),FALSE))</f>
        <v/>
      </c>
      <c r="D707" s="49" t="str">
        <f>IFNA(VLOOKUP($A707,Spells!$A$2:$I1002,MATCH(D$3,Spells!$A$1:$I$1,0),FALSE))</f>
        <v/>
      </c>
      <c r="E707" s="49" t="str">
        <f>IFNA(VLOOKUP($A707,Spells!$A$2:$I1002,MATCH(E$3,Spells!$A$1:$I$1,0),FALSE))</f>
        <v/>
      </c>
      <c r="F707" s="49" t="str">
        <f>IFNA(VLOOKUP($A707,Spells!$A$2:$I1002,MATCH(F$3,Spells!$A$1:$I$1,0),FALSE))</f>
        <v/>
      </c>
      <c r="G707" s="49" t="str">
        <f>IFNA(VLOOKUP($A707,Spells!$A$2:$I1002,MATCH(G$3,Spells!$A$1:$I$1,0),FALSE))</f>
        <v/>
      </c>
      <c r="H707" s="49" t="str">
        <f>IFNA(VLOOKUP($A707,Spells!$A$2:$I1002,MATCH(H$3,Spells!$A$1:$I$1,0),FALSE))</f>
        <v/>
      </c>
    </row>
    <row r="708">
      <c r="A708" s="49"/>
      <c r="B708" s="49" t="str">
        <f>IFNA(VLOOKUP($A708,Spells!$A$2:$I1002,MATCH(B$3,Spells!$A$1:$I$1,0),FALSE))</f>
        <v/>
      </c>
      <c r="C708" s="49" t="str">
        <f>IFNA(VLOOKUP($A708,Spells!$A$2:$I1002,MATCH(C$3,Spells!$A$1:$I$1,0),FALSE))</f>
        <v/>
      </c>
      <c r="D708" s="49" t="str">
        <f>IFNA(VLOOKUP($A708,Spells!$A$2:$I1002,MATCH(D$3,Spells!$A$1:$I$1,0),FALSE))</f>
        <v/>
      </c>
      <c r="E708" s="49" t="str">
        <f>IFNA(VLOOKUP($A708,Spells!$A$2:$I1002,MATCH(E$3,Spells!$A$1:$I$1,0),FALSE))</f>
        <v/>
      </c>
      <c r="F708" s="49" t="str">
        <f>IFNA(VLOOKUP($A708,Spells!$A$2:$I1002,MATCH(F$3,Spells!$A$1:$I$1,0),FALSE))</f>
        <v/>
      </c>
      <c r="G708" s="49" t="str">
        <f>IFNA(VLOOKUP($A708,Spells!$A$2:$I1002,MATCH(G$3,Spells!$A$1:$I$1,0),FALSE))</f>
        <v/>
      </c>
      <c r="H708" s="49" t="str">
        <f>IFNA(VLOOKUP($A708,Spells!$A$2:$I1002,MATCH(H$3,Spells!$A$1:$I$1,0),FALSE))</f>
        <v/>
      </c>
    </row>
    <row r="709">
      <c r="A709" s="49"/>
      <c r="B709" s="49" t="str">
        <f>IFNA(VLOOKUP($A709,Spells!$A$2:$I1002,MATCH(B$3,Spells!$A$1:$I$1,0),FALSE))</f>
        <v/>
      </c>
      <c r="C709" s="49" t="str">
        <f>IFNA(VLOOKUP($A709,Spells!$A$2:$I1002,MATCH(C$3,Spells!$A$1:$I$1,0),FALSE))</f>
        <v/>
      </c>
      <c r="D709" s="49" t="str">
        <f>IFNA(VLOOKUP($A709,Spells!$A$2:$I1002,MATCH(D$3,Spells!$A$1:$I$1,0),FALSE))</f>
        <v/>
      </c>
      <c r="E709" s="49" t="str">
        <f>IFNA(VLOOKUP($A709,Spells!$A$2:$I1002,MATCH(E$3,Spells!$A$1:$I$1,0),FALSE))</f>
        <v/>
      </c>
      <c r="F709" s="49" t="str">
        <f>IFNA(VLOOKUP($A709,Spells!$A$2:$I1002,MATCH(F$3,Spells!$A$1:$I$1,0),FALSE))</f>
        <v/>
      </c>
      <c r="G709" s="49" t="str">
        <f>IFNA(VLOOKUP($A709,Spells!$A$2:$I1002,MATCH(G$3,Spells!$A$1:$I$1,0),FALSE))</f>
        <v/>
      </c>
      <c r="H709" s="49" t="str">
        <f>IFNA(VLOOKUP($A709,Spells!$A$2:$I1002,MATCH(H$3,Spells!$A$1:$I$1,0),FALSE))</f>
        <v/>
      </c>
    </row>
    <row r="710">
      <c r="A710" s="49"/>
      <c r="B710" s="49" t="str">
        <f>IFNA(VLOOKUP($A710,Spells!$A$2:$I1002,MATCH(B$3,Spells!$A$1:$I$1,0),FALSE))</f>
        <v/>
      </c>
      <c r="C710" s="49" t="str">
        <f>IFNA(VLOOKUP($A710,Spells!$A$2:$I1002,MATCH(C$3,Spells!$A$1:$I$1,0),FALSE))</f>
        <v/>
      </c>
      <c r="D710" s="49" t="str">
        <f>IFNA(VLOOKUP($A710,Spells!$A$2:$I1002,MATCH(D$3,Spells!$A$1:$I$1,0),FALSE))</f>
        <v/>
      </c>
      <c r="E710" s="49" t="str">
        <f>IFNA(VLOOKUP($A710,Spells!$A$2:$I1002,MATCH(E$3,Spells!$A$1:$I$1,0),FALSE))</f>
        <v/>
      </c>
      <c r="F710" s="49" t="str">
        <f>IFNA(VLOOKUP($A710,Spells!$A$2:$I1002,MATCH(F$3,Spells!$A$1:$I$1,0),FALSE))</f>
        <v/>
      </c>
      <c r="G710" s="49" t="str">
        <f>IFNA(VLOOKUP($A710,Spells!$A$2:$I1002,MATCH(G$3,Spells!$A$1:$I$1,0),FALSE))</f>
        <v/>
      </c>
      <c r="H710" s="49" t="str">
        <f>IFNA(VLOOKUP($A710,Spells!$A$2:$I1002,MATCH(H$3,Spells!$A$1:$I$1,0),FALSE))</f>
        <v/>
      </c>
    </row>
    <row r="711">
      <c r="A711" s="49"/>
      <c r="B711" s="49" t="str">
        <f>IFNA(VLOOKUP($A711,Spells!$A$2:$I1002,MATCH(B$3,Spells!$A$1:$I$1,0),FALSE))</f>
        <v/>
      </c>
      <c r="C711" s="49" t="str">
        <f>IFNA(VLOOKUP($A711,Spells!$A$2:$I1002,MATCH(C$3,Spells!$A$1:$I$1,0),FALSE))</f>
        <v/>
      </c>
      <c r="D711" s="49" t="str">
        <f>IFNA(VLOOKUP($A711,Spells!$A$2:$I1002,MATCH(D$3,Spells!$A$1:$I$1,0),FALSE))</f>
        <v/>
      </c>
      <c r="E711" s="49" t="str">
        <f>IFNA(VLOOKUP($A711,Spells!$A$2:$I1002,MATCH(E$3,Spells!$A$1:$I$1,0),FALSE))</f>
        <v/>
      </c>
      <c r="F711" s="49" t="str">
        <f>IFNA(VLOOKUP($A711,Spells!$A$2:$I1002,MATCH(F$3,Spells!$A$1:$I$1,0),FALSE))</f>
        <v/>
      </c>
      <c r="G711" s="49" t="str">
        <f>IFNA(VLOOKUP($A711,Spells!$A$2:$I1002,MATCH(G$3,Spells!$A$1:$I$1,0),FALSE))</f>
        <v/>
      </c>
      <c r="H711" s="49" t="str">
        <f>IFNA(VLOOKUP($A711,Spells!$A$2:$I1002,MATCH(H$3,Spells!$A$1:$I$1,0),FALSE))</f>
        <v/>
      </c>
    </row>
    <row r="712">
      <c r="A712" s="49"/>
      <c r="B712" s="49" t="str">
        <f>IFNA(VLOOKUP($A712,Spells!$A$2:$I1002,MATCH(B$3,Spells!$A$1:$I$1,0),FALSE))</f>
        <v/>
      </c>
      <c r="C712" s="49" t="str">
        <f>IFNA(VLOOKUP($A712,Spells!$A$2:$I1002,MATCH(C$3,Spells!$A$1:$I$1,0),FALSE))</f>
        <v/>
      </c>
      <c r="D712" s="49" t="str">
        <f>IFNA(VLOOKUP($A712,Spells!$A$2:$I1002,MATCH(D$3,Spells!$A$1:$I$1,0),FALSE))</f>
        <v/>
      </c>
      <c r="E712" s="49" t="str">
        <f>IFNA(VLOOKUP($A712,Spells!$A$2:$I1002,MATCH(E$3,Spells!$A$1:$I$1,0),FALSE))</f>
        <v/>
      </c>
      <c r="F712" s="49" t="str">
        <f>IFNA(VLOOKUP($A712,Spells!$A$2:$I1002,MATCH(F$3,Spells!$A$1:$I$1,0),FALSE))</f>
        <v/>
      </c>
      <c r="G712" s="49" t="str">
        <f>IFNA(VLOOKUP($A712,Spells!$A$2:$I1002,MATCH(G$3,Spells!$A$1:$I$1,0),FALSE))</f>
        <v/>
      </c>
      <c r="H712" s="49" t="str">
        <f>IFNA(VLOOKUP($A712,Spells!$A$2:$I1002,MATCH(H$3,Spells!$A$1:$I$1,0),FALSE))</f>
        <v/>
      </c>
    </row>
    <row r="713">
      <c r="A713" s="49"/>
      <c r="B713" s="49" t="str">
        <f>IFNA(VLOOKUP($A713,Spells!$A$2:$I1002,MATCH(B$3,Spells!$A$1:$I$1,0),FALSE))</f>
        <v/>
      </c>
      <c r="C713" s="49" t="str">
        <f>IFNA(VLOOKUP($A713,Spells!$A$2:$I1002,MATCH(C$3,Spells!$A$1:$I$1,0),FALSE))</f>
        <v/>
      </c>
      <c r="D713" s="49" t="str">
        <f>IFNA(VLOOKUP($A713,Spells!$A$2:$I1002,MATCH(D$3,Spells!$A$1:$I$1,0),FALSE))</f>
        <v/>
      </c>
      <c r="E713" s="49" t="str">
        <f>IFNA(VLOOKUP($A713,Spells!$A$2:$I1002,MATCH(E$3,Spells!$A$1:$I$1,0),FALSE))</f>
        <v/>
      </c>
      <c r="F713" s="49" t="str">
        <f>IFNA(VLOOKUP($A713,Spells!$A$2:$I1002,MATCH(F$3,Spells!$A$1:$I$1,0),FALSE))</f>
        <v/>
      </c>
      <c r="G713" s="49" t="str">
        <f>IFNA(VLOOKUP($A713,Spells!$A$2:$I1002,MATCH(G$3,Spells!$A$1:$I$1,0),FALSE))</f>
        <v/>
      </c>
      <c r="H713" s="49" t="str">
        <f>IFNA(VLOOKUP($A713,Spells!$A$2:$I1002,MATCH(H$3,Spells!$A$1:$I$1,0),FALSE))</f>
        <v/>
      </c>
    </row>
    <row r="714">
      <c r="A714" s="49"/>
      <c r="B714" s="49" t="str">
        <f>IFNA(VLOOKUP($A714,Spells!$A$2:$I1002,MATCH(B$3,Spells!$A$1:$I$1,0),FALSE))</f>
        <v/>
      </c>
      <c r="C714" s="49" t="str">
        <f>IFNA(VLOOKUP($A714,Spells!$A$2:$I1002,MATCH(C$3,Spells!$A$1:$I$1,0),FALSE))</f>
        <v/>
      </c>
      <c r="D714" s="49" t="str">
        <f>IFNA(VLOOKUP($A714,Spells!$A$2:$I1002,MATCH(D$3,Spells!$A$1:$I$1,0),FALSE))</f>
        <v/>
      </c>
      <c r="E714" s="49" t="str">
        <f>IFNA(VLOOKUP($A714,Spells!$A$2:$I1002,MATCH(E$3,Spells!$A$1:$I$1,0),FALSE))</f>
        <v/>
      </c>
      <c r="F714" s="49" t="str">
        <f>IFNA(VLOOKUP($A714,Spells!$A$2:$I1002,MATCH(F$3,Spells!$A$1:$I$1,0),FALSE))</f>
        <v/>
      </c>
      <c r="G714" s="49" t="str">
        <f>IFNA(VLOOKUP($A714,Spells!$A$2:$I1002,MATCH(G$3,Spells!$A$1:$I$1,0),FALSE))</f>
        <v/>
      </c>
      <c r="H714" s="49" t="str">
        <f>IFNA(VLOOKUP($A714,Spells!$A$2:$I1002,MATCH(H$3,Spells!$A$1:$I$1,0),FALSE))</f>
        <v/>
      </c>
    </row>
    <row r="715">
      <c r="A715" s="49"/>
      <c r="B715" s="49" t="str">
        <f>IFNA(VLOOKUP($A715,Spells!$A$2:$I1002,MATCH(B$3,Spells!$A$1:$I$1,0),FALSE))</f>
        <v/>
      </c>
      <c r="C715" s="49" t="str">
        <f>IFNA(VLOOKUP($A715,Spells!$A$2:$I1002,MATCH(C$3,Spells!$A$1:$I$1,0),FALSE))</f>
        <v/>
      </c>
      <c r="D715" s="49" t="str">
        <f>IFNA(VLOOKUP($A715,Spells!$A$2:$I1002,MATCH(D$3,Spells!$A$1:$I$1,0),FALSE))</f>
        <v/>
      </c>
      <c r="E715" s="49" t="str">
        <f>IFNA(VLOOKUP($A715,Spells!$A$2:$I1002,MATCH(E$3,Spells!$A$1:$I$1,0),FALSE))</f>
        <v/>
      </c>
      <c r="F715" s="49" t="str">
        <f>IFNA(VLOOKUP($A715,Spells!$A$2:$I1002,MATCH(F$3,Spells!$A$1:$I$1,0),FALSE))</f>
        <v/>
      </c>
      <c r="G715" s="49" t="str">
        <f>IFNA(VLOOKUP($A715,Spells!$A$2:$I1002,MATCH(G$3,Spells!$A$1:$I$1,0),FALSE))</f>
        <v/>
      </c>
      <c r="H715" s="49" t="str">
        <f>IFNA(VLOOKUP($A715,Spells!$A$2:$I1002,MATCH(H$3,Spells!$A$1:$I$1,0),FALSE))</f>
        <v/>
      </c>
    </row>
    <row r="716">
      <c r="A716" s="49"/>
      <c r="B716" s="49" t="str">
        <f>IFNA(VLOOKUP($A716,Spells!$A$2:$I1002,MATCH(B$3,Spells!$A$1:$I$1,0),FALSE))</f>
        <v/>
      </c>
      <c r="C716" s="49" t="str">
        <f>IFNA(VLOOKUP($A716,Spells!$A$2:$I1002,MATCH(C$3,Spells!$A$1:$I$1,0),FALSE))</f>
        <v/>
      </c>
      <c r="D716" s="49" t="str">
        <f>IFNA(VLOOKUP($A716,Spells!$A$2:$I1002,MATCH(D$3,Spells!$A$1:$I$1,0),FALSE))</f>
        <v/>
      </c>
      <c r="E716" s="49" t="str">
        <f>IFNA(VLOOKUP($A716,Spells!$A$2:$I1002,MATCH(E$3,Spells!$A$1:$I$1,0),FALSE))</f>
        <v/>
      </c>
      <c r="F716" s="49" t="str">
        <f>IFNA(VLOOKUP($A716,Spells!$A$2:$I1002,MATCH(F$3,Spells!$A$1:$I$1,0),FALSE))</f>
        <v/>
      </c>
      <c r="G716" s="49" t="str">
        <f>IFNA(VLOOKUP($A716,Spells!$A$2:$I1002,MATCH(G$3,Spells!$A$1:$I$1,0),FALSE))</f>
        <v/>
      </c>
      <c r="H716" s="49" t="str">
        <f>IFNA(VLOOKUP($A716,Spells!$A$2:$I1002,MATCH(H$3,Spells!$A$1:$I$1,0),FALSE))</f>
        <v/>
      </c>
    </row>
    <row r="717">
      <c r="A717" s="49"/>
      <c r="B717" s="49" t="str">
        <f>IFNA(VLOOKUP($A717,Spells!$A$2:$I1002,MATCH(B$3,Spells!$A$1:$I$1,0),FALSE))</f>
        <v/>
      </c>
      <c r="C717" s="49" t="str">
        <f>IFNA(VLOOKUP($A717,Spells!$A$2:$I1002,MATCH(C$3,Spells!$A$1:$I$1,0),FALSE))</f>
        <v/>
      </c>
      <c r="D717" s="49" t="str">
        <f>IFNA(VLOOKUP($A717,Spells!$A$2:$I1002,MATCH(D$3,Spells!$A$1:$I$1,0),FALSE))</f>
        <v/>
      </c>
      <c r="E717" s="49" t="str">
        <f>IFNA(VLOOKUP($A717,Spells!$A$2:$I1002,MATCH(E$3,Spells!$A$1:$I$1,0),FALSE))</f>
        <v/>
      </c>
      <c r="F717" s="49" t="str">
        <f>IFNA(VLOOKUP($A717,Spells!$A$2:$I1002,MATCH(F$3,Spells!$A$1:$I$1,0),FALSE))</f>
        <v/>
      </c>
      <c r="G717" s="49" t="str">
        <f>IFNA(VLOOKUP($A717,Spells!$A$2:$I1002,MATCH(G$3,Spells!$A$1:$I$1,0),FALSE))</f>
        <v/>
      </c>
      <c r="H717" s="49" t="str">
        <f>IFNA(VLOOKUP($A717,Spells!$A$2:$I1002,MATCH(H$3,Spells!$A$1:$I$1,0),FALSE))</f>
        <v/>
      </c>
    </row>
    <row r="718">
      <c r="A718" s="49"/>
      <c r="B718" s="49" t="str">
        <f>IFNA(VLOOKUP($A718,Spells!$A$2:$I1002,MATCH(B$3,Spells!$A$1:$I$1,0),FALSE))</f>
        <v/>
      </c>
      <c r="C718" s="49" t="str">
        <f>IFNA(VLOOKUP($A718,Spells!$A$2:$I1002,MATCH(C$3,Spells!$A$1:$I$1,0),FALSE))</f>
        <v/>
      </c>
      <c r="D718" s="49" t="str">
        <f>IFNA(VLOOKUP($A718,Spells!$A$2:$I1002,MATCH(D$3,Spells!$A$1:$I$1,0),FALSE))</f>
        <v/>
      </c>
      <c r="E718" s="49" t="str">
        <f>IFNA(VLOOKUP($A718,Spells!$A$2:$I1002,MATCH(E$3,Spells!$A$1:$I$1,0),FALSE))</f>
        <v/>
      </c>
      <c r="F718" s="49" t="str">
        <f>IFNA(VLOOKUP($A718,Spells!$A$2:$I1002,MATCH(F$3,Spells!$A$1:$I$1,0),FALSE))</f>
        <v/>
      </c>
      <c r="G718" s="49" t="str">
        <f>IFNA(VLOOKUP($A718,Spells!$A$2:$I1002,MATCH(G$3,Spells!$A$1:$I$1,0),FALSE))</f>
        <v/>
      </c>
      <c r="H718" s="49" t="str">
        <f>IFNA(VLOOKUP($A718,Spells!$A$2:$I1002,MATCH(H$3,Spells!$A$1:$I$1,0),FALSE))</f>
        <v/>
      </c>
    </row>
    <row r="719">
      <c r="A719" s="49"/>
      <c r="B719" s="49" t="str">
        <f>IFNA(VLOOKUP($A719,Spells!$A$2:$I1002,MATCH(B$3,Spells!$A$1:$I$1,0),FALSE))</f>
        <v/>
      </c>
      <c r="C719" s="49" t="str">
        <f>IFNA(VLOOKUP($A719,Spells!$A$2:$I1002,MATCH(C$3,Spells!$A$1:$I$1,0),FALSE))</f>
        <v/>
      </c>
      <c r="D719" s="49" t="str">
        <f>IFNA(VLOOKUP($A719,Spells!$A$2:$I1002,MATCH(D$3,Spells!$A$1:$I$1,0),FALSE))</f>
        <v/>
      </c>
      <c r="E719" s="49" t="str">
        <f>IFNA(VLOOKUP($A719,Spells!$A$2:$I1002,MATCH(E$3,Spells!$A$1:$I$1,0),FALSE))</f>
        <v/>
      </c>
      <c r="F719" s="49" t="str">
        <f>IFNA(VLOOKUP($A719,Spells!$A$2:$I1002,MATCH(F$3,Spells!$A$1:$I$1,0),FALSE))</f>
        <v/>
      </c>
      <c r="G719" s="49" t="str">
        <f>IFNA(VLOOKUP($A719,Spells!$A$2:$I1002,MATCH(G$3,Spells!$A$1:$I$1,0),FALSE))</f>
        <v/>
      </c>
      <c r="H719" s="49" t="str">
        <f>IFNA(VLOOKUP($A719,Spells!$A$2:$I1002,MATCH(H$3,Spells!$A$1:$I$1,0),FALSE))</f>
        <v/>
      </c>
    </row>
    <row r="720">
      <c r="A720" s="49"/>
      <c r="B720" s="49" t="str">
        <f>IFNA(VLOOKUP($A720,Spells!$A$2:$I1002,MATCH(B$3,Spells!$A$1:$I$1,0),FALSE))</f>
        <v/>
      </c>
      <c r="C720" s="49" t="str">
        <f>IFNA(VLOOKUP($A720,Spells!$A$2:$I1002,MATCH(C$3,Spells!$A$1:$I$1,0),FALSE))</f>
        <v/>
      </c>
      <c r="D720" s="49" t="str">
        <f>IFNA(VLOOKUP($A720,Spells!$A$2:$I1002,MATCH(D$3,Spells!$A$1:$I$1,0),FALSE))</f>
        <v/>
      </c>
      <c r="E720" s="49" t="str">
        <f>IFNA(VLOOKUP($A720,Spells!$A$2:$I1002,MATCH(E$3,Spells!$A$1:$I$1,0),FALSE))</f>
        <v/>
      </c>
      <c r="F720" s="49" t="str">
        <f>IFNA(VLOOKUP($A720,Spells!$A$2:$I1002,MATCH(F$3,Spells!$A$1:$I$1,0),FALSE))</f>
        <v/>
      </c>
      <c r="G720" s="49" t="str">
        <f>IFNA(VLOOKUP($A720,Spells!$A$2:$I1002,MATCH(G$3,Spells!$A$1:$I$1,0),FALSE))</f>
        <v/>
      </c>
      <c r="H720" s="49" t="str">
        <f>IFNA(VLOOKUP($A720,Spells!$A$2:$I1002,MATCH(H$3,Spells!$A$1:$I$1,0),FALSE))</f>
        <v/>
      </c>
    </row>
    <row r="721">
      <c r="A721" s="49"/>
      <c r="B721" s="49" t="str">
        <f>IFNA(VLOOKUP($A721,Spells!$A$2:$I1002,MATCH(B$3,Spells!$A$1:$I$1,0),FALSE))</f>
        <v/>
      </c>
      <c r="C721" s="49" t="str">
        <f>IFNA(VLOOKUP($A721,Spells!$A$2:$I1002,MATCH(C$3,Spells!$A$1:$I$1,0),FALSE))</f>
        <v/>
      </c>
      <c r="D721" s="49" t="str">
        <f>IFNA(VLOOKUP($A721,Spells!$A$2:$I1002,MATCH(D$3,Spells!$A$1:$I$1,0),FALSE))</f>
        <v/>
      </c>
      <c r="E721" s="49" t="str">
        <f>IFNA(VLOOKUP($A721,Spells!$A$2:$I1002,MATCH(E$3,Spells!$A$1:$I$1,0),FALSE))</f>
        <v/>
      </c>
      <c r="F721" s="49" t="str">
        <f>IFNA(VLOOKUP($A721,Spells!$A$2:$I1002,MATCH(F$3,Spells!$A$1:$I$1,0),FALSE))</f>
        <v/>
      </c>
      <c r="G721" s="49" t="str">
        <f>IFNA(VLOOKUP($A721,Spells!$A$2:$I1002,MATCH(G$3,Spells!$A$1:$I$1,0),FALSE))</f>
        <v/>
      </c>
      <c r="H721" s="49" t="str">
        <f>IFNA(VLOOKUP($A721,Spells!$A$2:$I1002,MATCH(H$3,Spells!$A$1:$I$1,0),FALSE))</f>
        <v/>
      </c>
    </row>
    <row r="722">
      <c r="A722" s="49"/>
      <c r="B722" s="49" t="str">
        <f>IFNA(VLOOKUP($A722,Spells!$A$2:$I1002,MATCH(B$3,Spells!$A$1:$I$1,0),FALSE))</f>
        <v/>
      </c>
      <c r="C722" s="49" t="str">
        <f>IFNA(VLOOKUP($A722,Spells!$A$2:$I1002,MATCH(C$3,Spells!$A$1:$I$1,0),FALSE))</f>
        <v/>
      </c>
      <c r="D722" s="49" t="str">
        <f>IFNA(VLOOKUP($A722,Spells!$A$2:$I1002,MATCH(D$3,Spells!$A$1:$I$1,0),FALSE))</f>
        <v/>
      </c>
      <c r="E722" s="49" t="str">
        <f>IFNA(VLOOKUP($A722,Spells!$A$2:$I1002,MATCH(E$3,Spells!$A$1:$I$1,0),FALSE))</f>
        <v/>
      </c>
      <c r="F722" s="49" t="str">
        <f>IFNA(VLOOKUP($A722,Spells!$A$2:$I1002,MATCH(F$3,Spells!$A$1:$I$1,0),FALSE))</f>
        <v/>
      </c>
      <c r="G722" s="49" t="str">
        <f>IFNA(VLOOKUP($A722,Spells!$A$2:$I1002,MATCH(G$3,Spells!$A$1:$I$1,0),FALSE))</f>
        <v/>
      </c>
      <c r="H722" s="49" t="str">
        <f>IFNA(VLOOKUP($A722,Spells!$A$2:$I1002,MATCH(H$3,Spells!$A$1:$I$1,0),FALSE))</f>
        <v/>
      </c>
    </row>
    <row r="723">
      <c r="A723" s="49"/>
      <c r="B723" s="49" t="str">
        <f>IFNA(VLOOKUP($A723,Spells!$A$2:$I1002,MATCH(B$3,Spells!$A$1:$I$1,0),FALSE))</f>
        <v/>
      </c>
      <c r="C723" s="49" t="str">
        <f>IFNA(VLOOKUP($A723,Spells!$A$2:$I1002,MATCH(C$3,Spells!$A$1:$I$1,0),FALSE))</f>
        <v/>
      </c>
      <c r="D723" s="49" t="str">
        <f>IFNA(VLOOKUP($A723,Spells!$A$2:$I1002,MATCH(D$3,Spells!$A$1:$I$1,0),FALSE))</f>
        <v/>
      </c>
      <c r="E723" s="49" t="str">
        <f>IFNA(VLOOKUP($A723,Spells!$A$2:$I1002,MATCH(E$3,Spells!$A$1:$I$1,0),FALSE))</f>
        <v/>
      </c>
      <c r="F723" s="49" t="str">
        <f>IFNA(VLOOKUP($A723,Spells!$A$2:$I1002,MATCH(F$3,Spells!$A$1:$I$1,0),FALSE))</f>
        <v/>
      </c>
      <c r="G723" s="49" t="str">
        <f>IFNA(VLOOKUP($A723,Spells!$A$2:$I1002,MATCH(G$3,Spells!$A$1:$I$1,0),FALSE))</f>
        <v/>
      </c>
      <c r="H723" s="49" t="str">
        <f>IFNA(VLOOKUP($A723,Spells!$A$2:$I1002,MATCH(H$3,Spells!$A$1:$I$1,0),FALSE))</f>
        <v/>
      </c>
    </row>
    <row r="724">
      <c r="A724" s="49"/>
      <c r="B724" s="49" t="str">
        <f>IFNA(VLOOKUP($A724,Spells!$A$2:$I1002,MATCH(B$3,Spells!$A$1:$I$1,0),FALSE))</f>
        <v/>
      </c>
      <c r="C724" s="49" t="str">
        <f>IFNA(VLOOKUP($A724,Spells!$A$2:$I1002,MATCH(C$3,Spells!$A$1:$I$1,0),FALSE))</f>
        <v/>
      </c>
      <c r="D724" s="49" t="str">
        <f>IFNA(VLOOKUP($A724,Spells!$A$2:$I1002,MATCH(D$3,Spells!$A$1:$I$1,0),FALSE))</f>
        <v/>
      </c>
      <c r="E724" s="49" t="str">
        <f>IFNA(VLOOKUP($A724,Spells!$A$2:$I1002,MATCH(E$3,Spells!$A$1:$I$1,0),FALSE))</f>
        <v/>
      </c>
      <c r="F724" s="49" t="str">
        <f>IFNA(VLOOKUP($A724,Spells!$A$2:$I1002,MATCH(F$3,Spells!$A$1:$I$1,0),FALSE))</f>
        <v/>
      </c>
      <c r="G724" s="49" t="str">
        <f>IFNA(VLOOKUP($A724,Spells!$A$2:$I1002,MATCH(G$3,Spells!$A$1:$I$1,0),FALSE))</f>
        <v/>
      </c>
      <c r="H724" s="49" t="str">
        <f>IFNA(VLOOKUP($A724,Spells!$A$2:$I1002,MATCH(H$3,Spells!$A$1:$I$1,0),FALSE))</f>
        <v/>
      </c>
    </row>
    <row r="725">
      <c r="A725" s="49"/>
      <c r="B725" s="49" t="str">
        <f>IFNA(VLOOKUP($A725,Spells!$A$2:$I1002,MATCH(B$3,Spells!$A$1:$I$1,0),FALSE))</f>
        <v/>
      </c>
      <c r="C725" s="49" t="str">
        <f>IFNA(VLOOKUP($A725,Spells!$A$2:$I1002,MATCH(C$3,Spells!$A$1:$I$1,0),FALSE))</f>
        <v/>
      </c>
      <c r="D725" s="49" t="str">
        <f>IFNA(VLOOKUP($A725,Spells!$A$2:$I1002,MATCH(D$3,Spells!$A$1:$I$1,0),FALSE))</f>
        <v/>
      </c>
      <c r="E725" s="49" t="str">
        <f>IFNA(VLOOKUP($A725,Spells!$A$2:$I1002,MATCH(E$3,Spells!$A$1:$I$1,0),FALSE))</f>
        <v/>
      </c>
      <c r="F725" s="49" t="str">
        <f>IFNA(VLOOKUP($A725,Spells!$A$2:$I1002,MATCH(F$3,Spells!$A$1:$I$1,0),FALSE))</f>
        <v/>
      </c>
      <c r="G725" s="49" t="str">
        <f>IFNA(VLOOKUP($A725,Spells!$A$2:$I1002,MATCH(G$3,Spells!$A$1:$I$1,0),FALSE))</f>
        <v/>
      </c>
      <c r="H725" s="49" t="str">
        <f>IFNA(VLOOKUP($A725,Spells!$A$2:$I1002,MATCH(H$3,Spells!$A$1:$I$1,0),FALSE))</f>
        <v/>
      </c>
    </row>
    <row r="726">
      <c r="A726" s="49"/>
      <c r="B726" s="49" t="str">
        <f>IFNA(VLOOKUP($A726,Spells!$A$2:$I1002,MATCH(B$3,Spells!$A$1:$I$1,0),FALSE))</f>
        <v/>
      </c>
      <c r="C726" s="49" t="str">
        <f>IFNA(VLOOKUP($A726,Spells!$A$2:$I1002,MATCH(C$3,Spells!$A$1:$I$1,0),FALSE))</f>
        <v/>
      </c>
      <c r="D726" s="49" t="str">
        <f>IFNA(VLOOKUP($A726,Spells!$A$2:$I1002,MATCH(D$3,Spells!$A$1:$I$1,0),FALSE))</f>
        <v/>
      </c>
      <c r="E726" s="49" t="str">
        <f>IFNA(VLOOKUP($A726,Spells!$A$2:$I1002,MATCH(E$3,Spells!$A$1:$I$1,0),FALSE))</f>
        <v/>
      </c>
      <c r="F726" s="49" t="str">
        <f>IFNA(VLOOKUP($A726,Spells!$A$2:$I1002,MATCH(F$3,Spells!$A$1:$I$1,0),FALSE))</f>
        <v/>
      </c>
      <c r="G726" s="49" t="str">
        <f>IFNA(VLOOKUP($A726,Spells!$A$2:$I1002,MATCH(G$3,Spells!$A$1:$I$1,0),FALSE))</f>
        <v/>
      </c>
      <c r="H726" s="49" t="str">
        <f>IFNA(VLOOKUP($A726,Spells!$A$2:$I1002,MATCH(H$3,Spells!$A$1:$I$1,0),FALSE))</f>
        <v/>
      </c>
    </row>
    <row r="727">
      <c r="A727" s="49"/>
      <c r="B727" s="49" t="str">
        <f>IFNA(VLOOKUP($A727,Spells!$A$2:$I1002,MATCH(B$3,Spells!$A$1:$I$1,0),FALSE))</f>
        <v/>
      </c>
      <c r="C727" s="49" t="str">
        <f>IFNA(VLOOKUP($A727,Spells!$A$2:$I1002,MATCH(C$3,Spells!$A$1:$I$1,0),FALSE))</f>
        <v/>
      </c>
      <c r="D727" s="49" t="str">
        <f>IFNA(VLOOKUP($A727,Spells!$A$2:$I1002,MATCH(D$3,Spells!$A$1:$I$1,0),FALSE))</f>
        <v/>
      </c>
      <c r="E727" s="49" t="str">
        <f>IFNA(VLOOKUP($A727,Spells!$A$2:$I1002,MATCH(E$3,Spells!$A$1:$I$1,0),FALSE))</f>
        <v/>
      </c>
      <c r="F727" s="49" t="str">
        <f>IFNA(VLOOKUP($A727,Spells!$A$2:$I1002,MATCH(F$3,Spells!$A$1:$I$1,0),FALSE))</f>
        <v/>
      </c>
      <c r="G727" s="49" t="str">
        <f>IFNA(VLOOKUP($A727,Spells!$A$2:$I1002,MATCH(G$3,Spells!$A$1:$I$1,0),FALSE))</f>
        <v/>
      </c>
      <c r="H727" s="49" t="str">
        <f>IFNA(VLOOKUP($A727,Spells!$A$2:$I1002,MATCH(H$3,Spells!$A$1:$I$1,0),FALSE))</f>
        <v/>
      </c>
    </row>
    <row r="728">
      <c r="A728" s="49"/>
      <c r="B728" s="49" t="str">
        <f>IFNA(VLOOKUP($A728,Spells!$A$2:$I1002,MATCH(B$3,Spells!$A$1:$I$1,0),FALSE))</f>
        <v/>
      </c>
      <c r="C728" s="49" t="str">
        <f>IFNA(VLOOKUP($A728,Spells!$A$2:$I1002,MATCH(C$3,Spells!$A$1:$I$1,0),FALSE))</f>
        <v/>
      </c>
      <c r="D728" s="49" t="str">
        <f>IFNA(VLOOKUP($A728,Spells!$A$2:$I1002,MATCH(D$3,Spells!$A$1:$I$1,0),FALSE))</f>
        <v/>
      </c>
      <c r="E728" s="49" t="str">
        <f>IFNA(VLOOKUP($A728,Spells!$A$2:$I1002,MATCH(E$3,Spells!$A$1:$I$1,0),FALSE))</f>
        <v/>
      </c>
      <c r="F728" s="49" t="str">
        <f>IFNA(VLOOKUP($A728,Spells!$A$2:$I1002,MATCH(F$3,Spells!$A$1:$I$1,0),FALSE))</f>
        <v/>
      </c>
      <c r="G728" s="49" t="str">
        <f>IFNA(VLOOKUP($A728,Spells!$A$2:$I1002,MATCH(G$3,Spells!$A$1:$I$1,0),FALSE))</f>
        <v/>
      </c>
      <c r="H728" s="49" t="str">
        <f>IFNA(VLOOKUP($A728,Spells!$A$2:$I1002,MATCH(H$3,Spells!$A$1:$I$1,0),FALSE))</f>
        <v/>
      </c>
    </row>
    <row r="729">
      <c r="A729" s="49"/>
      <c r="B729" s="49" t="str">
        <f>IFNA(VLOOKUP($A729,Spells!$A$2:$I1002,MATCH(B$3,Spells!$A$1:$I$1,0),FALSE))</f>
        <v/>
      </c>
      <c r="C729" s="49" t="str">
        <f>IFNA(VLOOKUP($A729,Spells!$A$2:$I1002,MATCH(C$3,Spells!$A$1:$I$1,0),FALSE))</f>
        <v/>
      </c>
      <c r="D729" s="49" t="str">
        <f>IFNA(VLOOKUP($A729,Spells!$A$2:$I1002,MATCH(D$3,Spells!$A$1:$I$1,0),FALSE))</f>
        <v/>
      </c>
      <c r="E729" s="49" t="str">
        <f>IFNA(VLOOKUP($A729,Spells!$A$2:$I1002,MATCH(E$3,Spells!$A$1:$I$1,0),FALSE))</f>
        <v/>
      </c>
      <c r="F729" s="49" t="str">
        <f>IFNA(VLOOKUP($A729,Spells!$A$2:$I1002,MATCH(F$3,Spells!$A$1:$I$1,0),FALSE))</f>
        <v/>
      </c>
      <c r="G729" s="49" t="str">
        <f>IFNA(VLOOKUP($A729,Spells!$A$2:$I1002,MATCH(G$3,Spells!$A$1:$I$1,0),FALSE))</f>
        <v/>
      </c>
      <c r="H729" s="49" t="str">
        <f>IFNA(VLOOKUP($A729,Spells!$A$2:$I1002,MATCH(H$3,Spells!$A$1:$I$1,0),FALSE))</f>
        <v/>
      </c>
    </row>
    <row r="730">
      <c r="A730" s="49"/>
      <c r="B730" s="49" t="str">
        <f>IFNA(VLOOKUP($A730,Spells!$A$2:$I1002,MATCH(B$3,Spells!$A$1:$I$1,0),FALSE))</f>
        <v/>
      </c>
      <c r="C730" s="49" t="str">
        <f>IFNA(VLOOKUP($A730,Spells!$A$2:$I1002,MATCH(C$3,Spells!$A$1:$I$1,0),FALSE))</f>
        <v/>
      </c>
      <c r="D730" s="49" t="str">
        <f>IFNA(VLOOKUP($A730,Spells!$A$2:$I1002,MATCH(D$3,Spells!$A$1:$I$1,0),FALSE))</f>
        <v/>
      </c>
      <c r="E730" s="49" t="str">
        <f>IFNA(VLOOKUP($A730,Spells!$A$2:$I1002,MATCH(E$3,Spells!$A$1:$I$1,0),FALSE))</f>
        <v/>
      </c>
      <c r="F730" s="49" t="str">
        <f>IFNA(VLOOKUP($A730,Spells!$A$2:$I1002,MATCH(F$3,Spells!$A$1:$I$1,0),FALSE))</f>
        <v/>
      </c>
      <c r="G730" s="49" t="str">
        <f>IFNA(VLOOKUP($A730,Spells!$A$2:$I1002,MATCH(G$3,Spells!$A$1:$I$1,0),FALSE))</f>
        <v/>
      </c>
      <c r="H730" s="49" t="str">
        <f>IFNA(VLOOKUP($A730,Spells!$A$2:$I1002,MATCH(H$3,Spells!$A$1:$I$1,0),FALSE))</f>
        <v/>
      </c>
    </row>
    <row r="731">
      <c r="A731" s="49"/>
      <c r="B731" s="49" t="str">
        <f>IFNA(VLOOKUP($A731,Spells!$A$2:$I1002,MATCH(B$3,Spells!$A$1:$I$1,0),FALSE))</f>
        <v/>
      </c>
      <c r="C731" s="49" t="str">
        <f>IFNA(VLOOKUP($A731,Spells!$A$2:$I1002,MATCH(C$3,Spells!$A$1:$I$1,0),FALSE))</f>
        <v/>
      </c>
      <c r="D731" s="49" t="str">
        <f>IFNA(VLOOKUP($A731,Spells!$A$2:$I1002,MATCH(D$3,Spells!$A$1:$I$1,0),FALSE))</f>
        <v/>
      </c>
      <c r="E731" s="49" t="str">
        <f>IFNA(VLOOKUP($A731,Spells!$A$2:$I1002,MATCH(E$3,Spells!$A$1:$I$1,0),FALSE))</f>
        <v/>
      </c>
      <c r="F731" s="49" t="str">
        <f>IFNA(VLOOKUP($A731,Spells!$A$2:$I1002,MATCH(F$3,Spells!$A$1:$I$1,0),FALSE))</f>
        <v/>
      </c>
      <c r="G731" s="49" t="str">
        <f>IFNA(VLOOKUP($A731,Spells!$A$2:$I1002,MATCH(G$3,Spells!$A$1:$I$1,0),FALSE))</f>
        <v/>
      </c>
      <c r="H731" s="49" t="str">
        <f>IFNA(VLOOKUP($A731,Spells!$A$2:$I1002,MATCH(H$3,Spells!$A$1:$I$1,0),FALSE))</f>
        <v/>
      </c>
    </row>
    <row r="732">
      <c r="A732" s="49"/>
      <c r="B732" s="49" t="str">
        <f>IFNA(VLOOKUP($A732,Spells!$A$2:$I1002,MATCH(B$3,Spells!$A$1:$I$1,0),FALSE))</f>
        <v/>
      </c>
      <c r="C732" s="49" t="str">
        <f>IFNA(VLOOKUP($A732,Spells!$A$2:$I1002,MATCH(C$3,Spells!$A$1:$I$1,0),FALSE))</f>
        <v/>
      </c>
      <c r="D732" s="49" t="str">
        <f>IFNA(VLOOKUP($A732,Spells!$A$2:$I1002,MATCH(D$3,Spells!$A$1:$I$1,0),FALSE))</f>
        <v/>
      </c>
      <c r="E732" s="49" t="str">
        <f>IFNA(VLOOKUP($A732,Spells!$A$2:$I1002,MATCH(E$3,Spells!$A$1:$I$1,0),FALSE))</f>
        <v/>
      </c>
      <c r="F732" s="49" t="str">
        <f>IFNA(VLOOKUP($A732,Spells!$A$2:$I1002,MATCH(F$3,Spells!$A$1:$I$1,0),FALSE))</f>
        <v/>
      </c>
      <c r="G732" s="49" t="str">
        <f>IFNA(VLOOKUP($A732,Spells!$A$2:$I1002,MATCH(G$3,Spells!$A$1:$I$1,0),FALSE))</f>
        <v/>
      </c>
      <c r="H732" s="49" t="str">
        <f>IFNA(VLOOKUP($A732,Spells!$A$2:$I1002,MATCH(H$3,Spells!$A$1:$I$1,0),FALSE))</f>
        <v/>
      </c>
    </row>
    <row r="733">
      <c r="A733" s="49"/>
      <c r="B733" s="49" t="str">
        <f>IFNA(VLOOKUP($A733,Spells!$A$2:$I1002,MATCH(B$3,Spells!$A$1:$I$1,0),FALSE))</f>
        <v/>
      </c>
      <c r="C733" s="49" t="str">
        <f>IFNA(VLOOKUP($A733,Spells!$A$2:$I1002,MATCH(C$3,Spells!$A$1:$I$1,0),FALSE))</f>
        <v/>
      </c>
      <c r="D733" s="49" t="str">
        <f>IFNA(VLOOKUP($A733,Spells!$A$2:$I1002,MATCH(D$3,Spells!$A$1:$I$1,0),FALSE))</f>
        <v/>
      </c>
      <c r="E733" s="49" t="str">
        <f>IFNA(VLOOKUP($A733,Spells!$A$2:$I1002,MATCH(E$3,Spells!$A$1:$I$1,0),FALSE))</f>
        <v/>
      </c>
      <c r="F733" s="49" t="str">
        <f>IFNA(VLOOKUP($A733,Spells!$A$2:$I1002,MATCH(F$3,Spells!$A$1:$I$1,0),FALSE))</f>
        <v/>
      </c>
      <c r="G733" s="49" t="str">
        <f>IFNA(VLOOKUP($A733,Spells!$A$2:$I1002,MATCH(G$3,Spells!$A$1:$I$1,0),FALSE))</f>
        <v/>
      </c>
      <c r="H733" s="49" t="str">
        <f>IFNA(VLOOKUP($A733,Spells!$A$2:$I1002,MATCH(H$3,Spells!$A$1:$I$1,0),FALSE))</f>
        <v/>
      </c>
    </row>
    <row r="734">
      <c r="A734" s="49"/>
      <c r="B734" s="49" t="str">
        <f>IFNA(VLOOKUP($A734,Spells!$A$2:$I1002,MATCH(B$3,Spells!$A$1:$I$1,0),FALSE))</f>
        <v/>
      </c>
      <c r="C734" s="49" t="str">
        <f>IFNA(VLOOKUP($A734,Spells!$A$2:$I1002,MATCH(C$3,Spells!$A$1:$I$1,0),FALSE))</f>
        <v/>
      </c>
      <c r="D734" s="49" t="str">
        <f>IFNA(VLOOKUP($A734,Spells!$A$2:$I1002,MATCH(D$3,Spells!$A$1:$I$1,0),FALSE))</f>
        <v/>
      </c>
      <c r="E734" s="49" t="str">
        <f>IFNA(VLOOKUP($A734,Spells!$A$2:$I1002,MATCH(E$3,Spells!$A$1:$I$1,0),FALSE))</f>
        <v/>
      </c>
      <c r="F734" s="49" t="str">
        <f>IFNA(VLOOKUP($A734,Spells!$A$2:$I1002,MATCH(F$3,Spells!$A$1:$I$1,0),FALSE))</f>
        <v/>
      </c>
      <c r="G734" s="49" t="str">
        <f>IFNA(VLOOKUP($A734,Spells!$A$2:$I1002,MATCH(G$3,Spells!$A$1:$I$1,0),FALSE))</f>
        <v/>
      </c>
      <c r="H734" s="49" t="str">
        <f>IFNA(VLOOKUP($A734,Spells!$A$2:$I1002,MATCH(H$3,Spells!$A$1:$I$1,0),FALSE))</f>
        <v/>
      </c>
    </row>
    <row r="735">
      <c r="A735" s="49"/>
      <c r="B735" s="49" t="str">
        <f>IFNA(VLOOKUP($A735,Spells!$A$2:$I1002,MATCH(B$3,Spells!$A$1:$I$1,0),FALSE))</f>
        <v/>
      </c>
      <c r="C735" s="49" t="str">
        <f>IFNA(VLOOKUP($A735,Spells!$A$2:$I1002,MATCH(C$3,Spells!$A$1:$I$1,0),FALSE))</f>
        <v/>
      </c>
      <c r="D735" s="49" t="str">
        <f>IFNA(VLOOKUP($A735,Spells!$A$2:$I1002,MATCH(D$3,Spells!$A$1:$I$1,0),FALSE))</f>
        <v/>
      </c>
      <c r="E735" s="49" t="str">
        <f>IFNA(VLOOKUP($A735,Spells!$A$2:$I1002,MATCH(E$3,Spells!$A$1:$I$1,0),FALSE))</f>
        <v/>
      </c>
      <c r="F735" s="49" t="str">
        <f>IFNA(VLOOKUP($A735,Spells!$A$2:$I1002,MATCH(F$3,Spells!$A$1:$I$1,0),FALSE))</f>
        <v/>
      </c>
      <c r="G735" s="49" t="str">
        <f>IFNA(VLOOKUP($A735,Spells!$A$2:$I1002,MATCH(G$3,Spells!$A$1:$I$1,0),FALSE))</f>
        <v/>
      </c>
      <c r="H735" s="49" t="str">
        <f>IFNA(VLOOKUP($A735,Spells!$A$2:$I1002,MATCH(H$3,Spells!$A$1:$I$1,0),FALSE))</f>
        <v/>
      </c>
    </row>
    <row r="736">
      <c r="A736" s="49"/>
      <c r="B736" s="49" t="str">
        <f>IFNA(VLOOKUP($A736,Spells!$A$2:$I1002,MATCH(B$3,Spells!$A$1:$I$1,0),FALSE))</f>
        <v/>
      </c>
      <c r="C736" s="49" t="str">
        <f>IFNA(VLOOKUP($A736,Spells!$A$2:$I1002,MATCH(C$3,Spells!$A$1:$I$1,0),FALSE))</f>
        <v/>
      </c>
      <c r="D736" s="49" t="str">
        <f>IFNA(VLOOKUP($A736,Spells!$A$2:$I1002,MATCH(D$3,Spells!$A$1:$I$1,0),FALSE))</f>
        <v/>
      </c>
      <c r="E736" s="49" t="str">
        <f>IFNA(VLOOKUP($A736,Spells!$A$2:$I1002,MATCH(E$3,Spells!$A$1:$I$1,0),FALSE))</f>
        <v/>
      </c>
      <c r="F736" s="49" t="str">
        <f>IFNA(VLOOKUP($A736,Spells!$A$2:$I1002,MATCH(F$3,Spells!$A$1:$I$1,0),FALSE))</f>
        <v/>
      </c>
      <c r="G736" s="49" t="str">
        <f>IFNA(VLOOKUP($A736,Spells!$A$2:$I1002,MATCH(G$3,Spells!$A$1:$I$1,0),FALSE))</f>
        <v/>
      </c>
      <c r="H736" s="49" t="str">
        <f>IFNA(VLOOKUP($A736,Spells!$A$2:$I1002,MATCH(H$3,Spells!$A$1:$I$1,0),FALSE))</f>
        <v/>
      </c>
    </row>
    <row r="737">
      <c r="A737" s="49"/>
      <c r="B737" s="49" t="str">
        <f>IFNA(VLOOKUP($A737,Spells!$A$2:$I1002,MATCH(B$3,Spells!$A$1:$I$1,0),FALSE))</f>
        <v/>
      </c>
      <c r="C737" s="49" t="str">
        <f>IFNA(VLOOKUP($A737,Spells!$A$2:$I1002,MATCH(C$3,Spells!$A$1:$I$1,0),FALSE))</f>
        <v/>
      </c>
      <c r="D737" s="49" t="str">
        <f>IFNA(VLOOKUP($A737,Spells!$A$2:$I1002,MATCH(D$3,Spells!$A$1:$I$1,0),FALSE))</f>
        <v/>
      </c>
      <c r="E737" s="49" t="str">
        <f>IFNA(VLOOKUP($A737,Spells!$A$2:$I1002,MATCH(E$3,Spells!$A$1:$I$1,0),FALSE))</f>
        <v/>
      </c>
      <c r="F737" s="49" t="str">
        <f>IFNA(VLOOKUP($A737,Spells!$A$2:$I1002,MATCH(F$3,Spells!$A$1:$I$1,0),FALSE))</f>
        <v/>
      </c>
      <c r="G737" s="49" t="str">
        <f>IFNA(VLOOKUP($A737,Spells!$A$2:$I1002,MATCH(G$3,Spells!$A$1:$I$1,0),FALSE))</f>
        <v/>
      </c>
      <c r="H737" s="49" t="str">
        <f>IFNA(VLOOKUP($A737,Spells!$A$2:$I1002,MATCH(H$3,Spells!$A$1:$I$1,0),FALSE))</f>
        <v/>
      </c>
    </row>
    <row r="738">
      <c r="A738" s="49"/>
      <c r="B738" s="49" t="str">
        <f>IFNA(VLOOKUP($A738,Spells!$A$2:$I1002,MATCH(B$3,Spells!$A$1:$I$1,0),FALSE))</f>
        <v/>
      </c>
      <c r="C738" s="49" t="str">
        <f>IFNA(VLOOKUP($A738,Spells!$A$2:$I1002,MATCH(C$3,Spells!$A$1:$I$1,0),FALSE))</f>
        <v/>
      </c>
      <c r="D738" s="49" t="str">
        <f>IFNA(VLOOKUP($A738,Spells!$A$2:$I1002,MATCH(D$3,Spells!$A$1:$I$1,0),FALSE))</f>
        <v/>
      </c>
      <c r="E738" s="49" t="str">
        <f>IFNA(VLOOKUP($A738,Spells!$A$2:$I1002,MATCH(E$3,Spells!$A$1:$I$1,0),FALSE))</f>
        <v/>
      </c>
      <c r="F738" s="49" t="str">
        <f>IFNA(VLOOKUP($A738,Spells!$A$2:$I1002,MATCH(F$3,Spells!$A$1:$I$1,0),FALSE))</f>
        <v/>
      </c>
      <c r="G738" s="49" t="str">
        <f>IFNA(VLOOKUP($A738,Spells!$A$2:$I1002,MATCH(G$3,Spells!$A$1:$I$1,0),FALSE))</f>
        <v/>
      </c>
      <c r="H738" s="49" t="str">
        <f>IFNA(VLOOKUP($A738,Spells!$A$2:$I1002,MATCH(H$3,Spells!$A$1:$I$1,0),FALSE))</f>
        <v/>
      </c>
    </row>
    <row r="739">
      <c r="A739" s="49"/>
      <c r="B739" s="49" t="str">
        <f>IFNA(VLOOKUP($A739,Spells!$A$2:$I1002,MATCH(B$3,Spells!$A$1:$I$1,0),FALSE))</f>
        <v/>
      </c>
      <c r="C739" s="49" t="str">
        <f>IFNA(VLOOKUP($A739,Spells!$A$2:$I1002,MATCH(C$3,Spells!$A$1:$I$1,0),FALSE))</f>
        <v/>
      </c>
      <c r="D739" s="49" t="str">
        <f>IFNA(VLOOKUP($A739,Spells!$A$2:$I1002,MATCH(D$3,Spells!$A$1:$I$1,0),FALSE))</f>
        <v/>
      </c>
      <c r="E739" s="49" t="str">
        <f>IFNA(VLOOKUP($A739,Spells!$A$2:$I1002,MATCH(E$3,Spells!$A$1:$I$1,0),FALSE))</f>
        <v/>
      </c>
      <c r="F739" s="49" t="str">
        <f>IFNA(VLOOKUP($A739,Spells!$A$2:$I1002,MATCH(F$3,Spells!$A$1:$I$1,0),FALSE))</f>
        <v/>
      </c>
      <c r="G739" s="49" t="str">
        <f>IFNA(VLOOKUP($A739,Spells!$A$2:$I1002,MATCH(G$3,Spells!$A$1:$I$1,0),FALSE))</f>
        <v/>
      </c>
      <c r="H739" s="49" t="str">
        <f>IFNA(VLOOKUP($A739,Spells!$A$2:$I1002,MATCH(H$3,Spells!$A$1:$I$1,0),FALSE))</f>
        <v/>
      </c>
    </row>
    <row r="740">
      <c r="A740" s="49"/>
      <c r="B740" s="49" t="str">
        <f>IFNA(VLOOKUP($A740,Spells!$A$2:$I1002,MATCH(B$3,Spells!$A$1:$I$1,0),FALSE))</f>
        <v/>
      </c>
      <c r="C740" s="49" t="str">
        <f>IFNA(VLOOKUP($A740,Spells!$A$2:$I1002,MATCH(C$3,Spells!$A$1:$I$1,0),FALSE))</f>
        <v/>
      </c>
      <c r="D740" s="49" t="str">
        <f>IFNA(VLOOKUP($A740,Spells!$A$2:$I1002,MATCH(D$3,Spells!$A$1:$I$1,0),FALSE))</f>
        <v/>
      </c>
      <c r="E740" s="49" t="str">
        <f>IFNA(VLOOKUP($A740,Spells!$A$2:$I1002,MATCH(E$3,Spells!$A$1:$I$1,0),FALSE))</f>
        <v/>
      </c>
      <c r="F740" s="49" t="str">
        <f>IFNA(VLOOKUP($A740,Spells!$A$2:$I1002,MATCH(F$3,Spells!$A$1:$I$1,0),FALSE))</f>
        <v/>
      </c>
      <c r="G740" s="49" t="str">
        <f>IFNA(VLOOKUP($A740,Spells!$A$2:$I1002,MATCH(G$3,Spells!$A$1:$I$1,0),FALSE))</f>
        <v/>
      </c>
      <c r="H740" s="49" t="str">
        <f>IFNA(VLOOKUP($A740,Spells!$A$2:$I1002,MATCH(H$3,Spells!$A$1:$I$1,0),FALSE))</f>
        <v/>
      </c>
    </row>
    <row r="741">
      <c r="A741" s="49"/>
      <c r="B741" s="49" t="str">
        <f>IFNA(VLOOKUP($A741,Spells!$A$2:$I1002,MATCH(B$3,Spells!$A$1:$I$1,0),FALSE))</f>
        <v/>
      </c>
      <c r="C741" s="49" t="str">
        <f>IFNA(VLOOKUP($A741,Spells!$A$2:$I1002,MATCH(C$3,Spells!$A$1:$I$1,0),FALSE))</f>
        <v/>
      </c>
      <c r="D741" s="49" t="str">
        <f>IFNA(VLOOKUP($A741,Spells!$A$2:$I1002,MATCH(D$3,Spells!$A$1:$I$1,0),FALSE))</f>
        <v/>
      </c>
      <c r="E741" s="49" t="str">
        <f>IFNA(VLOOKUP($A741,Spells!$A$2:$I1002,MATCH(E$3,Spells!$A$1:$I$1,0),FALSE))</f>
        <v/>
      </c>
      <c r="F741" s="49" t="str">
        <f>IFNA(VLOOKUP($A741,Spells!$A$2:$I1002,MATCH(F$3,Spells!$A$1:$I$1,0),FALSE))</f>
        <v/>
      </c>
      <c r="G741" s="49" t="str">
        <f>IFNA(VLOOKUP($A741,Spells!$A$2:$I1002,MATCH(G$3,Spells!$A$1:$I$1,0),FALSE))</f>
        <v/>
      </c>
      <c r="H741" s="49" t="str">
        <f>IFNA(VLOOKUP($A741,Spells!$A$2:$I1002,MATCH(H$3,Spells!$A$1:$I$1,0),FALSE))</f>
        <v/>
      </c>
    </row>
    <row r="742">
      <c r="A742" s="49"/>
      <c r="B742" s="49" t="str">
        <f>IFNA(VLOOKUP($A742,Spells!$A$2:$I1002,MATCH(B$3,Spells!$A$1:$I$1,0),FALSE))</f>
        <v/>
      </c>
      <c r="C742" s="49" t="str">
        <f>IFNA(VLOOKUP($A742,Spells!$A$2:$I1002,MATCH(C$3,Spells!$A$1:$I$1,0),FALSE))</f>
        <v/>
      </c>
      <c r="D742" s="49" t="str">
        <f>IFNA(VLOOKUP($A742,Spells!$A$2:$I1002,MATCH(D$3,Spells!$A$1:$I$1,0),FALSE))</f>
        <v/>
      </c>
      <c r="E742" s="49" t="str">
        <f>IFNA(VLOOKUP($A742,Spells!$A$2:$I1002,MATCH(E$3,Spells!$A$1:$I$1,0),FALSE))</f>
        <v/>
      </c>
      <c r="F742" s="49" t="str">
        <f>IFNA(VLOOKUP($A742,Spells!$A$2:$I1002,MATCH(F$3,Spells!$A$1:$I$1,0),FALSE))</f>
        <v/>
      </c>
      <c r="G742" s="49" t="str">
        <f>IFNA(VLOOKUP($A742,Spells!$A$2:$I1002,MATCH(G$3,Spells!$A$1:$I$1,0),FALSE))</f>
        <v/>
      </c>
      <c r="H742" s="49" t="str">
        <f>IFNA(VLOOKUP($A742,Spells!$A$2:$I1002,MATCH(H$3,Spells!$A$1:$I$1,0),FALSE))</f>
        <v/>
      </c>
    </row>
    <row r="743">
      <c r="A743" s="49"/>
      <c r="B743" s="49" t="str">
        <f>IFNA(VLOOKUP($A743,Spells!$A$2:$I1002,MATCH(B$3,Spells!$A$1:$I$1,0),FALSE))</f>
        <v/>
      </c>
      <c r="C743" s="49" t="str">
        <f>IFNA(VLOOKUP($A743,Spells!$A$2:$I1002,MATCH(C$3,Spells!$A$1:$I$1,0),FALSE))</f>
        <v/>
      </c>
      <c r="D743" s="49" t="str">
        <f>IFNA(VLOOKUP($A743,Spells!$A$2:$I1002,MATCH(D$3,Spells!$A$1:$I$1,0),FALSE))</f>
        <v/>
      </c>
      <c r="E743" s="49" t="str">
        <f>IFNA(VLOOKUP($A743,Spells!$A$2:$I1002,MATCH(E$3,Spells!$A$1:$I$1,0),FALSE))</f>
        <v/>
      </c>
      <c r="F743" s="49" t="str">
        <f>IFNA(VLOOKUP($A743,Spells!$A$2:$I1002,MATCH(F$3,Spells!$A$1:$I$1,0),FALSE))</f>
        <v/>
      </c>
      <c r="G743" s="49" t="str">
        <f>IFNA(VLOOKUP($A743,Spells!$A$2:$I1002,MATCH(G$3,Spells!$A$1:$I$1,0),FALSE))</f>
        <v/>
      </c>
      <c r="H743" s="49" t="str">
        <f>IFNA(VLOOKUP($A743,Spells!$A$2:$I1002,MATCH(H$3,Spells!$A$1:$I$1,0),FALSE))</f>
        <v/>
      </c>
    </row>
    <row r="744">
      <c r="A744" s="49"/>
      <c r="B744" s="49" t="str">
        <f>IFNA(VLOOKUP($A744,Spells!$A$2:$I1002,MATCH(B$3,Spells!$A$1:$I$1,0),FALSE))</f>
        <v/>
      </c>
      <c r="C744" s="49" t="str">
        <f>IFNA(VLOOKUP($A744,Spells!$A$2:$I1002,MATCH(C$3,Spells!$A$1:$I$1,0),FALSE))</f>
        <v/>
      </c>
      <c r="D744" s="49" t="str">
        <f>IFNA(VLOOKUP($A744,Spells!$A$2:$I1002,MATCH(D$3,Spells!$A$1:$I$1,0),FALSE))</f>
        <v/>
      </c>
      <c r="E744" s="49" t="str">
        <f>IFNA(VLOOKUP($A744,Spells!$A$2:$I1002,MATCH(E$3,Spells!$A$1:$I$1,0),FALSE))</f>
        <v/>
      </c>
      <c r="F744" s="49" t="str">
        <f>IFNA(VLOOKUP($A744,Spells!$A$2:$I1002,MATCH(F$3,Spells!$A$1:$I$1,0),FALSE))</f>
        <v/>
      </c>
      <c r="G744" s="49" t="str">
        <f>IFNA(VLOOKUP($A744,Spells!$A$2:$I1002,MATCH(G$3,Spells!$A$1:$I$1,0),FALSE))</f>
        <v/>
      </c>
      <c r="H744" s="49" t="str">
        <f>IFNA(VLOOKUP($A744,Spells!$A$2:$I1002,MATCH(H$3,Spells!$A$1:$I$1,0),FALSE))</f>
        <v/>
      </c>
    </row>
    <row r="745">
      <c r="A745" s="49"/>
      <c r="B745" s="49" t="str">
        <f>IFNA(VLOOKUP($A745,Spells!$A$2:$I1002,MATCH(B$3,Spells!$A$1:$I$1,0),FALSE))</f>
        <v/>
      </c>
      <c r="C745" s="49" t="str">
        <f>IFNA(VLOOKUP($A745,Spells!$A$2:$I1002,MATCH(C$3,Spells!$A$1:$I$1,0),FALSE))</f>
        <v/>
      </c>
      <c r="D745" s="49" t="str">
        <f>IFNA(VLOOKUP($A745,Spells!$A$2:$I1002,MATCH(D$3,Spells!$A$1:$I$1,0),FALSE))</f>
        <v/>
      </c>
      <c r="E745" s="49" t="str">
        <f>IFNA(VLOOKUP($A745,Spells!$A$2:$I1002,MATCH(E$3,Spells!$A$1:$I$1,0),FALSE))</f>
        <v/>
      </c>
      <c r="F745" s="49" t="str">
        <f>IFNA(VLOOKUP($A745,Spells!$A$2:$I1002,MATCH(F$3,Spells!$A$1:$I$1,0),FALSE))</f>
        <v/>
      </c>
      <c r="G745" s="49" t="str">
        <f>IFNA(VLOOKUP($A745,Spells!$A$2:$I1002,MATCH(G$3,Spells!$A$1:$I$1,0),FALSE))</f>
        <v/>
      </c>
      <c r="H745" s="49" t="str">
        <f>IFNA(VLOOKUP($A745,Spells!$A$2:$I1002,MATCH(H$3,Spells!$A$1:$I$1,0),FALSE))</f>
        <v/>
      </c>
    </row>
    <row r="746">
      <c r="A746" s="49"/>
      <c r="B746" s="49" t="str">
        <f>IFNA(VLOOKUP($A746,Spells!$A$2:$I1002,MATCH(B$3,Spells!$A$1:$I$1,0),FALSE))</f>
        <v/>
      </c>
      <c r="C746" s="49" t="str">
        <f>IFNA(VLOOKUP($A746,Spells!$A$2:$I1002,MATCH(C$3,Spells!$A$1:$I$1,0),FALSE))</f>
        <v/>
      </c>
      <c r="D746" s="49" t="str">
        <f>IFNA(VLOOKUP($A746,Spells!$A$2:$I1002,MATCH(D$3,Spells!$A$1:$I$1,0),FALSE))</f>
        <v/>
      </c>
      <c r="E746" s="49" t="str">
        <f>IFNA(VLOOKUP($A746,Spells!$A$2:$I1002,MATCH(E$3,Spells!$A$1:$I$1,0),FALSE))</f>
        <v/>
      </c>
      <c r="F746" s="49" t="str">
        <f>IFNA(VLOOKUP($A746,Spells!$A$2:$I1002,MATCH(F$3,Spells!$A$1:$I$1,0),FALSE))</f>
        <v/>
      </c>
      <c r="G746" s="49" t="str">
        <f>IFNA(VLOOKUP($A746,Spells!$A$2:$I1002,MATCH(G$3,Spells!$A$1:$I$1,0),FALSE))</f>
        <v/>
      </c>
      <c r="H746" s="49" t="str">
        <f>IFNA(VLOOKUP($A746,Spells!$A$2:$I1002,MATCH(H$3,Spells!$A$1:$I$1,0),FALSE))</f>
        <v/>
      </c>
    </row>
    <row r="747">
      <c r="A747" s="49"/>
      <c r="B747" s="49" t="str">
        <f>IFNA(VLOOKUP($A747,Spells!$A$2:$I1002,MATCH(B$3,Spells!$A$1:$I$1,0),FALSE))</f>
        <v/>
      </c>
      <c r="C747" s="49" t="str">
        <f>IFNA(VLOOKUP($A747,Spells!$A$2:$I1002,MATCH(C$3,Spells!$A$1:$I$1,0),FALSE))</f>
        <v/>
      </c>
      <c r="D747" s="49" t="str">
        <f>IFNA(VLOOKUP($A747,Spells!$A$2:$I1002,MATCH(D$3,Spells!$A$1:$I$1,0),FALSE))</f>
        <v/>
      </c>
      <c r="E747" s="49" t="str">
        <f>IFNA(VLOOKUP($A747,Spells!$A$2:$I1002,MATCH(E$3,Spells!$A$1:$I$1,0),FALSE))</f>
        <v/>
      </c>
      <c r="F747" s="49" t="str">
        <f>IFNA(VLOOKUP($A747,Spells!$A$2:$I1002,MATCH(F$3,Spells!$A$1:$I$1,0),FALSE))</f>
        <v/>
      </c>
      <c r="G747" s="49" t="str">
        <f>IFNA(VLOOKUP($A747,Spells!$A$2:$I1002,MATCH(G$3,Spells!$A$1:$I$1,0),FALSE))</f>
        <v/>
      </c>
      <c r="H747" s="49" t="str">
        <f>IFNA(VLOOKUP($A747,Spells!$A$2:$I1002,MATCH(H$3,Spells!$A$1:$I$1,0),FALSE))</f>
        <v/>
      </c>
    </row>
    <row r="748">
      <c r="A748" s="49"/>
      <c r="B748" s="49" t="str">
        <f>IFNA(VLOOKUP($A748,Spells!$A$2:$I1002,MATCH(B$3,Spells!$A$1:$I$1,0),FALSE))</f>
        <v/>
      </c>
      <c r="C748" s="49" t="str">
        <f>IFNA(VLOOKUP($A748,Spells!$A$2:$I1002,MATCH(C$3,Spells!$A$1:$I$1,0),FALSE))</f>
        <v/>
      </c>
      <c r="D748" s="49" t="str">
        <f>IFNA(VLOOKUP($A748,Spells!$A$2:$I1002,MATCH(D$3,Spells!$A$1:$I$1,0),FALSE))</f>
        <v/>
      </c>
      <c r="E748" s="49" t="str">
        <f>IFNA(VLOOKUP($A748,Spells!$A$2:$I1002,MATCH(E$3,Spells!$A$1:$I$1,0),FALSE))</f>
        <v/>
      </c>
      <c r="F748" s="49" t="str">
        <f>IFNA(VLOOKUP($A748,Spells!$A$2:$I1002,MATCH(F$3,Spells!$A$1:$I$1,0),FALSE))</f>
        <v/>
      </c>
      <c r="G748" s="49" t="str">
        <f>IFNA(VLOOKUP($A748,Spells!$A$2:$I1002,MATCH(G$3,Spells!$A$1:$I$1,0),FALSE))</f>
        <v/>
      </c>
      <c r="H748" s="49" t="str">
        <f>IFNA(VLOOKUP($A748,Spells!$A$2:$I1002,MATCH(H$3,Spells!$A$1:$I$1,0),FALSE))</f>
        <v/>
      </c>
    </row>
    <row r="749">
      <c r="A749" s="49"/>
      <c r="B749" s="49" t="str">
        <f>IFNA(VLOOKUP($A749,Spells!$A$2:$I1002,MATCH(B$3,Spells!$A$1:$I$1,0),FALSE))</f>
        <v/>
      </c>
      <c r="C749" s="49" t="str">
        <f>IFNA(VLOOKUP($A749,Spells!$A$2:$I1002,MATCH(C$3,Spells!$A$1:$I$1,0),FALSE))</f>
        <v/>
      </c>
      <c r="D749" s="49" t="str">
        <f>IFNA(VLOOKUP($A749,Spells!$A$2:$I1002,MATCH(D$3,Spells!$A$1:$I$1,0),FALSE))</f>
        <v/>
      </c>
      <c r="E749" s="49" t="str">
        <f>IFNA(VLOOKUP($A749,Spells!$A$2:$I1002,MATCH(E$3,Spells!$A$1:$I$1,0),FALSE))</f>
        <v/>
      </c>
      <c r="F749" s="49" t="str">
        <f>IFNA(VLOOKUP($A749,Spells!$A$2:$I1002,MATCH(F$3,Spells!$A$1:$I$1,0),FALSE))</f>
        <v/>
      </c>
      <c r="G749" s="49" t="str">
        <f>IFNA(VLOOKUP($A749,Spells!$A$2:$I1002,MATCH(G$3,Spells!$A$1:$I$1,0),FALSE))</f>
        <v/>
      </c>
      <c r="H749" s="49" t="str">
        <f>IFNA(VLOOKUP($A749,Spells!$A$2:$I1002,MATCH(H$3,Spells!$A$1:$I$1,0),FALSE))</f>
        <v/>
      </c>
    </row>
    <row r="750">
      <c r="A750" s="49"/>
      <c r="B750" s="49" t="str">
        <f>IFNA(VLOOKUP($A750,Spells!$A$2:$I1002,MATCH(B$3,Spells!$A$1:$I$1,0),FALSE))</f>
        <v/>
      </c>
      <c r="C750" s="49" t="str">
        <f>IFNA(VLOOKUP($A750,Spells!$A$2:$I1002,MATCH(C$3,Spells!$A$1:$I$1,0),FALSE))</f>
        <v/>
      </c>
      <c r="D750" s="49" t="str">
        <f>IFNA(VLOOKUP($A750,Spells!$A$2:$I1002,MATCH(D$3,Spells!$A$1:$I$1,0),FALSE))</f>
        <v/>
      </c>
      <c r="E750" s="49" t="str">
        <f>IFNA(VLOOKUP($A750,Spells!$A$2:$I1002,MATCH(E$3,Spells!$A$1:$I$1,0),FALSE))</f>
        <v/>
      </c>
      <c r="F750" s="49" t="str">
        <f>IFNA(VLOOKUP($A750,Spells!$A$2:$I1002,MATCH(F$3,Spells!$A$1:$I$1,0),FALSE))</f>
        <v/>
      </c>
      <c r="G750" s="49" t="str">
        <f>IFNA(VLOOKUP($A750,Spells!$A$2:$I1002,MATCH(G$3,Spells!$A$1:$I$1,0),FALSE))</f>
        <v/>
      </c>
      <c r="H750" s="49" t="str">
        <f>IFNA(VLOOKUP($A750,Spells!$A$2:$I1002,MATCH(H$3,Spells!$A$1:$I$1,0),FALSE))</f>
        <v/>
      </c>
    </row>
    <row r="751">
      <c r="A751" s="49"/>
      <c r="B751" s="49" t="str">
        <f>IFNA(VLOOKUP($A751,Spells!$A$2:$I1002,MATCH(B$3,Spells!$A$1:$I$1,0),FALSE))</f>
        <v/>
      </c>
      <c r="C751" s="49" t="str">
        <f>IFNA(VLOOKUP($A751,Spells!$A$2:$I1002,MATCH(C$3,Spells!$A$1:$I$1,0),FALSE))</f>
        <v/>
      </c>
      <c r="D751" s="49" t="str">
        <f>IFNA(VLOOKUP($A751,Spells!$A$2:$I1002,MATCH(D$3,Spells!$A$1:$I$1,0),FALSE))</f>
        <v/>
      </c>
      <c r="E751" s="49" t="str">
        <f>IFNA(VLOOKUP($A751,Spells!$A$2:$I1002,MATCH(E$3,Spells!$A$1:$I$1,0),FALSE))</f>
        <v/>
      </c>
      <c r="F751" s="49" t="str">
        <f>IFNA(VLOOKUP($A751,Spells!$A$2:$I1002,MATCH(F$3,Spells!$A$1:$I$1,0),FALSE))</f>
        <v/>
      </c>
      <c r="G751" s="49" t="str">
        <f>IFNA(VLOOKUP($A751,Spells!$A$2:$I1002,MATCH(G$3,Spells!$A$1:$I$1,0),FALSE))</f>
        <v/>
      </c>
      <c r="H751" s="49" t="str">
        <f>IFNA(VLOOKUP($A751,Spells!$A$2:$I1002,MATCH(H$3,Spells!$A$1:$I$1,0),FALSE))</f>
        <v/>
      </c>
    </row>
    <row r="752">
      <c r="A752" s="49"/>
      <c r="B752" s="49" t="str">
        <f>IFNA(VLOOKUP($A752,Spells!$A$2:$I1002,MATCH(B$3,Spells!$A$1:$I$1,0),FALSE))</f>
        <v/>
      </c>
      <c r="C752" s="49" t="str">
        <f>IFNA(VLOOKUP($A752,Spells!$A$2:$I1002,MATCH(C$3,Spells!$A$1:$I$1,0),FALSE))</f>
        <v/>
      </c>
      <c r="D752" s="49" t="str">
        <f>IFNA(VLOOKUP($A752,Spells!$A$2:$I1002,MATCH(D$3,Spells!$A$1:$I$1,0),FALSE))</f>
        <v/>
      </c>
      <c r="E752" s="49" t="str">
        <f>IFNA(VLOOKUP($A752,Spells!$A$2:$I1002,MATCH(E$3,Spells!$A$1:$I$1,0),FALSE))</f>
        <v/>
      </c>
      <c r="F752" s="49" t="str">
        <f>IFNA(VLOOKUP($A752,Spells!$A$2:$I1002,MATCH(F$3,Spells!$A$1:$I$1,0),FALSE))</f>
        <v/>
      </c>
      <c r="G752" s="49" t="str">
        <f>IFNA(VLOOKUP($A752,Spells!$A$2:$I1002,MATCH(G$3,Spells!$A$1:$I$1,0),FALSE))</f>
        <v/>
      </c>
      <c r="H752" s="49" t="str">
        <f>IFNA(VLOOKUP($A752,Spells!$A$2:$I1002,MATCH(H$3,Spells!$A$1:$I$1,0),FALSE))</f>
        <v/>
      </c>
    </row>
    <row r="753">
      <c r="A753" s="49"/>
      <c r="B753" s="49" t="str">
        <f>IFNA(VLOOKUP($A753,Spells!$A$2:$I1002,MATCH(B$3,Spells!$A$1:$I$1,0),FALSE))</f>
        <v/>
      </c>
      <c r="C753" s="49" t="str">
        <f>IFNA(VLOOKUP($A753,Spells!$A$2:$I1002,MATCH(C$3,Spells!$A$1:$I$1,0),FALSE))</f>
        <v/>
      </c>
      <c r="D753" s="49" t="str">
        <f>IFNA(VLOOKUP($A753,Spells!$A$2:$I1002,MATCH(D$3,Spells!$A$1:$I$1,0),FALSE))</f>
        <v/>
      </c>
      <c r="E753" s="49" t="str">
        <f>IFNA(VLOOKUP($A753,Spells!$A$2:$I1002,MATCH(E$3,Spells!$A$1:$I$1,0),FALSE))</f>
        <v/>
      </c>
      <c r="F753" s="49" t="str">
        <f>IFNA(VLOOKUP($A753,Spells!$A$2:$I1002,MATCH(F$3,Spells!$A$1:$I$1,0),FALSE))</f>
        <v/>
      </c>
      <c r="G753" s="49" t="str">
        <f>IFNA(VLOOKUP($A753,Spells!$A$2:$I1002,MATCH(G$3,Spells!$A$1:$I$1,0),FALSE))</f>
        <v/>
      </c>
      <c r="H753" s="49" t="str">
        <f>IFNA(VLOOKUP($A753,Spells!$A$2:$I1002,MATCH(H$3,Spells!$A$1:$I$1,0),FALSE))</f>
        <v/>
      </c>
    </row>
    <row r="754">
      <c r="A754" s="49"/>
      <c r="B754" s="49" t="str">
        <f>IFNA(VLOOKUP($A754,Spells!$A$2:$I1002,MATCH(B$3,Spells!$A$1:$I$1,0),FALSE))</f>
        <v/>
      </c>
      <c r="C754" s="49" t="str">
        <f>IFNA(VLOOKUP($A754,Spells!$A$2:$I1002,MATCH(C$3,Spells!$A$1:$I$1,0),FALSE))</f>
        <v/>
      </c>
      <c r="D754" s="49" t="str">
        <f>IFNA(VLOOKUP($A754,Spells!$A$2:$I1002,MATCH(D$3,Spells!$A$1:$I$1,0),FALSE))</f>
        <v/>
      </c>
      <c r="E754" s="49" t="str">
        <f>IFNA(VLOOKUP($A754,Spells!$A$2:$I1002,MATCH(E$3,Spells!$A$1:$I$1,0),FALSE))</f>
        <v/>
      </c>
      <c r="F754" s="49" t="str">
        <f>IFNA(VLOOKUP($A754,Spells!$A$2:$I1002,MATCH(F$3,Spells!$A$1:$I$1,0),FALSE))</f>
        <v/>
      </c>
      <c r="G754" s="49" t="str">
        <f>IFNA(VLOOKUP($A754,Spells!$A$2:$I1002,MATCH(G$3,Spells!$A$1:$I$1,0),FALSE))</f>
        <v/>
      </c>
      <c r="H754" s="49" t="str">
        <f>IFNA(VLOOKUP($A754,Spells!$A$2:$I1002,MATCH(H$3,Spells!$A$1:$I$1,0),FALSE))</f>
        <v/>
      </c>
    </row>
    <row r="755">
      <c r="A755" s="49"/>
      <c r="B755" s="49" t="str">
        <f>IFNA(VLOOKUP($A755,Spells!$A$2:$I1002,MATCH(B$3,Spells!$A$1:$I$1,0),FALSE))</f>
        <v/>
      </c>
      <c r="C755" s="49" t="str">
        <f>IFNA(VLOOKUP($A755,Spells!$A$2:$I1002,MATCH(C$3,Spells!$A$1:$I$1,0),FALSE))</f>
        <v/>
      </c>
      <c r="D755" s="49" t="str">
        <f>IFNA(VLOOKUP($A755,Spells!$A$2:$I1002,MATCH(D$3,Spells!$A$1:$I$1,0),FALSE))</f>
        <v/>
      </c>
      <c r="E755" s="49" t="str">
        <f>IFNA(VLOOKUP($A755,Spells!$A$2:$I1002,MATCH(E$3,Spells!$A$1:$I$1,0),FALSE))</f>
        <v/>
      </c>
      <c r="F755" s="49" t="str">
        <f>IFNA(VLOOKUP($A755,Spells!$A$2:$I1002,MATCH(F$3,Spells!$A$1:$I$1,0),FALSE))</f>
        <v/>
      </c>
      <c r="G755" s="49" t="str">
        <f>IFNA(VLOOKUP($A755,Spells!$A$2:$I1002,MATCH(G$3,Spells!$A$1:$I$1,0),FALSE))</f>
        <v/>
      </c>
      <c r="H755" s="49" t="str">
        <f>IFNA(VLOOKUP($A755,Spells!$A$2:$I1002,MATCH(H$3,Spells!$A$1:$I$1,0),FALSE))</f>
        <v/>
      </c>
    </row>
    <row r="756">
      <c r="A756" s="49"/>
      <c r="B756" s="49" t="str">
        <f>IFNA(VLOOKUP($A756,Spells!$A$2:$I1002,MATCH(B$3,Spells!$A$1:$I$1,0),FALSE))</f>
        <v/>
      </c>
      <c r="C756" s="49" t="str">
        <f>IFNA(VLOOKUP($A756,Spells!$A$2:$I1002,MATCH(C$3,Spells!$A$1:$I$1,0),FALSE))</f>
        <v/>
      </c>
      <c r="D756" s="49" t="str">
        <f>IFNA(VLOOKUP($A756,Spells!$A$2:$I1002,MATCH(D$3,Spells!$A$1:$I$1,0),FALSE))</f>
        <v/>
      </c>
      <c r="E756" s="49" t="str">
        <f>IFNA(VLOOKUP($A756,Spells!$A$2:$I1002,MATCH(E$3,Spells!$A$1:$I$1,0),FALSE))</f>
        <v/>
      </c>
      <c r="F756" s="49" t="str">
        <f>IFNA(VLOOKUP($A756,Spells!$A$2:$I1002,MATCH(F$3,Spells!$A$1:$I$1,0),FALSE))</f>
        <v/>
      </c>
      <c r="G756" s="49" t="str">
        <f>IFNA(VLOOKUP($A756,Spells!$A$2:$I1002,MATCH(G$3,Spells!$A$1:$I$1,0),FALSE))</f>
        <v/>
      </c>
      <c r="H756" s="49" t="str">
        <f>IFNA(VLOOKUP($A756,Spells!$A$2:$I1002,MATCH(H$3,Spells!$A$1:$I$1,0),FALSE))</f>
        <v/>
      </c>
    </row>
    <row r="757">
      <c r="A757" s="49"/>
      <c r="B757" s="49" t="str">
        <f>IFNA(VLOOKUP($A757,Spells!$A$2:$I1002,MATCH(B$3,Spells!$A$1:$I$1,0),FALSE))</f>
        <v/>
      </c>
      <c r="C757" s="49" t="str">
        <f>IFNA(VLOOKUP($A757,Spells!$A$2:$I1002,MATCH(C$3,Spells!$A$1:$I$1,0),FALSE))</f>
        <v/>
      </c>
      <c r="D757" s="49" t="str">
        <f>IFNA(VLOOKUP($A757,Spells!$A$2:$I1002,MATCH(D$3,Spells!$A$1:$I$1,0),FALSE))</f>
        <v/>
      </c>
      <c r="E757" s="49" t="str">
        <f>IFNA(VLOOKUP($A757,Spells!$A$2:$I1002,MATCH(E$3,Spells!$A$1:$I$1,0),FALSE))</f>
        <v/>
      </c>
      <c r="F757" s="49" t="str">
        <f>IFNA(VLOOKUP($A757,Spells!$A$2:$I1002,MATCH(F$3,Spells!$A$1:$I$1,0),FALSE))</f>
        <v/>
      </c>
      <c r="G757" s="49" t="str">
        <f>IFNA(VLOOKUP($A757,Spells!$A$2:$I1002,MATCH(G$3,Spells!$A$1:$I$1,0),FALSE))</f>
        <v/>
      </c>
      <c r="H757" s="49" t="str">
        <f>IFNA(VLOOKUP($A757,Spells!$A$2:$I1002,MATCH(H$3,Spells!$A$1:$I$1,0),FALSE))</f>
        <v/>
      </c>
    </row>
    <row r="758">
      <c r="A758" s="49"/>
      <c r="B758" s="49" t="str">
        <f>IFNA(VLOOKUP($A758,Spells!$A$2:$I1002,MATCH(B$3,Spells!$A$1:$I$1,0),FALSE))</f>
        <v/>
      </c>
      <c r="C758" s="49" t="str">
        <f>IFNA(VLOOKUP($A758,Spells!$A$2:$I1002,MATCH(C$3,Spells!$A$1:$I$1,0),FALSE))</f>
        <v/>
      </c>
      <c r="D758" s="49" t="str">
        <f>IFNA(VLOOKUP($A758,Spells!$A$2:$I1002,MATCH(D$3,Spells!$A$1:$I$1,0),FALSE))</f>
        <v/>
      </c>
      <c r="E758" s="49" t="str">
        <f>IFNA(VLOOKUP($A758,Spells!$A$2:$I1002,MATCH(E$3,Spells!$A$1:$I$1,0),FALSE))</f>
        <v/>
      </c>
      <c r="F758" s="49" t="str">
        <f>IFNA(VLOOKUP($A758,Spells!$A$2:$I1002,MATCH(F$3,Spells!$A$1:$I$1,0),FALSE))</f>
        <v/>
      </c>
      <c r="G758" s="49" t="str">
        <f>IFNA(VLOOKUP($A758,Spells!$A$2:$I1002,MATCH(G$3,Spells!$A$1:$I$1,0),FALSE))</f>
        <v/>
      </c>
      <c r="H758" s="49" t="str">
        <f>IFNA(VLOOKUP($A758,Spells!$A$2:$I1002,MATCH(H$3,Spells!$A$1:$I$1,0),FALSE))</f>
        <v/>
      </c>
    </row>
    <row r="759">
      <c r="A759" s="49"/>
      <c r="B759" s="49" t="str">
        <f>IFNA(VLOOKUP($A759,Spells!$A$2:$I1002,MATCH(B$3,Spells!$A$1:$I$1,0),FALSE))</f>
        <v/>
      </c>
      <c r="C759" s="49" t="str">
        <f>IFNA(VLOOKUP($A759,Spells!$A$2:$I1002,MATCH(C$3,Spells!$A$1:$I$1,0),FALSE))</f>
        <v/>
      </c>
      <c r="D759" s="49" t="str">
        <f>IFNA(VLOOKUP($A759,Spells!$A$2:$I1002,MATCH(D$3,Spells!$A$1:$I$1,0),FALSE))</f>
        <v/>
      </c>
      <c r="E759" s="49" t="str">
        <f>IFNA(VLOOKUP($A759,Spells!$A$2:$I1002,MATCH(E$3,Spells!$A$1:$I$1,0),FALSE))</f>
        <v/>
      </c>
      <c r="F759" s="49" t="str">
        <f>IFNA(VLOOKUP($A759,Spells!$A$2:$I1002,MATCH(F$3,Spells!$A$1:$I$1,0),FALSE))</f>
        <v/>
      </c>
      <c r="G759" s="49" t="str">
        <f>IFNA(VLOOKUP($A759,Spells!$A$2:$I1002,MATCH(G$3,Spells!$A$1:$I$1,0),FALSE))</f>
        <v/>
      </c>
      <c r="H759" s="49" t="str">
        <f>IFNA(VLOOKUP($A759,Spells!$A$2:$I1002,MATCH(H$3,Spells!$A$1:$I$1,0),FALSE))</f>
        <v/>
      </c>
    </row>
    <row r="760">
      <c r="A760" s="49"/>
      <c r="B760" s="49" t="str">
        <f>IFNA(VLOOKUP($A760,Spells!$A$2:$I1002,MATCH(B$3,Spells!$A$1:$I$1,0),FALSE))</f>
        <v/>
      </c>
      <c r="C760" s="49" t="str">
        <f>IFNA(VLOOKUP($A760,Spells!$A$2:$I1002,MATCH(C$3,Spells!$A$1:$I$1,0),FALSE))</f>
        <v/>
      </c>
      <c r="D760" s="49" t="str">
        <f>IFNA(VLOOKUP($A760,Spells!$A$2:$I1002,MATCH(D$3,Spells!$A$1:$I$1,0),FALSE))</f>
        <v/>
      </c>
      <c r="E760" s="49" t="str">
        <f>IFNA(VLOOKUP($A760,Spells!$A$2:$I1002,MATCH(E$3,Spells!$A$1:$I$1,0),FALSE))</f>
        <v/>
      </c>
      <c r="F760" s="49" t="str">
        <f>IFNA(VLOOKUP($A760,Spells!$A$2:$I1002,MATCH(F$3,Spells!$A$1:$I$1,0),FALSE))</f>
        <v/>
      </c>
      <c r="G760" s="49" t="str">
        <f>IFNA(VLOOKUP($A760,Spells!$A$2:$I1002,MATCH(G$3,Spells!$A$1:$I$1,0),FALSE))</f>
        <v/>
      </c>
      <c r="H760" s="49" t="str">
        <f>IFNA(VLOOKUP($A760,Spells!$A$2:$I1002,MATCH(H$3,Spells!$A$1:$I$1,0),FALSE))</f>
        <v/>
      </c>
    </row>
    <row r="761">
      <c r="A761" s="49"/>
      <c r="B761" s="49" t="str">
        <f>IFNA(VLOOKUP($A761,Spells!$A$2:$I1002,MATCH(B$3,Spells!$A$1:$I$1,0),FALSE))</f>
        <v/>
      </c>
      <c r="C761" s="49" t="str">
        <f>IFNA(VLOOKUP($A761,Spells!$A$2:$I1002,MATCH(C$3,Spells!$A$1:$I$1,0),FALSE))</f>
        <v/>
      </c>
      <c r="D761" s="49" t="str">
        <f>IFNA(VLOOKUP($A761,Spells!$A$2:$I1002,MATCH(D$3,Spells!$A$1:$I$1,0),FALSE))</f>
        <v/>
      </c>
      <c r="E761" s="49" t="str">
        <f>IFNA(VLOOKUP($A761,Spells!$A$2:$I1002,MATCH(E$3,Spells!$A$1:$I$1,0),FALSE))</f>
        <v/>
      </c>
      <c r="F761" s="49" t="str">
        <f>IFNA(VLOOKUP($A761,Spells!$A$2:$I1002,MATCH(F$3,Spells!$A$1:$I$1,0),FALSE))</f>
        <v/>
      </c>
      <c r="G761" s="49" t="str">
        <f>IFNA(VLOOKUP($A761,Spells!$A$2:$I1002,MATCH(G$3,Spells!$A$1:$I$1,0),FALSE))</f>
        <v/>
      </c>
      <c r="H761" s="49" t="str">
        <f>IFNA(VLOOKUP($A761,Spells!$A$2:$I1002,MATCH(H$3,Spells!$A$1:$I$1,0),FALSE))</f>
        <v/>
      </c>
    </row>
    <row r="762">
      <c r="A762" s="49"/>
      <c r="B762" s="49" t="str">
        <f>IFNA(VLOOKUP($A762,Spells!$A$2:$I1002,MATCH(B$3,Spells!$A$1:$I$1,0),FALSE))</f>
        <v/>
      </c>
      <c r="C762" s="49" t="str">
        <f>IFNA(VLOOKUP($A762,Spells!$A$2:$I1002,MATCH(C$3,Spells!$A$1:$I$1,0),FALSE))</f>
        <v/>
      </c>
      <c r="D762" s="49" t="str">
        <f>IFNA(VLOOKUP($A762,Spells!$A$2:$I1002,MATCH(D$3,Spells!$A$1:$I$1,0),FALSE))</f>
        <v/>
      </c>
      <c r="E762" s="49" t="str">
        <f>IFNA(VLOOKUP($A762,Spells!$A$2:$I1002,MATCH(E$3,Spells!$A$1:$I$1,0),FALSE))</f>
        <v/>
      </c>
      <c r="F762" s="49" t="str">
        <f>IFNA(VLOOKUP($A762,Spells!$A$2:$I1002,MATCH(F$3,Spells!$A$1:$I$1,0),FALSE))</f>
        <v/>
      </c>
      <c r="G762" s="49" t="str">
        <f>IFNA(VLOOKUP($A762,Spells!$A$2:$I1002,MATCH(G$3,Spells!$A$1:$I$1,0),FALSE))</f>
        <v/>
      </c>
      <c r="H762" s="49" t="str">
        <f>IFNA(VLOOKUP($A762,Spells!$A$2:$I1002,MATCH(H$3,Spells!$A$1:$I$1,0),FALSE))</f>
        <v/>
      </c>
    </row>
    <row r="763">
      <c r="A763" s="49"/>
      <c r="B763" s="49" t="str">
        <f>IFNA(VLOOKUP($A763,Spells!$A$2:$I1002,MATCH(B$3,Spells!$A$1:$I$1,0),FALSE))</f>
        <v/>
      </c>
      <c r="C763" s="49" t="str">
        <f>IFNA(VLOOKUP($A763,Spells!$A$2:$I1002,MATCH(C$3,Spells!$A$1:$I$1,0),FALSE))</f>
        <v/>
      </c>
      <c r="D763" s="49" t="str">
        <f>IFNA(VLOOKUP($A763,Spells!$A$2:$I1002,MATCH(D$3,Spells!$A$1:$I$1,0),FALSE))</f>
        <v/>
      </c>
      <c r="E763" s="49" t="str">
        <f>IFNA(VLOOKUP($A763,Spells!$A$2:$I1002,MATCH(E$3,Spells!$A$1:$I$1,0),FALSE))</f>
        <v/>
      </c>
      <c r="F763" s="49" t="str">
        <f>IFNA(VLOOKUP($A763,Spells!$A$2:$I1002,MATCH(F$3,Spells!$A$1:$I$1,0),FALSE))</f>
        <v/>
      </c>
      <c r="G763" s="49" t="str">
        <f>IFNA(VLOOKUP($A763,Spells!$A$2:$I1002,MATCH(G$3,Spells!$A$1:$I$1,0),FALSE))</f>
        <v/>
      </c>
      <c r="H763" s="49" t="str">
        <f>IFNA(VLOOKUP($A763,Spells!$A$2:$I1002,MATCH(H$3,Spells!$A$1:$I$1,0),FALSE))</f>
        <v/>
      </c>
    </row>
    <row r="764">
      <c r="A764" s="49"/>
      <c r="B764" s="49" t="str">
        <f>IFNA(VLOOKUP($A764,Spells!$A$2:$I1002,MATCH(B$3,Spells!$A$1:$I$1,0),FALSE))</f>
        <v/>
      </c>
      <c r="C764" s="49" t="str">
        <f>IFNA(VLOOKUP($A764,Spells!$A$2:$I1002,MATCH(C$3,Spells!$A$1:$I$1,0),FALSE))</f>
        <v/>
      </c>
      <c r="D764" s="49" t="str">
        <f>IFNA(VLOOKUP($A764,Spells!$A$2:$I1002,MATCH(D$3,Spells!$A$1:$I$1,0),FALSE))</f>
        <v/>
      </c>
      <c r="E764" s="49" t="str">
        <f>IFNA(VLOOKUP($A764,Spells!$A$2:$I1002,MATCH(E$3,Spells!$A$1:$I$1,0),FALSE))</f>
        <v/>
      </c>
      <c r="F764" s="49" t="str">
        <f>IFNA(VLOOKUP($A764,Spells!$A$2:$I1002,MATCH(F$3,Spells!$A$1:$I$1,0),FALSE))</f>
        <v/>
      </c>
      <c r="G764" s="49" t="str">
        <f>IFNA(VLOOKUP($A764,Spells!$A$2:$I1002,MATCH(G$3,Spells!$A$1:$I$1,0),FALSE))</f>
        <v/>
      </c>
      <c r="H764" s="49" t="str">
        <f>IFNA(VLOOKUP($A764,Spells!$A$2:$I1002,MATCH(H$3,Spells!$A$1:$I$1,0),FALSE))</f>
        <v/>
      </c>
    </row>
    <row r="765">
      <c r="A765" s="49"/>
      <c r="B765" s="49" t="str">
        <f>IFNA(VLOOKUP($A765,Spells!$A$2:$I1002,MATCH(B$3,Spells!$A$1:$I$1,0),FALSE))</f>
        <v/>
      </c>
      <c r="C765" s="49" t="str">
        <f>IFNA(VLOOKUP($A765,Spells!$A$2:$I1002,MATCH(C$3,Spells!$A$1:$I$1,0),FALSE))</f>
        <v/>
      </c>
      <c r="D765" s="49" t="str">
        <f>IFNA(VLOOKUP($A765,Spells!$A$2:$I1002,MATCH(D$3,Spells!$A$1:$I$1,0),FALSE))</f>
        <v/>
      </c>
      <c r="E765" s="49" t="str">
        <f>IFNA(VLOOKUP($A765,Spells!$A$2:$I1002,MATCH(E$3,Spells!$A$1:$I$1,0),FALSE))</f>
        <v/>
      </c>
      <c r="F765" s="49" t="str">
        <f>IFNA(VLOOKUP($A765,Spells!$A$2:$I1002,MATCH(F$3,Spells!$A$1:$I$1,0),FALSE))</f>
        <v/>
      </c>
      <c r="G765" s="49" t="str">
        <f>IFNA(VLOOKUP($A765,Spells!$A$2:$I1002,MATCH(G$3,Spells!$A$1:$I$1,0),FALSE))</f>
        <v/>
      </c>
      <c r="H765" s="49" t="str">
        <f>IFNA(VLOOKUP($A765,Spells!$A$2:$I1002,MATCH(H$3,Spells!$A$1:$I$1,0),FALSE))</f>
        <v/>
      </c>
    </row>
    <row r="766">
      <c r="A766" s="49"/>
      <c r="B766" s="49" t="str">
        <f>IFNA(VLOOKUP($A766,Spells!$A$2:$I1002,MATCH(B$3,Spells!$A$1:$I$1,0),FALSE))</f>
        <v/>
      </c>
      <c r="C766" s="49" t="str">
        <f>IFNA(VLOOKUP($A766,Spells!$A$2:$I1002,MATCH(C$3,Spells!$A$1:$I$1,0),FALSE))</f>
        <v/>
      </c>
      <c r="D766" s="49" t="str">
        <f>IFNA(VLOOKUP($A766,Spells!$A$2:$I1002,MATCH(D$3,Spells!$A$1:$I$1,0),FALSE))</f>
        <v/>
      </c>
      <c r="E766" s="49" t="str">
        <f>IFNA(VLOOKUP($A766,Spells!$A$2:$I1002,MATCH(E$3,Spells!$A$1:$I$1,0),FALSE))</f>
        <v/>
      </c>
      <c r="F766" s="49" t="str">
        <f>IFNA(VLOOKUP($A766,Spells!$A$2:$I1002,MATCH(F$3,Spells!$A$1:$I$1,0),FALSE))</f>
        <v/>
      </c>
      <c r="G766" s="49" t="str">
        <f>IFNA(VLOOKUP($A766,Spells!$A$2:$I1002,MATCH(G$3,Spells!$A$1:$I$1,0),FALSE))</f>
        <v/>
      </c>
      <c r="H766" s="49" t="str">
        <f>IFNA(VLOOKUP($A766,Spells!$A$2:$I1002,MATCH(H$3,Spells!$A$1:$I$1,0),FALSE))</f>
        <v/>
      </c>
    </row>
    <row r="767">
      <c r="A767" s="49"/>
      <c r="B767" s="49" t="str">
        <f>IFNA(VLOOKUP($A767,Spells!$A$2:$I1002,MATCH(B$3,Spells!$A$1:$I$1,0),FALSE))</f>
        <v/>
      </c>
      <c r="C767" s="49" t="str">
        <f>IFNA(VLOOKUP($A767,Spells!$A$2:$I1002,MATCH(C$3,Spells!$A$1:$I$1,0),FALSE))</f>
        <v/>
      </c>
      <c r="D767" s="49" t="str">
        <f>IFNA(VLOOKUP($A767,Spells!$A$2:$I1002,MATCH(D$3,Spells!$A$1:$I$1,0),FALSE))</f>
        <v/>
      </c>
      <c r="E767" s="49" t="str">
        <f>IFNA(VLOOKUP($A767,Spells!$A$2:$I1002,MATCH(E$3,Spells!$A$1:$I$1,0),FALSE))</f>
        <v/>
      </c>
      <c r="F767" s="49" t="str">
        <f>IFNA(VLOOKUP($A767,Spells!$A$2:$I1002,MATCH(F$3,Spells!$A$1:$I$1,0),FALSE))</f>
        <v/>
      </c>
      <c r="G767" s="49" t="str">
        <f>IFNA(VLOOKUP($A767,Spells!$A$2:$I1002,MATCH(G$3,Spells!$A$1:$I$1,0),FALSE))</f>
        <v/>
      </c>
      <c r="H767" s="49" t="str">
        <f>IFNA(VLOOKUP($A767,Spells!$A$2:$I1002,MATCH(H$3,Spells!$A$1:$I$1,0),FALSE))</f>
        <v/>
      </c>
    </row>
    <row r="768">
      <c r="A768" s="49"/>
      <c r="B768" s="49" t="str">
        <f>IFNA(VLOOKUP($A768,Spells!$A$2:$I1002,MATCH(B$3,Spells!$A$1:$I$1,0),FALSE))</f>
        <v/>
      </c>
      <c r="C768" s="49" t="str">
        <f>IFNA(VLOOKUP($A768,Spells!$A$2:$I1002,MATCH(C$3,Spells!$A$1:$I$1,0),FALSE))</f>
        <v/>
      </c>
      <c r="D768" s="49" t="str">
        <f>IFNA(VLOOKUP($A768,Spells!$A$2:$I1002,MATCH(D$3,Spells!$A$1:$I$1,0),FALSE))</f>
        <v/>
      </c>
      <c r="E768" s="49" t="str">
        <f>IFNA(VLOOKUP($A768,Spells!$A$2:$I1002,MATCH(E$3,Spells!$A$1:$I$1,0),FALSE))</f>
        <v/>
      </c>
      <c r="F768" s="49" t="str">
        <f>IFNA(VLOOKUP($A768,Spells!$A$2:$I1002,MATCH(F$3,Spells!$A$1:$I$1,0),FALSE))</f>
        <v/>
      </c>
      <c r="G768" s="49" t="str">
        <f>IFNA(VLOOKUP($A768,Spells!$A$2:$I1002,MATCH(G$3,Spells!$A$1:$I$1,0),FALSE))</f>
        <v/>
      </c>
      <c r="H768" s="49" t="str">
        <f>IFNA(VLOOKUP($A768,Spells!$A$2:$I1002,MATCH(H$3,Spells!$A$1:$I$1,0),FALSE))</f>
        <v/>
      </c>
    </row>
    <row r="769">
      <c r="A769" s="49"/>
      <c r="B769" s="49" t="str">
        <f>IFNA(VLOOKUP($A769,Spells!$A$2:$I1002,MATCH(B$3,Spells!$A$1:$I$1,0),FALSE))</f>
        <v/>
      </c>
      <c r="C769" s="49" t="str">
        <f>IFNA(VLOOKUP($A769,Spells!$A$2:$I1002,MATCH(C$3,Spells!$A$1:$I$1,0),FALSE))</f>
        <v/>
      </c>
      <c r="D769" s="49" t="str">
        <f>IFNA(VLOOKUP($A769,Spells!$A$2:$I1002,MATCH(D$3,Spells!$A$1:$I$1,0),FALSE))</f>
        <v/>
      </c>
      <c r="E769" s="49" t="str">
        <f>IFNA(VLOOKUP($A769,Spells!$A$2:$I1002,MATCH(E$3,Spells!$A$1:$I$1,0),FALSE))</f>
        <v/>
      </c>
      <c r="F769" s="49" t="str">
        <f>IFNA(VLOOKUP($A769,Spells!$A$2:$I1002,MATCH(F$3,Spells!$A$1:$I$1,0),FALSE))</f>
        <v/>
      </c>
      <c r="G769" s="49" t="str">
        <f>IFNA(VLOOKUP($A769,Spells!$A$2:$I1002,MATCH(G$3,Spells!$A$1:$I$1,0),FALSE))</f>
        <v/>
      </c>
      <c r="H769" s="49" t="str">
        <f>IFNA(VLOOKUP($A769,Spells!$A$2:$I1002,MATCH(H$3,Spells!$A$1:$I$1,0),FALSE))</f>
        <v/>
      </c>
    </row>
    <row r="770">
      <c r="A770" s="49"/>
      <c r="B770" s="49" t="str">
        <f>IFNA(VLOOKUP($A770,Spells!$A$2:$I1002,MATCH(B$3,Spells!$A$1:$I$1,0),FALSE))</f>
        <v/>
      </c>
      <c r="C770" s="49" t="str">
        <f>IFNA(VLOOKUP($A770,Spells!$A$2:$I1002,MATCH(C$3,Spells!$A$1:$I$1,0),FALSE))</f>
        <v/>
      </c>
      <c r="D770" s="49" t="str">
        <f>IFNA(VLOOKUP($A770,Spells!$A$2:$I1002,MATCH(D$3,Spells!$A$1:$I$1,0),FALSE))</f>
        <v/>
      </c>
      <c r="E770" s="49" t="str">
        <f>IFNA(VLOOKUP($A770,Spells!$A$2:$I1002,MATCH(E$3,Spells!$A$1:$I$1,0),FALSE))</f>
        <v/>
      </c>
      <c r="F770" s="49" t="str">
        <f>IFNA(VLOOKUP($A770,Spells!$A$2:$I1002,MATCH(F$3,Spells!$A$1:$I$1,0),FALSE))</f>
        <v/>
      </c>
      <c r="G770" s="49" t="str">
        <f>IFNA(VLOOKUP($A770,Spells!$A$2:$I1002,MATCH(G$3,Spells!$A$1:$I$1,0),FALSE))</f>
        <v/>
      </c>
      <c r="H770" s="49" t="str">
        <f>IFNA(VLOOKUP($A770,Spells!$A$2:$I1002,MATCH(H$3,Spells!$A$1:$I$1,0),FALSE))</f>
        <v/>
      </c>
    </row>
    <row r="771">
      <c r="A771" s="49"/>
      <c r="B771" s="49" t="str">
        <f>IFNA(VLOOKUP($A771,Spells!$A$2:$I1002,MATCH(B$3,Spells!$A$1:$I$1,0),FALSE))</f>
        <v/>
      </c>
      <c r="C771" s="49" t="str">
        <f>IFNA(VLOOKUP($A771,Spells!$A$2:$I1002,MATCH(C$3,Spells!$A$1:$I$1,0),FALSE))</f>
        <v/>
      </c>
      <c r="D771" s="49" t="str">
        <f>IFNA(VLOOKUP($A771,Spells!$A$2:$I1002,MATCH(D$3,Spells!$A$1:$I$1,0),FALSE))</f>
        <v/>
      </c>
      <c r="E771" s="49" t="str">
        <f>IFNA(VLOOKUP($A771,Spells!$A$2:$I1002,MATCH(E$3,Spells!$A$1:$I$1,0),FALSE))</f>
        <v/>
      </c>
      <c r="F771" s="49" t="str">
        <f>IFNA(VLOOKUP($A771,Spells!$A$2:$I1002,MATCH(F$3,Spells!$A$1:$I$1,0),FALSE))</f>
        <v/>
      </c>
      <c r="G771" s="49" t="str">
        <f>IFNA(VLOOKUP($A771,Spells!$A$2:$I1002,MATCH(G$3,Spells!$A$1:$I$1,0),FALSE))</f>
        <v/>
      </c>
      <c r="H771" s="49" t="str">
        <f>IFNA(VLOOKUP($A771,Spells!$A$2:$I1002,MATCH(H$3,Spells!$A$1:$I$1,0),FALSE))</f>
        <v/>
      </c>
    </row>
    <row r="772">
      <c r="A772" s="49"/>
      <c r="B772" s="49" t="str">
        <f>IFNA(VLOOKUP($A772,Spells!$A$2:$I1002,MATCH(B$3,Spells!$A$1:$I$1,0),FALSE))</f>
        <v/>
      </c>
      <c r="C772" s="49" t="str">
        <f>IFNA(VLOOKUP($A772,Spells!$A$2:$I1002,MATCH(C$3,Spells!$A$1:$I$1,0),FALSE))</f>
        <v/>
      </c>
      <c r="D772" s="49" t="str">
        <f>IFNA(VLOOKUP($A772,Spells!$A$2:$I1002,MATCH(D$3,Spells!$A$1:$I$1,0),FALSE))</f>
        <v/>
      </c>
      <c r="E772" s="49" t="str">
        <f>IFNA(VLOOKUP($A772,Spells!$A$2:$I1002,MATCH(E$3,Spells!$A$1:$I$1,0),FALSE))</f>
        <v/>
      </c>
      <c r="F772" s="49" t="str">
        <f>IFNA(VLOOKUP($A772,Spells!$A$2:$I1002,MATCH(F$3,Spells!$A$1:$I$1,0),FALSE))</f>
        <v/>
      </c>
      <c r="G772" s="49" t="str">
        <f>IFNA(VLOOKUP($A772,Spells!$A$2:$I1002,MATCH(G$3,Spells!$A$1:$I$1,0),FALSE))</f>
        <v/>
      </c>
      <c r="H772" s="49" t="str">
        <f>IFNA(VLOOKUP($A772,Spells!$A$2:$I1002,MATCH(H$3,Spells!$A$1:$I$1,0),FALSE))</f>
        <v/>
      </c>
    </row>
    <row r="773">
      <c r="A773" s="49"/>
      <c r="B773" s="49" t="str">
        <f>IFNA(VLOOKUP($A773,Spells!$A$2:$I1002,MATCH(B$3,Spells!$A$1:$I$1,0),FALSE))</f>
        <v/>
      </c>
      <c r="C773" s="49" t="str">
        <f>IFNA(VLOOKUP($A773,Spells!$A$2:$I1002,MATCH(C$3,Spells!$A$1:$I$1,0),FALSE))</f>
        <v/>
      </c>
      <c r="D773" s="49" t="str">
        <f>IFNA(VLOOKUP($A773,Spells!$A$2:$I1002,MATCH(D$3,Spells!$A$1:$I$1,0),FALSE))</f>
        <v/>
      </c>
      <c r="E773" s="49" t="str">
        <f>IFNA(VLOOKUP($A773,Spells!$A$2:$I1002,MATCH(E$3,Spells!$A$1:$I$1,0),FALSE))</f>
        <v/>
      </c>
      <c r="F773" s="49" t="str">
        <f>IFNA(VLOOKUP($A773,Spells!$A$2:$I1002,MATCH(F$3,Spells!$A$1:$I$1,0),FALSE))</f>
        <v/>
      </c>
      <c r="G773" s="49" t="str">
        <f>IFNA(VLOOKUP($A773,Spells!$A$2:$I1002,MATCH(G$3,Spells!$A$1:$I$1,0),FALSE))</f>
        <v/>
      </c>
      <c r="H773" s="49" t="str">
        <f>IFNA(VLOOKUP($A773,Spells!$A$2:$I1002,MATCH(H$3,Spells!$A$1:$I$1,0),FALSE))</f>
        <v/>
      </c>
    </row>
    <row r="774">
      <c r="A774" s="49"/>
      <c r="B774" s="49" t="str">
        <f>IFNA(VLOOKUP($A774,Spells!$A$2:$I1002,MATCH(B$3,Spells!$A$1:$I$1,0),FALSE))</f>
        <v/>
      </c>
      <c r="C774" s="49" t="str">
        <f>IFNA(VLOOKUP($A774,Spells!$A$2:$I1002,MATCH(C$3,Spells!$A$1:$I$1,0),FALSE))</f>
        <v/>
      </c>
      <c r="D774" s="49" t="str">
        <f>IFNA(VLOOKUP($A774,Spells!$A$2:$I1002,MATCH(D$3,Spells!$A$1:$I$1,0),FALSE))</f>
        <v/>
      </c>
      <c r="E774" s="49" t="str">
        <f>IFNA(VLOOKUP($A774,Spells!$A$2:$I1002,MATCH(E$3,Spells!$A$1:$I$1,0),FALSE))</f>
        <v/>
      </c>
      <c r="F774" s="49" t="str">
        <f>IFNA(VLOOKUP($A774,Spells!$A$2:$I1002,MATCH(F$3,Spells!$A$1:$I$1,0),FALSE))</f>
        <v/>
      </c>
      <c r="G774" s="49" t="str">
        <f>IFNA(VLOOKUP($A774,Spells!$A$2:$I1002,MATCH(G$3,Spells!$A$1:$I$1,0),FALSE))</f>
        <v/>
      </c>
      <c r="H774" s="49" t="str">
        <f>IFNA(VLOOKUP($A774,Spells!$A$2:$I1002,MATCH(H$3,Spells!$A$1:$I$1,0),FALSE))</f>
        <v/>
      </c>
    </row>
    <row r="775">
      <c r="A775" s="49"/>
      <c r="B775" s="49" t="str">
        <f>IFNA(VLOOKUP($A775,Spells!$A$2:$I1002,MATCH(B$3,Spells!$A$1:$I$1,0),FALSE))</f>
        <v/>
      </c>
      <c r="C775" s="49" t="str">
        <f>IFNA(VLOOKUP($A775,Spells!$A$2:$I1002,MATCH(C$3,Spells!$A$1:$I$1,0),FALSE))</f>
        <v/>
      </c>
      <c r="D775" s="49" t="str">
        <f>IFNA(VLOOKUP($A775,Spells!$A$2:$I1002,MATCH(D$3,Spells!$A$1:$I$1,0),FALSE))</f>
        <v/>
      </c>
      <c r="E775" s="49" t="str">
        <f>IFNA(VLOOKUP($A775,Spells!$A$2:$I1002,MATCH(E$3,Spells!$A$1:$I$1,0),FALSE))</f>
        <v/>
      </c>
      <c r="F775" s="49" t="str">
        <f>IFNA(VLOOKUP($A775,Spells!$A$2:$I1002,MATCH(F$3,Spells!$A$1:$I$1,0),FALSE))</f>
        <v/>
      </c>
      <c r="G775" s="49" t="str">
        <f>IFNA(VLOOKUP($A775,Spells!$A$2:$I1002,MATCH(G$3,Spells!$A$1:$I$1,0),FALSE))</f>
        <v/>
      </c>
      <c r="H775" s="49" t="str">
        <f>IFNA(VLOOKUP($A775,Spells!$A$2:$I1002,MATCH(H$3,Spells!$A$1:$I$1,0),FALSE))</f>
        <v/>
      </c>
    </row>
    <row r="776">
      <c r="A776" s="49"/>
      <c r="B776" s="49" t="str">
        <f>IFNA(VLOOKUP($A776,Spells!$A$2:$I1002,MATCH(B$3,Spells!$A$1:$I$1,0),FALSE))</f>
        <v/>
      </c>
      <c r="C776" s="49" t="str">
        <f>IFNA(VLOOKUP($A776,Spells!$A$2:$I1002,MATCH(C$3,Spells!$A$1:$I$1,0),FALSE))</f>
        <v/>
      </c>
      <c r="D776" s="49" t="str">
        <f>IFNA(VLOOKUP($A776,Spells!$A$2:$I1002,MATCH(D$3,Spells!$A$1:$I$1,0),FALSE))</f>
        <v/>
      </c>
      <c r="E776" s="49" t="str">
        <f>IFNA(VLOOKUP($A776,Spells!$A$2:$I1002,MATCH(E$3,Spells!$A$1:$I$1,0),FALSE))</f>
        <v/>
      </c>
      <c r="F776" s="49" t="str">
        <f>IFNA(VLOOKUP($A776,Spells!$A$2:$I1002,MATCH(F$3,Spells!$A$1:$I$1,0),FALSE))</f>
        <v/>
      </c>
      <c r="G776" s="49" t="str">
        <f>IFNA(VLOOKUP($A776,Spells!$A$2:$I1002,MATCH(G$3,Spells!$A$1:$I$1,0),FALSE))</f>
        <v/>
      </c>
      <c r="H776" s="49" t="str">
        <f>IFNA(VLOOKUP($A776,Spells!$A$2:$I1002,MATCH(H$3,Spells!$A$1:$I$1,0),FALSE))</f>
        <v/>
      </c>
    </row>
    <row r="777">
      <c r="A777" s="49"/>
      <c r="B777" s="49" t="str">
        <f>IFNA(VLOOKUP($A777,Spells!$A$2:$I1002,MATCH(B$3,Spells!$A$1:$I$1,0),FALSE))</f>
        <v/>
      </c>
      <c r="C777" s="49" t="str">
        <f>IFNA(VLOOKUP($A777,Spells!$A$2:$I1002,MATCH(C$3,Spells!$A$1:$I$1,0),FALSE))</f>
        <v/>
      </c>
      <c r="D777" s="49" t="str">
        <f>IFNA(VLOOKUP($A777,Spells!$A$2:$I1002,MATCH(D$3,Spells!$A$1:$I$1,0),FALSE))</f>
        <v/>
      </c>
      <c r="E777" s="49" t="str">
        <f>IFNA(VLOOKUP($A777,Spells!$A$2:$I1002,MATCH(E$3,Spells!$A$1:$I$1,0),FALSE))</f>
        <v/>
      </c>
      <c r="F777" s="49" t="str">
        <f>IFNA(VLOOKUP($A777,Spells!$A$2:$I1002,MATCH(F$3,Spells!$A$1:$I$1,0),FALSE))</f>
        <v/>
      </c>
      <c r="G777" s="49" t="str">
        <f>IFNA(VLOOKUP($A777,Spells!$A$2:$I1002,MATCH(G$3,Spells!$A$1:$I$1,0),FALSE))</f>
        <v/>
      </c>
      <c r="H777" s="49" t="str">
        <f>IFNA(VLOOKUP($A777,Spells!$A$2:$I1002,MATCH(H$3,Spells!$A$1:$I$1,0),FALSE))</f>
        <v/>
      </c>
    </row>
    <row r="778">
      <c r="A778" s="49"/>
      <c r="B778" s="49" t="str">
        <f>IFNA(VLOOKUP($A778,Spells!$A$2:$I1002,MATCH(B$3,Spells!$A$1:$I$1,0),FALSE))</f>
        <v/>
      </c>
      <c r="C778" s="49" t="str">
        <f>IFNA(VLOOKUP($A778,Spells!$A$2:$I1002,MATCH(C$3,Spells!$A$1:$I$1,0),FALSE))</f>
        <v/>
      </c>
      <c r="D778" s="49" t="str">
        <f>IFNA(VLOOKUP($A778,Spells!$A$2:$I1002,MATCH(D$3,Spells!$A$1:$I$1,0),FALSE))</f>
        <v/>
      </c>
      <c r="E778" s="49" t="str">
        <f>IFNA(VLOOKUP($A778,Spells!$A$2:$I1002,MATCH(E$3,Spells!$A$1:$I$1,0),FALSE))</f>
        <v/>
      </c>
      <c r="F778" s="49" t="str">
        <f>IFNA(VLOOKUP($A778,Spells!$A$2:$I1002,MATCH(F$3,Spells!$A$1:$I$1,0),FALSE))</f>
        <v/>
      </c>
      <c r="G778" s="49" t="str">
        <f>IFNA(VLOOKUP($A778,Spells!$A$2:$I1002,MATCH(G$3,Spells!$A$1:$I$1,0),FALSE))</f>
        <v/>
      </c>
      <c r="H778" s="49" t="str">
        <f>IFNA(VLOOKUP($A778,Spells!$A$2:$I1002,MATCH(H$3,Spells!$A$1:$I$1,0),FALSE))</f>
        <v/>
      </c>
    </row>
    <row r="779">
      <c r="A779" s="49"/>
      <c r="B779" s="49" t="str">
        <f>IFNA(VLOOKUP($A779,Spells!$A$2:$I1002,MATCH(B$3,Spells!$A$1:$I$1,0),FALSE))</f>
        <v/>
      </c>
      <c r="C779" s="49" t="str">
        <f>IFNA(VLOOKUP($A779,Spells!$A$2:$I1002,MATCH(C$3,Spells!$A$1:$I$1,0),FALSE))</f>
        <v/>
      </c>
      <c r="D779" s="49" t="str">
        <f>IFNA(VLOOKUP($A779,Spells!$A$2:$I1002,MATCH(D$3,Spells!$A$1:$I$1,0),FALSE))</f>
        <v/>
      </c>
      <c r="E779" s="49" t="str">
        <f>IFNA(VLOOKUP($A779,Spells!$A$2:$I1002,MATCH(E$3,Spells!$A$1:$I$1,0),FALSE))</f>
        <v/>
      </c>
      <c r="F779" s="49" t="str">
        <f>IFNA(VLOOKUP($A779,Spells!$A$2:$I1002,MATCH(F$3,Spells!$A$1:$I$1,0),FALSE))</f>
        <v/>
      </c>
      <c r="G779" s="49" t="str">
        <f>IFNA(VLOOKUP($A779,Spells!$A$2:$I1002,MATCH(G$3,Spells!$A$1:$I$1,0),FALSE))</f>
        <v/>
      </c>
      <c r="H779" s="49" t="str">
        <f>IFNA(VLOOKUP($A779,Spells!$A$2:$I1002,MATCH(H$3,Spells!$A$1:$I$1,0),FALSE))</f>
        <v/>
      </c>
    </row>
    <row r="780">
      <c r="A780" s="49"/>
      <c r="B780" s="49" t="str">
        <f>IFNA(VLOOKUP($A780,Spells!$A$2:$I1002,MATCH(B$3,Spells!$A$1:$I$1,0),FALSE))</f>
        <v/>
      </c>
      <c r="C780" s="49" t="str">
        <f>IFNA(VLOOKUP($A780,Spells!$A$2:$I1002,MATCH(C$3,Spells!$A$1:$I$1,0),FALSE))</f>
        <v/>
      </c>
      <c r="D780" s="49" t="str">
        <f>IFNA(VLOOKUP($A780,Spells!$A$2:$I1002,MATCH(D$3,Spells!$A$1:$I$1,0),FALSE))</f>
        <v/>
      </c>
      <c r="E780" s="49" t="str">
        <f>IFNA(VLOOKUP($A780,Spells!$A$2:$I1002,MATCH(E$3,Spells!$A$1:$I$1,0),FALSE))</f>
        <v/>
      </c>
      <c r="F780" s="49" t="str">
        <f>IFNA(VLOOKUP($A780,Spells!$A$2:$I1002,MATCH(F$3,Spells!$A$1:$I$1,0),FALSE))</f>
        <v/>
      </c>
      <c r="G780" s="49" t="str">
        <f>IFNA(VLOOKUP($A780,Spells!$A$2:$I1002,MATCH(G$3,Spells!$A$1:$I$1,0),FALSE))</f>
        <v/>
      </c>
      <c r="H780" s="49" t="str">
        <f>IFNA(VLOOKUP($A780,Spells!$A$2:$I1002,MATCH(H$3,Spells!$A$1:$I$1,0),FALSE))</f>
        <v/>
      </c>
    </row>
    <row r="781">
      <c r="A781" s="49"/>
      <c r="B781" s="49" t="str">
        <f>IFNA(VLOOKUP($A781,Spells!$A$2:$I1002,MATCH(B$3,Spells!$A$1:$I$1,0),FALSE))</f>
        <v/>
      </c>
      <c r="C781" s="49" t="str">
        <f>IFNA(VLOOKUP($A781,Spells!$A$2:$I1002,MATCH(C$3,Spells!$A$1:$I$1,0),FALSE))</f>
        <v/>
      </c>
      <c r="D781" s="49" t="str">
        <f>IFNA(VLOOKUP($A781,Spells!$A$2:$I1002,MATCH(D$3,Spells!$A$1:$I$1,0),FALSE))</f>
        <v/>
      </c>
      <c r="E781" s="49" t="str">
        <f>IFNA(VLOOKUP($A781,Spells!$A$2:$I1002,MATCH(E$3,Spells!$A$1:$I$1,0),FALSE))</f>
        <v/>
      </c>
      <c r="F781" s="49" t="str">
        <f>IFNA(VLOOKUP($A781,Spells!$A$2:$I1002,MATCH(F$3,Spells!$A$1:$I$1,0),FALSE))</f>
        <v/>
      </c>
      <c r="G781" s="49" t="str">
        <f>IFNA(VLOOKUP($A781,Spells!$A$2:$I1002,MATCH(G$3,Spells!$A$1:$I$1,0),FALSE))</f>
        <v/>
      </c>
      <c r="H781" s="49" t="str">
        <f>IFNA(VLOOKUP($A781,Spells!$A$2:$I1002,MATCH(H$3,Spells!$A$1:$I$1,0),FALSE))</f>
        <v/>
      </c>
    </row>
    <row r="782">
      <c r="A782" s="49"/>
      <c r="B782" s="49" t="str">
        <f>IFNA(VLOOKUP($A782,Spells!$A$2:$I1002,MATCH(B$3,Spells!$A$1:$I$1,0),FALSE))</f>
        <v/>
      </c>
      <c r="C782" s="49" t="str">
        <f>IFNA(VLOOKUP($A782,Spells!$A$2:$I1002,MATCH(C$3,Spells!$A$1:$I$1,0),FALSE))</f>
        <v/>
      </c>
      <c r="D782" s="49" t="str">
        <f>IFNA(VLOOKUP($A782,Spells!$A$2:$I1002,MATCH(D$3,Spells!$A$1:$I$1,0),FALSE))</f>
        <v/>
      </c>
      <c r="E782" s="49" t="str">
        <f>IFNA(VLOOKUP($A782,Spells!$A$2:$I1002,MATCH(E$3,Spells!$A$1:$I$1,0),FALSE))</f>
        <v/>
      </c>
      <c r="F782" s="49" t="str">
        <f>IFNA(VLOOKUP($A782,Spells!$A$2:$I1002,MATCH(F$3,Spells!$A$1:$I$1,0),FALSE))</f>
        <v/>
      </c>
      <c r="G782" s="49" t="str">
        <f>IFNA(VLOOKUP($A782,Spells!$A$2:$I1002,MATCH(G$3,Spells!$A$1:$I$1,0),FALSE))</f>
        <v/>
      </c>
      <c r="H782" s="49" t="str">
        <f>IFNA(VLOOKUP($A782,Spells!$A$2:$I1002,MATCH(H$3,Spells!$A$1:$I$1,0),FALSE))</f>
        <v/>
      </c>
    </row>
    <row r="783">
      <c r="A783" s="49"/>
      <c r="B783" s="49" t="str">
        <f>IFNA(VLOOKUP($A783,Spells!$A$2:$I1002,MATCH(B$3,Spells!$A$1:$I$1,0),FALSE))</f>
        <v/>
      </c>
      <c r="C783" s="49" t="str">
        <f>IFNA(VLOOKUP($A783,Spells!$A$2:$I1002,MATCH(C$3,Spells!$A$1:$I$1,0),FALSE))</f>
        <v/>
      </c>
      <c r="D783" s="49" t="str">
        <f>IFNA(VLOOKUP($A783,Spells!$A$2:$I1002,MATCH(D$3,Spells!$A$1:$I$1,0),FALSE))</f>
        <v/>
      </c>
      <c r="E783" s="49" t="str">
        <f>IFNA(VLOOKUP($A783,Spells!$A$2:$I1002,MATCH(E$3,Spells!$A$1:$I$1,0),FALSE))</f>
        <v/>
      </c>
      <c r="F783" s="49" t="str">
        <f>IFNA(VLOOKUP($A783,Spells!$A$2:$I1002,MATCH(F$3,Spells!$A$1:$I$1,0),FALSE))</f>
        <v/>
      </c>
      <c r="G783" s="49" t="str">
        <f>IFNA(VLOOKUP($A783,Spells!$A$2:$I1002,MATCH(G$3,Spells!$A$1:$I$1,0),FALSE))</f>
        <v/>
      </c>
      <c r="H783" s="49" t="str">
        <f>IFNA(VLOOKUP($A783,Spells!$A$2:$I1002,MATCH(H$3,Spells!$A$1:$I$1,0),FALSE))</f>
        <v/>
      </c>
    </row>
    <row r="784">
      <c r="A784" s="49"/>
      <c r="B784" s="49" t="str">
        <f>IFNA(VLOOKUP($A784,Spells!$A$2:$I1002,MATCH(B$3,Spells!$A$1:$I$1,0),FALSE))</f>
        <v/>
      </c>
      <c r="C784" s="49" t="str">
        <f>IFNA(VLOOKUP($A784,Spells!$A$2:$I1002,MATCH(C$3,Spells!$A$1:$I$1,0),FALSE))</f>
        <v/>
      </c>
      <c r="D784" s="49" t="str">
        <f>IFNA(VLOOKUP($A784,Spells!$A$2:$I1002,MATCH(D$3,Spells!$A$1:$I$1,0),FALSE))</f>
        <v/>
      </c>
      <c r="E784" s="49" t="str">
        <f>IFNA(VLOOKUP($A784,Spells!$A$2:$I1002,MATCH(E$3,Spells!$A$1:$I$1,0),FALSE))</f>
        <v/>
      </c>
      <c r="F784" s="49" t="str">
        <f>IFNA(VLOOKUP($A784,Spells!$A$2:$I1002,MATCH(F$3,Spells!$A$1:$I$1,0),FALSE))</f>
        <v/>
      </c>
      <c r="G784" s="49" t="str">
        <f>IFNA(VLOOKUP($A784,Spells!$A$2:$I1002,MATCH(G$3,Spells!$A$1:$I$1,0),FALSE))</f>
        <v/>
      </c>
      <c r="H784" s="49" t="str">
        <f>IFNA(VLOOKUP($A784,Spells!$A$2:$I1002,MATCH(H$3,Spells!$A$1:$I$1,0),FALSE))</f>
        <v/>
      </c>
    </row>
    <row r="785">
      <c r="A785" s="49"/>
      <c r="B785" s="49" t="str">
        <f>IFNA(VLOOKUP($A785,Spells!$A$2:$I1002,MATCH(B$3,Spells!$A$1:$I$1,0),FALSE))</f>
        <v/>
      </c>
      <c r="C785" s="49" t="str">
        <f>IFNA(VLOOKUP($A785,Spells!$A$2:$I1002,MATCH(C$3,Spells!$A$1:$I$1,0),FALSE))</f>
        <v/>
      </c>
      <c r="D785" s="49" t="str">
        <f>IFNA(VLOOKUP($A785,Spells!$A$2:$I1002,MATCH(D$3,Spells!$A$1:$I$1,0),FALSE))</f>
        <v/>
      </c>
      <c r="E785" s="49" t="str">
        <f>IFNA(VLOOKUP($A785,Spells!$A$2:$I1002,MATCH(E$3,Spells!$A$1:$I$1,0),FALSE))</f>
        <v/>
      </c>
      <c r="F785" s="49" t="str">
        <f>IFNA(VLOOKUP($A785,Spells!$A$2:$I1002,MATCH(F$3,Spells!$A$1:$I$1,0),FALSE))</f>
        <v/>
      </c>
      <c r="G785" s="49" t="str">
        <f>IFNA(VLOOKUP($A785,Spells!$A$2:$I1002,MATCH(G$3,Spells!$A$1:$I$1,0),FALSE))</f>
        <v/>
      </c>
      <c r="H785" s="49" t="str">
        <f>IFNA(VLOOKUP($A785,Spells!$A$2:$I1002,MATCH(H$3,Spells!$A$1:$I$1,0),FALSE))</f>
        <v/>
      </c>
    </row>
    <row r="786">
      <c r="A786" s="49"/>
      <c r="B786" s="49" t="str">
        <f>IFNA(VLOOKUP($A786,Spells!$A$2:$I1002,MATCH(B$3,Spells!$A$1:$I$1,0),FALSE))</f>
        <v/>
      </c>
      <c r="C786" s="49" t="str">
        <f>IFNA(VLOOKUP($A786,Spells!$A$2:$I1002,MATCH(C$3,Spells!$A$1:$I$1,0),FALSE))</f>
        <v/>
      </c>
      <c r="D786" s="49" t="str">
        <f>IFNA(VLOOKUP($A786,Spells!$A$2:$I1002,MATCH(D$3,Spells!$A$1:$I$1,0),FALSE))</f>
        <v/>
      </c>
      <c r="E786" s="49" t="str">
        <f>IFNA(VLOOKUP($A786,Spells!$A$2:$I1002,MATCH(E$3,Spells!$A$1:$I$1,0),FALSE))</f>
        <v/>
      </c>
      <c r="F786" s="49" t="str">
        <f>IFNA(VLOOKUP($A786,Spells!$A$2:$I1002,MATCH(F$3,Spells!$A$1:$I$1,0),FALSE))</f>
        <v/>
      </c>
      <c r="G786" s="49" t="str">
        <f>IFNA(VLOOKUP($A786,Spells!$A$2:$I1002,MATCH(G$3,Spells!$A$1:$I$1,0),FALSE))</f>
        <v/>
      </c>
      <c r="H786" s="49" t="str">
        <f>IFNA(VLOOKUP($A786,Spells!$A$2:$I1002,MATCH(H$3,Spells!$A$1:$I$1,0),FALSE))</f>
        <v/>
      </c>
    </row>
    <row r="787">
      <c r="A787" s="49"/>
      <c r="B787" s="49" t="str">
        <f>IFNA(VLOOKUP($A787,Spells!$A$2:$I1002,MATCH(B$3,Spells!$A$1:$I$1,0),FALSE))</f>
        <v/>
      </c>
      <c r="C787" s="49" t="str">
        <f>IFNA(VLOOKUP($A787,Spells!$A$2:$I1002,MATCH(C$3,Spells!$A$1:$I$1,0),FALSE))</f>
        <v/>
      </c>
      <c r="D787" s="49" t="str">
        <f>IFNA(VLOOKUP($A787,Spells!$A$2:$I1002,MATCH(D$3,Spells!$A$1:$I$1,0),FALSE))</f>
        <v/>
      </c>
      <c r="E787" s="49" t="str">
        <f>IFNA(VLOOKUP($A787,Spells!$A$2:$I1002,MATCH(E$3,Spells!$A$1:$I$1,0),FALSE))</f>
        <v/>
      </c>
      <c r="F787" s="49" t="str">
        <f>IFNA(VLOOKUP($A787,Spells!$A$2:$I1002,MATCH(F$3,Spells!$A$1:$I$1,0),FALSE))</f>
        <v/>
      </c>
      <c r="G787" s="49" t="str">
        <f>IFNA(VLOOKUP($A787,Spells!$A$2:$I1002,MATCH(G$3,Spells!$A$1:$I$1,0),FALSE))</f>
        <v/>
      </c>
      <c r="H787" s="49" t="str">
        <f>IFNA(VLOOKUP($A787,Spells!$A$2:$I1002,MATCH(H$3,Spells!$A$1:$I$1,0),FALSE))</f>
        <v/>
      </c>
    </row>
    <row r="788">
      <c r="A788" s="49"/>
      <c r="B788" s="49" t="str">
        <f>IFNA(VLOOKUP($A788,Spells!$A$2:$I1002,MATCH(B$3,Spells!$A$1:$I$1,0),FALSE))</f>
        <v/>
      </c>
      <c r="C788" s="49" t="str">
        <f>IFNA(VLOOKUP($A788,Spells!$A$2:$I1002,MATCH(C$3,Spells!$A$1:$I$1,0),FALSE))</f>
        <v/>
      </c>
      <c r="D788" s="49" t="str">
        <f>IFNA(VLOOKUP($A788,Spells!$A$2:$I1002,MATCH(D$3,Spells!$A$1:$I$1,0),FALSE))</f>
        <v/>
      </c>
      <c r="E788" s="49" t="str">
        <f>IFNA(VLOOKUP($A788,Spells!$A$2:$I1002,MATCH(E$3,Spells!$A$1:$I$1,0),FALSE))</f>
        <v/>
      </c>
      <c r="F788" s="49" t="str">
        <f>IFNA(VLOOKUP($A788,Spells!$A$2:$I1002,MATCH(F$3,Spells!$A$1:$I$1,0),FALSE))</f>
        <v/>
      </c>
      <c r="G788" s="49" t="str">
        <f>IFNA(VLOOKUP($A788,Spells!$A$2:$I1002,MATCH(G$3,Spells!$A$1:$I$1,0),FALSE))</f>
        <v/>
      </c>
      <c r="H788" s="49" t="str">
        <f>IFNA(VLOOKUP($A788,Spells!$A$2:$I1002,MATCH(H$3,Spells!$A$1:$I$1,0),FALSE))</f>
        <v/>
      </c>
    </row>
    <row r="789">
      <c r="A789" s="49"/>
      <c r="B789" s="49" t="str">
        <f>IFNA(VLOOKUP($A789,Spells!$A$2:$I1002,MATCH(B$3,Spells!$A$1:$I$1,0),FALSE))</f>
        <v/>
      </c>
      <c r="C789" s="49" t="str">
        <f>IFNA(VLOOKUP($A789,Spells!$A$2:$I1002,MATCH(C$3,Spells!$A$1:$I$1,0),FALSE))</f>
        <v/>
      </c>
      <c r="D789" s="49" t="str">
        <f>IFNA(VLOOKUP($A789,Spells!$A$2:$I1002,MATCH(D$3,Spells!$A$1:$I$1,0),FALSE))</f>
        <v/>
      </c>
      <c r="E789" s="49" t="str">
        <f>IFNA(VLOOKUP($A789,Spells!$A$2:$I1002,MATCH(E$3,Spells!$A$1:$I$1,0),FALSE))</f>
        <v/>
      </c>
      <c r="F789" s="49" t="str">
        <f>IFNA(VLOOKUP($A789,Spells!$A$2:$I1002,MATCH(F$3,Spells!$A$1:$I$1,0),FALSE))</f>
        <v/>
      </c>
      <c r="G789" s="49" t="str">
        <f>IFNA(VLOOKUP($A789,Spells!$A$2:$I1002,MATCH(G$3,Spells!$A$1:$I$1,0),FALSE))</f>
        <v/>
      </c>
      <c r="H789" s="49" t="str">
        <f>IFNA(VLOOKUP($A789,Spells!$A$2:$I1002,MATCH(H$3,Spells!$A$1:$I$1,0),FALSE))</f>
        <v/>
      </c>
    </row>
    <row r="790">
      <c r="A790" s="49"/>
      <c r="B790" s="49" t="str">
        <f>IFNA(VLOOKUP($A790,Spells!$A$2:$I1002,MATCH(B$3,Spells!$A$1:$I$1,0),FALSE))</f>
        <v/>
      </c>
      <c r="C790" s="49" t="str">
        <f>IFNA(VLOOKUP($A790,Spells!$A$2:$I1002,MATCH(C$3,Spells!$A$1:$I$1,0),FALSE))</f>
        <v/>
      </c>
      <c r="D790" s="49" t="str">
        <f>IFNA(VLOOKUP($A790,Spells!$A$2:$I1002,MATCH(D$3,Spells!$A$1:$I$1,0),FALSE))</f>
        <v/>
      </c>
      <c r="E790" s="49" t="str">
        <f>IFNA(VLOOKUP($A790,Spells!$A$2:$I1002,MATCH(E$3,Spells!$A$1:$I$1,0),FALSE))</f>
        <v/>
      </c>
      <c r="F790" s="49" t="str">
        <f>IFNA(VLOOKUP($A790,Spells!$A$2:$I1002,MATCH(F$3,Spells!$A$1:$I$1,0),FALSE))</f>
        <v/>
      </c>
      <c r="G790" s="49" t="str">
        <f>IFNA(VLOOKUP($A790,Spells!$A$2:$I1002,MATCH(G$3,Spells!$A$1:$I$1,0),FALSE))</f>
        <v/>
      </c>
      <c r="H790" s="49" t="str">
        <f>IFNA(VLOOKUP($A790,Spells!$A$2:$I1002,MATCH(H$3,Spells!$A$1:$I$1,0),FALSE))</f>
        <v/>
      </c>
    </row>
    <row r="791">
      <c r="A791" s="49"/>
      <c r="B791" s="49" t="str">
        <f>IFNA(VLOOKUP($A791,Spells!$A$2:$I1002,MATCH(B$3,Spells!$A$1:$I$1,0),FALSE))</f>
        <v/>
      </c>
      <c r="C791" s="49" t="str">
        <f>IFNA(VLOOKUP($A791,Spells!$A$2:$I1002,MATCH(C$3,Spells!$A$1:$I$1,0),FALSE))</f>
        <v/>
      </c>
      <c r="D791" s="49" t="str">
        <f>IFNA(VLOOKUP($A791,Spells!$A$2:$I1002,MATCH(D$3,Spells!$A$1:$I$1,0),FALSE))</f>
        <v/>
      </c>
      <c r="E791" s="49" t="str">
        <f>IFNA(VLOOKUP($A791,Spells!$A$2:$I1002,MATCH(E$3,Spells!$A$1:$I$1,0),FALSE))</f>
        <v/>
      </c>
      <c r="F791" s="49" t="str">
        <f>IFNA(VLOOKUP($A791,Spells!$A$2:$I1002,MATCH(F$3,Spells!$A$1:$I$1,0),FALSE))</f>
        <v/>
      </c>
      <c r="G791" s="49" t="str">
        <f>IFNA(VLOOKUP($A791,Spells!$A$2:$I1002,MATCH(G$3,Spells!$A$1:$I$1,0),FALSE))</f>
        <v/>
      </c>
      <c r="H791" s="49" t="str">
        <f>IFNA(VLOOKUP($A791,Spells!$A$2:$I1002,MATCH(H$3,Spells!$A$1:$I$1,0),FALSE))</f>
        <v/>
      </c>
    </row>
    <row r="792">
      <c r="A792" s="49"/>
      <c r="B792" s="49" t="str">
        <f>IFNA(VLOOKUP($A792,Spells!$A$2:$I1002,MATCH(B$3,Spells!$A$1:$I$1,0),FALSE))</f>
        <v/>
      </c>
      <c r="C792" s="49" t="str">
        <f>IFNA(VLOOKUP($A792,Spells!$A$2:$I1002,MATCH(C$3,Spells!$A$1:$I$1,0),FALSE))</f>
        <v/>
      </c>
      <c r="D792" s="49" t="str">
        <f>IFNA(VLOOKUP($A792,Spells!$A$2:$I1002,MATCH(D$3,Spells!$A$1:$I$1,0),FALSE))</f>
        <v/>
      </c>
      <c r="E792" s="49" t="str">
        <f>IFNA(VLOOKUP($A792,Spells!$A$2:$I1002,MATCH(E$3,Spells!$A$1:$I$1,0),FALSE))</f>
        <v/>
      </c>
      <c r="F792" s="49" t="str">
        <f>IFNA(VLOOKUP($A792,Spells!$A$2:$I1002,MATCH(F$3,Spells!$A$1:$I$1,0),FALSE))</f>
        <v/>
      </c>
      <c r="G792" s="49" t="str">
        <f>IFNA(VLOOKUP($A792,Spells!$A$2:$I1002,MATCH(G$3,Spells!$A$1:$I$1,0),FALSE))</f>
        <v/>
      </c>
      <c r="H792" s="49" t="str">
        <f>IFNA(VLOOKUP($A792,Spells!$A$2:$I1002,MATCH(H$3,Spells!$A$1:$I$1,0),FALSE))</f>
        <v/>
      </c>
    </row>
    <row r="793">
      <c r="A793" s="49"/>
      <c r="B793" s="49" t="str">
        <f>IFNA(VLOOKUP($A793,Spells!$A$2:$I1002,MATCH(B$3,Spells!$A$1:$I$1,0),FALSE))</f>
        <v/>
      </c>
      <c r="C793" s="49" t="str">
        <f>IFNA(VLOOKUP($A793,Spells!$A$2:$I1002,MATCH(C$3,Spells!$A$1:$I$1,0),FALSE))</f>
        <v/>
      </c>
      <c r="D793" s="49" t="str">
        <f>IFNA(VLOOKUP($A793,Spells!$A$2:$I1002,MATCH(D$3,Spells!$A$1:$I$1,0),FALSE))</f>
        <v/>
      </c>
      <c r="E793" s="49" t="str">
        <f>IFNA(VLOOKUP($A793,Spells!$A$2:$I1002,MATCH(E$3,Spells!$A$1:$I$1,0),FALSE))</f>
        <v/>
      </c>
      <c r="F793" s="49" t="str">
        <f>IFNA(VLOOKUP($A793,Spells!$A$2:$I1002,MATCH(F$3,Spells!$A$1:$I$1,0),FALSE))</f>
        <v/>
      </c>
      <c r="G793" s="49" t="str">
        <f>IFNA(VLOOKUP($A793,Spells!$A$2:$I1002,MATCH(G$3,Spells!$A$1:$I$1,0),FALSE))</f>
        <v/>
      </c>
      <c r="H793" s="49" t="str">
        <f>IFNA(VLOOKUP($A793,Spells!$A$2:$I1002,MATCH(H$3,Spells!$A$1:$I$1,0),FALSE))</f>
        <v/>
      </c>
    </row>
    <row r="794">
      <c r="A794" s="49"/>
      <c r="B794" s="49" t="str">
        <f>IFNA(VLOOKUP($A794,Spells!$A$2:$I1002,MATCH(B$3,Spells!$A$1:$I$1,0),FALSE))</f>
        <v/>
      </c>
      <c r="C794" s="49" t="str">
        <f>IFNA(VLOOKUP($A794,Spells!$A$2:$I1002,MATCH(C$3,Spells!$A$1:$I$1,0),FALSE))</f>
        <v/>
      </c>
      <c r="D794" s="49" t="str">
        <f>IFNA(VLOOKUP($A794,Spells!$A$2:$I1002,MATCH(D$3,Spells!$A$1:$I$1,0),FALSE))</f>
        <v/>
      </c>
      <c r="E794" s="49" t="str">
        <f>IFNA(VLOOKUP($A794,Spells!$A$2:$I1002,MATCH(E$3,Spells!$A$1:$I$1,0),FALSE))</f>
        <v/>
      </c>
      <c r="F794" s="49" t="str">
        <f>IFNA(VLOOKUP($A794,Spells!$A$2:$I1002,MATCH(F$3,Spells!$A$1:$I$1,0),FALSE))</f>
        <v/>
      </c>
      <c r="G794" s="49" t="str">
        <f>IFNA(VLOOKUP($A794,Spells!$A$2:$I1002,MATCH(G$3,Spells!$A$1:$I$1,0),FALSE))</f>
        <v/>
      </c>
      <c r="H794" s="49" t="str">
        <f>IFNA(VLOOKUP($A794,Spells!$A$2:$I1002,MATCH(H$3,Spells!$A$1:$I$1,0),FALSE))</f>
        <v/>
      </c>
    </row>
    <row r="795">
      <c r="A795" s="49"/>
      <c r="B795" s="49" t="str">
        <f>IFNA(VLOOKUP($A795,Spells!$A$2:$I1002,MATCH(B$3,Spells!$A$1:$I$1,0),FALSE))</f>
        <v/>
      </c>
      <c r="C795" s="49" t="str">
        <f>IFNA(VLOOKUP($A795,Spells!$A$2:$I1002,MATCH(C$3,Spells!$A$1:$I$1,0),FALSE))</f>
        <v/>
      </c>
      <c r="D795" s="49" t="str">
        <f>IFNA(VLOOKUP($A795,Spells!$A$2:$I1002,MATCH(D$3,Spells!$A$1:$I$1,0),FALSE))</f>
        <v/>
      </c>
      <c r="E795" s="49" t="str">
        <f>IFNA(VLOOKUP($A795,Spells!$A$2:$I1002,MATCH(E$3,Spells!$A$1:$I$1,0),FALSE))</f>
        <v/>
      </c>
      <c r="F795" s="49" t="str">
        <f>IFNA(VLOOKUP($A795,Spells!$A$2:$I1002,MATCH(F$3,Spells!$A$1:$I$1,0),FALSE))</f>
        <v/>
      </c>
      <c r="G795" s="49" t="str">
        <f>IFNA(VLOOKUP($A795,Spells!$A$2:$I1002,MATCH(G$3,Spells!$A$1:$I$1,0),FALSE))</f>
        <v/>
      </c>
      <c r="H795" s="49" t="str">
        <f>IFNA(VLOOKUP($A795,Spells!$A$2:$I1002,MATCH(H$3,Spells!$A$1:$I$1,0),FALSE))</f>
        <v/>
      </c>
    </row>
    <row r="796">
      <c r="A796" s="49"/>
      <c r="B796" s="49" t="str">
        <f>IFNA(VLOOKUP($A796,Spells!$A$2:$I1002,MATCH(B$3,Spells!$A$1:$I$1,0),FALSE))</f>
        <v/>
      </c>
      <c r="C796" s="49" t="str">
        <f>IFNA(VLOOKUP($A796,Spells!$A$2:$I1002,MATCH(C$3,Spells!$A$1:$I$1,0),FALSE))</f>
        <v/>
      </c>
      <c r="D796" s="49" t="str">
        <f>IFNA(VLOOKUP($A796,Spells!$A$2:$I1002,MATCH(D$3,Spells!$A$1:$I$1,0),FALSE))</f>
        <v/>
      </c>
      <c r="E796" s="49" t="str">
        <f>IFNA(VLOOKUP($A796,Spells!$A$2:$I1002,MATCH(E$3,Spells!$A$1:$I$1,0),FALSE))</f>
        <v/>
      </c>
      <c r="F796" s="49" t="str">
        <f>IFNA(VLOOKUP($A796,Spells!$A$2:$I1002,MATCH(F$3,Spells!$A$1:$I$1,0),FALSE))</f>
        <v/>
      </c>
      <c r="G796" s="49" t="str">
        <f>IFNA(VLOOKUP($A796,Spells!$A$2:$I1002,MATCH(G$3,Spells!$A$1:$I$1,0),FALSE))</f>
        <v/>
      </c>
      <c r="H796" s="49" t="str">
        <f>IFNA(VLOOKUP($A796,Spells!$A$2:$I1002,MATCH(H$3,Spells!$A$1:$I$1,0),FALSE))</f>
        <v/>
      </c>
    </row>
    <row r="797">
      <c r="A797" s="49"/>
      <c r="B797" s="49" t="str">
        <f>IFNA(VLOOKUP($A797,Spells!$A$2:$I1002,MATCH(B$3,Spells!$A$1:$I$1,0),FALSE))</f>
        <v/>
      </c>
      <c r="C797" s="49" t="str">
        <f>IFNA(VLOOKUP($A797,Spells!$A$2:$I1002,MATCH(C$3,Spells!$A$1:$I$1,0),FALSE))</f>
        <v/>
      </c>
      <c r="D797" s="49" t="str">
        <f>IFNA(VLOOKUP($A797,Spells!$A$2:$I1002,MATCH(D$3,Spells!$A$1:$I$1,0),FALSE))</f>
        <v/>
      </c>
      <c r="E797" s="49" t="str">
        <f>IFNA(VLOOKUP($A797,Spells!$A$2:$I1002,MATCH(E$3,Spells!$A$1:$I$1,0),FALSE))</f>
        <v/>
      </c>
      <c r="F797" s="49" t="str">
        <f>IFNA(VLOOKUP($A797,Spells!$A$2:$I1002,MATCH(F$3,Spells!$A$1:$I$1,0),FALSE))</f>
        <v/>
      </c>
      <c r="G797" s="49" t="str">
        <f>IFNA(VLOOKUP($A797,Spells!$A$2:$I1002,MATCH(G$3,Spells!$A$1:$I$1,0),FALSE))</f>
        <v/>
      </c>
      <c r="H797" s="49" t="str">
        <f>IFNA(VLOOKUP($A797,Spells!$A$2:$I1002,MATCH(H$3,Spells!$A$1:$I$1,0),FALSE))</f>
        <v/>
      </c>
    </row>
    <row r="798">
      <c r="A798" s="49"/>
      <c r="B798" s="49" t="str">
        <f>IFNA(VLOOKUP($A798,Spells!$A$2:$I1002,MATCH(B$3,Spells!$A$1:$I$1,0),FALSE))</f>
        <v/>
      </c>
      <c r="C798" s="49" t="str">
        <f>IFNA(VLOOKUP($A798,Spells!$A$2:$I1002,MATCH(C$3,Spells!$A$1:$I$1,0),FALSE))</f>
        <v/>
      </c>
      <c r="D798" s="49" t="str">
        <f>IFNA(VLOOKUP($A798,Spells!$A$2:$I1002,MATCH(D$3,Spells!$A$1:$I$1,0),FALSE))</f>
        <v/>
      </c>
      <c r="E798" s="49" t="str">
        <f>IFNA(VLOOKUP($A798,Spells!$A$2:$I1002,MATCH(E$3,Spells!$A$1:$I$1,0),FALSE))</f>
        <v/>
      </c>
      <c r="F798" s="49" t="str">
        <f>IFNA(VLOOKUP($A798,Spells!$A$2:$I1002,MATCH(F$3,Spells!$A$1:$I$1,0),FALSE))</f>
        <v/>
      </c>
      <c r="G798" s="49" t="str">
        <f>IFNA(VLOOKUP($A798,Spells!$A$2:$I1002,MATCH(G$3,Spells!$A$1:$I$1,0),FALSE))</f>
        <v/>
      </c>
      <c r="H798" s="49" t="str">
        <f>IFNA(VLOOKUP($A798,Spells!$A$2:$I1002,MATCH(H$3,Spells!$A$1:$I$1,0),FALSE))</f>
        <v/>
      </c>
    </row>
    <row r="799">
      <c r="A799" s="49"/>
      <c r="B799" s="49" t="str">
        <f>IFNA(VLOOKUP($A799,Spells!$A$2:$I1002,MATCH(B$3,Spells!$A$1:$I$1,0),FALSE))</f>
        <v/>
      </c>
      <c r="C799" s="49" t="str">
        <f>IFNA(VLOOKUP($A799,Spells!$A$2:$I1002,MATCH(C$3,Spells!$A$1:$I$1,0),FALSE))</f>
        <v/>
      </c>
      <c r="D799" s="49" t="str">
        <f>IFNA(VLOOKUP($A799,Spells!$A$2:$I1002,MATCH(D$3,Spells!$A$1:$I$1,0),FALSE))</f>
        <v/>
      </c>
      <c r="E799" s="49" t="str">
        <f>IFNA(VLOOKUP($A799,Spells!$A$2:$I1002,MATCH(E$3,Spells!$A$1:$I$1,0),FALSE))</f>
        <v/>
      </c>
      <c r="F799" s="49" t="str">
        <f>IFNA(VLOOKUP($A799,Spells!$A$2:$I1002,MATCH(F$3,Spells!$A$1:$I$1,0),FALSE))</f>
        <v/>
      </c>
      <c r="G799" s="49" t="str">
        <f>IFNA(VLOOKUP($A799,Spells!$A$2:$I1002,MATCH(G$3,Spells!$A$1:$I$1,0),FALSE))</f>
        <v/>
      </c>
      <c r="H799" s="49" t="str">
        <f>IFNA(VLOOKUP($A799,Spells!$A$2:$I1002,MATCH(H$3,Spells!$A$1:$I$1,0),FALSE))</f>
        <v/>
      </c>
    </row>
    <row r="800">
      <c r="A800" s="49"/>
      <c r="B800" s="49" t="str">
        <f>IFNA(VLOOKUP($A800,Spells!$A$2:$I1002,MATCH(B$3,Spells!$A$1:$I$1,0),FALSE))</f>
        <v/>
      </c>
      <c r="C800" s="49" t="str">
        <f>IFNA(VLOOKUP($A800,Spells!$A$2:$I1002,MATCH(C$3,Spells!$A$1:$I$1,0),FALSE))</f>
        <v/>
      </c>
      <c r="D800" s="49" t="str">
        <f>IFNA(VLOOKUP($A800,Spells!$A$2:$I1002,MATCH(D$3,Spells!$A$1:$I$1,0),FALSE))</f>
        <v/>
      </c>
      <c r="E800" s="49" t="str">
        <f>IFNA(VLOOKUP($A800,Spells!$A$2:$I1002,MATCH(E$3,Spells!$A$1:$I$1,0),FALSE))</f>
        <v/>
      </c>
      <c r="F800" s="49" t="str">
        <f>IFNA(VLOOKUP($A800,Spells!$A$2:$I1002,MATCH(F$3,Spells!$A$1:$I$1,0),FALSE))</f>
        <v/>
      </c>
      <c r="G800" s="49" t="str">
        <f>IFNA(VLOOKUP($A800,Spells!$A$2:$I1002,MATCH(G$3,Spells!$A$1:$I$1,0),FALSE))</f>
        <v/>
      </c>
      <c r="H800" s="49" t="str">
        <f>IFNA(VLOOKUP($A800,Spells!$A$2:$I1002,MATCH(H$3,Spells!$A$1:$I$1,0),FALSE))</f>
        <v/>
      </c>
    </row>
  </sheetData>
  <mergeCells count="1">
    <mergeCell ref="A1:H1"/>
  </mergeCells>
  <conditionalFormatting sqref="A4:A1002">
    <cfRule type="expression" dxfId="2" priority="1">
      <formula>COUNTIF($A$4:$A1002,A4)&gt;1</formula>
    </cfRule>
  </conditionalFormatting>
  <dataValidations>
    <dataValidation type="list" allowBlank="1" showErrorMessage="1" sqref="A4:A800">
      <formula1>Spells!$A$2:$A1002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9" t="str">
        <f>IFERROR(__xludf.DUMMYFUNCTION("IMPORTRANGE(""https://docs.google.com/spreadsheets/d/""&amp;Config!B1,""Achievments!A:E"")"),"Name")</f>
        <v>Name</v>
      </c>
      <c r="B1" s="99" t="str">
        <f>IFERROR(__xludf.DUMMYFUNCTION("""COMPUTED_VALUE"""),"Requirement")</f>
        <v>Requirement</v>
      </c>
      <c r="C1" s="99" t="str">
        <f>IFERROR(__xludf.DUMMYFUNCTION("""COMPUTED_VALUE"""),"Ability")</f>
        <v>Ability</v>
      </c>
      <c r="D1" s="99" t="str">
        <f>IFERROR(__xludf.DUMMYFUNCTION("""COMPUTED_VALUE"""),"Rarity")</f>
        <v>Rarity</v>
      </c>
      <c r="E1" s="99" t="str">
        <f>IFERROR(__xludf.DUMMYFUNCTION("""COMPUTED_VALUE"""),"Value")</f>
        <v>Value</v>
      </c>
      <c r="F1" s="45" t="s">
        <v>238</v>
      </c>
      <c r="G1" s="45" t="s">
        <v>239</v>
      </c>
      <c r="H1" s="99"/>
      <c r="I1" s="99"/>
      <c r="J1" s="99"/>
    </row>
    <row r="2">
      <c r="A2" s="49" t="str">
        <f>IFERROR(__xludf.DUMMYFUNCTION("""COMPUTED_VALUE"""),"Monster Slayer")</f>
        <v>Monster Slayer</v>
      </c>
      <c r="B2" s="49" t="str">
        <f>IFERROR(__xludf.DUMMYFUNCTION("""COMPUTED_VALUE"""),"Defeat 100 creatures in a row without taking a rest or dying.")</f>
        <v>Defeat 100 creatures in a row without taking a rest or dying.</v>
      </c>
      <c r="C2" s="49" t="str">
        <f>IFERROR(__xludf.DUMMYFUNCTION("""COMPUTED_VALUE"""),"Plus 5 additional Intimidation")</f>
        <v>Plus 5 additional Intimidation</v>
      </c>
      <c r="D2" s="49" t="str">
        <f>IFERROR(__xludf.DUMMYFUNCTION("""COMPUTED_VALUE"""),"Rare")</f>
        <v>Rare</v>
      </c>
      <c r="E2" s="49">
        <f>IFERROR(__xludf.DUMMYFUNCTION("""COMPUTED_VALUE"""),100.0)</f>
        <v>100</v>
      </c>
      <c r="F2" s="19">
        <v>0.0</v>
      </c>
      <c r="G2" s="19" t="b">
        <v>0</v>
      </c>
    </row>
    <row r="3">
      <c r="A3" s="49" t="str">
        <f>IFERROR(__xludf.DUMMYFUNCTION("""COMPUTED_VALUE"""),"Bond of Love")</f>
        <v>Bond of Love</v>
      </c>
      <c r="B3" s="49" t="str">
        <f>IFERROR(__xludf.DUMMYFUNCTION("""COMPUTED_VALUE"""),"Perform a marriage event with another player character or npc.")</f>
        <v>Perform a marriage event with another player character or npc.</v>
      </c>
      <c r="C3" s="49" t="str">
        <f>IFERROR(__xludf.DUMMYFUNCTION("""COMPUTED_VALUE"""),"if your level is less then the player or npc you bonded with you gain X2 HP and X2 SP until one player or npc is equal to the other player or npc's level. ")</f>
        <v>if your level is less then the player or npc you bonded with you gain X2 HP and X2 SP until one player or npc is equal to the other player or npc's level. </v>
      </c>
      <c r="D3" s="49" t="str">
        <f>IFERROR(__xludf.DUMMYFUNCTION("""COMPUTED_VALUE"""),"Common")</f>
        <v>Common</v>
      </c>
      <c r="E3" s="49">
        <f>IFERROR(__xludf.DUMMYFUNCTION("""COMPUTED_VALUE"""),0.0)</f>
        <v>0</v>
      </c>
      <c r="F3" s="19">
        <v>0.0</v>
      </c>
      <c r="G3" s="19" t="b">
        <v>0</v>
      </c>
    </row>
    <row r="4">
      <c r="A4" s="49" t="str">
        <f>IFERROR(__xludf.DUMMYFUNCTION("""COMPUTED_VALUE"""),"Crafter")</f>
        <v>Crafter</v>
      </c>
      <c r="B4" s="49" t="str">
        <f>IFERROR(__xludf.DUMMYFUNCTION("""COMPUTED_VALUE"""),"Perform 3 quests for the same crafter.")</f>
        <v>Perform 3 quests for the same crafter.</v>
      </c>
      <c r="C4" s="49" t="str">
        <f>IFERROR(__xludf.DUMMYFUNCTION("""COMPUTED_VALUE"""),"Gain the Crafter Sub-Class")</f>
        <v>Gain the Crafter Sub-Class</v>
      </c>
      <c r="D4" s="49" t="str">
        <f>IFERROR(__xludf.DUMMYFUNCTION("""COMPUTED_VALUE"""),"Common")</f>
        <v>Common</v>
      </c>
      <c r="E4" s="49">
        <f>IFERROR(__xludf.DUMMYFUNCTION("""COMPUTED_VALUE"""),3.0)</f>
        <v>3</v>
      </c>
      <c r="F4" s="19">
        <v>0.0</v>
      </c>
      <c r="G4" s="19" t="b">
        <v>0</v>
      </c>
    </row>
    <row r="5">
      <c r="A5" s="49" t="str">
        <f>IFERROR(__xludf.DUMMYFUNCTION("""COMPUTED_VALUE"""),"Blacksmith")</f>
        <v>Blacksmith</v>
      </c>
      <c r="B5" s="49" t="str">
        <f>IFERROR(__xludf.DUMMYFUNCTION("""COMPUTED_VALUE"""),"Perform 3 quest for the same blacksmith")</f>
        <v>Perform 3 quest for the same blacksmith</v>
      </c>
      <c r="C5" s="49" t="str">
        <f>IFERROR(__xludf.DUMMYFUNCTION("""COMPUTED_VALUE"""),"Gain the Blacksmith Sub-Class")</f>
        <v>Gain the Blacksmith Sub-Class</v>
      </c>
      <c r="D5" s="49" t="str">
        <f>IFERROR(__xludf.DUMMYFUNCTION("""COMPUTED_VALUE"""),"Common")</f>
        <v>Common</v>
      </c>
      <c r="E5" s="49">
        <f>IFERROR(__xludf.DUMMYFUNCTION("""COMPUTED_VALUE"""),3.0)</f>
        <v>3</v>
      </c>
      <c r="F5" s="19">
        <v>0.0</v>
      </c>
      <c r="G5" s="19" t="b">
        <v>0</v>
      </c>
    </row>
    <row r="6">
      <c r="A6" s="49" t="str">
        <f>IFERROR(__xludf.DUMMYFUNCTION("""COMPUTED_VALUE"""),"Enchanter ")</f>
        <v>Enchanter </v>
      </c>
      <c r="B6" s="49" t="str">
        <f>IFERROR(__xludf.DUMMYFUNCTION("""COMPUTED_VALUE"""),"Perform 3 quests for the same enchanter.")</f>
        <v>Perform 3 quests for the same enchanter.</v>
      </c>
      <c r="C6" s="49" t="str">
        <f>IFERROR(__xludf.DUMMYFUNCTION("""COMPUTED_VALUE"""),"Gain the Enchanter Sub-Class")</f>
        <v>Gain the Enchanter Sub-Class</v>
      </c>
      <c r="D6" s="49" t="str">
        <f>IFERROR(__xludf.DUMMYFUNCTION("""COMPUTED_VALUE"""),"Common")</f>
        <v>Common</v>
      </c>
      <c r="E6" s="49">
        <f>IFERROR(__xludf.DUMMYFUNCTION("""COMPUTED_VALUE"""),3.0)</f>
        <v>3</v>
      </c>
      <c r="F6" s="19">
        <v>0.0</v>
      </c>
      <c r="G6" s="19" t="b">
        <v>0</v>
      </c>
    </row>
    <row r="7">
      <c r="A7" s="49" t="str">
        <f>IFERROR(__xludf.DUMMYFUNCTION("""COMPUTED_VALUE"""),"Alchemist")</f>
        <v>Alchemist</v>
      </c>
      <c r="B7" s="49" t="str">
        <f>IFERROR(__xludf.DUMMYFUNCTION("""COMPUTED_VALUE"""),"Perform 3 quests for the same alchemist.")</f>
        <v>Perform 3 quests for the same alchemist.</v>
      </c>
      <c r="C7" s="49" t="str">
        <f>IFERROR(__xludf.DUMMYFUNCTION("""COMPUTED_VALUE"""),"Gain the Alchemist Sub-Class")</f>
        <v>Gain the Alchemist Sub-Class</v>
      </c>
      <c r="D7" s="49" t="str">
        <f>IFERROR(__xludf.DUMMYFUNCTION("""COMPUTED_VALUE"""),"Common")</f>
        <v>Common</v>
      </c>
      <c r="E7" s="49">
        <f>IFERROR(__xludf.DUMMYFUNCTION("""COMPUTED_VALUE"""),3.0)</f>
        <v>3</v>
      </c>
      <c r="F7" s="19">
        <v>0.0</v>
      </c>
      <c r="G7" s="19" t="b">
        <v>0</v>
      </c>
    </row>
    <row r="8">
      <c r="A8" s="49" t="str">
        <f>IFERROR(__xludf.DUMMYFUNCTION("""COMPUTED_VALUE"""),"Chef")</f>
        <v>Chef</v>
      </c>
      <c r="B8" s="49" t="str">
        <f>IFERROR(__xludf.DUMMYFUNCTION("""COMPUTED_VALUE"""),"Perform 3 quests for the same chef.")</f>
        <v>Perform 3 quests for the same chef.</v>
      </c>
      <c r="C8" s="49" t="str">
        <f>IFERROR(__xludf.DUMMYFUNCTION("""COMPUTED_VALUE"""),"Gain the Chef Sub-Class")</f>
        <v>Gain the Chef Sub-Class</v>
      </c>
      <c r="D8" s="49" t="str">
        <f>IFERROR(__xludf.DUMMYFUNCTION("""COMPUTED_VALUE"""),"Common")</f>
        <v>Common</v>
      </c>
      <c r="E8" s="49">
        <f>IFERROR(__xludf.DUMMYFUNCTION("""COMPUTED_VALUE"""),3.0)</f>
        <v>3</v>
      </c>
      <c r="F8" s="19">
        <v>0.0</v>
      </c>
      <c r="G8" s="19" t="b">
        <v>0</v>
      </c>
    </row>
    <row r="9">
      <c r="A9" s="49" t="str">
        <f>IFERROR(__xludf.DUMMYFUNCTION("""COMPUTED_VALUE"""),"Breeder")</f>
        <v>Breeder</v>
      </c>
      <c r="B9" s="49" t="str">
        <f>IFERROR(__xludf.DUMMYFUNCTION("""COMPUTED_VALUE"""),"Perform 3 quests for the same breeder.")</f>
        <v>Perform 3 quests for the same breeder.</v>
      </c>
      <c r="C9" s="49" t="str">
        <f>IFERROR(__xludf.DUMMYFUNCTION("""COMPUTED_VALUE"""),"Gain the Breeder Sub-Class")</f>
        <v>Gain the Breeder Sub-Class</v>
      </c>
      <c r="D9" s="49" t="str">
        <f>IFERROR(__xludf.DUMMYFUNCTION("""COMPUTED_VALUE"""),"Common")</f>
        <v>Common</v>
      </c>
      <c r="E9" s="49">
        <f>IFERROR(__xludf.DUMMYFUNCTION("""COMPUTED_VALUE"""),3.0)</f>
        <v>3</v>
      </c>
      <c r="F9" s="19">
        <v>0.0</v>
      </c>
      <c r="G9" s="19" t="b">
        <v>0</v>
      </c>
    </row>
    <row r="10">
      <c r="A10" s="49" t="str">
        <f>IFERROR(__xludf.DUMMYFUNCTION("""COMPUTED_VALUE"""),"Spira Guard")</f>
        <v>Spira Guard</v>
      </c>
      <c r="B10" s="49" t="str">
        <f>IFERROR(__xludf.DUMMYFUNCTION("""COMPUTED_VALUE"""),"Perform 3 quests for the same Spira Guard.")</f>
        <v>Perform 3 quests for the same Spira Guard.</v>
      </c>
      <c r="C10" s="49" t="str">
        <f>IFERROR(__xludf.DUMMYFUNCTION("""COMPUTED_VALUE"""),"Gain the Spira Guard Sub-Class")</f>
        <v>Gain the Spira Guard Sub-Class</v>
      </c>
      <c r="D10" s="49" t="str">
        <f>IFERROR(__xludf.DUMMYFUNCTION("""COMPUTED_VALUE"""),"Common")</f>
        <v>Common</v>
      </c>
      <c r="E10" s="49">
        <f>IFERROR(__xludf.DUMMYFUNCTION("""COMPUTED_VALUE"""),3.0)</f>
        <v>3</v>
      </c>
      <c r="F10" s="19">
        <v>0.0</v>
      </c>
      <c r="G10" s="19" t="b">
        <v>0</v>
      </c>
    </row>
    <row r="11">
      <c r="A11" s="49" t="str">
        <f>IFERROR(__xludf.DUMMYFUNCTION("""COMPUTED_VALUE"""),"Frozen Body")</f>
        <v>Frozen Body</v>
      </c>
      <c r="B11" s="49" t="str">
        <f>IFERROR(__xludf.DUMMYFUNCTION("""COMPUTED_VALUE"""),"Die while frozen")</f>
        <v>Die while frozen</v>
      </c>
      <c r="C11" s="49" t="str">
        <f>IFERROR(__xludf.DUMMYFUNCTION("""COMPUTED_VALUE"""),"Immune to Water damage.")</f>
        <v>Immune to Water damage.</v>
      </c>
      <c r="D11" s="49" t="str">
        <f>IFERROR(__xludf.DUMMYFUNCTION("""COMPUTED_VALUE"""),"Uncommon")</f>
        <v>Uncommon</v>
      </c>
      <c r="E11" s="49">
        <f>IFERROR(__xludf.DUMMYFUNCTION("""COMPUTED_VALUE"""),0.0)</f>
        <v>0</v>
      </c>
      <c r="F11" s="19">
        <v>0.0</v>
      </c>
      <c r="G11" s="19" t="b">
        <v>0</v>
      </c>
    </row>
    <row r="12">
      <c r="A12" s="49" t="str">
        <f>IFERROR(__xludf.DUMMYFUNCTION("""COMPUTED_VALUE"""),"Dragon Tamer")</f>
        <v>Dragon Tamer</v>
      </c>
      <c r="B12" s="49" t="str">
        <f>IFERROR(__xludf.DUMMYFUNCTION("""COMPUTED_VALUE"""),"Succesfully tamed 3 dragons.")</f>
        <v>Succesfully tamed 3 dragons.</v>
      </c>
      <c r="C12" s="49" t="str">
        <f>IFERROR(__xludf.DUMMYFUNCTION("""COMPUTED_VALUE"""),"Can give up your turn to give a companion another turn if the companion is a dragon.")</f>
        <v>Can give up your turn to give a companion another turn if the companion is a dragon.</v>
      </c>
      <c r="D12" s="49" t="str">
        <f>IFERROR(__xludf.DUMMYFUNCTION("""COMPUTED_VALUE"""),"Uncommon")</f>
        <v>Uncommon</v>
      </c>
      <c r="E12" s="49">
        <f>IFERROR(__xludf.DUMMYFUNCTION("""COMPUTED_VALUE"""),3.0)</f>
        <v>3</v>
      </c>
      <c r="F12" s="19">
        <v>0.0</v>
      </c>
      <c r="G12" s="19" t="b">
        <v>0</v>
      </c>
    </row>
    <row r="13">
      <c r="A13" s="49" t="str">
        <f>IFERROR(__xludf.DUMMYFUNCTION("""COMPUTED_VALUE"""),"Researcher ")</f>
        <v>Researcher </v>
      </c>
      <c r="B13" s="49" t="str">
        <f>IFERROR(__xludf.DUMMYFUNCTION("""COMPUTED_VALUE"""),"Get to the end of 20 dungeons.")</f>
        <v>Get to the end of 20 dungeons.</v>
      </c>
      <c r="C13" s="49" t="str">
        <f>IFERROR(__xludf.DUMMYFUNCTION("""COMPUTED_VALUE"""),"You may reroll once while determining the tier of a chest.")</f>
        <v>You may reroll once while determining the tier of a chest.</v>
      </c>
      <c r="D13" s="49" t="str">
        <f>IFERROR(__xludf.DUMMYFUNCTION("""COMPUTED_VALUE"""),"Uncommon")</f>
        <v>Uncommon</v>
      </c>
      <c r="E13" s="49">
        <f>IFERROR(__xludf.DUMMYFUNCTION("""COMPUTED_VALUE"""),20.0)</f>
        <v>20</v>
      </c>
      <c r="F13" s="19">
        <v>0.0</v>
      </c>
      <c r="G13" s="19" t="b">
        <v>0</v>
      </c>
    </row>
    <row r="14">
      <c r="A14" s="49" t="str">
        <f>IFERROR(__xludf.DUMMYFUNCTION("""COMPUTED_VALUE"""),"Sage ")</f>
        <v>Sage </v>
      </c>
      <c r="B14" s="49" t="str">
        <f>IFERROR(__xludf.DUMMYFUNCTION("""COMPUTED_VALUE"""),"Find 20+ scrolls in a single adventure.")</f>
        <v>Find 20+ scrolls in a single adventure.</v>
      </c>
      <c r="C14" s="49" t="str">
        <f>IFERROR(__xludf.DUMMYFUNCTION("""COMPUTED_VALUE"""),"Duplicate a spell scroll for 1,000G")</f>
        <v>Duplicate a spell scroll for 1,000G</v>
      </c>
      <c r="D14" s="49" t="str">
        <f>IFERROR(__xludf.DUMMYFUNCTION("""COMPUTED_VALUE"""),"Rare")</f>
        <v>Rare</v>
      </c>
      <c r="E14" s="49">
        <f>IFERROR(__xludf.DUMMYFUNCTION("""COMPUTED_VALUE"""),20.0)</f>
        <v>20</v>
      </c>
      <c r="F14" s="19">
        <v>0.0</v>
      </c>
      <c r="G14" s="19" t="b">
        <v>0</v>
      </c>
    </row>
    <row r="15">
      <c r="A15" s="49" t="str">
        <f>IFERROR(__xludf.DUMMYFUNCTION("""COMPUTED_VALUE"""),"More Souls!")</f>
        <v>More Souls!</v>
      </c>
      <c r="B15" s="49" t="str">
        <f>IFERROR(__xludf.DUMMYFUNCTION("""COMPUTED_VALUE"""),"Collect 1000 souls.")</f>
        <v>Collect 1000 souls.</v>
      </c>
      <c r="C15" s="49" t="str">
        <f>IFERROR(__xludf.DUMMYFUNCTION("""COMPUTED_VALUE"""),"Guaranteed an extra soul each battle if the enemy drops a soul.")</f>
        <v>Guaranteed an extra soul each battle if the enemy drops a soul.</v>
      </c>
      <c r="D15" s="49" t="str">
        <f>IFERROR(__xludf.DUMMYFUNCTION("""COMPUTED_VALUE"""),"Rare")</f>
        <v>Rare</v>
      </c>
      <c r="E15" s="49">
        <f>IFERROR(__xludf.DUMMYFUNCTION("""COMPUTED_VALUE"""),1000.0)</f>
        <v>1000</v>
      </c>
      <c r="F15" s="19">
        <v>0.0</v>
      </c>
      <c r="G15" s="19" t="b">
        <v>0</v>
      </c>
    </row>
    <row r="16">
      <c r="A16" s="49" t="str">
        <f>IFERROR(__xludf.DUMMYFUNCTION("""COMPUTED_VALUE"""),"I am God!")</f>
        <v>I am God!</v>
      </c>
      <c r="B16" s="49" t="str">
        <f>IFERROR(__xludf.DUMMYFUNCTION("""COMPUTED_VALUE"""),"Reach level 24,000 and request permission from the current DM/GM.")</f>
        <v>Reach level 24,000 and request permission from the current DM/GM.</v>
      </c>
      <c r="C16" s="49" t="str">
        <f>IFERROR(__xludf.DUMMYFUNCTION("""COMPUTED_VALUE"""),"You take no damage, you are unaffected by spells/powers, and/or status effects, you become level 100,000,000, any target you attack dies instantly, they cannot resist or be immune to your attacks. You are unnafected by Item/equipment abilities, you can no"&amp;" longer take part in quests, events, or get loot drops or treasure chest loot.")</f>
        <v>You take no damage, you are unaffected by spells/powers, and/or status effects, you become level 100,000,000, any target you attack dies instantly, they cannot resist or be immune to your attacks. You are unnafected by Item/equipment abilities, you can no longer take part in quests, events, or get loot drops or treasure chest loot.</v>
      </c>
      <c r="D16" s="49" t="str">
        <f>IFERROR(__xludf.DUMMYFUNCTION("""COMPUTED_VALUE"""),"Legendary")</f>
        <v>Legendary</v>
      </c>
      <c r="E16" s="49">
        <f>IFERROR(__xludf.DUMMYFUNCTION("""COMPUTED_VALUE"""),24000.0)</f>
        <v>24000</v>
      </c>
      <c r="F16" s="19">
        <v>0.0</v>
      </c>
      <c r="G16" s="19" t="b">
        <v>0</v>
      </c>
    </row>
    <row r="17">
      <c r="A17" s="49" t="str">
        <f>IFERROR(__xludf.DUMMYFUNCTION("""COMPUTED_VALUE"""),"Herb Hunter")</f>
        <v>Herb Hunter</v>
      </c>
      <c r="B17" s="49" t="str">
        <f>IFERROR(__xludf.DUMMYFUNCTION("""COMPUTED_VALUE"""),"Collect 100 herbs")</f>
        <v>Collect 100 herbs</v>
      </c>
      <c r="C17" s="49" t="str">
        <f>IFERROR(__xludf.DUMMYFUNCTION("""COMPUTED_VALUE"""),"You will receive a duplicate of the herb you found/chose while searching for herbs.")</f>
        <v>You will receive a duplicate of the herb you found/chose while searching for herbs.</v>
      </c>
      <c r="D17" s="49" t="str">
        <f>IFERROR(__xludf.DUMMYFUNCTION("""COMPUTED_VALUE"""),"Common")</f>
        <v>Common</v>
      </c>
      <c r="E17" s="49">
        <f>IFERROR(__xludf.DUMMYFUNCTION("""COMPUTED_VALUE"""),100.0)</f>
        <v>100</v>
      </c>
      <c r="F17" s="19">
        <v>0.0</v>
      </c>
      <c r="G17" s="19" t="b">
        <v>0</v>
      </c>
    </row>
    <row r="18">
      <c r="A18" s="49" t="str">
        <f>IFERROR(__xludf.DUMMYFUNCTION("""COMPUTED_VALUE"""),"I'm The Boss")</f>
        <v>I'm The Boss</v>
      </c>
      <c r="B18" s="49" t="str">
        <f>IFERROR(__xludf.DUMMYFUNCTION("""COMPUTED_VALUE"""),"Consume 5 souls from 20 different bosses and gain their transformation spell.")</f>
        <v>Consume 5 souls from 20 different bosses and gain their transformation spell.</v>
      </c>
      <c r="C18" s="49" t="str">
        <f>IFERROR(__xludf.DUMMYFUNCTION("""COMPUTED_VALUE"""),"None")</f>
        <v>None</v>
      </c>
      <c r="D18" s="49" t="str">
        <f>IFERROR(__xludf.DUMMYFUNCTION("""COMPUTED_VALUE"""),"Rare")</f>
        <v>Rare</v>
      </c>
      <c r="E18" s="49">
        <f>IFERROR(__xludf.DUMMYFUNCTION("""COMPUTED_VALUE"""),20.0)</f>
        <v>20</v>
      </c>
      <c r="F18" s="19">
        <v>0.0</v>
      </c>
      <c r="G18" s="19" t="b">
        <v>0</v>
      </c>
    </row>
    <row r="19">
      <c r="A19" s="49" t="str">
        <f>IFERROR(__xludf.DUMMYFUNCTION("""COMPUTED_VALUE"""),"Dungeoneer")</f>
        <v>Dungeoneer</v>
      </c>
      <c r="B19" s="49" t="str">
        <f>IFERROR(__xludf.DUMMYFUNCTION("""COMPUTED_VALUE"""),"Defeat a dungeon without dying or taking any damage.")</f>
        <v>Defeat a dungeon without dying or taking any damage.</v>
      </c>
      <c r="C19" s="49" t="str">
        <f>IFERROR(__xludf.DUMMYFUNCTION("""COMPUTED_VALUE"""),"If you die in a dungeon you may fight the enemies in the current room once more instead of going back to the begining of the dungeon. This ability can be applied once per floor in a dungeon.")</f>
        <v>If you die in a dungeon you may fight the enemies in the current room once more instead of going back to the begining of the dungeon. This ability can be applied once per floor in a dungeon.</v>
      </c>
      <c r="D19" s="49" t="str">
        <f>IFERROR(__xludf.DUMMYFUNCTION("""COMPUTED_VALUE"""),"Legendary")</f>
        <v>Legendary</v>
      </c>
      <c r="E19" s="49">
        <f>IFERROR(__xludf.DUMMYFUNCTION("""COMPUTED_VALUE"""),0.0)</f>
        <v>0</v>
      </c>
      <c r="F19" s="19">
        <v>0.0</v>
      </c>
      <c r="G19" s="19" t="b">
        <v>0</v>
      </c>
    </row>
    <row r="20">
      <c r="A20" s="49" t="str">
        <f>IFERROR(__xludf.DUMMYFUNCTION("""COMPUTED_VALUE"""),"Welcome to The Land of Spira")</f>
        <v>Welcome to The Land of Spira</v>
      </c>
      <c r="B20" s="49" t="str">
        <f>IFERROR(__xludf.DUMMYFUNCTION("""COMPUTED_VALUE"""),"Play The Phantom of Spira for the first time.")</f>
        <v>Play The Phantom of Spira for the first time.</v>
      </c>
      <c r="C20" s="49" t="str">
        <f>IFERROR(__xludf.DUMMYFUNCTION("""COMPUTED_VALUE"""),"None")</f>
        <v>None</v>
      </c>
      <c r="D20" s="49" t="str">
        <f>IFERROR(__xludf.DUMMYFUNCTION("""COMPUTED_VALUE"""),"Common")</f>
        <v>Common</v>
      </c>
      <c r="E20" s="49">
        <f>IFERROR(__xludf.DUMMYFUNCTION("""COMPUTED_VALUE"""),0.0)</f>
        <v>0</v>
      </c>
      <c r="F20" s="19">
        <v>0.0</v>
      </c>
      <c r="G20" s="19" t="b">
        <v>0</v>
      </c>
    </row>
    <row r="21">
      <c r="A21" s="49" t="str">
        <f>IFERROR(__xludf.DUMMYFUNCTION("""COMPUTED_VALUE"""),"An Unexpected Presence ")</f>
        <v>An Unexpected Presence </v>
      </c>
      <c r="B21" s="49" t="str">
        <f>IFERROR(__xludf.DUMMYFUNCTION("""COMPUTED_VALUE"""),"Meet the 2 co-founders of The Phantom of Spira in game or in person.")</f>
        <v>Meet the 2 co-founders of The Phantom of Spira in game or in person.</v>
      </c>
      <c r="C21" s="49" t="str">
        <f>IFERROR(__xludf.DUMMYFUNCTION("""COMPUTED_VALUE"""),"None")</f>
        <v>None</v>
      </c>
      <c r="D21" s="49" t="str">
        <f>IFERROR(__xludf.DUMMYFUNCTION("""COMPUTED_VALUE"""),"Legendary")</f>
        <v>Legendary</v>
      </c>
      <c r="E21" s="49">
        <f>IFERROR(__xludf.DUMMYFUNCTION("""COMPUTED_VALUE"""),2.0)</f>
        <v>2</v>
      </c>
      <c r="F21" s="19">
        <v>0.0</v>
      </c>
      <c r="G21" s="19" t="b">
        <v>0</v>
      </c>
    </row>
    <row r="22">
      <c r="A22" s="49" t="str">
        <f>IFERROR(__xludf.DUMMYFUNCTION("""COMPUTED_VALUE"""),"An Unexpected Traveler")</f>
        <v>An Unexpected Traveler</v>
      </c>
      <c r="B22" s="49" t="str">
        <f>IFERROR(__xludf.DUMMYFUNCTION("""COMPUTED_VALUE"""),"Partake in a TPOS game session with a game developer.")</f>
        <v>Partake in a TPOS game session with a game developer.</v>
      </c>
      <c r="C22" s="49" t="str">
        <f>IFERROR(__xludf.DUMMYFUNCTION("""COMPUTED_VALUE"""),"None")</f>
        <v>None</v>
      </c>
      <c r="D22" s="49" t="str">
        <f>IFERROR(__xludf.DUMMYFUNCTION("""COMPUTED_VALUE"""),"Common")</f>
        <v>Common</v>
      </c>
      <c r="E22" s="49">
        <f>IFERROR(__xludf.DUMMYFUNCTION("""COMPUTED_VALUE"""),0.0)</f>
        <v>0</v>
      </c>
      <c r="F22" s="19">
        <v>0.0</v>
      </c>
      <c r="G22" s="19" t="b">
        <v>0</v>
      </c>
    </row>
    <row r="23">
      <c r="A23" s="49" t="str">
        <f>IFERROR(__xludf.DUMMYFUNCTION("""COMPUTED_VALUE"""),"Make a Wish")</f>
        <v>Make a Wish</v>
      </c>
      <c r="B23" s="49" t="str">
        <f>IFERROR(__xludf.DUMMYFUNCTION("""COMPUTED_VALUE"""),"Encounter the rare seahorse within the ocean of Spira.")</f>
        <v>Encounter the rare seahorse within the ocean of Spira.</v>
      </c>
      <c r="C23" s="49" t="str">
        <f>IFERROR(__xludf.DUMMYFUNCTION("""COMPUTED_VALUE"""),"None")</f>
        <v>None</v>
      </c>
      <c r="D23" s="49" t="str">
        <f>IFERROR(__xludf.DUMMYFUNCTION("""COMPUTED_VALUE"""),"Rare")</f>
        <v>Rare</v>
      </c>
      <c r="E23" s="49">
        <f>IFERROR(__xludf.DUMMYFUNCTION("""COMPUTED_VALUE"""),0.0)</f>
        <v>0</v>
      </c>
      <c r="F23" s="19">
        <v>0.0</v>
      </c>
      <c r="G23" s="19" t="b">
        <v>0</v>
      </c>
    </row>
    <row r="24">
      <c r="A24" s="49" t="str">
        <f>IFERROR(__xludf.DUMMYFUNCTION("""COMPUTED_VALUE"""),"RUN!")</f>
        <v>RUN!</v>
      </c>
      <c r="B24" s="49" t="str">
        <f>IFERROR(__xludf.DUMMYFUNCTION("""COMPUTED_VALUE"""),"Flee from battle succesfully 50 times.")</f>
        <v>Flee from battle succesfully 50 times.</v>
      </c>
      <c r="C24" s="49" t="str">
        <f>IFERROR(__xludf.DUMMYFUNCTION("""COMPUTED_VALUE"""),"Plus 5 additional mobility.")</f>
        <v>Plus 5 additional mobility.</v>
      </c>
      <c r="D24" s="49" t="str">
        <f>IFERROR(__xludf.DUMMYFUNCTION("""COMPUTED_VALUE"""),"Rare")</f>
        <v>Rare</v>
      </c>
      <c r="E24" s="49">
        <f>IFERROR(__xludf.DUMMYFUNCTION("""COMPUTED_VALUE"""),50.0)</f>
        <v>50</v>
      </c>
      <c r="F24" s="19">
        <v>0.0</v>
      </c>
      <c r="G24" s="19" t="b">
        <v>0</v>
      </c>
    </row>
    <row r="25">
      <c r="A25" s="49" t="str">
        <f>IFERROR(__xludf.DUMMYFUNCTION("""COMPUTED_VALUE"""),"Not Guilty!")</f>
        <v>Not Guilty!</v>
      </c>
      <c r="B25" s="49" t="str">
        <f>IFERROR(__xludf.DUMMYFUNCTION("""COMPUTED_VALUE"""),"Convince a judge that you were wrongfully accused of a crime.")</f>
        <v>Convince a judge that you were wrongfully accused of a crime.</v>
      </c>
      <c r="C25" s="49" t="str">
        <f>IFERROR(__xludf.DUMMYFUNCTION("""COMPUTED_VALUE"""),"Plus 5 additional charisma")</f>
        <v>Plus 5 additional charisma</v>
      </c>
      <c r="D25" s="49" t="str">
        <f>IFERROR(__xludf.DUMMYFUNCTION("""COMPUTED_VALUE"""),"Rare")</f>
        <v>Rare</v>
      </c>
      <c r="E25" s="49">
        <f>IFERROR(__xludf.DUMMYFUNCTION("""COMPUTED_VALUE"""),0.0)</f>
        <v>0</v>
      </c>
      <c r="F25" s="19">
        <v>0.0</v>
      </c>
      <c r="G25" s="19" t="b">
        <v>0</v>
      </c>
    </row>
    <row r="26">
      <c r="A26" s="49" t="str">
        <f>IFERROR(__xludf.DUMMYFUNCTION("""COMPUTED_VALUE"""),"Commiting crimes against Spira are we?")</f>
        <v>Commiting crimes against Spira are we?</v>
      </c>
      <c r="B26" s="49" t="str">
        <f>IFERROR(__xludf.DUMMYFUNCTION("""COMPUTED_VALUE"""),"Arrest 100 NPC's and/or players.")</f>
        <v>Arrest 100 NPC's and/or players.</v>
      </c>
      <c r="C26" s="49" t="str">
        <f>IFERROR(__xludf.DUMMYFUNCTION("""COMPUTED_VALUE"""),"Plus 5 additional mobility while arresting a target.")</f>
        <v>Plus 5 additional mobility while arresting a target.</v>
      </c>
      <c r="D26" s="49" t="str">
        <f>IFERROR(__xludf.DUMMYFUNCTION("""COMPUTED_VALUE"""),"Uncommon")</f>
        <v>Uncommon</v>
      </c>
      <c r="E26" s="49">
        <f>IFERROR(__xludf.DUMMYFUNCTION("""COMPUTED_VALUE"""),100.0)</f>
        <v>100</v>
      </c>
      <c r="F26" s="19">
        <v>0.0</v>
      </c>
      <c r="G26" s="19" t="b">
        <v>0</v>
      </c>
    </row>
    <row r="27">
      <c r="A27" s="49" t="str">
        <f>IFERROR(__xludf.DUMMYFUNCTION("""COMPUTED_VALUE"""),"Peek A Boo, I see you")</f>
        <v>Peek A Boo, I see you</v>
      </c>
      <c r="B27" s="49" t="str">
        <f>IFERROR(__xludf.DUMMYFUNCTION("""COMPUTED_VALUE"""),"Prevent 100 possesions")</f>
        <v>Prevent 100 possesions</v>
      </c>
      <c r="C27" s="49" t="str">
        <f>IFERROR(__xludf.DUMMYFUNCTION("""COMPUTED_VALUE"""),"None")</f>
        <v>None</v>
      </c>
      <c r="D27" s="49" t="str">
        <f>IFERROR(__xludf.DUMMYFUNCTION("""COMPUTED_VALUE"""),"Uncommon")</f>
        <v>Uncommon</v>
      </c>
      <c r="E27" s="49">
        <f>IFERROR(__xludf.DUMMYFUNCTION("""COMPUTED_VALUE"""),100.0)</f>
        <v>100</v>
      </c>
      <c r="F27" s="19">
        <v>0.0</v>
      </c>
      <c r="G27" s="19" t="b">
        <v>0</v>
      </c>
    </row>
    <row r="28">
      <c r="A28" s="49" t="str">
        <f>IFERROR(__xludf.DUMMYFUNCTION("""COMPUTED_VALUE"""),"Can't Catch Me!")</f>
        <v>Can't Catch Me!</v>
      </c>
      <c r="B28" s="49" t="str">
        <f>IFERROR(__xludf.DUMMYFUNCTION("""COMPUTED_VALUE"""),"Dodge 100 enemy attacks using your evasion.")</f>
        <v>Dodge 100 enemy attacks using your evasion.</v>
      </c>
      <c r="C28" s="49" t="str">
        <f>IFERROR(__xludf.DUMMYFUNCTION("""COMPUTED_VALUE"""),"Plus 5 additional evasion.")</f>
        <v>Plus 5 additional evasion.</v>
      </c>
      <c r="D28" s="49" t="str">
        <f>IFERROR(__xludf.DUMMYFUNCTION("""COMPUTED_VALUE"""),"Uncommon")</f>
        <v>Uncommon</v>
      </c>
      <c r="E28" s="49">
        <f>IFERROR(__xludf.DUMMYFUNCTION("""COMPUTED_VALUE"""),100.0)</f>
        <v>100</v>
      </c>
      <c r="F28" s="19">
        <v>0.0</v>
      </c>
      <c r="G28" s="19" t="b">
        <v>0</v>
      </c>
    </row>
    <row r="29">
      <c r="A29" s="49" t="str">
        <f>IFERROR(__xludf.DUMMYFUNCTION("""COMPUTED_VALUE"""),"Master Blacksmith")</f>
        <v>Master Blacksmith</v>
      </c>
      <c r="B29" s="49" t="str">
        <f>IFERROR(__xludf.DUMMYFUNCTION("""COMPUTED_VALUE"""),"Forge 1000 items")</f>
        <v>Forge 1000 items</v>
      </c>
      <c r="C29" s="49" t="str">
        <f>IFERROR(__xludf.DUMMYFUNCTION("""COMPUTED_VALUE"""),"Plus 5 to your forging rolls.")</f>
        <v>Plus 5 to your forging rolls.</v>
      </c>
      <c r="D29" s="49" t="str">
        <f>IFERROR(__xludf.DUMMYFUNCTION("""COMPUTED_VALUE"""),"Rare")</f>
        <v>Rare</v>
      </c>
      <c r="E29" s="49">
        <f>IFERROR(__xludf.DUMMYFUNCTION("""COMPUTED_VALUE"""),1000.0)</f>
        <v>1000</v>
      </c>
      <c r="F29" s="19">
        <v>0.0</v>
      </c>
      <c r="G29" s="19" t="b">
        <v>0</v>
      </c>
    </row>
    <row r="30">
      <c r="A30" s="49" t="str">
        <f>IFERROR(__xludf.DUMMYFUNCTION("""COMPUTED_VALUE"""),"Third Time's The Charm")</f>
        <v>Third Time's The Charm</v>
      </c>
      <c r="B30" s="49" t="str">
        <f>IFERROR(__xludf.DUMMYFUNCTION("""COMPUTED_VALUE"""),"Beat any boss on the third attempt")</f>
        <v>Beat any boss on the third attempt</v>
      </c>
      <c r="C30" s="49" t="str">
        <f>IFERROR(__xludf.DUMMYFUNCTION("""COMPUTED_VALUE"""),"None")</f>
        <v>None</v>
      </c>
      <c r="D30" s="49" t="str">
        <f>IFERROR(__xludf.DUMMYFUNCTION("""COMPUTED_VALUE"""),"Uncommon")</f>
        <v>Uncommon</v>
      </c>
      <c r="E30" s="49">
        <f>IFERROR(__xludf.DUMMYFUNCTION("""COMPUTED_VALUE"""),0.0)</f>
        <v>0</v>
      </c>
      <c r="F30" s="19">
        <v>0.0</v>
      </c>
      <c r="G30" s="19" t="b">
        <v>0</v>
      </c>
    </row>
    <row r="31">
      <c r="A31" s="49" t="str">
        <f>IFERROR(__xludf.DUMMYFUNCTION("""COMPUTED_VALUE"""),"First Try")</f>
        <v>First Try</v>
      </c>
      <c r="B31" s="49" t="str">
        <f>IFERROR(__xludf.DUMMYFUNCTION("""COMPUTED_VALUE"""),"Beat any boss equal or greater than your level on the first attempt")</f>
        <v>Beat any boss equal or greater than your level on the first attempt</v>
      </c>
      <c r="C31" s="49" t="str">
        <f>IFERROR(__xludf.DUMMYFUNCTION("""COMPUTED_VALUE"""),"None")</f>
        <v>None</v>
      </c>
      <c r="D31" s="49" t="str">
        <f>IFERROR(__xludf.DUMMYFUNCTION("""COMPUTED_VALUE"""),"Rare")</f>
        <v>Rare</v>
      </c>
      <c r="E31" s="49">
        <f>IFERROR(__xludf.DUMMYFUNCTION("""COMPUTED_VALUE"""),0.0)</f>
        <v>0</v>
      </c>
      <c r="F31" s="19">
        <v>0.0</v>
      </c>
      <c r="G31" s="19" t="b">
        <v>0</v>
      </c>
    </row>
    <row r="32">
      <c r="A32" s="49" t="str">
        <f>IFERROR(__xludf.DUMMYFUNCTION("""COMPUTED_VALUE"""),"It's Party time!")</f>
        <v>It's Party time!</v>
      </c>
      <c r="B32" s="49" t="str">
        <f>IFERROR(__xludf.DUMMYFUNCTION("""COMPUTED_VALUE"""),"Restore 100 party members HP and SP.")</f>
        <v>Restore 100 party members HP and SP.</v>
      </c>
      <c r="C32" s="49" t="str">
        <f>IFERROR(__xludf.DUMMYFUNCTION("""COMPUTED_VALUE"""),"Double the HP and SP you gain when restoring HP or SP to self or targets.")</f>
        <v>Double the HP and SP you gain when restoring HP or SP to self or targets.</v>
      </c>
      <c r="D32" s="49" t="str">
        <f>IFERROR(__xludf.DUMMYFUNCTION("""COMPUTED_VALUE"""),"Uncommon")</f>
        <v>Uncommon</v>
      </c>
      <c r="E32" s="49">
        <f>IFERROR(__xludf.DUMMYFUNCTION("""COMPUTED_VALUE"""),100.0)</f>
        <v>100</v>
      </c>
      <c r="F32" s="19">
        <v>0.0</v>
      </c>
      <c r="G32" s="19" t="b">
        <v>0</v>
      </c>
    </row>
    <row r="33">
      <c r="A33" s="49" t="str">
        <f>IFERROR(__xludf.DUMMYFUNCTION("""COMPUTED_VALUE"""),"Can't Touch This")</f>
        <v>Can't Touch This</v>
      </c>
      <c r="B33" s="49" t="str">
        <f>IFERROR(__xludf.DUMMYFUNCTION("""COMPUTED_VALUE"""),"Dodge 5+ attacks in a row")</f>
        <v>Dodge 5+ attacks in a row</v>
      </c>
      <c r="C33" s="49" t="str">
        <f>IFERROR(__xludf.DUMMYFUNCTION("""COMPUTED_VALUE"""),"Plus 5 additional evasion.")</f>
        <v>Plus 5 additional evasion.</v>
      </c>
      <c r="D33" s="49" t="str">
        <f>IFERROR(__xludf.DUMMYFUNCTION("""COMPUTED_VALUE"""),"Rare")</f>
        <v>Rare</v>
      </c>
      <c r="E33" s="49">
        <f>IFERROR(__xludf.DUMMYFUNCTION("""COMPUTED_VALUE"""),5.0)</f>
        <v>5</v>
      </c>
      <c r="F33" s="19">
        <v>0.0</v>
      </c>
      <c r="G33" s="19" t="b">
        <v>0</v>
      </c>
    </row>
    <row r="34">
      <c r="A34" s="49" t="str">
        <f>IFERROR(__xludf.DUMMYFUNCTION("""COMPUTED_VALUE"""),"No Where To Go?")</f>
        <v>No Where To Go?</v>
      </c>
      <c r="B34" s="49" t="str">
        <f>IFERROR(__xludf.DUMMYFUNCTION("""COMPUTED_VALUE"""),"Stun 100 enemies.")</f>
        <v>Stun 100 enemies.</v>
      </c>
      <c r="C34" s="49" t="str">
        <f>IFERROR(__xludf.DUMMYFUNCTION("""COMPUTED_VALUE"""),"Stunned enemies are stunned for an additional round.")</f>
        <v>Stunned enemies are stunned for an additional round.</v>
      </c>
      <c r="D34" s="49" t="str">
        <f>IFERROR(__xludf.DUMMYFUNCTION("""COMPUTED_VALUE"""),"Rare")</f>
        <v>Rare</v>
      </c>
      <c r="E34" s="49">
        <f>IFERROR(__xludf.DUMMYFUNCTION("""COMPUTED_VALUE"""),100.0)</f>
        <v>100</v>
      </c>
      <c r="F34" s="19">
        <v>0.0</v>
      </c>
      <c r="G34" s="19" t="b">
        <v>0</v>
      </c>
    </row>
    <row r="35">
      <c r="A35" s="49" t="str">
        <f>IFERROR(__xludf.DUMMYFUNCTION("""COMPUTED_VALUE"""),"Globetrotter")</f>
        <v>Globetrotter</v>
      </c>
      <c r="B35" s="49" t="str">
        <f>IFERROR(__xludf.DUMMYFUNCTION("""COMPUTED_VALUE"""),"Visit every named area in The Land of Spira, Abstara, and Solreach.")</f>
        <v>Visit every named area in The Land of Spira, Abstara, and Solreach.</v>
      </c>
      <c r="C35" s="49" t="str">
        <f>IFERROR(__xludf.DUMMYFUNCTION("""COMPUTED_VALUE"""),"None")</f>
        <v>None</v>
      </c>
      <c r="D35" s="49" t="str">
        <f>IFERROR(__xludf.DUMMYFUNCTION("""COMPUTED_VALUE"""),"Legendary")</f>
        <v>Legendary</v>
      </c>
      <c r="E35" s="49">
        <f>IFERROR(__xludf.DUMMYFUNCTION("""COMPUTED_VALUE"""),0.0)</f>
        <v>0</v>
      </c>
      <c r="F35" s="19">
        <v>0.0</v>
      </c>
      <c r="G35" s="19" t="b">
        <v>0</v>
      </c>
    </row>
    <row r="36">
      <c r="A36" s="49" t="str">
        <f>IFERROR(__xludf.DUMMYFUNCTION("""COMPUTED_VALUE"""),"The Forzen Realm")</f>
        <v>The Forzen Realm</v>
      </c>
      <c r="B36" s="49" t="str">
        <f>IFERROR(__xludf.DUMMYFUNCTION("""COMPUTED_VALUE"""),"Freeze all enemies during  battle and kill them without them unfreezing.")</f>
        <v>Freeze all enemies during  battle and kill them without them unfreezing.</v>
      </c>
      <c r="C36" s="49" t="str">
        <f>IFERROR(__xludf.DUMMYFUNCTION("""COMPUTED_VALUE"""),"None")</f>
        <v>None</v>
      </c>
      <c r="D36" s="49" t="str">
        <f>IFERROR(__xludf.DUMMYFUNCTION("""COMPUTED_VALUE"""),"Rare")</f>
        <v>Rare</v>
      </c>
      <c r="E36" s="49">
        <f>IFERROR(__xludf.DUMMYFUNCTION("""COMPUTED_VALUE"""),0.0)</f>
        <v>0</v>
      </c>
      <c r="F36" s="19">
        <v>0.0</v>
      </c>
      <c r="G36" s="19" t="b">
        <v>0</v>
      </c>
    </row>
    <row r="37">
      <c r="A37" s="49" t="str">
        <f>IFERROR(__xludf.DUMMYFUNCTION("""COMPUTED_VALUE"""),"World Weary Traveler")</f>
        <v>World Weary Traveler</v>
      </c>
      <c r="B37" s="49" t="str">
        <f>IFERROR(__xludf.DUMMYFUNCTION("""COMPUTED_VALUE"""),"Spend 1000 in game days traveling")</f>
        <v>Spend 1000 in game days traveling</v>
      </c>
      <c r="C37" s="49" t="str">
        <f>IFERROR(__xludf.DUMMYFUNCTION("""COMPUTED_VALUE"""),"15% chance of a bad day being neutral during each bad day of travel.")</f>
        <v>15% chance of a bad day being neutral during each bad day of travel.</v>
      </c>
      <c r="D37" s="49" t="str">
        <f>IFERROR(__xludf.DUMMYFUNCTION("""COMPUTED_VALUE"""),"Legendary")</f>
        <v>Legendary</v>
      </c>
      <c r="E37" s="49">
        <f>IFERROR(__xludf.DUMMYFUNCTION("""COMPUTED_VALUE"""),1000.0)</f>
        <v>1000</v>
      </c>
      <c r="F37" s="19">
        <v>0.0</v>
      </c>
      <c r="G37" s="19" t="b">
        <v>0</v>
      </c>
    </row>
    <row r="38">
      <c r="A38" s="49" t="str">
        <f>IFERROR(__xludf.DUMMYFUNCTION("""COMPUTED_VALUE"""),"Long Distance Sprint")</f>
        <v>Long Distance Sprint</v>
      </c>
      <c r="B38" s="49" t="str">
        <f>IFERROR(__xludf.DUMMYFUNCTION("""COMPUTED_VALUE"""),"Travel 35 days in a single journey.")</f>
        <v>Travel 35 days in a single journey.</v>
      </c>
      <c r="C38" s="49" t="str">
        <f>IFERROR(__xludf.DUMMYFUNCTION("""COMPUTED_VALUE"""),"Capable of subtracting one bad day of travel for journeys over 15 days of travel")</f>
        <v>Capable of subtracting one bad day of travel for journeys over 15 days of travel</v>
      </c>
      <c r="D38" s="49" t="str">
        <f>IFERROR(__xludf.DUMMYFUNCTION("""COMPUTED_VALUE"""),"Legendary")</f>
        <v>Legendary</v>
      </c>
      <c r="E38" s="49">
        <f>IFERROR(__xludf.DUMMYFUNCTION("""COMPUTED_VALUE"""),35.0)</f>
        <v>35</v>
      </c>
      <c r="F38" s="19">
        <v>0.0</v>
      </c>
      <c r="G38" s="19" t="b">
        <v>0</v>
      </c>
    </row>
    <row r="39">
      <c r="A39" s="49" t="str">
        <f>IFERROR(__xludf.DUMMYFUNCTION("""COMPUTED_VALUE"""),"Experienced Breeder")</f>
        <v>Experienced Breeder</v>
      </c>
      <c r="B39" s="49" t="str">
        <f>IFERROR(__xludf.DUMMYFUNCTION("""COMPUTED_VALUE"""),"Hatch 50 different eggs.")</f>
        <v>Hatch 50 different eggs.</v>
      </c>
      <c r="C39" s="49" t="str">
        <f>IFERROR(__xludf.DUMMYFUNCTION("""COMPUTED_VALUE"""),"Half the days of travel for hatching eggs.")</f>
        <v>Half the days of travel for hatching eggs.</v>
      </c>
      <c r="D39" s="49" t="str">
        <f>IFERROR(__xludf.DUMMYFUNCTION("""COMPUTED_VALUE"""),"Legendary")</f>
        <v>Legendary</v>
      </c>
      <c r="E39" s="49">
        <f>IFERROR(__xludf.DUMMYFUNCTION("""COMPUTED_VALUE"""),50.0)</f>
        <v>50</v>
      </c>
      <c r="F39" s="19">
        <v>0.0</v>
      </c>
      <c r="G39" s="19" t="b">
        <v>0</v>
      </c>
    </row>
    <row r="40">
      <c r="A40" s="49" t="str">
        <f>IFERROR(__xludf.DUMMYFUNCTION("""COMPUTED_VALUE"""),"A Pirate's Life For Me")</f>
        <v>A Pirate's Life For Me</v>
      </c>
      <c r="B40" s="49" t="str">
        <f>IFERROR(__xludf.DUMMYFUNCTION("""COMPUTED_VALUE"""),"Take 10 ships' cargo for yourself")</f>
        <v>Take 10 ships' cargo for yourself</v>
      </c>
      <c r="C40" s="49" t="str">
        <f>IFERROR(__xludf.DUMMYFUNCTION("""COMPUTED_VALUE"""),"None")</f>
        <v>None</v>
      </c>
      <c r="D40" s="49" t="str">
        <f>IFERROR(__xludf.DUMMYFUNCTION("""COMPUTED_VALUE"""),"Legendary")</f>
        <v>Legendary</v>
      </c>
      <c r="E40" s="49">
        <f>IFERROR(__xludf.DUMMYFUNCTION("""COMPUTED_VALUE"""),10.0)</f>
        <v>10</v>
      </c>
      <c r="F40" s="19">
        <v>0.0</v>
      </c>
      <c r="G40" s="19" t="b">
        <v>0</v>
      </c>
    </row>
    <row r="41">
      <c r="A41" s="49" t="str">
        <f>IFERROR(__xludf.DUMMYFUNCTION("""COMPUTED_VALUE"""),"Sea Legs")</f>
        <v>Sea Legs</v>
      </c>
      <c r="B41" s="49" t="str">
        <f>IFERROR(__xludf.DUMMYFUNCTION("""COMPUTED_VALUE"""),"Spend 100 days sailing.")</f>
        <v>Spend 100 days sailing.</v>
      </c>
      <c r="C41" s="49" t="str">
        <f>IFERROR(__xludf.DUMMYFUNCTION("""COMPUTED_VALUE"""),"deduct d5 days from the current journey while traveling in the ocean.")</f>
        <v>deduct d5 days from the current journey while traveling in the ocean.</v>
      </c>
      <c r="D41" s="49" t="str">
        <f>IFERROR(__xludf.DUMMYFUNCTION("""COMPUTED_VALUE"""),"Rare")</f>
        <v>Rare</v>
      </c>
      <c r="E41" s="49">
        <f>IFERROR(__xludf.DUMMYFUNCTION("""COMPUTED_VALUE"""),100.0)</f>
        <v>100</v>
      </c>
      <c r="F41" s="19">
        <v>0.0</v>
      </c>
      <c r="G41" s="19" t="b">
        <v>0</v>
      </c>
    </row>
    <row r="42">
      <c r="A42" s="49" t="str">
        <f>IFERROR(__xludf.DUMMYFUNCTION("""COMPUTED_VALUE"""),"Bare Knuckle Brawler")</f>
        <v>Bare Knuckle Brawler</v>
      </c>
      <c r="B42" s="49" t="str">
        <f>IFERROR(__xludf.DUMMYFUNCTION("""COMPUTED_VALUE"""),"Defeat 100 enemies without using weapons or spells.")</f>
        <v>Defeat 100 enemies without using weapons or spells.</v>
      </c>
      <c r="C42" s="49" t="str">
        <f>IFERROR(__xludf.DUMMYFUNCTION("""COMPUTED_VALUE"""),"X5 additional damage when attacking with a natural attack.")</f>
        <v>X5 additional damage when attacking with a natural attack.</v>
      </c>
      <c r="D42" s="49" t="str">
        <f>IFERROR(__xludf.DUMMYFUNCTION("""COMPUTED_VALUE"""),"Rare")</f>
        <v>Rare</v>
      </c>
      <c r="E42" s="49">
        <f>IFERROR(__xludf.DUMMYFUNCTION("""COMPUTED_VALUE"""),100.0)</f>
        <v>100</v>
      </c>
      <c r="F42" s="19">
        <v>0.0</v>
      </c>
      <c r="G42" s="19" t="b">
        <v>0</v>
      </c>
    </row>
    <row r="43">
      <c r="A43" s="49" t="str">
        <f>IFERROR(__xludf.DUMMYFUNCTION("""COMPUTED_VALUE"""),"Excelent Food!")</f>
        <v>Excelent Food!</v>
      </c>
      <c r="B43" s="49" t="str">
        <f>IFERROR(__xludf.DUMMYFUNCTION("""COMPUTED_VALUE"""),"Prepare 100 meals in a row without burning any food.")</f>
        <v>Prepare 100 meals in a row without burning any food.</v>
      </c>
      <c r="C43" s="49" t="str">
        <f>IFERROR(__xludf.DUMMYFUNCTION("""COMPUTED_VALUE"""),"Plus 5 to your prep rolls while cooking.")</f>
        <v>Plus 5 to your prep rolls while cooking.</v>
      </c>
      <c r="D43" s="49" t="str">
        <f>IFERROR(__xludf.DUMMYFUNCTION("""COMPUTED_VALUE"""),"Rare")</f>
        <v>Rare</v>
      </c>
      <c r="E43" s="49">
        <f>IFERROR(__xludf.DUMMYFUNCTION("""COMPUTED_VALUE"""),100.0)</f>
        <v>100</v>
      </c>
      <c r="F43" s="19">
        <v>0.0</v>
      </c>
      <c r="G43" s="19" t="b">
        <v>0</v>
      </c>
    </row>
    <row r="44">
      <c r="A44" s="49" t="str">
        <f>IFERROR(__xludf.DUMMYFUNCTION("""COMPUTED_VALUE"""),"Exterminator")</f>
        <v>Exterminator</v>
      </c>
      <c r="B44" s="49" t="str">
        <f>IFERROR(__xludf.DUMMYFUNCTION("""COMPUTED_VALUE"""),"Win a battle against 10+ enemies")</f>
        <v>Win a battle against 10+ enemies</v>
      </c>
      <c r="C44" s="49" t="str">
        <f>IFERROR(__xludf.DUMMYFUNCTION("""COMPUTED_VALUE"""),"Perform an additional action during your turn in battles involving 10+ enemies")</f>
        <v>Perform an additional action during your turn in battles involving 10+ enemies</v>
      </c>
      <c r="D44" s="49" t="str">
        <f>IFERROR(__xludf.DUMMYFUNCTION("""COMPUTED_VALUE"""),"Rare")</f>
        <v>Rare</v>
      </c>
      <c r="E44" s="49">
        <f>IFERROR(__xludf.DUMMYFUNCTION("""COMPUTED_VALUE"""),10.0)</f>
        <v>10</v>
      </c>
      <c r="F44" s="19">
        <v>0.0</v>
      </c>
      <c r="G44" s="19" t="b">
        <v>0</v>
      </c>
    </row>
    <row r="45">
      <c r="A45" s="49" t="str">
        <f>IFERROR(__xludf.DUMMYFUNCTION("""COMPUTED_VALUE"""),"Peace Treaty")</f>
        <v>Peace Treaty</v>
      </c>
      <c r="B45" s="49" t="str">
        <f>IFERROR(__xludf.DUMMYFUNCTION("""COMPUTED_VALUE"""),"De-escalate 100 npc's from engaing you or the party in a battle.")</f>
        <v>De-escalate 100 npc's from engaing you or the party in a battle.</v>
      </c>
      <c r="C45" s="49" t="str">
        <f>IFERROR(__xludf.DUMMYFUNCTION("""COMPUTED_VALUE"""),"Plus 5 additional charisma.")</f>
        <v>Plus 5 additional charisma.</v>
      </c>
      <c r="D45" s="49" t="str">
        <f>IFERROR(__xludf.DUMMYFUNCTION("""COMPUTED_VALUE"""),"Uncommon")</f>
        <v>Uncommon</v>
      </c>
      <c r="E45" s="49">
        <f>IFERROR(__xludf.DUMMYFUNCTION("""COMPUTED_VALUE"""),100.0)</f>
        <v>100</v>
      </c>
      <c r="F45" s="19">
        <v>0.0</v>
      </c>
      <c r="G45" s="19" t="b">
        <v>0</v>
      </c>
    </row>
    <row r="46">
      <c r="A46" s="49" t="str">
        <f>IFERROR(__xludf.DUMMYFUNCTION("""COMPUTED_VALUE"""),"Up, Down, Up, Down, Up, Down...")</f>
        <v>Up, Down, Up, Down, Up, Down...</v>
      </c>
      <c r="B46" s="49" t="str">
        <f>IFERROR(__xludf.DUMMYFUNCTION("""COMPUTED_VALUE"""),"Win a battle where you died and were revived 3+ times")</f>
        <v>Win a battle where you died and were revived 3+ times</v>
      </c>
      <c r="C46" s="49" t="str">
        <f>IFERROR(__xludf.DUMMYFUNCTION("""COMPUTED_VALUE"""),"None")</f>
        <v>None</v>
      </c>
      <c r="D46" s="49" t="str">
        <f>IFERROR(__xludf.DUMMYFUNCTION("""COMPUTED_VALUE"""),"Rare")</f>
        <v>Rare</v>
      </c>
      <c r="E46" s="49">
        <f>IFERROR(__xludf.DUMMYFUNCTION("""COMPUTED_VALUE"""),3.0)</f>
        <v>3</v>
      </c>
      <c r="F46" s="19">
        <v>0.0</v>
      </c>
      <c r="G46" s="19" t="b">
        <v>0</v>
      </c>
    </row>
    <row r="47">
      <c r="A47" s="49" t="str">
        <f>IFERROR(__xludf.DUMMYFUNCTION("""COMPUTED_VALUE"""),"One Punch")</f>
        <v>One Punch</v>
      </c>
      <c r="B47" s="49" t="str">
        <f>IFERROR(__xludf.DUMMYFUNCTION("""COMPUTED_VALUE"""),"Defeat a boss in a single Attack")</f>
        <v>Defeat a boss in a single Attack</v>
      </c>
      <c r="C47" s="49" t="str">
        <f>IFERROR(__xludf.DUMMYFUNCTION("""COMPUTED_VALUE"""),"None")</f>
        <v>None</v>
      </c>
      <c r="D47" s="49" t="str">
        <f>IFERROR(__xludf.DUMMYFUNCTION("""COMPUTED_VALUE"""),"Rare")</f>
        <v>Rare</v>
      </c>
      <c r="E47" s="49">
        <f>IFERROR(__xludf.DUMMYFUNCTION("""COMPUTED_VALUE"""),0.0)</f>
        <v>0</v>
      </c>
      <c r="F47" s="19">
        <v>0.0</v>
      </c>
      <c r="G47" s="19" t="b">
        <v>0</v>
      </c>
    </row>
    <row r="48">
      <c r="A48" s="49" t="str">
        <f>IFERROR(__xludf.DUMMYFUNCTION("""COMPUTED_VALUE"""),"Crooked Cop")</f>
        <v>Crooked Cop</v>
      </c>
      <c r="B48" s="49" t="str">
        <f>IFERROR(__xludf.DUMMYFUNCTION("""COMPUTED_VALUE"""),"Be both a guard and a criminal")</f>
        <v>Be both a guard and a criminal</v>
      </c>
      <c r="C48" s="49" t="str">
        <f>IFERROR(__xludf.DUMMYFUNCTION("""COMPUTED_VALUE"""),"None")</f>
        <v>None</v>
      </c>
      <c r="D48" s="49" t="str">
        <f>IFERROR(__xludf.DUMMYFUNCTION("""COMPUTED_VALUE"""),"Rare")</f>
        <v>Rare</v>
      </c>
      <c r="E48" s="49">
        <f>IFERROR(__xludf.DUMMYFUNCTION("""COMPUTED_VALUE"""),0.0)</f>
        <v>0</v>
      </c>
      <c r="F48" s="19">
        <v>0.0</v>
      </c>
      <c r="G48" s="19" t="b">
        <v>0</v>
      </c>
    </row>
    <row r="49">
      <c r="A49" s="49" t="str">
        <f>IFERROR(__xludf.DUMMYFUNCTION("""COMPUTED_VALUE"""),"Robber Baron")</f>
        <v>Robber Baron</v>
      </c>
      <c r="B49" s="49" t="str">
        <f>IFERROR(__xludf.DUMMYFUNCTION("""COMPUTED_VALUE"""),"Rob 100 banks of 100,000,000G or more.")</f>
        <v>Rob 100 banks of 100,000,000G or more.</v>
      </c>
      <c r="C49" s="49" t="str">
        <f>IFERROR(__xludf.DUMMYFUNCTION("""COMPUTED_VALUE"""),"Increase the amount of chances to fail by 1.")</f>
        <v>Increase the amount of chances to fail by 1.</v>
      </c>
      <c r="D49" s="49" t="str">
        <f>IFERROR(__xludf.DUMMYFUNCTION("""COMPUTED_VALUE"""),"Legendary")</f>
        <v>Legendary</v>
      </c>
      <c r="E49" s="49">
        <f>IFERROR(__xludf.DUMMYFUNCTION("""COMPUTED_VALUE"""),100.0)</f>
        <v>100</v>
      </c>
      <c r="F49" s="19">
        <v>0.0</v>
      </c>
      <c r="G49" s="19" t="b">
        <v>0</v>
      </c>
    </row>
    <row r="50">
      <c r="A50" s="49" t="str">
        <f>IFERROR(__xludf.DUMMYFUNCTION("""COMPUTED_VALUE"""),"Incredible Bash Siblings")</f>
        <v>Incredible Bash Siblings</v>
      </c>
      <c r="B50" s="49" t="str">
        <f>IFERROR(__xludf.DUMMYFUNCTION("""COMPUTED_VALUE"""),"Engage in a PvP encounter involving 4+ players")</f>
        <v>Engage in a PvP encounter involving 4+ players</v>
      </c>
      <c r="C50" s="49" t="str">
        <f>IFERROR(__xludf.DUMMYFUNCTION("""COMPUTED_VALUE"""),"None")</f>
        <v>None</v>
      </c>
      <c r="D50" s="49" t="str">
        <f>IFERROR(__xludf.DUMMYFUNCTION("""COMPUTED_VALUE"""),"Rare")</f>
        <v>Rare</v>
      </c>
      <c r="E50" s="49">
        <f>IFERROR(__xludf.DUMMYFUNCTION("""COMPUTED_VALUE"""),0.0)</f>
        <v>0</v>
      </c>
      <c r="F50" s="19">
        <v>0.0</v>
      </c>
      <c r="G50" s="19" t="b">
        <v>0</v>
      </c>
    </row>
    <row r="51">
      <c r="A51" s="49" t="str">
        <f>IFERROR(__xludf.DUMMYFUNCTION("""COMPUTED_VALUE"""),"Stolen Goods")</f>
        <v>Stolen Goods</v>
      </c>
      <c r="B51" s="49" t="str">
        <f>IFERROR(__xludf.DUMMYFUNCTION("""COMPUTED_VALUE"""),"Steal over 100,000,000G from 50 npc's or players.")</f>
        <v>Steal over 100,000,000G from 50 npc's or players.</v>
      </c>
      <c r="C51" s="49" t="str">
        <f>IFERROR(__xludf.DUMMYFUNCTION("""COMPUTED_VALUE"""),"None")</f>
        <v>None</v>
      </c>
      <c r="D51" s="49" t="str">
        <f>IFERROR(__xludf.DUMMYFUNCTION("""COMPUTED_VALUE"""),"Rare")</f>
        <v>Rare</v>
      </c>
      <c r="E51" s="49">
        <f>IFERROR(__xludf.DUMMYFUNCTION("""COMPUTED_VALUE"""),50.0)</f>
        <v>50</v>
      </c>
      <c r="F51" s="19">
        <v>0.0</v>
      </c>
      <c r="G51" s="19" t="b">
        <v>0</v>
      </c>
    </row>
    <row r="52">
      <c r="A52" s="49" t="str">
        <f>IFERROR(__xludf.DUMMYFUNCTION("""COMPUTED_VALUE"""),"A Royal Guest")</f>
        <v>A Royal Guest</v>
      </c>
      <c r="B52" s="49" t="str">
        <f>IFERROR(__xludf.DUMMYFUNCTION("""COMPUTED_VALUE"""),"Receive a gift from royalty")</f>
        <v>Receive a gift from royalty</v>
      </c>
      <c r="C52" s="49" t="str">
        <f>IFERROR(__xludf.DUMMYFUNCTION("""COMPUTED_VALUE"""),"None")</f>
        <v>None</v>
      </c>
      <c r="D52" s="49" t="str">
        <f>IFERROR(__xludf.DUMMYFUNCTION("""COMPUTED_VALUE"""),"Uncommon")</f>
        <v>Uncommon</v>
      </c>
      <c r="E52" s="49">
        <f>IFERROR(__xludf.DUMMYFUNCTION("""COMPUTED_VALUE"""),0.0)</f>
        <v>0</v>
      </c>
      <c r="F52" s="19">
        <v>0.0</v>
      </c>
      <c r="G52" s="19" t="b">
        <v>0</v>
      </c>
    </row>
    <row r="53">
      <c r="A53" s="49" t="str">
        <f>IFERROR(__xludf.DUMMYFUNCTION("""COMPUTED_VALUE"""),"Reborn")</f>
        <v>Reborn</v>
      </c>
      <c r="B53" s="49" t="str">
        <f>IFERROR(__xludf.DUMMYFUNCTION("""COMPUTED_VALUE"""),"Create a new character after your old character was wiped between versions of TPOS.")</f>
        <v>Create a new character after your old character was wiped between versions of TPOS.</v>
      </c>
      <c r="C53" s="49" t="str">
        <f>IFERROR(__xludf.DUMMYFUNCTION("""COMPUTED_VALUE"""),"None")</f>
        <v>None</v>
      </c>
      <c r="D53" s="49" t="str">
        <f>IFERROR(__xludf.DUMMYFUNCTION("""COMPUTED_VALUE"""),"Rare")</f>
        <v>Rare</v>
      </c>
      <c r="E53" s="49">
        <f>IFERROR(__xludf.DUMMYFUNCTION("""COMPUTED_VALUE"""),0.0)</f>
        <v>0</v>
      </c>
      <c r="F53" s="19">
        <v>0.0</v>
      </c>
      <c r="G53" s="19" t="b">
        <v>0</v>
      </c>
    </row>
    <row r="54">
      <c r="A54" s="49" t="str">
        <f>IFERROR(__xludf.DUMMYFUNCTION("""COMPUTED_VALUE"""),"Undeather")</f>
        <v>Undeather</v>
      </c>
      <c r="B54" s="49" t="str">
        <f>IFERROR(__xludf.DUMMYFUNCTION("""COMPUTED_VALUE"""),"Spread the undead status to another character")</f>
        <v>Spread the undead status to another character</v>
      </c>
      <c r="C54" s="49" t="str">
        <f>IFERROR(__xludf.DUMMYFUNCTION("""COMPUTED_VALUE"""),"None")</f>
        <v>None</v>
      </c>
      <c r="D54" s="49" t="str">
        <f>IFERROR(__xludf.DUMMYFUNCTION("""COMPUTED_VALUE"""),"Uncommon")</f>
        <v>Uncommon</v>
      </c>
      <c r="E54" s="49">
        <f>IFERROR(__xludf.DUMMYFUNCTION("""COMPUTED_VALUE"""),0.0)</f>
        <v>0</v>
      </c>
      <c r="F54" s="19">
        <v>0.0</v>
      </c>
      <c r="G54" s="19" t="b">
        <v>0</v>
      </c>
    </row>
    <row r="55">
      <c r="A55" s="49" t="str">
        <f>IFERROR(__xludf.DUMMYFUNCTION("""COMPUTED_VALUE"""),"i Am Holy")</f>
        <v>i Am Holy</v>
      </c>
      <c r="B55" s="49" t="str">
        <f>IFERROR(__xludf.DUMMYFUNCTION("""COMPUTED_VALUE"""),"Find a way to escape the corrupt forest without dying.")</f>
        <v>Find a way to escape the corrupt forest without dying.</v>
      </c>
      <c r="C55" s="49" t="str">
        <f>IFERROR(__xludf.DUMMYFUNCTION("""COMPUTED_VALUE"""),"None")</f>
        <v>None</v>
      </c>
      <c r="D55" s="49" t="str">
        <f>IFERROR(__xludf.DUMMYFUNCTION("""COMPUTED_VALUE"""),"Legendary")</f>
        <v>Legendary</v>
      </c>
      <c r="E55" s="49">
        <f>IFERROR(__xludf.DUMMYFUNCTION("""COMPUTED_VALUE"""),0.0)</f>
        <v>0</v>
      </c>
      <c r="F55" s="19">
        <v>0.0</v>
      </c>
      <c r="G55" s="19" t="b">
        <v>0</v>
      </c>
    </row>
    <row r="56">
      <c r="A56" s="49" t="str">
        <f>IFERROR(__xludf.DUMMYFUNCTION("""COMPUTED_VALUE"""),"Ring King")</f>
        <v>Ring King</v>
      </c>
      <c r="B56" s="49" t="str">
        <f>IFERROR(__xludf.DUMMYFUNCTION("""COMPUTED_VALUE"""),"Have every ring slot filled")</f>
        <v>Have every ring slot filled</v>
      </c>
      <c r="C56" s="49" t="str">
        <f>IFERROR(__xludf.DUMMYFUNCTION("""COMPUTED_VALUE"""),"None")</f>
        <v>None</v>
      </c>
      <c r="D56" s="49" t="str">
        <f>IFERROR(__xludf.DUMMYFUNCTION("""COMPUTED_VALUE"""),"Uncommon")</f>
        <v>Uncommon</v>
      </c>
      <c r="E56" s="49">
        <f>IFERROR(__xludf.DUMMYFUNCTION("""COMPUTED_VALUE"""),0.0)</f>
        <v>0</v>
      </c>
      <c r="F56" s="19">
        <v>0.0</v>
      </c>
      <c r="G56" s="19" t="b">
        <v>0</v>
      </c>
    </row>
    <row r="57">
      <c r="A57" s="49" t="str">
        <f>IFERROR(__xludf.DUMMYFUNCTION("""COMPUTED_VALUE"""),"International Incident")</f>
        <v>International Incident</v>
      </c>
      <c r="B57" s="49" t="str">
        <f>IFERROR(__xludf.DUMMYFUNCTION("""COMPUTED_VALUE"""),"Cause a war between two nations")</f>
        <v>Cause a war between two nations</v>
      </c>
      <c r="C57" s="49" t="str">
        <f>IFERROR(__xludf.DUMMYFUNCTION("""COMPUTED_VALUE"""),"None")</f>
        <v>None</v>
      </c>
      <c r="D57" s="49" t="str">
        <f>IFERROR(__xludf.DUMMYFUNCTION("""COMPUTED_VALUE"""),"Legendary")</f>
        <v>Legendary</v>
      </c>
      <c r="E57" s="49">
        <f>IFERROR(__xludf.DUMMYFUNCTION("""COMPUTED_VALUE"""),0.0)</f>
        <v>0</v>
      </c>
      <c r="F57" s="19">
        <v>0.0</v>
      </c>
      <c r="G57" s="19" t="b">
        <v>0</v>
      </c>
    </row>
    <row r="58">
      <c r="A58" s="49" t="str">
        <f>IFERROR(__xludf.DUMMYFUNCTION("""COMPUTED_VALUE"""),"Getting Away")</f>
        <v>Getting Away</v>
      </c>
      <c r="B58" s="49" t="str">
        <f>IFERROR(__xludf.DUMMYFUNCTION("""COMPUTED_VALUE"""),"Commit murder without being arrested")</f>
        <v>Commit murder without being arrested</v>
      </c>
      <c r="C58" s="49" t="str">
        <f>IFERROR(__xludf.DUMMYFUNCTION("""COMPUTED_VALUE"""),"None")</f>
        <v>None</v>
      </c>
      <c r="D58" s="49" t="str">
        <f>IFERROR(__xludf.DUMMYFUNCTION("""COMPUTED_VALUE"""),"Uncommon")</f>
        <v>Uncommon</v>
      </c>
      <c r="E58" s="49">
        <f>IFERROR(__xludf.DUMMYFUNCTION("""COMPUTED_VALUE"""),0.0)</f>
        <v>0</v>
      </c>
      <c r="F58" s="19">
        <v>0.0</v>
      </c>
      <c r="G58" s="19" t="b">
        <v>0</v>
      </c>
    </row>
    <row r="59">
      <c r="A59" s="49" t="str">
        <f>IFERROR(__xludf.DUMMYFUNCTION("""COMPUTED_VALUE"""),"Let Me Through")</f>
        <v>Let Me Through</v>
      </c>
      <c r="B59" s="49" t="str">
        <f>IFERROR(__xludf.DUMMYFUNCTION("""COMPUTED_VALUE"""),"Persuade 100 guards.")</f>
        <v>Persuade 100 guards.</v>
      </c>
      <c r="C59" s="49" t="str">
        <f>IFERROR(__xludf.DUMMYFUNCTION("""COMPUTED_VALUE"""),"Plus 5 additional charisma when persuading a guard.")</f>
        <v>Plus 5 additional charisma when persuading a guard.</v>
      </c>
      <c r="D59" s="49" t="str">
        <f>IFERROR(__xludf.DUMMYFUNCTION("""COMPUTED_VALUE"""),"Rare")</f>
        <v>Rare</v>
      </c>
      <c r="E59" s="49">
        <f>IFERROR(__xludf.DUMMYFUNCTION("""COMPUTED_VALUE"""),100.0)</f>
        <v>100</v>
      </c>
      <c r="F59" s="19">
        <v>0.0</v>
      </c>
      <c r="G59" s="19" t="b">
        <v>0</v>
      </c>
    </row>
    <row r="60">
      <c r="A60" s="49" t="str">
        <f>IFERROR(__xludf.DUMMYFUNCTION("""COMPUTED_VALUE"""),"I Ain't Afraid of No...")</f>
        <v>I Ain't Afraid of No...</v>
      </c>
      <c r="B60" s="49" t="str">
        <f>IFERROR(__xludf.DUMMYFUNCTION("""COMPUTED_VALUE"""),"Survive the Earthquake spell on 3 seperate occasions")</f>
        <v>Survive the Earthquake spell on 3 seperate occasions</v>
      </c>
      <c r="C60" s="49" t="str">
        <f>IFERROR(__xludf.DUMMYFUNCTION("""COMPUTED_VALUE"""),"20% chance of being unaffected by Earthquake")</f>
        <v>20% chance of being unaffected by Earthquake</v>
      </c>
      <c r="D60" s="49" t="str">
        <f>IFERROR(__xludf.DUMMYFUNCTION("""COMPUTED_VALUE"""),"Legendary")</f>
        <v>Legendary</v>
      </c>
      <c r="E60" s="49">
        <f>IFERROR(__xludf.DUMMYFUNCTION("""COMPUTED_VALUE"""),3.0)</f>
        <v>3</v>
      </c>
      <c r="F60" s="19">
        <v>0.0</v>
      </c>
      <c r="G60" s="19" t="b">
        <v>0</v>
      </c>
    </row>
    <row r="61">
      <c r="A61" s="49" t="str">
        <f>IFERROR(__xludf.DUMMYFUNCTION("""COMPUTED_VALUE"""),"Star Master")</f>
        <v>Star Master</v>
      </c>
      <c r="B61" s="49" t="str">
        <f>IFERROR(__xludf.DUMMYFUNCTION("""COMPUTED_VALUE"""),"Acquire all astrals spells without knowing them natuarlly ")</f>
        <v>Acquire all astrals spells without knowing them natuarlly </v>
      </c>
      <c r="C61" s="49" t="str">
        <f>IFERROR(__xludf.DUMMYFUNCTION("""COMPUTED_VALUE"""),"None")</f>
        <v>None</v>
      </c>
      <c r="D61" s="49" t="str">
        <f>IFERROR(__xludf.DUMMYFUNCTION("""COMPUTED_VALUE"""),"Rare")</f>
        <v>Rare</v>
      </c>
      <c r="E61" s="49">
        <f>IFERROR(__xludf.DUMMYFUNCTION("""COMPUTED_VALUE"""),0.0)</f>
        <v>0</v>
      </c>
      <c r="F61" s="19">
        <v>0.0</v>
      </c>
      <c r="G61" s="19" t="b">
        <v>0</v>
      </c>
    </row>
    <row r="62">
      <c r="A62" s="49" t="str">
        <f>IFERROR(__xludf.DUMMYFUNCTION("""COMPUTED_VALUE"""),"Arena Brawler")</f>
        <v>Arena Brawler</v>
      </c>
      <c r="B62" s="49" t="str">
        <f>IFERROR(__xludf.DUMMYFUNCTION("""COMPUTED_VALUE"""),"Become the Arena Champion in any PVP Arena.")</f>
        <v>Become the Arena Champion in any PVP Arena.</v>
      </c>
      <c r="C62" s="49" t="str">
        <f>IFERROR(__xludf.DUMMYFUNCTION("""COMPUTED_VALUE"""),"""Arena Champion"" Title")</f>
        <v>"Arena Champion" Title</v>
      </c>
      <c r="D62" s="49" t="str">
        <f>IFERROR(__xludf.DUMMYFUNCTION("""COMPUTED_VALUE"""),"Uncommon")</f>
        <v>Uncommon</v>
      </c>
      <c r="E62" s="49">
        <f>IFERROR(__xludf.DUMMYFUNCTION("""COMPUTED_VALUE"""),0.0)</f>
        <v>0</v>
      </c>
      <c r="F62" s="19">
        <v>0.0</v>
      </c>
      <c r="G62" s="19" t="b">
        <v>0</v>
      </c>
    </row>
    <row r="63">
      <c r="A63" s="49" t="str">
        <f>IFERROR(__xludf.DUMMYFUNCTION("""COMPUTED_VALUE"""),"Arena Defender")</f>
        <v>Arena Defender</v>
      </c>
      <c r="B63" s="49" t="str">
        <f>IFERROR(__xludf.DUMMYFUNCTION("""COMPUTED_VALUE"""),"Become the Arena Champion twice in any PVP Arena.")</f>
        <v>Become the Arena Champion twice in any PVP Arena.</v>
      </c>
      <c r="C63" s="49" t="str">
        <f>IFERROR(__xludf.DUMMYFUNCTION("""COMPUTED_VALUE"""),"None")</f>
        <v>None</v>
      </c>
      <c r="D63" s="49" t="str">
        <f>IFERROR(__xludf.DUMMYFUNCTION("""COMPUTED_VALUE"""),"Uncommon")</f>
        <v>Uncommon</v>
      </c>
      <c r="E63" s="49">
        <f>IFERROR(__xludf.DUMMYFUNCTION("""COMPUTED_VALUE"""),2.0)</f>
        <v>2</v>
      </c>
      <c r="F63" s="19">
        <v>0.0</v>
      </c>
      <c r="G63" s="19" t="b">
        <v>0</v>
      </c>
    </row>
    <row r="64">
      <c r="A64" s="49" t="str">
        <f>IFERROR(__xludf.DUMMYFUNCTION("""COMPUTED_VALUE"""),"Arena Commander")</f>
        <v>Arena Commander</v>
      </c>
      <c r="B64" s="49" t="str">
        <f>IFERROR(__xludf.DUMMYFUNCTION("""COMPUTED_VALUE"""),"Become the Arena Champion 3+ times in any PVP Arena.")</f>
        <v>Become the Arena Champion 3+ times in any PVP Arena.</v>
      </c>
      <c r="C64" s="49" t="str">
        <f>IFERROR(__xludf.DUMMYFUNCTION("""COMPUTED_VALUE"""),"""Arena Commander"" Title")</f>
        <v>"Arena Commander" Title</v>
      </c>
      <c r="D64" s="49" t="str">
        <f>IFERROR(__xludf.DUMMYFUNCTION("""COMPUTED_VALUE"""),"Rare")</f>
        <v>Rare</v>
      </c>
      <c r="E64" s="49">
        <f>IFERROR(__xludf.DUMMYFUNCTION("""COMPUTED_VALUE"""),3.0)</f>
        <v>3</v>
      </c>
      <c r="F64" s="19">
        <v>0.0</v>
      </c>
      <c r="G64" s="19" t="b">
        <v>0</v>
      </c>
    </row>
    <row r="65">
      <c r="A65" s="49" t="str">
        <f>IFERROR(__xludf.DUMMYFUNCTION("""COMPUTED_VALUE"""),"Arena Master")</f>
        <v>Arena Master</v>
      </c>
      <c r="B65" s="49" t="str">
        <f>IFERROR(__xludf.DUMMYFUNCTION("""COMPUTED_VALUE"""),"Become the Arena Champion 3+ Times in every PVP Arena.")</f>
        <v>Become the Arena Champion 3+ Times in every PVP Arena.</v>
      </c>
      <c r="C65" s="49" t="str">
        <f>IFERROR(__xludf.DUMMYFUNCTION("""COMPUTED_VALUE"""),"""Arena Master"" Title")</f>
        <v>"Arena Master" Title</v>
      </c>
      <c r="D65" s="49" t="str">
        <f>IFERROR(__xludf.DUMMYFUNCTION("""COMPUTED_VALUE"""),"Legendary")</f>
        <v>Legendary</v>
      </c>
      <c r="E65" s="49">
        <f>IFERROR(__xludf.DUMMYFUNCTION("""COMPUTED_VALUE"""),3.0)</f>
        <v>3</v>
      </c>
      <c r="F65" s="19">
        <v>0.0</v>
      </c>
      <c r="G65" s="19" t="b">
        <v>0</v>
      </c>
    </row>
    <row r="66">
      <c r="A66" s="49" t="str">
        <f>IFERROR(__xludf.DUMMYFUNCTION("""COMPUTED_VALUE"""),"Banished to a Distant Land")</f>
        <v>Banished to a Distant Land</v>
      </c>
      <c r="B66" s="49" t="str">
        <f>IFERROR(__xludf.DUMMYFUNCTION("""COMPUTED_VALUE"""),"Witness a player get banned from The Phantom of Spira while partaking in the current session.")</f>
        <v>Witness a player get banned from The Phantom of Spira while partaking in the current session.</v>
      </c>
      <c r="C66" s="49" t="str">
        <f>IFERROR(__xludf.DUMMYFUNCTION("""COMPUTED_VALUE"""),"None")</f>
        <v>None</v>
      </c>
      <c r="D66" s="49" t="str">
        <f>IFERROR(__xludf.DUMMYFUNCTION("""COMPUTED_VALUE"""),"Legendary")</f>
        <v>Legendary</v>
      </c>
      <c r="E66" s="49">
        <f>IFERROR(__xludf.DUMMYFUNCTION("""COMPUTED_VALUE"""),0.0)</f>
        <v>0</v>
      </c>
      <c r="F66" s="19">
        <v>0.0</v>
      </c>
      <c r="G66" s="19" t="b">
        <v>0</v>
      </c>
    </row>
    <row r="67">
      <c r="A67" s="49" t="str">
        <f>IFERROR(__xludf.DUMMYFUNCTION("""COMPUTED_VALUE"""),"Miner")</f>
        <v>Miner</v>
      </c>
      <c r="B67" s="49" t="str">
        <f>IFERROR(__xludf.DUMMYFUNCTION("""COMPUTED_VALUE"""),"Perform 3 quests for the same Miner.")</f>
        <v>Perform 3 quests for the same Miner.</v>
      </c>
      <c r="C67" s="49" t="str">
        <f>IFERROR(__xludf.DUMMYFUNCTION("""COMPUTED_VALUE"""),"Gain the Miner Sub-Class")</f>
        <v>Gain the Miner Sub-Class</v>
      </c>
      <c r="D67" s="49" t="str">
        <f>IFERROR(__xludf.DUMMYFUNCTION("""COMPUTED_VALUE"""),"Common")</f>
        <v>Common</v>
      </c>
      <c r="E67" s="49">
        <f>IFERROR(__xludf.DUMMYFUNCTION("""COMPUTED_VALUE"""),3.0)</f>
        <v>3</v>
      </c>
      <c r="F67" s="19">
        <v>0.0</v>
      </c>
      <c r="G67" s="19" t="b">
        <v>0</v>
      </c>
    </row>
    <row r="68">
      <c r="A68" s="49" t="str">
        <f>IFERROR(__xludf.DUMMYFUNCTION("""COMPUTED_VALUE"""),"Farmer")</f>
        <v>Farmer</v>
      </c>
      <c r="B68" s="49" t="str">
        <f>IFERROR(__xludf.DUMMYFUNCTION("""COMPUTED_VALUE"""),"Perform 3 quests for the same Farmer")</f>
        <v>Perform 3 quests for the same Farmer</v>
      </c>
      <c r="C68" s="49" t="str">
        <f>IFERROR(__xludf.DUMMYFUNCTION("""COMPUTED_VALUE"""),"Gain the Farmer Sub-Class")</f>
        <v>Gain the Farmer Sub-Class</v>
      </c>
      <c r="D68" s="49" t="str">
        <f>IFERROR(__xludf.DUMMYFUNCTION("""COMPUTED_VALUE"""),"Common")</f>
        <v>Common</v>
      </c>
      <c r="E68" s="49">
        <f>IFERROR(__xludf.DUMMYFUNCTION("""COMPUTED_VALUE"""),3.0)</f>
        <v>3</v>
      </c>
      <c r="F68" s="19">
        <v>0.0</v>
      </c>
      <c r="G68" s="19" t="b">
        <v>0</v>
      </c>
    </row>
    <row r="69">
      <c r="A69" s="49" t="str">
        <f>IFERROR(__xludf.DUMMYFUNCTION("""COMPUTED_VALUE"""),"Instant Credit")</f>
        <v>Instant Credit</v>
      </c>
      <c r="B69" s="49" t="str">
        <f>IFERROR(__xludf.DUMMYFUNCTION("""COMPUTED_VALUE"""),"Obtain a loan from a bank in The Land of Spira")</f>
        <v>Obtain a loan from a bank in The Land of Spira</v>
      </c>
      <c r="C69" s="49" t="str">
        <f>IFERROR(__xludf.DUMMYFUNCTION("""COMPUTED_VALUE"""),"None")</f>
        <v>None</v>
      </c>
      <c r="D69" s="49" t="str">
        <f>IFERROR(__xludf.DUMMYFUNCTION("""COMPUTED_VALUE"""),"Common")</f>
        <v>Common</v>
      </c>
      <c r="E69" s="49">
        <f>IFERROR(__xludf.DUMMYFUNCTION("""COMPUTED_VALUE"""),0.0)</f>
        <v>0</v>
      </c>
      <c r="F69" s="19">
        <v>0.0</v>
      </c>
      <c r="G69" s="19" t="b">
        <v>0</v>
      </c>
    </row>
    <row r="70">
      <c r="A70" s="49" t="str">
        <f>IFERROR(__xludf.DUMMYFUNCTION("""COMPUTED_VALUE"""),"Responsible Tax Payer")</f>
        <v>Responsible Tax Payer</v>
      </c>
      <c r="B70" s="49" t="str">
        <f>IFERROR(__xludf.DUMMYFUNCTION("""COMPUTED_VALUE"""),"Pay back a loan you got from a bank in The Land of Spira in the amount of time specified.")</f>
        <v>Pay back a loan you got from a bank in The Land of Spira in the amount of time specified.</v>
      </c>
      <c r="C70" s="49" t="str">
        <f>IFERROR(__xludf.DUMMYFUNCTION("""COMPUTED_VALUE"""),"None")</f>
        <v>None</v>
      </c>
      <c r="D70" s="49" t="str">
        <f>IFERROR(__xludf.DUMMYFUNCTION("""COMPUTED_VALUE"""),"Common")</f>
        <v>Common</v>
      </c>
      <c r="E70" s="49">
        <f>IFERROR(__xludf.DUMMYFUNCTION("""COMPUTED_VALUE"""),1.0)</f>
        <v>1</v>
      </c>
      <c r="F70" s="19">
        <v>0.0</v>
      </c>
      <c r="G70" s="19" t="b">
        <v>0</v>
      </c>
    </row>
    <row r="71">
      <c r="A71" s="49" t="str">
        <f>IFERROR(__xludf.DUMMYFUNCTION("""COMPUTED_VALUE"""),"i Really Do Love Money")</f>
        <v>i Really Do Love Money</v>
      </c>
      <c r="B71" s="49" t="str">
        <f>IFERROR(__xludf.DUMMYFUNCTION("""COMPUTED_VALUE"""),"Obtain a loan from a bank in The Land of Spira worth 100,000,000,000G or more and successfully pay it back in the time specified.")</f>
        <v>Obtain a loan from a bank in The Land of Spira worth 100,000,000,000G or more and successfully pay it back in the time specified.</v>
      </c>
      <c r="C71" s="49" t="str">
        <f>IFERROR(__xludf.DUMMYFUNCTION("""COMPUTED_VALUE"""),"""Patriotic Debtor"" Title")</f>
        <v>"Patriotic Debtor" Title</v>
      </c>
      <c r="D71" s="49" t="str">
        <f>IFERROR(__xludf.DUMMYFUNCTION("""COMPUTED_VALUE"""),"Legendary")</f>
        <v>Legendary</v>
      </c>
      <c r="E71" s="49">
        <f>IFERROR(__xludf.DUMMYFUNCTION("""COMPUTED_VALUE"""),1.0)</f>
        <v>1</v>
      </c>
      <c r="F71" s="19">
        <v>0.0</v>
      </c>
      <c r="G71" s="19" t="b">
        <v>0</v>
      </c>
    </row>
    <row r="72">
      <c r="A72" s="49" t="str">
        <f>IFERROR(__xludf.DUMMYFUNCTION("""COMPUTED_VALUE"""),"Pumking")</f>
        <v>Pumking</v>
      </c>
      <c r="B72" s="49" t="str">
        <f>IFERROR(__xludf.DUMMYFUNCTION("""COMPUTED_VALUE"""),"Complete the Halloween Event.")</f>
        <v>Complete the Halloween Event.</v>
      </c>
      <c r="C72" s="49" t="str">
        <f>IFERROR(__xludf.DUMMYFUNCTION("""COMPUTED_VALUE"""),"""The Spooky One"" Title")</f>
        <v>"The Spooky One" Title</v>
      </c>
      <c r="D72" s="49" t="str">
        <f>IFERROR(__xludf.DUMMYFUNCTION("""COMPUTED_VALUE"""),"Rare")</f>
        <v>Rare</v>
      </c>
      <c r="E72" s="49">
        <f>IFERROR(__xludf.DUMMYFUNCTION("""COMPUTED_VALUE"""),7.0)</f>
        <v>7</v>
      </c>
      <c r="F72" s="19">
        <v>0.0</v>
      </c>
      <c r="G72" s="19" t="b">
        <v>0</v>
      </c>
    </row>
    <row r="73">
      <c r="A73" s="49" t="str">
        <f>IFERROR(__xludf.DUMMYFUNCTION("""COMPUTED_VALUE"""),"Lost and Found")</f>
        <v>Lost and Found</v>
      </c>
      <c r="B73" s="49" t="str">
        <f>IFERROR(__xludf.DUMMYFUNCTION("""COMPUTED_VALUE"""),"Find and return 100 Lost Children to their parents during travel.")</f>
        <v>Find and return 100 Lost Children to their parents during travel.</v>
      </c>
      <c r="C73" s="49" t="str">
        <f>IFERROR(__xludf.DUMMYFUNCTION("""COMPUTED_VALUE"""),"Gain 100,000G per Lost Child found and returned to their parents during travel.")</f>
        <v>Gain 100,000G per Lost Child found and returned to their parents during travel.</v>
      </c>
      <c r="D73" s="49" t="str">
        <f>IFERROR(__xludf.DUMMYFUNCTION("""COMPUTED_VALUE"""),"Rare")</f>
        <v>Rare</v>
      </c>
      <c r="E73" s="49">
        <f>IFERROR(__xludf.DUMMYFUNCTION("""COMPUTED_VALUE"""),100.0)</f>
        <v>100</v>
      </c>
      <c r="F73" s="19">
        <v>0.0</v>
      </c>
      <c r="G73" s="19" t="b">
        <v>0</v>
      </c>
    </row>
    <row r="74">
      <c r="A74" s="49" t="str">
        <f>IFERROR(__xludf.DUMMYFUNCTION("""COMPUTED_VALUE"""),"A Helping Hand")</f>
        <v>A Helping Hand</v>
      </c>
      <c r="B74" s="49" t="str">
        <f>IFERROR(__xludf.DUMMYFUNCTION("""COMPUTED_VALUE"""),"Give 100,000G to 100 Beggars during travel.")</f>
        <v>Give 100,000G to 100 Beggars during travel.</v>
      </c>
      <c r="C74" s="49" t="str">
        <f>IFERROR(__xludf.DUMMYFUNCTION("""COMPUTED_VALUE"""),"""Generous Donor"" Title")</f>
        <v>"Generous Donor" Title</v>
      </c>
      <c r="D74" s="49" t="str">
        <f>IFERROR(__xludf.DUMMYFUNCTION("""COMPUTED_VALUE"""),"Rare")</f>
        <v>Rare</v>
      </c>
      <c r="E74" s="49">
        <f>IFERROR(__xludf.DUMMYFUNCTION("""COMPUTED_VALUE"""),100.0)</f>
        <v>100</v>
      </c>
      <c r="F74" s="19">
        <v>0.0</v>
      </c>
      <c r="G74" s="19" t="b">
        <v>0</v>
      </c>
    </row>
    <row r="75">
      <c r="A75" s="49" t="str">
        <f>IFERROR(__xludf.DUMMYFUNCTION("""COMPUTED_VALUE"""),"Dimensional Traveler")</f>
        <v>Dimensional Traveler</v>
      </c>
      <c r="B75" s="49" t="str">
        <f>IFERROR(__xludf.DUMMYFUNCTION("""COMPUTED_VALUE"""),"Use 50 portals of any kind during travel.")</f>
        <v>Use 50 portals of any kind during travel.</v>
      </c>
      <c r="C75" s="49" t="str">
        <f>IFERROR(__xludf.DUMMYFUNCTION("""COMPUTED_VALUE"""),"None")</f>
        <v>None</v>
      </c>
      <c r="D75" s="49" t="str">
        <f>IFERROR(__xludf.DUMMYFUNCTION("""COMPUTED_VALUE"""),"Uncommon")</f>
        <v>Uncommon</v>
      </c>
      <c r="E75" s="49">
        <f>IFERROR(__xludf.DUMMYFUNCTION("""COMPUTED_VALUE"""),50.0)</f>
        <v>50</v>
      </c>
      <c r="F75" s="19">
        <v>0.0</v>
      </c>
      <c r="G75" s="19" t="b">
        <v>0</v>
      </c>
    </row>
    <row r="76">
      <c r="A76" s="49" t="str">
        <f>IFERROR(__xludf.DUMMYFUNCTION("""COMPUTED_VALUE"""),"Bourgeoisie Home Owner")</f>
        <v>Bourgeoisie Home Owner</v>
      </c>
      <c r="B76" s="49" t="str">
        <f>IFERROR(__xludf.DUMMYFUNCTION("""COMPUTED_VALUE"""),"Buy a House or Shop worth at least 1,000,000,000 Gilders")</f>
        <v>Buy a House or Shop worth at least 1,000,000,000 Gilders</v>
      </c>
      <c r="C76" s="49" t="str">
        <f>IFERROR(__xludf.DUMMYFUNCTION("""COMPUTED_VALUE"""),"""Bourgeoisie Home Owner"" Title")</f>
        <v>"Bourgeoisie Home Owner" Title</v>
      </c>
      <c r="D76" s="49" t="str">
        <f>IFERROR(__xludf.DUMMYFUNCTION("""COMPUTED_VALUE"""),"Legendary")</f>
        <v>Legendary</v>
      </c>
      <c r="E76" s="49">
        <f>IFERROR(__xludf.DUMMYFUNCTION("""COMPUTED_VALUE"""),0.0)</f>
        <v>0</v>
      </c>
      <c r="F76" s="19">
        <v>0.0</v>
      </c>
      <c r="G76" s="19" t="b">
        <v>0</v>
      </c>
    </row>
    <row r="77">
      <c r="A77" s="49"/>
      <c r="B77" s="49"/>
      <c r="C77" s="49"/>
      <c r="D77" s="49"/>
      <c r="E77" s="49"/>
      <c r="F77" s="19">
        <v>0.0</v>
      </c>
      <c r="G77" s="19" t="b">
        <v>0</v>
      </c>
    </row>
    <row r="78">
      <c r="A78" s="49"/>
      <c r="B78" s="49"/>
      <c r="C78" s="49"/>
      <c r="D78" s="49"/>
      <c r="E78" s="49"/>
      <c r="F78" s="19">
        <v>0.0</v>
      </c>
      <c r="G78" s="19" t="b">
        <v>0</v>
      </c>
    </row>
    <row r="79">
      <c r="A79" s="49"/>
      <c r="B79" s="49"/>
      <c r="C79" s="49"/>
      <c r="D79" s="49"/>
      <c r="E79" s="49"/>
      <c r="F79" s="19">
        <v>0.0</v>
      </c>
      <c r="G79" s="19" t="b">
        <v>0</v>
      </c>
    </row>
    <row r="80">
      <c r="A80" s="49"/>
      <c r="B80" s="49"/>
      <c r="C80" s="49"/>
      <c r="D80" s="49"/>
      <c r="E80" s="49"/>
      <c r="F80" s="19">
        <v>0.0</v>
      </c>
      <c r="G80" s="19" t="b">
        <v>0</v>
      </c>
    </row>
    <row r="81">
      <c r="A81" s="49"/>
      <c r="B81" s="49"/>
      <c r="C81" s="49"/>
      <c r="D81" s="49"/>
      <c r="E81" s="49"/>
      <c r="F81" s="19">
        <v>0.0</v>
      </c>
      <c r="G81" s="19" t="b">
        <v>0</v>
      </c>
    </row>
    <row r="82">
      <c r="A82" s="49"/>
      <c r="B82" s="49"/>
      <c r="C82" s="49"/>
      <c r="D82" s="49"/>
      <c r="E82" s="49"/>
      <c r="F82" s="19">
        <v>0.0</v>
      </c>
      <c r="G82" s="19" t="b">
        <v>0</v>
      </c>
    </row>
    <row r="83">
      <c r="A83" s="49"/>
      <c r="B83" s="49"/>
      <c r="C83" s="49"/>
      <c r="D83" s="49"/>
      <c r="E83" s="49"/>
      <c r="F83" s="19">
        <v>0.0</v>
      </c>
      <c r="G83" s="19" t="b">
        <v>0</v>
      </c>
    </row>
    <row r="84">
      <c r="A84" s="49"/>
      <c r="B84" s="49"/>
      <c r="C84" s="49"/>
      <c r="D84" s="49"/>
      <c r="E84" s="49"/>
      <c r="F84" s="19">
        <v>0.0</v>
      </c>
      <c r="G84" s="19" t="b">
        <v>0</v>
      </c>
    </row>
    <row r="85">
      <c r="A85" s="49"/>
      <c r="B85" s="49"/>
      <c r="C85" s="49"/>
      <c r="D85" s="49"/>
      <c r="E85" s="49"/>
      <c r="F85" s="19">
        <v>0.0</v>
      </c>
      <c r="G85" s="19" t="b">
        <v>0</v>
      </c>
    </row>
    <row r="86">
      <c r="A86" s="49"/>
      <c r="B86" s="49"/>
      <c r="C86" s="49"/>
      <c r="D86" s="49"/>
      <c r="E86" s="49"/>
      <c r="F86" s="19">
        <v>0.0</v>
      </c>
      <c r="G86" s="19" t="b">
        <v>0</v>
      </c>
    </row>
    <row r="87">
      <c r="A87" s="49"/>
      <c r="B87" s="49"/>
      <c r="C87" s="49"/>
      <c r="D87" s="49"/>
      <c r="E87" s="49"/>
      <c r="F87" s="19">
        <v>0.0</v>
      </c>
      <c r="G87" s="19" t="b">
        <v>0</v>
      </c>
    </row>
    <row r="88">
      <c r="A88" s="49"/>
      <c r="B88" s="49"/>
      <c r="C88" s="49"/>
      <c r="D88" s="49"/>
      <c r="E88" s="49"/>
      <c r="F88" s="19">
        <v>0.0</v>
      </c>
      <c r="G88" s="19" t="b">
        <v>0</v>
      </c>
    </row>
    <row r="89">
      <c r="A89" s="49"/>
      <c r="B89" s="49"/>
      <c r="C89" s="49"/>
      <c r="D89" s="49"/>
      <c r="E89" s="49"/>
      <c r="F89" s="19">
        <v>0.0</v>
      </c>
      <c r="G89" s="19" t="b">
        <v>0</v>
      </c>
    </row>
    <row r="90">
      <c r="A90" s="49"/>
      <c r="B90" s="49"/>
      <c r="C90" s="49"/>
      <c r="D90" s="49"/>
      <c r="E90" s="49"/>
      <c r="F90" s="19">
        <v>0.0</v>
      </c>
      <c r="G90" s="19" t="b">
        <v>0</v>
      </c>
    </row>
    <row r="91">
      <c r="A91" s="49"/>
      <c r="B91" s="49"/>
      <c r="C91" s="49"/>
      <c r="D91" s="49"/>
      <c r="E91" s="49"/>
      <c r="F91" s="19">
        <v>0.0</v>
      </c>
      <c r="G91" s="19" t="b">
        <v>0</v>
      </c>
    </row>
    <row r="92">
      <c r="A92" s="49"/>
      <c r="B92" s="49"/>
      <c r="C92" s="49"/>
      <c r="D92" s="49"/>
      <c r="E92" s="49"/>
      <c r="F92" s="19">
        <v>0.0</v>
      </c>
      <c r="G92" s="19" t="b">
        <v>0</v>
      </c>
    </row>
    <row r="93">
      <c r="A93" s="49"/>
      <c r="B93" s="49"/>
      <c r="C93" s="49"/>
      <c r="D93" s="49"/>
      <c r="E93" s="49"/>
      <c r="F93" s="19">
        <v>0.0</v>
      </c>
      <c r="G93" s="19" t="b">
        <v>0</v>
      </c>
    </row>
    <row r="94">
      <c r="A94" s="49"/>
      <c r="B94" s="49"/>
      <c r="C94" s="49"/>
      <c r="D94" s="49"/>
      <c r="E94" s="49"/>
      <c r="F94" s="19">
        <v>0.0</v>
      </c>
      <c r="G94" s="19" t="b">
        <v>0</v>
      </c>
    </row>
    <row r="95">
      <c r="A95" s="49"/>
      <c r="B95" s="49"/>
      <c r="C95" s="49"/>
      <c r="D95" s="49"/>
      <c r="E95" s="49"/>
      <c r="F95" s="19">
        <v>0.0</v>
      </c>
      <c r="G95" s="19" t="b">
        <v>0</v>
      </c>
    </row>
    <row r="96">
      <c r="A96" s="49"/>
      <c r="B96" s="49"/>
      <c r="C96" s="49"/>
      <c r="D96" s="49"/>
      <c r="E96" s="49"/>
      <c r="F96" s="19">
        <v>0.0</v>
      </c>
      <c r="G96" s="19" t="b">
        <v>0</v>
      </c>
    </row>
    <row r="97">
      <c r="A97" s="49"/>
      <c r="B97" s="49"/>
      <c r="C97" s="49"/>
      <c r="D97" s="49"/>
      <c r="E97" s="49"/>
      <c r="F97" s="19">
        <v>0.0</v>
      </c>
      <c r="G97" s="19" t="b">
        <v>0</v>
      </c>
    </row>
    <row r="98">
      <c r="A98" s="49"/>
      <c r="B98" s="49"/>
      <c r="C98" s="49"/>
      <c r="D98" s="49"/>
      <c r="E98" s="49"/>
      <c r="F98" s="19">
        <v>0.0</v>
      </c>
      <c r="G98" s="19" t="b">
        <v>0</v>
      </c>
    </row>
    <row r="99">
      <c r="A99" s="49"/>
      <c r="B99" s="49"/>
      <c r="C99" s="49"/>
      <c r="D99" s="49"/>
      <c r="E99" s="49"/>
      <c r="F99" s="19">
        <v>0.0</v>
      </c>
      <c r="G99" s="19" t="b">
        <v>0</v>
      </c>
    </row>
    <row r="100">
      <c r="A100" s="49"/>
      <c r="B100" s="49"/>
      <c r="C100" s="49"/>
      <c r="D100" s="49"/>
      <c r="E100" s="49"/>
      <c r="F100" s="19">
        <v>0.0</v>
      </c>
      <c r="G100" s="19" t="b">
        <v>0</v>
      </c>
    </row>
    <row r="101">
      <c r="A101" s="49"/>
      <c r="B101" s="49"/>
      <c r="C101" s="49"/>
      <c r="D101" s="49"/>
      <c r="E101" s="49"/>
      <c r="F101" s="19">
        <v>0.0</v>
      </c>
      <c r="G101" s="19" t="b">
        <v>0</v>
      </c>
    </row>
    <row r="102">
      <c r="A102" s="49"/>
      <c r="B102" s="49"/>
      <c r="C102" s="49"/>
      <c r="D102" s="49"/>
      <c r="E102" s="49"/>
      <c r="F102" s="19">
        <v>0.0</v>
      </c>
      <c r="G102" s="19" t="b">
        <v>0</v>
      </c>
    </row>
    <row r="103">
      <c r="A103" s="49"/>
      <c r="B103" s="49"/>
      <c r="C103" s="49"/>
      <c r="D103" s="49"/>
      <c r="E103" s="49"/>
      <c r="F103" s="19">
        <v>0.0</v>
      </c>
      <c r="G103" s="19" t="b">
        <v>0</v>
      </c>
    </row>
    <row r="104">
      <c r="A104" s="49"/>
      <c r="B104" s="49"/>
      <c r="C104" s="49"/>
      <c r="D104" s="49"/>
      <c r="E104" s="49"/>
      <c r="F104" s="19">
        <v>0.0</v>
      </c>
      <c r="G104" s="19" t="b">
        <v>0</v>
      </c>
    </row>
    <row r="105">
      <c r="A105" s="49"/>
      <c r="B105" s="49"/>
      <c r="C105" s="49"/>
      <c r="D105" s="49"/>
      <c r="E105" s="49"/>
      <c r="F105" s="19">
        <v>0.0</v>
      </c>
      <c r="G105" s="19" t="b">
        <v>0</v>
      </c>
    </row>
    <row r="106">
      <c r="A106" s="49"/>
      <c r="B106" s="49"/>
      <c r="C106" s="49"/>
      <c r="D106" s="49"/>
      <c r="E106" s="49"/>
      <c r="F106" s="19">
        <v>0.0</v>
      </c>
      <c r="G106" s="19" t="b">
        <v>0</v>
      </c>
    </row>
    <row r="107">
      <c r="A107" s="49"/>
      <c r="B107" s="49"/>
      <c r="C107" s="49"/>
      <c r="D107" s="49"/>
      <c r="E107" s="49"/>
      <c r="F107" s="19">
        <v>0.0</v>
      </c>
      <c r="G107" s="19" t="b">
        <v>0</v>
      </c>
    </row>
    <row r="108">
      <c r="A108" s="49"/>
      <c r="B108" s="49"/>
      <c r="C108" s="49"/>
      <c r="D108" s="49"/>
      <c r="E108" s="49"/>
      <c r="F108" s="19">
        <v>0.0</v>
      </c>
      <c r="G108" s="19" t="b">
        <v>0</v>
      </c>
    </row>
    <row r="109">
      <c r="A109" s="49"/>
      <c r="B109" s="49"/>
      <c r="C109" s="49"/>
      <c r="D109" s="49"/>
      <c r="E109" s="49"/>
      <c r="F109" s="19">
        <v>0.0</v>
      </c>
      <c r="G109" s="19" t="b">
        <v>0</v>
      </c>
    </row>
    <row r="110">
      <c r="A110" s="49"/>
      <c r="B110" s="49"/>
      <c r="C110" s="49"/>
      <c r="D110" s="49"/>
      <c r="E110" s="49"/>
      <c r="F110" s="19">
        <v>0.0</v>
      </c>
      <c r="G110" s="19" t="b">
        <v>0</v>
      </c>
    </row>
    <row r="111">
      <c r="A111" s="49"/>
      <c r="B111" s="49"/>
      <c r="C111" s="49"/>
      <c r="D111" s="49"/>
      <c r="E111" s="49"/>
      <c r="F111" s="19">
        <v>0.0</v>
      </c>
      <c r="G111" s="19" t="b">
        <v>0</v>
      </c>
    </row>
    <row r="112">
      <c r="A112" s="49"/>
      <c r="B112" s="49"/>
      <c r="C112" s="49"/>
      <c r="D112" s="49"/>
      <c r="E112" s="49"/>
      <c r="F112" s="19">
        <v>0.0</v>
      </c>
      <c r="G112" s="19" t="b">
        <v>0</v>
      </c>
    </row>
    <row r="113">
      <c r="A113" s="49"/>
      <c r="B113" s="49"/>
      <c r="C113" s="49"/>
      <c r="D113" s="49"/>
      <c r="E113" s="49"/>
      <c r="F113" s="19">
        <v>0.0</v>
      </c>
      <c r="G113" s="19" t="b">
        <v>0</v>
      </c>
    </row>
    <row r="114">
      <c r="A114" s="49"/>
      <c r="B114" s="49"/>
      <c r="C114" s="49"/>
      <c r="D114" s="49"/>
      <c r="E114" s="49"/>
      <c r="F114" s="19">
        <v>0.0</v>
      </c>
      <c r="G114" s="19" t="b">
        <v>0</v>
      </c>
    </row>
    <row r="115">
      <c r="A115" s="49"/>
      <c r="B115" s="49"/>
      <c r="C115" s="49"/>
      <c r="D115" s="49"/>
      <c r="E115" s="49"/>
      <c r="F115" s="19">
        <v>0.0</v>
      </c>
      <c r="G115" s="19" t="b">
        <v>0</v>
      </c>
    </row>
    <row r="116">
      <c r="A116" s="49"/>
      <c r="B116" s="49"/>
      <c r="C116" s="49"/>
      <c r="D116" s="49"/>
      <c r="E116" s="49"/>
      <c r="F116" s="19">
        <v>0.0</v>
      </c>
      <c r="G116" s="19" t="b">
        <v>0</v>
      </c>
    </row>
    <row r="117">
      <c r="A117" s="49"/>
      <c r="B117" s="49"/>
      <c r="C117" s="49"/>
      <c r="D117" s="49"/>
      <c r="E117" s="49"/>
      <c r="F117" s="19">
        <v>0.0</v>
      </c>
      <c r="G117" s="19" t="b">
        <v>0</v>
      </c>
    </row>
    <row r="118">
      <c r="A118" s="49"/>
      <c r="B118" s="49"/>
      <c r="C118" s="49"/>
      <c r="D118" s="49"/>
      <c r="E118" s="49"/>
      <c r="F118" s="19">
        <v>0.0</v>
      </c>
      <c r="G118" s="19" t="b">
        <v>0</v>
      </c>
    </row>
    <row r="119">
      <c r="A119" s="49"/>
      <c r="B119" s="49"/>
      <c r="C119" s="49"/>
      <c r="D119" s="49"/>
      <c r="E119" s="49"/>
      <c r="F119" s="19">
        <v>0.0</v>
      </c>
      <c r="G119" s="19" t="b">
        <v>0</v>
      </c>
    </row>
    <row r="120">
      <c r="A120" s="49"/>
      <c r="B120" s="49"/>
      <c r="C120" s="49"/>
      <c r="D120" s="49"/>
      <c r="E120" s="49"/>
      <c r="F120" s="19">
        <v>0.0</v>
      </c>
      <c r="G120" s="19" t="b">
        <v>0</v>
      </c>
    </row>
    <row r="121">
      <c r="A121" s="49"/>
      <c r="B121" s="49"/>
      <c r="C121" s="49"/>
      <c r="D121" s="49"/>
      <c r="E121" s="49"/>
      <c r="F121" s="19">
        <v>0.0</v>
      </c>
      <c r="G121" s="19" t="b">
        <v>0</v>
      </c>
    </row>
    <row r="122">
      <c r="A122" s="49"/>
      <c r="B122" s="49"/>
      <c r="C122" s="49"/>
      <c r="D122" s="49"/>
      <c r="E122" s="49"/>
      <c r="F122" s="19">
        <v>0.0</v>
      </c>
      <c r="G122" s="19" t="b">
        <v>0</v>
      </c>
    </row>
    <row r="123">
      <c r="A123" s="49"/>
      <c r="B123" s="49"/>
      <c r="C123" s="49"/>
      <c r="D123" s="49"/>
      <c r="E123" s="49"/>
      <c r="F123" s="19">
        <v>0.0</v>
      </c>
      <c r="G123" s="19" t="b">
        <v>0</v>
      </c>
    </row>
    <row r="124">
      <c r="A124" s="49"/>
      <c r="B124" s="49"/>
      <c r="C124" s="49"/>
      <c r="D124" s="49"/>
      <c r="E124" s="49"/>
      <c r="F124" s="19">
        <v>0.0</v>
      </c>
      <c r="G124" s="19" t="b">
        <v>0</v>
      </c>
    </row>
    <row r="125">
      <c r="A125" s="49"/>
      <c r="B125" s="49"/>
      <c r="C125" s="49"/>
      <c r="D125" s="49"/>
      <c r="E125" s="49"/>
      <c r="F125" s="19">
        <v>0.0</v>
      </c>
      <c r="G125" s="19" t="b">
        <v>0</v>
      </c>
    </row>
    <row r="126">
      <c r="A126" s="49"/>
      <c r="B126" s="49"/>
      <c r="C126" s="49"/>
      <c r="D126" s="49"/>
      <c r="E126" s="49"/>
      <c r="F126" s="19">
        <v>0.0</v>
      </c>
      <c r="G126" s="19" t="b">
        <v>0</v>
      </c>
    </row>
    <row r="127">
      <c r="A127" s="49"/>
      <c r="B127" s="49"/>
      <c r="C127" s="49"/>
      <c r="D127" s="49"/>
      <c r="E127" s="49"/>
      <c r="F127" s="19">
        <v>0.0</v>
      </c>
      <c r="G127" s="19" t="b">
        <v>0</v>
      </c>
    </row>
    <row r="128">
      <c r="A128" s="49"/>
      <c r="B128" s="49"/>
      <c r="C128" s="49"/>
      <c r="D128" s="49"/>
      <c r="E128" s="49"/>
      <c r="F128" s="19">
        <v>0.0</v>
      </c>
      <c r="G128" s="19" t="b">
        <v>0</v>
      </c>
    </row>
    <row r="129">
      <c r="A129" s="49"/>
      <c r="B129" s="49"/>
      <c r="C129" s="49"/>
      <c r="D129" s="49"/>
      <c r="E129" s="49"/>
      <c r="F129" s="19">
        <v>0.0</v>
      </c>
      <c r="G129" s="19" t="b">
        <v>0</v>
      </c>
    </row>
    <row r="130">
      <c r="A130" s="49"/>
      <c r="B130" s="49"/>
      <c r="C130" s="49"/>
      <c r="D130" s="49"/>
      <c r="E130" s="49"/>
      <c r="F130" s="19">
        <v>0.0</v>
      </c>
      <c r="G130" s="19" t="b">
        <v>0</v>
      </c>
    </row>
    <row r="131">
      <c r="A131" s="49"/>
      <c r="B131" s="49"/>
      <c r="C131" s="49"/>
      <c r="D131" s="49"/>
      <c r="E131" s="49"/>
      <c r="F131" s="19">
        <v>0.0</v>
      </c>
      <c r="G131" s="19" t="b">
        <v>0</v>
      </c>
    </row>
    <row r="132">
      <c r="A132" s="49"/>
      <c r="B132" s="49"/>
      <c r="C132" s="49"/>
      <c r="D132" s="49"/>
      <c r="E132" s="49"/>
      <c r="F132" s="19">
        <v>0.0</v>
      </c>
      <c r="G132" s="19" t="b">
        <v>0</v>
      </c>
    </row>
    <row r="133">
      <c r="A133" s="49"/>
      <c r="B133" s="49"/>
      <c r="C133" s="49"/>
      <c r="D133" s="49"/>
      <c r="E133" s="49"/>
      <c r="F133" s="19">
        <v>0.0</v>
      </c>
      <c r="G133" s="19" t="b">
        <v>0</v>
      </c>
    </row>
    <row r="134">
      <c r="A134" s="49"/>
      <c r="B134" s="49"/>
      <c r="C134" s="49"/>
      <c r="D134" s="49"/>
      <c r="E134" s="49"/>
      <c r="F134" s="19">
        <v>0.0</v>
      </c>
      <c r="G134" s="19" t="b">
        <v>0</v>
      </c>
    </row>
    <row r="135">
      <c r="A135" s="49"/>
      <c r="B135" s="49"/>
      <c r="C135" s="49"/>
      <c r="D135" s="49"/>
      <c r="E135" s="49"/>
      <c r="F135" s="19">
        <v>0.0</v>
      </c>
      <c r="G135" s="19" t="b">
        <v>0</v>
      </c>
    </row>
    <row r="136">
      <c r="A136" s="49"/>
      <c r="B136" s="49"/>
      <c r="C136" s="49"/>
      <c r="D136" s="49"/>
      <c r="E136" s="49"/>
      <c r="F136" s="19">
        <v>0.0</v>
      </c>
      <c r="G136" s="19" t="b">
        <v>0</v>
      </c>
    </row>
    <row r="137">
      <c r="A137" s="49"/>
      <c r="B137" s="49"/>
      <c r="C137" s="49"/>
      <c r="D137" s="49"/>
      <c r="E137" s="49"/>
      <c r="F137" s="19">
        <v>0.0</v>
      </c>
      <c r="G137" s="19" t="b">
        <v>0</v>
      </c>
    </row>
    <row r="138">
      <c r="A138" s="49"/>
      <c r="B138" s="49"/>
      <c r="C138" s="49"/>
      <c r="D138" s="49"/>
      <c r="E138" s="49"/>
      <c r="F138" s="19">
        <v>0.0</v>
      </c>
      <c r="G138" s="19" t="b">
        <v>0</v>
      </c>
    </row>
    <row r="139">
      <c r="A139" s="49"/>
      <c r="B139" s="49"/>
      <c r="C139" s="49"/>
      <c r="D139" s="49"/>
      <c r="E139" s="49"/>
      <c r="F139" s="19">
        <v>0.0</v>
      </c>
      <c r="G139" s="19" t="b">
        <v>0</v>
      </c>
    </row>
    <row r="140">
      <c r="A140" s="49"/>
      <c r="B140" s="49"/>
      <c r="C140" s="49"/>
      <c r="D140" s="49"/>
      <c r="E140" s="49"/>
      <c r="F140" s="19">
        <v>0.0</v>
      </c>
      <c r="G140" s="19" t="b">
        <v>0</v>
      </c>
    </row>
    <row r="141">
      <c r="A141" s="49"/>
      <c r="B141" s="49"/>
      <c r="C141" s="49"/>
      <c r="D141" s="49"/>
      <c r="E141" s="49"/>
      <c r="F141" s="19">
        <v>0.0</v>
      </c>
      <c r="G141" s="19" t="b">
        <v>0</v>
      </c>
    </row>
    <row r="142">
      <c r="A142" s="49"/>
      <c r="B142" s="49"/>
      <c r="C142" s="49"/>
      <c r="D142" s="49"/>
      <c r="E142" s="49"/>
      <c r="F142" s="19">
        <v>0.0</v>
      </c>
      <c r="G142" s="19" t="b">
        <v>0</v>
      </c>
    </row>
    <row r="143">
      <c r="A143" s="49"/>
      <c r="B143" s="49"/>
      <c r="C143" s="49"/>
      <c r="D143" s="49"/>
      <c r="E143" s="49"/>
      <c r="F143" s="19">
        <v>0.0</v>
      </c>
      <c r="G143" s="19" t="b">
        <v>0</v>
      </c>
    </row>
    <row r="144">
      <c r="A144" s="49"/>
      <c r="B144" s="49"/>
      <c r="C144" s="49"/>
      <c r="D144" s="49"/>
      <c r="E144" s="49"/>
      <c r="F144" s="19">
        <v>0.0</v>
      </c>
      <c r="G144" s="19" t="b">
        <v>0</v>
      </c>
    </row>
    <row r="145">
      <c r="A145" s="49"/>
      <c r="B145" s="49"/>
      <c r="C145" s="49"/>
      <c r="D145" s="49"/>
      <c r="E145" s="49"/>
      <c r="F145" s="19">
        <v>0.0</v>
      </c>
      <c r="G145" s="19" t="b">
        <v>0</v>
      </c>
    </row>
    <row r="146">
      <c r="A146" s="49"/>
      <c r="B146" s="49"/>
      <c r="C146" s="49"/>
      <c r="D146" s="49"/>
      <c r="E146" s="49"/>
      <c r="F146" s="19">
        <v>0.0</v>
      </c>
      <c r="G146" s="19" t="b">
        <v>0</v>
      </c>
    </row>
    <row r="147">
      <c r="A147" s="49"/>
      <c r="B147" s="49"/>
      <c r="C147" s="49"/>
      <c r="D147" s="49"/>
      <c r="E147" s="49"/>
      <c r="F147" s="19">
        <v>0.0</v>
      </c>
      <c r="G147" s="19" t="b">
        <v>0</v>
      </c>
    </row>
    <row r="148">
      <c r="A148" s="49"/>
      <c r="B148" s="49"/>
      <c r="C148" s="49"/>
      <c r="D148" s="49"/>
      <c r="E148" s="49"/>
      <c r="F148" s="19">
        <v>0.0</v>
      </c>
      <c r="G148" s="19" t="b">
        <v>0</v>
      </c>
    </row>
    <row r="149">
      <c r="A149" s="49"/>
      <c r="B149" s="49"/>
      <c r="C149" s="49"/>
      <c r="D149" s="49"/>
      <c r="E149" s="49"/>
      <c r="F149" s="19">
        <v>0.0</v>
      </c>
      <c r="G149" s="19" t="b">
        <v>0</v>
      </c>
    </row>
    <row r="150">
      <c r="A150" s="49"/>
      <c r="B150" s="49"/>
      <c r="C150" s="49"/>
      <c r="D150" s="49"/>
      <c r="E150" s="49"/>
      <c r="F150" s="19">
        <v>0.0</v>
      </c>
      <c r="G150" s="19" t="b">
        <v>0</v>
      </c>
    </row>
    <row r="151">
      <c r="A151" s="49"/>
      <c r="B151" s="49"/>
      <c r="C151" s="49"/>
      <c r="D151" s="49"/>
      <c r="E151" s="49"/>
      <c r="F151" s="19">
        <v>0.0</v>
      </c>
      <c r="G151" s="19" t="b">
        <v>0</v>
      </c>
    </row>
    <row r="152">
      <c r="A152" s="49"/>
      <c r="B152" s="49"/>
      <c r="C152" s="49"/>
      <c r="D152" s="49"/>
      <c r="E152" s="49"/>
      <c r="F152" s="19">
        <v>0.0</v>
      </c>
      <c r="G152" s="19" t="b">
        <v>0</v>
      </c>
    </row>
    <row r="153">
      <c r="A153" s="49"/>
      <c r="B153" s="49"/>
      <c r="C153" s="49"/>
      <c r="D153" s="49"/>
      <c r="E153" s="49"/>
      <c r="F153" s="19">
        <v>0.0</v>
      </c>
      <c r="G153" s="19" t="b">
        <v>0</v>
      </c>
    </row>
    <row r="154">
      <c r="A154" s="49"/>
      <c r="B154" s="49"/>
      <c r="C154" s="49"/>
      <c r="D154" s="49"/>
      <c r="E154" s="49"/>
      <c r="F154" s="19">
        <v>0.0</v>
      </c>
      <c r="G154" s="19" t="b">
        <v>0</v>
      </c>
    </row>
    <row r="155">
      <c r="A155" s="49"/>
      <c r="B155" s="49"/>
      <c r="C155" s="49"/>
      <c r="D155" s="49"/>
      <c r="E155" s="49"/>
      <c r="F155" s="19">
        <v>0.0</v>
      </c>
      <c r="G155" s="19" t="b">
        <v>0</v>
      </c>
    </row>
    <row r="156">
      <c r="A156" s="49"/>
      <c r="B156" s="49"/>
      <c r="C156" s="49"/>
      <c r="D156" s="49"/>
      <c r="E156" s="49"/>
      <c r="F156" s="19">
        <v>0.0</v>
      </c>
      <c r="G156" s="19" t="b">
        <v>0</v>
      </c>
    </row>
    <row r="157">
      <c r="A157" s="49"/>
      <c r="B157" s="49"/>
      <c r="C157" s="49"/>
      <c r="D157" s="49"/>
      <c r="E157" s="49"/>
      <c r="F157" s="19">
        <v>0.0</v>
      </c>
      <c r="G157" s="19" t="b">
        <v>0</v>
      </c>
    </row>
    <row r="158">
      <c r="A158" s="49"/>
      <c r="B158" s="49"/>
      <c r="C158" s="49"/>
      <c r="D158" s="49"/>
      <c r="E158" s="49"/>
      <c r="F158" s="19">
        <v>0.0</v>
      </c>
      <c r="G158" s="19" t="b">
        <v>0</v>
      </c>
    </row>
    <row r="159">
      <c r="A159" s="49"/>
      <c r="B159" s="49"/>
      <c r="C159" s="49"/>
      <c r="D159" s="49"/>
      <c r="E159" s="49"/>
      <c r="F159" s="19">
        <v>0.0</v>
      </c>
      <c r="G159" s="19" t="b">
        <v>0</v>
      </c>
    </row>
    <row r="160">
      <c r="A160" s="49"/>
      <c r="B160" s="49"/>
      <c r="C160" s="49"/>
      <c r="D160" s="49"/>
      <c r="E160" s="49"/>
      <c r="F160" s="19">
        <v>0.0</v>
      </c>
      <c r="G160" s="19" t="b">
        <v>0</v>
      </c>
    </row>
    <row r="161">
      <c r="A161" s="49"/>
      <c r="B161" s="49"/>
      <c r="C161" s="49"/>
      <c r="D161" s="49"/>
      <c r="E161" s="49"/>
      <c r="F161" s="19">
        <v>0.0</v>
      </c>
      <c r="G161" s="19" t="b">
        <v>0</v>
      </c>
    </row>
    <row r="162">
      <c r="A162" s="49"/>
      <c r="B162" s="49"/>
      <c r="C162" s="49"/>
      <c r="D162" s="49"/>
      <c r="E162" s="49"/>
      <c r="F162" s="19">
        <v>0.0</v>
      </c>
      <c r="G162" s="19" t="b">
        <v>0</v>
      </c>
    </row>
    <row r="163">
      <c r="A163" s="49"/>
      <c r="B163" s="49"/>
      <c r="C163" s="49"/>
      <c r="D163" s="49"/>
      <c r="E163" s="49"/>
      <c r="F163" s="19">
        <v>0.0</v>
      </c>
      <c r="G163" s="19" t="b">
        <v>0</v>
      </c>
    </row>
    <row r="164">
      <c r="A164" s="49"/>
      <c r="B164" s="49"/>
      <c r="C164" s="49"/>
      <c r="D164" s="49"/>
      <c r="E164" s="49"/>
      <c r="F164" s="19">
        <v>0.0</v>
      </c>
      <c r="G164" s="19" t="b">
        <v>0</v>
      </c>
    </row>
    <row r="165">
      <c r="A165" s="49"/>
      <c r="B165" s="49"/>
      <c r="C165" s="49"/>
      <c r="D165" s="49"/>
      <c r="E165" s="49"/>
      <c r="F165" s="19">
        <v>0.0</v>
      </c>
      <c r="G165" s="19" t="b">
        <v>0</v>
      </c>
    </row>
    <row r="166">
      <c r="A166" s="49"/>
      <c r="B166" s="49"/>
      <c r="C166" s="49"/>
      <c r="D166" s="49"/>
      <c r="E166" s="49"/>
      <c r="F166" s="19">
        <v>0.0</v>
      </c>
      <c r="G166" s="19" t="b">
        <v>0</v>
      </c>
    </row>
    <row r="167">
      <c r="A167" s="49"/>
      <c r="B167" s="49"/>
      <c r="C167" s="49"/>
      <c r="D167" s="49"/>
      <c r="E167" s="49"/>
      <c r="F167" s="19">
        <v>0.0</v>
      </c>
      <c r="G167" s="19" t="b">
        <v>0</v>
      </c>
    </row>
    <row r="168">
      <c r="A168" s="49"/>
      <c r="B168" s="49"/>
      <c r="C168" s="49"/>
      <c r="D168" s="49"/>
      <c r="E168" s="49"/>
      <c r="F168" s="19">
        <v>0.0</v>
      </c>
      <c r="G168" s="19" t="b">
        <v>0</v>
      </c>
    </row>
    <row r="169">
      <c r="A169" s="49"/>
      <c r="B169" s="49"/>
      <c r="C169" s="49"/>
      <c r="D169" s="49"/>
      <c r="E169" s="49"/>
      <c r="F169" s="19">
        <v>0.0</v>
      </c>
      <c r="G169" s="19" t="b">
        <v>0</v>
      </c>
    </row>
    <row r="170">
      <c r="A170" s="49"/>
      <c r="B170" s="49"/>
      <c r="C170" s="49"/>
      <c r="D170" s="49"/>
      <c r="E170" s="49"/>
      <c r="F170" s="19">
        <v>0.0</v>
      </c>
      <c r="G170" s="19" t="b">
        <v>0</v>
      </c>
    </row>
    <row r="171">
      <c r="A171" s="49"/>
      <c r="B171" s="49"/>
      <c r="C171" s="49"/>
      <c r="D171" s="49"/>
      <c r="E171" s="49"/>
      <c r="F171" s="19">
        <v>0.0</v>
      </c>
      <c r="G171" s="19" t="b">
        <v>0</v>
      </c>
    </row>
    <row r="172">
      <c r="A172" s="49"/>
      <c r="B172" s="49"/>
      <c r="C172" s="49"/>
      <c r="D172" s="49"/>
      <c r="E172" s="49"/>
      <c r="F172" s="19">
        <v>0.0</v>
      </c>
      <c r="G172" s="19" t="b">
        <v>0</v>
      </c>
    </row>
    <row r="173">
      <c r="A173" s="49"/>
      <c r="B173" s="49"/>
      <c r="C173" s="49"/>
      <c r="D173" s="49"/>
      <c r="E173" s="49"/>
      <c r="F173" s="19">
        <v>0.0</v>
      </c>
      <c r="G173" s="19" t="b">
        <v>0</v>
      </c>
    </row>
    <row r="174">
      <c r="A174" s="49"/>
      <c r="B174" s="49"/>
      <c r="C174" s="49"/>
      <c r="D174" s="49"/>
      <c r="E174" s="49"/>
      <c r="F174" s="19">
        <v>0.0</v>
      </c>
      <c r="G174" s="19" t="b">
        <v>0</v>
      </c>
    </row>
    <row r="175">
      <c r="A175" s="49"/>
      <c r="B175" s="49"/>
      <c r="C175" s="49"/>
      <c r="D175" s="49"/>
      <c r="E175" s="49"/>
      <c r="F175" s="19">
        <v>0.0</v>
      </c>
      <c r="G175" s="19" t="b">
        <v>0</v>
      </c>
    </row>
    <row r="176">
      <c r="A176" s="49"/>
      <c r="B176" s="49"/>
      <c r="C176" s="49"/>
      <c r="D176" s="49"/>
      <c r="E176" s="49"/>
      <c r="F176" s="19">
        <v>0.0</v>
      </c>
      <c r="G176" s="19" t="b">
        <v>0</v>
      </c>
    </row>
    <row r="177">
      <c r="A177" s="49"/>
      <c r="B177" s="49"/>
      <c r="C177" s="49"/>
      <c r="D177" s="49"/>
      <c r="E177" s="49"/>
      <c r="F177" s="19">
        <v>0.0</v>
      </c>
      <c r="G177" s="19" t="b">
        <v>0</v>
      </c>
    </row>
    <row r="178">
      <c r="A178" s="49"/>
      <c r="B178" s="49"/>
      <c r="C178" s="49"/>
      <c r="D178" s="49"/>
      <c r="E178" s="49"/>
      <c r="F178" s="19">
        <v>0.0</v>
      </c>
      <c r="G178" s="19" t="b">
        <v>0</v>
      </c>
    </row>
    <row r="179">
      <c r="A179" s="49"/>
      <c r="B179" s="49"/>
      <c r="C179" s="49"/>
      <c r="D179" s="49"/>
      <c r="E179" s="49"/>
      <c r="F179" s="19">
        <v>0.0</v>
      </c>
      <c r="G179" s="19" t="b">
        <v>0</v>
      </c>
    </row>
    <row r="180">
      <c r="A180" s="49"/>
      <c r="B180" s="49"/>
      <c r="C180" s="49"/>
      <c r="D180" s="49"/>
      <c r="E180" s="49"/>
      <c r="F180" s="19">
        <v>0.0</v>
      </c>
      <c r="G180" s="19" t="b">
        <v>0</v>
      </c>
    </row>
    <row r="181">
      <c r="A181" s="49"/>
      <c r="B181" s="49"/>
      <c r="C181" s="49"/>
      <c r="D181" s="49"/>
      <c r="E181" s="49"/>
      <c r="F181" s="19">
        <v>0.0</v>
      </c>
      <c r="G181" s="19" t="b">
        <v>0</v>
      </c>
    </row>
    <row r="182">
      <c r="A182" s="49"/>
      <c r="B182" s="49"/>
      <c r="C182" s="49"/>
      <c r="D182" s="49"/>
      <c r="E182" s="49"/>
      <c r="F182" s="19">
        <v>0.0</v>
      </c>
      <c r="G182" s="19" t="b">
        <v>0</v>
      </c>
    </row>
    <row r="183">
      <c r="A183" s="49"/>
      <c r="B183" s="49"/>
      <c r="C183" s="49"/>
      <c r="D183" s="49"/>
      <c r="E183" s="49"/>
      <c r="F183" s="19">
        <v>0.0</v>
      </c>
      <c r="G183" s="19" t="b">
        <v>0</v>
      </c>
    </row>
    <row r="184">
      <c r="A184" s="49"/>
      <c r="B184" s="49"/>
      <c r="C184" s="49"/>
      <c r="D184" s="49"/>
      <c r="E184" s="49"/>
      <c r="F184" s="19">
        <v>0.0</v>
      </c>
      <c r="G184" s="19" t="b">
        <v>0</v>
      </c>
    </row>
    <row r="185">
      <c r="A185" s="49"/>
      <c r="B185" s="49"/>
      <c r="C185" s="49"/>
      <c r="D185" s="49"/>
      <c r="E185" s="49"/>
      <c r="F185" s="19">
        <v>0.0</v>
      </c>
      <c r="G185" s="19" t="b">
        <v>0</v>
      </c>
    </row>
    <row r="186">
      <c r="A186" s="49"/>
      <c r="B186" s="49"/>
      <c r="C186" s="49"/>
      <c r="D186" s="49"/>
      <c r="E186" s="49"/>
      <c r="F186" s="19">
        <v>0.0</v>
      </c>
      <c r="G186" s="19" t="b">
        <v>0</v>
      </c>
    </row>
    <row r="187">
      <c r="A187" s="49"/>
      <c r="B187" s="49"/>
      <c r="C187" s="49"/>
      <c r="D187" s="49"/>
      <c r="E187" s="49"/>
      <c r="F187" s="19">
        <v>0.0</v>
      </c>
      <c r="G187" s="19" t="b">
        <v>0</v>
      </c>
    </row>
    <row r="188">
      <c r="A188" s="49"/>
      <c r="B188" s="49"/>
      <c r="C188" s="49"/>
      <c r="D188" s="49"/>
      <c r="E188" s="49"/>
      <c r="F188" s="19">
        <v>0.0</v>
      </c>
      <c r="G188" s="19" t="b">
        <v>0</v>
      </c>
    </row>
    <row r="189">
      <c r="A189" s="49"/>
      <c r="B189" s="49"/>
      <c r="C189" s="49"/>
      <c r="D189" s="49"/>
      <c r="E189" s="49"/>
      <c r="F189" s="19">
        <v>0.0</v>
      </c>
      <c r="G189" s="19" t="b">
        <v>0</v>
      </c>
    </row>
    <row r="190">
      <c r="A190" s="49"/>
      <c r="B190" s="49"/>
      <c r="C190" s="49"/>
      <c r="D190" s="49"/>
      <c r="E190" s="49"/>
      <c r="F190" s="19">
        <v>0.0</v>
      </c>
      <c r="G190" s="19" t="b">
        <v>0</v>
      </c>
    </row>
    <row r="191">
      <c r="A191" s="49"/>
      <c r="B191" s="49"/>
      <c r="C191" s="49"/>
      <c r="D191" s="49"/>
      <c r="E191" s="49"/>
      <c r="F191" s="19">
        <v>0.0</v>
      </c>
      <c r="G191" s="19" t="b">
        <v>0</v>
      </c>
    </row>
    <row r="192">
      <c r="A192" s="49"/>
      <c r="B192" s="49"/>
      <c r="C192" s="49"/>
      <c r="D192" s="49"/>
      <c r="E192" s="49"/>
      <c r="F192" s="19">
        <v>0.0</v>
      </c>
      <c r="G192" s="19" t="b">
        <v>0</v>
      </c>
    </row>
    <row r="193">
      <c r="A193" s="49"/>
      <c r="B193" s="49"/>
      <c r="C193" s="49"/>
      <c r="D193" s="49"/>
      <c r="E193" s="49"/>
      <c r="F193" s="19">
        <v>0.0</v>
      </c>
      <c r="G193" s="19" t="b">
        <v>0</v>
      </c>
    </row>
    <row r="194">
      <c r="A194" s="49"/>
      <c r="B194" s="49"/>
      <c r="C194" s="49"/>
      <c r="D194" s="49"/>
      <c r="E194" s="49"/>
      <c r="F194" s="19">
        <v>0.0</v>
      </c>
      <c r="G194" s="19" t="b">
        <v>0</v>
      </c>
    </row>
    <row r="195">
      <c r="A195" s="49"/>
      <c r="B195" s="49"/>
      <c r="C195" s="49"/>
      <c r="D195" s="49"/>
      <c r="E195" s="49"/>
      <c r="F195" s="19">
        <v>0.0</v>
      </c>
      <c r="G195" s="19" t="b">
        <v>0</v>
      </c>
    </row>
    <row r="196">
      <c r="A196" s="49"/>
      <c r="B196" s="49"/>
      <c r="C196" s="49"/>
      <c r="D196" s="49"/>
      <c r="E196" s="49"/>
      <c r="F196" s="19">
        <v>0.0</v>
      </c>
      <c r="G196" s="19" t="b">
        <v>0</v>
      </c>
    </row>
    <row r="197">
      <c r="A197" s="49"/>
      <c r="B197" s="49"/>
      <c r="C197" s="49"/>
      <c r="D197" s="49"/>
      <c r="E197" s="49"/>
      <c r="F197" s="19">
        <v>0.0</v>
      </c>
      <c r="G197" s="19" t="b">
        <v>0</v>
      </c>
    </row>
    <row r="198">
      <c r="A198" s="49"/>
      <c r="B198" s="49"/>
      <c r="C198" s="49"/>
      <c r="D198" s="49"/>
      <c r="E198" s="49"/>
      <c r="F198" s="19">
        <v>0.0</v>
      </c>
      <c r="G198" s="19" t="b">
        <v>0</v>
      </c>
    </row>
    <row r="199">
      <c r="A199" s="49"/>
      <c r="B199" s="49"/>
      <c r="C199" s="49"/>
      <c r="D199" s="49"/>
      <c r="E199" s="49"/>
      <c r="F199" s="19">
        <v>0.0</v>
      </c>
      <c r="G199" s="19" t="b">
        <v>0</v>
      </c>
    </row>
    <row r="200">
      <c r="A200" s="49"/>
      <c r="B200" s="49"/>
      <c r="C200" s="49"/>
      <c r="D200" s="49"/>
      <c r="E200" s="49"/>
      <c r="F200" s="19">
        <v>0.0</v>
      </c>
      <c r="G200" s="19" t="b">
        <v>0</v>
      </c>
    </row>
    <row r="201">
      <c r="A201" s="49"/>
      <c r="B201" s="49"/>
      <c r="C201" s="49"/>
      <c r="D201" s="49"/>
      <c r="E201" s="49"/>
      <c r="F201" s="19">
        <v>0.0</v>
      </c>
      <c r="G201" s="19" t="b">
        <v>0</v>
      </c>
    </row>
    <row r="202">
      <c r="A202" s="49"/>
      <c r="B202" s="49"/>
      <c r="C202" s="49"/>
      <c r="D202" s="49"/>
      <c r="E202" s="49"/>
      <c r="F202" s="19">
        <v>0.0</v>
      </c>
      <c r="G202" s="19" t="b">
        <v>0</v>
      </c>
    </row>
    <row r="203">
      <c r="A203" s="49"/>
      <c r="B203" s="49"/>
      <c r="C203" s="49"/>
      <c r="D203" s="49"/>
      <c r="E203" s="49"/>
      <c r="F203" s="19">
        <v>0.0</v>
      </c>
      <c r="G203" s="19" t="b">
        <v>0</v>
      </c>
    </row>
    <row r="204">
      <c r="A204" s="49"/>
      <c r="B204" s="49"/>
      <c r="C204" s="49"/>
      <c r="D204" s="49"/>
      <c r="E204" s="49"/>
      <c r="F204" s="19">
        <v>0.0</v>
      </c>
      <c r="G204" s="19" t="b">
        <v>0</v>
      </c>
    </row>
    <row r="205">
      <c r="A205" s="49"/>
      <c r="B205" s="49"/>
      <c r="C205" s="49"/>
      <c r="D205" s="49"/>
      <c r="E205" s="49"/>
      <c r="F205" s="19">
        <v>0.0</v>
      </c>
      <c r="G205" s="19" t="b">
        <v>0</v>
      </c>
    </row>
    <row r="206">
      <c r="A206" s="49"/>
      <c r="B206" s="49"/>
      <c r="C206" s="49"/>
      <c r="D206" s="49"/>
      <c r="E206" s="49"/>
      <c r="F206" s="19">
        <v>0.0</v>
      </c>
      <c r="G206" s="19" t="b">
        <v>0</v>
      </c>
    </row>
    <row r="207">
      <c r="A207" s="49"/>
      <c r="B207" s="49"/>
      <c r="C207" s="49"/>
      <c r="D207" s="49"/>
      <c r="E207" s="49"/>
      <c r="F207" s="19">
        <v>0.0</v>
      </c>
      <c r="G207" s="19" t="b">
        <v>0</v>
      </c>
    </row>
    <row r="208">
      <c r="A208" s="49"/>
      <c r="B208" s="49"/>
      <c r="C208" s="49"/>
      <c r="D208" s="49"/>
      <c r="E208" s="49"/>
      <c r="F208" s="19">
        <v>0.0</v>
      </c>
      <c r="G208" s="19" t="b">
        <v>0</v>
      </c>
    </row>
    <row r="209">
      <c r="A209" s="49"/>
      <c r="B209" s="49"/>
      <c r="C209" s="49"/>
      <c r="D209" s="49"/>
      <c r="E209" s="49"/>
      <c r="F209" s="19">
        <v>0.0</v>
      </c>
      <c r="G209" s="19" t="b">
        <v>0</v>
      </c>
    </row>
    <row r="210">
      <c r="A210" s="49"/>
      <c r="B210" s="49"/>
      <c r="C210" s="49"/>
      <c r="D210" s="49"/>
      <c r="E210" s="49"/>
      <c r="F210" s="19">
        <v>0.0</v>
      </c>
      <c r="G210" s="19" t="b">
        <v>0</v>
      </c>
    </row>
    <row r="211">
      <c r="A211" s="49"/>
      <c r="B211" s="49"/>
      <c r="C211" s="49"/>
      <c r="D211" s="49"/>
      <c r="E211" s="49"/>
      <c r="F211" s="19">
        <v>0.0</v>
      </c>
      <c r="G211" s="19" t="b">
        <v>0</v>
      </c>
    </row>
    <row r="212">
      <c r="A212" s="49"/>
      <c r="B212" s="49"/>
      <c r="C212" s="49"/>
      <c r="D212" s="49"/>
      <c r="E212" s="49"/>
      <c r="F212" s="19">
        <v>0.0</v>
      </c>
      <c r="G212" s="19" t="b">
        <v>0</v>
      </c>
    </row>
    <row r="213">
      <c r="A213" s="49"/>
      <c r="B213" s="49"/>
      <c r="C213" s="49"/>
      <c r="D213" s="49"/>
      <c r="E213" s="49"/>
      <c r="F213" s="19">
        <v>0.0</v>
      </c>
      <c r="G213" s="19" t="b">
        <v>0</v>
      </c>
    </row>
    <row r="214">
      <c r="A214" s="49"/>
      <c r="B214" s="49"/>
      <c r="C214" s="49"/>
      <c r="D214" s="49"/>
      <c r="E214" s="49"/>
      <c r="F214" s="19">
        <v>0.0</v>
      </c>
      <c r="G214" s="19" t="b">
        <v>0</v>
      </c>
    </row>
    <row r="215">
      <c r="A215" s="49"/>
      <c r="B215" s="49"/>
      <c r="C215" s="49"/>
      <c r="D215" s="49"/>
      <c r="E215" s="49"/>
      <c r="F215" s="19">
        <v>0.0</v>
      </c>
      <c r="G215" s="19" t="b">
        <v>0</v>
      </c>
    </row>
    <row r="216">
      <c r="A216" s="49"/>
      <c r="B216" s="49"/>
      <c r="C216" s="49"/>
      <c r="D216" s="49"/>
      <c r="E216" s="49"/>
      <c r="F216" s="19">
        <v>0.0</v>
      </c>
      <c r="G216" s="19" t="b">
        <v>0</v>
      </c>
    </row>
    <row r="217">
      <c r="A217" s="49"/>
      <c r="B217" s="49"/>
      <c r="C217" s="49"/>
      <c r="D217" s="49"/>
      <c r="E217" s="49"/>
      <c r="F217" s="19">
        <v>0.0</v>
      </c>
      <c r="G217" s="19" t="b">
        <v>0</v>
      </c>
    </row>
    <row r="218">
      <c r="A218" s="49"/>
      <c r="B218" s="49"/>
      <c r="C218" s="49"/>
      <c r="D218" s="49"/>
      <c r="E218" s="49"/>
      <c r="F218" s="19">
        <v>0.0</v>
      </c>
      <c r="G218" s="19" t="b">
        <v>0</v>
      </c>
    </row>
    <row r="219">
      <c r="A219" s="49"/>
      <c r="B219" s="49"/>
      <c r="C219" s="49"/>
      <c r="D219" s="49"/>
      <c r="E219" s="49"/>
      <c r="F219" s="19">
        <v>0.0</v>
      </c>
      <c r="G219" s="19" t="b">
        <v>0</v>
      </c>
    </row>
    <row r="220">
      <c r="A220" s="49"/>
      <c r="B220" s="49"/>
      <c r="C220" s="49"/>
      <c r="D220" s="49"/>
      <c r="E220" s="49"/>
      <c r="F220" s="19">
        <v>0.0</v>
      </c>
      <c r="G220" s="19" t="b">
        <v>0</v>
      </c>
    </row>
    <row r="221">
      <c r="A221" s="49"/>
      <c r="B221" s="49"/>
      <c r="C221" s="49"/>
      <c r="D221" s="49"/>
      <c r="E221" s="49"/>
      <c r="F221" s="19">
        <v>0.0</v>
      </c>
      <c r="G221" s="19" t="b">
        <v>0</v>
      </c>
    </row>
    <row r="222">
      <c r="A222" s="49"/>
      <c r="B222" s="49"/>
      <c r="C222" s="49"/>
      <c r="D222" s="49"/>
      <c r="E222" s="49"/>
      <c r="F222" s="19">
        <v>0.0</v>
      </c>
      <c r="G222" s="19" t="b">
        <v>0</v>
      </c>
    </row>
    <row r="223">
      <c r="A223" s="49"/>
      <c r="B223" s="49"/>
      <c r="C223" s="49"/>
      <c r="D223" s="49"/>
      <c r="E223" s="49"/>
      <c r="F223" s="19">
        <v>0.0</v>
      </c>
      <c r="G223" s="19" t="b">
        <v>0</v>
      </c>
    </row>
    <row r="224">
      <c r="A224" s="49"/>
      <c r="B224" s="49"/>
      <c r="C224" s="49"/>
      <c r="D224" s="49"/>
      <c r="E224" s="49"/>
      <c r="F224" s="19">
        <v>0.0</v>
      </c>
      <c r="G224" s="19" t="b">
        <v>0</v>
      </c>
    </row>
    <row r="225">
      <c r="A225" s="49"/>
      <c r="B225" s="49"/>
      <c r="C225" s="49"/>
      <c r="D225" s="49"/>
      <c r="E225" s="49"/>
      <c r="F225" s="19">
        <v>0.0</v>
      </c>
      <c r="G225" s="19" t="b">
        <v>0</v>
      </c>
    </row>
    <row r="226">
      <c r="A226" s="49"/>
      <c r="B226" s="49"/>
      <c r="C226" s="49"/>
      <c r="D226" s="49"/>
      <c r="E226" s="49"/>
      <c r="F226" s="19">
        <v>0.0</v>
      </c>
      <c r="G226" s="19" t="b">
        <v>0</v>
      </c>
    </row>
    <row r="227">
      <c r="A227" s="49"/>
      <c r="B227" s="49"/>
      <c r="C227" s="49"/>
      <c r="D227" s="49"/>
      <c r="E227" s="49"/>
      <c r="F227" s="19">
        <v>0.0</v>
      </c>
      <c r="G227" s="19" t="b">
        <v>0</v>
      </c>
    </row>
    <row r="228">
      <c r="A228" s="49"/>
      <c r="B228" s="49"/>
      <c r="C228" s="49"/>
      <c r="D228" s="49"/>
      <c r="E228" s="49"/>
      <c r="F228" s="19">
        <v>0.0</v>
      </c>
      <c r="G228" s="19" t="b">
        <v>0</v>
      </c>
    </row>
    <row r="229">
      <c r="A229" s="49"/>
      <c r="B229" s="49"/>
      <c r="C229" s="49"/>
      <c r="D229" s="49"/>
      <c r="E229" s="49"/>
      <c r="F229" s="19">
        <v>0.0</v>
      </c>
      <c r="G229" s="19" t="b">
        <v>0</v>
      </c>
    </row>
    <row r="230">
      <c r="A230" s="49"/>
      <c r="B230" s="49"/>
      <c r="C230" s="49"/>
      <c r="D230" s="49"/>
      <c r="E230" s="49"/>
      <c r="F230" s="19">
        <v>0.0</v>
      </c>
      <c r="G230" s="19" t="b">
        <v>0</v>
      </c>
    </row>
    <row r="231">
      <c r="A231" s="49"/>
      <c r="B231" s="49"/>
      <c r="C231" s="49"/>
      <c r="D231" s="49"/>
      <c r="E231" s="49"/>
      <c r="F231" s="19">
        <v>0.0</v>
      </c>
      <c r="G231" s="19" t="b">
        <v>0</v>
      </c>
    </row>
    <row r="232">
      <c r="A232" s="49"/>
      <c r="B232" s="49"/>
      <c r="C232" s="49"/>
      <c r="D232" s="49"/>
      <c r="E232" s="49"/>
      <c r="F232" s="19">
        <v>0.0</v>
      </c>
      <c r="G232" s="19" t="b">
        <v>0</v>
      </c>
    </row>
    <row r="233">
      <c r="A233" s="49"/>
      <c r="B233" s="49"/>
      <c r="C233" s="49"/>
      <c r="D233" s="49"/>
      <c r="E233" s="49"/>
      <c r="F233" s="19">
        <v>0.0</v>
      </c>
      <c r="G233" s="19" t="b">
        <v>0</v>
      </c>
    </row>
    <row r="234">
      <c r="A234" s="49"/>
      <c r="B234" s="49"/>
      <c r="C234" s="49"/>
      <c r="D234" s="49"/>
      <c r="E234" s="49"/>
      <c r="F234" s="19">
        <v>0.0</v>
      </c>
      <c r="G234" s="19" t="b">
        <v>0</v>
      </c>
    </row>
    <row r="235">
      <c r="A235" s="49"/>
      <c r="B235" s="49"/>
      <c r="C235" s="49"/>
      <c r="D235" s="49"/>
      <c r="E235" s="49"/>
      <c r="F235" s="19">
        <v>0.0</v>
      </c>
      <c r="G235" s="19" t="b">
        <v>0</v>
      </c>
    </row>
    <row r="236">
      <c r="A236" s="49"/>
      <c r="B236" s="49"/>
      <c r="C236" s="49"/>
      <c r="D236" s="49"/>
      <c r="E236" s="49"/>
      <c r="F236" s="19">
        <v>0.0</v>
      </c>
      <c r="G236" s="19" t="b">
        <v>0</v>
      </c>
    </row>
    <row r="237">
      <c r="A237" s="49"/>
      <c r="B237" s="49"/>
      <c r="C237" s="49"/>
      <c r="D237" s="49"/>
      <c r="E237" s="49"/>
      <c r="F237" s="19">
        <v>0.0</v>
      </c>
      <c r="G237" s="19" t="b">
        <v>0</v>
      </c>
    </row>
    <row r="238">
      <c r="A238" s="49"/>
      <c r="B238" s="49"/>
      <c r="C238" s="49"/>
      <c r="D238" s="49"/>
      <c r="E238" s="49"/>
      <c r="F238" s="19">
        <v>0.0</v>
      </c>
      <c r="G238" s="19" t="b">
        <v>0</v>
      </c>
    </row>
    <row r="239">
      <c r="A239" s="49"/>
      <c r="B239" s="49"/>
      <c r="C239" s="49"/>
      <c r="D239" s="49"/>
      <c r="E239" s="49"/>
      <c r="F239" s="19">
        <v>0.0</v>
      </c>
      <c r="G239" s="19" t="b">
        <v>0</v>
      </c>
    </row>
    <row r="240">
      <c r="A240" s="49"/>
      <c r="B240" s="49"/>
      <c r="C240" s="49"/>
      <c r="D240" s="49"/>
      <c r="E240" s="49"/>
      <c r="F240" s="19">
        <v>0.0</v>
      </c>
      <c r="G240" s="19" t="b">
        <v>0</v>
      </c>
    </row>
    <row r="241">
      <c r="A241" s="49"/>
      <c r="B241" s="49"/>
      <c r="C241" s="49"/>
      <c r="D241" s="49"/>
      <c r="E241" s="49"/>
      <c r="F241" s="19">
        <v>0.0</v>
      </c>
      <c r="G241" s="19" t="b">
        <v>0</v>
      </c>
    </row>
    <row r="242">
      <c r="A242" s="49"/>
      <c r="B242" s="49"/>
      <c r="C242" s="49"/>
      <c r="D242" s="49"/>
      <c r="E242" s="49"/>
      <c r="F242" s="19">
        <v>0.0</v>
      </c>
      <c r="G242" s="19" t="b">
        <v>0</v>
      </c>
    </row>
    <row r="243">
      <c r="A243" s="49"/>
      <c r="B243" s="49"/>
      <c r="C243" s="49"/>
      <c r="D243" s="49"/>
      <c r="E243" s="49"/>
      <c r="F243" s="19">
        <v>0.0</v>
      </c>
      <c r="G243" s="19" t="b">
        <v>0</v>
      </c>
    </row>
    <row r="244">
      <c r="A244" s="49"/>
      <c r="B244" s="49"/>
      <c r="C244" s="49"/>
      <c r="D244" s="49"/>
      <c r="E244" s="49"/>
      <c r="F244" s="19">
        <v>0.0</v>
      </c>
      <c r="G244" s="19" t="b">
        <v>0</v>
      </c>
    </row>
    <row r="245">
      <c r="A245" s="49"/>
      <c r="B245" s="49"/>
      <c r="C245" s="49"/>
      <c r="D245" s="49"/>
      <c r="E245" s="49"/>
      <c r="F245" s="19">
        <v>0.0</v>
      </c>
      <c r="G245" s="19" t="b">
        <v>0</v>
      </c>
    </row>
    <row r="246">
      <c r="A246" s="49"/>
      <c r="B246" s="49"/>
      <c r="C246" s="49"/>
      <c r="D246" s="49"/>
      <c r="E246" s="49"/>
      <c r="F246" s="19">
        <v>0.0</v>
      </c>
      <c r="G246" s="19" t="b">
        <v>0</v>
      </c>
    </row>
    <row r="247">
      <c r="A247" s="49"/>
      <c r="B247" s="49"/>
      <c r="C247" s="49"/>
      <c r="D247" s="49"/>
      <c r="E247" s="49"/>
      <c r="F247" s="19">
        <v>0.0</v>
      </c>
      <c r="G247" s="19" t="b">
        <v>0</v>
      </c>
    </row>
    <row r="248">
      <c r="A248" s="49"/>
      <c r="B248" s="49"/>
      <c r="C248" s="49"/>
      <c r="D248" s="49"/>
      <c r="E248" s="49"/>
      <c r="F248" s="19">
        <v>0.0</v>
      </c>
      <c r="G248" s="19" t="b">
        <v>0</v>
      </c>
    </row>
    <row r="249">
      <c r="A249" s="49"/>
      <c r="B249" s="49"/>
      <c r="C249" s="49"/>
      <c r="D249" s="49"/>
      <c r="E249" s="49"/>
      <c r="F249" s="19">
        <v>0.0</v>
      </c>
      <c r="G249" s="19" t="b">
        <v>0</v>
      </c>
    </row>
    <row r="250">
      <c r="A250" s="49"/>
      <c r="B250" s="49"/>
      <c r="C250" s="49"/>
      <c r="D250" s="49"/>
      <c r="E250" s="49"/>
      <c r="F250" s="19">
        <v>0.0</v>
      </c>
      <c r="G250" s="19" t="b">
        <v>0</v>
      </c>
    </row>
    <row r="251">
      <c r="A251" s="49"/>
      <c r="B251" s="49"/>
      <c r="C251" s="49"/>
      <c r="D251" s="49"/>
      <c r="E251" s="49"/>
      <c r="F251" s="19">
        <v>0.0</v>
      </c>
      <c r="G251" s="19" t="b">
        <v>0</v>
      </c>
    </row>
    <row r="252">
      <c r="A252" s="49"/>
      <c r="B252" s="49"/>
      <c r="C252" s="49"/>
      <c r="D252" s="49"/>
      <c r="E252" s="49"/>
      <c r="F252" s="19">
        <v>0.0</v>
      </c>
      <c r="G252" s="19" t="b">
        <v>0</v>
      </c>
    </row>
    <row r="253">
      <c r="A253" s="49"/>
      <c r="B253" s="49"/>
      <c r="C253" s="49"/>
      <c r="D253" s="49"/>
      <c r="E253" s="49"/>
      <c r="F253" s="19">
        <v>0.0</v>
      </c>
      <c r="G253" s="19" t="b">
        <v>0</v>
      </c>
    </row>
    <row r="254">
      <c r="A254" s="49"/>
      <c r="B254" s="49"/>
      <c r="C254" s="49"/>
      <c r="D254" s="49"/>
      <c r="E254" s="49"/>
      <c r="F254" s="19">
        <v>0.0</v>
      </c>
      <c r="G254" s="19" t="b">
        <v>0</v>
      </c>
    </row>
    <row r="255">
      <c r="A255" s="49"/>
      <c r="B255" s="49"/>
      <c r="C255" s="49"/>
      <c r="D255" s="49"/>
      <c r="E255" s="49"/>
      <c r="F255" s="19">
        <v>0.0</v>
      </c>
      <c r="G255" s="19" t="b">
        <v>0</v>
      </c>
    </row>
    <row r="256">
      <c r="A256" s="49"/>
      <c r="B256" s="49"/>
      <c r="C256" s="49"/>
      <c r="D256" s="49"/>
      <c r="E256" s="49"/>
      <c r="F256" s="19">
        <v>0.0</v>
      </c>
      <c r="G256" s="19" t="b">
        <v>0</v>
      </c>
    </row>
    <row r="257">
      <c r="A257" s="49"/>
      <c r="B257" s="49"/>
      <c r="C257" s="49"/>
      <c r="D257" s="49"/>
      <c r="E257" s="49"/>
      <c r="F257" s="19">
        <v>0.0</v>
      </c>
      <c r="G257" s="19" t="b">
        <v>0</v>
      </c>
    </row>
    <row r="258">
      <c r="A258" s="49"/>
      <c r="B258" s="49"/>
      <c r="C258" s="49"/>
      <c r="D258" s="49"/>
      <c r="E258" s="49"/>
      <c r="F258" s="19">
        <v>0.0</v>
      </c>
      <c r="G258" s="19" t="b">
        <v>0</v>
      </c>
    </row>
    <row r="259">
      <c r="A259" s="49"/>
      <c r="B259" s="49"/>
      <c r="C259" s="49"/>
      <c r="D259" s="49"/>
      <c r="E259" s="49"/>
      <c r="F259" s="19">
        <v>0.0</v>
      </c>
      <c r="G259" s="19" t="b">
        <v>0</v>
      </c>
    </row>
    <row r="260">
      <c r="A260" s="49"/>
      <c r="B260" s="49"/>
      <c r="C260" s="49"/>
      <c r="D260" s="49"/>
      <c r="E260" s="49"/>
      <c r="F260" s="19">
        <v>0.0</v>
      </c>
      <c r="G260" s="19" t="b">
        <v>0</v>
      </c>
    </row>
    <row r="261">
      <c r="A261" s="49"/>
      <c r="B261" s="49"/>
      <c r="C261" s="49"/>
      <c r="D261" s="49"/>
      <c r="E261" s="49"/>
      <c r="F261" s="19">
        <v>0.0</v>
      </c>
      <c r="G261" s="19" t="b">
        <v>0</v>
      </c>
    </row>
    <row r="262">
      <c r="A262" s="49"/>
      <c r="B262" s="49"/>
      <c r="C262" s="49"/>
      <c r="D262" s="49"/>
      <c r="E262" s="49"/>
      <c r="F262" s="19">
        <v>0.0</v>
      </c>
      <c r="G262" s="19" t="b">
        <v>0</v>
      </c>
    </row>
    <row r="263">
      <c r="A263" s="49"/>
      <c r="B263" s="49"/>
      <c r="C263" s="49"/>
      <c r="D263" s="49"/>
      <c r="E263" s="49"/>
      <c r="F263" s="19">
        <v>0.0</v>
      </c>
      <c r="G263" s="19" t="b">
        <v>0</v>
      </c>
    </row>
    <row r="264">
      <c r="A264" s="49"/>
      <c r="B264" s="49"/>
      <c r="C264" s="49"/>
      <c r="D264" s="49"/>
      <c r="E264" s="49"/>
      <c r="F264" s="19">
        <v>0.0</v>
      </c>
      <c r="G264" s="19" t="b">
        <v>0</v>
      </c>
    </row>
    <row r="265">
      <c r="A265" s="49"/>
      <c r="B265" s="49"/>
      <c r="C265" s="49"/>
      <c r="D265" s="49"/>
      <c r="E265" s="49"/>
      <c r="F265" s="19">
        <v>0.0</v>
      </c>
      <c r="G265" s="19" t="b">
        <v>0</v>
      </c>
    </row>
    <row r="266">
      <c r="A266" s="49"/>
      <c r="B266" s="49"/>
      <c r="C266" s="49"/>
      <c r="D266" s="49"/>
      <c r="E266" s="49"/>
      <c r="F266" s="19">
        <v>0.0</v>
      </c>
      <c r="G266" s="19" t="b">
        <v>0</v>
      </c>
    </row>
    <row r="267">
      <c r="A267" s="49"/>
      <c r="B267" s="49"/>
      <c r="C267" s="49"/>
      <c r="D267" s="49"/>
      <c r="E267" s="49"/>
      <c r="F267" s="19">
        <v>0.0</v>
      </c>
      <c r="G267" s="19" t="b">
        <v>0</v>
      </c>
    </row>
    <row r="268">
      <c r="A268" s="49"/>
      <c r="B268" s="49"/>
      <c r="C268" s="49"/>
      <c r="D268" s="49"/>
      <c r="E268" s="49"/>
      <c r="F268" s="19">
        <v>0.0</v>
      </c>
      <c r="G268" s="19" t="b">
        <v>0</v>
      </c>
    </row>
    <row r="269">
      <c r="A269" s="49"/>
      <c r="B269" s="49"/>
      <c r="C269" s="49"/>
      <c r="D269" s="49"/>
      <c r="E269" s="49"/>
      <c r="F269" s="19">
        <v>0.0</v>
      </c>
      <c r="G269" s="19" t="b">
        <v>0</v>
      </c>
    </row>
    <row r="270">
      <c r="A270" s="49"/>
      <c r="B270" s="49"/>
      <c r="C270" s="49"/>
      <c r="D270" s="49"/>
      <c r="E270" s="49"/>
      <c r="F270" s="19">
        <v>0.0</v>
      </c>
      <c r="G270" s="19" t="b">
        <v>0</v>
      </c>
    </row>
    <row r="271">
      <c r="A271" s="49"/>
      <c r="B271" s="49"/>
      <c r="C271" s="49"/>
      <c r="D271" s="49"/>
      <c r="E271" s="49"/>
      <c r="F271" s="19">
        <v>0.0</v>
      </c>
      <c r="G271" s="19" t="b">
        <v>0</v>
      </c>
    </row>
    <row r="272">
      <c r="A272" s="49"/>
      <c r="B272" s="49"/>
      <c r="C272" s="49"/>
      <c r="D272" s="49"/>
      <c r="E272" s="49"/>
      <c r="F272" s="19">
        <v>0.0</v>
      </c>
      <c r="G272" s="19" t="b">
        <v>0</v>
      </c>
    </row>
    <row r="273">
      <c r="A273" s="49"/>
      <c r="B273" s="49"/>
      <c r="C273" s="49"/>
      <c r="D273" s="49"/>
      <c r="E273" s="49"/>
      <c r="F273" s="19">
        <v>0.0</v>
      </c>
      <c r="G273" s="19" t="b">
        <v>0</v>
      </c>
    </row>
    <row r="274">
      <c r="A274" s="49"/>
      <c r="B274" s="49"/>
      <c r="C274" s="49"/>
      <c r="D274" s="49"/>
      <c r="E274" s="49"/>
      <c r="F274" s="19">
        <v>0.0</v>
      </c>
      <c r="G274" s="19" t="b">
        <v>0</v>
      </c>
    </row>
    <row r="275">
      <c r="A275" s="49"/>
      <c r="B275" s="49"/>
      <c r="C275" s="49"/>
      <c r="D275" s="49"/>
      <c r="E275" s="49"/>
      <c r="F275" s="19">
        <v>0.0</v>
      </c>
      <c r="G275" s="19" t="b">
        <v>0</v>
      </c>
    </row>
    <row r="276">
      <c r="A276" s="49"/>
      <c r="B276" s="49"/>
      <c r="C276" s="49"/>
      <c r="D276" s="49"/>
      <c r="E276" s="49"/>
      <c r="F276" s="19">
        <v>0.0</v>
      </c>
      <c r="G276" s="19" t="b">
        <v>0</v>
      </c>
    </row>
    <row r="277">
      <c r="A277" s="49"/>
      <c r="B277" s="49"/>
      <c r="C277" s="49"/>
      <c r="D277" s="49"/>
      <c r="E277" s="49"/>
      <c r="F277" s="19">
        <v>0.0</v>
      </c>
      <c r="G277" s="19" t="b">
        <v>0</v>
      </c>
    </row>
    <row r="278">
      <c r="A278" s="49"/>
      <c r="B278" s="49"/>
      <c r="C278" s="49"/>
      <c r="D278" s="49"/>
      <c r="E278" s="49"/>
      <c r="F278" s="19">
        <v>0.0</v>
      </c>
      <c r="G278" s="19" t="b">
        <v>0</v>
      </c>
    </row>
    <row r="279">
      <c r="A279" s="49"/>
      <c r="B279" s="49"/>
      <c r="C279" s="49"/>
      <c r="D279" s="49"/>
      <c r="E279" s="49"/>
      <c r="F279" s="19">
        <v>0.0</v>
      </c>
      <c r="G279" s="19" t="b">
        <v>0</v>
      </c>
    </row>
    <row r="280">
      <c r="A280" s="49"/>
      <c r="B280" s="49"/>
      <c r="C280" s="49"/>
      <c r="D280" s="49"/>
      <c r="E280" s="49"/>
      <c r="F280" s="19">
        <v>0.0</v>
      </c>
      <c r="G280" s="19" t="b">
        <v>0</v>
      </c>
    </row>
    <row r="281">
      <c r="A281" s="49"/>
      <c r="B281" s="49"/>
      <c r="C281" s="49"/>
      <c r="D281" s="49"/>
      <c r="E281" s="49"/>
      <c r="F281" s="19">
        <v>0.0</v>
      </c>
      <c r="G281" s="19" t="b">
        <v>0</v>
      </c>
    </row>
    <row r="282">
      <c r="A282" s="49"/>
      <c r="B282" s="49"/>
      <c r="C282" s="49"/>
      <c r="D282" s="49"/>
      <c r="E282" s="49"/>
      <c r="F282" s="19">
        <v>0.0</v>
      </c>
      <c r="G282" s="19" t="b">
        <v>0</v>
      </c>
    </row>
    <row r="283">
      <c r="A283" s="49"/>
      <c r="B283" s="49"/>
      <c r="C283" s="49"/>
      <c r="D283" s="49"/>
      <c r="E283" s="49"/>
      <c r="F283" s="19">
        <v>0.0</v>
      </c>
      <c r="G283" s="19" t="b">
        <v>0</v>
      </c>
    </row>
    <row r="284">
      <c r="A284" s="49"/>
      <c r="B284" s="49"/>
      <c r="C284" s="49"/>
      <c r="D284" s="49"/>
      <c r="E284" s="49"/>
      <c r="F284" s="19">
        <v>0.0</v>
      </c>
      <c r="G284" s="19" t="b">
        <v>0</v>
      </c>
    </row>
    <row r="285">
      <c r="A285" s="49"/>
      <c r="B285" s="49"/>
      <c r="C285" s="49"/>
      <c r="D285" s="49"/>
      <c r="E285" s="49"/>
      <c r="F285" s="19">
        <v>0.0</v>
      </c>
      <c r="G285" s="19" t="b">
        <v>0</v>
      </c>
    </row>
    <row r="286">
      <c r="A286" s="49"/>
      <c r="B286" s="49"/>
      <c r="C286" s="49"/>
      <c r="D286" s="49"/>
      <c r="E286" s="49"/>
      <c r="F286" s="19">
        <v>0.0</v>
      </c>
      <c r="G286" s="19" t="b">
        <v>0</v>
      </c>
    </row>
    <row r="287">
      <c r="A287" s="49"/>
      <c r="B287" s="49"/>
      <c r="C287" s="49"/>
      <c r="D287" s="49"/>
      <c r="E287" s="49"/>
      <c r="F287" s="19">
        <v>0.0</v>
      </c>
      <c r="G287" s="19" t="b">
        <v>0</v>
      </c>
    </row>
    <row r="288">
      <c r="A288" s="49"/>
      <c r="B288" s="49"/>
      <c r="C288" s="49"/>
      <c r="D288" s="49"/>
      <c r="E288" s="49"/>
      <c r="F288" s="19">
        <v>0.0</v>
      </c>
      <c r="G288" s="19" t="b">
        <v>0</v>
      </c>
    </row>
    <row r="289">
      <c r="A289" s="49"/>
      <c r="B289" s="49"/>
      <c r="C289" s="49"/>
      <c r="D289" s="49"/>
      <c r="E289" s="49"/>
      <c r="F289" s="19">
        <v>0.0</v>
      </c>
      <c r="G289" s="19" t="b">
        <v>0</v>
      </c>
    </row>
    <row r="290">
      <c r="A290" s="49"/>
      <c r="B290" s="49"/>
      <c r="C290" s="49"/>
      <c r="D290" s="49"/>
      <c r="E290" s="49"/>
      <c r="F290" s="19">
        <v>0.0</v>
      </c>
      <c r="G290" s="19" t="b">
        <v>0</v>
      </c>
    </row>
    <row r="291">
      <c r="A291" s="49"/>
      <c r="B291" s="49"/>
      <c r="C291" s="49"/>
      <c r="D291" s="49"/>
      <c r="E291" s="49"/>
      <c r="F291" s="19">
        <v>0.0</v>
      </c>
      <c r="G291" s="19" t="b">
        <v>0</v>
      </c>
    </row>
    <row r="292">
      <c r="A292" s="49"/>
      <c r="B292" s="49"/>
      <c r="C292" s="49"/>
      <c r="D292" s="49"/>
      <c r="E292" s="49"/>
      <c r="F292" s="19">
        <v>0.0</v>
      </c>
      <c r="G292" s="19" t="b">
        <v>0</v>
      </c>
    </row>
    <row r="293">
      <c r="A293" s="49"/>
      <c r="B293" s="49"/>
      <c r="C293" s="49"/>
      <c r="D293" s="49"/>
      <c r="E293" s="49"/>
      <c r="F293" s="19">
        <v>0.0</v>
      </c>
      <c r="G293" s="19" t="b">
        <v>0</v>
      </c>
    </row>
    <row r="294">
      <c r="A294" s="49"/>
      <c r="B294" s="49"/>
      <c r="C294" s="49"/>
      <c r="D294" s="49"/>
      <c r="E294" s="49"/>
      <c r="F294" s="19">
        <v>0.0</v>
      </c>
      <c r="G294" s="19" t="b">
        <v>0</v>
      </c>
    </row>
    <row r="295">
      <c r="A295" s="49"/>
      <c r="B295" s="49"/>
      <c r="C295" s="49"/>
      <c r="D295" s="49"/>
      <c r="E295" s="49"/>
      <c r="F295" s="19">
        <v>0.0</v>
      </c>
      <c r="G295" s="19" t="b">
        <v>0</v>
      </c>
    </row>
    <row r="296">
      <c r="A296" s="49"/>
      <c r="B296" s="49"/>
      <c r="C296" s="49"/>
      <c r="D296" s="49"/>
      <c r="E296" s="49"/>
      <c r="F296" s="19">
        <v>0.0</v>
      </c>
      <c r="G296" s="19" t="b">
        <v>0</v>
      </c>
    </row>
    <row r="297">
      <c r="A297" s="49"/>
      <c r="B297" s="49"/>
      <c r="C297" s="49"/>
      <c r="D297" s="49"/>
      <c r="E297" s="49"/>
      <c r="F297" s="19">
        <v>0.0</v>
      </c>
      <c r="G297" s="19" t="b">
        <v>0</v>
      </c>
    </row>
    <row r="298">
      <c r="A298" s="49"/>
      <c r="B298" s="49"/>
      <c r="C298" s="49"/>
      <c r="D298" s="49"/>
      <c r="E298" s="49"/>
      <c r="F298" s="19">
        <v>0.0</v>
      </c>
      <c r="G298" s="19" t="b">
        <v>0</v>
      </c>
    </row>
    <row r="299">
      <c r="A299" s="49"/>
      <c r="B299" s="49"/>
      <c r="C299" s="49"/>
      <c r="D299" s="49"/>
      <c r="E299" s="49"/>
      <c r="F299" s="19">
        <v>0.0</v>
      </c>
      <c r="G299" s="19" t="b">
        <v>0</v>
      </c>
    </row>
    <row r="300">
      <c r="A300" s="49"/>
      <c r="B300" s="49"/>
      <c r="C300" s="49"/>
      <c r="D300" s="49"/>
      <c r="E300" s="49"/>
      <c r="F300" s="19">
        <v>0.0</v>
      </c>
      <c r="G300" s="19" t="b">
        <v>0</v>
      </c>
    </row>
    <row r="301">
      <c r="A301" s="49"/>
      <c r="B301" s="49"/>
      <c r="C301" s="49"/>
      <c r="D301" s="49"/>
      <c r="E301" s="49"/>
      <c r="F301" s="19">
        <v>0.0</v>
      </c>
      <c r="G301" s="19" t="b">
        <v>0</v>
      </c>
    </row>
    <row r="302">
      <c r="A302" s="49"/>
      <c r="B302" s="49"/>
      <c r="C302" s="49"/>
      <c r="D302" s="49"/>
      <c r="E302" s="49"/>
      <c r="F302" s="19">
        <v>0.0</v>
      </c>
      <c r="G302" s="19" t="b">
        <v>0</v>
      </c>
    </row>
    <row r="303">
      <c r="A303" s="49"/>
      <c r="B303" s="49"/>
      <c r="C303" s="49"/>
      <c r="D303" s="49"/>
      <c r="E303" s="49"/>
      <c r="F303" s="19">
        <v>0.0</v>
      </c>
      <c r="G303" s="19" t="b">
        <v>0</v>
      </c>
    </row>
    <row r="304">
      <c r="A304" s="49"/>
      <c r="B304" s="49"/>
      <c r="C304" s="49"/>
      <c r="D304" s="49"/>
      <c r="E304" s="49"/>
      <c r="F304" s="19">
        <v>0.0</v>
      </c>
      <c r="G304" s="19" t="b">
        <v>0</v>
      </c>
    </row>
    <row r="305">
      <c r="A305" s="49"/>
      <c r="B305" s="49"/>
      <c r="C305" s="49"/>
      <c r="D305" s="49"/>
      <c r="E305" s="49"/>
      <c r="F305" s="19">
        <v>0.0</v>
      </c>
      <c r="G305" s="19" t="b">
        <v>0</v>
      </c>
    </row>
    <row r="306">
      <c r="A306" s="49"/>
      <c r="B306" s="49"/>
      <c r="C306" s="49"/>
      <c r="D306" s="49"/>
      <c r="E306" s="49"/>
      <c r="F306" s="19">
        <v>0.0</v>
      </c>
      <c r="G306" s="19" t="b">
        <v>0</v>
      </c>
    </row>
    <row r="307">
      <c r="A307" s="49"/>
      <c r="B307" s="49"/>
      <c r="C307" s="49"/>
      <c r="D307" s="49"/>
      <c r="E307" s="49"/>
      <c r="F307" s="19">
        <v>0.0</v>
      </c>
      <c r="G307" s="19" t="b">
        <v>0</v>
      </c>
    </row>
    <row r="308">
      <c r="A308" s="49"/>
      <c r="B308" s="49"/>
      <c r="C308" s="49"/>
      <c r="D308" s="49"/>
      <c r="E308" s="49"/>
      <c r="F308" s="19">
        <v>0.0</v>
      </c>
      <c r="G308" s="19" t="b">
        <v>0</v>
      </c>
    </row>
    <row r="309">
      <c r="A309" s="49"/>
      <c r="B309" s="49"/>
      <c r="C309" s="49"/>
      <c r="D309" s="49"/>
      <c r="E309" s="49"/>
      <c r="F309" s="19">
        <v>0.0</v>
      </c>
      <c r="G309" s="19" t="b">
        <v>0</v>
      </c>
    </row>
    <row r="310">
      <c r="A310" s="49"/>
      <c r="B310" s="49"/>
      <c r="C310" s="49"/>
      <c r="D310" s="49"/>
      <c r="E310" s="49"/>
      <c r="F310" s="19">
        <v>0.0</v>
      </c>
      <c r="G310" s="19" t="b">
        <v>0</v>
      </c>
    </row>
    <row r="311">
      <c r="A311" s="49"/>
      <c r="B311" s="49"/>
      <c r="C311" s="49"/>
      <c r="D311" s="49"/>
      <c r="E311" s="49"/>
      <c r="F311" s="19">
        <v>0.0</v>
      </c>
      <c r="G311" s="19" t="b">
        <v>0</v>
      </c>
    </row>
    <row r="312">
      <c r="A312" s="49"/>
      <c r="B312" s="49"/>
      <c r="C312" s="49"/>
      <c r="D312" s="49"/>
      <c r="E312" s="49"/>
      <c r="F312" s="19">
        <v>0.0</v>
      </c>
      <c r="G312" s="19" t="b">
        <v>0</v>
      </c>
    </row>
    <row r="313">
      <c r="A313" s="49"/>
      <c r="B313" s="49"/>
      <c r="C313" s="49"/>
      <c r="D313" s="49"/>
      <c r="E313" s="49"/>
      <c r="F313" s="19">
        <v>0.0</v>
      </c>
      <c r="G313" s="19" t="b">
        <v>0</v>
      </c>
    </row>
    <row r="314">
      <c r="A314" s="49"/>
      <c r="B314" s="49"/>
      <c r="C314" s="49"/>
      <c r="D314" s="49"/>
      <c r="E314" s="49"/>
      <c r="F314" s="19">
        <v>0.0</v>
      </c>
      <c r="G314" s="19" t="b">
        <v>0</v>
      </c>
    </row>
    <row r="315">
      <c r="A315" s="49"/>
      <c r="B315" s="49"/>
      <c r="C315" s="49"/>
      <c r="D315" s="49"/>
      <c r="E315" s="49"/>
      <c r="F315" s="19">
        <v>0.0</v>
      </c>
      <c r="G315" s="19" t="b">
        <v>0</v>
      </c>
    </row>
    <row r="316">
      <c r="A316" s="49"/>
      <c r="B316" s="49"/>
      <c r="C316" s="49"/>
      <c r="D316" s="49"/>
      <c r="E316" s="49"/>
      <c r="F316" s="19">
        <v>0.0</v>
      </c>
      <c r="G316" s="19" t="b">
        <v>0</v>
      </c>
    </row>
    <row r="317">
      <c r="A317" s="49"/>
      <c r="B317" s="49"/>
      <c r="C317" s="49"/>
      <c r="D317" s="49"/>
      <c r="E317" s="49"/>
      <c r="F317" s="19">
        <v>0.0</v>
      </c>
      <c r="G317" s="19" t="b">
        <v>0</v>
      </c>
    </row>
    <row r="318">
      <c r="A318" s="49"/>
      <c r="B318" s="49"/>
      <c r="C318" s="49"/>
      <c r="D318" s="49"/>
      <c r="E318" s="49"/>
      <c r="F318" s="19">
        <v>0.0</v>
      </c>
      <c r="G318" s="19" t="b">
        <v>0</v>
      </c>
    </row>
    <row r="319">
      <c r="A319" s="49"/>
      <c r="B319" s="49"/>
      <c r="C319" s="49"/>
      <c r="D319" s="49"/>
      <c r="E319" s="49"/>
      <c r="F319" s="19">
        <v>0.0</v>
      </c>
      <c r="G319" s="19" t="b">
        <v>0</v>
      </c>
    </row>
    <row r="320">
      <c r="A320" s="49"/>
      <c r="B320" s="49"/>
      <c r="C320" s="49"/>
      <c r="D320" s="49"/>
      <c r="E320" s="49"/>
      <c r="F320" s="19">
        <v>0.0</v>
      </c>
      <c r="G320" s="19" t="b">
        <v>0</v>
      </c>
    </row>
    <row r="321">
      <c r="A321" s="49"/>
      <c r="B321" s="49"/>
      <c r="C321" s="49"/>
      <c r="D321" s="49"/>
      <c r="E321" s="49"/>
      <c r="F321" s="19">
        <v>0.0</v>
      </c>
      <c r="G321" s="19" t="b">
        <v>0</v>
      </c>
    </row>
    <row r="322">
      <c r="A322" s="49"/>
      <c r="B322" s="49"/>
      <c r="C322" s="49"/>
      <c r="D322" s="49"/>
      <c r="E322" s="49"/>
      <c r="F322" s="19">
        <v>0.0</v>
      </c>
      <c r="G322" s="19" t="b">
        <v>0</v>
      </c>
    </row>
    <row r="323">
      <c r="A323" s="49"/>
      <c r="B323" s="49"/>
      <c r="C323" s="49"/>
      <c r="D323" s="49"/>
      <c r="E323" s="49"/>
      <c r="F323" s="19">
        <v>0.0</v>
      </c>
      <c r="G323" s="19" t="b">
        <v>0</v>
      </c>
    </row>
    <row r="324">
      <c r="A324" s="49"/>
      <c r="B324" s="49"/>
      <c r="C324" s="49"/>
      <c r="D324" s="49"/>
      <c r="E324" s="49"/>
      <c r="F324" s="19">
        <v>0.0</v>
      </c>
      <c r="G324" s="19" t="b">
        <v>0</v>
      </c>
    </row>
    <row r="325">
      <c r="A325" s="49"/>
      <c r="B325" s="49"/>
      <c r="C325" s="49"/>
      <c r="D325" s="49"/>
      <c r="E325" s="49"/>
      <c r="F325" s="19">
        <v>0.0</v>
      </c>
      <c r="G325" s="19" t="b">
        <v>0</v>
      </c>
    </row>
    <row r="326">
      <c r="A326" s="49"/>
      <c r="B326" s="49"/>
      <c r="C326" s="49"/>
      <c r="D326" s="49"/>
      <c r="E326" s="49"/>
      <c r="F326" s="19">
        <v>0.0</v>
      </c>
      <c r="G326" s="19" t="b">
        <v>0</v>
      </c>
    </row>
    <row r="327">
      <c r="A327" s="49"/>
      <c r="B327" s="49"/>
      <c r="C327" s="49"/>
      <c r="D327" s="49"/>
      <c r="E327" s="49"/>
      <c r="F327" s="19">
        <v>0.0</v>
      </c>
      <c r="G327" s="19" t="b">
        <v>0</v>
      </c>
    </row>
    <row r="328">
      <c r="A328" s="49"/>
      <c r="B328" s="49"/>
      <c r="C328" s="49"/>
      <c r="D328" s="49"/>
      <c r="E328" s="49"/>
      <c r="F328" s="19">
        <v>0.0</v>
      </c>
      <c r="G328" s="19" t="b">
        <v>0</v>
      </c>
    </row>
    <row r="329">
      <c r="A329" s="49"/>
      <c r="B329" s="49"/>
      <c r="C329" s="49"/>
      <c r="D329" s="49"/>
      <c r="E329" s="49"/>
      <c r="F329" s="19">
        <v>0.0</v>
      </c>
      <c r="G329" s="19" t="b">
        <v>0</v>
      </c>
    </row>
    <row r="330">
      <c r="A330" s="49"/>
      <c r="B330" s="49"/>
      <c r="C330" s="49"/>
      <c r="D330" s="49"/>
      <c r="E330" s="49"/>
      <c r="F330" s="19">
        <v>0.0</v>
      </c>
      <c r="G330" s="19" t="b">
        <v>0</v>
      </c>
    </row>
    <row r="331">
      <c r="A331" s="49"/>
      <c r="B331" s="49"/>
      <c r="C331" s="49"/>
      <c r="D331" s="49"/>
      <c r="E331" s="49"/>
      <c r="F331" s="19">
        <v>0.0</v>
      </c>
      <c r="G331" s="19" t="b">
        <v>0</v>
      </c>
    </row>
    <row r="332">
      <c r="A332" s="49"/>
      <c r="B332" s="49"/>
      <c r="C332" s="49"/>
      <c r="D332" s="49"/>
      <c r="E332" s="49"/>
      <c r="F332" s="19">
        <v>0.0</v>
      </c>
      <c r="G332" s="19" t="b">
        <v>0</v>
      </c>
    </row>
    <row r="333">
      <c r="A333" s="49"/>
      <c r="B333" s="49"/>
      <c r="C333" s="49"/>
      <c r="D333" s="49"/>
      <c r="E333" s="49"/>
      <c r="F333" s="19">
        <v>0.0</v>
      </c>
      <c r="G333" s="19" t="b">
        <v>0</v>
      </c>
    </row>
    <row r="334">
      <c r="A334" s="49"/>
      <c r="B334" s="49"/>
      <c r="C334" s="49"/>
      <c r="D334" s="49"/>
      <c r="E334" s="49"/>
      <c r="F334" s="19">
        <v>0.0</v>
      </c>
      <c r="G334" s="19" t="b">
        <v>0</v>
      </c>
    </row>
    <row r="335">
      <c r="A335" s="49"/>
      <c r="B335" s="49"/>
      <c r="C335" s="49"/>
      <c r="D335" s="49"/>
      <c r="E335" s="49"/>
      <c r="F335" s="19">
        <v>0.0</v>
      </c>
      <c r="G335" s="19" t="b">
        <v>0</v>
      </c>
    </row>
    <row r="336">
      <c r="A336" s="49"/>
      <c r="B336" s="49"/>
      <c r="C336" s="49"/>
      <c r="D336" s="49"/>
      <c r="E336" s="49"/>
      <c r="F336" s="19">
        <v>0.0</v>
      </c>
      <c r="G336" s="19" t="b">
        <v>0</v>
      </c>
    </row>
    <row r="337">
      <c r="A337" s="49"/>
      <c r="B337" s="49"/>
      <c r="C337" s="49"/>
      <c r="D337" s="49"/>
      <c r="E337" s="49"/>
      <c r="F337" s="19">
        <v>0.0</v>
      </c>
      <c r="G337" s="19" t="b">
        <v>0</v>
      </c>
    </row>
    <row r="338">
      <c r="A338" s="49"/>
      <c r="B338" s="49"/>
      <c r="C338" s="49"/>
      <c r="D338" s="49"/>
      <c r="E338" s="49"/>
      <c r="F338" s="19">
        <v>0.0</v>
      </c>
      <c r="G338" s="19" t="b">
        <v>0</v>
      </c>
    </row>
    <row r="339">
      <c r="A339" s="49"/>
      <c r="B339" s="49"/>
      <c r="C339" s="49"/>
      <c r="D339" s="49"/>
      <c r="E339" s="49"/>
      <c r="F339" s="19">
        <v>0.0</v>
      </c>
      <c r="G339" s="19" t="b">
        <v>0</v>
      </c>
    </row>
    <row r="340">
      <c r="A340" s="49"/>
      <c r="B340" s="49"/>
      <c r="C340" s="49"/>
      <c r="D340" s="49"/>
      <c r="E340" s="49"/>
      <c r="F340" s="19">
        <v>0.0</v>
      </c>
      <c r="G340" s="19" t="b">
        <v>0</v>
      </c>
    </row>
    <row r="341">
      <c r="A341" s="49"/>
      <c r="B341" s="49"/>
      <c r="C341" s="49"/>
      <c r="D341" s="49"/>
      <c r="E341" s="49"/>
      <c r="F341" s="19">
        <v>0.0</v>
      </c>
      <c r="G341" s="19" t="b">
        <v>0</v>
      </c>
    </row>
    <row r="342">
      <c r="A342" s="49"/>
      <c r="B342" s="49"/>
      <c r="C342" s="49"/>
      <c r="D342" s="49"/>
      <c r="E342" s="49"/>
      <c r="F342" s="19">
        <v>0.0</v>
      </c>
      <c r="G342" s="19" t="b">
        <v>0</v>
      </c>
    </row>
    <row r="343">
      <c r="A343" s="49"/>
      <c r="B343" s="49"/>
      <c r="C343" s="49"/>
      <c r="D343" s="49"/>
      <c r="E343" s="49"/>
      <c r="F343" s="19">
        <v>0.0</v>
      </c>
      <c r="G343" s="19" t="b">
        <v>0</v>
      </c>
    </row>
    <row r="344">
      <c r="A344" s="49"/>
      <c r="B344" s="49"/>
      <c r="C344" s="49"/>
      <c r="D344" s="49"/>
      <c r="E344" s="49"/>
      <c r="F344" s="19">
        <v>0.0</v>
      </c>
      <c r="G344" s="19" t="b">
        <v>0</v>
      </c>
    </row>
    <row r="345">
      <c r="A345" s="49"/>
      <c r="B345" s="49"/>
      <c r="C345" s="49"/>
      <c r="D345" s="49"/>
      <c r="E345" s="49"/>
      <c r="F345" s="19">
        <v>0.0</v>
      </c>
      <c r="G345" s="19" t="b">
        <v>0</v>
      </c>
    </row>
    <row r="346">
      <c r="A346" s="49"/>
      <c r="B346" s="49"/>
      <c r="C346" s="49"/>
      <c r="D346" s="49"/>
      <c r="E346" s="49"/>
      <c r="F346" s="19">
        <v>0.0</v>
      </c>
      <c r="G346" s="19" t="b">
        <v>0</v>
      </c>
    </row>
    <row r="347">
      <c r="A347" s="49"/>
      <c r="B347" s="49"/>
      <c r="C347" s="49"/>
      <c r="D347" s="49"/>
      <c r="E347" s="49"/>
      <c r="F347" s="19">
        <v>0.0</v>
      </c>
      <c r="G347" s="19" t="b">
        <v>0</v>
      </c>
    </row>
    <row r="348">
      <c r="A348" s="49"/>
      <c r="B348" s="49"/>
      <c r="C348" s="49"/>
      <c r="D348" s="49"/>
      <c r="E348" s="49"/>
      <c r="F348" s="19">
        <v>0.0</v>
      </c>
      <c r="G348" s="19" t="b">
        <v>0</v>
      </c>
    </row>
    <row r="349">
      <c r="A349" s="49"/>
      <c r="B349" s="49"/>
      <c r="C349" s="49"/>
      <c r="D349" s="49"/>
      <c r="E349" s="49"/>
      <c r="F349" s="19">
        <v>0.0</v>
      </c>
      <c r="G349" s="19" t="b">
        <v>0</v>
      </c>
    </row>
    <row r="350">
      <c r="A350" s="49"/>
      <c r="B350" s="49"/>
      <c r="C350" s="49"/>
      <c r="D350" s="49"/>
      <c r="E350" s="49"/>
      <c r="F350" s="19">
        <v>0.0</v>
      </c>
      <c r="G350" s="19" t="b">
        <v>0</v>
      </c>
    </row>
    <row r="351">
      <c r="A351" s="49"/>
      <c r="B351" s="49"/>
      <c r="C351" s="49"/>
      <c r="D351" s="49"/>
      <c r="E351" s="49"/>
      <c r="F351" s="19">
        <v>0.0</v>
      </c>
      <c r="G351" s="19" t="b">
        <v>0</v>
      </c>
    </row>
    <row r="352">
      <c r="A352" s="49"/>
      <c r="B352" s="49"/>
      <c r="C352" s="49"/>
      <c r="D352" s="49"/>
      <c r="E352" s="49"/>
      <c r="F352" s="19">
        <v>0.0</v>
      </c>
      <c r="G352" s="19" t="b">
        <v>0</v>
      </c>
    </row>
    <row r="353">
      <c r="A353" s="49"/>
      <c r="B353" s="49"/>
      <c r="C353" s="49"/>
      <c r="D353" s="49"/>
      <c r="E353" s="49"/>
      <c r="F353" s="19">
        <v>0.0</v>
      </c>
      <c r="G353" s="19" t="b">
        <v>0</v>
      </c>
    </row>
    <row r="354">
      <c r="A354" s="49"/>
      <c r="B354" s="49"/>
      <c r="C354" s="49"/>
      <c r="D354" s="49"/>
      <c r="E354" s="49"/>
      <c r="F354" s="19">
        <v>0.0</v>
      </c>
      <c r="G354" s="19" t="b">
        <v>0</v>
      </c>
    </row>
    <row r="355">
      <c r="A355" s="49"/>
      <c r="B355" s="49"/>
      <c r="C355" s="49"/>
      <c r="D355" s="49"/>
      <c r="E355" s="49"/>
      <c r="F355" s="19">
        <v>0.0</v>
      </c>
      <c r="G355" s="19" t="b">
        <v>0</v>
      </c>
    </row>
    <row r="356">
      <c r="A356" s="49"/>
      <c r="B356" s="49"/>
      <c r="C356" s="49"/>
      <c r="D356" s="49"/>
      <c r="E356" s="49"/>
      <c r="F356" s="19">
        <v>0.0</v>
      </c>
      <c r="G356" s="19" t="b">
        <v>0</v>
      </c>
    </row>
    <row r="357">
      <c r="A357" s="49"/>
      <c r="B357" s="49"/>
      <c r="C357" s="49"/>
      <c r="D357" s="49"/>
      <c r="E357" s="49"/>
      <c r="F357" s="19">
        <v>0.0</v>
      </c>
      <c r="G357" s="19" t="b">
        <v>0</v>
      </c>
    </row>
    <row r="358">
      <c r="A358" s="49"/>
      <c r="B358" s="49"/>
      <c r="C358" s="49"/>
      <c r="D358" s="49"/>
      <c r="E358" s="49"/>
      <c r="F358" s="19">
        <v>0.0</v>
      </c>
      <c r="G358" s="19" t="b">
        <v>0</v>
      </c>
    </row>
    <row r="359">
      <c r="A359" s="49"/>
      <c r="B359" s="49"/>
      <c r="C359" s="49"/>
      <c r="D359" s="49"/>
      <c r="E359" s="49"/>
      <c r="F359" s="19">
        <v>0.0</v>
      </c>
      <c r="G359" s="19" t="b">
        <v>0</v>
      </c>
    </row>
    <row r="360">
      <c r="A360" s="49"/>
      <c r="B360" s="49"/>
      <c r="C360" s="49"/>
      <c r="D360" s="49"/>
      <c r="E360" s="49"/>
      <c r="F360" s="19">
        <v>0.0</v>
      </c>
      <c r="G360" s="19" t="b">
        <v>0</v>
      </c>
    </row>
    <row r="361">
      <c r="A361" s="49"/>
      <c r="B361" s="49"/>
      <c r="C361" s="49"/>
      <c r="D361" s="49"/>
      <c r="E361" s="49"/>
      <c r="F361" s="19">
        <v>0.0</v>
      </c>
      <c r="G361" s="19" t="b">
        <v>0</v>
      </c>
    </row>
    <row r="362">
      <c r="A362" s="49"/>
      <c r="B362" s="49"/>
      <c r="C362" s="49"/>
      <c r="D362" s="49"/>
      <c r="E362" s="49"/>
      <c r="F362" s="19">
        <v>0.0</v>
      </c>
      <c r="G362" s="19" t="b">
        <v>0</v>
      </c>
    </row>
    <row r="363">
      <c r="A363" s="49"/>
      <c r="B363" s="49"/>
      <c r="C363" s="49"/>
      <c r="D363" s="49"/>
      <c r="E363" s="49"/>
      <c r="F363" s="19">
        <v>0.0</v>
      </c>
      <c r="G363" s="19" t="b">
        <v>0</v>
      </c>
    </row>
    <row r="364">
      <c r="A364" s="49"/>
      <c r="B364" s="49"/>
      <c r="C364" s="49"/>
      <c r="D364" s="49"/>
      <c r="E364" s="49"/>
      <c r="F364" s="19">
        <v>0.0</v>
      </c>
      <c r="G364" s="19" t="b">
        <v>0</v>
      </c>
    </row>
    <row r="365">
      <c r="A365" s="49"/>
      <c r="B365" s="49"/>
      <c r="C365" s="49"/>
      <c r="D365" s="49"/>
      <c r="E365" s="49"/>
      <c r="F365" s="19">
        <v>0.0</v>
      </c>
      <c r="G365" s="19" t="b">
        <v>0</v>
      </c>
    </row>
    <row r="366">
      <c r="A366" s="49"/>
      <c r="B366" s="49"/>
      <c r="C366" s="49"/>
      <c r="D366" s="49"/>
      <c r="E366" s="49"/>
      <c r="F366" s="19">
        <v>0.0</v>
      </c>
      <c r="G366" s="19" t="b">
        <v>0</v>
      </c>
    </row>
    <row r="367">
      <c r="A367" s="49"/>
      <c r="B367" s="49"/>
      <c r="C367" s="49"/>
      <c r="D367" s="49"/>
      <c r="E367" s="49"/>
      <c r="F367" s="19">
        <v>0.0</v>
      </c>
      <c r="G367" s="19" t="b">
        <v>0</v>
      </c>
    </row>
    <row r="368">
      <c r="A368" s="49"/>
      <c r="B368" s="49"/>
      <c r="C368" s="49"/>
      <c r="D368" s="49"/>
      <c r="E368" s="49"/>
      <c r="F368" s="19">
        <v>0.0</v>
      </c>
      <c r="G368" s="19" t="b">
        <v>0</v>
      </c>
    </row>
    <row r="369">
      <c r="A369" s="49"/>
      <c r="B369" s="49"/>
      <c r="C369" s="49"/>
      <c r="D369" s="49"/>
      <c r="E369" s="49"/>
      <c r="F369" s="19">
        <v>0.0</v>
      </c>
      <c r="G369" s="19" t="b">
        <v>0</v>
      </c>
    </row>
    <row r="370">
      <c r="A370" s="49"/>
      <c r="B370" s="49"/>
      <c r="C370" s="49"/>
      <c r="D370" s="49"/>
      <c r="E370" s="49"/>
      <c r="F370" s="19">
        <v>0.0</v>
      </c>
      <c r="G370" s="19" t="b">
        <v>0</v>
      </c>
    </row>
    <row r="371">
      <c r="A371" s="49"/>
      <c r="B371" s="49"/>
      <c r="C371" s="49"/>
      <c r="D371" s="49"/>
      <c r="E371" s="49"/>
      <c r="F371" s="19">
        <v>0.0</v>
      </c>
      <c r="G371" s="19" t="b">
        <v>0</v>
      </c>
    </row>
    <row r="372">
      <c r="A372" s="49"/>
      <c r="B372" s="49"/>
      <c r="C372" s="49"/>
      <c r="D372" s="49"/>
      <c r="E372" s="49"/>
      <c r="F372" s="19">
        <v>0.0</v>
      </c>
      <c r="G372" s="19" t="b">
        <v>0</v>
      </c>
    </row>
    <row r="373">
      <c r="A373" s="49"/>
      <c r="B373" s="49"/>
      <c r="C373" s="49"/>
      <c r="D373" s="49"/>
      <c r="E373" s="49"/>
      <c r="F373" s="19">
        <v>0.0</v>
      </c>
      <c r="G373" s="19" t="b">
        <v>0</v>
      </c>
    </row>
    <row r="374">
      <c r="A374" s="49"/>
      <c r="B374" s="49"/>
      <c r="C374" s="49"/>
      <c r="D374" s="49"/>
      <c r="E374" s="49"/>
      <c r="F374" s="19">
        <v>0.0</v>
      </c>
      <c r="G374" s="19" t="b">
        <v>0</v>
      </c>
    </row>
    <row r="375">
      <c r="A375" s="49"/>
      <c r="B375" s="49"/>
      <c r="C375" s="49"/>
      <c r="D375" s="49"/>
      <c r="E375" s="49"/>
      <c r="F375" s="19">
        <v>0.0</v>
      </c>
      <c r="G375" s="19" t="b">
        <v>0</v>
      </c>
    </row>
    <row r="376">
      <c r="A376" s="49"/>
      <c r="B376" s="49"/>
      <c r="C376" s="49"/>
      <c r="D376" s="49"/>
      <c r="E376" s="49"/>
      <c r="F376" s="19">
        <v>0.0</v>
      </c>
      <c r="G376" s="19" t="b">
        <v>0</v>
      </c>
    </row>
    <row r="377">
      <c r="A377" s="49"/>
      <c r="B377" s="49"/>
      <c r="C377" s="49"/>
      <c r="D377" s="49"/>
      <c r="E377" s="49"/>
      <c r="F377" s="19">
        <v>0.0</v>
      </c>
      <c r="G377" s="19" t="b">
        <v>0</v>
      </c>
    </row>
    <row r="378">
      <c r="A378" s="49"/>
      <c r="B378" s="49"/>
      <c r="C378" s="49"/>
      <c r="D378" s="49"/>
      <c r="E378" s="49"/>
      <c r="F378" s="19">
        <v>0.0</v>
      </c>
      <c r="G378" s="19" t="b">
        <v>0</v>
      </c>
    </row>
    <row r="379">
      <c r="A379" s="49"/>
      <c r="B379" s="49"/>
      <c r="C379" s="49"/>
      <c r="D379" s="49"/>
      <c r="E379" s="49"/>
      <c r="F379" s="19">
        <v>0.0</v>
      </c>
      <c r="G379" s="19" t="b">
        <v>0</v>
      </c>
    </row>
    <row r="380">
      <c r="A380" s="49"/>
      <c r="B380" s="49"/>
      <c r="C380" s="49"/>
      <c r="D380" s="49"/>
      <c r="E380" s="49"/>
      <c r="F380" s="19">
        <v>0.0</v>
      </c>
      <c r="G380" s="19" t="b">
        <v>0</v>
      </c>
    </row>
    <row r="381">
      <c r="A381" s="49"/>
      <c r="B381" s="49"/>
      <c r="C381" s="49"/>
      <c r="D381" s="49"/>
      <c r="E381" s="49"/>
      <c r="F381" s="19">
        <v>0.0</v>
      </c>
      <c r="G381" s="19" t="b">
        <v>0</v>
      </c>
    </row>
    <row r="382">
      <c r="A382" s="49"/>
      <c r="B382" s="49"/>
      <c r="C382" s="49"/>
      <c r="D382" s="49"/>
      <c r="E382" s="49"/>
      <c r="F382" s="19">
        <v>0.0</v>
      </c>
      <c r="G382" s="19" t="b">
        <v>0</v>
      </c>
    </row>
    <row r="383">
      <c r="A383" s="49"/>
      <c r="B383" s="49"/>
      <c r="C383" s="49"/>
      <c r="D383" s="49"/>
      <c r="E383" s="49"/>
      <c r="F383" s="19">
        <v>0.0</v>
      </c>
      <c r="G383" s="19" t="b">
        <v>0</v>
      </c>
    </row>
    <row r="384">
      <c r="A384" s="49"/>
      <c r="B384" s="49"/>
      <c r="C384" s="49"/>
      <c r="D384" s="49"/>
      <c r="E384" s="49"/>
      <c r="F384" s="19">
        <v>0.0</v>
      </c>
      <c r="G384" s="19" t="b">
        <v>0</v>
      </c>
    </row>
    <row r="385">
      <c r="A385" s="49"/>
      <c r="B385" s="49"/>
      <c r="C385" s="49"/>
      <c r="D385" s="49"/>
      <c r="E385" s="49"/>
      <c r="F385" s="19">
        <v>0.0</v>
      </c>
      <c r="G385" s="19" t="b">
        <v>0</v>
      </c>
    </row>
    <row r="386">
      <c r="A386" s="49"/>
      <c r="B386" s="49"/>
      <c r="C386" s="49"/>
      <c r="D386" s="49"/>
      <c r="E386" s="49"/>
      <c r="F386" s="19">
        <v>0.0</v>
      </c>
      <c r="G386" s="19" t="b">
        <v>0</v>
      </c>
    </row>
    <row r="387">
      <c r="A387" s="49"/>
      <c r="B387" s="49"/>
      <c r="C387" s="49"/>
      <c r="D387" s="49"/>
      <c r="E387" s="49"/>
      <c r="F387" s="19">
        <v>0.0</v>
      </c>
      <c r="G387" s="19" t="b">
        <v>0</v>
      </c>
    </row>
    <row r="388">
      <c r="A388" s="49"/>
      <c r="B388" s="49"/>
      <c r="C388" s="49"/>
      <c r="D388" s="49"/>
      <c r="E388" s="49"/>
      <c r="F388" s="19">
        <v>0.0</v>
      </c>
      <c r="G388" s="19" t="b">
        <v>0</v>
      </c>
    </row>
    <row r="389">
      <c r="A389" s="49"/>
      <c r="B389" s="49"/>
      <c r="C389" s="49"/>
      <c r="D389" s="49"/>
      <c r="E389" s="49"/>
      <c r="F389" s="19">
        <v>0.0</v>
      </c>
      <c r="G389" s="19" t="b">
        <v>0</v>
      </c>
    </row>
    <row r="390">
      <c r="A390" s="49"/>
      <c r="B390" s="49"/>
      <c r="C390" s="49"/>
      <c r="D390" s="49"/>
      <c r="E390" s="49"/>
      <c r="F390" s="19">
        <v>0.0</v>
      </c>
      <c r="G390" s="19" t="b">
        <v>0</v>
      </c>
    </row>
    <row r="391">
      <c r="A391" s="49"/>
      <c r="B391" s="49"/>
      <c r="C391" s="49"/>
      <c r="D391" s="49"/>
      <c r="E391" s="49"/>
      <c r="F391" s="19">
        <v>0.0</v>
      </c>
      <c r="G391" s="19" t="b">
        <v>0</v>
      </c>
    </row>
    <row r="392">
      <c r="A392" s="49"/>
      <c r="B392" s="49"/>
      <c r="C392" s="49"/>
      <c r="D392" s="49"/>
      <c r="E392" s="49"/>
      <c r="F392" s="19">
        <v>0.0</v>
      </c>
      <c r="G392" s="19" t="b">
        <v>0</v>
      </c>
    </row>
    <row r="393">
      <c r="A393" s="49"/>
      <c r="B393" s="49"/>
      <c r="C393" s="49"/>
      <c r="D393" s="49"/>
      <c r="E393" s="49"/>
      <c r="F393" s="19">
        <v>0.0</v>
      </c>
      <c r="G393" s="19" t="b">
        <v>0</v>
      </c>
    </row>
    <row r="394">
      <c r="A394" s="49"/>
      <c r="B394" s="49"/>
      <c r="C394" s="49"/>
      <c r="D394" s="49"/>
      <c r="E394" s="49"/>
      <c r="F394" s="19">
        <v>0.0</v>
      </c>
      <c r="G394" s="19" t="b">
        <v>0</v>
      </c>
    </row>
    <row r="395">
      <c r="A395" s="49"/>
      <c r="B395" s="49"/>
      <c r="C395" s="49"/>
      <c r="D395" s="49"/>
      <c r="E395" s="49"/>
      <c r="F395" s="19">
        <v>0.0</v>
      </c>
      <c r="G395" s="19" t="b">
        <v>0</v>
      </c>
    </row>
    <row r="396">
      <c r="A396" s="49"/>
      <c r="B396" s="49"/>
      <c r="C396" s="49"/>
      <c r="D396" s="49"/>
      <c r="E396" s="49"/>
      <c r="F396" s="19">
        <v>0.0</v>
      </c>
      <c r="G396" s="19" t="b">
        <v>0</v>
      </c>
    </row>
    <row r="397">
      <c r="A397" s="49"/>
      <c r="B397" s="49"/>
      <c r="C397" s="49"/>
      <c r="D397" s="49"/>
      <c r="E397" s="49"/>
      <c r="F397" s="19">
        <v>0.0</v>
      </c>
      <c r="G397" s="19" t="b">
        <v>0</v>
      </c>
    </row>
    <row r="398">
      <c r="A398" s="49"/>
      <c r="B398" s="49"/>
      <c r="C398" s="49"/>
      <c r="D398" s="49"/>
      <c r="E398" s="49"/>
      <c r="F398" s="19">
        <v>0.0</v>
      </c>
      <c r="G398" s="19" t="b">
        <v>0</v>
      </c>
    </row>
    <row r="399">
      <c r="A399" s="49"/>
      <c r="B399" s="49"/>
      <c r="C399" s="49"/>
      <c r="D399" s="49"/>
      <c r="E399" s="49"/>
      <c r="F399" s="19">
        <v>0.0</v>
      </c>
      <c r="G399" s="19" t="b">
        <v>0</v>
      </c>
    </row>
    <row r="400">
      <c r="A400" s="49"/>
      <c r="B400" s="49"/>
      <c r="C400" s="49"/>
      <c r="D400" s="49"/>
      <c r="E400" s="49"/>
      <c r="F400" s="19">
        <v>0.0</v>
      </c>
      <c r="G400" s="19" t="b">
        <v>0</v>
      </c>
    </row>
    <row r="401">
      <c r="A401" s="49"/>
      <c r="B401" s="49"/>
      <c r="C401" s="49"/>
      <c r="D401" s="49"/>
      <c r="E401" s="49"/>
      <c r="F401" s="19">
        <v>0.0</v>
      </c>
      <c r="G401" s="19" t="b">
        <v>0</v>
      </c>
    </row>
    <row r="402">
      <c r="A402" s="49"/>
      <c r="B402" s="49"/>
      <c r="C402" s="49"/>
      <c r="D402" s="49"/>
      <c r="E402" s="49"/>
      <c r="F402" s="19">
        <v>0.0</v>
      </c>
      <c r="G402" s="19" t="b">
        <v>0</v>
      </c>
    </row>
    <row r="403">
      <c r="A403" s="49"/>
      <c r="B403" s="49"/>
      <c r="C403" s="49"/>
      <c r="D403" s="49"/>
      <c r="E403" s="49"/>
      <c r="F403" s="19">
        <v>0.0</v>
      </c>
      <c r="G403" s="19" t="b">
        <v>0</v>
      </c>
    </row>
    <row r="404">
      <c r="A404" s="49"/>
      <c r="B404" s="49"/>
      <c r="C404" s="49"/>
      <c r="D404" s="49"/>
      <c r="E404" s="49"/>
      <c r="F404" s="19">
        <v>0.0</v>
      </c>
      <c r="G404" s="19" t="b">
        <v>0</v>
      </c>
    </row>
    <row r="405">
      <c r="A405" s="49"/>
      <c r="B405" s="49"/>
      <c r="C405" s="49"/>
      <c r="D405" s="49"/>
      <c r="E405" s="49"/>
      <c r="F405" s="19">
        <v>0.0</v>
      </c>
      <c r="G405" s="19" t="b">
        <v>0</v>
      </c>
    </row>
    <row r="406">
      <c r="A406" s="49"/>
      <c r="B406" s="49"/>
      <c r="C406" s="49"/>
      <c r="D406" s="49"/>
      <c r="E406" s="49"/>
      <c r="F406" s="19">
        <v>0.0</v>
      </c>
      <c r="G406" s="19" t="b">
        <v>0</v>
      </c>
    </row>
    <row r="407">
      <c r="A407" s="49"/>
      <c r="B407" s="49"/>
      <c r="C407" s="49"/>
      <c r="D407" s="49"/>
      <c r="E407" s="49"/>
      <c r="F407" s="19">
        <v>0.0</v>
      </c>
      <c r="G407" s="19" t="b">
        <v>0</v>
      </c>
    </row>
    <row r="408">
      <c r="A408" s="49"/>
      <c r="B408" s="49"/>
      <c r="C408" s="49"/>
      <c r="D408" s="49"/>
      <c r="E408" s="49"/>
      <c r="F408" s="19">
        <v>0.0</v>
      </c>
      <c r="G408" s="19" t="b">
        <v>0</v>
      </c>
    </row>
    <row r="409">
      <c r="A409" s="49"/>
      <c r="B409" s="49"/>
      <c r="C409" s="49"/>
      <c r="D409" s="49"/>
      <c r="E409" s="49"/>
      <c r="F409" s="19">
        <v>0.0</v>
      </c>
      <c r="G409" s="19" t="b">
        <v>0</v>
      </c>
    </row>
    <row r="410">
      <c r="A410" s="49"/>
      <c r="B410" s="49"/>
      <c r="C410" s="49"/>
      <c r="D410" s="49"/>
      <c r="E410" s="49"/>
      <c r="F410" s="19">
        <v>0.0</v>
      </c>
      <c r="G410" s="19" t="b">
        <v>0</v>
      </c>
    </row>
    <row r="411">
      <c r="A411" s="49"/>
      <c r="B411" s="49"/>
      <c r="C411" s="49"/>
      <c r="D411" s="49"/>
      <c r="E411" s="49"/>
      <c r="F411" s="19">
        <v>0.0</v>
      </c>
      <c r="G411" s="19" t="b">
        <v>0</v>
      </c>
    </row>
    <row r="412">
      <c r="A412" s="49"/>
      <c r="B412" s="49"/>
      <c r="C412" s="49"/>
      <c r="D412" s="49"/>
      <c r="E412" s="49"/>
      <c r="F412" s="19">
        <v>0.0</v>
      </c>
      <c r="G412" s="19" t="b">
        <v>0</v>
      </c>
    </row>
    <row r="413">
      <c r="A413" s="49"/>
      <c r="B413" s="49"/>
      <c r="C413" s="49"/>
      <c r="D413" s="49"/>
      <c r="E413" s="49"/>
      <c r="F413" s="19">
        <v>0.0</v>
      </c>
      <c r="G413" s="19" t="b">
        <v>0</v>
      </c>
    </row>
    <row r="414">
      <c r="A414" s="49"/>
      <c r="B414" s="49"/>
      <c r="C414" s="49"/>
      <c r="D414" s="49"/>
      <c r="E414" s="49"/>
      <c r="F414" s="19">
        <v>0.0</v>
      </c>
      <c r="G414" s="19" t="b">
        <v>0</v>
      </c>
    </row>
    <row r="415">
      <c r="A415" s="49"/>
      <c r="B415" s="49"/>
      <c r="C415" s="49"/>
      <c r="D415" s="49"/>
      <c r="E415" s="49"/>
      <c r="F415" s="19">
        <v>0.0</v>
      </c>
      <c r="G415" s="19" t="b">
        <v>0</v>
      </c>
    </row>
    <row r="416">
      <c r="A416" s="49"/>
      <c r="B416" s="49"/>
      <c r="C416" s="49"/>
      <c r="D416" s="49"/>
      <c r="E416" s="49"/>
      <c r="F416" s="19">
        <v>0.0</v>
      </c>
      <c r="G416" s="19" t="b">
        <v>0</v>
      </c>
    </row>
    <row r="417">
      <c r="A417" s="49"/>
      <c r="B417" s="49"/>
      <c r="C417" s="49"/>
      <c r="D417" s="49"/>
      <c r="E417" s="49"/>
      <c r="F417" s="19">
        <v>0.0</v>
      </c>
      <c r="G417" s="19" t="b">
        <v>0</v>
      </c>
    </row>
    <row r="418">
      <c r="A418" s="49"/>
      <c r="B418" s="49"/>
      <c r="C418" s="49"/>
      <c r="D418" s="49"/>
      <c r="E418" s="49"/>
      <c r="F418" s="19">
        <v>0.0</v>
      </c>
      <c r="G418" s="19" t="b">
        <v>0</v>
      </c>
    </row>
    <row r="419">
      <c r="A419" s="49"/>
      <c r="B419" s="49"/>
      <c r="C419" s="49"/>
      <c r="D419" s="49"/>
      <c r="E419" s="49"/>
      <c r="F419" s="19">
        <v>0.0</v>
      </c>
      <c r="G419" s="19" t="b">
        <v>0</v>
      </c>
    </row>
    <row r="420">
      <c r="A420" s="49"/>
      <c r="B420" s="49"/>
      <c r="C420" s="49"/>
      <c r="D420" s="49"/>
      <c r="E420" s="49"/>
      <c r="F420" s="19">
        <v>0.0</v>
      </c>
      <c r="G420" s="19" t="b">
        <v>0</v>
      </c>
    </row>
    <row r="421">
      <c r="A421" s="49"/>
      <c r="B421" s="49"/>
      <c r="C421" s="49"/>
      <c r="D421" s="49"/>
      <c r="E421" s="49"/>
      <c r="F421" s="19">
        <v>0.0</v>
      </c>
      <c r="G421" s="19" t="b">
        <v>0</v>
      </c>
    </row>
    <row r="422">
      <c r="A422" s="49"/>
      <c r="B422" s="49"/>
      <c r="C422" s="49"/>
      <c r="D422" s="49"/>
      <c r="E422" s="49"/>
      <c r="F422" s="19">
        <v>0.0</v>
      </c>
      <c r="G422" s="19" t="b">
        <v>0</v>
      </c>
    </row>
    <row r="423">
      <c r="A423" s="49"/>
      <c r="B423" s="49"/>
      <c r="C423" s="49"/>
      <c r="D423" s="49"/>
      <c r="E423" s="49"/>
      <c r="F423" s="19">
        <v>0.0</v>
      </c>
      <c r="G423" s="19" t="b">
        <v>0</v>
      </c>
    </row>
    <row r="424">
      <c r="A424" s="49"/>
      <c r="B424" s="49"/>
      <c r="C424" s="49"/>
      <c r="D424" s="49"/>
      <c r="E424" s="49"/>
      <c r="F424" s="19">
        <v>0.0</v>
      </c>
      <c r="G424" s="19" t="b">
        <v>0</v>
      </c>
    </row>
    <row r="425">
      <c r="A425" s="49"/>
      <c r="B425" s="49"/>
      <c r="C425" s="49"/>
      <c r="D425" s="49"/>
      <c r="E425" s="49"/>
      <c r="F425" s="19">
        <v>0.0</v>
      </c>
      <c r="G425" s="19" t="b">
        <v>0</v>
      </c>
    </row>
    <row r="426">
      <c r="A426" s="49"/>
      <c r="B426" s="49"/>
      <c r="C426" s="49"/>
      <c r="D426" s="49"/>
      <c r="E426" s="49"/>
      <c r="F426" s="19">
        <v>0.0</v>
      </c>
      <c r="G426" s="19" t="b">
        <v>0</v>
      </c>
    </row>
    <row r="427">
      <c r="A427" s="49"/>
      <c r="B427" s="49"/>
      <c r="C427" s="49"/>
      <c r="D427" s="49"/>
      <c r="E427" s="49"/>
      <c r="F427" s="19">
        <v>0.0</v>
      </c>
      <c r="G427" s="19" t="b">
        <v>0</v>
      </c>
    </row>
    <row r="428">
      <c r="A428" s="49"/>
      <c r="B428" s="49"/>
      <c r="C428" s="49"/>
      <c r="D428" s="49"/>
      <c r="E428" s="49"/>
      <c r="F428" s="19">
        <v>0.0</v>
      </c>
      <c r="G428" s="19" t="b">
        <v>0</v>
      </c>
    </row>
    <row r="429">
      <c r="A429" s="49"/>
      <c r="B429" s="49"/>
      <c r="C429" s="49"/>
      <c r="D429" s="49"/>
      <c r="E429" s="49"/>
      <c r="F429" s="19">
        <v>0.0</v>
      </c>
      <c r="G429" s="19" t="b">
        <v>0</v>
      </c>
    </row>
    <row r="430">
      <c r="A430" s="49"/>
      <c r="B430" s="49"/>
      <c r="C430" s="49"/>
      <c r="D430" s="49"/>
      <c r="E430" s="49"/>
      <c r="F430" s="19">
        <v>0.0</v>
      </c>
      <c r="G430" s="19" t="b">
        <v>0</v>
      </c>
    </row>
    <row r="431">
      <c r="A431" s="49"/>
      <c r="B431" s="49"/>
      <c r="C431" s="49"/>
      <c r="D431" s="49"/>
      <c r="E431" s="49"/>
      <c r="F431" s="19">
        <v>0.0</v>
      </c>
      <c r="G431" s="19" t="b">
        <v>0</v>
      </c>
    </row>
    <row r="432">
      <c r="A432" s="49"/>
      <c r="B432" s="49"/>
      <c r="C432" s="49"/>
      <c r="D432" s="49"/>
      <c r="E432" s="49"/>
      <c r="F432" s="19">
        <v>0.0</v>
      </c>
      <c r="G432" s="19" t="b">
        <v>0</v>
      </c>
    </row>
    <row r="433">
      <c r="A433" s="49"/>
      <c r="B433" s="49"/>
      <c r="C433" s="49"/>
      <c r="D433" s="49"/>
      <c r="E433" s="49"/>
      <c r="F433" s="19">
        <v>0.0</v>
      </c>
      <c r="G433" s="19" t="b">
        <v>0</v>
      </c>
    </row>
    <row r="434">
      <c r="A434" s="49"/>
      <c r="B434" s="49"/>
      <c r="C434" s="49"/>
      <c r="D434" s="49"/>
      <c r="E434" s="49"/>
      <c r="F434" s="19">
        <v>0.0</v>
      </c>
      <c r="G434" s="19" t="b">
        <v>0</v>
      </c>
    </row>
    <row r="435">
      <c r="A435" s="49"/>
      <c r="B435" s="49"/>
      <c r="C435" s="49"/>
      <c r="D435" s="49"/>
      <c r="E435" s="49"/>
      <c r="F435" s="19">
        <v>0.0</v>
      </c>
      <c r="G435" s="19" t="b">
        <v>0</v>
      </c>
    </row>
    <row r="436">
      <c r="A436" s="49"/>
      <c r="B436" s="49"/>
      <c r="C436" s="49"/>
      <c r="D436" s="49"/>
      <c r="E436" s="49"/>
      <c r="F436" s="19">
        <v>0.0</v>
      </c>
      <c r="G436" s="19" t="b">
        <v>0</v>
      </c>
    </row>
    <row r="437">
      <c r="A437" s="49"/>
      <c r="B437" s="49"/>
      <c r="C437" s="49"/>
      <c r="D437" s="49"/>
      <c r="E437" s="49"/>
      <c r="F437" s="19">
        <v>0.0</v>
      </c>
      <c r="G437" s="19" t="b">
        <v>0</v>
      </c>
    </row>
    <row r="438">
      <c r="A438" s="49"/>
      <c r="B438" s="49"/>
      <c r="C438" s="49"/>
      <c r="D438" s="49"/>
      <c r="E438" s="49"/>
      <c r="F438" s="19">
        <v>0.0</v>
      </c>
      <c r="G438" s="19" t="b">
        <v>0</v>
      </c>
    </row>
    <row r="439">
      <c r="A439" s="49"/>
      <c r="B439" s="49"/>
      <c r="C439" s="49"/>
      <c r="D439" s="49"/>
      <c r="E439" s="49"/>
      <c r="F439" s="19">
        <v>0.0</v>
      </c>
      <c r="G439" s="19" t="b">
        <v>0</v>
      </c>
    </row>
    <row r="440">
      <c r="A440" s="49"/>
      <c r="B440" s="49"/>
      <c r="C440" s="49"/>
      <c r="D440" s="49"/>
      <c r="E440" s="49"/>
      <c r="F440" s="19">
        <v>0.0</v>
      </c>
      <c r="G440" s="19" t="b">
        <v>0</v>
      </c>
    </row>
    <row r="441">
      <c r="A441" s="49"/>
      <c r="B441" s="49"/>
      <c r="C441" s="49"/>
      <c r="D441" s="49"/>
      <c r="E441" s="49"/>
      <c r="F441" s="19">
        <v>0.0</v>
      </c>
      <c r="G441" s="19" t="b">
        <v>0</v>
      </c>
    </row>
    <row r="442">
      <c r="A442" s="49"/>
      <c r="B442" s="49"/>
      <c r="C442" s="49"/>
      <c r="D442" s="49"/>
      <c r="E442" s="49"/>
      <c r="F442" s="19">
        <v>0.0</v>
      </c>
      <c r="G442" s="19" t="b">
        <v>0</v>
      </c>
    </row>
    <row r="443">
      <c r="A443" s="49"/>
      <c r="B443" s="49"/>
      <c r="C443" s="49"/>
      <c r="D443" s="49"/>
      <c r="E443" s="49"/>
      <c r="F443" s="19">
        <v>0.0</v>
      </c>
      <c r="G443" s="19" t="b">
        <v>0</v>
      </c>
    </row>
    <row r="444">
      <c r="A444" s="49"/>
      <c r="B444" s="49"/>
      <c r="C444" s="49"/>
      <c r="D444" s="49"/>
      <c r="E444" s="49"/>
      <c r="F444" s="19">
        <v>0.0</v>
      </c>
      <c r="G444" s="19" t="b">
        <v>0</v>
      </c>
    </row>
    <row r="445">
      <c r="A445" s="49"/>
      <c r="B445" s="49"/>
      <c r="C445" s="49"/>
      <c r="D445" s="49"/>
      <c r="E445" s="49"/>
      <c r="F445" s="19">
        <v>0.0</v>
      </c>
      <c r="G445" s="19" t="b">
        <v>0</v>
      </c>
    </row>
    <row r="446">
      <c r="A446" s="49"/>
      <c r="B446" s="49"/>
      <c r="C446" s="49"/>
      <c r="D446" s="49"/>
      <c r="E446" s="49"/>
      <c r="F446" s="19">
        <v>0.0</v>
      </c>
      <c r="G446" s="19" t="b">
        <v>0</v>
      </c>
    </row>
    <row r="447">
      <c r="A447" s="49"/>
      <c r="B447" s="49"/>
      <c r="C447" s="49"/>
      <c r="D447" s="49"/>
      <c r="E447" s="49"/>
      <c r="F447" s="19">
        <v>0.0</v>
      </c>
      <c r="G447" s="19" t="b">
        <v>0</v>
      </c>
    </row>
    <row r="448">
      <c r="A448" s="49"/>
      <c r="B448" s="49"/>
      <c r="C448" s="49"/>
      <c r="D448" s="49"/>
      <c r="E448" s="49"/>
      <c r="F448" s="19">
        <v>0.0</v>
      </c>
      <c r="G448" s="19" t="b">
        <v>0</v>
      </c>
    </row>
    <row r="449">
      <c r="A449" s="49"/>
      <c r="B449" s="49"/>
      <c r="C449" s="49"/>
      <c r="D449" s="49"/>
      <c r="E449" s="49"/>
      <c r="F449" s="19">
        <v>0.0</v>
      </c>
      <c r="G449" s="19" t="b">
        <v>0</v>
      </c>
    </row>
    <row r="450">
      <c r="A450" s="49"/>
      <c r="B450" s="49"/>
      <c r="C450" s="49"/>
      <c r="D450" s="49"/>
      <c r="E450" s="49"/>
      <c r="F450" s="19">
        <v>0.0</v>
      </c>
      <c r="G450" s="19" t="b">
        <v>0</v>
      </c>
    </row>
    <row r="451">
      <c r="A451" s="49"/>
      <c r="B451" s="49"/>
      <c r="C451" s="49"/>
      <c r="D451" s="49"/>
      <c r="E451" s="49"/>
      <c r="F451" s="19">
        <v>0.0</v>
      </c>
      <c r="G451" s="19" t="b">
        <v>0</v>
      </c>
    </row>
    <row r="452">
      <c r="A452" s="49"/>
      <c r="B452" s="49"/>
      <c r="C452" s="49"/>
      <c r="D452" s="49"/>
      <c r="E452" s="49"/>
      <c r="F452" s="19">
        <v>0.0</v>
      </c>
      <c r="G452" s="19" t="b">
        <v>0</v>
      </c>
    </row>
    <row r="453">
      <c r="A453" s="49"/>
      <c r="B453" s="49"/>
      <c r="C453" s="49"/>
      <c r="D453" s="49"/>
      <c r="E453" s="49"/>
      <c r="F453" s="19">
        <v>0.0</v>
      </c>
      <c r="G453" s="19" t="b">
        <v>0</v>
      </c>
    </row>
    <row r="454">
      <c r="A454" s="49"/>
      <c r="B454" s="49"/>
      <c r="C454" s="49"/>
      <c r="D454" s="49"/>
      <c r="E454" s="49"/>
      <c r="F454" s="19">
        <v>0.0</v>
      </c>
      <c r="G454" s="19" t="b">
        <v>0</v>
      </c>
    </row>
    <row r="455">
      <c r="A455" s="49"/>
      <c r="B455" s="49"/>
      <c r="C455" s="49"/>
      <c r="D455" s="49"/>
      <c r="E455" s="49"/>
      <c r="F455" s="19">
        <v>0.0</v>
      </c>
      <c r="G455" s="19" t="b">
        <v>0</v>
      </c>
    </row>
    <row r="456">
      <c r="A456" s="49"/>
      <c r="B456" s="49"/>
      <c r="C456" s="49"/>
      <c r="D456" s="49"/>
      <c r="E456" s="49"/>
      <c r="F456" s="19">
        <v>0.0</v>
      </c>
      <c r="G456" s="19" t="b">
        <v>0</v>
      </c>
    </row>
    <row r="457">
      <c r="A457" s="49"/>
      <c r="B457" s="49"/>
      <c r="C457" s="49"/>
      <c r="D457" s="49"/>
      <c r="E457" s="49"/>
      <c r="F457" s="19">
        <v>0.0</v>
      </c>
      <c r="G457" s="19" t="b">
        <v>0</v>
      </c>
    </row>
    <row r="458">
      <c r="A458" s="49"/>
      <c r="B458" s="49"/>
      <c r="C458" s="49"/>
      <c r="D458" s="49"/>
      <c r="E458" s="49"/>
      <c r="F458" s="19">
        <v>0.0</v>
      </c>
      <c r="G458" s="19" t="b">
        <v>0</v>
      </c>
    </row>
    <row r="459">
      <c r="A459" s="49"/>
      <c r="B459" s="49"/>
      <c r="C459" s="49"/>
      <c r="D459" s="49"/>
      <c r="E459" s="49"/>
      <c r="F459" s="19">
        <v>0.0</v>
      </c>
      <c r="G459" s="19" t="b">
        <v>0</v>
      </c>
    </row>
    <row r="460">
      <c r="A460" s="49"/>
      <c r="B460" s="49"/>
      <c r="C460" s="49"/>
      <c r="D460" s="49"/>
      <c r="E460" s="49"/>
      <c r="F460" s="19">
        <v>0.0</v>
      </c>
      <c r="G460" s="19" t="b">
        <v>0</v>
      </c>
    </row>
    <row r="461">
      <c r="A461" s="49"/>
      <c r="B461" s="49"/>
      <c r="C461" s="49"/>
      <c r="D461" s="49"/>
      <c r="E461" s="49"/>
      <c r="F461" s="19">
        <v>0.0</v>
      </c>
      <c r="G461" s="19" t="b">
        <v>0</v>
      </c>
    </row>
    <row r="462">
      <c r="A462" s="49"/>
      <c r="B462" s="49"/>
      <c r="C462" s="49"/>
      <c r="D462" s="49"/>
      <c r="E462" s="49"/>
      <c r="F462" s="19">
        <v>0.0</v>
      </c>
      <c r="G462" s="19" t="b">
        <v>0</v>
      </c>
    </row>
    <row r="463">
      <c r="A463" s="49"/>
      <c r="B463" s="49"/>
      <c r="C463" s="49"/>
      <c r="D463" s="49"/>
      <c r="E463" s="49"/>
      <c r="F463" s="19">
        <v>0.0</v>
      </c>
      <c r="G463" s="19" t="b">
        <v>0</v>
      </c>
    </row>
    <row r="464">
      <c r="A464" s="49"/>
      <c r="B464" s="49"/>
      <c r="C464" s="49"/>
      <c r="D464" s="49"/>
      <c r="E464" s="49"/>
      <c r="F464" s="19">
        <v>0.0</v>
      </c>
      <c r="G464" s="19" t="b">
        <v>0</v>
      </c>
    </row>
    <row r="465">
      <c r="A465" s="49"/>
      <c r="B465" s="49"/>
      <c r="C465" s="49"/>
      <c r="D465" s="49"/>
      <c r="E465" s="49"/>
      <c r="F465" s="19">
        <v>0.0</v>
      </c>
      <c r="G465" s="19" t="b">
        <v>0</v>
      </c>
    </row>
    <row r="466">
      <c r="A466" s="49"/>
      <c r="B466" s="49"/>
      <c r="C466" s="49"/>
      <c r="D466" s="49"/>
      <c r="E466" s="49"/>
      <c r="F466" s="19">
        <v>0.0</v>
      </c>
      <c r="G466" s="19" t="b">
        <v>0</v>
      </c>
    </row>
    <row r="467">
      <c r="A467" s="49"/>
      <c r="B467" s="49"/>
      <c r="C467" s="49"/>
      <c r="D467" s="49"/>
      <c r="E467" s="49"/>
      <c r="F467" s="19">
        <v>0.0</v>
      </c>
      <c r="G467" s="19" t="b">
        <v>0</v>
      </c>
    </row>
    <row r="468">
      <c r="A468" s="49"/>
      <c r="B468" s="49"/>
      <c r="C468" s="49"/>
      <c r="D468" s="49"/>
      <c r="E468" s="49"/>
      <c r="F468" s="19">
        <v>0.0</v>
      </c>
      <c r="G468" s="19" t="b">
        <v>0</v>
      </c>
    </row>
    <row r="469">
      <c r="A469" s="49"/>
      <c r="B469" s="49"/>
      <c r="C469" s="49"/>
      <c r="D469" s="49"/>
      <c r="E469" s="49"/>
      <c r="F469" s="19">
        <v>0.0</v>
      </c>
      <c r="G469" s="19" t="b">
        <v>0</v>
      </c>
    </row>
    <row r="470">
      <c r="A470" s="49"/>
      <c r="B470" s="49"/>
      <c r="C470" s="49"/>
      <c r="D470" s="49"/>
      <c r="E470" s="49"/>
      <c r="F470" s="19">
        <v>0.0</v>
      </c>
      <c r="G470" s="19" t="b">
        <v>0</v>
      </c>
    </row>
    <row r="471">
      <c r="A471" s="49"/>
      <c r="B471" s="49"/>
      <c r="C471" s="49"/>
      <c r="D471" s="49"/>
      <c r="E471" s="49"/>
      <c r="F471" s="19">
        <v>0.0</v>
      </c>
      <c r="G471" s="19" t="b">
        <v>0</v>
      </c>
    </row>
    <row r="472">
      <c r="A472" s="49"/>
      <c r="B472" s="49"/>
      <c r="C472" s="49"/>
      <c r="D472" s="49"/>
      <c r="E472" s="49"/>
      <c r="F472" s="19">
        <v>0.0</v>
      </c>
      <c r="G472" s="19" t="b">
        <v>0</v>
      </c>
    </row>
    <row r="473">
      <c r="A473" s="49"/>
      <c r="B473" s="49"/>
      <c r="C473" s="49"/>
      <c r="D473" s="49"/>
      <c r="E473" s="49"/>
      <c r="F473" s="19">
        <v>0.0</v>
      </c>
      <c r="G473" s="19" t="b">
        <v>0</v>
      </c>
    </row>
    <row r="474">
      <c r="A474" s="49"/>
      <c r="B474" s="49"/>
      <c r="C474" s="49"/>
      <c r="D474" s="49"/>
      <c r="E474" s="49"/>
      <c r="F474" s="19">
        <v>0.0</v>
      </c>
      <c r="G474" s="19" t="b">
        <v>0</v>
      </c>
    </row>
    <row r="475">
      <c r="A475" s="49"/>
      <c r="B475" s="49"/>
      <c r="C475" s="49"/>
      <c r="D475" s="49"/>
      <c r="E475" s="49"/>
      <c r="F475" s="19">
        <v>0.0</v>
      </c>
      <c r="G475" s="19" t="b">
        <v>0</v>
      </c>
    </row>
    <row r="476">
      <c r="A476" s="49"/>
      <c r="B476" s="49"/>
      <c r="C476" s="49"/>
      <c r="D476" s="49"/>
      <c r="E476" s="49"/>
      <c r="F476" s="19">
        <v>0.0</v>
      </c>
      <c r="G476" s="19" t="b">
        <v>0</v>
      </c>
    </row>
    <row r="477">
      <c r="A477" s="49"/>
      <c r="B477" s="49"/>
      <c r="C477" s="49"/>
      <c r="D477" s="49"/>
      <c r="E477" s="49"/>
      <c r="F477" s="19">
        <v>0.0</v>
      </c>
      <c r="G477" s="19" t="b">
        <v>0</v>
      </c>
    </row>
    <row r="478">
      <c r="A478" s="49"/>
      <c r="B478" s="49"/>
      <c r="C478" s="49"/>
      <c r="D478" s="49"/>
      <c r="E478" s="49"/>
      <c r="F478" s="19">
        <v>0.0</v>
      </c>
      <c r="G478" s="19" t="b">
        <v>0</v>
      </c>
    </row>
    <row r="479">
      <c r="A479" s="49"/>
      <c r="B479" s="49"/>
      <c r="C479" s="49"/>
      <c r="D479" s="49"/>
      <c r="E479" s="49"/>
      <c r="F479" s="19">
        <v>0.0</v>
      </c>
      <c r="G479" s="19" t="b">
        <v>0</v>
      </c>
    </row>
    <row r="480">
      <c r="A480" s="49"/>
      <c r="B480" s="49"/>
      <c r="C480" s="49"/>
      <c r="D480" s="49"/>
      <c r="E480" s="49"/>
      <c r="F480" s="19">
        <v>0.0</v>
      </c>
      <c r="G480" s="19" t="b">
        <v>0</v>
      </c>
    </row>
    <row r="481">
      <c r="A481" s="49"/>
      <c r="B481" s="49"/>
      <c r="C481" s="49"/>
      <c r="D481" s="49"/>
      <c r="E481" s="49"/>
      <c r="F481" s="19">
        <v>0.0</v>
      </c>
      <c r="G481" s="19" t="b">
        <v>0</v>
      </c>
    </row>
    <row r="482">
      <c r="A482" s="49"/>
      <c r="B482" s="49"/>
      <c r="C482" s="49"/>
      <c r="D482" s="49"/>
      <c r="E482" s="49"/>
      <c r="F482" s="19">
        <v>0.0</v>
      </c>
      <c r="G482" s="19" t="b">
        <v>0</v>
      </c>
    </row>
    <row r="483">
      <c r="A483" s="49"/>
      <c r="B483" s="49"/>
      <c r="C483" s="49"/>
      <c r="D483" s="49"/>
      <c r="E483" s="49"/>
      <c r="F483" s="19">
        <v>0.0</v>
      </c>
      <c r="G483" s="19" t="b">
        <v>0</v>
      </c>
    </row>
    <row r="484">
      <c r="A484" s="49"/>
      <c r="B484" s="49"/>
      <c r="C484" s="49"/>
      <c r="D484" s="49"/>
      <c r="E484" s="49"/>
      <c r="F484" s="19">
        <v>0.0</v>
      </c>
      <c r="G484" s="19" t="b">
        <v>0</v>
      </c>
    </row>
    <row r="485">
      <c r="A485" s="49"/>
      <c r="B485" s="49"/>
      <c r="C485" s="49"/>
      <c r="D485" s="49"/>
      <c r="E485" s="49"/>
      <c r="F485" s="19">
        <v>0.0</v>
      </c>
      <c r="G485" s="19" t="b">
        <v>0</v>
      </c>
    </row>
    <row r="486">
      <c r="A486" s="49"/>
      <c r="B486" s="49"/>
      <c r="C486" s="49"/>
      <c r="D486" s="49"/>
      <c r="E486" s="49"/>
      <c r="F486" s="19">
        <v>0.0</v>
      </c>
      <c r="G486" s="19" t="b">
        <v>0</v>
      </c>
    </row>
    <row r="487">
      <c r="A487" s="49"/>
      <c r="B487" s="49"/>
      <c r="C487" s="49"/>
      <c r="D487" s="49"/>
      <c r="E487" s="49"/>
      <c r="F487" s="19">
        <v>0.0</v>
      </c>
      <c r="G487" s="19" t="b">
        <v>0</v>
      </c>
    </row>
    <row r="488">
      <c r="A488" s="49"/>
      <c r="B488" s="49"/>
      <c r="C488" s="49"/>
      <c r="D488" s="49"/>
      <c r="E488" s="49"/>
      <c r="F488" s="19">
        <v>0.0</v>
      </c>
      <c r="G488" s="19" t="b">
        <v>0</v>
      </c>
    </row>
    <row r="489">
      <c r="A489" s="49"/>
      <c r="B489" s="49"/>
      <c r="C489" s="49"/>
      <c r="D489" s="49"/>
      <c r="E489" s="49"/>
      <c r="F489" s="19">
        <v>0.0</v>
      </c>
      <c r="G489" s="19" t="b">
        <v>0</v>
      </c>
    </row>
    <row r="490">
      <c r="A490" s="49"/>
      <c r="B490" s="49"/>
      <c r="C490" s="49"/>
      <c r="D490" s="49"/>
      <c r="E490" s="49"/>
      <c r="F490" s="19">
        <v>0.0</v>
      </c>
      <c r="G490" s="19" t="b">
        <v>0</v>
      </c>
    </row>
    <row r="491">
      <c r="A491" s="49"/>
      <c r="B491" s="49"/>
      <c r="C491" s="49"/>
      <c r="D491" s="49"/>
      <c r="E491" s="49"/>
      <c r="F491" s="19">
        <v>0.0</v>
      </c>
      <c r="G491" s="19" t="b">
        <v>0</v>
      </c>
    </row>
    <row r="492">
      <c r="A492" s="49"/>
      <c r="B492" s="49"/>
      <c r="C492" s="49"/>
      <c r="D492" s="49"/>
      <c r="E492" s="49"/>
      <c r="F492" s="19">
        <v>0.0</v>
      </c>
      <c r="G492" s="19" t="b">
        <v>0</v>
      </c>
    </row>
    <row r="493">
      <c r="A493" s="49"/>
      <c r="B493" s="49"/>
      <c r="C493" s="49"/>
      <c r="D493" s="49"/>
      <c r="E493" s="49"/>
      <c r="F493" s="19">
        <v>0.0</v>
      </c>
      <c r="G493" s="19" t="b">
        <v>0</v>
      </c>
    </row>
    <row r="494">
      <c r="A494" s="49"/>
      <c r="B494" s="49"/>
      <c r="C494" s="49"/>
      <c r="D494" s="49"/>
      <c r="E494" s="49"/>
      <c r="F494" s="19">
        <v>0.0</v>
      </c>
      <c r="G494" s="19" t="b">
        <v>0</v>
      </c>
    </row>
    <row r="495">
      <c r="A495" s="49"/>
      <c r="B495" s="49"/>
      <c r="C495" s="49"/>
      <c r="D495" s="49"/>
      <c r="E495" s="49"/>
      <c r="F495" s="19">
        <v>0.0</v>
      </c>
      <c r="G495" s="19" t="b">
        <v>0</v>
      </c>
    </row>
    <row r="496">
      <c r="A496" s="49"/>
      <c r="B496" s="49"/>
      <c r="C496" s="49"/>
      <c r="D496" s="49"/>
      <c r="E496" s="49"/>
      <c r="F496" s="19">
        <v>0.0</v>
      </c>
      <c r="G496" s="19" t="b">
        <v>0</v>
      </c>
    </row>
    <row r="497">
      <c r="A497" s="49"/>
      <c r="B497" s="49"/>
      <c r="C497" s="49"/>
      <c r="D497" s="49"/>
      <c r="E497" s="49"/>
      <c r="F497" s="19">
        <v>0.0</v>
      </c>
      <c r="G497" s="19" t="b">
        <v>0</v>
      </c>
    </row>
    <row r="498">
      <c r="A498" s="49"/>
      <c r="B498" s="49"/>
      <c r="C498" s="49"/>
      <c r="D498" s="49"/>
      <c r="E498" s="49"/>
      <c r="F498" s="19">
        <v>0.0</v>
      </c>
      <c r="G498" s="19" t="b">
        <v>0</v>
      </c>
    </row>
    <row r="499">
      <c r="A499" s="49"/>
      <c r="B499" s="49"/>
      <c r="C499" s="49"/>
      <c r="D499" s="49"/>
      <c r="E499" s="49"/>
      <c r="F499" s="19">
        <v>0.0</v>
      </c>
      <c r="G499" s="19" t="b">
        <v>0</v>
      </c>
    </row>
    <row r="500">
      <c r="A500" s="49"/>
      <c r="B500" s="49"/>
      <c r="C500" s="49"/>
      <c r="D500" s="49"/>
      <c r="E500" s="49"/>
      <c r="F500" s="19">
        <v>0.0</v>
      </c>
      <c r="G500" s="19" t="b">
        <v>0</v>
      </c>
    </row>
    <row r="501">
      <c r="A501" s="49"/>
      <c r="B501" s="49"/>
      <c r="C501" s="49"/>
      <c r="D501" s="49"/>
      <c r="E501" s="49"/>
      <c r="F501" s="19">
        <v>0.0</v>
      </c>
      <c r="G501" s="19" t="b">
        <v>0</v>
      </c>
    </row>
    <row r="502">
      <c r="A502" s="49"/>
      <c r="B502" s="49"/>
      <c r="C502" s="49"/>
      <c r="D502" s="49"/>
      <c r="E502" s="49"/>
      <c r="F502" s="19">
        <v>0.0</v>
      </c>
      <c r="G502" s="19" t="b">
        <v>0</v>
      </c>
    </row>
    <row r="503">
      <c r="A503" s="49"/>
      <c r="B503" s="49"/>
      <c r="C503" s="49"/>
      <c r="D503" s="49"/>
      <c r="E503" s="49"/>
      <c r="F503" s="19">
        <v>0.0</v>
      </c>
      <c r="G503" s="19" t="b">
        <v>0</v>
      </c>
    </row>
    <row r="504">
      <c r="A504" s="49"/>
      <c r="B504" s="49"/>
      <c r="C504" s="49"/>
      <c r="D504" s="49"/>
      <c r="E504" s="49"/>
      <c r="F504" s="19">
        <v>0.0</v>
      </c>
      <c r="G504" s="19" t="b">
        <v>0</v>
      </c>
    </row>
    <row r="505">
      <c r="A505" s="49"/>
      <c r="B505" s="49"/>
      <c r="C505" s="49"/>
      <c r="D505" s="49"/>
      <c r="E505" s="49"/>
      <c r="F505" s="19">
        <v>0.0</v>
      </c>
      <c r="G505" s="19" t="b">
        <v>0</v>
      </c>
    </row>
    <row r="506">
      <c r="A506" s="49"/>
      <c r="B506" s="49"/>
      <c r="C506" s="49"/>
      <c r="D506" s="49"/>
      <c r="E506" s="49"/>
      <c r="F506" s="19">
        <v>0.0</v>
      </c>
      <c r="G506" s="19" t="b">
        <v>0</v>
      </c>
    </row>
    <row r="507">
      <c r="A507" s="49"/>
      <c r="B507" s="49"/>
      <c r="C507" s="49"/>
      <c r="D507" s="49"/>
      <c r="E507" s="49"/>
      <c r="F507" s="19">
        <v>0.0</v>
      </c>
      <c r="G507" s="19" t="b">
        <v>0</v>
      </c>
    </row>
    <row r="508">
      <c r="A508" s="49"/>
      <c r="B508" s="49"/>
      <c r="C508" s="49"/>
      <c r="D508" s="49"/>
      <c r="E508" s="49"/>
      <c r="F508" s="19">
        <v>0.0</v>
      </c>
      <c r="G508" s="19" t="b">
        <v>0</v>
      </c>
    </row>
    <row r="509">
      <c r="A509" s="49"/>
      <c r="B509" s="49"/>
      <c r="C509" s="49"/>
      <c r="D509" s="49"/>
      <c r="E509" s="49"/>
      <c r="F509" s="19">
        <v>0.0</v>
      </c>
      <c r="G509" s="19" t="b">
        <v>0</v>
      </c>
    </row>
    <row r="510">
      <c r="A510" s="49"/>
      <c r="B510" s="49"/>
      <c r="C510" s="49"/>
      <c r="D510" s="49"/>
      <c r="E510" s="49"/>
      <c r="F510" s="19">
        <v>0.0</v>
      </c>
      <c r="G510" s="19" t="b">
        <v>0</v>
      </c>
    </row>
    <row r="511">
      <c r="A511" s="49"/>
      <c r="B511" s="49"/>
      <c r="C511" s="49"/>
      <c r="D511" s="49"/>
      <c r="E511" s="49"/>
      <c r="F511" s="19">
        <v>0.0</v>
      </c>
      <c r="G511" s="19" t="b">
        <v>0</v>
      </c>
    </row>
    <row r="512">
      <c r="A512" s="49"/>
      <c r="B512" s="49"/>
      <c r="C512" s="49"/>
      <c r="D512" s="49"/>
      <c r="E512" s="49"/>
      <c r="F512" s="19">
        <v>0.0</v>
      </c>
      <c r="G512" s="19" t="b">
        <v>0</v>
      </c>
    </row>
    <row r="513">
      <c r="A513" s="49"/>
      <c r="B513" s="49"/>
      <c r="C513" s="49"/>
      <c r="D513" s="49"/>
      <c r="E513" s="49"/>
      <c r="F513" s="19">
        <v>0.0</v>
      </c>
      <c r="G513" s="19" t="b">
        <v>0</v>
      </c>
    </row>
    <row r="514">
      <c r="A514" s="49"/>
      <c r="B514" s="49"/>
      <c r="C514" s="49"/>
      <c r="D514" s="49"/>
      <c r="E514" s="49"/>
      <c r="F514" s="19">
        <v>0.0</v>
      </c>
      <c r="G514" s="19" t="b">
        <v>0</v>
      </c>
    </row>
    <row r="515">
      <c r="A515" s="49"/>
      <c r="B515" s="49"/>
      <c r="C515" s="49"/>
      <c r="D515" s="49"/>
      <c r="E515" s="49"/>
      <c r="F515" s="19">
        <v>0.0</v>
      </c>
      <c r="G515" s="19" t="b">
        <v>0</v>
      </c>
    </row>
    <row r="516">
      <c r="A516" s="49"/>
      <c r="B516" s="49"/>
      <c r="C516" s="49"/>
      <c r="D516" s="49"/>
      <c r="E516" s="49"/>
      <c r="F516" s="19">
        <v>0.0</v>
      </c>
      <c r="G516" s="19" t="b">
        <v>0</v>
      </c>
    </row>
    <row r="517">
      <c r="A517" s="49"/>
      <c r="B517" s="49"/>
      <c r="C517" s="49"/>
      <c r="D517" s="49"/>
      <c r="E517" s="49"/>
      <c r="F517" s="19">
        <v>0.0</v>
      </c>
      <c r="G517" s="19" t="b">
        <v>0</v>
      </c>
    </row>
    <row r="518">
      <c r="A518" s="49"/>
      <c r="B518" s="49"/>
      <c r="C518" s="49"/>
      <c r="D518" s="49"/>
      <c r="E518" s="49"/>
      <c r="F518" s="19">
        <v>0.0</v>
      </c>
      <c r="G518" s="19" t="b">
        <v>0</v>
      </c>
    </row>
    <row r="519">
      <c r="A519" s="49"/>
      <c r="B519" s="49"/>
      <c r="C519" s="49"/>
      <c r="D519" s="49"/>
      <c r="E519" s="49"/>
      <c r="F519" s="19">
        <v>0.0</v>
      </c>
      <c r="G519" s="19" t="b">
        <v>0</v>
      </c>
    </row>
    <row r="520">
      <c r="A520" s="49"/>
      <c r="B520" s="49"/>
      <c r="C520" s="49"/>
      <c r="D520" s="49"/>
      <c r="E520" s="49"/>
      <c r="F520" s="19">
        <v>0.0</v>
      </c>
      <c r="G520" s="19" t="b">
        <v>0</v>
      </c>
    </row>
    <row r="521">
      <c r="A521" s="49"/>
      <c r="B521" s="49"/>
      <c r="C521" s="49"/>
      <c r="D521" s="49"/>
      <c r="E521" s="49"/>
      <c r="F521" s="19">
        <v>0.0</v>
      </c>
      <c r="G521" s="19" t="b">
        <v>0</v>
      </c>
    </row>
    <row r="522">
      <c r="A522" s="49"/>
      <c r="B522" s="49"/>
      <c r="C522" s="49"/>
      <c r="D522" s="49"/>
      <c r="E522" s="49"/>
      <c r="F522" s="19">
        <v>0.0</v>
      </c>
      <c r="G522" s="19" t="b">
        <v>0</v>
      </c>
    </row>
    <row r="523">
      <c r="A523" s="49"/>
      <c r="B523" s="49"/>
      <c r="C523" s="49"/>
      <c r="D523" s="49"/>
      <c r="E523" s="49"/>
      <c r="F523" s="19">
        <v>0.0</v>
      </c>
      <c r="G523" s="19" t="b">
        <v>0</v>
      </c>
    </row>
    <row r="524">
      <c r="A524" s="49"/>
      <c r="B524" s="49"/>
      <c r="C524" s="49"/>
      <c r="D524" s="49"/>
      <c r="E524" s="49"/>
      <c r="F524" s="19">
        <v>0.0</v>
      </c>
      <c r="G524" s="19" t="b">
        <v>0</v>
      </c>
    </row>
    <row r="525">
      <c r="A525" s="49"/>
      <c r="B525" s="49"/>
      <c r="C525" s="49"/>
      <c r="D525" s="49"/>
      <c r="E525" s="49"/>
      <c r="F525" s="19">
        <v>0.0</v>
      </c>
      <c r="G525" s="19" t="b">
        <v>0</v>
      </c>
    </row>
    <row r="526">
      <c r="A526" s="49"/>
      <c r="B526" s="49"/>
      <c r="C526" s="49"/>
      <c r="D526" s="49"/>
      <c r="E526" s="49"/>
      <c r="F526" s="19">
        <v>0.0</v>
      </c>
      <c r="G526" s="19" t="b">
        <v>0</v>
      </c>
    </row>
    <row r="527">
      <c r="A527" s="49"/>
      <c r="B527" s="49"/>
      <c r="C527" s="49"/>
      <c r="D527" s="49"/>
      <c r="E527" s="49"/>
      <c r="F527" s="19">
        <v>0.0</v>
      </c>
      <c r="G527" s="19" t="b">
        <v>0</v>
      </c>
    </row>
    <row r="528">
      <c r="A528" s="49"/>
      <c r="B528" s="49"/>
      <c r="C528" s="49"/>
      <c r="D528" s="49"/>
      <c r="E528" s="49"/>
      <c r="F528" s="19">
        <v>0.0</v>
      </c>
      <c r="G528" s="19" t="b">
        <v>0</v>
      </c>
    </row>
    <row r="529">
      <c r="A529" s="49"/>
      <c r="B529" s="49"/>
      <c r="C529" s="49"/>
      <c r="D529" s="49"/>
      <c r="E529" s="49"/>
      <c r="F529" s="19">
        <v>0.0</v>
      </c>
      <c r="G529" s="19" t="b">
        <v>0</v>
      </c>
    </row>
    <row r="530">
      <c r="A530" s="49"/>
      <c r="B530" s="49"/>
      <c r="C530" s="49"/>
      <c r="D530" s="49"/>
      <c r="E530" s="49"/>
      <c r="F530" s="19">
        <v>0.0</v>
      </c>
      <c r="G530" s="19" t="b">
        <v>0</v>
      </c>
    </row>
    <row r="531">
      <c r="A531" s="49"/>
      <c r="B531" s="49"/>
      <c r="C531" s="49"/>
      <c r="D531" s="49"/>
      <c r="E531" s="49"/>
      <c r="F531" s="19">
        <v>0.0</v>
      </c>
      <c r="G531" s="19" t="b">
        <v>0</v>
      </c>
    </row>
    <row r="532">
      <c r="A532" s="49"/>
      <c r="B532" s="49"/>
      <c r="C532" s="49"/>
      <c r="D532" s="49"/>
      <c r="E532" s="49"/>
      <c r="F532" s="19">
        <v>0.0</v>
      </c>
      <c r="G532" s="19" t="b">
        <v>0</v>
      </c>
    </row>
    <row r="533">
      <c r="A533" s="49"/>
      <c r="B533" s="49"/>
      <c r="C533" s="49"/>
      <c r="D533" s="49"/>
      <c r="E533" s="49"/>
      <c r="F533" s="19">
        <v>0.0</v>
      </c>
      <c r="G533" s="19" t="b">
        <v>0</v>
      </c>
    </row>
    <row r="534">
      <c r="A534" s="49"/>
      <c r="B534" s="49"/>
      <c r="C534" s="49"/>
      <c r="D534" s="49"/>
      <c r="E534" s="49"/>
      <c r="F534" s="19">
        <v>0.0</v>
      </c>
      <c r="G534" s="19" t="b">
        <v>0</v>
      </c>
    </row>
    <row r="535">
      <c r="A535" s="49"/>
      <c r="B535" s="49"/>
      <c r="C535" s="49"/>
      <c r="D535" s="49"/>
      <c r="E535" s="49"/>
      <c r="F535" s="19">
        <v>0.0</v>
      </c>
      <c r="G535" s="19" t="b">
        <v>0</v>
      </c>
    </row>
    <row r="536">
      <c r="A536" s="49"/>
      <c r="B536" s="49"/>
      <c r="C536" s="49"/>
      <c r="D536" s="49"/>
      <c r="E536" s="49"/>
      <c r="F536" s="19">
        <v>0.0</v>
      </c>
      <c r="G536" s="19" t="b">
        <v>0</v>
      </c>
    </row>
    <row r="537">
      <c r="A537" s="49"/>
      <c r="B537" s="49"/>
      <c r="C537" s="49"/>
      <c r="D537" s="49"/>
      <c r="E537" s="49"/>
      <c r="F537" s="19">
        <v>0.0</v>
      </c>
      <c r="G537" s="19" t="b">
        <v>0</v>
      </c>
    </row>
    <row r="538">
      <c r="A538" s="49"/>
      <c r="B538" s="49"/>
      <c r="C538" s="49"/>
      <c r="D538" s="49"/>
      <c r="E538" s="49"/>
      <c r="F538" s="19">
        <v>0.0</v>
      </c>
      <c r="G538" s="19" t="b">
        <v>0</v>
      </c>
    </row>
    <row r="539">
      <c r="A539" s="49"/>
      <c r="B539" s="49"/>
      <c r="C539" s="49"/>
      <c r="D539" s="49"/>
      <c r="E539" s="49"/>
      <c r="F539" s="19">
        <v>0.0</v>
      </c>
      <c r="G539" s="19" t="b">
        <v>0</v>
      </c>
    </row>
    <row r="540">
      <c r="A540" s="49"/>
      <c r="B540" s="49"/>
      <c r="C540" s="49"/>
      <c r="D540" s="49"/>
      <c r="E540" s="49"/>
      <c r="F540" s="19">
        <v>0.0</v>
      </c>
      <c r="G540" s="19" t="b">
        <v>0</v>
      </c>
    </row>
    <row r="541">
      <c r="A541" s="49"/>
      <c r="B541" s="49"/>
      <c r="C541" s="49"/>
      <c r="D541" s="49"/>
      <c r="E541" s="49"/>
      <c r="F541" s="19">
        <v>0.0</v>
      </c>
      <c r="G541" s="19" t="b">
        <v>0</v>
      </c>
    </row>
    <row r="542">
      <c r="A542" s="49"/>
      <c r="B542" s="49"/>
      <c r="C542" s="49"/>
      <c r="D542" s="49"/>
      <c r="E542" s="49"/>
      <c r="F542" s="19">
        <v>0.0</v>
      </c>
      <c r="G542" s="19" t="b">
        <v>0</v>
      </c>
    </row>
    <row r="543">
      <c r="A543" s="49"/>
      <c r="B543" s="49"/>
      <c r="C543" s="49"/>
      <c r="D543" s="49"/>
      <c r="E543" s="49"/>
      <c r="F543" s="19">
        <v>0.0</v>
      </c>
      <c r="G543" s="19" t="b">
        <v>0</v>
      </c>
    </row>
    <row r="544">
      <c r="A544" s="49"/>
      <c r="B544" s="49"/>
      <c r="C544" s="49"/>
      <c r="D544" s="49"/>
      <c r="E544" s="49"/>
      <c r="F544" s="19">
        <v>0.0</v>
      </c>
      <c r="G544" s="19" t="b">
        <v>0</v>
      </c>
    </row>
    <row r="545">
      <c r="A545" s="49"/>
      <c r="B545" s="49"/>
      <c r="C545" s="49"/>
      <c r="D545" s="49"/>
      <c r="E545" s="49"/>
      <c r="F545" s="19">
        <v>0.0</v>
      </c>
      <c r="G545" s="19" t="b">
        <v>0</v>
      </c>
    </row>
    <row r="546">
      <c r="A546" s="49"/>
      <c r="B546" s="49"/>
      <c r="C546" s="49"/>
      <c r="D546" s="49"/>
      <c r="E546" s="49"/>
      <c r="F546" s="19">
        <v>0.0</v>
      </c>
      <c r="G546" s="19" t="b">
        <v>0</v>
      </c>
    </row>
    <row r="547">
      <c r="A547" s="49"/>
      <c r="B547" s="49"/>
      <c r="C547" s="49"/>
      <c r="D547" s="49"/>
      <c r="E547" s="49"/>
      <c r="F547" s="19">
        <v>0.0</v>
      </c>
      <c r="G547" s="19" t="b">
        <v>0</v>
      </c>
    </row>
    <row r="548">
      <c r="A548" s="49"/>
      <c r="B548" s="49"/>
      <c r="C548" s="49"/>
      <c r="D548" s="49"/>
      <c r="E548" s="49"/>
      <c r="F548" s="19">
        <v>0.0</v>
      </c>
      <c r="G548" s="19" t="b">
        <v>0</v>
      </c>
    </row>
    <row r="549">
      <c r="A549" s="49"/>
      <c r="B549" s="49"/>
      <c r="C549" s="49"/>
      <c r="D549" s="49"/>
      <c r="E549" s="49"/>
      <c r="F549" s="19">
        <v>0.0</v>
      </c>
      <c r="G549" s="19" t="b">
        <v>0</v>
      </c>
    </row>
    <row r="550">
      <c r="A550" s="49"/>
      <c r="B550" s="49"/>
      <c r="C550" s="49"/>
      <c r="D550" s="49"/>
      <c r="E550" s="49"/>
      <c r="F550" s="19">
        <v>0.0</v>
      </c>
      <c r="G550" s="19" t="b">
        <v>0</v>
      </c>
    </row>
    <row r="551">
      <c r="A551" s="49"/>
      <c r="B551" s="49"/>
      <c r="C551" s="49"/>
      <c r="D551" s="49"/>
      <c r="E551" s="49"/>
      <c r="F551" s="19">
        <v>0.0</v>
      </c>
      <c r="G551" s="19" t="b">
        <v>0</v>
      </c>
    </row>
    <row r="552">
      <c r="A552" s="49"/>
      <c r="B552" s="49"/>
      <c r="C552" s="49"/>
      <c r="D552" s="49"/>
      <c r="E552" s="49"/>
      <c r="F552" s="19">
        <v>0.0</v>
      </c>
      <c r="G552" s="19" t="b">
        <v>0</v>
      </c>
    </row>
    <row r="553">
      <c r="A553" s="49"/>
      <c r="B553" s="49"/>
      <c r="C553" s="49"/>
      <c r="D553" s="49"/>
      <c r="E553" s="49"/>
      <c r="F553" s="19">
        <v>0.0</v>
      </c>
      <c r="G553" s="19" t="b">
        <v>0</v>
      </c>
    </row>
    <row r="554">
      <c r="A554" s="49"/>
      <c r="B554" s="49"/>
      <c r="C554" s="49"/>
      <c r="D554" s="49"/>
      <c r="E554" s="49"/>
      <c r="F554" s="19">
        <v>0.0</v>
      </c>
      <c r="G554" s="19" t="b">
        <v>0</v>
      </c>
    </row>
    <row r="555">
      <c r="A555" s="49"/>
      <c r="B555" s="49"/>
      <c r="C555" s="49"/>
      <c r="D555" s="49"/>
      <c r="E555" s="49"/>
      <c r="F555" s="19">
        <v>0.0</v>
      </c>
      <c r="G555" s="19" t="b">
        <v>0</v>
      </c>
    </row>
    <row r="556">
      <c r="A556" s="49"/>
      <c r="B556" s="49"/>
      <c r="C556" s="49"/>
      <c r="D556" s="49"/>
      <c r="E556" s="49"/>
      <c r="F556" s="19">
        <v>0.0</v>
      </c>
      <c r="G556" s="19" t="b">
        <v>0</v>
      </c>
    </row>
    <row r="557">
      <c r="A557" s="49"/>
      <c r="B557" s="49"/>
      <c r="C557" s="49"/>
      <c r="D557" s="49"/>
      <c r="E557" s="49"/>
      <c r="F557" s="19">
        <v>0.0</v>
      </c>
      <c r="G557" s="19" t="b">
        <v>0</v>
      </c>
    </row>
    <row r="558">
      <c r="A558" s="49"/>
      <c r="B558" s="49"/>
      <c r="C558" s="49"/>
      <c r="D558" s="49"/>
      <c r="E558" s="49"/>
      <c r="F558" s="19">
        <v>0.0</v>
      </c>
      <c r="G558" s="19" t="b">
        <v>0</v>
      </c>
    </row>
    <row r="559">
      <c r="A559" s="49"/>
      <c r="B559" s="49"/>
      <c r="C559" s="49"/>
      <c r="D559" s="49"/>
      <c r="E559" s="49"/>
      <c r="F559" s="19">
        <v>0.0</v>
      </c>
      <c r="G559" s="19" t="b">
        <v>0</v>
      </c>
    </row>
    <row r="560">
      <c r="A560" s="49"/>
      <c r="B560" s="49"/>
      <c r="C560" s="49"/>
      <c r="D560" s="49"/>
      <c r="E560" s="49"/>
      <c r="F560" s="19">
        <v>0.0</v>
      </c>
      <c r="G560" s="19" t="b">
        <v>0</v>
      </c>
    </row>
    <row r="561">
      <c r="A561" s="49"/>
      <c r="B561" s="49"/>
      <c r="C561" s="49"/>
      <c r="D561" s="49"/>
      <c r="E561" s="49"/>
      <c r="F561" s="19">
        <v>0.0</v>
      </c>
      <c r="G561" s="19" t="b">
        <v>0</v>
      </c>
    </row>
    <row r="562">
      <c r="A562" s="49"/>
      <c r="B562" s="49"/>
      <c r="C562" s="49"/>
      <c r="D562" s="49"/>
      <c r="E562" s="49"/>
      <c r="F562" s="19">
        <v>0.0</v>
      </c>
      <c r="G562" s="19" t="b">
        <v>0</v>
      </c>
    </row>
    <row r="563">
      <c r="A563" s="49"/>
      <c r="B563" s="49"/>
      <c r="C563" s="49"/>
      <c r="D563" s="49"/>
      <c r="E563" s="49"/>
      <c r="F563" s="19">
        <v>0.0</v>
      </c>
      <c r="G563" s="19" t="b">
        <v>0</v>
      </c>
    </row>
    <row r="564">
      <c r="A564" s="49"/>
      <c r="B564" s="49"/>
      <c r="C564" s="49"/>
      <c r="D564" s="49"/>
      <c r="E564" s="49"/>
      <c r="F564" s="19">
        <v>0.0</v>
      </c>
      <c r="G564" s="19" t="b">
        <v>0</v>
      </c>
    </row>
    <row r="565">
      <c r="A565" s="49"/>
      <c r="B565" s="49"/>
      <c r="C565" s="49"/>
      <c r="D565" s="49"/>
      <c r="E565" s="49"/>
      <c r="F565" s="19">
        <v>0.0</v>
      </c>
      <c r="G565" s="19" t="b">
        <v>0</v>
      </c>
    </row>
    <row r="566">
      <c r="A566" s="49"/>
      <c r="B566" s="49"/>
      <c r="C566" s="49"/>
      <c r="D566" s="49"/>
      <c r="E566" s="49"/>
      <c r="F566" s="19">
        <v>0.0</v>
      </c>
      <c r="G566" s="19" t="b">
        <v>0</v>
      </c>
    </row>
    <row r="567">
      <c r="A567" s="49"/>
      <c r="B567" s="49"/>
      <c r="C567" s="49"/>
      <c r="D567" s="49"/>
      <c r="E567" s="49"/>
      <c r="F567" s="19">
        <v>0.0</v>
      </c>
      <c r="G567" s="19" t="b">
        <v>0</v>
      </c>
    </row>
    <row r="568">
      <c r="A568" s="49"/>
      <c r="B568" s="49"/>
      <c r="C568" s="49"/>
      <c r="D568" s="49"/>
      <c r="E568" s="49"/>
      <c r="F568" s="19">
        <v>0.0</v>
      </c>
      <c r="G568" s="19" t="b">
        <v>0</v>
      </c>
    </row>
    <row r="569">
      <c r="A569" s="49"/>
      <c r="B569" s="49"/>
      <c r="C569" s="49"/>
      <c r="D569" s="49"/>
      <c r="E569" s="49"/>
      <c r="F569" s="19">
        <v>0.0</v>
      </c>
      <c r="G569" s="19" t="b">
        <v>0</v>
      </c>
    </row>
    <row r="570">
      <c r="A570" s="49"/>
      <c r="B570" s="49"/>
      <c r="C570" s="49"/>
      <c r="D570" s="49"/>
      <c r="E570" s="49"/>
      <c r="F570" s="19">
        <v>0.0</v>
      </c>
      <c r="G570" s="19" t="b">
        <v>0</v>
      </c>
    </row>
    <row r="571">
      <c r="A571" s="49"/>
      <c r="B571" s="49"/>
      <c r="C571" s="49"/>
      <c r="D571" s="49"/>
      <c r="E571" s="49"/>
      <c r="F571" s="19">
        <v>0.0</v>
      </c>
      <c r="G571" s="19" t="b">
        <v>0</v>
      </c>
    </row>
    <row r="572">
      <c r="A572" s="49"/>
      <c r="B572" s="49"/>
      <c r="C572" s="49"/>
      <c r="D572" s="49"/>
      <c r="E572" s="49"/>
      <c r="F572" s="19">
        <v>0.0</v>
      </c>
      <c r="G572" s="19" t="b">
        <v>0</v>
      </c>
    </row>
    <row r="573">
      <c r="A573" s="49"/>
      <c r="B573" s="49"/>
      <c r="C573" s="49"/>
      <c r="D573" s="49"/>
      <c r="E573" s="49"/>
      <c r="F573" s="19">
        <v>0.0</v>
      </c>
      <c r="G573" s="19" t="b">
        <v>0</v>
      </c>
    </row>
    <row r="574">
      <c r="A574" s="49"/>
      <c r="B574" s="49"/>
      <c r="C574" s="49"/>
      <c r="D574" s="49"/>
      <c r="E574" s="49"/>
      <c r="F574" s="19">
        <v>0.0</v>
      </c>
      <c r="G574" s="19" t="b">
        <v>0</v>
      </c>
    </row>
    <row r="575">
      <c r="A575" s="49"/>
      <c r="B575" s="49"/>
      <c r="C575" s="49"/>
      <c r="D575" s="49"/>
      <c r="E575" s="49"/>
      <c r="F575" s="19">
        <v>0.0</v>
      </c>
      <c r="G575" s="19" t="b">
        <v>0</v>
      </c>
    </row>
    <row r="576">
      <c r="A576" s="49"/>
      <c r="B576" s="49"/>
      <c r="C576" s="49"/>
      <c r="D576" s="49"/>
      <c r="E576" s="49"/>
      <c r="F576" s="19">
        <v>0.0</v>
      </c>
      <c r="G576" s="19" t="b">
        <v>0</v>
      </c>
    </row>
    <row r="577">
      <c r="A577" s="49"/>
      <c r="B577" s="49"/>
      <c r="C577" s="49"/>
      <c r="D577" s="49"/>
      <c r="E577" s="49"/>
      <c r="F577" s="19">
        <v>0.0</v>
      </c>
      <c r="G577" s="19" t="b">
        <v>0</v>
      </c>
    </row>
    <row r="578">
      <c r="A578" s="49"/>
      <c r="B578" s="49"/>
      <c r="C578" s="49"/>
      <c r="D578" s="49"/>
      <c r="E578" s="49"/>
      <c r="F578" s="19">
        <v>0.0</v>
      </c>
      <c r="G578" s="19" t="b">
        <v>0</v>
      </c>
    </row>
    <row r="579">
      <c r="A579" s="49"/>
      <c r="B579" s="49"/>
      <c r="C579" s="49"/>
      <c r="D579" s="49"/>
      <c r="E579" s="49"/>
      <c r="F579" s="19">
        <v>0.0</v>
      </c>
      <c r="G579" s="19" t="b">
        <v>0</v>
      </c>
    </row>
    <row r="580">
      <c r="A580" s="49"/>
      <c r="B580" s="49"/>
      <c r="C580" s="49"/>
      <c r="D580" s="49"/>
      <c r="E580" s="49"/>
      <c r="F580" s="19">
        <v>0.0</v>
      </c>
      <c r="G580" s="19" t="b">
        <v>0</v>
      </c>
    </row>
    <row r="581">
      <c r="A581" s="49"/>
      <c r="B581" s="49"/>
      <c r="C581" s="49"/>
      <c r="D581" s="49"/>
      <c r="E581" s="49"/>
      <c r="F581" s="19">
        <v>0.0</v>
      </c>
      <c r="G581" s="19" t="b">
        <v>0</v>
      </c>
    </row>
    <row r="582">
      <c r="A582" s="49"/>
      <c r="B582" s="49"/>
      <c r="C582" s="49"/>
      <c r="D582" s="49"/>
      <c r="E582" s="49"/>
      <c r="F582" s="19">
        <v>0.0</v>
      </c>
      <c r="G582" s="19" t="b">
        <v>0</v>
      </c>
    </row>
    <row r="583">
      <c r="A583" s="49"/>
      <c r="B583" s="49"/>
      <c r="C583" s="49"/>
      <c r="D583" s="49"/>
      <c r="E583" s="49"/>
      <c r="F583" s="19">
        <v>0.0</v>
      </c>
      <c r="G583" s="19" t="b">
        <v>0</v>
      </c>
    </row>
    <row r="584">
      <c r="A584" s="49"/>
      <c r="B584" s="49"/>
      <c r="C584" s="49"/>
      <c r="D584" s="49"/>
      <c r="E584" s="49"/>
      <c r="F584" s="19">
        <v>0.0</v>
      </c>
      <c r="G584" s="19" t="b">
        <v>0</v>
      </c>
    </row>
    <row r="585">
      <c r="A585" s="49"/>
      <c r="B585" s="49"/>
      <c r="C585" s="49"/>
      <c r="D585" s="49"/>
      <c r="E585" s="49"/>
      <c r="F585" s="19">
        <v>0.0</v>
      </c>
      <c r="G585" s="19" t="b">
        <v>0</v>
      </c>
    </row>
    <row r="586">
      <c r="A586" s="49"/>
      <c r="B586" s="49"/>
      <c r="C586" s="49"/>
      <c r="D586" s="49"/>
      <c r="E586" s="49"/>
      <c r="F586" s="19">
        <v>0.0</v>
      </c>
      <c r="G586" s="19" t="b">
        <v>0</v>
      </c>
    </row>
    <row r="587">
      <c r="A587" s="49"/>
      <c r="B587" s="49"/>
      <c r="C587" s="49"/>
      <c r="D587" s="49"/>
      <c r="E587" s="49"/>
      <c r="F587" s="19">
        <v>0.0</v>
      </c>
      <c r="G587" s="19" t="b">
        <v>0</v>
      </c>
    </row>
    <row r="588">
      <c r="A588" s="49"/>
      <c r="B588" s="49"/>
      <c r="C588" s="49"/>
      <c r="D588" s="49"/>
      <c r="E588" s="49"/>
      <c r="F588" s="19">
        <v>0.0</v>
      </c>
      <c r="G588" s="19" t="b">
        <v>0</v>
      </c>
    </row>
    <row r="589">
      <c r="A589" s="49"/>
      <c r="B589" s="49"/>
      <c r="C589" s="49"/>
      <c r="D589" s="49"/>
      <c r="E589" s="49"/>
      <c r="F589" s="19">
        <v>0.0</v>
      </c>
      <c r="G589" s="19" t="b">
        <v>0</v>
      </c>
    </row>
    <row r="590">
      <c r="A590" s="49"/>
      <c r="B590" s="49"/>
      <c r="C590" s="49"/>
      <c r="D590" s="49"/>
      <c r="E590" s="49"/>
      <c r="F590" s="19">
        <v>0.0</v>
      </c>
      <c r="G590" s="19" t="b">
        <v>0</v>
      </c>
    </row>
    <row r="591">
      <c r="A591" s="49"/>
      <c r="B591" s="49"/>
      <c r="C591" s="49"/>
      <c r="D591" s="49"/>
      <c r="E591" s="49"/>
      <c r="F591" s="19">
        <v>0.0</v>
      </c>
      <c r="G591" s="19" t="b">
        <v>0</v>
      </c>
    </row>
    <row r="592">
      <c r="A592" s="49"/>
      <c r="B592" s="49"/>
      <c r="C592" s="49"/>
      <c r="D592" s="49"/>
      <c r="E592" s="49"/>
      <c r="F592" s="19">
        <v>0.0</v>
      </c>
      <c r="G592" s="19" t="b">
        <v>0</v>
      </c>
    </row>
    <row r="593">
      <c r="A593" s="49"/>
      <c r="B593" s="49"/>
      <c r="C593" s="49"/>
      <c r="D593" s="49"/>
      <c r="E593" s="49"/>
      <c r="F593" s="19">
        <v>0.0</v>
      </c>
      <c r="G593" s="19" t="b">
        <v>0</v>
      </c>
    </row>
    <row r="594">
      <c r="A594" s="49"/>
      <c r="B594" s="49"/>
      <c r="C594" s="49"/>
      <c r="D594" s="49"/>
      <c r="E594" s="49"/>
      <c r="F594" s="19">
        <v>0.0</v>
      </c>
      <c r="G594" s="19" t="b">
        <v>0</v>
      </c>
    </row>
    <row r="595">
      <c r="A595" s="49"/>
      <c r="B595" s="49"/>
      <c r="C595" s="49"/>
      <c r="D595" s="49"/>
      <c r="E595" s="49"/>
      <c r="F595" s="19">
        <v>0.0</v>
      </c>
      <c r="G595" s="19" t="b">
        <v>0</v>
      </c>
    </row>
    <row r="596">
      <c r="A596" s="49"/>
      <c r="B596" s="49"/>
      <c r="C596" s="49"/>
      <c r="D596" s="49"/>
      <c r="E596" s="49"/>
      <c r="F596" s="19">
        <v>0.0</v>
      </c>
      <c r="G596" s="19" t="b">
        <v>0</v>
      </c>
    </row>
    <row r="597">
      <c r="A597" s="49"/>
      <c r="B597" s="49"/>
      <c r="C597" s="49"/>
      <c r="D597" s="49"/>
      <c r="E597" s="49"/>
      <c r="F597" s="19">
        <v>0.0</v>
      </c>
      <c r="G597" s="19" t="b">
        <v>0</v>
      </c>
    </row>
    <row r="598">
      <c r="A598" s="49"/>
      <c r="B598" s="49"/>
      <c r="C598" s="49"/>
      <c r="D598" s="49"/>
      <c r="E598" s="49"/>
      <c r="F598" s="19">
        <v>0.0</v>
      </c>
      <c r="G598" s="19" t="b">
        <v>0</v>
      </c>
    </row>
    <row r="599">
      <c r="A599" s="49"/>
      <c r="B599" s="49"/>
      <c r="C599" s="49"/>
      <c r="D599" s="49"/>
      <c r="E599" s="49"/>
      <c r="F599" s="19">
        <v>0.0</v>
      </c>
      <c r="G599" s="19" t="b">
        <v>0</v>
      </c>
    </row>
    <row r="600">
      <c r="A600" s="49"/>
      <c r="B600" s="49"/>
      <c r="C600" s="49"/>
      <c r="D600" s="49"/>
      <c r="E600" s="49"/>
      <c r="F600" s="19">
        <v>0.0</v>
      </c>
      <c r="G600" s="19" t="b">
        <v>0</v>
      </c>
    </row>
    <row r="601">
      <c r="A601" s="49"/>
      <c r="B601" s="49"/>
      <c r="C601" s="49"/>
      <c r="D601" s="49"/>
      <c r="E601" s="49"/>
      <c r="F601" s="19">
        <v>0.0</v>
      </c>
      <c r="G601" s="19" t="b">
        <v>0</v>
      </c>
    </row>
    <row r="602">
      <c r="A602" s="49"/>
      <c r="B602" s="49"/>
      <c r="C602" s="49"/>
      <c r="D602" s="49"/>
      <c r="E602" s="49"/>
      <c r="F602" s="19">
        <v>0.0</v>
      </c>
      <c r="G602" s="19" t="b">
        <v>0</v>
      </c>
    </row>
    <row r="603">
      <c r="A603" s="49"/>
      <c r="B603" s="49"/>
      <c r="C603" s="49"/>
      <c r="D603" s="49"/>
      <c r="E603" s="49"/>
      <c r="F603" s="19">
        <v>0.0</v>
      </c>
      <c r="G603" s="19" t="b">
        <v>0</v>
      </c>
    </row>
    <row r="604">
      <c r="A604" s="49"/>
      <c r="B604" s="49"/>
      <c r="C604" s="49"/>
      <c r="D604" s="49"/>
      <c r="E604" s="49"/>
      <c r="F604" s="19">
        <v>0.0</v>
      </c>
      <c r="G604" s="19" t="b">
        <v>0</v>
      </c>
    </row>
    <row r="605">
      <c r="A605" s="49"/>
      <c r="B605" s="49"/>
      <c r="C605" s="49"/>
      <c r="D605" s="49"/>
      <c r="E605" s="49"/>
      <c r="F605" s="19">
        <v>0.0</v>
      </c>
      <c r="G605" s="19" t="b">
        <v>0</v>
      </c>
    </row>
    <row r="606">
      <c r="A606" s="49"/>
      <c r="B606" s="49"/>
      <c r="C606" s="49"/>
      <c r="D606" s="49"/>
      <c r="E606" s="49"/>
      <c r="F606" s="19">
        <v>0.0</v>
      </c>
      <c r="G606" s="19" t="b">
        <v>0</v>
      </c>
    </row>
    <row r="607">
      <c r="A607" s="49"/>
      <c r="B607" s="49"/>
      <c r="C607" s="49"/>
      <c r="D607" s="49"/>
      <c r="E607" s="49"/>
      <c r="F607" s="19">
        <v>0.0</v>
      </c>
      <c r="G607" s="19" t="b">
        <v>0</v>
      </c>
    </row>
    <row r="608">
      <c r="A608" s="49"/>
      <c r="B608" s="49"/>
      <c r="C608" s="49"/>
      <c r="D608" s="49"/>
      <c r="E608" s="49"/>
      <c r="F608" s="19">
        <v>0.0</v>
      </c>
      <c r="G608" s="19" t="b">
        <v>0</v>
      </c>
    </row>
    <row r="609">
      <c r="A609" s="49"/>
      <c r="B609" s="49"/>
      <c r="C609" s="49"/>
      <c r="D609" s="49"/>
      <c r="E609" s="49"/>
      <c r="F609" s="19">
        <v>0.0</v>
      </c>
      <c r="G609" s="19" t="b">
        <v>0</v>
      </c>
    </row>
    <row r="610">
      <c r="A610" s="49"/>
      <c r="B610" s="49"/>
      <c r="C610" s="49"/>
      <c r="D610" s="49"/>
      <c r="E610" s="49"/>
      <c r="F610" s="19">
        <v>0.0</v>
      </c>
      <c r="G610" s="19" t="b">
        <v>0</v>
      </c>
    </row>
    <row r="611">
      <c r="A611" s="49"/>
      <c r="B611" s="49"/>
      <c r="C611" s="49"/>
      <c r="D611" s="49"/>
      <c r="E611" s="49"/>
      <c r="F611" s="19">
        <v>0.0</v>
      </c>
      <c r="G611" s="19" t="b">
        <v>0</v>
      </c>
    </row>
    <row r="612">
      <c r="A612" s="49"/>
      <c r="B612" s="49"/>
      <c r="C612" s="49"/>
      <c r="D612" s="49"/>
      <c r="E612" s="49"/>
      <c r="F612" s="19">
        <v>0.0</v>
      </c>
      <c r="G612" s="19" t="b">
        <v>0</v>
      </c>
    </row>
    <row r="613">
      <c r="A613" s="49"/>
      <c r="B613" s="49"/>
      <c r="C613" s="49"/>
      <c r="D613" s="49"/>
      <c r="E613" s="49"/>
      <c r="F613" s="19">
        <v>0.0</v>
      </c>
      <c r="G613" s="19" t="b">
        <v>0</v>
      </c>
    </row>
    <row r="614">
      <c r="A614" s="49"/>
      <c r="B614" s="49"/>
      <c r="C614" s="49"/>
      <c r="D614" s="49"/>
      <c r="E614" s="49"/>
      <c r="F614" s="19">
        <v>0.0</v>
      </c>
      <c r="G614" s="19" t="b">
        <v>0</v>
      </c>
    </row>
    <row r="615">
      <c r="A615" s="49"/>
      <c r="B615" s="49"/>
      <c r="C615" s="49"/>
      <c r="D615" s="49"/>
      <c r="E615" s="49"/>
      <c r="F615" s="19">
        <v>0.0</v>
      </c>
      <c r="G615" s="19" t="b">
        <v>0</v>
      </c>
    </row>
    <row r="616">
      <c r="A616" s="49"/>
      <c r="B616" s="49"/>
      <c r="C616" s="49"/>
      <c r="D616" s="49"/>
      <c r="E616" s="49"/>
      <c r="F616" s="19">
        <v>0.0</v>
      </c>
      <c r="G616" s="19" t="b">
        <v>0</v>
      </c>
    </row>
    <row r="617">
      <c r="A617" s="49"/>
      <c r="B617" s="49"/>
      <c r="C617" s="49"/>
      <c r="D617" s="49"/>
      <c r="E617" s="49"/>
      <c r="F617" s="19">
        <v>0.0</v>
      </c>
      <c r="G617" s="19" t="b">
        <v>0</v>
      </c>
    </row>
    <row r="618">
      <c r="A618" s="49"/>
      <c r="B618" s="49"/>
      <c r="C618" s="49"/>
      <c r="D618" s="49"/>
      <c r="E618" s="49"/>
      <c r="F618" s="19">
        <v>0.0</v>
      </c>
      <c r="G618" s="19" t="b">
        <v>0</v>
      </c>
    </row>
    <row r="619">
      <c r="A619" s="49"/>
      <c r="B619" s="49"/>
      <c r="C619" s="49"/>
      <c r="D619" s="49"/>
      <c r="E619" s="49"/>
      <c r="F619" s="19">
        <v>0.0</v>
      </c>
      <c r="G619" s="19" t="b">
        <v>0</v>
      </c>
    </row>
    <row r="620">
      <c r="A620" s="49"/>
      <c r="B620" s="49"/>
      <c r="C620" s="49"/>
      <c r="D620" s="49"/>
      <c r="E620" s="49"/>
      <c r="F620" s="19">
        <v>0.0</v>
      </c>
      <c r="G620" s="19" t="b">
        <v>0</v>
      </c>
    </row>
    <row r="621">
      <c r="A621" s="49"/>
      <c r="B621" s="49"/>
      <c r="C621" s="49"/>
      <c r="D621" s="49"/>
      <c r="E621" s="49"/>
      <c r="F621" s="19">
        <v>0.0</v>
      </c>
      <c r="G621" s="19" t="b">
        <v>0</v>
      </c>
    </row>
    <row r="622">
      <c r="A622" s="49"/>
      <c r="B622" s="49"/>
      <c r="C622" s="49"/>
      <c r="D622" s="49"/>
      <c r="E622" s="49"/>
      <c r="F622" s="19">
        <v>0.0</v>
      </c>
      <c r="G622" s="19" t="b">
        <v>0</v>
      </c>
    </row>
    <row r="623">
      <c r="A623" s="49"/>
      <c r="B623" s="49"/>
      <c r="C623" s="49"/>
      <c r="D623" s="49"/>
      <c r="E623" s="49"/>
      <c r="F623" s="19">
        <v>0.0</v>
      </c>
      <c r="G623" s="19" t="b">
        <v>0</v>
      </c>
    </row>
    <row r="624">
      <c r="A624" s="49"/>
      <c r="B624" s="49"/>
      <c r="C624" s="49"/>
      <c r="D624" s="49"/>
      <c r="E624" s="49"/>
      <c r="F624" s="19">
        <v>0.0</v>
      </c>
      <c r="G624" s="19" t="b">
        <v>0</v>
      </c>
    </row>
    <row r="625">
      <c r="A625" s="49"/>
      <c r="B625" s="49"/>
      <c r="C625" s="49"/>
      <c r="D625" s="49"/>
      <c r="E625" s="49"/>
      <c r="F625" s="19">
        <v>0.0</v>
      </c>
      <c r="G625" s="19" t="b">
        <v>0</v>
      </c>
    </row>
    <row r="626">
      <c r="A626" s="49"/>
      <c r="B626" s="49"/>
      <c r="C626" s="49"/>
      <c r="D626" s="49"/>
      <c r="E626" s="49"/>
      <c r="F626" s="19">
        <v>0.0</v>
      </c>
      <c r="G626" s="19" t="b">
        <v>0</v>
      </c>
    </row>
    <row r="627">
      <c r="A627" s="49"/>
      <c r="B627" s="49"/>
      <c r="C627" s="49"/>
      <c r="D627" s="49"/>
      <c r="E627" s="49"/>
      <c r="F627" s="19">
        <v>0.0</v>
      </c>
      <c r="G627" s="19" t="b">
        <v>0</v>
      </c>
    </row>
    <row r="628">
      <c r="A628" s="49"/>
      <c r="B628" s="49"/>
      <c r="C628" s="49"/>
      <c r="D628" s="49"/>
      <c r="E628" s="49"/>
      <c r="F628" s="19">
        <v>0.0</v>
      </c>
      <c r="G628" s="19" t="b">
        <v>0</v>
      </c>
    </row>
    <row r="629">
      <c r="A629" s="49"/>
      <c r="B629" s="49"/>
      <c r="C629" s="49"/>
      <c r="D629" s="49"/>
      <c r="E629" s="49"/>
      <c r="F629" s="19">
        <v>0.0</v>
      </c>
      <c r="G629" s="19" t="b">
        <v>0</v>
      </c>
    </row>
    <row r="630">
      <c r="A630" s="49"/>
      <c r="B630" s="49"/>
      <c r="C630" s="49"/>
      <c r="D630" s="49"/>
      <c r="E630" s="49"/>
      <c r="F630" s="19">
        <v>0.0</v>
      </c>
      <c r="G630" s="19" t="b">
        <v>0</v>
      </c>
    </row>
    <row r="631">
      <c r="A631" s="49"/>
      <c r="B631" s="49"/>
      <c r="C631" s="49"/>
      <c r="D631" s="49"/>
      <c r="E631" s="49"/>
      <c r="F631" s="19">
        <v>0.0</v>
      </c>
      <c r="G631" s="19" t="b">
        <v>0</v>
      </c>
    </row>
    <row r="632">
      <c r="A632" s="49"/>
      <c r="B632" s="49"/>
      <c r="C632" s="49"/>
      <c r="D632" s="49"/>
      <c r="E632" s="49"/>
      <c r="F632" s="19">
        <v>0.0</v>
      </c>
      <c r="G632" s="19" t="b">
        <v>0</v>
      </c>
    </row>
    <row r="633">
      <c r="A633" s="49"/>
      <c r="B633" s="49"/>
      <c r="C633" s="49"/>
      <c r="D633" s="49"/>
      <c r="E633" s="49"/>
      <c r="F633" s="19">
        <v>0.0</v>
      </c>
      <c r="G633" s="19" t="b">
        <v>0</v>
      </c>
    </row>
    <row r="634">
      <c r="A634" s="49"/>
      <c r="B634" s="49"/>
      <c r="C634" s="49"/>
      <c r="D634" s="49"/>
      <c r="E634" s="49"/>
      <c r="F634" s="19">
        <v>0.0</v>
      </c>
      <c r="G634" s="19" t="b">
        <v>0</v>
      </c>
    </row>
    <row r="635">
      <c r="A635" s="49"/>
      <c r="B635" s="49"/>
      <c r="C635" s="49"/>
      <c r="D635" s="49"/>
      <c r="E635" s="49"/>
      <c r="F635" s="19">
        <v>0.0</v>
      </c>
      <c r="G635" s="19" t="b">
        <v>0</v>
      </c>
    </row>
    <row r="636">
      <c r="A636" s="49"/>
      <c r="B636" s="49"/>
      <c r="C636" s="49"/>
      <c r="D636" s="49"/>
      <c r="E636" s="49"/>
      <c r="F636" s="19">
        <v>0.0</v>
      </c>
      <c r="G636" s="19" t="b">
        <v>0</v>
      </c>
    </row>
    <row r="637">
      <c r="A637" s="49"/>
      <c r="B637" s="49"/>
      <c r="C637" s="49"/>
      <c r="D637" s="49"/>
      <c r="E637" s="49"/>
      <c r="F637" s="19">
        <v>0.0</v>
      </c>
      <c r="G637" s="19" t="b">
        <v>0</v>
      </c>
    </row>
    <row r="638">
      <c r="A638" s="49"/>
      <c r="B638" s="49"/>
      <c r="C638" s="49"/>
      <c r="D638" s="49"/>
      <c r="E638" s="49"/>
      <c r="F638" s="19">
        <v>0.0</v>
      </c>
      <c r="G638" s="19" t="b">
        <v>0</v>
      </c>
    </row>
    <row r="639">
      <c r="A639" s="49"/>
      <c r="B639" s="49"/>
      <c r="C639" s="49"/>
      <c r="D639" s="49"/>
      <c r="E639" s="49"/>
      <c r="F639" s="19">
        <v>0.0</v>
      </c>
      <c r="G639" s="19" t="b">
        <v>0</v>
      </c>
    </row>
    <row r="640">
      <c r="A640" s="49"/>
      <c r="B640" s="49"/>
      <c r="C640" s="49"/>
      <c r="D640" s="49"/>
      <c r="E640" s="49"/>
      <c r="F640" s="19">
        <v>0.0</v>
      </c>
      <c r="G640" s="19" t="b">
        <v>0</v>
      </c>
    </row>
    <row r="641">
      <c r="A641" s="49"/>
      <c r="B641" s="49"/>
      <c r="C641" s="49"/>
      <c r="D641" s="49"/>
      <c r="E641" s="49"/>
      <c r="F641" s="19">
        <v>0.0</v>
      </c>
      <c r="G641" s="19" t="b">
        <v>0</v>
      </c>
    </row>
    <row r="642">
      <c r="A642" s="49"/>
      <c r="B642" s="49"/>
      <c r="C642" s="49"/>
      <c r="D642" s="49"/>
      <c r="E642" s="49"/>
      <c r="F642" s="19">
        <v>0.0</v>
      </c>
      <c r="G642" s="19" t="b">
        <v>0</v>
      </c>
    </row>
    <row r="643">
      <c r="A643" s="49"/>
      <c r="B643" s="49"/>
      <c r="C643" s="49"/>
      <c r="D643" s="49"/>
      <c r="E643" s="49"/>
      <c r="F643" s="19">
        <v>0.0</v>
      </c>
      <c r="G643" s="19" t="b">
        <v>0</v>
      </c>
    </row>
    <row r="644">
      <c r="A644" s="49"/>
      <c r="B644" s="49"/>
      <c r="C644" s="49"/>
      <c r="D644" s="49"/>
      <c r="E644" s="49"/>
      <c r="F644" s="19">
        <v>0.0</v>
      </c>
      <c r="G644" s="19" t="b">
        <v>0</v>
      </c>
    </row>
    <row r="645">
      <c r="A645" s="49"/>
      <c r="B645" s="49"/>
      <c r="C645" s="49"/>
      <c r="D645" s="49"/>
      <c r="E645" s="49"/>
      <c r="F645" s="19">
        <v>0.0</v>
      </c>
      <c r="G645" s="19" t="b">
        <v>0</v>
      </c>
    </row>
    <row r="646">
      <c r="A646" s="49"/>
      <c r="B646" s="49"/>
      <c r="C646" s="49"/>
      <c r="D646" s="49"/>
      <c r="E646" s="49"/>
      <c r="F646" s="19">
        <v>0.0</v>
      </c>
      <c r="G646" s="19" t="b">
        <v>0</v>
      </c>
    </row>
    <row r="647">
      <c r="A647" s="49"/>
      <c r="B647" s="49"/>
      <c r="C647" s="49"/>
      <c r="D647" s="49"/>
      <c r="E647" s="49"/>
      <c r="F647" s="19">
        <v>0.0</v>
      </c>
      <c r="G647" s="19" t="b">
        <v>0</v>
      </c>
    </row>
    <row r="648">
      <c r="A648" s="49"/>
      <c r="B648" s="49"/>
      <c r="C648" s="49"/>
      <c r="D648" s="49"/>
      <c r="E648" s="49"/>
      <c r="F648" s="19">
        <v>0.0</v>
      </c>
      <c r="G648" s="19" t="b">
        <v>0</v>
      </c>
    </row>
    <row r="649">
      <c r="A649" s="49"/>
      <c r="B649" s="49"/>
      <c r="C649" s="49"/>
      <c r="D649" s="49"/>
      <c r="E649" s="49"/>
      <c r="F649" s="19">
        <v>0.0</v>
      </c>
      <c r="G649" s="19" t="b">
        <v>0</v>
      </c>
    </row>
    <row r="650">
      <c r="A650" s="49"/>
      <c r="B650" s="49"/>
      <c r="C650" s="49"/>
      <c r="D650" s="49"/>
      <c r="E650" s="49"/>
      <c r="F650" s="19">
        <v>0.0</v>
      </c>
      <c r="G650" s="19" t="b">
        <v>0</v>
      </c>
    </row>
    <row r="651">
      <c r="A651" s="49"/>
      <c r="B651" s="49"/>
      <c r="C651" s="49"/>
      <c r="D651" s="49"/>
      <c r="E651" s="49"/>
      <c r="F651" s="19">
        <v>0.0</v>
      </c>
      <c r="G651" s="19" t="b">
        <v>0</v>
      </c>
    </row>
    <row r="652">
      <c r="A652" s="49"/>
      <c r="B652" s="49"/>
      <c r="C652" s="49"/>
      <c r="D652" s="49"/>
      <c r="E652" s="49"/>
      <c r="F652" s="19">
        <v>0.0</v>
      </c>
      <c r="G652" s="19" t="b">
        <v>0</v>
      </c>
    </row>
    <row r="653">
      <c r="A653" s="49"/>
      <c r="B653" s="49"/>
      <c r="C653" s="49"/>
      <c r="D653" s="49"/>
      <c r="E653" s="49"/>
      <c r="F653" s="19">
        <v>0.0</v>
      </c>
      <c r="G653" s="19" t="b">
        <v>0</v>
      </c>
    </row>
    <row r="654">
      <c r="A654" s="49"/>
      <c r="B654" s="49"/>
      <c r="C654" s="49"/>
      <c r="D654" s="49"/>
      <c r="E654" s="49"/>
      <c r="F654" s="19">
        <v>0.0</v>
      </c>
      <c r="G654" s="19" t="b">
        <v>0</v>
      </c>
    </row>
    <row r="655">
      <c r="A655" s="49"/>
      <c r="B655" s="49"/>
      <c r="C655" s="49"/>
      <c r="D655" s="49"/>
      <c r="E655" s="49"/>
      <c r="F655" s="19">
        <v>0.0</v>
      </c>
      <c r="G655" s="19" t="b">
        <v>0</v>
      </c>
    </row>
    <row r="656">
      <c r="A656" s="49"/>
      <c r="B656" s="49"/>
      <c r="C656" s="49"/>
      <c r="D656" s="49"/>
      <c r="E656" s="49"/>
      <c r="F656" s="19">
        <v>0.0</v>
      </c>
      <c r="G656" s="19" t="b">
        <v>0</v>
      </c>
    </row>
    <row r="657">
      <c r="A657" s="49"/>
      <c r="B657" s="49"/>
      <c r="C657" s="49"/>
      <c r="D657" s="49"/>
      <c r="E657" s="49"/>
      <c r="F657" s="19">
        <v>0.0</v>
      </c>
      <c r="G657" s="19" t="b">
        <v>0</v>
      </c>
    </row>
    <row r="658">
      <c r="A658" s="49"/>
      <c r="B658" s="49"/>
      <c r="C658" s="49"/>
      <c r="D658" s="49"/>
      <c r="E658" s="49"/>
      <c r="F658" s="19">
        <v>0.0</v>
      </c>
      <c r="G658" s="19" t="b">
        <v>0</v>
      </c>
    </row>
    <row r="659">
      <c r="A659" s="49"/>
      <c r="B659" s="49"/>
      <c r="C659" s="49"/>
      <c r="D659" s="49"/>
      <c r="E659" s="49"/>
      <c r="F659" s="19">
        <v>0.0</v>
      </c>
      <c r="G659" s="19" t="b">
        <v>0</v>
      </c>
    </row>
    <row r="660">
      <c r="A660" s="49"/>
      <c r="B660" s="49"/>
      <c r="C660" s="49"/>
      <c r="D660" s="49"/>
      <c r="E660" s="49"/>
      <c r="F660" s="19">
        <v>0.0</v>
      </c>
      <c r="G660" s="19" t="b">
        <v>0</v>
      </c>
    </row>
    <row r="661">
      <c r="A661" s="49"/>
      <c r="B661" s="49"/>
      <c r="C661" s="49"/>
      <c r="D661" s="49"/>
      <c r="E661" s="49"/>
      <c r="F661" s="19">
        <v>0.0</v>
      </c>
      <c r="G661" s="19" t="b">
        <v>0</v>
      </c>
    </row>
    <row r="662">
      <c r="A662" s="49"/>
      <c r="B662" s="49"/>
      <c r="C662" s="49"/>
      <c r="D662" s="49"/>
      <c r="E662" s="49"/>
      <c r="F662" s="19">
        <v>0.0</v>
      </c>
      <c r="G662" s="19" t="b">
        <v>0</v>
      </c>
    </row>
    <row r="663">
      <c r="A663" s="49"/>
      <c r="B663" s="49"/>
      <c r="C663" s="49"/>
      <c r="D663" s="49"/>
      <c r="E663" s="49"/>
      <c r="F663" s="19">
        <v>0.0</v>
      </c>
      <c r="G663" s="19" t="b">
        <v>0</v>
      </c>
    </row>
    <row r="664">
      <c r="A664" s="49"/>
      <c r="B664" s="49"/>
      <c r="C664" s="49"/>
      <c r="D664" s="49"/>
      <c r="E664" s="49"/>
      <c r="F664" s="19">
        <v>0.0</v>
      </c>
      <c r="G664" s="19" t="b">
        <v>0</v>
      </c>
    </row>
    <row r="665">
      <c r="A665" s="49"/>
      <c r="B665" s="49"/>
      <c r="C665" s="49"/>
      <c r="D665" s="49"/>
      <c r="E665" s="49"/>
      <c r="F665" s="19">
        <v>0.0</v>
      </c>
      <c r="G665" s="19" t="b">
        <v>0</v>
      </c>
    </row>
    <row r="666">
      <c r="A666" s="49"/>
      <c r="B666" s="49"/>
      <c r="C666" s="49"/>
      <c r="D666" s="49"/>
      <c r="E666" s="49"/>
      <c r="F666" s="19">
        <v>0.0</v>
      </c>
      <c r="G666" s="19" t="b">
        <v>0</v>
      </c>
    </row>
    <row r="667">
      <c r="A667" s="49"/>
      <c r="B667" s="49"/>
      <c r="C667" s="49"/>
      <c r="D667" s="49"/>
      <c r="E667" s="49"/>
      <c r="F667" s="19">
        <v>0.0</v>
      </c>
      <c r="G667" s="19" t="b">
        <v>0</v>
      </c>
    </row>
    <row r="668">
      <c r="A668" s="49"/>
      <c r="B668" s="49"/>
      <c r="C668" s="49"/>
      <c r="D668" s="49"/>
      <c r="E668" s="49"/>
      <c r="F668" s="19">
        <v>0.0</v>
      </c>
      <c r="G668" s="19" t="b">
        <v>0</v>
      </c>
    </row>
    <row r="669">
      <c r="A669" s="49"/>
      <c r="B669" s="49"/>
      <c r="C669" s="49"/>
      <c r="D669" s="49"/>
      <c r="E669" s="49"/>
      <c r="F669" s="19">
        <v>0.0</v>
      </c>
      <c r="G669" s="19" t="b">
        <v>0</v>
      </c>
    </row>
    <row r="670">
      <c r="A670" s="49"/>
      <c r="B670" s="49"/>
      <c r="C670" s="49"/>
      <c r="D670" s="49"/>
      <c r="E670" s="49"/>
      <c r="F670" s="19">
        <v>0.0</v>
      </c>
      <c r="G670" s="19" t="b">
        <v>0</v>
      </c>
    </row>
    <row r="671">
      <c r="A671" s="49"/>
      <c r="B671" s="49"/>
      <c r="C671" s="49"/>
      <c r="D671" s="49"/>
      <c r="E671" s="49"/>
      <c r="F671" s="19">
        <v>0.0</v>
      </c>
      <c r="G671" s="19" t="b">
        <v>0</v>
      </c>
    </row>
    <row r="672">
      <c r="A672" s="49"/>
      <c r="B672" s="49"/>
      <c r="C672" s="49"/>
      <c r="D672" s="49"/>
      <c r="E672" s="49"/>
      <c r="F672" s="19">
        <v>0.0</v>
      </c>
      <c r="G672" s="19" t="b">
        <v>0</v>
      </c>
    </row>
    <row r="673">
      <c r="A673" s="49"/>
      <c r="B673" s="49"/>
      <c r="C673" s="49"/>
      <c r="D673" s="49"/>
      <c r="E673" s="49"/>
      <c r="F673" s="19">
        <v>0.0</v>
      </c>
      <c r="G673" s="19" t="b">
        <v>0</v>
      </c>
    </row>
    <row r="674">
      <c r="A674" s="49"/>
      <c r="B674" s="49"/>
      <c r="C674" s="49"/>
      <c r="D674" s="49"/>
      <c r="E674" s="49"/>
      <c r="F674" s="19">
        <v>0.0</v>
      </c>
      <c r="G674" s="19" t="b">
        <v>0</v>
      </c>
    </row>
    <row r="675">
      <c r="A675" s="49"/>
      <c r="B675" s="49"/>
      <c r="C675" s="49"/>
      <c r="D675" s="49"/>
      <c r="E675" s="49"/>
      <c r="F675" s="19">
        <v>0.0</v>
      </c>
      <c r="G675" s="19" t="b">
        <v>0</v>
      </c>
    </row>
    <row r="676">
      <c r="A676" s="49"/>
      <c r="B676" s="49"/>
      <c r="C676" s="49"/>
      <c r="D676" s="49"/>
      <c r="E676" s="49"/>
      <c r="F676" s="19">
        <v>0.0</v>
      </c>
      <c r="G676" s="19" t="b">
        <v>0</v>
      </c>
    </row>
    <row r="677">
      <c r="A677" s="49"/>
      <c r="B677" s="49"/>
      <c r="C677" s="49"/>
      <c r="D677" s="49"/>
      <c r="E677" s="49"/>
      <c r="F677" s="19">
        <v>0.0</v>
      </c>
      <c r="G677" s="19" t="b">
        <v>0</v>
      </c>
    </row>
    <row r="678">
      <c r="A678" s="49"/>
      <c r="B678" s="49"/>
      <c r="C678" s="49"/>
      <c r="D678" s="49"/>
      <c r="E678" s="49"/>
      <c r="F678" s="19">
        <v>0.0</v>
      </c>
      <c r="G678" s="19" t="b">
        <v>0</v>
      </c>
    </row>
    <row r="679">
      <c r="A679" s="49"/>
      <c r="B679" s="49"/>
      <c r="C679" s="49"/>
      <c r="D679" s="49"/>
      <c r="E679" s="49"/>
      <c r="F679" s="19">
        <v>0.0</v>
      </c>
      <c r="G679" s="19" t="b">
        <v>0</v>
      </c>
    </row>
    <row r="680">
      <c r="A680" s="49"/>
      <c r="B680" s="49"/>
      <c r="C680" s="49"/>
      <c r="D680" s="49"/>
      <c r="E680" s="49"/>
      <c r="F680" s="19">
        <v>0.0</v>
      </c>
      <c r="G680" s="19" t="b">
        <v>0</v>
      </c>
    </row>
    <row r="681">
      <c r="A681" s="49"/>
      <c r="B681" s="49"/>
      <c r="C681" s="49"/>
      <c r="D681" s="49"/>
      <c r="E681" s="49"/>
      <c r="F681" s="19">
        <v>0.0</v>
      </c>
      <c r="G681" s="19" t="b">
        <v>0</v>
      </c>
    </row>
    <row r="682">
      <c r="A682" s="49"/>
      <c r="B682" s="49"/>
      <c r="C682" s="49"/>
      <c r="D682" s="49"/>
      <c r="E682" s="49"/>
      <c r="F682" s="19">
        <v>0.0</v>
      </c>
      <c r="G682" s="19" t="b">
        <v>0</v>
      </c>
    </row>
    <row r="683">
      <c r="A683" s="49"/>
      <c r="B683" s="49"/>
      <c r="C683" s="49"/>
      <c r="D683" s="49"/>
      <c r="E683" s="49"/>
      <c r="F683" s="19">
        <v>0.0</v>
      </c>
      <c r="G683" s="19" t="b">
        <v>0</v>
      </c>
    </row>
    <row r="684">
      <c r="A684" s="49"/>
      <c r="B684" s="49"/>
      <c r="C684" s="49"/>
      <c r="D684" s="49"/>
      <c r="E684" s="49"/>
      <c r="F684" s="19">
        <v>0.0</v>
      </c>
      <c r="G684" s="19" t="b">
        <v>0</v>
      </c>
    </row>
    <row r="685">
      <c r="A685" s="49"/>
      <c r="B685" s="49"/>
      <c r="C685" s="49"/>
      <c r="D685" s="49"/>
      <c r="E685" s="49"/>
      <c r="F685" s="19">
        <v>0.0</v>
      </c>
      <c r="G685" s="19" t="b">
        <v>0</v>
      </c>
    </row>
    <row r="686">
      <c r="A686" s="49"/>
      <c r="B686" s="49"/>
      <c r="C686" s="49"/>
      <c r="D686" s="49"/>
      <c r="E686" s="49"/>
      <c r="F686" s="19">
        <v>0.0</v>
      </c>
      <c r="G686" s="19" t="b">
        <v>0</v>
      </c>
    </row>
    <row r="687">
      <c r="A687" s="49"/>
      <c r="B687" s="49"/>
      <c r="C687" s="49"/>
      <c r="D687" s="49"/>
      <c r="E687" s="49"/>
      <c r="F687" s="19">
        <v>0.0</v>
      </c>
      <c r="G687" s="19" t="b">
        <v>0</v>
      </c>
    </row>
    <row r="688">
      <c r="A688" s="49"/>
      <c r="B688" s="49"/>
      <c r="C688" s="49"/>
      <c r="D688" s="49"/>
      <c r="E688" s="49"/>
      <c r="F688" s="19">
        <v>0.0</v>
      </c>
      <c r="G688" s="19" t="b">
        <v>0</v>
      </c>
    </row>
    <row r="689">
      <c r="A689" s="49"/>
      <c r="B689" s="49"/>
      <c r="C689" s="49"/>
      <c r="D689" s="49"/>
      <c r="E689" s="49"/>
      <c r="F689" s="19">
        <v>0.0</v>
      </c>
      <c r="G689" s="19" t="b">
        <v>0</v>
      </c>
    </row>
    <row r="690">
      <c r="A690" s="49"/>
      <c r="B690" s="49"/>
      <c r="C690" s="49"/>
      <c r="D690" s="49"/>
      <c r="E690" s="49"/>
      <c r="F690" s="19">
        <v>0.0</v>
      </c>
      <c r="G690" s="19" t="b">
        <v>0</v>
      </c>
    </row>
    <row r="691">
      <c r="A691" s="49"/>
      <c r="B691" s="49"/>
      <c r="C691" s="49"/>
      <c r="D691" s="49"/>
      <c r="E691" s="49"/>
      <c r="F691" s="19">
        <v>0.0</v>
      </c>
      <c r="G691" s="19" t="b">
        <v>0</v>
      </c>
    </row>
    <row r="692">
      <c r="A692" s="49"/>
      <c r="B692" s="49"/>
      <c r="C692" s="49"/>
      <c r="D692" s="49"/>
      <c r="E692" s="49"/>
      <c r="F692" s="19">
        <v>0.0</v>
      </c>
      <c r="G692" s="19" t="b">
        <v>0</v>
      </c>
    </row>
    <row r="693">
      <c r="A693" s="49"/>
      <c r="B693" s="49"/>
      <c r="C693" s="49"/>
      <c r="D693" s="49"/>
      <c r="E693" s="49"/>
      <c r="F693" s="19">
        <v>0.0</v>
      </c>
      <c r="G693" s="19" t="b">
        <v>0</v>
      </c>
    </row>
    <row r="694">
      <c r="A694" s="49"/>
      <c r="B694" s="49"/>
      <c r="C694" s="49"/>
      <c r="D694" s="49"/>
      <c r="E694" s="49"/>
      <c r="F694" s="19">
        <v>0.0</v>
      </c>
      <c r="G694" s="19" t="b">
        <v>0</v>
      </c>
    </row>
    <row r="695">
      <c r="A695" s="49"/>
      <c r="B695" s="49"/>
      <c r="C695" s="49"/>
      <c r="D695" s="49"/>
      <c r="E695" s="49"/>
      <c r="F695" s="19">
        <v>0.0</v>
      </c>
      <c r="G695" s="19" t="b">
        <v>0</v>
      </c>
    </row>
    <row r="696">
      <c r="A696" s="49"/>
      <c r="B696" s="49"/>
      <c r="C696" s="49"/>
      <c r="D696" s="49"/>
      <c r="E696" s="49"/>
      <c r="F696" s="19">
        <v>0.0</v>
      </c>
      <c r="G696" s="19" t="b">
        <v>0</v>
      </c>
    </row>
    <row r="697">
      <c r="A697" s="49"/>
      <c r="B697" s="49"/>
      <c r="C697" s="49"/>
      <c r="D697" s="49"/>
      <c r="E697" s="49"/>
      <c r="F697" s="19">
        <v>0.0</v>
      </c>
      <c r="G697" s="19" t="b">
        <v>0</v>
      </c>
    </row>
    <row r="698">
      <c r="A698" s="49"/>
      <c r="B698" s="49"/>
      <c r="C698" s="49"/>
      <c r="D698" s="49"/>
      <c r="E698" s="49"/>
      <c r="F698" s="19">
        <v>0.0</v>
      </c>
      <c r="G698" s="19" t="b">
        <v>0</v>
      </c>
    </row>
    <row r="699">
      <c r="A699" s="49"/>
      <c r="B699" s="49"/>
      <c r="C699" s="49"/>
      <c r="D699" s="49"/>
      <c r="E699" s="49"/>
      <c r="F699" s="19">
        <v>0.0</v>
      </c>
      <c r="G699" s="19" t="b">
        <v>0</v>
      </c>
    </row>
    <row r="700">
      <c r="A700" s="49"/>
      <c r="B700" s="49"/>
      <c r="C700" s="49"/>
      <c r="D700" s="49"/>
      <c r="E700" s="49"/>
      <c r="F700" s="19">
        <v>0.0</v>
      </c>
      <c r="G700" s="19" t="b">
        <v>0</v>
      </c>
    </row>
    <row r="701">
      <c r="A701" s="49"/>
      <c r="B701" s="49"/>
      <c r="C701" s="49"/>
      <c r="D701" s="49"/>
      <c r="E701" s="49"/>
      <c r="F701" s="19">
        <v>0.0</v>
      </c>
      <c r="G701" s="19" t="b">
        <v>0</v>
      </c>
    </row>
    <row r="702">
      <c r="A702" s="49"/>
      <c r="B702" s="49"/>
      <c r="C702" s="49"/>
      <c r="D702" s="49"/>
      <c r="E702" s="49"/>
      <c r="F702" s="19">
        <v>0.0</v>
      </c>
      <c r="G702" s="19" t="b">
        <v>0</v>
      </c>
    </row>
    <row r="703">
      <c r="A703" s="49"/>
      <c r="B703" s="49"/>
      <c r="C703" s="49"/>
      <c r="D703" s="49"/>
      <c r="E703" s="49"/>
      <c r="F703" s="19">
        <v>0.0</v>
      </c>
      <c r="G703" s="19" t="b">
        <v>0</v>
      </c>
    </row>
    <row r="704">
      <c r="A704" s="49"/>
      <c r="B704" s="49"/>
      <c r="C704" s="49"/>
      <c r="D704" s="49"/>
      <c r="E704" s="49"/>
      <c r="F704" s="19">
        <v>0.0</v>
      </c>
      <c r="G704" s="19" t="b">
        <v>0</v>
      </c>
    </row>
    <row r="705">
      <c r="A705" s="49"/>
      <c r="B705" s="49"/>
      <c r="C705" s="49"/>
      <c r="D705" s="49"/>
      <c r="E705" s="49"/>
      <c r="F705" s="19">
        <v>0.0</v>
      </c>
      <c r="G705" s="19" t="b">
        <v>0</v>
      </c>
    </row>
    <row r="706">
      <c r="A706" s="49"/>
      <c r="B706" s="49"/>
      <c r="C706" s="49"/>
      <c r="D706" s="49"/>
      <c r="E706" s="49"/>
      <c r="F706" s="19">
        <v>0.0</v>
      </c>
      <c r="G706" s="19" t="b">
        <v>0</v>
      </c>
    </row>
    <row r="707">
      <c r="A707" s="49"/>
      <c r="B707" s="49"/>
      <c r="C707" s="49"/>
      <c r="D707" s="49"/>
      <c r="E707" s="49"/>
      <c r="F707" s="19">
        <v>0.0</v>
      </c>
      <c r="G707" s="19" t="b">
        <v>0</v>
      </c>
    </row>
    <row r="708">
      <c r="A708" s="49"/>
      <c r="B708" s="49"/>
      <c r="C708" s="49"/>
      <c r="D708" s="49"/>
      <c r="E708" s="49"/>
      <c r="F708" s="19">
        <v>0.0</v>
      </c>
      <c r="G708" s="19" t="b">
        <v>0</v>
      </c>
    </row>
    <row r="709">
      <c r="A709" s="49"/>
      <c r="B709" s="49"/>
      <c r="C709" s="49"/>
      <c r="D709" s="49"/>
      <c r="E709" s="49"/>
      <c r="F709" s="19">
        <v>0.0</v>
      </c>
      <c r="G709" s="19" t="b">
        <v>0</v>
      </c>
    </row>
    <row r="710">
      <c r="A710" s="49"/>
      <c r="B710" s="49"/>
      <c r="C710" s="49"/>
      <c r="D710" s="49"/>
      <c r="E710" s="49"/>
      <c r="F710" s="19">
        <v>0.0</v>
      </c>
      <c r="G710" s="19" t="b">
        <v>0</v>
      </c>
    </row>
    <row r="711">
      <c r="A711" s="49"/>
      <c r="B711" s="49"/>
      <c r="C711" s="49"/>
      <c r="D711" s="49"/>
      <c r="E711" s="49"/>
      <c r="F711" s="19">
        <v>0.0</v>
      </c>
      <c r="G711" s="19" t="b">
        <v>0</v>
      </c>
    </row>
    <row r="712">
      <c r="A712" s="49"/>
      <c r="B712" s="49"/>
      <c r="C712" s="49"/>
      <c r="D712" s="49"/>
      <c r="E712" s="49"/>
      <c r="F712" s="19">
        <v>0.0</v>
      </c>
      <c r="G712" s="19" t="b">
        <v>0</v>
      </c>
    </row>
    <row r="713">
      <c r="A713" s="49"/>
      <c r="B713" s="49"/>
      <c r="C713" s="49"/>
      <c r="D713" s="49"/>
      <c r="E713" s="49"/>
      <c r="F713" s="19">
        <v>0.0</v>
      </c>
      <c r="G713" s="19" t="b">
        <v>0</v>
      </c>
    </row>
    <row r="714">
      <c r="A714" s="49"/>
      <c r="B714" s="49"/>
      <c r="C714" s="49"/>
      <c r="D714" s="49"/>
      <c r="E714" s="49"/>
      <c r="F714" s="19">
        <v>0.0</v>
      </c>
      <c r="G714" s="19" t="b">
        <v>0</v>
      </c>
    </row>
    <row r="715">
      <c r="A715" s="49"/>
      <c r="B715" s="49"/>
      <c r="C715" s="49"/>
      <c r="D715" s="49"/>
      <c r="E715" s="49"/>
      <c r="F715" s="19">
        <v>0.0</v>
      </c>
      <c r="G715" s="19" t="b">
        <v>0</v>
      </c>
    </row>
    <row r="716">
      <c r="A716" s="49"/>
      <c r="B716" s="49"/>
      <c r="C716" s="49"/>
      <c r="D716" s="49"/>
      <c r="E716" s="49"/>
      <c r="F716" s="19">
        <v>0.0</v>
      </c>
      <c r="G716" s="19" t="b">
        <v>0</v>
      </c>
    </row>
    <row r="717">
      <c r="A717" s="49"/>
      <c r="B717" s="49"/>
      <c r="C717" s="49"/>
      <c r="D717" s="49"/>
      <c r="E717" s="49"/>
      <c r="F717" s="19">
        <v>0.0</v>
      </c>
      <c r="G717" s="19" t="b">
        <v>0</v>
      </c>
    </row>
    <row r="718">
      <c r="A718" s="49"/>
      <c r="B718" s="49"/>
      <c r="C718" s="49"/>
      <c r="D718" s="49"/>
      <c r="E718" s="49"/>
      <c r="F718" s="19">
        <v>0.0</v>
      </c>
      <c r="G718" s="19" t="b">
        <v>0</v>
      </c>
    </row>
    <row r="719">
      <c r="A719" s="49"/>
      <c r="B719" s="49"/>
      <c r="C719" s="49"/>
      <c r="D719" s="49"/>
      <c r="E719" s="49"/>
      <c r="F719" s="19">
        <v>0.0</v>
      </c>
      <c r="G719" s="19" t="b">
        <v>0</v>
      </c>
    </row>
    <row r="720">
      <c r="A720" s="49"/>
      <c r="B720" s="49"/>
      <c r="C720" s="49"/>
      <c r="D720" s="49"/>
      <c r="E720" s="49"/>
      <c r="F720" s="19">
        <v>0.0</v>
      </c>
      <c r="G720" s="19" t="b">
        <v>0</v>
      </c>
    </row>
    <row r="721">
      <c r="A721" s="49"/>
      <c r="B721" s="49"/>
      <c r="C721" s="49"/>
      <c r="D721" s="49"/>
      <c r="E721" s="49"/>
      <c r="F721" s="19">
        <v>0.0</v>
      </c>
      <c r="G721" s="19" t="b">
        <v>0</v>
      </c>
    </row>
    <row r="722">
      <c r="A722" s="49"/>
      <c r="B722" s="49"/>
      <c r="C722" s="49"/>
      <c r="D722" s="49"/>
      <c r="E722" s="49"/>
      <c r="F722" s="19">
        <v>0.0</v>
      </c>
      <c r="G722" s="19" t="b">
        <v>0</v>
      </c>
    </row>
    <row r="723">
      <c r="A723" s="49"/>
      <c r="B723" s="49"/>
      <c r="C723" s="49"/>
      <c r="D723" s="49"/>
      <c r="E723" s="49"/>
      <c r="F723" s="19">
        <v>0.0</v>
      </c>
      <c r="G723" s="19" t="b">
        <v>0</v>
      </c>
    </row>
    <row r="724">
      <c r="A724" s="49"/>
      <c r="B724" s="49"/>
      <c r="C724" s="49"/>
      <c r="D724" s="49"/>
      <c r="E724" s="49"/>
      <c r="F724" s="19">
        <v>0.0</v>
      </c>
      <c r="G724" s="19" t="b">
        <v>0</v>
      </c>
    </row>
    <row r="725">
      <c r="A725" s="49"/>
      <c r="B725" s="49"/>
      <c r="C725" s="49"/>
      <c r="D725" s="49"/>
      <c r="E725" s="49"/>
      <c r="F725" s="19">
        <v>0.0</v>
      </c>
      <c r="G725" s="19" t="b">
        <v>0</v>
      </c>
    </row>
    <row r="726">
      <c r="A726" s="49"/>
      <c r="B726" s="49"/>
      <c r="C726" s="49"/>
      <c r="D726" s="49"/>
      <c r="E726" s="49"/>
      <c r="F726" s="19">
        <v>0.0</v>
      </c>
      <c r="G726" s="19" t="b">
        <v>0</v>
      </c>
    </row>
    <row r="727">
      <c r="A727" s="49"/>
      <c r="B727" s="49"/>
      <c r="C727" s="49"/>
      <c r="D727" s="49"/>
      <c r="E727" s="49"/>
      <c r="F727" s="19">
        <v>0.0</v>
      </c>
      <c r="G727" s="19" t="b">
        <v>0</v>
      </c>
    </row>
    <row r="728">
      <c r="A728" s="49"/>
      <c r="B728" s="49"/>
      <c r="C728" s="49"/>
      <c r="D728" s="49"/>
      <c r="E728" s="49"/>
      <c r="F728" s="19">
        <v>0.0</v>
      </c>
      <c r="G728" s="19" t="b">
        <v>0</v>
      </c>
    </row>
    <row r="729">
      <c r="A729" s="49"/>
      <c r="B729" s="49"/>
      <c r="C729" s="49"/>
      <c r="D729" s="49"/>
      <c r="E729" s="49"/>
      <c r="F729" s="19">
        <v>0.0</v>
      </c>
      <c r="G729" s="19" t="b">
        <v>0</v>
      </c>
    </row>
    <row r="730">
      <c r="A730" s="49"/>
      <c r="B730" s="49"/>
      <c r="C730" s="49"/>
      <c r="D730" s="49"/>
      <c r="E730" s="49"/>
      <c r="F730" s="19">
        <v>0.0</v>
      </c>
      <c r="G730" s="19" t="b">
        <v>0</v>
      </c>
    </row>
    <row r="731">
      <c r="A731" s="49"/>
      <c r="B731" s="49"/>
      <c r="C731" s="49"/>
      <c r="D731" s="49"/>
      <c r="E731" s="49"/>
      <c r="F731" s="19">
        <v>0.0</v>
      </c>
      <c r="G731" s="19" t="b">
        <v>0</v>
      </c>
    </row>
    <row r="732">
      <c r="A732" s="49"/>
      <c r="B732" s="49"/>
      <c r="C732" s="49"/>
      <c r="D732" s="49"/>
      <c r="E732" s="49"/>
      <c r="F732" s="19">
        <v>0.0</v>
      </c>
      <c r="G732" s="19" t="b">
        <v>0</v>
      </c>
    </row>
    <row r="733">
      <c r="A733" s="49"/>
      <c r="B733" s="49"/>
      <c r="C733" s="49"/>
      <c r="D733" s="49"/>
      <c r="E733" s="49"/>
      <c r="F733" s="19">
        <v>0.0</v>
      </c>
      <c r="G733" s="19" t="b">
        <v>0</v>
      </c>
    </row>
    <row r="734">
      <c r="A734" s="49"/>
      <c r="B734" s="49"/>
      <c r="C734" s="49"/>
      <c r="D734" s="49"/>
      <c r="E734" s="49"/>
      <c r="F734" s="19">
        <v>0.0</v>
      </c>
      <c r="G734" s="19" t="b">
        <v>0</v>
      </c>
    </row>
    <row r="735">
      <c r="A735" s="49"/>
      <c r="B735" s="49"/>
      <c r="C735" s="49"/>
      <c r="D735" s="49"/>
      <c r="E735" s="49"/>
      <c r="F735" s="19">
        <v>0.0</v>
      </c>
      <c r="G735" s="19" t="b">
        <v>0</v>
      </c>
    </row>
    <row r="736">
      <c r="A736" s="49"/>
      <c r="B736" s="49"/>
      <c r="C736" s="49"/>
      <c r="D736" s="49"/>
      <c r="E736" s="49"/>
      <c r="F736" s="19">
        <v>0.0</v>
      </c>
      <c r="G736" s="19" t="b">
        <v>0</v>
      </c>
    </row>
    <row r="737">
      <c r="A737" s="49"/>
      <c r="B737" s="49"/>
      <c r="C737" s="49"/>
      <c r="D737" s="49"/>
      <c r="E737" s="49"/>
      <c r="F737" s="19">
        <v>0.0</v>
      </c>
      <c r="G737" s="19" t="b">
        <v>0</v>
      </c>
    </row>
    <row r="738">
      <c r="A738" s="49"/>
      <c r="B738" s="49"/>
      <c r="C738" s="49"/>
      <c r="D738" s="49"/>
      <c r="E738" s="49"/>
      <c r="F738" s="19">
        <v>0.0</v>
      </c>
      <c r="G738" s="19" t="b">
        <v>0</v>
      </c>
    </row>
    <row r="739">
      <c r="A739" s="49"/>
      <c r="B739" s="49"/>
      <c r="C739" s="49"/>
      <c r="D739" s="49"/>
      <c r="E739" s="49"/>
      <c r="F739" s="19">
        <v>0.0</v>
      </c>
      <c r="G739" s="19" t="b">
        <v>0</v>
      </c>
    </row>
    <row r="740">
      <c r="A740" s="49"/>
      <c r="B740" s="49"/>
      <c r="C740" s="49"/>
      <c r="D740" s="49"/>
      <c r="E740" s="49"/>
      <c r="F740" s="19">
        <v>0.0</v>
      </c>
      <c r="G740" s="19" t="b">
        <v>0</v>
      </c>
    </row>
    <row r="741">
      <c r="A741" s="49"/>
      <c r="B741" s="49"/>
      <c r="C741" s="49"/>
      <c r="D741" s="49"/>
      <c r="E741" s="49"/>
      <c r="F741" s="19">
        <v>0.0</v>
      </c>
      <c r="G741" s="19" t="b">
        <v>0</v>
      </c>
    </row>
    <row r="742">
      <c r="A742" s="49"/>
      <c r="B742" s="49"/>
      <c r="C742" s="49"/>
      <c r="D742" s="49"/>
      <c r="E742" s="49"/>
      <c r="F742" s="19">
        <v>0.0</v>
      </c>
      <c r="G742" s="19" t="b">
        <v>0</v>
      </c>
    </row>
    <row r="743">
      <c r="A743" s="49"/>
      <c r="B743" s="49"/>
      <c r="C743" s="49"/>
      <c r="D743" s="49"/>
      <c r="E743" s="49"/>
      <c r="F743" s="19">
        <v>0.0</v>
      </c>
      <c r="G743" s="19" t="b">
        <v>0</v>
      </c>
    </row>
    <row r="744">
      <c r="A744" s="49"/>
      <c r="B744" s="49"/>
      <c r="C744" s="49"/>
      <c r="D744" s="49"/>
      <c r="E744" s="49"/>
      <c r="F744" s="19">
        <v>0.0</v>
      </c>
      <c r="G744" s="19" t="b">
        <v>0</v>
      </c>
    </row>
    <row r="745">
      <c r="A745" s="49"/>
      <c r="B745" s="49"/>
      <c r="C745" s="49"/>
      <c r="D745" s="49"/>
      <c r="E745" s="49"/>
      <c r="F745" s="19">
        <v>0.0</v>
      </c>
      <c r="G745" s="19" t="b">
        <v>0</v>
      </c>
    </row>
    <row r="746">
      <c r="A746" s="49"/>
      <c r="B746" s="49"/>
      <c r="C746" s="49"/>
      <c r="D746" s="49"/>
      <c r="E746" s="49"/>
      <c r="F746" s="19">
        <v>0.0</v>
      </c>
      <c r="G746" s="19" t="b">
        <v>0</v>
      </c>
    </row>
    <row r="747">
      <c r="A747" s="49"/>
      <c r="B747" s="49"/>
      <c r="C747" s="49"/>
      <c r="D747" s="49"/>
      <c r="E747" s="49"/>
      <c r="F747" s="19">
        <v>0.0</v>
      </c>
      <c r="G747" s="19" t="b">
        <v>0</v>
      </c>
    </row>
    <row r="748">
      <c r="A748" s="49"/>
      <c r="B748" s="49"/>
      <c r="C748" s="49"/>
      <c r="D748" s="49"/>
      <c r="E748" s="49"/>
      <c r="F748" s="19">
        <v>0.0</v>
      </c>
      <c r="G748" s="19" t="b">
        <v>0</v>
      </c>
    </row>
    <row r="749">
      <c r="A749" s="49"/>
      <c r="B749" s="49"/>
      <c r="C749" s="49"/>
      <c r="D749" s="49"/>
      <c r="E749" s="49"/>
      <c r="F749" s="19">
        <v>0.0</v>
      </c>
      <c r="G749" s="19" t="b">
        <v>0</v>
      </c>
    </row>
    <row r="750">
      <c r="A750" s="49"/>
      <c r="B750" s="49"/>
      <c r="C750" s="49"/>
      <c r="D750" s="49"/>
      <c r="E750" s="49"/>
      <c r="F750" s="19">
        <v>0.0</v>
      </c>
      <c r="G750" s="19" t="b">
        <v>0</v>
      </c>
    </row>
    <row r="751">
      <c r="A751" s="49"/>
      <c r="B751" s="49"/>
      <c r="C751" s="49"/>
      <c r="D751" s="49"/>
      <c r="E751" s="49"/>
      <c r="F751" s="19">
        <v>0.0</v>
      </c>
      <c r="G751" s="19" t="b">
        <v>0</v>
      </c>
    </row>
    <row r="752">
      <c r="A752" s="49"/>
      <c r="B752" s="49"/>
      <c r="C752" s="49"/>
      <c r="D752" s="49"/>
      <c r="E752" s="49"/>
      <c r="F752" s="19">
        <v>0.0</v>
      </c>
      <c r="G752" s="19" t="b">
        <v>0</v>
      </c>
    </row>
    <row r="753">
      <c r="A753" s="49"/>
      <c r="B753" s="49"/>
      <c r="C753" s="49"/>
      <c r="D753" s="49"/>
      <c r="E753" s="49"/>
      <c r="F753" s="19">
        <v>0.0</v>
      </c>
      <c r="G753" s="19" t="b">
        <v>0</v>
      </c>
    </row>
    <row r="754">
      <c r="A754" s="49"/>
      <c r="B754" s="49"/>
      <c r="C754" s="49"/>
      <c r="D754" s="49"/>
      <c r="E754" s="49"/>
      <c r="F754" s="19">
        <v>0.0</v>
      </c>
      <c r="G754" s="19" t="b">
        <v>0</v>
      </c>
    </row>
    <row r="755">
      <c r="A755" s="49"/>
      <c r="B755" s="49"/>
      <c r="C755" s="49"/>
      <c r="D755" s="49"/>
      <c r="E755" s="49"/>
      <c r="F755" s="19">
        <v>0.0</v>
      </c>
      <c r="G755" s="19" t="b">
        <v>0</v>
      </c>
    </row>
    <row r="756">
      <c r="A756" s="49"/>
      <c r="B756" s="49"/>
      <c r="C756" s="49"/>
      <c r="D756" s="49"/>
      <c r="E756" s="49"/>
      <c r="F756" s="19">
        <v>0.0</v>
      </c>
      <c r="G756" s="19" t="b">
        <v>0</v>
      </c>
    </row>
    <row r="757">
      <c r="A757" s="49"/>
      <c r="B757" s="49"/>
      <c r="C757" s="49"/>
      <c r="D757" s="49"/>
      <c r="E757" s="49"/>
      <c r="F757" s="19">
        <v>0.0</v>
      </c>
      <c r="G757" s="19" t="b">
        <v>0</v>
      </c>
    </row>
    <row r="758">
      <c r="A758" s="49"/>
      <c r="B758" s="49"/>
      <c r="C758" s="49"/>
      <c r="D758" s="49"/>
      <c r="E758" s="49"/>
      <c r="F758" s="19">
        <v>0.0</v>
      </c>
      <c r="G758" s="19" t="b">
        <v>0</v>
      </c>
    </row>
    <row r="759">
      <c r="A759" s="49"/>
      <c r="B759" s="49"/>
      <c r="C759" s="49"/>
      <c r="D759" s="49"/>
      <c r="E759" s="49"/>
      <c r="F759" s="19">
        <v>0.0</v>
      </c>
      <c r="G759" s="19" t="b">
        <v>0</v>
      </c>
    </row>
    <row r="760">
      <c r="A760" s="49"/>
      <c r="B760" s="49"/>
      <c r="C760" s="49"/>
      <c r="D760" s="49"/>
      <c r="E760" s="49"/>
      <c r="F760" s="19">
        <v>0.0</v>
      </c>
      <c r="G760" s="19" t="b">
        <v>0</v>
      </c>
    </row>
    <row r="761">
      <c r="A761" s="49"/>
      <c r="B761" s="49"/>
      <c r="C761" s="49"/>
      <c r="D761" s="49"/>
      <c r="E761" s="49"/>
      <c r="F761" s="19">
        <v>0.0</v>
      </c>
      <c r="G761" s="19" t="b">
        <v>0</v>
      </c>
    </row>
    <row r="762">
      <c r="A762" s="49"/>
      <c r="B762" s="49"/>
      <c r="C762" s="49"/>
      <c r="D762" s="49"/>
      <c r="E762" s="49"/>
      <c r="F762" s="19">
        <v>0.0</v>
      </c>
      <c r="G762" s="19" t="b">
        <v>0</v>
      </c>
    </row>
    <row r="763">
      <c r="A763" s="49"/>
      <c r="B763" s="49"/>
      <c r="C763" s="49"/>
      <c r="D763" s="49"/>
      <c r="E763" s="49"/>
      <c r="F763" s="19">
        <v>0.0</v>
      </c>
      <c r="G763" s="19" t="b">
        <v>0</v>
      </c>
    </row>
    <row r="764">
      <c r="A764" s="49"/>
      <c r="B764" s="49"/>
      <c r="C764" s="49"/>
      <c r="D764" s="49"/>
      <c r="E764" s="49"/>
      <c r="F764" s="19">
        <v>0.0</v>
      </c>
      <c r="G764" s="19" t="b">
        <v>0</v>
      </c>
    </row>
    <row r="765">
      <c r="A765" s="49"/>
      <c r="B765" s="49"/>
      <c r="C765" s="49"/>
      <c r="D765" s="49"/>
      <c r="E765" s="49"/>
      <c r="F765" s="19">
        <v>0.0</v>
      </c>
      <c r="G765" s="19" t="b">
        <v>0</v>
      </c>
    </row>
    <row r="766">
      <c r="A766" s="49"/>
      <c r="B766" s="49"/>
      <c r="C766" s="49"/>
      <c r="D766" s="49"/>
      <c r="E766" s="49"/>
      <c r="F766" s="19">
        <v>0.0</v>
      </c>
      <c r="G766" s="19" t="b">
        <v>0</v>
      </c>
    </row>
    <row r="767">
      <c r="A767" s="49"/>
      <c r="B767" s="49"/>
      <c r="C767" s="49"/>
      <c r="D767" s="49"/>
      <c r="E767" s="49"/>
      <c r="F767" s="19">
        <v>0.0</v>
      </c>
      <c r="G767" s="19" t="b">
        <v>0</v>
      </c>
    </row>
    <row r="768">
      <c r="A768" s="49"/>
      <c r="B768" s="49"/>
      <c r="C768" s="49"/>
      <c r="D768" s="49"/>
      <c r="E768" s="49"/>
      <c r="F768" s="19">
        <v>0.0</v>
      </c>
      <c r="G768" s="19" t="b">
        <v>0</v>
      </c>
    </row>
    <row r="769">
      <c r="A769" s="49"/>
      <c r="B769" s="49"/>
      <c r="C769" s="49"/>
      <c r="D769" s="49"/>
      <c r="E769" s="49"/>
      <c r="F769" s="19">
        <v>0.0</v>
      </c>
      <c r="G769" s="19" t="b">
        <v>0</v>
      </c>
    </row>
    <row r="770">
      <c r="A770" s="49"/>
      <c r="B770" s="49"/>
      <c r="C770" s="49"/>
      <c r="D770" s="49"/>
      <c r="E770" s="49"/>
      <c r="F770" s="19">
        <v>0.0</v>
      </c>
      <c r="G770" s="19" t="b">
        <v>0</v>
      </c>
    </row>
    <row r="771">
      <c r="A771" s="49"/>
      <c r="B771" s="49"/>
      <c r="C771" s="49"/>
      <c r="D771" s="49"/>
      <c r="E771" s="49"/>
      <c r="F771" s="19">
        <v>0.0</v>
      </c>
      <c r="G771" s="19" t="b">
        <v>0</v>
      </c>
    </row>
    <row r="772">
      <c r="A772" s="49"/>
      <c r="B772" s="49"/>
      <c r="C772" s="49"/>
      <c r="D772" s="49"/>
      <c r="E772" s="49"/>
      <c r="F772" s="19">
        <v>0.0</v>
      </c>
      <c r="G772" s="19" t="b">
        <v>0</v>
      </c>
    </row>
    <row r="773">
      <c r="A773" s="49"/>
      <c r="B773" s="49"/>
      <c r="C773" s="49"/>
      <c r="D773" s="49"/>
      <c r="E773" s="49"/>
      <c r="F773" s="19">
        <v>0.0</v>
      </c>
      <c r="G773" s="19" t="b">
        <v>0</v>
      </c>
    </row>
    <row r="774">
      <c r="A774" s="49"/>
      <c r="B774" s="49"/>
      <c r="C774" s="49"/>
      <c r="D774" s="49"/>
      <c r="E774" s="49"/>
      <c r="F774" s="19">
        <v>0.0</v>
      </c>
      <c r="G774" s="19" t="b">
        <v>0</v>
      </c>
    </row>
    <row r="775">
      <c r="A775" s="49"/>
      <c r="B775" s="49"/>
      <c r="C775" s="49"/>
      <c r="D775" s="49"/>
      <c r="E775" s="49"/>
      <c r="F775" s="19">
        <v>0.0</v>
      </c>
      <c r="G775" s="19" t="b">
        <v>0</v>
      </c>
    </row>
    <row r="776">
      <c r="A776" s="49"/>
      <c r="B776" s="49"/>
      <c r="C776" s="49"/>
      <c r="D776" s="49"/>
      <c r="E776" s="49"/>
      <c r="F776" s="19">
        <v>0.0</v>
      </c>
      <c r="G776" s="19" t="b">
        <v>0</v>
      </c>
    </row>
    <row r="777">
      <c r="A777" s="49"/>
      <c r="B777" s="49"/>
      <c r="C777" s="49"/>
      <c r="D777" s="49"/>
      <c r="E777" s="49"/>
      <c r="F777" s="19">
        <v>0.0</v>
      </c>
      <c r="G777" s="19" t="b">
        <v>0</v>
      </c>
    </row>
    <row r="778">
      <c r="A778" s="49"/>
      <c r="B778" s="49"/>
      <c r="C778" s="49"/>
      <c r="D778" s="49"/>
      <c r="E778" s="49"/>
      <c r="F778" s="19">
        <v>0.0</v>
      </c>
      <c r="G778" s="19" t="b">
        <v>0</v>
      </c>
    </row>
    <row r="779">
      <c r="A779" s="49"/>
      <c r="B779" s="49"/>
      <c r="C779" s="49"/>
      <c r="D779" s="49"/>
      <c r="E779" s="49"/>
      <c r="F779" s="19">
        <v>0.0</v>
      </c>
      <c r="G779" s="19" t="b">
        <v>0</v>
      </c>
    </row>
    <row r="780">
      <c r="A780" s="49"/>
      <c r="B780" s="49"/>
      <c r="C780" s="49"/>
      <c r="D780" s="49"/>
      <c r="E780" s="49"/>
      <c r="F780" s="19">
        <v>0.0</v>
      </c>
      <c r="G780" s="19" t="b">
        <v>0</v>
      </c>
    </row>
    <row r="781">
      <c r="A781" s="49"/>
      <c r="B781" s="49"/>
      <c r="C781" s="49"/>
      <c r="D781" s="49"/>
      <c r="E781" s="49"/>
      <c r="F781" s="19">
        <v>0.0</v>
      </c>
      <c r="G781" s="19" t="b">
        <v>0</v>
      </c>
    </row>
    <row r="782">
      <c r="A782" s="49"/>
      <c r="B782" s="49"/>
      <c r="C782" s="49"/>
      <c r="D782" s="49"/>
      <c r="E782" s="49"/>
      <c r="F782" s="19">
        <v>0.0</v>
      </c>
      <c r="G782" s="19" t="b">
        <v>0</v>
      </c>
    </row>
    <row r="783">
      <c r="A783" s="49"/>
      <c r="B783" s="49"/>
      <c r="C783" s="49"/>
      <c r="D783" s="49"/>
      <c r="E783" s="49"/>
      <c r="F783" s="19">
        <v>0.0</v>
      </c>
      <c r="G783" s="19" t="b">
        <v>0</v>
      </c>
    </row>
    <row r="784">
      <c r="A784" s="49"/>
      <c r="B784" s="49"/>
      <c r="C784" s="49"/>
      <c r="D784" s="49"/>
      <c r="E784" s="49"/>
      <c r="F784" s="19">
        <v>0.0</v>
      </c>
      <c r="G784" s="19" t="b">
        <v>0</v>
      </c>
    </row>
    <row r="785">
      <c r="A785" s="49"/>
      <c r="B785" s="49"/>
      <c r="C785" s="49"/>
      <c r="D785" s="49"/>
      <c r="E785" s="49"/>
      <c r="F785" s="19">
        <v>0.0</v>
      </c>
      <c r="G785" s="19" t="b">
        <v>0</v>
      </c>
    </row>
    <row r="786">
      <c r="A786" s="49"/>
      <c r="B786" s="49"/>
      <c r="C786" s="49"/>
      <c r="D786" s="49"/>
      <c r="E786" s="49"/>
      <c r="F786" s="19">
        <v>0.0</v>
      </c>
      <c r="G786" s="19" t="b">
        <v>0</v>
      </c>
    </row>
    <row r="787">
      <c r="A787" s="49"/>
      <c r="B787" s="49"/>
      <c r="C787" s="49"/>
      <c r="D787" s="49"/>
      <c r="E787" s="49"/>
      <c r="F787" s="19">
        <v>0.0</v>
      </c>
      <c r="G787" s="19" t="b">
        <v>0</v>
      </c>
    </row>
    <row r="788">
      <c r="A788" s="49"/>
      <c r="B788" s="49"/>
      <c r="C788" s="49"/>
      <c r="D788" s="49"/>
      <c r="E788" s="49"/>
      <c r="F788" s="19">
        <v>0.0</v>
      </c>
      <c r="G788" s="19" t="b">
        <v>0</v>
      </c>
    </row>
    <row r="789">
      <c r="A789" s="49"/>
      <c r="B789" s="49"/>
      <c r="C789" s="49"/>
      <c r="D789" s="49"/>
      <c r="E789" s="49"/>
      <c r="F789" s="19">
        <v>0.0</v>
      </c>
      <c r="G789" s="19" t="b">
        <v>0</v>
      </c>
    </row>
    <row r="790">
      <c r="A790" s="49"/>
      <c r="B790" s="49"/>
      <c r="C790" s="49"/>
      <c r="D790" s="49"/>
      <c r="E790" s="49"/>
      <c r="F790" s="19">
        <v>0.0</v>
      </c>
      <c r="G790" s="19" t="b">
        <v>0</v>
      </c>
    </row>
    <row r="791">
      <c r="A791" s="49"/>
      <c r="B791" s="49"/>
      <c r="C791" s="49"/>
      <c r="D791" s="49"/>
      <c r="E791" s="49"/>
      <c r="F791" s="19">
        <v>0.0</v>
      </c>
      <c r="G791" s="19" t="b">
        <v>0</v>
      </c>
    </row>
    <row r="792">
      <c r="A792" s="49"/>
      <c r="B792" s="49"/>
      <c r="C792" s="49"/>
      <c r="D792" s="49"/>
      <c r="E792" s="49"/>
      <c r="F792" s="19">
        <v>0.0</v>
      </c>
      <c r="G792" s="19" t="b">
        <v>0</v>
      </c>
    </row>
    <row r="793">
      <c r="A793" s="49"/>
      <c r="B793" s="49"/>
      <c r="C793" s="49"/>
      <c r="D793" s="49"/>
      <c r="E793" s="49"/>
      <c r="F793" s="19">
        <v>0.0</v>
      </c>
      <c r="G793" s="19" t="b">
        <v>0</v>
      </c>
    </row>
    <row r="794">
      <c r="A794" s="49"/>
      <c r="B794" s="49"/>
      <c r="C794" s="49"/>
      <c r="D794" s="49"/>
      <c r="E794" s="49"/>
      <c r="F794" s="19">
        <v>0.0</v>
      </c>
      <c r="G794" s="19" t="b">
        <v>0</v>
      </c>
    </row>
    <row r="795">
      <c r="A795" s="49"/>
      <c r="B795" s="49"/>
      <c r="C795" s="49"/>
      <c r="D795" s="49"/>
      <c r="E795" s="49"/>
      <c r="F795" s="19">
        <v>0.0</v>
      </c>
      <c r="G795" s="19" t="b">
        <v>0</v>
      </c>
    </row>
    <row r="796">
      <c r="A796" s="49"/>
      <c r="B796" s="49"/>
      <c r="C796" s="49"/>
      <c r="D796" s="49"/>
      <c r="E796" s="49"/>
      <c r="F796" s="19">
        <v>0.0</v>
      </c>
      <c r="G796" s="19" t="b">
        <v>0</v>
      </c>
    </row>
    <row r="797">
      <c r="A797" s="49"/>
      <c r="B797" s="49"/>
      <c r="C797" s="49"/>
      <c r="D797" s="49"/>
      <c r="E797" s="49"/>
      <c r="F797" s="19">
        <v>0.0</v>
      </c>
      <c r="G797" s="19" t="b">
        <v>0</v>
      </c>
    </row>
    <row r="798">
      <c r="A798" s="49"/>
      <c r="B798" s="49"/>
      <c r="C798" s="49"/>
      <c r="D798" s="49"/>
      <c r="E798" s="49"/>
      <c r="F798" s="19">
        <v>0.0</v>
      </c>
      <c r="G798" s="19" t="b">
        <v>0</v>
      </c>
    </row>
    <row r="799">
      <c r="A799" s="49"/>
      <c r="B799" s="49"/>
      <c r="C799" s="49"/>
      <c r="D799" s="49"/>
      <c r="E799" s="49"/>
      <c r="F799" s="19">
        <v>0.0</v>
      </c>
      <c r="G799" s="19" t="b">
        <v>0</v>
      </c>
    </row>
    <row r="800">
      <c r="A800" s="49"/>
      <c r="B800" s="49"/>
      <c r="C800" s="49"/>
      <c r="D800" s="49"/>
      <c r="E800" s="49"/>
      <c r="F800" s="19">
        <v>0.0</v>
      </c>
      <c r="G800" s="19" t="b">
        <v>0</v>
      </c>
    </row>
    <row r="801">
      <c r="A801" s="49"/>
      <c r="B801" s="49"/>
      <c r="C801" s="49"/>
      <c r="D801" s="49"/>
      <c r="E801" s="49"/>
      <c r="F801" s="19">
        <v>0.0</v>
      </c>
      <c r="G801" s="19" t="b">
        <v>0</v>
      </c>
    </row>
    <row r="802">
      <c r="A802" s="49"/>
      <c r="B802" s="49"/>
      <c r="C802" s="49"/>
      <c r="D802" s="49"/>
      <c r="E802" s="49"/>
      <c r="F802" s="19">
        <v>0.0</v>
      </c>
      <c r="G802" s="19" t="b">
        <v>0</v>
      </c>
    </row>
    <row r="803">
      <c r="A803" s="49"/>
      <c r="B803" s="49"/>
      <c r="C803" s="49"/>
      <c r="D803" s="49"/>
      <c r="E803" s="49"/>
      <c r="F803" s="19">
        <v>0.0</v>
      </c>
      <c r="G803" s="19" t="b">
        <v>0</v>
      </c>
    </row>
    <row r="804">
      <c r="A804" s="49"/>
      <c r="B804" s="49"/>
      <c r="C804" s="49"/>
      <c r="D804" s="49"/>
      <c r="E804" s="49"/>
      <c r="F804" s="19">
        <v>0.0</v>
      </c>
      <c r="G804" s="19" t="b">
        <v>0</v>
      </c>
    </row>
    <row r="805">
      <c r="A805" s="49"/>
      <c r="B805" s="49"/>
      <c r="C805" s="49"/>
      <c r="D805" s="49"/>
      <c r="E805" s="49"/>
      <c r="F805" s="19">
        <v>0.0</v>
      </c>
      <c r="G805" s="19" t="b">
        <v>0</v>
      </c>
    </row>
    <row r="806">
      <c r="A806" s="49"/>
      <c r="B806" s="49"/>
      <c r="C806" s="49"/>
      <c r="D806" s="49"/>
      <c r="E806" s="49"/>
      <c r="F806" s="19">
        <v>0.0</v>
      </c>
      <c r="G806" s="19" t="b">
        <v>0</v>
      </c>
    </row>
    <row r="807">
      <c r="A807" s="49"/>
      <c r="B807" s="49"/>
      <c r="C807" s="49"/>
      <c r="D807" s="49"/>
      <c r="E807" s="49"/>
      <c r="F807" s="19">
        <v>0.0</v>
      </c>
      <c r="G807" s="19" t="b">
        <v>0</v>
      </c>
    </row>
    <row r="808">
      <c r="A808" s="49"/>
      <c r="B808" s="49"/>
      <c r="C808" s="49"/>
      <c r="D808" s="49"/>
      <c r="E808" s="49"/>
      <c r="F808" s="19">
        <v>0.0</v>
      </c>
      <c r="G808" s="19" t="b">
        <v>0</v>
      </c>
    </row>
    <row r="809">
      <c r="A809" s="49"/>
      <c r="B809" s="49"/>
      <c r="C809" s="49"/>
      <c r="D809" s="49"/>
      <c r="E809" s="49"/>
      <c r="F809" s="19">
        <v>0.0</v>
      </c>
      <c r="G809" s="19" t="b">
        <v>0</v>
      </c>
    </row>
    <row r="810">
      <c r="A810" s="49"/>
      <c r="B810" s="49"/>
      <c r="C810" s="49"/>
      <c r="D810" s="49"/>
      <c r="E810" s="49"/>
      <c r="F810" s="19">
        <v>0.0</v>
      </c>
      <c r="G810" s="19" t="b">
        <v>0</v>
      </c>
    </row>
    <row r="811">
      <c r="A811" s="49"/>
      <c r="B811" s="49"/>
      <c r="C811" s="49"/>
      <c r="D811" s="49"/>
      <c r="E811" s="49"/>
      <c r="F811" s="19">
        <v>0.0</v>
      </c>
      <c r="G811" s="19" t="b">
        <v>0</v>
      </c>
    </row>
    <row r="812">
      <c r="A812" s="49"/>
      <c r="B812" s="49"/>
      <c r="C812" s="49"/>
      <c r="D812" s="49"/>
      <c r="E812" s="49"/>
      <c r="F812" s="19">
        <v>0.0</v>
      </c>
      <c r="G812" s="19" t="b">
        <v>0</v>
      </c>
    </row>
    <row r="813">
      <c r="A813" s="49"/>
      <c r="B813" s="49"/>
      <c r="C813" s="49"/>
      <c r="D813" s="49"/>
      <c r="E813" s="49"/>
      <c r="F813" s="19">
        <v>0.0</v>
      </c>
      <c r="G813" s="19" t="b">
        <v>0</v>
      </c>
    </row>
    <row r="814">
      <c r="A814" s="49"/>
      <c r="B814" s="49"/>
      <c r="C814" s="49"/>
      <c r="D814" s="49"/>
      <c r="E814" s="49"/>
      <c r="F814" s="19">
        <v>0.0</v>
      </c>
      <c r="G814" s="19" t="b">
        <v>0</v>
      </c>
    </row>
    <row r="815">
      <c r="A815" s="49"/>
      <c r="B815" s="49"/>
      <c r="C815" s="49"/>
      <c r="D815" s="49"/>
      <c r="E815" s="49"/>
      <c r="F815" s="19">
        <v>0.0</v>
      </c>
      <c r="G815" s="19" t="b">
        <v>0</v>
      </c>
    </row>
    <row r="816">
      <c r="A816" s="49"/>
      <c r="B816" s="49"/>
      <c r="C816" s="49"/>
      <c r="D816" s="49"/>
      <c r="E816" s="49"/>
      <c r="F816" s="19">
        <v>0.0</v>
      </c>
      <c r="G816" s="19" t="b">
        <v>0</v>
      </c>
    </row>
    <row r="817">
      <c r="A817" s="49"/>
      <c r="B817" s="49"/>
      <c r="C817" s="49"/>
      <c r="D817" s="49"/>
      <c r="E817" s="49"/>
      <c r="F817" s="19">
        <v>0.0</v>
      </c>
      <c r="G817" s="19" t="b">
        <v>0</v>
      </c>
    </row>
    <row r="818">
      <c r="A818" s="49"/>
      <c r="B818" s="49"/>
      <c r="C818" s="49"/>
      <c r="D818" s="49"/>
      <c r="E818" s="49"/>
      <c r="F818" s="19">
        <v>0.0</v>
      </c>
      <c r="G818" s="19" t="b">
        <v>0</v>
      </c>
    </row>
    <row r="819">
      <c r="A819" s="49"/>
      <c r="B819" s="49"/>
      <c r="C819" s="49"/>
      <c r="D819" s="49"/>
      <c r="E819" s="49"/>
      <c r="F819" s="19">
        <v>0.0</v>
      </c>
      <c r="G819" s="19" t="b">
        <v>0</v>
      </c>
    </row>
    <row r="820">
      <c r="A820" s="49"/>
      <c r="B820" s="49"/>
      <c r="C820" s="49"/>
      <c r="D820" s="49"/>
      <c r="E820" s="49"/>
      <c r="F820" s="19">
        <v>0.0</v>
      </c>
      <c r="G820" s="19" t="b">
        <v>0</v>
      </c>
    </row>
    <row r="821">
      <c r="A821" s="49"/>
      <c r="B821" s="49"/>
      <c r="C821" s="49"/>
      <c r="D821" s="49"/>
      <c r="E821" s="49"/>
      <c r="F821" s="19">
        <v>0.0</v>
      </c>
      <c r="G821" s="19" t="b">
        <v>0</v>
      </c>
    </row>
    <row r="822">
      <c r="A822" s="49"/>
      <c r="B822" s="49"/>
      <c r="C822" s="49"/>
      <c r="D822" s="49"/>
      <c r="E822" s="49"/>
      <c r="F822" s="19">
        <v>0.0</v>
      </c>
      <c r="G822" s="19" t="b">
        <v>0</v>
      </c>
    </row>
    <row r="823">
      <c r="A823" s="49"/>
      <c r="B823" s="49"/>
      <c r="C823" s="49"/>
      <c r="D823" s="49"/>
      <c r="E823" s="49"/>
      <c r="F823" s="19">
        <v>0.0</v>
      </c>
      <c r="G823" s="19" t="b">
        <v>0</v>
      </c>
    </row>
    <row r="824">
      <c r="A824" s="49"/>
      <c r="B824" s="49"/>
      <c r="C824" s="49"/>
      <c r="D824" s="49"/>
      <c r="E824" s="49"/>
      <c r="F824" s="19">
        <v>0.0</v>
      </c>
      <c r="G824" s="19" t="b">
        <v>0</v>
      </c>
    </row>
    <row r="825">
      <c r="A825" s="49"/>
      <c r="B825" s="49"/>
      <c r="C825" s="49"/>
      <c r="D825" s="49"/>
      <c r="E825" s="49"/>
      <c r="F825" s="19">
        <v>0.0</v>
      </c>
      <c r="G825" s="19" t="b">
        <v>0</v>
      </c>
    </row>
    <row r="826">
      <c r="A826" s="49"/>
      <c r="B826" s="49"/>
      <c r="C826" s="49"/>
      <c r="D826" s="49"/>
      <c r="E826" s="49"/>
      <c r="F826" s="19">
        <v>0.0</v>
      </c>
      <c r="G826" s="19" t="b">
        <v>0</v>
      </c>
    </row>
    <row r="827">
      <c r="A827" s="49"/>
      <c r="B827" s="49"/>
      <c r="C827" s="49"/>
      <c r="D827" s="49"/>
      <c r="E827" s="49"/>
      <c r="F827" s="19">
        <v>0.0</v>
      </c>
      <c r="G827" s="19" t="b">
        <v>0</v>
      </c>
    </row>
    <row r="828">
      <c r="A828" s="49"/>
      <c r="B828" s="49"/>
      <c r="C828" s="49"/>
      <c r="D828" s="49"/>
      <c r="E828" s="49"/>
      <c r="F828" s="19">
        <v>0.0</v>
      </c>
      <c r="G828" s="19" t="b">
        <v>0</v>
      </c>
    </row>
    <row r="829">
      <c r="A829" s="49"/>
      <c r="B829" s="49"/>
      <c r="C829" s="49"/>
      <c r="D829" s="49"/>
      <c r="E829" s="49"/>
      <c r="F829" s="19">
        <v>0.0</v>
      </c>
      <c r="G829" s="19" t="b">
        <v>0</v>
      </c>
    </row>
    <row r="830">
      <c r="A830" s="49"/>
      <c r="B830" s="49"/>
      <c r="C830" s="49"/>
      <c r="D830" s="49"/>
      <c r="E830" s="49"/>
      <c r="F830" s="19">
        <v>0.0</v>
      </c>
      <c r="G830" s="19" t="b">
        <v>0</v>
      </c>
    </row>
    <row r="831">
      <c r="A831" s="49"/>
      <c r="B831" s="49"/>
      <c r="C831" s="49"/>
      <c r="D831" s="49"/>
      <c r="E831" s="49"/>
      <c r="F831" s="19">
        <v>0.0</v>
      </c>
      <c r="G831" s="19" t="b">
        <v>0</v>
      </c>
    </row>
    <row r="832">
      <c r="A832" s="49"/>
      <c r="B832" s="49"/>
      <c r="C832" s="49"/>
      <c r="D832" s="49"/>
      <c r="E832" s="49"/>
      <c r="F832" s="19">
        <v>0.0</v>
      </c>
      <c r="G832" s="19" t="b">
        <v>0</v>
      </c>
    </row>
    <row r="833">
      <c r="A833" s="49"/>
      <c r="B833" s="49"/>
      <c r="C833" s="49"/>
      <c r="D833" s="49"/>
      <c r="E833" s="49"/>
      <c r="F833" s="19">
        <v>0.0</v>
      </c>
      <c r="G833" s="19" t="b">
        <v>0</v>
      </c>
    </row>
    <row r="834">
      <c r="A834" s="49"/>
      <c r="B834" s="49"/>
      <c r="C834" s="49"/>
      <c r="D834" s="49"/>
      <c r="E834" s="49"/>
      <c r="F834" s="19">
        <v>0.0</v>
      </c>
      <c r="G834" s="19" t="b">
        <v>0</v>
      </c>
    </row>
    <row r="835">
      <c r="A835" s="49"/>
      <c r="B835" s="49"/>
      <c r="C835" s="49"/>
      <c r="D835" s="49"/>
      <c r="E835" s="49"/>
      <c r="F835" s="19">
        <v>0.0</v>
      </c>
      <c r="G835" s="19" t="b">
        <v>0</v>
      </c>
    </row>
    <row r="836">
      <c r="A836" s="49"/>
      <c r="B836" s="49"/>
      <c r="C836" s="49"/>
      <c r="D836" s="49"/>
      <c r="E836" s="49"/>
      <c r="F836" s="19">
        <v>0.0</v>
      </c>
      <c r="G836" s="19" t="b">
        <v>0</v>
      </c>
    </row>
    <row r="837">
      <c r="A837" s="49"/>
      <c r="B837" s="49"/>
      <c r="C837" s="49"/>
      <c r="D837" s="49"/>
      <c r="E837" s="49"/>
      <c r="F837" s="19">
        <v>0.0</v>
      </c>
      <c r="G837" s="19" t="b">
        <v>0</v>
      </c>
    </row>
    <row r="838">
      <c r="A838" s="49"/>
      <c r="B838" s="49"/>
      <c r="C838" s="49"/>
      <c r="D838" s="49"/>
      <c r="E838" s="49"/>
      <c r="F838" s="19">
        <v>0.0</v>
      </c>
      <c r="G838" s="19" t="b">
        <v>0</v>
      </c>
    </row>
    <row r="839">
      <c r="A839" s="49"/>
      <c r="B839" s="49"/>
      <c r="C839" s="49"/>
      <c r="D839" s="49"/>
      <c r="E839" s="49"/>
      <c r="F839" s="19">
        <v>0.0</v>
      </c>
      <c r="G839" s="19" t="b">
        <v>0</v>
      </c>
    </row>
    <row r="840">
      <c r="A840" s="49"/>
      <c r="B840" s="49"/>
      <c r="C840" s="49"/>
      <c r="D840" s="49"/>
      <c r="E840" s="49"/>
      <c r="F840" s="19">
        <v>0.0</v>
      </c>
      <c r="G840" s="19" t="b">
        <v>0</v>
      </c>
    </row>
    <row r="841">
      <c r="A841" s="49"/>
      <c r="B841" s="49"/>
      <c r="C841" s="49"/>
      <c r="D841" s="49"/>
      <c r="E841" s="49"/>
      <c r="F841" s="19">
        <v>0.0</v>
      </c>
      <c r="G841" s="19" t="b">
        <v>0</v>
      </c>
    </row>
    <row r="842">
      <c r="A842" s="49"/>
      <c r="B842" s="49"/>
      <c r="C842" s="49"/>
      <c r="D842" s="49"/>
      <c r="E842" s="49"/>
      <c r="F842" s="19">
        <v>0.0</v>
      </c>
      <c r="G842" s="19" t="b">
        <v>0</v>
      </c>
    </row>
    <row r="843">
      <c r="A843" s="49"/>
      <c r="B843" s="49"/>
      <c r="C843" s="49"/>
      <c r="D843" s="49"/>
      <c r="E843" s="49"/>
      <c r="F843" s="19">
        <v>0.0</v>
      </c>
      <c r="G843" s="19" t="b">
        <v>0</v>
      </c>
    </row>
    <row r="844">
      <c r="A844" s="49"/>
      <c r="B844" s="49"/>
      <c r="C844" s="49"/>
      <c r="D844" s="49"/>
      <c r="E844" s="49"/>
      <c r="F844" s="19">
        <v>0.0</v>
      </c>
      <c r="G844" s="19" t="b">
        <v>0</v>
      </c>
    </row>
    <row r="845">
      <c r="A845" s="49"/>
      <c r="B845" s="49"/>
      <c r="C845" s="49"/>
      <c r="D845" s="49"/>
      <c r="E845" s="49"/>
      <c r="F845" s="19">
        <v>0.0</v>
      </c>
      <c r="G845" s="19" t="b">
        <v>0</v>
      </c>
    </row>
    <row r="846">
      <c r="A846" s="49"/>
      <c r="B846" s="49"/>
      <c r="C846" s="49"/>
      <c r="D846" s="49"/>
      <c r="E846" s="49"/>
      <c r="F846" s="19">
        <v>0.0</v>
      </c>
      <c r="G846" s="19" t="b">
        <v>0</v>
      </c>
    </row>
    <row r="847">
      <c r="A847" s="49"/>
      <c r="B847" s="49"/>
      <c r="C847" s="49"/>
      <c r="D847" s="49"/>
      <c r="E847" s="49"/>
      <c r="F847" s="19">
        <v>0.0</v>
      </c>
      <c r="G847" s="19" t="b">
        <v>0</v>
      </c>
    </row>
    <row r="848">
      <c r="A848" s="49"/>
      <c r="B848" s="49"/>
      <c r="C848" s="49"/>
      <c r="D848" s="49"/>
      <c r="E848" s="49"/>
      <c r="F848" s="19">
        <v>0.0</v>
      </c>
      <c r="G848" s="19" t="b">
        <v>0</v>
      </c>
    </row>
    <row r="849">
      <c r="A849" s="49"/>
      <c r="B849" s="49"/>
      <c r="C849" s="49"/>
      <c r="D849" s="49"/>
      <c r="E849" s="49"/>
      <c r="F849" s="19">
        <v>0.0</v>
      </c>
      <c r="G849" s="19" t="b">
        <v>0</v>
      </c>
    </row>
    <row r="850">
      <c r="A850" s="49"/>
      <c r="B850" s="49"/>
      <c r="C850" s="49"/>
      <c r="D850" s="49"/>
      <c r="E850" s="49"/>
      <c r="F850" s="19">
        <v>0.0</v>
      </c>
      <c r="G850" s="19" t="b">
        <v>0</v>
      </c>
    </row>
    <row r="851">
      <c r="A851" s="49"/>
      <c r="B851" s="49"/>
      <c r="C851" s="49"/>
      <c r="D851" s="49"/>
      <c r="E851" s="49"/>
      <c r="F851" s="19">
        <v>0.0</v>
      </c>
      <c r="G851" s="19" t="b">
        <v>0</v>
      </c>
    </row>
    <row r="852">
      <c r="A852" s="49"/>
      <c r="B852" s="49"/>
      <c r="C852" s="49"/>
      <c r="D852" s="49"/>
      <c r="E852" s="49"/>
      <c r="F852" s="19">
        <v>0.0</v>
      </c>
      <c r="G852" s="19" t="b">
        <v>0</v>
      </c>
    </row>
    <row r="853">
      <c r="A853" s="49"/>
      <c r="B853" s="49"/>
      <c r="C853" s="49"/>
      <c r="D853" s="49"/>
      <c r="E853" s="49"/>
      <c r="F853" s="19">
        <v>0.0</v>
      </c>
      <c r="G853" s="19" t="b">
        <v>0</v>
      </c>
    </row>
    <row r="854">
      <c r="A854" s="49"/>
      <c r="B854" s="49"/>
      <c r="C854" s="49"/>
      <c r="D854" s="49"/>
      <c r="E854" s="49"/>
      <c r="F854" s="19">
        <v>0.0</v>
      </c>
      <c r="G854" s="19" t="b">
        <v>0</v>
      </c>
    </row>
    <row r="855">
      <c r="A855" s="49"/>
      <c r="B855" s="49"/>
      <c r="C855" s="49"/>
      <c r="D855" s="49"/>
      <c r="E855" s="49"/>
      <c r="F855" s="19">
        <v>0.0</v>
      </c>
      <c r="G855" s="19" t="b">
        <v>0</v>
      </c>
    </row>
    <row r="856">
      <c r="A856" s="49"/>
      <c r="B856" s="49"/>
      <c r="C856" s="49"/>
      <c r="D856" s="49"/>
      <c r="E856" s="49"/>
      <c r="F856" s="19">
        <v>0.0</v>
      </c>
      <c r="G856" s="19" t="b">
        <v>0</v>
      </c>
    </row>
    <row r="857">
      <c r="A857" s="49"/>
      <c r="B857" s="49"/>
      <c r="C857" s="49"/>
      <c r="D857" s="49"/>
      <c r="E857" s="49"/>
      <c r="F857" s="19">
        <v>0.0</v>
      </c>
      <c r="G857" s="19" t="b">
        <v>0</v>
      </c>
    </row>
    <row r="858">
      <c r="A858" s="49"/>
      <c r="B858" s="49"/>
      <c r="C858" s="49"/>
      <c r="D858" s="49"/>
      <c r="E858" s="49"/>
      <c r="F858" s="19">
        <v>0.0</v>
      </c>
      <c r="G858" s="19" t="b">
        <v>0</v>
      </c>
    </row>
    <row r="859">
      <c r="A859" s="49"/>
      <c r="B859" s="49"/>
      <c r="C859" s="49"/>
      <c r="D859" s="49"/>
      <c r="E859" s="49"/>
      <c r="F859" s="19">
        <v>0.0</v>
      </c>
      <c r="G859" s="19" t="b">
        <v>0</v>
      </c>
    </row>
    <row r="860">
      <c r="A860" s="49"/>
      <c r="B860" s="49"/>
      <c r="C860" s="49"/>
      <c r="D860" s="49"/>
      <c r="E860" s="49"/>
      <c r="F860" s="19">
        <v>0.0</v>
      </c>
      <c r="G860" s="19" t="b">
        <v>0</v>
      </c>
    </row>
    <row r="861">
      <c r="A861" s="49"/>
      <c r="B861" s="49"/>
      <c r="C861" s="49"/>
      <c r="D861" s="49"/>
      <c r="E861" s="49"/>
      <c r="F861" s="19">
        <v>0.0</v>
      </c>
      <c r="G861" s="19" t="b">
        <v>0</v>
      </c>
    </row>
    <row r="862">
      <c r="A862" s="49"/>
      <c r="B862" s="49"/>
      <c r="C862" s="49"/>
      <c r="D862" s="49"/>
      <c r="E862" s="49"/>
      <c r="F862" s="19">
        <v>0.0</v>
      </c>
      <c r="G862" s="19" t="b">
        <v>0</v>
      </c>
    </row>
    <row r="863">
      <c r="A863" s="49"/>
      <c r="B863" s="49"/>
      <c r="C863" s="49"/>
      <c r="D863" s="49"/>
      <c r="E863" s="49"/>
      <c r="F863" s="19">
        <v>0.0</v>
      </c>
      <c r="G863" s="19" t="b">
        <v>0</v>
      </c>
    </row>
    <row r="864">
      <c r="A864" s="49"/>
      <c r="B864" s="49"/>
      <c r="C864" s="49"/>
      <c r="D864" s="49"/>
      <c r="E864" s="49"/>
      <c r="F864" s="19">
        <v>0.0</v>
      </c>
      <c r="G864" s="19" t="b">
        <v>0</v>
      </c>
    </row>
    <row r="865">
      <c r="A865" s="49"/>
      <c r="B865" s="49"/>
      <c r="C865" s="49"/>
      <c r="D865" s="49"/>
      <c r="E865" s="49"/>
      <c r="F865" s="19">
        <v>0.0</v>
      </c>
      <c r="G865" s="19" t="b">
        <v>0</v>
      </c>
    </row>
    <row r="866">
      <c r="A866" s="49"/>
      <c r="B866" s="49"/>
      <c r="C866" s="49"/>
      <c r="D866" s="49"/>
      <c r="E866" s="49"/>
      <c r="F866" s="19">
        <v>0.0</v>
      </c>
      <c r="G866" s="19" t="b">
        <v>0</v>
      </c>
    </row>
    <row r="867">
      <c r="A867" s="49"/>
      <c r="B867" s="49"/>
      <c r="C867" s="49"/>
      <c r="D867" s="49"/>
      <c r="E867" s="49"/>
      <c r="F867" s="19">
        <v>0.0</v>
      </c>
      <c r="G867" s="19" t="b">
        <v>0</v>
      </c>
    </row>
    <row r="868">
      <c r="A868" s="49"/>
      <c r="B868" s="49"/>
      <c r="C868" s="49"/>
      <c r="D868" s="49"/>
      <c r="E868" s="49"/>
      <c r="F868" s="19">
        <v>0.0</v>
      </c>
      <c r="G868" s="19" t="b">
        <v>0</v>
      </c>
    </row>
    <row r="869">
      <c r="A869" s="49"/>
      <c r="B869" s="49"/>
      <c r="C869" s="49"/>
      <c r="D869" s="49"/>
      <c r="E869" s="49"/>
      <c r="F869" s="19">
        <v>0.0</v>
      </c>
      <c r="G869" s="19" t="b">
        <v>0</v>
      </c>
    </row>
    <row r="870">
      <c r="A870" s="49"/>
      <c r="B870" s="49"/>
      <c r="C870" s="49"/>
      <c r="D870" s="49"/>
      <c r="E870" s="49"/>
      <c r="F870" s="19">
        <v>0.0</v>
      </c>
      <c r="G870" s="19" t="b">
        <v>0</v>
      </c>
    </row>
    <row r="871">
      <c r="A871" s="49"/>
      <c r="B871" s="49"/>
      <c r="C871" s="49"/>
      <c r="D871" s="49"/>
      <c r="E871" s="49"/>
      <c r="F871" s="19">
        <v>0.0</v>
      </c>
      <c r="G871" s="19" t="b">
        <v>0</v>
      </c>
    </row>
    <row r="872">
      <c r="A872" s="49"/>
      <c r="B872" s="49"/>
      <c r="C872" s="49"/>
      <c r="D872" s="49"/>
      <c r="E872" s="49"/>
      <c r="F872" s="19">
        <v>0.0</v>
      </c>
      <c r="G872" s="19" t="b">
        <v>0</v>
      </c>
    </row>
    <row r="873">
      <c r="A873" s="49"/>
      <c r="B873" s="49"/>
      <c r="C873" s="49"/>
      <c r="D873" s="49"/>
      <c r="E873" s="49"/>
      <c r="F873" s="19">
        <v>0.0</v>
      </c>
      <c r="G873" s="19" t="b">
        <v>0</v>
      </c>
    </row>
    <row r="874">
      <c r="A874" s="49"/>
      <c r="B874" s="49"/>
      <c r="C874" s="49"/>
      <c r="D874" s="49"/>
      <c r="E874" s="49"/>
      <c r="F874" s="19">
        <v>0.0</v>
      </c>
      <c r="G874" s="19" t="b">
        <v>0</v>
      </c>
    </row>
    <row r="875">
      <c r="A875" s="49"/>
      <c r="B875" s="49"/>
      <c r="C875" s="49"/>
      <c r="D875" s="49"/>
      <c r="E875" s="49"/>
      <c r="F875" s="19">
        <v>0.0</v>
      </c>
      <c r="G875" s="19" t="b">
        <v>0</v>
      </c>
    </row>
    <row r="876">
      <c r="A876" s="49"/>
      <c r="B876" s="49"/>
      <c r="C876" s="49"/>
      <c r="D876" s="49"/>
      <c r="E876" s="49"/>
      <c r="F876" s="19">
        <v>0.0</v>
      </c>
      <c r="G876" s="19" t="b">
        <v>0</v>
      </c>
    </row>
    <row r="877">
      <c r="A877" s="49"/>
      <c r="B877" s="49"/>
      <c r="C877" s="49"/>
      <c r="D877" s="49"/>
      <c r="E877" s="49"/>
      <c r="F877" s="19">
        <v>0.0</v>
      </c>
      <c r="G877" s="19" t="b">
        <v>0</v>
      </c>
    </row>
    <row r="878">
      <c r="A878" s="49"/>
      <c r="B878" s="49"/>
      <c r="C878" s="49"/>
      <c r="D878" s="49"/>
      <c r="E878" s="49"/>
      <c r="F878" s="19">
        <v>0.0</v>
      </c>
      <c r="G878" s="19" t="b">
        <v>0</v>
      </c>
    </row>
    <row r="879">
      <c r="A879" s="49"/>
      <c r="B879" s="49"/>
      <c r="C879" s="49"/>
      <c r="D879" s="49"/>
      <c r="E879" s="49"/>
      <c r="F879" s="19">
        <v>0.0</v>
      </c>
      <c r="G879" s="19" t="b">
        <v>0</v>
      </c>
    </row>
    <row r="880">
      <c r="A880" s="49"/>
      <c r="B880" s="49"/>
      <c r="C880" s="49"/>
      <c r="D880" s="49"/>
      <c r="E880" s="49"/>
      <c r="F880" s="19">
        <v>0.0</v>
      </c>
      <c r="G880" s="19" t="b">
        <v>0</v>
      </c>
    </row>
    <row r="881">
      <c r="A881" s="49"/>
      <c r="B881" s="49"/>
      <c r="C881" s="49"/>
      <c r="D881" s="49"/>
      <c r="E881" s="49"/>
      <c r="F881" s="19">
        <v>0.0</v>
      </c>
      <c r="G881" s="19" t="b">
        <v>0</v>
      </c>
    </row>
    <row r="882">
      <c r="A882" s="49"/>
      <c r="B882" s="49"/>
      <c r="C882" s="49"/>
      <c r="D882" s="49"/>
      <c r="E882" s="49"/>
      <c r="F882" s="19">
        <v>0.0</v>
      </c>
      <c r="G882" s="19" t="b">
        <v>0</v>
      </c>
    </row>
    <row r="883">
      <c r="A883" s="49"/>
      <c r="B883" s="49"/>
      <c r="C883" s="49"/>
      <c r="D883" s="49"/>
      <c r="E883" s="49"/>
      <c r="F883" s="19">
        <v>0.0</v>
      </c>
      <c r="G883" s="19" t="b">
        <v>0</v>
      </c>
    </row>
    <row r="884">
      <c r="A884" s="49"/>
      <c r="B884" s="49"/>
      <c r="C884" s="49"/>
      <c r="D884" s="49"/>
      <c r="E884" s="49"/>
      <c r="F884" s="19">
        <v>0.0</v>
      </c>
      <c r="G884" s="19" t="b">
        <v>0</v>
      </c>
    </row>
    <row r="885">
      <c r="A885" s="49"/>
      <c r="B885" s="49"/>
      <c r="C885" s="49"/>
      <c r="D885" s="49"/>
      <c r="E885" s="49"/>
      <c r="F885" s="19">
        <v>0.0</v>
      </c>
      <c r="G885" s="19" t="b">
        <v>0</v>
      </c>
    </row>
    <row r="886">
      <c r="A886" s="49"/>
      <c r="B886" s="49"/>
      <c r="C886" s="49"/>
      <c r="D886" s="49"/>
      <c r="E886" s="49"/>
      <c r="F886" s="19">
        <v>0.0</v>
      </c>
      <c r="G886" s="19" t="b">
        <v>0</v>
      </c>
    </row>
    <row r="887">
      <c r="A887" s="49"/>
      <c r="B887" s="49"/>
      <c r="C887" s="49"/>
      <c r="D887" s="49"/>
      <c r="E887" s="49"/>
      <c r="F887" s="19">
        <v>0.0</v>
      </c>
      <c r="G887" s="19" t="b">
        <v>0</v>
      </c>
    </row>
    <row r="888">
      <c r="A888" s="49"/>
      <c r="B888" s="49"/>
      <c r="C888" s="49"/>
      <c r="D888" s="49"/>
      <c r="E888" s="49"/>
      <c r="F888" s="19">
        <v>0.0</v>
      </c>
      <c r="G888" s="19" t="b">
        <v>0</v>
      </c>
    </row>
    <row r="889">
      <c r="A889" s="49"/>
      <c r="B889" s="49"/>
      <c r="C889" s="49"/>
      <c r="D889" s="49"/>
      <c r="E889" s="49"/>
      <c r="F889" s="19">
        <v>0.0</v>
      </c>
      <c r="G889" s="19" t="b">
        <v>0</v>
      </c>
    </row>
    <row r="890">
      <c r="A890" s="49"/>
      <c r="B890" s="49"/>
      <c r="C890" s="49"/>
      <c r="D890" s="49"/>
      <c r="E890" s="49"/>
      <c r="F890" s="19">
        <v>0.0</v>
      </c>
      <c r="G890" s="19" t="b">
        <v>0</v>
      </c>
    </row>
    <row r="891">
      <c r="A891" s="49"/>
      <c r="B891" s="49"/>
      <c r="C891" s="49"/>
      <c r="D891" s="49"/>
      <c r="E891" s="49"/>
      <c r="F891" s="19">
        <v>0.0</v>
      </c>
      <c r="G891" s="19" t="b">
        <v>0</v>
      </c>
    </row>
    <row r="892">
      <c r="A892" s="49"/>
      <c r="B892" s="49"/>
      <c r="C892" s="49"/>
      <c r="D892" s="49"/>
      <c r="E892" s="49"/>
      <c r="F892" s="19">
        <v>0.0</v>
      </c>
      <c r="G892" s="19" t="b">
        <v>0</v>
      </c>
    </row>
    <row r="893">
      <c r="A893" s="49"/>
      <c r="B893" s="49"/>
      <c r="C893" s="49"/>
      <c r="D893" s="49"/>
      <c r="E893" s="49"/>
      <c r="F893" s="19">
        <v>0.0</v>
      </c>
      <c r="G893" s="19" t="b">
        <v>0</v>
      </c>
    </row>
    <row r="894">
      <c r="A894" s="49"/>
      <c r="B894" s="49"/>
      <c r="C894" s="49"/>
      <c r="D894" s="49"/>
      <c r="E894" s="49"/>
      <c r="F894" s="19">
        <v>0.0</v>
      </c>
      <c r="G894" s="19" t="b">
        <v>0</v>
      </c>
    </row>
    <row r="895">
      <c r="A895" s="49"/>
      <c r="B895" s="49"/>
      <c r="C895" s="49"/>
      <c r="D895" s="49"/>
      <c r="E895" s="49"/>
      <c r="F895" s="19">
        <v>0.0</v>
      </c>
      <c r="G895" s="19" t="b">
        <v>0</v>
      </c>
    </row>
    <row r="896">
      <c r="A896" s="49"/>
      <c r="B896" s="49"/>
      <c r="C896" s="49"/>
      <c r="D896" s="49"/>
      <c r="E896" s="49"/>
      <c r="F896" s="19">
        <v>0.0</v>
      </c>
      <c r="G896" s="19" t="b">
        <v>0</v>
      </c>
    </row>
    <row r="897">
      <c r="A897" s="49"/>
      <c r="B897" s="49"/>
      <c r="C897" s="49"/>
      <c r="D897" s="49"/>
      <c r="E897" s="49"/>
      <c r="F897" s="19">
        <v>0.0</v>
      </c>
      <c r="G897" s="19" t="b">
        <v>0</v>
      </c>
    </row>
    <row r="898">
      <c r="A898" s="49"/>
      <c r="B898" s="49"/>
      <c r="C898" s="49"/>
      <c r="D898" s="49"/>
      <c r="E898" s="49"/>
      <c r="F898" s="19">
        <v>0.0</v>
      </c>
      <c r="G898" s="19" t="b">
        <v>0</v>
      </c>
    </row>
    <row r="899">
      <c r="A899" s="49"/>
      <c r="B899" s="49"/>
      <c r="C899" s="49"/>
      <c r="D899" s="49"/>
      <c r="E899" s="49"/>
      <c r="F899" s="19">
        <v>0.0</v>
      </c>
      <c r="G899" s="19" t="b">
        <v>0</v>
      </c>
    </row>
    <row r="900">
      <c r="A900" s="49"/>
      <c r="B900" s="49"/>
      <c r="C900" s="49"/>
      <c r="D900" s="49"/>
      <c r="E900" s="49"/>
      <c r="F900" s="19">
        <v>0.0</v>
      </c>
      <c r="G900" s="19" t="b">
        <v>0</v>
      </c>
    </row>
    <row r="901">
      <c r="A901" s="49"/>
      <c r="B901" s="49"/>
      <c r="C901" s="49"/>
      <c r="D901" s="49"/>
      <c r="E901" s="49"/>
      <c r="F901" s="19">
        <v>0.0</v>
      </c>
      <c r="G901" s="19" t="b">
        <v>0</v>
      </c>
    </row>
    <row r="902">
      <c r="A902" s="49"/>
      <c r="B902" s="49"/>
      <c r="C902" s="49"/>
      <c r="D902" s="49"/>
      <c r="E902" s="49"/>
      <c r="F902" s="19">
        <v>0.0</v>
      </c>
      <c r="G902" s="19" t="b">
        <v>0</v>
      </c>
    </row>
    <row r="903">
      <c r="A903" s="49"/>
      <c r="B903" s="49"/>
      <c r="C903" s="49"/>
      <c r="D903" s="49"/>
      <c r="E903" s="49"/>
      <c r="F903" s="19">
        <v>0.0</v>
      </c>
      <c r="G903" s="19" t="b">
        <v>0</v>
      </c>
    </row>
    <row r="904">
      <c r="A904" s="49"/>
      <c r="B904" s="49"/>
      <c r="C904" s="49"/>
      <c r="D904" s="49"/>
      <c r="E904" s="49"/>
      <c r="F904" s="19">
        <v>0.0</v>
      </c>
      <c r="G904" s="19" t="b">
        <v>0</v>
      </c>
    </row>
    <row r="905">
      <c r="A905" s="49"/>
      <c r="B905" s="49"/>
      <c r="C905" s="49"/>
      <c r="D905" s="49"/>
      <c r="E905" s="49"/>
      <c r="F905" s="19">
        <v>0.0</v>
      </c>
      <c r="G905" s="19" t="b">
        <v>0</v>
      </c>
    </row>
    <row r="906">
      <c r="A906" s="49"/>
      <c r="B906" s="49"/>
      <c r="C906" s="49"/>
      <c r="D906" s="49"/>
      <c r="E906" s="49"/>
      <c r="F906" s="19">
        <v>0.0</v>
      </c>
      <c r="G906" s="19" t="b">
        <v>0</v>
      </c>
    </row>
    <row r="907">
      <c r="A907" s="49"/>
      <c r="B907" s="49"/>
      <c r="C907" s="49"/>
      <c r="D907" s="49"/>
      <c r="E907" s="49"/>
      <c r="F907" s="19">
        <v>0.0</v>
      </c>
      <c r="G907" s="19" t="b">
        <v>0</v>
      </c>
    </row>
    <row r="908">
      <c r="A908" s="49"/>
      <c r="B908" s="49"/>
      <c r="C908" s="49"/>
      <c r="D908" s="49"/>
      <c r="E908" s="49"/>
      <c r="F908" s="19">
        <v>0.0</v>
      </c>
      <c r="G908" s="19" t="b">
        <v>0</v>
      </c>
    </row>
    <row r="909">
      <c r="A909" s="49"/>
      <c r="B909" s="49"/>
      <c r="C909" s="49"/>
      <c r="D909" s="49"/>
      <c r="E909" s="49"/>
      <c r="F909" s="19">
        <v>0.0</v>
      </c>
      <c r="G909" s="19" t="b">
        <v>0</v>
      </c>
    </row>
    <row r="910">
      <c r="A910" s="49"/>
      <c r="B910" s="49"/>
      <c r="C910" s="49"/>
      <c r="D910" s="49"/>
      <c r="E910" s="49"/>
      <c r="F910" s="19">
        <v>0.0</v>
      </c>
      <c r="G910" s="19" t="b">
        <v>0</v>
      </c>
    </row>
    <row r="911">
      <c r="A911" s="49"/>
      <c r="B911" s="49"/>
      <c r="C911" s="49"/>
      <c r="D911" s="49"/>
      <c r="E911" s="49"/>
      <c r="F911" s="19">
        <v>0.0</v>
      </c>
      <c r="G911" s="19" t="b">
        <v>0</v>
      </c>
    </row>
    <row r="912">
      <c r="A912" s="49"/>
      <c r="B912" s="49"/>
      <c r="C912" s="49"/>
      <c r="D912" s="49"/>
      <c r="E912" s="49"/>
      <c r="F912" s="19">
        <v>0.0</v>
      </c>
      <c r="G912" s="19" t="b">
        <v>0</v>
      </c>
    </row>
    <row r="913">
      <c r="A913" s="49"/>
      <c r="B913" s="49"/>
      <c r="C913" s="49"/>
      <c r="D913" s="49"/>
      <c r="E913" s="49"/>
      <c r="F913" s="19">
        <v>0.0</v>
      </c>
      <c r="G913" s="19" t="b">
        <v>0</v>
      </c>
    </row>
    <row r="914">
      <c r="A914" s="49"/>
      <c r="B914" s="49"/>
      <c r="C914" s="49"/>
      <c r="D914" s="49"/>
      <c r="E914" s="49"/>
      <c r="F914" s="19">
        <v>0.0</v>
      </c>
      <c r="G914" s="19" t="b">
        <v>0</v>
      </c>
    </row>
    <row r="915">
      <c r="A915" s="49"/>
      <c r="B915" s="49"/>
      <c r="C915" s="49"/>
      <c r="D915" s="49"/>
      <c r="E915" s="49"/>
      <c r="F915" s="19">
        <v>0.0</v>
      </c>
      <c r="G915" s="19" t="b">
        <v>0</v>
      </c>
    </row>
    <row r="916">
      <c r="A916" s="49"/>
      <c r="B916" s="49"/>
      <c r="C916" s="49"/>
      <c r="D916" s="49"/>
      <c r="E916" s="49"/>
      <c r="F916" s="19">
        <v>0.0</v>
      </c>
      <c r="G916" s="19" t="b">
        <v>0</v>
      </c>
    </row>
    <row r="917">
      <c r="A917" s="49"/>
      <c r="B917" s="49"/>
      <c r="C917" s="49"/>
      <c r="D917" s="49"/>
      <c r="E917" s="49"/>
      <c r="F917" s="19">
        <v>0.0</v>
      </c>
      <c r="G917" s="19" t="b">
        <v>0</v>
      </c>
    </row>
    <row r="918">
      <c r="A918" s="49"/>
      <c r="B918" s="49"/>
      <c r="C918" s="49"/>
      <c r="D918" s="49"/>
      <c r="E918" s="49"/>
      <c r="F918" s="19">
        <v>0.0</v>
      </c>
      <c r="G918" s="19" t="b">
        <v>0</v>
      </c>
    </row>
    <row r="919">
      <c r="A919" s="49"/>
      <c r="B919" s="49"/>
      <c r="C919" s="49"/>
      <c r="D919" s="49"/>
      <c r="E919" s="49"/>
      <c r="F919" s="19">
        <v>0.0</v>
      </c>
      <c r="G919" s="19" t="b">
        <v>0</v>
      </c>
    </row>
    <row r="920">
      <c r="A920" s="49"/>
      <c r="B920" s="49"/>
      <c r="C920" s="49"/>
      <c r="D920" s="49"/>
      <c r="E920" s="49"/>
      <c r="F920" s="19">
        <v>0.0</v>
      </c>
      <c r="G920" s="19" t="b">
        <v>0</v>
      </c>
    </row>
    <row r="921">
      <c r="A921" s="49"/>
      <c r="B921" s="49"/>
      <c r="C921" s="49"/>
      <c r="D921" s="49"/>
      <c r="E921" s="49"/>
      <c r="F921" s="19">
        <v>0.0</v>
      </c>
      <c r="G921" s="19" t="b">
        <v>0</v>
      </c>
    </row>
    <row r="922">
      <c r="A922" s="49"/>
      <c r="B922" s="49"/>
      <c r="C922" s="49"/>
      <c r="D922" s="49"/>
      <c r="E922" s="49"/>
      <c r="F922" s="19">
        <v>0.0</v>
      </c>
      <c r="G922" s="19" t="b">
        <v>0</v>
      </c>
    </row>
    <row r="923">
      <c r="A923" s="49"/>
      <c r="B923" s="49"/>
      <c r="C923" s="49"/>
      <c r="D923" s="49"/>
      <c r="E923" s="49"/>
      <c r="F923" s="19">
        <v>0.0</v>
      </c>
      <c r="G923" s="19" t="b">
        <v>0</v>
      </c>
    </row>
    <row r="924">
      <c r="A924" s="49"/>
      <c r="B924" s="49"/>
      <c r="C924" s="49"/>
      <c r="D924" s="49"/>
      <c r="E924" s="49"/>
      <c r="F924" s="19">
        <v>0.0</v>
      </c>
      <c r="G924" s="19" t="b">
        <v>0</v>
      </c>
    </row>
    <row r="925">
      <c r="A925" s="49"/>
      <c r="B925" s="49"/>
      <c r="C925" s="49"/>
      <c r="D925" s="49"/>
      <c r="E925" s="49"/>
      <c r="F925" s="19">
        <v>0.0</v>
      </c>
      <c r="G925" s="19" t="b">
        <v>0</v>
      </c>
    </row>
    <row r="926">
      <c r="A926" s="49"/>
      <c r="B926" s="49"/>
      <c r="C926" s="49"/>
      <c r="D926" s="49"/>
      <c r="E926" s="49"/>
      <c r="F926" s="19">
        <v>0.0</v>
      </c>
      <c r="G926" s="19" t="b">
        <v>0</v>
      </c>
    </row>
    <row r="927">
      <c r="A927" s="49"/>
      <c r="B927" s="49"/>
      <c r="C927" s="49"/>
      <c r="D927" s="49"/>
      <c r="E927" s="49"/>
      <c r="F927" s="19">
        <v>0.0</v>
      </c>
      <c r="G927" s="19" t="b">
        <v>0</v>
      </c>
    </row>
    <row r="928">
      <c r="A928" s="49"/>
      <c r="B928" s="49"/>
      <c r="C928" s="49"/>
      <c r="D928" s="49"/>
      <c r="E928" s="49"/>
      <c r="F928" s="19">
        <v>0.0</v>
      </c>
      <c r="G928" s="19" t="b">
        <v>0</v>
      </c>
    </row>
    <row r="929">
      <c r="A929" s="49"/>
      <c r="B929" s="49"/>
      <c r="C929" s="49"/>
      <c r="D929" s="49"/>
      <c r="E929" s="49"/>
      <c r="F929" s="19">
        <v>0.0</v>
      </c>
      <c r="G929" s="19" t="b">
        <v>0</v>
      </c>
    </row>
    <row r="930">
      <c r="A930" s="49"/>
      <c r="B930" s="49"/>
      <c r="C930" s="49"/>
      <c r="D930" s="49"/>
      <c r="E930" s="49"/>
      <c r="F930" s="19">
        <v>0.0</v>
      </c>
      <c r="G930" s="19" t="b">
        <v>0</v>
      </c>
    </row>
    <row r="931">
      <c r="A931" s="49"/>
      <c r="B931" s="49"/>
      <c r="C931" s="49"/>
      <c r="D931" s="49"/>
      <c r="E931" s="49"/>
      <c r="F931" s="19">
        <v>0.0</v>
      </c>
      <c r="G931" s="19" t="b">
        <v>0</v>
      </c>
    </row>
    <row r="932">
      <c r="A932" s="49"/>
      <c r="B932" s="49"/>
      <c r="C932" s="49"/>
      <c r="D932" s="49"/>
      <c r="E932" s="49"/>
      <c r="F932" s="19">
        <v>0.0</v>
      </c>
      <c r="G932" s="19" t="b">
        <v>0</v>
      </c>
    </row>
    <row r="933">
      <c r="A933" s="49"/>
      <c r="B933" s="49"/>
      <c r="C933" s="49"/>
      <c r="D933" s="49"/>
      <c r="E933" s="49"/>
      <c r="F933" s="19">
        <v>0.0</v>
      </c>
      <c r="G933" s="19" t="b">
        <v>0</v>
      </c>
    </row>
    <row r="934">
      <c r="A934" s="49"/>
      <c r="B934" s="49"/>
      <c r="C934" s="49"/>
      <c r="D934" s="49"/>
      <c r="E934" s="49"/>
      <c r="F934" s="19">
        <v>0.0</v>
      </c>
      <c r="G934" s="19" t="b">
        <v>0</v>
      </c>
    </row>
    <row r="935">
      <c r="A935" s="49"/>
      <c r="B935" s="49"/>
      <c r="C935" s="49"/>
      <c r="D935" s="49"/>
      <c r="E935" s="49"/>
      <c r="F935" s="19">
        <v>0.0</v>
      </c>
      <c r="G935" s="19" t="b">
        <v>0</v>
      </c>
    </row>
    <row r="936">
      <c r="A936" s="49"/>
      <c r="B936" s="49"/>
      <c r="C936" s="49"/>
      <c r="D936" s="49"/>
      <c r="E936" s="49"/>
      <c r="F936" s="19">
        <v>0.0</v>
      </c>
      <c r="G936" s="19" t="b">
        <v>0</v>
      </c>
    </row>
    <row r="937">
      <c r="A937" s="49"/>
      <c r="B937" s="49"/>
      <c r="C937" s="49"/>
      <c r="D937" s="49"/>
      <c r="E937" s="49"/>
      <c r="F937" s="19">
        <v>0.0</v>
      </c>
      <c r="G937" s="19" t="b">
        <v>0</v>
      </c>
    </row>
    <row r="938">
      <c r="A938" s="49"/>
      <c r="B938" s="49"/>
      <c r="C938" s="49"/>
      <c r="D938" s="49"/>
      <c r="E938" s="49"/>
      <c r="F938" s="19">
        <v>0.0</v>
      </c>
      <c r="G938" s="19" t="b">
        <v>0</v>
      </c>
    </row>
    <row r="939">
      <c r="A939" s="49"/>
      <c r="B939" s="49"/>
      <c r="C939" s="49"/>
      <c r="D939" s="49"/>
      <c r="E939" s="49"/>
      <c r="F939" s="19">
        <v>0.0</v>
      </c>
      <c r="G939" s="19" t="b">
        <v>0</v>
      </c>
    </row>
    <row r="940">
      <c r="A940" s="49"/>
      <c r="B940" s="49"/>
      <c r="C940" s="49"/>
      <c r="D940" s="49"/>
      <c r="E940" s="49"/>
      <c r="F940" s="19">
        <v>0.0</v>
      </c>
      <c r="G940" s="19" t="b">
        <v>0</v>
      </c>
    </row>
    <row r="941">
      <c r="A941" s="49"/>
      <c r="B941" s="49"/>
      <c r="C941" s="49"/>
      <c r="D941" s="49"/>
      <c r="E941" s="49"/>
      <c r="F941" s="19">
        <v>0.0</v>
      </c>
      <c r="G941" s="19" t="b">
        <v>0</v>
      </c>
    </row>
    <row r="942">
      <c r="A942" s="49"/>
      <c r="B942" s="49"/>
      <c r="C942" s="49"/>
      <c r="D942" s="49"/>
      <c r="E942" s="49"/>
      <c r="F942" s="19">
        <v>0.0</v>
      </c>
      <c r="G942" s="19" t="b">
        <v>0</v>
      </c>
    </row>
    <row r="943">
      <c r="A943" s="49"/>
      <c r="B943" s="49"/>
      <c r="C943" s="49"/>
      <c r="D943" s="49"/>
      <c r="E943" s="49"/>
      <c r="F943" s="19">
        <v>0.0</v>
      </c>
      <c r="G943" s="19" t="b">
        <v>0</v>
      </c>
    </row>
    <row r="944">
      <c r="A944" s="49"/>
      <c r="B944" s="49"/>
      <c r="C944" s="49"/>
      <c r="D944" s="49"/>
      <c r="E944" s="49"/>
      <c r="F944" s="19">
        <v>0.0</v>
      </c>
      <c r="G944" s="19" t="b">
        <v>0</v>
      </c>
    </row>
    <row r="945">
      <c r="A945" s="49"/>
      <c r="B945" s="49"/>
      <c r="C945" s="49"/>
      <c r="D945" s="49"/>
      <c r="E945" s="49"/>
      <c r="F945" s="19">
        <v>0.0</v>
      </c>
      <c r="G945" s="19" t="b">
        <v>0</v>
      </c>
    </row>
    <row r="946">
      <c r="A946" s="49"/>
      <c r="B946" s="49"/>
      <c r="C946" s="49"/>
      <c r="D946" s="49"/>
      <c r="E946" s="49"/>
      <c r="F946" s="19">
        <v>0.0</v>
      </c>
      <c r="G946" s="19" t="b">
        <v>0</v>
      </c>
    </row>
    <row r="947">
      <c r="A947" s="49"/>
      <c r="B947" s="49"/>
      <c r="C947" s="49"/>
      <c r="D947" s="49"/>
      <c r="E947" s="49"/>
      <c r="F947" s="19">
        <v>0.0</v>
      </c>
      <c r="G947" s="19" t="b">
        <v>0</v>
      </c>
    </row>
    <row r="948">
      <c r="A948" s="49"/>
      <c r="B948" s="49"/>
      <c r="C948" s="49"/>
      <c r="D948" s="49"/>
      <c r="E948" s="49"/>
      <c r="F948" s="19">
        <v>0.0</v>
      </c>
      <c r="G948" s="19" t="b">
        <v>0</v>
      </c>
    </row>
    <row r="949">
      <c r="A949" s="49"/>
      <c r="B949" s="49"/>
      <c r="C949" s="49"/>
      <c r="D949" s="49"/>
      <c r="E949" s="49"/>
      <c r="F949" s="19">
        <v>0.0</v>
      </c>
      <c r="G949" s="19" t="b">
        <v>0</v>
      </c>
    </row>
    <row r="950">
      <c r="A950" s="49"/>
      <c r="B950" s="49"/>
      <c r="C950" s="49"/>
      <c r="D950" s="49"/>
      <c r="E950" s="49"/>
      <c r="F950" s="19">
        <v>0.0</v>
      </c>
      <c r="G950" s="19" t="b">
        <v>0</v>
      </c>
    </row>
    <row r="951">
      <c r="A951" s="49"/>
      <c r="B951" s="49"/>
      <c r="C951" s="49"/>
      <c r="D951" s="49"/>
      <c r="E951" s="49"/>
      <c r="F951" s="19">
        <v>0.0</v>
      </c>
      <c r="G951" s="19" t="b">
        <v>0</v>
      </c>
    </row>
    <row r="952">
      <c r="A952" s="49"/>
      <c r="B952" s="49"/>
      <c r="C952" s="49"/>
      <c r="D952" s="49"/>
      <c r="E952" s="49"/>
      <c r="F952" s="19">
        <v>0.0</v>
      </c>
      <c r="G952" s="19" t="b">
        <v>0</v>
      </c>
    </row>
    <row r="953">
      <c r="A953" s="49"/>
      <c r="B953" s="49"/>
      <c r="C953" s="49"/>
      <c r="D953" s="49"/>
      <c r="E953" s="49"/>
      <c r="F953" s="19">
        <v>0.0</v>
      </c>
      <c r="G953" s="19" t="b">
        <v>0</v>
      </c>
    </row>
    <row r="954">
      <c r="A954" s="49"/>
      <c r="B954" s="49"/>
      <c r="C954" s="49"/>
      <c r="D954" s="49"/>
      <c r="E954" s="49"/>
      <c r="F954" s="19">
        <v>0.0</v>
      </c>
      <c r="G954" s="19" t="b">
        <v>0</v>
      </c>
    </row>
    <row r="955">
      <c r="A955" s="49"/>
      <c r="B955" s="49"/>
      <c r="C955" s="49"/>
      <c r="D955" s="49"/>
      <c r="E955" s="49"/>
      <c r="F955" s="19">
        <v>0.0</v>
      </c>
      <c r="G955" s="19" t="b">
        <v>0</v>
      </c>
    </row>
    <row r="956">
      <c r="A956" s="49"/>
      <c r="B956" s="49"/>
      <c r="C956" s="49"/>
      <c r="D956" s="49"/>
      <c r="E956" s="49"/>
      <c r="F956" s="19">
        <v>0.0</v>
      </c>
      <c r="G956" s="19" t="b">
        <v>0</v>
      </c>
    </row>
    <row r="957">
      <c r="A957" s="49"/>
      <c r="B957" s="49"/>
      <c r="C957" s="49"/>
      <c r="D957" s="49"/>
      <c r="E957" s="49"/>
      <c r="F957" s="19">
        <v>0.0</v>
      </c>
      <c r="G957" s="19" t="b">
        <v>0</v>
      </c>
    </row>
    <row r="958">
      <c r="A958" s="49"/>
      <c r="B958" s="49"/>
      <c r="C958" s="49"/>
      <c r="D958" s="49"/>
      <c r="E958" s="49"/>
      <c r="F958" s="19">
        <v>0.0</v>
      </c>
      <c r="G958" s="19" t="b">
        <v>0</v>
      </c>
    </row>
    <row r="959">
      <c r="A959" s="49"/>
      <c r="B959" s="49"/>
      <c r="C959" s="49"/>
      <c r="D959" s="49"/>
      <c r="E959" s="49"/>
      <c r="F959" s="19">
        <v>0.0</v>
      </c>
      <c r="G959" s="19" t="b">
        <v>0</v>
      </c>
    </row>
    <row r="960">
      <c r="A960" s="49"/>
      <c r="B960" s="49"/>
      <c r="C960" s="49"/>
      <c r="D960" s="49"/>
      <c r="E960" s="49"/>
      <c r="F960" s="19">
        <v>0.0</v>
      </c>
      <c r="G960" s="19" t="b">
        <v>0</v>
      </c>
    </row>
    <row r="961">
      <c r="A961" s="49"/>
      <c r="B961" s="49"/>
      <c r="C961" s="49"/>
      <c r="D961" s="49"/>
      <c r="E961" s="49"/>
      <c r="F961" s="19">
        <v>0.0</v>
      </c>
      <c r="G961" s="19" t="b">
        <v>0</v>
      </c>
    </row>
    <row r="962">
      <c r="A962" s="49"/>
      <c r="B962" s="49"/>
      <c r="C962" s="49"/>
      <c r="D962" s="49"/>
      <c r="E962" s="49"/>
      <c r="F962" s="19">
        <v>0.0</v>
      </c>
      <c r="G962" s="19" t="b">
        <v>0</v>
      </c>
    </row>
    <row r="963">
      <c r="A963" s="49"/>
      <c r="B963" s="49"/>
      <c r="C963" s="49"/>
      <c r="D963" s="49"/>
      <c r="E963" s="49"/>
      <c r="F963" s="19">
        <v>0.0</v>
      </c>
      <c r="G963" s="19" t="b">
        <v>0</v>
      </c>
    </row>
    <row r="964">
      <c r="A964" s="49"/>
      <c r="B964" s="49"/>
      <c r="C964" s="49"/>
      <c r="D964" s="49"/>
      <c r="E964" s="49"/>
      <c r="F964" s="19">
        <v>0.0</v>
      </c>
      <c r="G964" s="19" t="b">
        <v>0</v>
      </c>
    </row>
    <row r="965">
      <c r="A965" s="49"/>
      <c r="B965" s="49"/>
      <c r="C965" s="49"/>
      <c r="D965" s="49"/>
      <c r="E965" s="49"/>
      <c r="F965" s="19">
        <v>0.0</v>
      </c>
      <c r="G965" s="19" t="b">
        <v>0</v>
      </c>
    </row>
    <row r="966">
      <c r="A966" s="49"/>
      <c r="B966" s="49"/>
      <c r="C966" s="49"/>
      <c r="D966" s="49"/>
      <c r="E966" s="49"/>
      <c r="F966" s="19">
        <v>0.0</v>
      </c>
      <c r="G966" s="19" t="b">
        <v>0</v>
      </c>
    </row>
    <row r="967">
      <c r="A967" s="49"/>
      <c r="B967" s="49"/>
      <c r="C967" s="49"/>
      <c r="D967" s="49"/>
      <c r="E967" s="49"/>
      <c r="F967" s="19">
        <v>0.0</v>
      </c>
      <c r="G967" s="19" t="b">
        <v>0</v>
      </c>
    </row>
    <row r="968">
      <c r="A968" s="49"/>
      <c r="B968" s="49"/>
      <c r="C968" s="49"/>
      <c r="D968" s="49"/>
      <c r="E968" s="49"/>
      <c r="F968" s="19">
        <v>0.0</v>
      </c>
      <c r="G968" s="19" t="b">
        <v>0</v>
      </c>
    </row>
    <row r="969">
      <c r="A969" s="49"/>
      <c r="B969" s="49"/>
      <c r="C969" s="49"/>
      <c r="D969" s="49"/>
      <c r="E969" s="49"/>
      <c r="F969" s="19">
        <v>0.0</v>
      </c>
      <c r="G969" s="19" t="b">
        <v>0</v>
      </c>
    </row>
    <row r="970">
      <c r="A970" s="49"/>
      <c r="B970" s="49"/>
      <c r="C970" s="49"/>
      <c r="D970" s="49"/>
      <c r="E970" s="49"/>
      <c r="F970" s="19">
        <v>0.0</v>
      </c>
      <c r="G970" s="19" t="b">
        <v>0</v>
      </c>
    </row>
    <row r="971">
      <c r="A971" s="49"/>
      <c r="B971" s="49"/>
      <c r="C971" s="49"/>
      <c r="D971" s="49"/>
      <c r="E971" s="49"/>
      <c r="F971" s="19">
        <v>0.0</v>
      </c>
      <c r="G971" s="19" t="b">
        <v>0</v>
      </c>
    </row>
    <row r="972">
      <c r="A972" s="49"/>
      <c r="B972" s="49"/>
      <c r="C972" s="49"/>
      <c r="D972" s="49"/>
      <c r="E972" s="49"/>
      <c r="F972" s="19">
        <v>0.0</v>
      </c>
      <c r="G972" s="19" t="b">
        <v>0</v>
      </c>
    </row>
    <row r="973">
      <c r="A973" s="49"/>
      <c r="B973" s="49"/>
      <c r="C973" s="49"/>
      <c r="D973" s="49"/>
      <c r="E973" s="49"/>
      <c r="F973" s="19">
        <v>0.0</v>
      </c>
      <c r="G973" s="19" t="b">
        <v>0</v>
      </c>
    </row>
    <row r="974">
      <c r="A974" s="49"/>
      <c r="B974" s="49"/>
      <c r="C974" s="49"/>
      <c r="D974" s="49"/>
      <c r="E974" s="49"/>
      <c r="F974" s="19">
        <v>0.0</v>
      </c>
      <c r="G974" s="19" t="b">
        <v>0</v>
      </c>
    </row>
    <row r="975">
      <c r="A975" s="49"/>
      <c r="B975" s="49"/>
      <c r="C975" s="49"/>
      <c r="D975" s="49"/>
      <c r="E975" s="49"/>
      <c r="F975" s="19">
        <v>0.0</v>
      </c>
      <c r="G975" s="19" t="b">
        <v>0</v>
      </c>
    </row>
    <row r="976">
      <c r="A976" s="49"/>
      <c r="B976" s="49"/>
      <c r="C976" s="49"/>
      <c r="D976" s="49"/>
      <c r="E976" s="49"/>
      <c r="F976" s="19">
        <v>0.0</v>
      </c>
      <c r="G976" s="19" t="b">
        <v>0</v>
      </c>
    </row>
    <row r="977">
      <c r="A977" s="49"/>
      <c r="B977" s="49"/>
      <c r="C977" s="49"/>
      <c r="D977" s="49"/>
      <c r="E977" s="49"/>
      <c r="F977" s="19">
        <v>0.0</v>
      </c>
      <c r="G977" s="19" t="b">
        <v>0</v>
      </c>
    </row>
    <row r="978">
      <c r="A978" s="49"/>
      <c r="B978" s="49"/>
      <c r="C978" s="49"/>
      <c r="D978" s="49"/>
      <c r="E978" s="49"/>
      <c r="F978" s="19">
        <v>0.0</v>
      </c>
      <c r="G978" s="19" t="b">
        <v>0</v>
      </c>
    </row>
    <row r="979">
      <c r="A979" s="49"/>
      <c r="B979" s="49"/>
      <c r="C979" s="49"/>
      <c r="D979" s="49"/>
      <c r="E979" s="49"/>
      <c r="F979" s="19">
        <v>0.0</v>
      </c>
      <c r="G979" s="19" t="b">
        <v>0</v>
      </c>
    </row>
    <row r="980">
      <c r="A980" s="49"/>
      <c r="B980" s="49"/>
      <c r="C980" s="49"/>
      <c r="D980" s="49"/>
      <c r="E980" s="49"/>
      <c r="F980" s="19">
        <v>0.0</v>
      </c>
      <c r="G980" s="19" t="b">
        <v>0</v>
      </c>
    </row>
    <row r="981">
      <c r="A981" s="49"/>
      <c r="B981" s="49"/>
      <c r="C981" s="49"/>
      <c r="D981" s="49"/>
      <c r="E981" s="49"/>
      <c r="F981" s="19">
        <v>0.0</v>
      </c>
      <c r="G981" s="19" t="b">
        <v>0</v>
      </c>
    </row>
    <row r="982">
      <c r="A982" s="49"/>
      <c r="B982" s="49"/>
      <c r="C982" s="49"/>
      <c r="D982" s="49"/>
      <c r="E982" s="49"/>
      <c r="F982" s="19">
        <v>0.0</v>
      </c>
      <c r="G982" s="19" t="b">
        <v>0</v>
      </c>
    </row>
    <row r="983">
      <c r="A983" s="49"/>
      <c r="B983" s="49"/>
      <c r="C983" s="49"/>
      <c r="D983" s="49"/>
      <c r="E983" s="49"/>
      <c r="F983" s="19">
        <v>0.0</v>
      </c>
      <c r="G983" s="19" t="b">
        <v>0</v>
      </c>
    </row>
    <row r="984">
      <c r="A984" s="49"/>
      <c r="B984" s="49"/>
      <c r="C984" s="49"/>
      <c r="D984" s="49"/>
      <c r="E984" s="49"/>
      <c r="F984" s="19">
        <v>0.0</v>
      </c>
      <c r="G984" s="19" t="b">
        <v>0</v>
      </c>
    </row>
    <row r="985">
      <c r="A985" s="49"/>
      <c r="B985" s="49"/>
      <c r="C985" s="49"/>
      <c r="D985" s="49"/>
      <c r="E985" s="49"/>
      <c r="F985" s="19">
        <v>0.0</v>
      </c>
      <c r="G985" s="19" t="b">
        <v>0</v>
      </c>
    </row>
    <row r="986">
      <c r="A986" s="49"/>
      <c r="B986" s="49"/>
      <c r="C986" s="49"/>
      <c r="D986" s="49"/>
      <c r="E986" s="49"/>
      <c r="F986" s="19">
        <v>0.0</v>
      </c>
      <c r="G986" s="19" t="b">
        <v>0</v>
      </c>
    </row>
    <row r="987">
      <c r="A987" s="49"/>
      <c r="B987" s="49"/>
      <c r="C987" s="49"/>
      <c r="D987" s="49"/>
      <c r="E987" s="49"/>
      <c r="F987" s="19">
        <v>0.0</v>
      </c>
      <c r="G987" s="19" t="b">
        <v>0</v>
      </c>
    </row>
    <row r="988">
      <c r="A988" s="49"/>
      <c r="B988" s="49"/>
      <c r="C988" s="49"/>
      <c r="D988" s="49"/>
      <c r="E988" s="49"/>
      <c r="F988" s="19">
        <v>0.0</v>
      </c>
      <c r="G988" s="19" t="b">
        <v>0</v>
      </c>
    </row>
    <row r="989">
      <c r="A989" s="49"/>
      <c r="B989" s="49"/>
      <c r="C989" s="49"/>
      <c r="D989" s="49"/>
      <c r="E989" s="49"/>
      <c r="F989" s="19">
        <v>0.0</v>
      </c>
      <c r="G989" s="19" t="b">
        <v>0</v>
      </c>
    </row>
    <row r="990">
      <c r="A990" s="49"/>
      <c r="B990" s="49"/>
      <c r="C990" s="49"/>
      <c r="D990" s="49"/>
      <c r="E990" s="49"/>
      <c r="F990" s="19">
        <v>0.0</v>
      </c>
      <c r="G990" s="19" t="b">
        <v>0</v>
      </c>
    </row>
    <row r="991">
      <c r="A991" s="49"/>
      <c r="B991" s="49"/>
      <c r="C991" s="49"/>
      <c r="D991" s="49"/>
      <c r="E991" s="49"/>
      <c r="F991" s="19">
        <v>0.0</v>
      </c>
      <c r="G991" s="19" t="b">
        <v>0</v>
      </c>
    </row>
    <row r="992">
      <c r="A992" s="49"/>
      <c r="B992" s="49"/>
      <c r="C992" s="49"/>
      <c r="D992" s="49"/>
      <c r="E992" s="49"/>
      <c r="F992" s="19">
        <v>0.0</v>
      </c>
      <c r="G992" s="19" t="b">
        <v>0</v>
      </c>
    </row>
    <row r="993">
      <c r="A993" s="49"/>
      <c r="B993" s="49"/>
      <c r="C993" s="49"/>
      <c r="D993" s="49"/>
      <c r="E993" s="49"/>
      <c r="F993" s="19">
        <v>0.0</v>
      </c>
      <c r="G993" s="19" t="b">
        <v>0</v>
      </c>
    </row>
    <row r="994">
      <c r="A994" s="49"/>
      <c r="B994" s="49"/>
      <c r="C994" s="49"/>
      <c r="D994" s="49"/>
      <c r="E994" s="49"/>
      <c r="F994" s="19">
        <v>0.0</v>
      </c>
      <c r="G994" s="19" t="b">
        <v>0</v>
      </c>
    </row>
    <row r="995">
      <c r="A995" s="49"/>
      <c r="B995" s="49"/>
      <c r="C995" s="49"/>
      <c r="D995" s="49"/>
      <c r="E995" s="49"/>
      <c r="F995" s="19">
        <v>0.0</v>
      </c>
      <c r="G995" s="19" t="b">
        <v>0</v>
      </c>
    </row>
    <row r="996">
      <c r="A996" s="49"/>
      <c r="B996" s="49"/>
      <c r="C996" s="49"/>
      <c r="D996" s="49"/>
      <c r="E996" s="49"/>
      <c r="F996" s="19">
        <v>0.0</v>
      </c>
      <c r="G996" s="19" t="b">
        <v>0</v>
      </c>
    </row>
    <row r="997">
      <c r="A997" s="49"/>
      <c r="B997" s="49"/>
      <c r="C997" s="49"/>
      <c r="D997" s="49"/>
      <c r="E997" s="49"/>
      <c r="F997" s="19">
        <v>0.0</v>
      </c>
      <c r="G997" s="19" t="b">
        <v>0</v>
      </c>
    </row>
    <row r="998">
      <c r="A998" s="49"/>
      <c r="B998" s="49"/>
      <c r="C998" s="49"/>
      <c r="D998" s="49"/>
      <c r="E998" s="49"/>
      <c r="F998" s="19">
        <v>0.0</v>
      </c>
      <c r="G998" s="19" t="b">
        <v>0</v>
      </c>
    </row>
    <row r="999">
      <c r="A999" s="49"/>
      <c r="B999" s="49"/>
      <c r="C999" s="49"/>
      <c r="D999" s="49"/>
      <c r="E999" s="49"/>
      <c r="F999" s="19">
        <v>0.0</v>
      </c>
      <c r="G999" s="19" t="b">
        <v>0</v>
      </c>
    </row>
    <row r="1000">
      <c r="A1000" s="49"/>
      <c r="B1000" s="49"/>
      <c r="C1000" s="49"/>
      <c r="D1000" s="49"/>
      <c r="E1000" s="49"/>
      <c r="F1000" s="19">
        <v>0.0</v>
      </c>
      <c r="G1000" s="19" t="b">
        <v>0</v>
      </c>
    </row>
  </sheetData>
  <conditionalFormatting sqref="G2:G1000">
    <cfRule type="expression" dxfId="1" priority="1">
      <formula>AND(if(E2=F2,True,False),G2)</formula>
    </cfRule>
  </conditionalFormatting>
  <conditionalFormatting sqref="G2:G1000">
    <cfRule type="expression" dxfId="0" priority="2">
      <formula>AND(E2&lt;&gt;F2,G2)</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9" t="s">
        <v>240</v>
      </c>
      <c r="B1" s="99" t="s">
        <v>241</v>
      </c>
      <c r="C1" s="99" t="s">
        <v>242</v>
      </c>
      <c r="D1" s="99" t="s">
        <v>79</v>
      </c>
      <c r="E1" s="99" t="s">
        <v>243</v>
      </c>
      <c r="F1" s="45" t="s">
        <v>238</v>
      </c>
      <c r="G1" s="46" t="s">
        <v>244</v>
      </c>
      <c r="H1" s="46" t="s">
        <v>245</v>
      </c>
      <c r="I1" s="46" t="s">
        <v>239</v>
      </c>
    </row>
    <row r="2">
      <c r="A2" s="49"/>
      <c r="B2" s="49" t="str">
        <f>IFNA(VLOOKUP($A2,Quests!$A$2:$E1000,MATCH(B$1,Quests!$A$1:$E$1,0),FALSE))</f>
        <v/>
      </c>
      <c r="C2" s="49" t="str">
        <f>IFNA(VLOOKUP($A2,Quests!$A$2:$E1000,MATCH(C$1,Quests!$A$1:$E$1,0),FALSE))</f>
        <v/>
      </c>
      <c r="D2" s="49" t="str">
        <f>IFNA(VLOOKUP($A2,Quests!$A$2:$E1000,MATCH(D$1,Quests!$A$1:$E$1,0),FALSE))</f>
        <v/>
      </c>
      <c r="E2" s="49" t="str">
        <f>IFNA(VLOOKUP($A2,Quests!$A$2:$E1000,MATCH(E$1,Quests!$A$1:$E$1,0),FALSE))</f>
        <v/>
      </c>
      <c r="G2" s="119" t="b">
        <v>0</v>
      </c>
      <c r="H2" s="119" t="b">
        <v>0</v>
      </c>
      <c r="I2" s="119" t="b">
        <v>0</v>
      </c>
    </row>
    <row r="3">
      <c r="A3" s="49"/>
      <c r="B3" s="49" t="str">
        <f>IFNA(VLOOKUP($A3,Quests!$A$2:$E1000,MATCH(B$1,Quests!$A$1:$E$1,0),FALSE))</f>
        <v/>
      </c>
      <c r="C3" s="49" t="str">
        <f>IFNA(VLOOKUP($A3,Quests!$A$2:$E1000,MATCH(C$1,Quests!$A$1:$E$1,0),FALSE))</f>
        <v/>
      </c>
      <c r="D3" s="49" t="str">
        <f>IFNA(VLOOKUP($A3,Quests!$A$2:$E1000,MATCH(D$1,Quests!$A$1:$E$1,0),FALSE))</f>
        <v/>
      </c>
      <c r="E3" s="49" t="str">
        <f>IFNA(VLOOKUP($A3,Quests!$A$2:$E1000,MATCH(E$1,Quests!$A$1:$E$1,0),FALSE))</f>
        <v/>
      </c>
      <c r="G3" s="119" t="b">
        <v>0</v>
      </c>
      <c r="H3" s="119" t="b">
        <v>0</v>
      </c>
      <c r="I3" s="119" t="b">
        <v>0</v>
      </c>
    </row>
    <row r="4">
      <c r="A4" s="49"/>
      <c r="B4" s="49" t="str">
        <f>IFNA(VLOOKUP($A4,Quests!$A$2:$E1000,MATCH(B$1,Quests!$A$1:$E$1,0),FALSE))</f>
        <v/>
      </c>
      <c r="C4" s="49" t="str">
        <f>IFNA(VLOOKUP($A4,Quests!$A$2:$E1000,MATCH(C$1,Quests!$A$1:$E$1,0),FALSE))</f>
        <v/>
      </c>
      <c r="D4" s="49" t="str">
        <f>IFNA(VLOOKUP($A4,Quests!$A$2:$E1000,MATCH(D$1,Quests!$A$1:$E$1,0),FALSE))</f>
        <v/>
      </c>
      <c r="E4" s="49" t="str">
        <f>IFNA(VLOOKUP($A4,Quests!$A$2:$E1000,MATCH(E$1,Quests!$A$1:$E$1,0),FALSE))</f>
        <v/>
      </c>
      <c r="G4" s="119" t="b">
        <v>0</v>
      </c>
      <c r="H4" s="119" t="b">
        <v>0</v>
      </c>
      <c r="I4" s="119" t="b">
        <v>0</v>
      </c>
    </row>
    <row r="5">
      <c r="A5" s="49"/>
      <c r="B5" s="49" t="str">
        <f>IFNA(VLOOKUP($A5,Quests!$A$2:$E1000,MATCH(B$1,Quests!$A$1:$E$1,0),FALSE))</f>
        <v/>
      </c>
      <c r="C5" s="49" t="str">
        <f>IFNA(VLOOKUP($A5,Quests!$A$2:$E1000,MATCH(C$1,Quests!$A$1:$E$1,0),FALSE))</f>
        <v/>
      </c>
      <c r="D5" s="49" t="str">
        <f>IFNA(VLOOKUP($A5,Quests!$A$2:$E1000,MATCH(D$1,Quests!$A$1:$E$1,0),FALSE))</f>
        <v/>
      </c>
      <c r="E5" s="49" t="str">
        <f>IFNA(VLOOKUP($A5,Quests!$A$2:$E1000,MATCH(E$1,Quests!$A$1:$E$1,0),FALSE))</f>
        <v/>
      </c>
      <c r="G5" s="119" t="b">
        <v>0</v>
      </c>
      <c r="H5" s="119" t="b">
        <v>0</v>
      </c>
      <c r="I5" s="119" t="b">
        <v>0</v>
      </c>
    </row>
    <row r="6">
      <c r="A6" s="49"/>
      <c r="B6" s="49" t="str">
        <f>IFNA(VLOOKUP($A6,Quests!$A$2:$E1000,MATCH(B$1,Quests!$A$1:$E$1,0),FALSE))</f>
        <v/>
      </c>
      <c r="C6" s="49" t="str">
        <f>IFNA(VLOOKUP($A6,Quests!$A$2:$E1000,MATCH(C$1,Quests!$A$1:$E$1,0),FALSE))</f>
        <v/>
      </c>
      <c r="D6" s="49" t="str">
        <f>IFNA(VLOOKUP($A6,Quests!$A$2:$E1000,MATCH(D$1,Quests!$A$1:$E$1,0),FALSE))</f>
        <v/>
      </c>
      <c r="E6" s="49" t="str">
        <f>IFNA(VLOOKUP($A6,Quests!$A$2:$E1000,MATCH(E$1,Quests!$A$1:$E$1,0),FALSE))</f>
        <v/>
      </c>
      <c r="G6" s="119" t="b">
        <v>0</v>
      </c>
      <c r="H6" s="119" t="b">
        <v>0</v>
      </c>
      <c r="I6" s="119" t="b">
        <v>0</v>
      </c>
    </row>
    <row r="7">
      <c r="A7" s="49"/>
      <c r="B7" s="49" t="str">
        <f>IFNA(VLOOKUP($A7,Quests!$A$2:$E1000,MATCH(B$1,Quests!$A$1:$E$1,0),FALSE))</f>
        <v/>
      </c>
      <c r="C7" s="49" t="str">
        <f>IFNA(VLOOKUP($A7,Quests!$A$2:$E1000,MATCH(C$1,Quests!$A$1:$E$1,0),FALSE))</f>
        <v/>
      </c>
      <c r="D7" s="49" t="str">
        <f>IFNA(VLOOKUP($A7,Quests!$A$2:$E1000,MATCH(D$1,Quests!$A$1:$E$1,0),FALSE))</f>
        <v/>
      </c>
      <c r="E7" s="49" t="str">
        <f>IFNA(VLOOKUP($A7,Quests!$A$2:$E1000,MATCH(E$1,Quests!$A$1:$E$1,0),FALSE))</f>
        <v/>
      </c>
      <c r="G7" s="119" t="b">
        <v>0</v>
      </c>
      <c r="H7" s="119" t="b">
        <v>0</v>
      </c>
      <c r="I7" s="119" t="b">
        <v>0</v>
      </c>
    </row>
    <row r="8">
      <c r="A8" s="49"/>
      <c r="B8" s="49" t="str">
        <f>IFNA(VLOOKUP($A8,Quests!$A$2:$E1000,MATCH(B$1,Quests!$A$1:$E$1,0),FALSE))</f>
        <v/>
      </c>
      <c r="C8" s="49" t="str">
        <f>IFNA(VLOOKUP($A8,Quests!$A$2:$E1000,MATCH(C$1,Quests!$A$1:$E$1,0),FALSE))</f>
        <v/>
      </c>
      <c r="D8" s="49" t="str">
        <f>IFNA(VLOOKUP($A8,Quests!$A$2:$E1000,MATCH(D$1,Quests!$A$1:$E$1,0),FALSE))</f>
        <v/>
      </c>
      <c r="E8" s="49" t="str">
        <f>IFNA(VLOOKUP($A8,Quests!$A$2:$E1000,MATCH(E$1,Quests!$A$1:$E$1,0),FALSE))</f>
        <v/>
      </c>
      <c r="G8" s="119" t="b">
        <v>0</v>
      </c>
      <c r="H8" s="119" t="b">
        <v>0</v>
      </c>
      <c r="I8" s="119" t="b">
        <v>0</v>
      </c>
    </row>
    <row r="9">
      <c r="A9" s="49"/>
      <c r="B9" s="49" t="str">
        <f>IFNA(VLOOKUP($A9,Quests!$A$2:$E1000,MATCH(B$1,Quests!$A$1:$E$1,0),FALSE))</f>
        <v/>
      </c>
      <c r="C9" s="49" t="str">
        <f>IFNA(VLOOKUP($A9,Quests!$A$2:$E1000,MATCH(C$1,Quests!$A$1:$E$1,0),FALSE))</f>
        <v/>
      </c>
      <c r="D9" s="49" t="str">
        <f>IFNA(VLOOKUP($A9,Quests!$A$2:$E1000,MATCH(D$1,Quests!$A$1:$E$1,0),FALSE))</f>
        <v/>
      </c>
      <c r="E9" s="49" t="str">
        <f>IFNA(VLOOKUP($A9,Quests!$A$2:$E1000,MATCH(E$1,Quests!$A$1:$E$1,0),FALSE))</f>
        <v/>
      </c>
      <c r="G9" s="119" t="b">
        <v>0</v>
      </c>
      <c r="H9" s="119" t="b">
        <v>0</v>
      </c>
      <c r="I9" s="119" t="b">
        <v>0</v>
      </c>
    </row>
    <row r="10">
      <c r="A10" s="49"/>
      <c r="B10" s="49" t="str">
        <f>IFNA(VLOOKUP($A10,Quests!$A$2:$E1000,MATCH(B$1,Quests!$A$1:$E$1,0),FALSE))</f>
        <v/>
      </c>
      <c r="C10" s="49" t="str">
        <f>IFNA(VLOOKUP($A10,Quests!$A$2:$E1000,MATCH(C$1,Quests!$A$1:$E$1,0),FALSE))</f>
        <v/>
      </c>
      <c r="D10" s="49" t="str">
        <f>IFNA(VLOOKUP($A10,Quests!$A$2:$E1000,MATCH(D$1,Quests!$A$1:$E$1,0),FALSE))</f>
        <v/>
      </c>
      <c r="E10" s="49" t="str">
        <f>IFNA(VLOOKUP($A10,Quests!$A$2:$E1000,MATCH(E$1,Quests!$A$1:$E$1,0),FALSE))</f>
        <v/>
      </c>
      <c r="G10" s="119" t="b">
        <v>0</v>
      </c>
      <c r="H10" s="119" t="b">
        <v>0</v>
      </c>
      <c r="I10" s="119" t="b">
        <v>0</v>
      </c>
    </row>
    <row r="11">
      <c r="A11" s="49"/>
      <c r="B11" s="49" t="str">
        <f>IFNA(VLOOKUP($A11,Quests!$A$2:$E1000,MATCH(B$1,Quests!$A$1:$E$1,0),FALSE))</f>
        <v/>
      </c>
      <c r="C11" s="49" t="str">
        <f>IFNA(VLOOKUP($A11,Quests!$A$2:$E1000,MATCH(C$1,Quests!$A$1:$E$1,0),FALSE))</f>
        <v/>
      </c>
      <c r="D11" s="49" t="str">
        <f>IFNA(VLOOKUP($A11,Quests!$A$2:$E1000,MATCH(D$1,Quests!$A$1:$E$1,0),FALSE))</f>
        <v/>
      </c>
      <c r="E11" s="49" t="str">
        <f>IFNA(VLOOKUP($A11,Quests!$A$2:$E1000,MATCH(E$1,Quests!$A$1:$E$1,0),FALSE))</f>
        <v/>
      </c>
      <c r="G11" s="119" t="b">
        <v>0</v>
      </c>
      <c r="H11" s="119" t="b">
        <v>0</v>
      </c>
      <c r="I11" s="119" t="b">
        <v>0</v>
      </c>
    </row>
    <row r="12">
      <c r="A12" s="49"/>
      <c r="B12" s="49" t="str">
        <f>IFNA(VLOOKUP($A12,Quests!$A$2:$E1000,MATCH(B$1,Quests!$A$1:$E$1,0),FALSE))</f>
        <v/>
      </c>
      <c r="C12" s="49" t="str">
        <f>IFNA(VLOOKUP($A12,Quests!$A$2:$E1000,MATCH(C$1,Quests!$A$1:$E$1,0),FALSE))</f>
        <v/>
      </c>
      <c r="D12" s="49" t="str">
        <f>IFNA(VLOOKUP($A12,Quests!$A$2:$E1000,MATCH(D$1,Quests!$A$1:$E$1,0),FALSE))</f>
        <v/>
      </c>
      <c r="E12" s="49" t="str">
        <f>IFNA(VLOOKUP($A12,Quests!$A$2:$E1000,MATCH(E$1,Quests!$A$1:$E$1,0),FALSE))</f>
        <v/>
      </c>
      <c r="G12" s="119" t="b">
        <v>0</v>
      </c>
      <c r="H12" s="119" t="b">
        <v>0</v>
      </c>
      <c r="I12" s="119" t="b">
        <v>0</v>
      </c>
    </row>
    <row r="13">
      <c r="A13" s="49"/>
      <c r="B13" s="49" t="str">
        <f>IFNA(VLOOKUP($A13,Quests!$A$2:$E1000,MATCH(B$1,Quests!$A$1:$E$1,0),FALSE))</f>
        <v/>
      </c>
      <c r="C13" s="49" t="str">
        <f>IFNA(VLOOKUP($A13,Quests!$A$2:$E1000,MATCH(C$1,Quests!$A$1:$E$1,0),FALSE))</f>
        <v/>
      </c>
      <c r="D13" s="49" t="str">
        <f>IFNA(VLOOKUP($A13,Quests!$A$2:$E1000,MATCH(D$1,Quests!$A$1:$E$1,0),FALSE))</f>
        <v/>
      </c>
      <c r="E13" s="49" t="str">
        <f>IFNA(VLOOKUP($A13,Quests!$A$2:$E1000,MATCH(E$1,Quests!$A$1:$E$1,0),FALSE))</f>
        <v/>
      </c>
      <c r="G13" s="119" t="b">
        <v>0</v>
      </c>
      <c r="H13" s="119" t="b">
        <v>0</v>
      </c>
      <c r="I13" s="119" t="b">
        <v>0</v>
      </c>
    </row>
    <row r="14">
      <c r="A14" s="49"/>
      <c r="B14" s="49" t="str">
        <f>IFNA(VLOOKUP($A14,Quests!$A$2:$E1000,MATCH(B$1,Quests!$A$1:$E$1,0),FALSE))</f>
        <v/>
      </c>
      <c r="C14" s="49" t="str">
        <f>IFNA(VLOOKUP($A14,Quests!$A$2:$E1000,MATCH(C$1,Quests!$A$1:$E$1,0),FALSE))</f>
        <v/>
      </c>
      <c r="D14" s="49" t="str">
        <f>IFNA(VLOOKUP($A14,Quests!$A$2:$E1000,MATCH(D$1,Quests!$A$1:$E$1,0),FALSE))</f>
        <v/>
      </c>
      <c r="E14" s="49" t="str">
        <f>IFNA(VLOOKUP($A14,Quests!$A$2:$E1000,MATCH(E$1,Quests!$A$1:$E$1,0),FALSE))</f>
        <v/>
      </c>
      <c r="G14" s="119" t="b">
        <v>0</v>
      </c>
      <c r="H14" s="119" t="b">
        <v>0</v>
      </c>
      <c r="I14" s="119" t="b">
        <v>0</v>
      </c>
    </row>
    <row r="15">
      <c r="A15" s="49"/>
      <c r="B15" s="49" t="str">
        <f>IFNA(VLOOKUP($A15,Quests!$A$2:$E1000,MATCH(B$1,Quests!$A$1:$E$1,0),FALSE))</f>
        <v/>
      </c>
      <c r="C15" s="49" t="str">
        <f>IFNA(VLOOKUP($A15,Quests!$A$2:$E1000,MATCH(C$1,Quests!$A$1:$E$1,0),FALSE))</f>
        <v/>
      </c>
      <c r="D15" s="49" t="str">
        <f>IFNA(VLOOKUP($A15,Quests!$A$2:$E1000,MATCH(D$1,Quests!$A$1:$E$1,0),FALSE))</f>
        <v/>
      </c>
      <c r="E15" s="49" t="str">
        <f>IFNA(VLOOKUP($A15,Quests!$A$2:$E1000,MATCH(E$1,Quests!$A$1:$E$1,0),FALSE))</f>
        <v/>
      </c>
      <c r="G15" s="119" t="b">
        <v>0</v>
      </c>
      <c r="H15" s="119" t="b">
        <v>0</v>
      </c>
      <c r="I15" s="119" t="b">
        <v>0</v>
      </c>
    </row>
    <row r="16">
      <c r="A16" s="49"/>
      <c r="B16" s="49" t="str">
        <f>IFNA(VLOOKUP($A16,Quests!$A$2:$E1000,MATCH(B$1,Quests!$A$1:$E$1,0),FALSE))</f>
        <v/>
      </c>
      <c r="C16" s="49" t="str">
        <f>IFNA(VLOOKUP($A16,Quests!$A$2:$E1000,MATCH(C$1,Quests!$A$1:$E$1,0),FALSE))</f>
        <v/>
      </c>
      <c r="D16" s="49" t="str">
        <f>IFNA(VLOOKUP($A16,Quests!$A$2:$E1000,MATCH(D$1,Quests!$A$1:$E$1,0),FALSE))</f>
        <v/>
      </c>
      <c r="E16" s="49" t="str">
        <f>IFNA(VLOOKUP($A16,Quests!$A$2:$E1000,MATCH(E$1,Quests!$A$1:$E$1,0),FALSE))</f>
        <v/>
      </c>
      <c r="G16" s="119" t="b">
        <v>0</v>
      </c>
      <c r="H16" s="119" t="b">
        <v>0</v>
      </c>
      <c r="I16" s="119" t="b">
        <v>0</v>
      </c>
    </row>
    <row r="17">
      <c r="A17" s="49"/>
      <c r="B17" s="49" t="str">
        <f>IFNA(VLOOKUP($A17,Quests!$A$2:$E1000,MATCH(B$1,Quests!$A$1:$E$1,0),FALSE))</f>
        <v/>
      </c>
      <c r="C17" s="49" t="str">
        <f>IFNA(VLOOKUP($A17,Quests!$A$2:$E1000,MATCH(C$1,Quests!$A$1:$E$1,0),FALSE))</f>
        <v/>
      </c>
      <c r="D17" s="49" t="str">
        <f>IFNA(VLOOKUP($A17,Quests!$A$2:$E1000,MATCH(D$1,Quests!$A$1:$E$1,0),FALSE))</f>
        <v/>
      </c>
      <c r="E17" s="49" t="str">
        <f>IFNA(VLOOKUP($A17,Quests!$A$2:$E1000,MATCH(E$1,Quests!$A$1:$E$1,0),FALSE))</f>
        <v/>
      </c>
      <c r="G17" s="119" t="b">
        <v>0</v>
      </c>
      <c r="H17" s="119" t="b">
        <v>0</v>
      </c>
      <c r="I17" s="119" t="b">
        <v>0</v>
      </c>
    </row>
    <row r="18">
      <c r="A18" s="49"/>
      <c r="B18" s="49" t="str">
        <f>IFNA(VLOOKUP($A18,Quests!$A$2:$E1000,MATCH(B$1,Quests!$A$1:$E$1,0),FALSE))</f>
        <v/>
      </c>
      <c r="C18" s="49" t="str">
        <f>IFNA(VLOOKUP($A18,Quests!$A$2:$E1000,MATCH(C$1,Quests!$A$1:$E$1,0),FALSE))</f>
        <v/>
      </c>
      <c r="D18" s="49" t="str">
        <f>IFNA(VLOOKUP($A18,Quests!$A$2:$E1000,MATCH(D$1,Quests!$A$1:$E$1,0),FALSE))</f>
        <v/>
      </c>
      <c r="E18" s="49" t="str">
        <f>IFNA(VLOOKUP($A18,Quests!$A$2:$E1000,MATCH(E$1,Quests!$A$1:$E$1,0),FALSE))</f>
        <v/>
      </c>
      <c r="G18" s="119" t="b">
        <v>0</v>
      </c>
      <c r="H18" s="119" t="b">
        <v>0</v>
      </c>
      <c r="I18" s="119" t="b">
        <v>0</v>
      </c>
    </row>
    <row r="19">
      <c r="A19" s="49"/>
      <c r="B19" s="49" t="str">
        <f>IFNA(VLOOKUP($A19,Quests!$A$2:$E1000,MATCH(B$1,Quests!$A$1:$E$1,0),FALSE))</f>
        <v/>
      </c>
      <c r="C19" s="49" t="str">
        <f>IFNA(VLOOKUP($A19,Quests!$A$2:$E1000,MATCH(C$1,Quests!$A$1:$E$1,0),FALSE))</f>
        <v/>
      </c>
      <c r="D19" s="49" t="str">
        <f>IFNA(VLOOKUP($A19,Quests!$A$2:$E1000,MATCH(D$1,Quests!$A$1:$E$1,0),FALSE))</f>
        <v/>
      </c>
      <c r="E19" s="49" t="str">
        <f>IFNA(VLOOKUP($A19,Quests!$A$2:$E1000,MATCH(E$1,Quests!$A$1:$E$1,0),FALSE))</f>
        <v/>
      </c>
      <c r="G19" s="119" t="b">
        <v>0</v>
      </c>
      <c r="H19" s="119" t="b">
        <v>0</v>
      </c>
      <c r="I19" s="119" t="b">
        <v>0</v>
      </c>
    </row>
    <row r="20">
      <c r="A20" s="49"/>
      <c r="B20" s="49" t="str">
        <f>IFNA(VLOOKUP($A20,Quests!$A$2:$E1000,MATCH(B$1,Quests!$A$1:$E$1,0),FALSE))</f>
        <v/>
      </c>
      <c r="C20" s="49" t="str">
        <f>IFNA(VLOOKUP($A20,Quests!$A$2:$E1000,MATCH(C$1,Quests!$A$1:$E$1,0),FALSE))</f>
        <v/>
      </c>
      <c r="D20" s="49" t="str">
        <f>IFNA(VLOOKUP($A20,Quests!$A$2:$E1000,MATCH(D$1,Quests!$A$1:$E$1,0),FALSE))</f>
        <v/>
      </c>
      <c r="E20" s="49" t="str">
        <f>IFNA(VLOOKUP($A20,Quests!$A$2:$E1000,MATCH(E$1,Quests!$A$1:$E$1,0),FALSE))</f>
        <v/>
      </c>
      <c r="G20" s="119" t="b">
        <v>0</v>
      </c>
      <c r="H20" s="119" t="b">
        <v>0</v>
      </c>
      <c r="I20" s="119" t="b">
        <v>0</v>
      </c>
    </row>
    <row r="21">
      <c r="A21" s="49"/>
      <c r="B21" s="49" t="str">
        <f>IFNA(VLOOKUP($A21,Quests!$A$2:$E1000,MATCH(B$1,Quests!$A$1:$E$1,0),FALSE))</f>
        <v/>
      </c>
      <c r="C21" s="49" t="str">
        <f>IFNA(VLOOKUP($A21,Quests!$A$2:$E1000,MATCH(C$1,Quests!$A$1:$E$1,0),FALSE))</f>
        <v/>
      </c>
      <c r="D21" s="49" t="str">
        <f>IFNA(VLOOKUP($A21,Quests!$A$2:$E1000,MATCH(D$1,Quests!$A$1:$E$1,0),FALSE))</f>
        <v/>
      </c>
      <c r="E21" s="49" t="str">
        <f>IFNA(VLOOKUP($A21,Quests!$A$2:$E1000,MATCH(E$1,Quests!$A$1:$E$1,0),FALSE))</f>
        <v/>
      </c>
      <c r="G21" s="119" t="b">
        <v>0</v>
      </c>
      <c r="H21" s="119" t="b">
        <v>0</v>
      </c>
      <c r="I21" s="119" t="b">
        <v>0</v>
      </c>
    </row>
    <row r="22">
      <c r="A22" s="49"/>
      <c r="B22" s="49" t="str">
        <f>IFNA(VLOOKUP($A22,Quests!$A$2:$E1000,MATCH(B$1,Quests!$A$1:$E$1,0),FALSE))</f>
        <v/>
      </c>
      <c r="C22" s="49" t="str">
        <f>IFNA(VLOOKUP($A22,Quests!$A$2:$E1000,MATCH(C$1,Quests!$A$1:$E$1,0),FALSE))</f>
        <v/>
      </c>
      <c r="D22" s="49" t="str">
        <f>IFNA(VLOOKUP($A22,Quests!$A$2:$E1000,MATCH(D$1,Quests!$A$1:$E$1,0),FALSE))</f>
        <v/>
      </c>
      <c r="E22" s="49" t="str">
        <f>IFNA(VLOOKUP($A22,Quests!$A$2:$E1000,MATCH(E$1,Quests!$A$1:$E$1,0),FALSE))</f>
        <v/>
      </c>
      <c r="G22" s="119" t="b">
        <v>0</v>
      </c>
      <c r="H22" s="119" t="b">
        <v>0</v>
      </c>
      <c r="I22" s="119" t="b">
        <v>0</v>
      </c>
    </row>
    <row r="23">
      <c r="A23" s="49"/>
      <c r="B23" s="49" t="str">
        <f>IFNA(VLOOKUP($A23,Quests!$A$2:$E1000,MATCH(B$1,Quests!$A$1:$E$1,0),FALSE))</f>
        <v/>
      </c>
      <c r="C23" s="49" t="str">
        <f>IFNA(VLOOKUP($A23,Quests!$A$2:$E1000,MATCH(C$1,Quests!$A$1:$E$1,0),FALSE))</f>
        <v/>
      </c>
      <c r="D23" s="49" t="str">
        <f>IFNA(VLOOKUP($A23,Quests!$A$2:$E1000,MATCH(D$1,Quests!$A$1:$E$1,0),FALSE))</f>
        <v/>
      </c>
      <c r="E23" s="49" t="str">
        <f>IFNA(VLOOKUP($A23,Quests!$A$2:$E1000,MATCH(E$1,Quests!$A$1:$E$1,0),FALSE))</f>
        <v/>
      </c>
      <c r="G23" s="119" t="b">
        <v>0</v>
      </c>
      <c r="H23" s="119" t="b">
        <v>0</v>
      </c>
      <c r="I23" s="119" t="b">
        <v>0</v>
      </c>
    </row>
    <row r="24">
      <c r="A24" s="49"/>
      <c r="B24" s="49" t="str">
        <f>IFNA(VLOOKUP($A24,Quests!$A$2:$E1000,MATCH(B$1,Quests!$A$1:$E$1,0),FALSE))</f>
        <v/>
      </c>
      <c r="C24" s="49" t="str">
        <f>IFNA(VLOOKUP($A24,Quests!$A$2:$E1000,MATCH(C$1,Quests!$A$1:$E$1,0),FALSE))</f>
        <v/>
      </c>
      <c r="D24" s="49" t="str">
        <f>IFNA(VLOOKUP($A24,Quests!$A$2:$E1000,MATCH(D$1,Quests!$A$1:$E$1,0),FALSE))</f>
        <v/>
      </c>
      <c r="E24" s="49" t="str">
        <f>IFNA(VLOOKUP($A24,Quests!$A$2:$E1000,MATCH(E$1,Quests!$A$1:$E$1,0),FALSE))</f>
        <v/>
      </c>
      <c r="G24" s="119" t="b">
        <v>0</v>
      </c>
      <c r="H24" s="119" t="b">
        <v>0</v>
      </c>
      <c r="I24" s="119" t="b">
        <v>0</v>
      </c>
    </row>
    <row r="25">
      <c r="A25" s="49"/>
      <c r="B25" s="49" t="str">
        <f>IFNA(VLOOKUP($A25,Quests!$A$2:$E1000,MATCH(B$1,Quests!$A$1:$E$1,0),FALSE))</f>
        <v/>
      </c>
      <c r="C25" s="49" t="str">
        <f>IFNA(VLOOKUP($A25,Quests!$A$2:$E1000,MATCH(C$1,Quests!$A$1:$E$1,0),FALSE))</f>
        <v/>
      </c>
      <c r="D25" s="49" t="str">
        <f>IFNA(VLOOKUP($A25,Quests!$A$2:$E1000,MATCH(D$1,Quests!$A$1:$E$1,0),FALSE))</f>
        <v/>
      </c>
      <c r="E25" s="49" t="str">
        <f>IFNA(VLOOKUP($A25,Quests!$A$2:$E1000,MATCH(E$1,Quests!$A$1:$E$1,0),FALSE))</f>
        <v/>
      </c>
      <c r="G25" s="119" t="b">
        <v>0</v>
      </c>
      <c r="H25" s="119" t="b">
        <v>0</v>
      </c>
      <c r="I25" s="119" t="b">
        <v>0</v>
      </c>
    </row>
    <row r="26">
      <c r="A26" s="49"/>
      <c r="B26" s="49" t="str">
        <f>IFNA(VLOOKUP($A26,Quests!$A$2:$E1000,MATCH(B$1,Quests!$A$1:$E$1,0),FALSE))</f>
        <v/>
      </c>
      <c r="C26" s="49" t="str">
        <f>IFNA(VLOOKUP($A26,Quests!$A$2:$E1000,MATCH(C$1,Quests!$A$1:$E$1,0),FALSE))</f>
        <v/>
      </c>
      <c r="D26" s="49" t="str">
        <f>IFNA(VLOOKUP($A26,Quests!$A$2:$E1000,MATCH(D$1,Quests!$A$1:$E$1,0),FALSE))</f>
        <v/>
      </c>
      <c r="E26" s="49" t="str">
        <f>IFNA(VLOOKUP($A26,Quests!$A$2:$E1000,MATCH(E$1,Quests!$A$1:$E$1,0),FALSE))</f>
        <v/>
      </c>
      <c r="G26" s="119" t="b">
        <v>0</v>
      </c>
      <c r="H26" s="119" t="b">
        <v>0</v>
      </c>
      <c r="I26" s="119" t="b">
        <v>0</v>
      </c>
    </row>
    <row r="27">
      <c r="A27" s="49"/>
      <c r="B27" s="49" t="str">
        <f>IFNA(VLOOKUP($A27,Quests!$A$2:$E1000,MATCH(B$1,Quests!$A$1:$E$1,0),FALSE))</f>
        <v/>
      </c>
      <c r="C27" s="49" t="str">
        <f>IFNA(VLOOKUP($A27,Quests!$A$2:$E1000,MATCH(C$1,Quests!$A$1:$E$1,0),FALSE))</f>
        <v/>
      </c>
      <c r="D27" s="49" t="str">
        <f>IFNA(VLOOKUP($A27,Quests!$A$2:$E1000,MATCH(D$1,Quests!$A$1:$E$1,0),FALSE))</f>
        <v/>
      </c>
      <c r="E27" s="49" t="str">
        <f>IFNA(VLOOKUP($A27,Quests!$A$2:$E1000,MATCH(E$1,Quests!$A$1:$E$1,0),FALSE))</f>
        <v/>
      </c>
      <c r="G27" s="119" t="b">
        <v>0</v>
      </c>
      <c r="H27" s="119" t="b">
        <v>0</v>
      </c>
      <c r="I27" s="119" t="b">
        <v>0</v>
      </c>
    </row>
    <row r="28">
      <c r="A28" s="49"/>
      <c r="B28" s="49" t="str">
        <f>IFNA(VLOOKUP($A28,Quests!$A$2:$E1000,MATCH(B$1,Quests!$A$1:$E$1,0),FALSE))</f>
        <v/>
      </c>
      <c r="C28" s="49" t="str">
        <f>IFNA(VLOOKUP($A28,Quests!$A$2:$E1000,MATCH(C$1,Quests!$A$1:$E$1,0),FALSE))</f>
        <v/>
      </c>
      <c r="D28" s="49" t="str">
        <f>IFNA(VLOOKUP($A28,Quests!$A$2:$E1000,MATCH(D$1,Quests!$A$1:$E$1,0),FALSE))</f>
        <v/>
      </c>
      <c r="E28" s="49" t="str">
        <f>IFNA(VLOOKUP($A28,Quests!$A$2:$E1000,MATCH(E$1,Quests!$A$1:$E$1,0),FALSE))</f>
        <v/>
      </c>
      <c r="G28" s="119" t="b">
        <v>0</v>
      </c>
      <c r="H28" s="119" t="b">
        <v>0</v>
      </c>
      <c r="I28" s="119" t="b">
        <v>0</v>
      </c>
    </row>
    <row r="29">
      <c r="A29" s="49"/>
      <c r="B29" s="49" t="str">
        <f>IFNA(VLOOKUP($A29,Quests!$A$2:$E1000,MATCH(B$1,Quests!$A$1:$E$1,0),FALSE))</f>
        <v/>
      </c>
      <c r="C29" s="49" t="str">
        <f>IFNA(VLOOKUP($A29,Quests!$A$2:$E1000,MATCH(C$1,Quests!$A$1:$E$1,0),FALSE))</f>
        <v/>
      </c>
      <c r="D29" s="49" t="str">
        <f>IFNA(VLOOKUP($A29,Quests!$A$2:$E1000,MATCH(D$1,Quests!$A$1:$E$1,0),FALSE))</f>
        <v/>
      </c>
      <c r="E29" s="49" t="str">
        <f>IFNA(VLOOKUP($A29,Quests!$A$2:$E1000,MATCH(E$1,Quests!$A$1:$E$1,0),FALSE))</f>
        <v/>
      </c>
      <c r="G29" s="119" t="b">
        <v>0</v>
      </c>
      <c r="H29" s="119" t="b">
        <v>0</v>
      </c>
      <c r="I29" s="119" t="b">
        <v>0</v>
      </c>
    </row>
    <row r="30">
      <c r="A30" s="49"/>
      <c r="B30" s="49" t="str">
        <f>IFNA(VLOOKUP($A30,Quests!$A$2:$E1000,MATCH(B$1,Quests!$A$1:$E$1,0),FALSE))</f>
        <v/>
      </c>
      <c r="C30" s="49" t="str">
        <f>IFNA(VLOOKUP($A30,Quests!$A$2:$E1000,MATCH(C$1,Quests!$A$1:$E$1,0),FALSE))</f>
        <v/>
      </c>
      <c r="D30" s="49" t="str">
        <f>IFNA(VLOOKUP($A30,Quests!$A$2:$E1000,MATCH(D$1,Quests!$A$1:$E$1,0),FALSE))</f>
        <v/>
      </c>
      <c r="E30" s="49" t="str">
        <f>IFNA(VLOOKUP($A30,Quests!$A$2:$E1000,MATCH(E$1,Quests!$A$1:$E$1,0),FALSE))</f>
        <v/>
      </c>
      <c r="G30" s="119" t="b">
        <v>0</v>
      </c>
      <c r="H30" s="119" t="b">
        <v>0</v>
      </c>
      <c r="I30" s="119" t="b">
        <v>0</v>
      </c>
    </row>
    <row r="31">
      <c r="A31" s="49"/>
      <c r="B31" s="49" t="str">
        <f>IFNA(VLOOKUP($A31,Quests!$A$2:$E1000,MATCH(B$1,Quests!$A$1:$E$1,0),FALSE))</f>
        <v/>
      </c>
      <c r="C31" s="49" t="str">
        <f>IFNA(VLOOKUP($A31,Quests!$A$2:$E1000,MATCH(C$1,Quests!$A$1:$E$1,0),FALSE))</f>
        <v/>
      </c>
      <c r="D31" s="49" t="str">
        <f>IFNA(VLOOKUP($A31,Quests!$A$2:$E1000,MATCH(D$1,Quests!$A$1:$E$1,0),FALSE))</f>
        <v/>
      </c>
      <c r="E31" s="49" t="str">
        <f>IFNA(VLOOKUP($A31,Quests!$A$2:$E1000,MATCH(E$1,Quests!$A$1:$E$1,0),FALSE))</f>
        <v/>
      </c>
      <c r="G31" s="119" t="b">
        <v>0</v>
      </c>
      <c r="H31" s="119" t="b">
        <v>0</v>
      </c>
      <c r="I31" s="119" t="b">
        <v>0</v>
      </c>
    </row>
    <row r="32">
      <c r="A32" s="49"/>
      <c r="B32" s="49" t="str">
        <f>IFNA(VLOOKUP($A32,Quests!$A$2:$E1000,MATCH(B$1,Quests!$A$1:$E$1,0),FALSE))</f>
        <v/>
      </c>
      <c r="C32" s="49" t="str">
        <f>IFNA(VLOOKUP($A32,Quests!$A$2:$E1000,MATCH(C$1,Quests!$A$1:$E$1,0),FALSE))</f>
        <v/>
      </c>
      <c r="D32" s="49" t="str">
        <f>IFNA(VLOOKUP($A32,Quests!$A$2:$E1000,MATCH(D$1,Quests!$A$1:$E$1,0),FALSE))</f>
        <v/>
      </c>
      <c r="E32" s="49" t="str">
        <f>IFNA(VLOOKUP($A32,Quests!$A$2:$E1000,MATCH(E$1,Quests!$A$1:$E$1,0),FALSE))</f>
        <v/>
      </c>
      <c r="G32" s="119" t="b">
        <v>0</v>
      </c>
      <c r="H32" s="119" t="b">
        <v>0</v>
      </c>
      <c r="I32" s="119" t="b">
        <v>0</v>
      </c>
    </row>
    <row r="33">
      <c r="A33" s="49"/>
      <c r="B33" s="49" t="str">
        <f>IFNA(VLOOKUP($A33,Quests!$A$2:$E1000,MATCH(B$1,Quests!$A$1:$E$1,0),FALSE))</f>
        <v/>
      </c>
      <c r="C33" s="49" t="str">
        <f>IFNA(VLOOKUP($A33,Quests!$A$2:$E1000,MATCH(C$1,Quests!$A$1:$E$1,0),FALSE))</f>
        <v/>
      </c>
      <c r="D33" s="49" t="str">
        <f>IFNA(VLOOKUP($A33,Quests!$A$2:$E1000,MATCH(D$1,Quests!$A$1:$E$1,0),FALSE))</f>
        <v/>
      </c>
      <c r="E33" s="49" t="str">
        <f>IFNA(VLOOKUP($A33,Quests!$A$2:$E1000,MATCH(E$1,Quests!$A$1:$E$1,0),FALSE))</f>
        <v/>
      </c>
      <c r="G33" s="119" t="b">
        <v>0</v>
      </c>
      <c r="H33" s="119" t="b">
        <v>0</v>
      </c>
      <c r="I33" s="119" t="b">
        <v>0</v>
      </c>
    </row>
    <row r="34">
      <c r="A34" s="49"/>
      <c r="B34" s="49" t="str">
        <f>IFNA(VLOOKUP($A34,Quests!$A$2:$E1000,MATCH(B$1,Quests!$A$1:$E$1,0),FALSE))</f>
        <v/>
      </c>
      <c r="C34" s="49" t="str">
        <f>IFNA(VLOOKUP($A34,Quests!$A$2:$E1000,MATCH(C$1,Quests!$A$1:$E$1,0),FALSE))</f>
        <v/>
      </c>
      <c r="D34" s="49" t="str">
        <f>IFNA(VLOOKUP($A34,Quests!$A$2:$E1000,MATCH(D$1,Quests!$A$1:$E$1,0),FALSE))</f>
        <v/>
      </c>
      <c r="E34" s="49" t="str">
        <f>IFNA(VLOOKUP($A34,Quests!$A$2:$E1000,MATCH(E$1,Quests!$A$1:$E$1,0),FALSE))</f>
        <v/>
      </c>
      <c r="G34" s="119" t="b">
        <v>0</v>
      </c>
      <c r="H34" s="119" t="b">
        <v>0</v>
      </c>
      <c r="I34" s="119" t="b">
        <v>0</v>
      </c>
    </row>
    <row r="35">
      <c r="A35" s="49"/>
      <c r="B35" s="49" t="str">
        <f>IFNA(VLOOKUP($A35,Quests!$A$2:$E1000,MATCH(B$1,Quests!$A$1:$E$1,0),FALSE))</f>
        <v/>
      </c>
      <c r="C35" s="49" t="str">
        <f>IFNA(VLOOKUP($A35,Quests!$A$2:$E1000,MATCH(C$1,Quests!$A$1:$E$1,0),FALSE))</f>
        <v/>
      </c>
      <c r="D35" s="49" t="str">
        <f>IFNA(VLOOKUP($A35,Quests!$A$2:$E1000,MATCH(D$1,Quests!$A$1:$E$1,0),FALSE))</f>
        <v/>
      </c>
      <c r="E35" s="49" t="str">
        <f>IFNA(VLOOKUP($A35,Quests!$A$2:$E1000,MATCH(E$1,Quests!$A$1:$E$1,0),FALSE))</f>
        <v/>
      </c>
      <c r="G35" s="119" t="b">
        <v>0</v>
      </c>
      <c r="H35" s="119" t="b">
        <v>0</v>
      </c>
      <c r="I35" s="119" t="b">
        <v>0</v>
      </c>
    </row>
    <row r="36">
      <c r="A36" s="49"/>
      <c r="B36" s="49" t="str">
        <f>IFNA(VLOOKUP($A36,Quests!$A$2:$E1000,MATCH(B$1,Quests!$A$1:$E$1,0),FALSE))</f>
        <v/>
      </c>
      <c r="C36" s="49" t="str">
        <f>IFNA(VLOOKUP($A36,Quests!$A$2:$E1000,MATCH(C$1,Quests!$A$1:$E$1,0),FALSE))</f>
        <v/>
      </c>
      <c r="D36" s="49" t="str">
        <f>IFNA(VLOOKUP($A36,Quests!$A$2:$E1000,MATCH(D$1,Quests!$A$1:$E$1,0),FALSE))</f>
        <v/>
      </c>
      <c r="E36" s="49" t="str">
        <f>IFNA(VLOOKUP($A36,Quests!$A$2:$E1000,MATCH(E$1,Quests!$A$1:$E$1,0),FALSE))</f>
        <v/>
      </c>
      <c r="G36" s="119" t="b">
        <v>0</v>
      </c>
      <c r="H36" s="119" t="b">
        <v>0</v>
      </c>
      <c r="I36" s="119" t="b">
        <v>0</v>
      </c>
    </row>
    <row r="37">
      <c r="A37" s="49"/>
      <c r="B37" s="49" t="str">
        <f>IFNA(VLOOKUP($A37,Quests!$A$2:$E1000,MATCH(B$1,Quests!$A$1:$E$1,0),FALSE))</f>
        <v/>
      </c>
      <c r="C37" s="49" t="str">
        <f>IFNA(VLOOKUP($A37,Quests!$A$2:$E1000,MATCH(C$1,Quests!$A$1:$E$1,0),FALSE))</f>
        <v/>
      </c>
      <c r="D37" s="49" t="str">
        <f>IFNA(VLOOKUP($A37,Quests!$A$2:$E1000,MATCH(D$1,Quests!$A$1:$E$1,0),FALSE))</f>
        <v/>
      </c>
      <c r="E37" s="49" t="str">
        <f>IFNA(VLOOKUP($A37,Quests!$A$2:$E1000,MATCH(E$1,Quests!$A$1:$E$1,0),FALSE))</f>
        <v/>
      </c>
      <c r="G37" s="119" t="b">
        <v>0</v>
      </c>
      <c r="H37" s="119" t="b">
        <v>0</v>
      </c>
      <c r="I37" s="119" t="b">
        <v>0</v>
      </c>
    </row>
    <row r="38">
      <c r="A38" s="49"/>
      <c r="B38" s="49" t="str">
        <f>IFNA(VLOOKUP($A38,Quests!$A$2:$E1000,MATCH(B$1,Quests!$A$1:$E$1,0),FALSE))</f>
        <v/>
      </c>
      <c r="C38" s="49" t="str">
        <f>IFNA(VLOOKUP($A38,Quests!$A$2:$E1000,MATCH(C$1,Quests!$A$1:$E$1,0),FALSE))</f>
        <v/>
      </c>
      <c r="D38" s="49" t="str">
        <f>IFNA(VLOOKUP($A38,Quests!$A$2:$E1000,MATCH(D$1,Quests!$A$1:$E$1,0),FALSE))</f>
        <v/>
      </c>
      <c r="E38" s="49" t="str">
        <f>IFNA(VLOOKUP($A38,Quests!$A$2:$E1000,MATCH(E$1,Quests!$A$1:$E$1,0),FALSE))</f>
        <v/>
      </c>
      <c r="G38" s="119" t="b">
        <v>0</v>
      </c>
      <c r="H38" s="119" t="b">
        <v>0</v>
      </c>
      <c r="I38" s="119" t="b">
        <v>0</v>
      </c>
    </row>
    <row r="39">
      <c r="A39" s="49"/>
      <c r="B39" s="49" t="str">
        <f>IFNA(VLOOKUP($A39,Quests!$A$2:$E1000,MATCH(B$1,Quests!$A$1:$E$1,0),FALSE))</f>
        <v/>
      </c>
      <c r="C39" s="49" t="str">
        <f>IFNA(VLOOKUP($A39,Quests!$A$2:$E1000,MATCH(C$1,Quests!$A$1:$E$1,0),FALSE))</f>
        <v/>
      </c>
      <c r="D39" s="49" t="str">
        <f>IFNA(VLOOKUP($A39,Quests!$A$2:$E1000,MATCH(D$1,Quests!$A$1:$E$1,0),FALSE))</f>
        <v/>
      </c>
      <c r="E39" s="49" t="str">
        <f>IFNA(VLOOKUP($A39,Quests!$A$2:$E1000,MATCH(E$1,Quests!$A$1:$E$1,0),FALSE))</f>
        <v/>
      </c>
      <c r="G39" s="119" t="b">
        <v>0</v>
      </c>
      <c r="H39" s="119" t="b">
        <v>0</v>
      </c>
      <c r="I39" s="119" t="b">
        <v>0</v>
      </c>
    </row>
    <row r="40">
      <c r="A40" s="49"/>
      <c r="B40" s="49" t="str">
        <f>IFNA(VLOOKUP($A40,Quests!$A$2:$E1000,MATCH(B$1,Quests!$A$1:$E$1,0),FALSE))</f>
        <v/>
      </c>
      <c r="C40" s="49" t="str">
        <f>IFNA(VLOOKUP($A40,Quests!$A$2:$E1000,MATCH(C$1,Quests!$A$1:$E$1,0),FALSE))</f>
        <v/>
      </c>
      <c r="D40" s="49" t="str">
        <f>IFNA(VLOOKUP($A40,Quests!$A$2:$E1000,MATCH(D$1,Quests!$A$1:$E$1,0),FALSE))</f>
        <v/>
      </c>
      <c r="E40" s="49" t="str">
        <f>IFNA(VLOOKUP($A40,Quests!$A$2:$E1000,MATCH(E$1,Quests!$A$1:$E$1,0),FALSE))</f>
        <v/>
      </c>
      <c r="G40" s="119" t="b">
        <v>0</v>
      </c>
      <c r="H40" s="119" t="b">
        <v>0</v>
      </c>
      <c r="I40" s="119" t="b">
        <v>0</v>
      </c>
    </row>
    <row r="41">
      <c r="A41" s="49"/>
      <c r="B41" s="49" t="str">
        <f>IFNA(VLOOKUP($A41,Quests!$A$2:$E1000,MATCH(B$1,Quests!$A$1:$E$1,0),FALSE))</f>
        <v/>
      </c>
      <c r="C41" s="49" t="str">
        <f>IFNA(VLOOKUP($A41,Quests!$A$2:$E1000,MATCH(C$1,Quests!$A$1:$E$1,0),FALSE))</f>
        <v/>
      </c>
      <c r="D41" s="49" t="str">
        <f>IFNA(VLOOKUP($A41,Quests!$A$2:$E1000,MATCH(D$1,Quests!$A$1:$E$1,0),FALSE))</f>
        <v/>
      </c>
      <c r="E41" s="49" t="str">
        <f>IFNA(VLOOKUP($A41,Quests!$A$2:$E1000,MATCH(E$1,Quests!$A$1:$E$1,0),FALSE))</f>
        <v/>
      </c>
      <c r="G41" s="119" t="b">
        <v>0</v>
      </c>
      <c r="H41" s="119" t="b">
        <v>0</v>
      </c>
      <c r="I41" s="119" t="b">
        <v>0</v>
      </c>
    </row>
    <row r="42">
      <c r="A42" s="49"/>
      <c r="B42" s="49" t="str">
        <f>IFNA(VLOOKUP($A42,Quests!$A$2:$E1000,MATCH(B$1,Quests!$A$1:$E$1,0),FALSE))</f>
        <v/>
      </c>
      <c r="C42" s="49" t="str">
        <f>IFNA(VLOOKUP($A42,Quests!$A$2:$E1000,MATCH(C$1,Quests!$A$1:$E$1,0),FALSE))</f>
        <v/>
      </c>
      <c r="D42" s="49" t="str">
        <f>IFNA(VLOOKUP($A42,Quests!$A$2:$E1000,MATCH(D$1,Quests!$A$1:$E$1,0),FALSE))</f>
        <v/>
      </c>
      <c r="E42" s="49" t="str">
        <f>IFNA(VLOOKUP($A42,Quests!$A$2:$E1000,MATCH(E$1,Quests!$A$1:$E$1,0),FALSE))</f>
        <v/>
      </c>
      <c r="G42" s="119" t="b">
        <v>0</v>
      </c>
      <c r="H42" s="119" t="b">
        <v>0</v>
      </c>
      <c r="I42" s="119" t="b">
        <v>0</v>
      </c>
    </row>
    <row r="43">
      <c r="A43" s="49"/>
      <c r="B43" s="49" t="str">
        <f>IFNA(VLOOKUP($A43,Quests!$A$2:$E1000,MATCH(B$1,Quests!$A$1:$E$1,0),FALSE))</f>
        <v/>
      </c>
      <c r="C43" s="49" t="str">
        <f>IFNA(VLOOKUP($A43,Quests!$A$2:$E1000,MATCH(C$1,Quests!$A$1:$E$1,0),FALSE))</f>
        <v/>
      </c>
      <c r="D43" s="49" t="str">
        <f>IFNA(VLOOKUP($A43,Quests!$A$2:$E1000,MATCH(D$1,Quests!$A$1:$E$1,0),FALSE))</f>
        <v/>
      </c>
      <c r="E43" s="49" t="str">
        <f>IFNA(VLOOKUP($A43,Quests!$A$2:$E1000,MATCH(E$1,Quests!$A$1:$E$1,0),FALSE))</f>
        <v/>
      </c>
      <c r="G43" s="119" t="b">
        <v>0</v>
      </c>
      <c r="H43" s="119" t="b">
        <v>0</v>
      </c>
      <c r="I43" s="119" t="b">
        <v>0</v>
      </c>
    </row>
    <row r="44">
      <c r="A44" s="49"/>
      <c r="B44" s="49" t="str">
        <f>IFNA(VLOOKUP($A44,Quests!$A$2:$E1000,MATCH(B$1,Quests!$A$1:$E$1,0),FALSE))</f>
        <v/>
      </c>
      <c r="C44" s="49" t="str">
        <f>IFNA(VLOOKUP($A44,Quests!$A$2:$E1000,MATCH(C$1,Quests!$A$1:$E$1,0),FALSE))</f>
        <v/>
      </c>
      <c r="D44" s="49" t="str">
        <f>IFNA(VLOOKUP($A44,Quests!$A$2:$E1000,MATCH(D$1,Quests!$A$1:$E$1,0),FALSE))</f>
        <v/>
      </c>
      <c r="E44" s="49" t="str">
        <f>IFNA(VLOOKUP($A44,Quests!$A$2:$E1000,MATCH(E$1,Quests!$A$1:$E$1,0),FALSE))</f>
        <v/>
      </c>
      <c r="G44" s="119" t="b">
        <v>0</v>
      </c>
      <c r="H44" s="119" t="b">
        <v>0</v>
      </c>
      <c r="I44" s="119" t="b">
        <v>0</v>
      </c>
    </row>
    <row r="45">
      <c r="A45" s="49"/>
      <c r="B45" s="49" t="str">
        <f>IFNA(VLOOKUP($A45,Quests!$A$2:$E1000,MATCH(B$1,Quests!$A$1:$E$1,0),FALSE))</f>
        <v/>
      </c>
      <c r="C45" s="49" t="str">
        <f>IFNA(VLOOKUP($A45,Quests!$A$2:$E1000,MATCH(C$1,Quests!$A$1:$E$1,0),FALSE))</f>
        <v/>
      </c>
      <c r="D45" s="49" t="str">
        <f>IFNA(VLOOKUP($A45,Quests!$A$2:$E1000,MATCH(D$1,Quests!$A$1:$E$1,0),FALSE))</f>
        <v/>
      </c>
      <c r="E45" s="49" t="str">
        <f>IFNA(VLOOKUP($A45,Quests!$A$2:$E1000,MATCH(E$1,Quests!$A$1:$E$1,0),FALSE))</f>
        <v/>
      </c>
      <c r="G45" s="119" t="b">
        <v>0</v>
      </c>
      <c r="H45" s="119" t="b">
        <v>0</v>
      </c>
      <c r="I45" s="119" t="b">
        <v>0</v>
      </c>
    </row>
    <row r="46">
      <c r="A46" s="49"/>
      <c r="B46" s="49" t="str">
        <f>IFNA(VLOOKUP($A46,Quests!$A$2:$E1000,MATCH(B$1,Quests!$A$1:$E$1,0),FALSE))</f>
        <v/>
      </c>
      <c r="C46" s="49" t="str">
        <f>IFNA(VLOOKUP($A46,Quests!$A$2:$E1000,MATCH(C$1,Quests!$A$1:$E$1,0),FALSE))</f>
        <v/>
      </c>
      <c r="D46" s="49" t="str">
        <f>IFNA(VLOOKUP($A46,Quests!$A$2:$E1000,MATCH(D$1,Quests!$A$1:$E$1,0),FALSE))</f>
        <v/>
      </c>
      <c r="E46" s="49" t="str">
        <f>IFNA(VLOOKUP($A46,Quests!$A$2:$E1000,MATCH(E$1,Quests!$A$1:$E$1,0),FALSE))</f>
        <v/>
      </c>
      <c r="G46" s="119" t="b">
        <v>0</v>
      </c>
      <c r="H46" s="119" t="b">
        <v>0</v>
      </c>
      <c r="I46" s="119" t="b">
        <v>0</v>
      </c>
    </row>
    <row r="47">
      <c r="A47" s="49"/>
      <c r="B47" s="49" t="str">
        <f>IFNA(VLOOKUP($A47,Quests!$A$2:$E1000,MATCH(B$1,Quests!$A$1:$E$1,0),FALSE))</f>
        <v/>
      </c>
      <c r="C47" s="49" t="str">
        <f>IFNA(VLOOKUP($A47,Quests!$A$2:$E1000,MATCH(C$1,Quests!$A$1:$E$1,0),FALSE))</f>
        <v/>
      </c>
      <c r="D47" s="49" t="str">
        <f>IFNA(VLOOKUP($A47,Quests!$A$2:$E1000,MATCH(D$1,Quests!$A$1:$E$1,0),FALSE))</f>
        <v/>
      </c>
      <c r="E47" s="49" t="str">
        <f>IFNA(VLOOKUP($A47,Quests!$A$2:$E1000,MATCH(E$1,Quests!$A$1:$E$1,0),FALSE))</f>
        <v/>
      </c>
      <c r="G47" s="119" t="b">
        <v>0</v>
      </c>
      <c r="H47" s="119" t="b">
        <v>0</v>
      </c>
      <c r="I47" s="119" t="b">
        <v>0</v>
      </c>
    </row>
    <row r="48">
      <c r="A48" s="49"/>
      <c r="B48" s="49" t="str">
        <f>IFNA(VLOOKUP($A48,Quests!$A$2:$E1000,MATCH(B$1,Quests!$A$1:$E$1,0),FALSE))</f>
        <v/>
      </c>
      <c r="C48" s="49" t="str">
        <f>IFNA(VLOOKUP($A48,Quests!$A$2:$E1000,MATCH(C$1,Quests!$A$1:$E$1,0),FALSE))</f>
        <v/>
      </c>
      <c r="D48" s="49" t="str">
        <f>IFNA(VLOOKUP($A48,Quests!$A$2:$E1000,MATCH(D$1,Quests!$A$1:$E$1,0),FALSE))</f>
        <v/>
      </c>
      <c r="E48" s="49" t="str">
        <f>IFNA(VLOOKUP($A48,Quests!$A$2:$E1000,MATCH(E$1,Quests!$A$1:$E$1,0),FALSE))</f>
        <v/>
      </c>
      <c r="G48" s="119" t="b">
        <v>0</v>
      </c>
      <c r="H48" s="119" t="b">
        <v>0</v>
      </c>
      <c r="I48" s="119" t="b">
        <v>0</v>
      </c>
    </row>
    <row r="49">
      <c r="A49" s="49"/>
      <c r="B49" s="49" t="str">
        <f>IFNA(VLOOKUP($A49,Quests!$A$2:$E1000,MATCH(B$1,Quests!$A$1:$E$1,0),FALSE))</f>
        <v/>
      </c>
      <c r="C49" s="49" t="str">
        <f>IFNA(VLOOKUP($A49,Quests!$A$2:$E1000,MATCH(C$1,Quests!$A$1:$E$1,0),FALSE))</f>
        <v/>
      </c>
      <c r="D49" s="49" t="str">
        <f>IFNA(VLOOKUP($A49,Quests!$A$2:$E1000,MATCH(D$1,Quests!$A$1:$E$1,0),FALSE))</f>
        <v/>
      </c>
      <c r="E49" s="49" t="str">
        <f>IFNA(VLOOKUP($A49,Quests!$A$2:$E1000,MATCH(E$1,Quests!$A$1:$E$1,0),FALSE))</f>
        <v/>
      </c>
      <c r="G49" s="119" t="b">
        <v>0</v>
      </c>
      <c r="H49" s="119" t="b">
        <v>0</v>
      </c>
      <c r="I49" s="119" t="b">
        <v>0</v>
      </c>
    </row>
    <row r="50">
      <c r="A50" s="49"/>
      <c r="B50" s="49" t="str">
        <f>IFNA(VLOOKUP($A50,Quests!$A$2:$E1000,MATCH(B$1,Quests!$A$1:$E$1,0),FALSE))</f>
        <v/>
      </c>
      <c r="C50" s="49" t="str">
        <f>IFNA(VLOOKUP($A50,Quests!$A$2:$E1000,MATCH(C$1,Quests!$A$1:$E$1,0),FALSE))</f>
        <v/>
      </c>
      <c r="D50" s="49" t="str">
        <f>IFNA(VLOOKUP($A50,Quests!$A$2:$E1000,MATCH(D$1,Quests!$A$1:$E$1,0),FALSE))</f>
        <v/>
      </c>
      <c r="E50" s="49" t="str">
        <f>IFNA(VLOOKUP($A50,Quests!$A$2:$E1000,MATCH(E$1,Quests!$A$1:$E$1,0),FALSE))</f>
        <v/>
      </c>
      <c r="G50" s="119" t="b">
        <v>0</v>
      </c>
      <c r="H50" s="119" t="b">
        <v>0</v>
      </c>
      <c r="I50" s="119" t="b">
        <v>0</v>
      </c>
    </row>
    <row r="51">
      <c r="A51" s="49"/>
      <c r="B51" s="49" t="str">
        <f>IFNA(VLOOKUP($A51,Quests!$A$2:$E1000,MATCH(B$1,Quests!$A$1:$E$1,0),FALSE))</f>
        <v/>
      </c>
      <c r="C51" s="49" t="str">
        <f>IFNA(VLOOKUP($A51,Quests!$A$2:$E1000,MATCH(C$1,Quests!$A$1:$E$1,0),FALSE))</f>
        <v/>
      </c>
      <c r="D51" s="49" t="str">
        <f>IFNA(VLOOKUP($A51,Quests!$A$2:$E1000,MATCH(D$1,Quests!$A$1:$E$1,0),FALSE))</f>
        <v/>
      </c>
      <c r="E51" s="49" t="str">
        <f>IFNA(VLOOKUP($A51,Quests!$A$2:$E1000,MATCH(E$1,Quests!$A$1:$E$1,0),FALSE))</f>
        <v/>
      </c>
      <c r="G51" s="119" t="b">
        <v>0</v>
      </c>
      <c r="H51" s="119" t="b">
        <v>0</v>
      </c>
      <c r="I51" s="119" t="b">
        <v>0</v>
      </c>
    </row>
    <row r="52">
      <c r="A52" s="49"/>
      <c r="B52" s="49" t="str">
        <f>IFNA(VLOOKUP($A52,Quests!$A$2:$E1000,MATCH(B$1,Quests!$A$1:$E$1,0),FALSE))</f>
        <v/>
      </c>
      <c r="C52" s="49" t="str">
        <f>IFNA(VLOOKUP($A52,Quests!$A$2:$E1000,MATCH(C$1,Quests!$A$1:$E$1,0),FALSE))</f>
        <v/>
      </c>
      <c r="D52" s="49" t="str">
        <f>IFNA(VLOOKUP($A52,Quests!$A$2:$E1000,MATCH(D$1,Quests!$A$1:$E$1,0),FALSE))</f>
        <v/>
      </c>
      <c r="E52" s="49" t="str">
        <f>IFNA(VLOOKUP($A52,Quests!$A$2:$E1000,MATCH(E$1,Quests!$A$1:$E$1,0),FALSE))</f>
        <v/>
      </c>
      <c r="G52" s="119" t="b">
        <v>0</v>
      </c>
      <c r="H52" s="119" t="b">
        <v>0</v>
      </c>
      <c r="I52" s="119" t="b">
        <v>0</v>
      </c>
    </row>
    <row r="53">
      <c r="A53" s="49"/>
      <c r="B53" s="49" t="str">
        <f>IFNA(VLOOKUP($A53,Quests!$A$2:$E1000,MATCH(B$1,Quests!$A$1:$E$1,0),FALSE))</f>
        <v/>
      </c>
      <c r="C53" s="49" t="str">
        <f>IFNA(VLOOKUP($A53,Quests!$A$2:$E1000,MATCH(C$1,Quests!$A$1:$E$1,0),FALSE))</f>
        <v/>
      </c>
      <c r="D53" s="49" t="str">
        <f>IFNA(VLOOKUP($A53,Quests!$A$2:$E1000,MATCH(D$1,Quests!$A$1:$E$1,0),FALSE))</f>
        <v/>
      </c>
      <c r="E53" s="49" t="str">
        <f>IFNA(VLOOKUP($A53,Quests!$A$2:$E1000,MATCH(E$1,Quests!$A$1:$E$1,0),FALSE))</f>
        <v/>
      </c>
      <c r="G53" s="119" t="b">
        <v>0</v>
      </c>
      <c r="H53" s="119" t="b">
        <v>0</v>
      </c>
      <c r="I53" s="119" t="b">
        <v>0</v>
      </c>
    </row>
    <row r="54">
      <c r="A54" s="49"/>
      <c r="B54" s="49" t="str">
        <f>IFNA(VLOOKUP($A54,Quests!$A$2:$E1000,MATCH(B$1,Quests!$A$1:$E$1,0),FALSE))</f>
        <v/>
      </c>
      <c r="C54" s="49" t="str">
        <f>IFNA(VLOOKUP($A54,Quests!$A$2:$E1000,MATCH(C$1,Quests!$A$1:$E$1,0),FALSE))</f>
        <v/>
      </c>
      <c r="D54" s="49" t="str">
        <f>IFNA(VLOOKUP($A54,Quests!$A$2:$E1000,MATCH(D$1,Quests!$A$1:$E$1,0),FALSE))</f>
        <v/>
      </c>
      <c r="E54" s="49" t="str">
        <f>IFNA(VLOOKUP($A54,Quests!$A$2:$E1000,MATCH(E$1,Quests!$A$1:$E$1,0),FALSE))</f>
        <v/>
      </c>
      <c r="G54" s="119" t="b">
        <v>0</v>
      </c>
      <c r="H54" s="119" t="b">
        <v>0</v>
      </c>
      <c r="I54" s="119" t="b">
        <v>0</v>
      </c>
    </row>
    <row r="55">
      <c r="A55" s="49"/>
      <c r="B55" s="49" t="str">
        <f>IFNA(VLOOKUP($A55,Quests!$A$2:$E1000,MATCH(B$1,Quests!$A$1:$E$1,0),FALSE))</f>
        <v/>
      </c>
      <c r="C55" s="49" t="str">
        <f>IFNA(VLOOKUP($A55,Quests!$A$2:$E1000,MATCH(C$1,Quests!$A$1:$E$1,0),FALSE))</f>
        <v/>
      </c>
      <c r="D55" s="49" t="str">
        <f>IFNA(VLOOKUP($A55,Quests!$A$2:$E1000,MATCH(D$1,Quests!$A$1:$E$1,0),FALSE))</f>
        <v/>
      </c>
      <c r="E55" s="49" t="str">
        <f>IFNA(VLOOKUP($A55,Quests!$A$2:$E1000,MATCH(E$1,Quests!$A$1:$E$1,0),FALSE))</f>
        <v/>
      </c>
      <c r="G55" s="119" t="b">
        <v>0</v>
      </c>
      <c r="H55" s="119" t="b">
        <v>0</v>
      </c>
      <c r="I55" s="119" t="b">
        <v>0</v>
      </c>
    </row>
    <row r="56">
      <c r="A56" s="49"/>
      <c r="B56" s="49" t="str">
        <f>IFNA(VLOOKUP($A56,Quests!$A$2:$E1000,MATCH(B$1,Quests!$A$1:$E$1,0),FALSE))</f>
        <v/>
      </c>
      <c r="C56" s="49" t="str">
        <f>IFNA(VLOOKUP($A56,Quests!$A$2:$E1000,MATCH(C$1,Quests!$A$1:$E$1,0),FALSE))</f>
        <v/>
      </c>
      <c r="D56" s="49" t="str">
        <f>IFNA(VLOOKUP($A56,Quests!$A$2:$E1000,MATCH(D$1,Quests!$A$1:$E$1,0),FALSE))</f>
        <v/>
      </c>
      <c r="E56" s="49" t="str">
        <f>IFNA(VLOOKUP($A56,Quests!$A$2:$E1000,MATCH(E$1,Quests!$A$1:$E$1,0),FALSE))</f>
        <v/>
      </c>
      <c r="G56" s="119" t="b">
        <v>0</v>
      </c>
      <c r="H56" s="119" t="b">
        <v>0</v>
      </c>
      <c r="I56" s="119" t="b">
        <v>0</v>
      </c>
    </row>
    <row r="57">
      <c r="A57" s="49"/>
      <c r="B57" s="49" t="str">
        <f>IFNA(VLOOKUP($A57,Quests!$A$2:$E1000,MATCH(B$1,Quests!$A$1:$E$1,0),FALSE))</f>
        <v/>
      </c>
      <c r="C57" s="49" t="str">
        <f>IFNA(VLOOKUP($A57,Quests!$A$2:$E1000,MATCH(C$1,Quests!$A$1:$E$1,0),FALSE))</f>
        <v/>
      </c>
      <c r="D57" s="49" t="str">
        <f>IFNA(VLOOKUP($A57,Quests!$A$2:$E1000,MATCH(D$1,Quests!$A$1:$E$1,0),FALSE))</f>
        <v/>
      </c>
      <c r="E57" s="49" t="str">
        <f>IFNA(VLOOKUP($A57,Quests!$A$2:$E1000,MATCH(E$1,Quests!$A$1:$E$1,0),FALSE))</f>
        <v/>
      </c>
      <c r="G57" s="119" t="b">
        <v>0</v>
      </c>
      <c r="H57" s="119" t="b">
        <v>0</v>
      </c>
      <c r="I57" s="119" t="b">
        <v>0</v>
      </c>
    </row>
    <row r="58">
      <c r="A58" s="49"/>
      <c r="B58" s="49" t="str">
        <f>IFNA(VLOOKUP($A58,Quests!$A$2:$E1000,MATCH(B$1,Quests!$A$1:$E$1,0),FALSE))</f>
        <v/>
      </c>
      <c r="C58" s="49" t="str">
        <f>IFNA(VLOOKUP($A58,Quests!$A$2:$E1000,MATCH(C$1,Quests!$A$1:$E$1,0),FALSE))</f>
        <v/>
      </c>
      <c r="D58" s="49" t="str">
        <f>IFNA(VLOOKUP($A58,Quests!$A$2:$E1000,MATCH(D$1,Quests!$A$1:$E$1,0),FALSE))</f>
        <v/>
      </c>
      <c r="E58" s="49" t="str">
        <f>IFNA(VLOOKUP($A58,Quests!$A$2:$E1000,MATCH(E$1,Quests!$A$1:$E$1,0),FALSE))</f>
        <v/>
      </c>
      <c r="G58" s="119" t="b">
        <v>0</v>
      </c>
      <c r="H58" s="119" t="b">
        <v>0</v>
      </c>
      <c r="I58" s="119" t="b">
        <v>0</v>
      </c>
    </row>
    <row r="59">
      <c r="A59" s="49"/>
      <c r="B59" s="49" t="str">
        <f>IFNA(VLOOKUP($A59,Quests!$A$2:$E1000,MATCH(B$1,Quests!$A$1:$E$1,0),FALSE))</f>
        <v/>
      </c>
      <c r="C59" s="49" t="str">
        <f>IFNA(VLOOKUP($A59,Quests!$A$2:$E1000,MATCH(C$1,Quests!$A$1:$E$1,0),FALSE))</f>
        <v/>
      </c>
      <c r="D59" s="49" t="str">
        <f>IFNA(VLOOKUP($A59,Quests!$A$2:$E1000,MATCH(D$1,Quests!$A$1:$E$1,0),FALSE))</f>
        <v/>
      </c>
      <c r="E59" s="49" t="str">
        <f>IFNA(VLOOKUP($A59,Quests!$A$2:$E1000,MATCH(E$1,Quests!$A$1:$E$1,0),FALSE))</f>
        <v/>
      </c>
      <c r="G59" s="119" t="b">
        <v>0</v>
      </c>
      <c r="H59" s="119" t="b">
        <v>0</v>
      </c>
      <c r="I59" s="119" t="b">
        <v>0</v>
      </c>
    </row>
    <row r="60">
      <c r="A60" s="49"/>
      <c r="B60" s="49" t="str">
        <f>IFNA(VLOOKUP($A60,Quests!$A$2:$E1000,MATCH(B$1,Quests!$A$1:$E$1,0),FALSE))</f>
        <v/>
      </c>
      <c r="C60" s="49" t="str">
        <f>IFNA(VLOOKUP($A60,Quests!$A$2:$E1000,MATCH(C$1,Quests!$A$1:$E$1,0),FALSE))</f>
        <v/>
      </c>
      <c r="D60" s="49" t="str">
        <f>IFNA(VLOOKUP($A60,Quests!$A$2:$E1000,MATCH(D$1,Quests!$A$1:$E$1,0),FALSE))</f>
        <v/>
      </c>
      <c r="E60" s="49" t="str">
        <f>IFNA(VLOOKUP($A60,Quests!$A$2:$E1000,MATCH(E$1,Quests!$A$1:$E$1,0),FALSE))</f>
        <v/>
      </c>
      <c r="G60" s="119" t="b">
        <v>0</v>
      </c>
      <c r="H60" s="119" t="b">
        <v>0</v>
      </c>
      <c r="I60" s="119" t="b">
        <v>0</v>
      </c>
    </row>
    <row r="61">
      <c r="A61" s="49"/>
      <c r="B61" s="49" t="str">
        <f>IFNA(VLOOKUP($A61,Quests!$A$2:$E1000,MATCH(B$1,Quests!$A$1:$E$1,0),FALSE))</f>
        <v/>
      </c>
      <c r="C61" s="49" t="str">
        <f>IFNA(VLOOKUP($A61,Quests!$A$2:$E1000,MATCH(C$1,Quests!$A$1:$E$1,0),FALSE))</f>
        <v/>
      </c>
      <c r="D61" s="49" t="str">
        <f>IFNA(VLOOKUP($A61,Quests!$A$2:$E1000,MATCH(D$1,Quests!$A$1:$E$1,0),FALSE))</f>
        <v/>
      </c>
      <c r="E61" s="49" t="str">
        <f>IFNA(VLOOKUP($A61,Quests!$A$2:$E1000,MATCH(E$1,Quests!$A$1:$E$1,0),FALSE))</f>
        <v/>
      </c>
      <c r="G61" s="119" t="b">
        <v>0</v>
      </c>
      <c r="H61" s="119" t="b">
        <v>0</v>
      </c>
      <c r="I61" s="119" t="b">
        <v>0</v>
      </c>
    </row>
    <row r="62">
      <c r="A62" s="49"/>
      <c r="B62" s="49" t="str">
        <f>IFNA(VLOOKUP($A62,Quests!$A$2:$E1000,MATCH(B$1,Quests!$A$1:$E$1,0),FALSE))</f>
        <v/>
      </c>
      <c r="C62" s="49" t="str">
        <f>IFNA(VLOOKUP($A62,Quests!$A$2:$E1000,MATCH(C$1,Quests!$A$1:$E$1,0),FALSE))</f>
        <v/>
      </c>
      <c r="D62" s="49" t="str">
        <f>IFNA(VLOOKUP($A62,Quests!$A$2:$E1000,MATCH(D$1,Quests!$A$1:$E$1,0),FALSE))</f>
        <v/>
      </c>
      <c r="E62" s="49" t="str">
        <f>IFNA(VLOOKUP($A62,Quests!$A$2:$E1000,MATCH(E$1,Quests!$A$1:$E$1,0),FALSE))</f>
        <v/>
      </c>
      <c r="G62" s="119" t="b">
        <v>0</v>
      </c>
      <c r="H62" s="119" t="b">
        <v>0</v>
      </c>
      <c r="I62" s="119" t="b">
        <v>0</v>
      </c>
    </row>
    <row r="63">
      <c r="A63" s="49"/>
      <c r="B63" s="49" t="str">
        <f>IFNA(VLOOKUP($A63,Quests!$A$2:$E1000,MATCH(B$1,Quests!$A$1:$E$1,0),FALSE))</f>
        <v/>
      </c>
      <c r="C63" s="49" t="str">
        <f>IFNA(VLOOKUP($A63,Quests!$A$2:$E1000,MATCH(C$1,Quests!$A$1:$E$1,0),FALSE))</f>
        <v/>
      </c>
      <c r="D63" s="49" t="str">
        <f>IFNA(VLOOKUP($A63,Quests!$A$2:$E1000,MATCH(D$1,Quests!$A$1:$E$1,0),FALSE))</f>
        <v/>
      </c>
      <c r="E63" s="49" t="str">
        <f>IFNA(VLOOKUP($A63,Quests!$A$2:$E1000,MATCH(E$1,Quests!$A$1:$E$1,0),FALSE))</f>
        <v/>
      </c>
      <c r="G63" s="119" t="b">
        <v>0</v>
      </c>
      <c r="H63" s="119" t="b">
        <v>0</v>
      </c>
      <c r="I63" s="119" t="b">
        <v>0</v>
      </c>
    </row>
    <row r="64">
      <c r="A64" s="49"/>
      <c r="B64" s="49" t="str">
        <f>IFNA(VLOOKUP($A64,Quests!$A$2:$E1000,MATCH(B$1,Quests!$A$1:$E$1,0),FALSE))</f>
        <v/>
      </c>
      <c r="C64" s="49" t="str">
        <f>IFNA(VLOOKUP($A64,Quests!$A$2:$E1000,MATCH(C$1,Quests!$A$1:$E$1,0),FALSE))</f>
        <v/>
      </c>
      <c r="D64" s="49" t="str">
        <f>IFNA(VLOOKUP($A64,Quests!$A$2:$E1000,MATCH(D$1,Quests!$A$1:$E$1,0),FALSE))</f>
        <v/>
      </c>
      <c r="E64" s="49" t="str">
        <f>IFNA(VLOOKUP($A64,Quests!$A$2:$E1000,MATCH(E$1,Quests!$A$1:$E$1,0),FALSE))</f>
        <v/>
      </c>
      <c r="G64" s="119" t="b">
        <v>0</v>
      </c>
      <c r="H64" s="119" t="b">
        <v>0</v>
      </c>
      <c r="I64" s="119" t="b">
        <v>0</v>
      </c>
    </row>
    <row r="65">
      <c r="A65" s="49"/>
      <c r="B65" s="49" t="str">
        <f>IFNA(VLOOKUP($A65,Quests!$A$2:$E1000,MATCH(B$1,Quests!$A$1:$E$1,0),FALSE))</f>
        <v/>
      </c>
      <c r="C65" s="49" t="str">
        <f>IFNA(VLOOKUP($A65,Quests!$A$2:$E1000,MATCH(C$1,Quests!$A$1:$E$1,0),FALSE))</f>
        <v/>
      </c>
      <c r="D65" s="49" t="str">
        <f>IFNA(VLOOKUP($A65,Quests!$A$2:$E1000,MATCH(D$1,Quests!$A$1:$E$1,0),FALSE))</f>
        <v/>
      </c>
      <c r="E65" s="49" t="str">
        <f>IFNA(VLOOKUP($A65,Quests!$A$2:$E1000,MATCH(E$1,Quests!$A$1:$E$1,0),FALSE))</f>
        <v/>
      </c>
      <c r="G65" s="119" t="b">
        <v>0</v>
      </c>
      <c r="H65" s="119" t="b">
        <v>0</v>
      </c>
      <c r="I65" s="119" t="b">
        <v>0</v>
      </c>
    </row>
    <row r="66">
      <c r="A66" s="49"/>
      <c r="B66" s="49" t="str">
        <f>IFNA(VLOOKUP($A66,Quests!$A$2:$E1000,MATCH(B$1,Quests!$A$1:$E$1,0),FALSE))</f>
        <v/>
      </c>
      <c r="C66" s="49" t="str">
        <f>IFNA(VLOOKUP($A66,Quests!$A$2:$E1000,MATCH(C$1,Quests!$A$1:$E$1,0),FALSE))</f>
        <v/>
      </c>
      <c r="D66" s="49" t="str">
        <f>IFNA(VLOOKUP($A66,Quests!$A$2:$E1000,MATCH(D$1,Quests!$A$1:$E$1,0),FALSE))</f>
        <v/>
      </c>
      <c r="E66" s="49" t="str">
        <f>IFNA(VLOOKUP($A66,Quests!$A$2:$E1000,MATCH(E$1,Quests!$A$1:$E$1,0),FALSE))</f>
        <v/>
      </c>
      <c r="G66" s="119" t="b">
        <v>0</v>
      </c>
      <c r="H66" s="119" t="b">
        <v>0</v>
      </c>
      <c r="I66" s="119" t="b">
        <v>0</v>
      </c>
    </row>
    <row r="67">
      <c r="A67" s="49"/>
      <c r="B67" s="49" t="str">
        <f>IFNA(VLOOKUP($A67,Quests!$A$2:$E1000,MATCH(B$1,Quests!$A$1:$E$1,0),FALSE))</f>
        <v/>
      </c>
      <c r="C67" s="49" t="str">
        <f>IFNA(VLOOKUP($A67,Quests!$A$2:$E1000,MATCH(C$1,Quests!$A$1:$E$1,0),FALSE))</f>
        <v/>
      </c>
      <c r="D67" s="49" t="str">
        <f>IFNA(VLOOKUP($A67,Quests!$A$2:$E1000,MATCH(D$1,Quests!$A$1:$E$1,0),FALSE))</f>
        <v/>
      </c>
      <c r="E67" s="49" t="str">
        <f>IFNA(VLOOKUP($A67,Quests!$A$2:$E1000,MATCH(E$1,Quests!$A$1:$E$1,0),FALSE))</f>
        <v/>
      </c>
      <c r="G67" s="119" t="b">
        <v>0</v>
      </c>
      <c r="H67" s="119" t="b">
        <v>0</v>
      </c>
      <c r="I67" s="119" t="b">
        <v>0</v>
      </c>
    </row>
    <row r="68">
      <c r="A68" s="49"/>
      <c r="B68" s="49" t="str">
        <f>IFNA(VLOOKUP($A68,Quests!$A$2:$E1000,MATCH(B$1,Quests!$A$1:$E$1,0),FALSE))</f>
        <v/>
      </c>
      <c r="C68" s="49" t="str">
        <f>IFNA(VLOOKUP($A68,Quests!$A$2:$E1000,MATCH(C$1,Quests!$A$1:$E$1,0),FALSE))</f>
        <v/>
      </c>
      <c r="D68" s="49" t="str">
        <f>IFNA(VLOOKUP($A68,Quests!$A$2:$E1000,MATCH(D$1,Quests!$A$1:$E$1,0),FALSE))</f>
        <v/>
      </c>
      <c r="E68" s="49" t="str">
        <f>IFNA(VLOOKUP($A68,Quests!$A$2:$E1000,MATCH(E$1,Quests!$A$1:$E$1,0),FALSE))</f>
        <v/>
      </c>
      <c r="G68" s="120" t="b">
        <v>0</v>
      </c>
      <c r="H68" s="120" t="b">
        <v>0</v>
      </c>
      <c r="I68" s="120" t="b">
        <v>0</v>
      </c>
    </row>
    <row r="69">
      <c r="A69" s="49"/>
      <c r="B69" s="49" t="str">
        <f>IFNA(VLOOKUP($A69,Quests!$A$2:$E1000,MATCH(B$1,Quests!$A$1:$E$1,0),FALSE))</f>
        <v/>
      </c>
      <c r="C69" s="49" t="str">
        <f>IFNA(VLOOKUP($A69,Quests!$A$2:$E1000,MATCH(C$1,Quests!$A$1:$E$1,0),FALSE))</f>
        <v/>
      </c>
      <c r="D69" s="49" t="str">
        <f>IFNA(VLOOKUP($A69,Quests!$A$2:$E1000,MATCH(D$1,Quests!$A$1:$E$1,0),FALSE))</f>
        <v/>
      </c>
      <c r="E69" s="49" t="str">
        <f>IFNA(VLOOKUP($A69,Quests!$A$2:$E1000,MATCH(E$1,Quests!$A$1:$E$1,0),FALSE))</f>
        <v/>
      </c>
      <c r="G69" s="120" t="b">
        <v>0</v>
      </c>
      <c r="H69" s="120" t="b">
        <v>0</v>
      </c>
      <c r="I69" s="120" t="b">
        <v>0</v>
      </c>
    </row>
    <row r="70">
      <c r="A70" s="49"/>
      <c r="B70" s="49" t="str">
        <f>IFNA(VLOOKUP($A70,Quests!$A$2:$E1000,MATCH(B$1,Quests!$A$1:$E$1,0),FALSE))</f>
        <v/>
      </c>
      <c r="C70" s="49" t="str">
        <f>IFNA(VLOOKUP($A70,Quests!$A$2:$E1000,MATCH(C$1,Quests!$A$1:$E$1,0),FALSE))</f>
        <v/>
      </c>
      <c r="D70" s="49" t="str">
        <f>IFNA(VLOOKUP($A70,Quests!$A$2:$E1000,MATCH(D$1,Quests!$A$1:$E$1,0),FALSE))</f>
        <v/>
      </c>
      <c r="E70" s="49" t="str">
        <f>IFNA(VLOOKUP($A70,Quests!$A$2:$E1000,MATCH(E$1,Quests!$A$1:$E$1,0),FALSE))</f>
        <v/>
      </c>
      <c r="G70" s="120" t="b">
        <v>0</v>
      </c>
      <c r="H70" s="120" t="b">
        <v>0</v>
      </c>
      <c r="I70" s="120" t="b">
        <v>0</v>
      </c>
    </row>
    <row r="71">
      <c r="A71" s="49"/>
      <c r="B71" s="49" t="str">
        <f>IFNA(VLOOKUP($A71,Quests!$A$2:$E1000,MATCH(B$1,Quests!$A$1:$E$1,0),FALSE))</f>
        <v/>
      </c>
      <c r="C71" s="49" t="str">
        <f>IFNA(VLOOKUP($A71,Quests!$A$2:$E1000,MATCH(C$1,Quests!$A$1:$E$1,0),FALSE))</f>
        <v/>
      </c>
      <c r="D71" s="49" t="str">
        <f>IFNA(VLOOKUP($A71,Quests!$A$2:$E1000,MATCH(D$1,Quests!$A$1:$E$1,0),FALSE))</f>
        <v/>
      </c>
      <c r="E71" s="49" t="str">
        <f>IFNA(VLOOKUP($A71,Quests!$A$2:$E1000,MATCH(E$1,Quests!$A$1:$E$1,0),FALSE))</f>
        <v/>
      </c>
      <c r="G71" s="120" t="b">
        <v>0</v>
      </c>
      <c r="H71" s="120" t="b">
        <v>0</v>
      </c>
      <c r="I71" s="120" t="b">
        <v>0</v>
      </c>
    </row>
    <row r="72">
      <c r="A72" s="49"/>
      <c r="B72" s="49" t="str">
        <f>IFNA(VLOOKUP($A72,Quests!$A$2:$E1000,MATCH(B$1,Quests!$A$1:$E$1,0),FALSE))</f>
        <v/>
      </c>
      <c r="C72" s="49" t="str">
        <f>IFNA(VLOOKUP($A72,Quests!$A$2:$E1000,MATCH(C$1,Quests!$A$1:$E$1,0),FALSE))</f>
        <v/>
      </c>
      <c r="D72" s="49" t="str">
        <f>IFNA(VLOOKUP($A72,Quests!$A$2:$E1000,MATCH(D$1,Quests!$A$1:$E$1,0),FALSE))</f>
        <v/>
      </c>
      <c r="E72" s="49" t="str">
        <f>IFNA(VLOOKUP($A72,Quests!$A$2:$E1000,MATCH(E$1,Quests!$A$1:$E$1,0),FALSE))</f>
        <v/>
      </c>
      <c r="G72" s="120" t="b">
        <v>0</v>
      </c>
      <c r="H72" s="120" t="b">
        <v>0</v>
      </c>
      <c r="I72" s="120" t="b">
        <v>0</v>
      </c>
    </row>
    <row r="73">
      <c r="A73" s="49"/>
      <c r="B73" s="49" t="str">
        <f>IFNA(VLOOKUP($A73,Quests!$A$2:$E1000,MATCH(B$1,Quests!$A$1:$E$1,0),FALSE))</f>
        <v/>
      </c>
      <c r="C73" s="49" t="str">
        <f>IFNA(VLOOKUP($A73,Quests!$A$2:$E1000,MATCH(C$1,Quests!$A$1:$E$1,0),FALSE))</f>
        <v/>
      </c>
      <c r="D73" s="49" t="str">
        <f>IFNA(VLOOKUP($A73,Quests!$A$2:$E1000,MATCH(D$1,Quests!$A$1:$E$1,0),FALSE))</f>
        <v/>
      </c>
      <c r="E73" s="49" t="str">
        <f>IFNA(VLOOKUP($A73,Quests!$A$2:$E1000,MATCH(E$1,Quests!$A$1:$E$1,0),FALSE))</f>
        <v/>
      </c>
      <c r="G73" s="120" t="b">
        <v>0</v>
      </c>
      <c r="H73" s="120" t="b">
        <v>0</v>
      </c>
      <c r="I73" s="120" t="b">
        <v>0</v>
      </c>
    </row>
    <row r="74">
      <c r="A74" s="49"/>
      <c r="B74" s="49" t="str">
        <f>IFNA(VLOOKUP($A74,Quests!$A$2:$E1000,MATCH(B$1,Quests!$A$1:$E$1,0),FALSE))</f>
        <v/>
      </c>
      <c r="C74" s="49" t="str">
        <f>IFNA(VLOOKUP($A74,Quests!$A$2:$E1000,MATCH(C$1,Quests!$A$1:$E$1,0),FALSE))</f>
        <v/>
      </c>
      <c r="D74" s="49" t="str">
        <f>IFNA(VLOOKUP($A74,Quests!$A$2:$E1000,MATCH(D$1,Quests!$A$1:$E$1,0),FALSE))</f>
        <v/>
      </c>
      <c r="E74" s="49" t="str">
        <f>IFNA(VLOOKUP($A74,Quests!$A$2:$E1000,MATCH(E$1,Quests!$A$1:$E$1,0),FALSE))</f>
        <v/>
      </c>
      <c r="G74" s="120" t="b">
        <v>0</v>
      </c>
      <c r="H74" s="120" t="b">
        <v>0</v>
      </c>
      <c r="I74" s="120" t="b">
        <v>0</v>
      </c>
    </row>
    <row r="75">
      <c r="A75" s="49"/>
      <c r="B75" s="49" t="str">
        <f>IFNA(VLOOKUP($A75,Quests!$A$2:$E1000,MATCH(B$1,Quests!$A$1:$E$1,0),FALSE))</f>
        <v/>
      </c>
      <c r="C75" s="49" t="str">
        <f>IFNA(VLOOKUP($A75,Quests!$A$2:$E1000,MATCH(C$1,Quests!$A$1:$E$1,0),FALSE))</f>
        <v/>
      </c>
      <c r="D75" s="49" t="str">
        <f>IFNA(VLOOKUP($A75,Quests!$A$2:$E1000,MATCH(D$1,Quests!$A$1:$E$1,0),FALSE))</f>
        <v/>
      </c>
      <c r="E75" s="49" t="str">
        <f>IFNA(VLOOKUP($A75,Quests!$A$2:$E1000,MATCH(E$1,Quests!$A$1:$E$1,0),FALSE))</f>
        <v/>
      </c>
      <c r="G75" s="120" t="b">
        <v>0</v>
      </c>
      <c r="H75" s="120" t="b">
        <v>0</v>
      </c>
      <c r="I75" s="120" t="b">
        <v>0</v>
      </c>
    </row>
    <row r="76">
      <c r="A76" s="49"/>
      <c r="B76" s="49" t="str">
        <f>IFNA(VLOOKUP($A76,Quests!$A$2:$E1000,MATCH(B$1,Quests!$A$1:$E$1,0),FALSE))</f>
        <v/>
      </c>
      <c r="C76" s="49" t="str">
        <f>IFNA(VLOOKUP($A76,Quests!$A$2:$E1000,MATCH(C$1,Quests!$A$1:$E$1,0),FALSE))</f>
        <v/>
      </c>
      <c r="D76" s="49" t="str">
        <f>IFNA(VLOOKUP($A76,Quests!$A$2:$E1000,MATCH(D$1,Quests!$A$1:$E$1,0),FALSE))</f>
        <v/>
      </c>
      <c r="E76" s="49" t="str">
        <f>IFNA(VLOOKUP($A76,Quests!$A$2:$E1000,MATCH(E$1,Quests!$A$1:$E$1,0),FALSE))</f>
        <v/>
      </c>
      <c r="G76" s="120" t="b">
        <v>0</v>
      </c>
      <c r="H76" s="120" t="b">
        <v>0</v>
      </c>
      <c r="I76" s="120" t="b">
        <v>0</v>
      </c>
    </row>
    <row r="77">
      <c r="A77" s="49"/>
      <c r="B77" s="49" t="str">
        <f>IFNA(VLOOKUP($A77,Quests!$A$2:$E1000,MATCH(B$1,Quests!$A$1:$E$1,0),FALSE))</f>
        <v/>
      </c>
      <c r="C77" s="49" t="str">
        <f>IFNA(VLOOKUP($A77,Quests!$A$2:$E1000,MATCH(C$1,Quests!$A$1:$E$1,0),FALSE))</f>
        <v/>
      </c>
      <c r="D77" s="49" t="str">
        <f>IFNA(VLOOKUP($A77,Quests!$A$2:$E1000,MATCH(D$1,Quests!$A$1:$E$1,0),FALSE))</f>
        <v/>
      </c>
      <c r="E77" s="49" t="str">
        <f>IFNA(VLOOKUP($A77,Quests!$A$2:$E1000,MATCH(E$1,Quests!$A$1:$E$1,0),FALSE))</f>
        <v/>
      </c>
      <c r="G77" s="120" t="b">
        <v>0</v>
      </c>
      <c r="H77" s="120" t="b">
        <v>0</v>
      </c>
      <c r="I77" s="120" t="b">
        <v>0</v>
      </c>
    </row>
    <row r="78">
      <c r="A78" s="49"/>
      <c r="B78" s="49" t="str">
        <f>IFNA(VLOOKUP($A78,Quests!$A$2:$E1000,MATCH(B$1,Quests!$A$1:$E$1,0),FALSE))</f>
        <v/>
      </c>
      <c r="C78" s="49" t="str">
        <f>IFNA(VLOOKUP($A78,Quests!$A$2:$E1000,MATCH(C$1,Quests!$A$1:$E$1,0),FALSE))</f>
        <v/>
      </c>
      <c r="D78" s="49" t="str">
        <f>IFNA(VLOOKUP($A78,Quests!$A$2:$E1000,MATCH(D$1,Quests!$A$1:$E$1,0),FALSE))</f>
        <v/>
      </c>
      <c r="E78" s="49" t="str">
        <f>IFNA(VLOOKUP($A78,Quests!$A$2:$E1000,MATCH(E$1,Quests!$A$1:$E$1,0),FALSE))</f>
        <v/>
      </c>
      <c r="G78" s="120" t="b">
        <v>0</v>
      </c>
      <c r="H78" s="120" t="b">
        <v>0</v>
      </c>
      <c r="I78" s="120" t="b">
        <v>0</v>
      </c>
    </row>
    <row r="79">
      <c r="A79" s="49"/>
      <c r="B79" s="49" t="str">
        <f>IFNA(VLOOKUP($A79,Quests!$A$2:$E1000,MATCH(B$1,Quests!$A$1:$E$1,0),FALSE))</f>
        <v/>
      </c>
      <c r="C79" s="49" t="str">
        <f>IFNA(VLOOKUP($A79,Quests!$A$2:$E1000,MATCH(C$1,Quests!$A$1:$E$1,0),FALSE))</f>
        <v/>
      </c>
      <c r="D79" s="49" t="str">
        <f>IFNA(VLOOKUP($A79,Quests!$A$2:$E1000,MATCH(D$1,Quests!$A$1:$E$1,0),FALSE))</f>
        <v/>
      </c>
      <c r="E79" s="49" t="str">
        <f>IFNA(VLOOKUP($A79,Quests!$A$2:$E1000,MATCH(E$1,Quests!$A$1:$E$1,0),FALSE))</f>
        <v/>
      </c>
      <c r="G79" s="120" t="b">
        <v>0</v>
      </c>
      <c r="H79" s="120" t="b">
        <v>0</v>
      </c>
      <c r="I79" s="120" t="b">
        <v>0</v>
      </c>
    </row>
    <row r="80">
      <c r="A80" s="49"/>
      <c r="B80" s="49" t="str">
        <f>IFNA(VLOOKUP($A80,Quests!$A$2:$E1000,MATCH(B$1,Quests!$A$1:$E$1,0),FALSE))</f>
        <v/>
      </c>
      <c r="C80" s="49" t="str">
        <f>IFNA(VLOOKUP($A80,Quests!$A$2:$E1000,MATCH(C$1,Quests!$A$1:$E$1,0),FALSE))</f>
        <v/>
      </c>
      <c r="D80" s="49" t="str">
        <f>IFNA(VLOOKUP($A80,Quests!$A$2:$E1000,MATCH(D$1,Quests!$A$1:$E$1,0),FALSE))</f>
        <v/>
      </c>
      <c r="E80" s="49" t="str">
        <f>IFNA(VLOOKUP($A80,Quests!$A$2:$E1000,MATCH(E$1,Quests!$A$1:$E$1,0),FALSE))</f>
        <v/>
      </c>
      <c r="G80" s="120" t="b">
        <v>0</v>
      </c>
      <c r="H80" s="120" t="b">
        <v>0</v>
      </c>
      <c r="I80" s="120" t="b">
        <v>0</v>
      </c>
    </row>
    <row r="81">
      <c r="A81" s="49"/>
      <c r="B81" s="49" t="str">
        <f>IFNA(VLOOKUP($A81,Quests!$A$2:$E1000,MATCH(B$1,Quests!$A$1:$E$1,0),FALSE))</f>
        <v/>
      </c>
      <c r="C81" s="49" t="str">
        <f>IFNA(VLOOKUP($A81,Quests!$A$2:$E1000,MATCH(C$1,Quests!$A$1:$E$1,0),FALSE))</f>
        <v/>
      </c>
      <c r="D81" s="49" t="str">
        <f>IFNA(VLOOKUP($A81,Quests!$A$2:$E1000,MATCH(D$1,Quests!$A$1:$E$1,0),FALSE))</f>
        <v/>
      </c>
      <c r="E81" s="49" t="str">
        <f>IFNA(VLOOKUP($A81,Quests!$A$2:$E1000,MATCH(E$1,Quests!$A$1:$E$1,0),FALSE))</f>
        <v/>
      </c>
      <c r="G81" s="120" t="b">
        <v>0</v>
      </c>
      <c r="H81" s="120" t="b">
        <v>0</v>
      </c>
      <c r="I81" s="120" t="b">
        <v>0</v>
      </c>
    </row>
    <row r="82">
      <c r="A82" s="49"/>
      <c r="B82" s="49" t="str">
        <f>IFNA(VLOOKUP($A82,Quests!$A$2:$E1000,MATCH(B$1,Quests!$A$1:$E$1,0),FALSE))</f>
        <v/>
      </c>
      <c r="C82" s="49" t="str">
        <f>IFNA(VLOOKUP($A82,Quests!$A$2:$E1000,MATCH(C$1,Quests!$A$1:$E$1,0),FALSE))</f>
        <v/>
      </c>
      <c r="D82" s="49" t="str">
        <f>IFNA(VLOOKUP($A82,Quests!$A$2:$E1000,MATCH(D$1,Quests!$A$1:$E$1,0),FALSE))</f>
        <v/>
      </c>
      <c r="E82" s="49" t="str">
        <f>IFNA(VLOOKUP($A82,Quests!$A$2:$E1000,MATCH(E$1,Quests!$A$1:$E$1,0),FALSE))</f>
        <v/>
      </c>
      <c r="G82" s="120" t="b">
        <v>0</v>
      </c>
      <c r="H82" s="120" t="b">
        <v>0</v>
      </c>
      <c r="I82" s="120" t="b">
        <v>0</v>
      </c>
    </row>
    <row r="83">
      <c r="A83" s="49"/>
      <c r="B83" s="49" t="str">
        <f>IFNA(VLOOKUP($A83,Quests!$A$2:$E1000,MATCH(B$1,Quests!$A$1:$E$1,0),FALSE))</f>
        <v/>
      </c>
      <c r="C83" s="49" t="str">
        <f>IFNA(VLOOKUP($A83,Quests!$A$2:$E1000,MATCH(C$1,Quests!$A$1:$E$1,0),FALSE))</f>
        <v/>
      </c>
      <c r="D83" s="49" t="str">
        <f>IFNA(VLOOKUP($A83,Quests!$A$2:$E1000,MATCH(D$1,Quests!$A$1:$E$1,0),FALSE))</f>
        <v/>
      </c>
      <c r="E83" s="49" t="str">
        <f>IFNA(VLOOKUP($A83,Quests!$A$2:$E1000,MATCH(E$1,Quests!$A$1:$E$1,0),FALSE))</f>
        <v/>
      </c>
      <c r="G83" s="120" t="b">
        <v>0</v>
      </c>
      <c r="H83" s="120" t="b">
        <v>0</v>
      </c>
      <c r="I83" s="120" t="b">
        <v>0</v>
      </c>
    </row>
    <row r="84">
      <c r="A84" s="49"/>
      <c r="B84" s="49" t="str">
        <f>IFNA(VLOOKUP($A84,Quests!$A$2:$E1000,MATCH(B$1,Quests!$A$1:$E$1,0),FALSE))</f>
        <v/>
      </c>
      <c r="C84" s="49" t="str">
        <f>IFNA(VLOOKUP($A84,Quests!$A$2:$E1000,MATCH(C$1,Quests!$A$1:$E$1,0),FALSE))</f>
        <v/>
      </c>
      <c r="D84" s="49" t="str">
        <f>IFNA(VLOOKUP($A84,Quests!$A$2:$E1000,MATCH(D$1,Quests!$A$1:$E$1,0),FALSE))</f>
        <v/>
      </c>
      <c r="E84" s="49" t="str">
        <f>IFNA(VLOOKUP($A84,Quests!$A$2:$E1000,MATCH(E$1,Quests!$A$1:$E$1,0),FALSE))</f>
        <v/>
      </c>
      <c r="G84" s="120" t="b">
        <v>0</v>
      </c>
      <c r="H84" s="120" t="b">
        <v>0</v>
      </c>
      <c r="I84" s="120" t="b">
        <v>0</v>
      </c>
    </row>
    <row r="85">
      <c r="A85" s="49"/>
      <c r="B85" s="49" t="str">
        <f>IFNA(VLOOKUP($A85,Quests!$A$2:$E1000,MATCH(B$1,Quests!$A$1:$E$1,0),FALSE))</f>
        <v/>
      </c>
      <c r="C85" s="49" t="str">
        <f>IFNA(VLOOKUP($A85,Quests!$A$2:$E1000,MATCH(C$1,Quests!$A$1:$E$1,0),FALSE))</f>
        <v/>
      </c>
      <c r="D85" s="49" t="str">
        <f>IFNA(VLOOKUP($A85,Quests!$A$2:$E1000,MATCH(D$1,Quests!$A$1:$E$1,0),FALSE))</f>
        <v/>
      </c>
      <c r="E85" s="49" t="str">
        <f>IFNA(VLOOKUP($A85,Quests!$A$2:$E1000,MATCH(E$1,Quests!$A$1:$E$1,0),FALSE))</f>
        <v/>
      </c>
      <c r="G85" s="120" t="b">
        <v>0</v>
      </c>
      <c r="H85" s="120" t="b">
        <v>0</v>
      </c>
      <c r="I85" s="120" t="b">
        <v>0</v>
      </c>
    </row>
    <row r="86">
      <c r="A86" s="49"/>
      <c r="B86" s="49" t="str">
        <f>IFNA(VLOOKUP($A86,Quests!$A$2:$E1000,MATCH(B$1,Quests!$A$1:$E$1,0),FALSE))</f>
        <v/>
      </c>
      <c r="C86" s="49" t="str">
        <f>IFNA(VLOOKUP($A86,Quests!$A$2:$E1000,MATCH(C$1,Quests!$A$1:$E$1,0),FALSE))</f>
        <v/>
      </c>
      <c r="D86" s="49" t="str">
        <f>IFNA(VLOOKUP($A86,Quests!$A$2:$E1000,MATCH(D$1,Quests!$A$1:$E$1,0),FALSE))</f>
        <v/>
      </c>
      <c r="E86" s="49" t="str">
        <f>IFNA(VLOOKUP($A86,Quests!$A$2:$E1000,MATCH(E$1,Quests!$A$1:$E$1,0),FALSE))</f>
        <v/>
      </c>
      <c r="G86" s="120" t="b">
        <v>0</v>
      </c>
      <c r="H86" s="120" t="b">
        <v>0</v>
      </c>
      <c r="I86" s="120" t="b">
        <v>0</v>
      </c>
    </row>
    <row r="87">
      <c r="A87" s="49"/>
      <c r="B87" s="49" t="str">
        <f>IFNA(VLOOKUP($A87,Quests!$A$2:$E1000,MATCH(B$1,Quests!$A$1:$E$1,0),FALSE))</f>
        <v/>
      </c>
      <c r="C87" s="49" t="str">
        <f>IFNA(VLOOKUP($A87,Quests!$A$2:$E1000,MATCH(C$1,Quests!$A$1:$E$1,0),FALSE))</f>
        <v/>
      </c>
      <c r="D87" s="49" t="str">
        <f>IFNA(VLOOKUP($A87,Quests!$A$2:$E1000,MATCH(D$1,Quests!$A$1:$E$1,0),FALSE))</f>
        <v/>
      </c>
      <c r="E87" s="49" t="str">
        <f>IFNA(VLOOKUP($A87,Quests!$A$2:$E1000,MATCH(E$1,Quests!$A$1:$E$1,0),FALSE))</f>
        <v/>
      </c>
      <c r="G87" s="120" t="b">
        <v>0</v>
      </c>
      <c r="H87" s="120" t="b">
        <v>0</v>
      </c>
      <c r="I87" s="120" t="b">
        <v>0</v>
      </c>
    </row>
    <row r="88">
      <c r="A88" s="49"/>
      <c r="B88" s="49" t="str">
        <f>IFNA(VLOOKUP($A88,Quests!$A$2:$E1000,MATCH(B$1,Quests!$A$1:$E$1,0),FALSE))</f>
        <v/>
      </c>
      <c r="C88" s="49" t="str">
        <f>IFNA(VLOOKUP($A88,Quests!$A$2:$E1000,MATCH(C$1,Quests!$A$1:$E$1,0),FALSE))</f>
        <v/>
      </c>
      <c r="D88" s="49" t="str">
        <f>IFNA(VLOOKUP($A88,Quests!$A$2:$E1000,MATCH(D$1,Quests!$A$1:$E$1,0),FALSE))</f>
        <v/>
      </c>
      <c r="E88" s="49" t="str">
        <f>IFNA(VLOOKUP($A88,Quests!$A$2:$E1000,MATCH(E$1,Quests!$A$1:$E$1,0),FALSE))</f>
        <v/>
      </c>
      <c r="G88" s="120" t="b">
        <v>0</v>
      </c>
      <c r="H88" s="120" t="b">
        <v>0</v>
      </c>
      <c r="I88" s="120" t="b">
        <v>0</v>
      </c>
    </row>
    <row r="89">
      <c r="A89" s="49"/>
      <c r="B89" s="49" t="str">
        <f>IFNA(VLOOKUP($A89,Quests!$A$2:$E1000,MATCH(B$1,Quests!$A$1:$E$1,0),FALSE))</f>
        <v/>
      </c>
      <c r="C89" s="49" t="str">
        <f>IFNA(VLOOKUP($A89,Quests!$A$2:$E1000,MATCH(C$1,Quests!$A$1:$E$1,0),FALSE))</f>
        <v/>
      </c>
      <c r="D89" s="49" t="str">
        <f>IFNA(VLOOKUP($A89,Quests!$A$2:$E1000,MATCH(D$1,Quests!$A$1:$E$1,0),FALSE))</f>
        <v/>
      </c>
      <c r="E89" s="49" t="str">
        <f>IFNA(VLOOKUP($A89,Quests!$A$2:$E1000,MATCH(E$1,Quests!$A$1:$E$1,0),FALSE))</f>
        <v/>
      </c>
      <c r="G89" s="120" t="b">
        <v>0</v>
      </c>
      <c r="H89" s="120" t="b">
        <v>0</v>
      </c>
      <c r="I89" s="120" t="b">
        <v>0</v>
      </c>
    </row>
    <row r="90">
      <c r="A90" s="49"/>
      <c r="B90" s="49" t="str">
        <f>IFNA(VLOOKUP($A90,Quests!$A$2:$E1000,MATCH(B$1,Quests!$A$1:$E$1,0),FALSE))</f>
        <v/>
      </c>
      <c r="C90" s="49" t="str">
        <f>IFNA(VLOOKUP($A90,Quests!$A$2:$E1000,MATCH(C$1,Quests!$A$1:$E$1,0),FALSE))</f>
        <v/>
      </c>
      <c r="D90" s="49" t="str">
        <f>IFNA(VLOOKUP($A90,Quests!$A$2:$E1000,MATCH(D$1,Quests!$A$1:$E$1,0),FALSE))</f>
        <v/>
      </c>
      <c r="E90" s="49" t="str">
        <f>IFNA(VLOOKUP($A90,Quests!$A$2:$E1000,MATCH(E$1,Quests!$A$1:$E$1,0),FALSE))</f>
        <v/>
      </c>
      <c r="G90" s="120" t="b">
        <v>0</v>
      </c>
      <c r="H90" s="120" t="b">
        <v>0</v>
      </c>
      <c r="I90" s="120" t="b">
        <v>0</v>
      </c>
    </row>
    <row r="91">
      <c r="A91" s="49"/>
      <c r="B91" s="49" t="str">
        <f>IFNA(VLOOKUP($A91,Quests!$A$2:$E1000,MATCH(B$1,Quests!$A$1:$E$1,0),FALSE))</f>
        <v/>
      </c>
      <c r="C91" s="49" t="str">
        <f>IFNA(VLOOKUP($A91,Quests!$A$2:$E1000,MATCH(C$1,Quests!$A$1:$E$1,0),FALSE))</f>
        <v/>
      </c>
      <c r="D91" s="49" t="str">
        <f>IFNA(VLOOKUP($A91,Quests!$A$2:$E1000,MATCH(D$1,Quests!$A$1:$E$1,0),FALSE))</f>
        <v/>
      </c>
      <c r="E91" s="49" t="str">
        <f>IFNA(VLOOKUP($A91,Quests!$A$2:$E1000,MATCH(E$1,Quests!$A$1:$E$1,0),FALSE))</f>
        <v/>
      </c>
      <c r="G91" s="120" t="b">
        <v>0</v>
      </c>
      <c r="H91" s="120" t="b">
        <v>0</v>
      </c>
      <c r="I91" s="120" t="b">
        <v>0</v>
      </c>
    </row>
    <row r="92">
      <c r="A92" s="49"/>
      <c r="B92" s="49" t="str">
        <f>IFNA(VLOOKUP($A92,Quests!$A$2:$E1000,MATCH(B$1,Quests!$A$1:$E$1,0),FALSE))</f>
        <v/>
      </c>
      <c r="C92" s="49" t="str">
        <f>IFNA(VLOOKUP($A92,Quests!$A$2:$E1000,MATCH(C$1,Quests!$A$1:$E$1,0),FALSE))</f>
        <v/>
      </c>
      <c r="D92" s="49" t="str">
        <f>IFNA(VLOOKUP($A92,Quests!$A$2:$E1000,MATCH(D$1,Quests!$A$1:$E$1,0),FALSE))</f>
        <v/>
      </c>
      <c r="E92" s="49" t="str">
        <f>IFNA(VLOOKUP($A92,Quests!$A$2:$E1000,MATCH(E$1,Quests!$A$1:$E$1,0),FALSE))</f>
        <v/>
      </c>
      <c r="G92" s="120" t="b">
        <v>0</v>
      </c>
      <c r="H92" s="120" t="b">
        <v>0</v>
      </c>
      <c r="I92" s="120" t="b">
        <v>0</v>
      </c>
    </row>
    <row r="93">
      <c r="A93" s="49"/>
      <c r="B93" s="49" t="str">
        <f>IFNA(VLOOKUP($A93,Quests!$A$2:$E1000,MATCH(B$1,Quests!$A$1:$E$1,0),FALSE))</f>
        <v/>
      </c>
      <c r="C93" s="49" t="str">
        <f>IFNA(VLOOKUP($A93,Quests!$A$2:$E1000,MATCH(C$1,Quests!$A$1:$E$1,0),FALSE))</f>
        <v/>
      </c>
      <c r="D93" s="49" t="str">
        <f>IFNA(VLOOKUP($A93,Quests!$A$2:$E1000,MATCH(D$1,Quests!$A$1:$E$1,0),FALSE))</f>
        <v/>
      </c>
      <c r="E93" s="49" t="str">
        <f>IFNA(VLOOKUP($A93,Quests!$A$2:$E1000,MATCH(E$1,Quests!$A$1:$E$1,0),FALSE))</f>
        <v/>
      </c>
      <c r="G93" s="120" t="b">
        <v>0</v>
      </c>
      <c r="H93" s="120" t="b">
        <v>0</v>
      </c>
      <c r="I93" s="120" t="b">
        <v>0</v>
      </c>
    </row>
    <row r="94">
      <c r="A94" s="49"/>
      <c r="B94" s="49" t="str">
        <f>IFNA(VLOOKUP($A94,Quests!$A$2:$E1000,MATCH(B$1,Quests!$A$1:$E$1,0),FALSE))</f>
        <v/>
      </c>
      <c r="C94" s="49" t="str">
        <f>IFNA(VLOOKUP($A94,Quests!$A$2:$E1000,MATCH(C$1,Quests!$A$1:$E$1,0),FALSE))</f>
        <v/>
      </c>
      <c r="D94" s="49" t="str">
        <f>IFNA(VLOOKUP($A94,Quests!$A$2:$E1000,MATCH(D$1,Quests!$A$1:$E$1,0),FALSE))</f>
        <v/>
      </c>
      <c r="E94" s="49" t="str">
        <f>IFNA(VLOOKUP($A94,Quests!$A$2:$E1000,MATCH(E$1,Quests!$A$1:$E$1,0),FALSE))</f>
        <v/>
      </c>
      <c r="G94" s="120" t="b">
        <v>0</v>
      </c>
      <c r="H94" s="120" t="b">
        <v>0</v>
      </c>
      <c r="I94" s="120" t="b">
        <v>0</v>
      </c>
    </row>
    <row r="95">
      <c r="A95" s="49"/>
      <c r="B95" s="49" t="str">
        <f>IFNA(VLOOKUP($A95,Quests!$A$2:$E1000,MATCH(B$1,Quests!$A$1:$E$1,0),FALSE))</f>
        <v/>
      </c>
      <c r="C95" s="49" t="str">
        <f>IFNA(VLOOKUP($A95,Quests!$A$2:$E1000,MATCH(C$1,Quests!$A$1:$E$1,0),FALSE))</f>
        <v/>
      </c>
      <c r="D95" s="49" t="str">
        <f>IFNA(VLOOKUP($A95,Quests!$A$2:$E1000,MATCH(D$1,Quests!$A$1:$E$1,0),FALSE))</f>
        <v/>
      </c>
      <c r="E95" s="49" t="str">
        <f>IFNA(VLOOKUP($A95,Quests!$A$2:$E1000,MATCH(E$1,Quests!$A$1:$E$1,0),FALSE))</f>
        <v/>
      </c>
      <c r="G95" s="120" t="b">
        <v>0</v>
      </c>
      <c r="H95" s="120" t="b">
        <v>0</v>
      </c>
      <c r="I95" s="120" t="b">
        <v>0</v>
      </c>
    </row>
    <row r="96">
      <c r="A96" s="49"/>
      <c r="B96" s="49" t="str">
        <f>IFNA(VLOOKUP($A96,Quests!$A$2:$E1000,MATCH(B$1,Quests!$A$1:$E$1,0),FALSE))</f>
        <v/>
      </c>
      <c r="C96" s="49" t="str">
        <f>IFNA(VLOOKUP($A96,Quests!$A$2:$E1000,MATCH(C$1,Quests!$A$1:$E$1,0),FALSE))</f>
        <v/>
      </c>
      <c r="D96" s="49" t="str">
        <f>IFNA(VLOOKUP($A96,Quests!$A$2:$E1000,MATCH(D$1,Quests!$A$1:$E$1,0),FALSE))</f>
        <v/>
      </c>
      <c r="E96" s="49" t="str">
        <f>IFNA(VLOOKUP($A96,Quests!$A$2:$E1000,MATCH(E$1,Quests!$A$1:$E$1,0),FALSE))</f>
        <v/>
      </c>
      <c r="G96" s="120" t="b">
        <v>0</v>
      </c>
      <c r="H96" s="120" t="b">
        <v>0</v>
      </c>
      <c r="I96" s="120" t="b">
        <v>0</v>
      </c>
    </row>
    <row r="97">
      <c r="A97" s="49"/>
      <c r="B97" s="49" t="str">
        <f>IFNA(VLOOKUP($A97,Quests!$A$2:$E1000,MATCH(B$1,Quests!$A$1:$E$1,0),FALSE))</f>
        <v/>
      </c>
      <c r="C97" s="49" t="str">
        <f>IFNA(VLOOKUP($A97,Quests!$A$2:$E1000,MATCH(C$1,Quests!$A$1:$E$1,0),FALSE))</f>
        <v/>
      </c>
      <c r="D97" s="49" t="str">
        <f>IFNA(VLOOKUP($A97,Quests!$A$2:$E1000,MATCH(D$1,Quests!$A$1:$E$1,0),FALSE))</f>
        <v/>
      </c>
      <c r="E97" s="49" t="str">
        <f>IFNA(VLOOKUP($A97,Quests!$A$2:$E1000,MATCH(E$1,Quests!$A$1:$E$1,0),FALSE))</f>
        <v/>
      </c>
      <c r="G97" s="120" t="b">
        <v>0</v>
      </c>
      <c r="H97" s="120" t="b">
        <v>0</v>
      </c>
      <c r="I97" s="120" t="b">
        <v>0</v>
      </c>
    </row>
    <row r="98">
      <c r="A98" s="49"/>
      <c r="B98" s="49" t="str">
        <f>IFNA(VLOOKUP($A98,Quests!$A$2:$E1000,MATCH(B$1,Quests!$A$1:$E$1,0),FALSE))</f>
        <v/>
      </c>
      <c r="C98" s="49" t="str">
        <f>IFNA(VLOOKUP($A98,Quests!$A$2:$E1000,MATCH(C$1,Quests!$A$1:$E$1,0),FALSE))</f>
        <v/>
      </c>
      <c r="D98" s="49" t="str">
        <f>IFNA(VLOOKUP($A98,Quests!$A$2:$E1000,MATCH(D$1,Quests!$A$1:$E$1,0),FALSE))</f>
        <v/>
      </c>
      <c r="E98" s="49" t="str">
        <f>IFNA(VLOOKUP($A98,Quests!$A$2:$E1000,MATCH(E$1,Quests!$A$1:$E$1,0),FALSE))</f>
        <v/>
      </c>
      <c r="G98" s="120" t="b">
        <v>0</v>
      </c>
      <c r="H98" s="120" t="b">
        <v>0</v>
      </c>
      <c r="I98" s="120" t="b">
        <v>0</v>
      </c>
    </row>
    <row r="99">
      <c r="A99" s="49"/>
      <c r="B99" s="49" t="str">
        <f>IFNA(VLOOKUP($A99,Quests!$A$2:$E1000,MATCH(B$1,Quests!$A$1:$E$1,0),FALSE))</f>
        <v/>
      </c>
      <c r="C99" s="49" t="str">
        <f>IFNA(VLOOKUP($A99,Quests!$A$2:$E1000,MATCH(C$1,Quests!$A$1:$E$1,0),FALSE))</f>
        <v/>
      </c>
      <c r="D99" s="49" t="str">
        <f>IFNA(VLOOKUP($A99,Quests!$A$2:$E1000,MATCH(D$1,Quests!$A$1:$E$1,0),FALSE))</f>
        <v/>
      </c>
      <c r="E99" s="49" t="str">
        <f>IFNA(VLOOKUP($A99,Quests!$A$2:$E1000,MATCH(E$1,Quests!$A$1:$E$1,0),FALSE))</f>
        <v/>
      </c>
      <c r="G99" s="120" t="b">
        <v>0</v>
      </c>
      <c r="H99" s="120" t="b">
        <v>0</v>
      </c>
      <c r="I99" s="120" t="b">
        <v>0</v>
      </c>
    </row>
    <row r="100">
      <c r="A100" s="49"/>
      <c r="B100" s="49" t="str">
        <f>IFNA(VLOOKUP($A100,Quests!$A$2:$E1000,MATCH(B$1,Quests!$A$1:$E$1,0),FALSE))</f>
        <v/>
      </c>
      <c r="C100" s="49" t="str">
        <f>IFNA(VLOOKUP($A100,Quests!$A$2:$E1000,MATCH(C$1,Quests!$A$1:$E$1,0),FALSE))</f>
        <v/>
      </c>
      <c r="D100" s="49" t="str">
        <f>IFNA(VLOOKUP($A100,Quests!$A$2:$E1000,MATCH(D$1,Quests!$A$1:$E$1,0),FALSE))</f>
        <v/>
      </c>
      <c r="E100" s="49" t="str">
        <f>IFNA(VLOOKUP($A100,Quests!$A$2:$E1000,MATCH(E$1,Quests!$A$1:$E$1,0),FALSE))</f>
        <v/>
      </c>
      <c r="G100" s="120" t="b">
        <v>0</v>
      </c>
      <c r="H100" s="120" t="b">
        <v>0</v>
      </c>
      <c r="I100" s="120" t="b">
        <v>0</v>
      </c>
    </row>
    <row r="101">
      <c r="A101" s="49"/>
      <c r="B101" s="49" t="str">
        <f>IFNA(VLOOKUP($A101,Quests!$A$2:$E1000,MATCH(B$1,Quests!$A$1:$E$1,0),FALSE))</f>
        <v/>
      </c>
      <c r="C101" s="49" t="str">
        <f>IFNA(VLOOKUP($A101,Quests!$A$2:$E1000,MATCH(C$1,Quests!$A$1:$E$1,0),FALSE))</f>
        <v/>
      </c>
      <c r="D101" s="49" t="str">
        <f>IFNA(VLOOKUP($A101,Quests!$A$2:$E1000,MATCH(D$1,Quests!$A$1:$E$1,0),FALSE))</f>
        <v/>
      </c>
      <c r="E101" s="49" t="str">
        <f>IFNA(VLOOKUP($A101,Quests!$A$2:$E1000,MATCH(E$1,Quests!$A$1:$E$1,0),FALSE))</f>
        <v/>
      </c>
      <c r="G101" s="120" t="b">
        <v>0</v>
      </c>
      <c r="H101" s="120" t="b">
        <v>0</v>
      </c>
      <c r="I101" s="120" t="b">
        <v>0</v>
      </c>
    </row>
    <row r="102">
      <c r="A102" s="49"/>
      <c r="B102" s="49" t="str">
        <f>IFNA(VLOOKUP($A102,Quests!$A$2:$E1000,MATCH(B$1,Quests!$A$1:$E$1,0),FALSE))</f>
        <v/>
      </c>
      <c r="C102" s="49" t="str">
        <f>IFNA(VLOOKUP($A102,Quests!$A$2:$E1000,MATCH(C$1,Quests!$A$1:$E$1,0),FALSE))</f>
        <v/>
      </c>
      <c r="D102" s="49" t="str">
        <f>IFNA(VLOOKUP($A102,Quests!$A$2:$E1000,MATCH(D$1,Quests!$A$1:$E$1,0),FALSE))</f>
        <v/>
      </c>
      <c r="E102" s="49" t="str">
        <f>IFNA(VLOOKUP($A102,Quests!$A$2:$E1000,MATCH(E$1,Quests!$A$1:$E$1,0),FALSE))</f>
        <v/>
      </c>
      <c r="G102" s="120" t="b">
        <v>0</v>
      </c>
      <c r="H102" s="120" t="b">
        <v>0</v>
      </c>
      <c r="I102" s="120" t="b">
        <v>0</v>
      </c>
    </row>
    <row r="103">
      <c r="A103" s="49"/>
      <c r="B103" s="49" t="str">
        <f>IFNA(VLOOKUP($A103,Quests!$A$2:$E1000,MATCH(B$1,Quests!$A$1:$E$1,0),FALSE))</f>
        <v/>
      </c>
      <c r="C103" s="49" t="str">
        <f>IFNA(VLOOKUP($A103,Quests!$A$2:$E1000,MATCH(C$1,Quests!$A$1:$E$1,0),FALSE))</f>
        <v/>
      </c>
      <c r="D103" s="49" t="str">
        <f>IFNA(VLOOKUP($A103,Quests!$A$2:$E1000,MATCH(D$1,Quests!$A$1:$E$1,0),FALSE))</f>
        <v/>
      </c>
      <c r="E103" s="49" t="str">
        <f>IFNA(VLOOKUP($A103,Quests!$A$2:$E1000,MATCH(E$1,Quests!$A$1:$E$1,0),FALSE))</f>
        <v/>
      </c>
      <c r="G103" s="120" t="b">
        <v>0</v>
      </c>
      <c r="H103" s="120" t="b">
        <v>0</v>
      </c>
      <c r="I103" s="120" t="b">
        <v>0</v>
      </c>
    </row>
    <row r="104">
      <c r="A104" s="49"/>
      <c r="B104" s="49" t="str">
        <f>IFNA(VLOOKUP($A104,Quests!$A$2:$E1000,MATCH(B$1,Quests!$A$1:$E$1,0),FALSE))</f>
        <v/>
      </c>
      <c r="C104" s="49" t="str">
        <f>IFNA(VLOOKUP($A104,Quests!$A$2:$E1000,MATCH(C$1,Quests!$A$1:$E$1,0),FALSE))</f>
        <v/>
      </c>
      <c r="D104" s="49" t="str">
        <f>IFNA(VLOOKUP($A104,Quests!$A$2:$E1000,MATCH(D$1,Quests!$A$1:$E$1,0),FALSE))</f>
        <v/>
      </c>
      <c r="E104" s="49" t="str">
        <f>IFNA(VLOOKUP($A104,Quests!$A$2:$E1000,MATCH(E$1,Quests!$A$1:$E$1,0),FALSE))</f>
        <v/>
      </c>
      <c r="G104" s="120" t="b">
        <v>0</v>
      </c>
      <c r="H104" s="120" t="b">
        <v>0</v>
      </c>
      <c r="I104" s="120" t="b">
        <v>0</v>
      </c>
    </row>
    <row r="105">
      <c r="A105" s="49"/>
      <c r="B105" s="49" t="str">
        <f>IFNA(VLOOKUP($A105,Quests!$A$2:$E1000,MATCH(B$1,Quests!$A$1:$E$1,0),FALSE))</f>
        <v/>
      </c>
      <c r="C105" s="49" t="str">
        <f>IFNA(VLOOKUP($A105,Quests!$A$2:$E1000,MATCH(C$1,Quests!$A$1:$E$1,0),FALSE))</f>
        <v/>
      </c>
      <c r="D105" s="49" t="str">
        <f>IFNA(VLOOKUP($A105,Quests!$A$2:$E1000,MATCH(D$1,Quests!$A$1:$E$1,0),FALSE))</f>
        <v/>
      </c>
      <c r="E105" s="49" t="str">
        <f>IFNA(VLOOKUP($A105,Quests!$A$2:$E1000,MATCH(E$1,Quests!$A$1:$E$1,0),FALSE))</f>
        <v/>
      </c>
      <c r="G105" s="120" t="b">
        <v>0</v>
      </c>
      <c r="H105" s="120" t="b">
        <v>0</v>
      </c>
      <c r="I105" s="120" t="b">
        <v>0</v>
      </c>
    </row>
    <row r="106">
      <c r="A106" s="49"/>
      <c r="B106" s="49" t="str">
        <f>IFNA(VLOOKUP($A106,Quests!$A$2:$E1000,MATCH(B$1,Quests!$A$1:$E$1,0),FALSE))</f>
        <v/>
      </c>
      <c r="C106" s="49" t="str">
        <f>IFNA(VLOOKUP($A106,Quests!$A$2:$E1000,MATCH(C$1,Quests!$A$1:$E$1,0),FALSE))</f>
        <v/>
      </c>
      <c r="D106" s="49" t="str">
        <f>IFNA(VLOOKUP($A106,Quests!$A$2:$E1000,MATCH(D$1,Quests!$A$1:$E$1,0),FALSE))</f>
        <v/>
      </c>
      <c r="E106" s="49" t="str">
        <f>IFNA(VLOOKUP($A106,Quests!$A$2:$E1000,MATCH(E$1,Quests!$A$1:$E$1,0),FALSE))</f>
        <v/>
      </c>
      <c r="G106" s="120" t="b">
        <v>0</v>
      </c>
      <c r="H106" s="120" t="b">
        <v>0</v>
      </c>
      <c r="I106" s="120" t="b">
        <v>0</v>
      </c>
    </row>
    <row r="107">
      <c r="A107" s="49"/>
      <c r="B107" s="49" t="str">
        <f>IFNA(VLOOKUP($A107,Quests!$A$2:$E1000,MATCH(B$1,Quests!$A$1:$E$1,0),FALSE))</f>
        <v/>
      </c>
      <c r="C107" s="49" t="str">
        <f>IFNA(VLOOKUP($A107,Quests!$A$2:$E1000,MATCH(C$1,Quests!$A$1:$E$1,0),FALSE))</f>
        <v/>
      </c>
      <c r="D107" s="49" t="str">
        <f>IFNA(VLOOKUP($A107,Quests!$A$2:$E1000,MATCH(D$1,Quests!$A$1:$E$1,0),FALSE))</f>
        <v/>
      </c>
      <c r="E107" s="49" t="str">
        <f>IFNA(VLOOKUP($A107,Quests!$A$2:$E1000,MATCH(E$1,Quests!$A$1:$E$1,0),FALSE))</f>
        <v/>
      </c>
      <c r="G107" s="120" t="b">
        <v>0</v>
      </c>
      <c r="H107" s="120" t="b">
        <v>0</v>
      </c>
      <c r="I107" s="120" t="b">
        <v>0</v>
      </c>
    </row>
    <row r="108">
      <c r="A108" s="49"/>
      <c r="B108" s="49" t="str">
        <f>IFNA(VLOOKUP($A108,Quests!$A$2:$E1000,MATCH(B$1,Quests!$A$1:$E$1,0),FALSE))</f>
        <v/>
      </c>
      <c r="C108" s="49" t="str">
        <f>IFNA(VLOOKUP($A108,Quests!$A$2:$E1000,MATCH(C$1,Quests!$A$1:$E$1,0),FALSE))</f>
        <v/>
      </c>
      <c r="D108" s="49" t="str">
        <f>IFNA(VLOOKUP($A108,Quests!$A$2:$E1000,MATCH(D$1,Quests!$A$1:$E$1,0),FALSE))</f>
        <v/>
      </c>
      <c r="E108" s="49" t="str">
        <f>IFNA(VLOOKUP($A108,Quests!$A$2:$E1000,MATCH(E$1,Quests!$A$1:$E$1,0),FALSE))</f>
        <v/>
      </c>
      <c r="G108" s="120" t="b">
        <v>0</v>
      </c>
      <c r="H108" s="120" t="b">
        <v>0</v>
      </c>
      <c r="I108" s="120" t="b">
        <v>0</v>
      </c>
    </row>
    <row r="109">
      <c r="A109" s="49"/>
      <c r="B109" s="49" t="str">
        <f>IFNA(VLOOKUP($A109,Quests!$A$2:$E1000,MATCH(B$1,Quests!$A$1:$E$1,0),FALSE))</f>
        <v/>
      </c>
      <c r="C109" s="49" t="str">
        <f>IFNA(VLOOKUP($A109,Quests!$A$2:$E1000,MATCH(C$1,Quests!$A$1:$E$1,0),FALSE))</f>
        <v/>
      </c>
      <c r="D109" s="49" t="str">
        <f>IFNA(VLOOKUP($A109,Quests!$A$2:$E1000,MATCH(D$1,Quests!$A$1:$E$1,0),FALSE))</f>
        <v/>
      </c>
      <c r="E109" s="49" t="str">
        <f>IFNA(VLOOKUP($A109,Quests!$A$2:$E1000,MATCH(E$1,Quests!$A$1:$E$1,0),FALSE))</f>
        <v/>
      </c>
      <c r="G109" s="120" t="b">
        <v>0</v>
      </c>
      <c r="H109" s="120" t="b">
        <v>0</v>
      </c>
      <c r="I109" s="120" t="b">
        <v>0</v>
      </c>
    </row>
    <row r="110">
      <c r="A110" s="49"/>
      <c r="B110" s="49" t="str">
        <f>IFNA(VLOOKUP($A110,Quests!$A$2:$E1000,MATCH(B$1,Quests!$A$1:$E$1,0),FALSE))</f>
        <v/>
      </c>
      <c r="C110" s="49" t="str">
        <f>IFNA(VLOOKUP($A110,Quests!$A$2:$E1000,MATCH(C$1,Quests!$A$1:$E$1,0),FALSE))</f>
        <v/>
      </c>
      <c r="D110" s="49" t="str">
        <f>IFNA(VLOOKUP($A110,Quests!$A$2:$E1000,MATCH(D$1,Quests!$A$1:$E$1,0),FALSE))</f>
        <v/>
      </c>
      <c r="E110" s="49" t="str">
        <f>IFNA(VLOOKUP($A110,Quests!$A$2:$E1000,MATCH(E$1,Quests!$A$1:$E$1,0),FALSE))</f>
        <v/>
      </c>
      <c r="G110" s="120" t="b">
        <v>0</v>
      </c>
      <c r="H110" s="120" t="b">
        <v>0</v>
      </c>
      <c r="I110" s="120" t="b">
        <v>0</v>
      </c>
    </row>
    <row r="111">
      <c r="A111" s="49"/>
      <c r="B111" s="49" t="str">
        <f>IFNA(VLOOKUP($A111,Quests!$A$2:$E1000,MATCH(B$1,Quests!$A$1:$E$1,0),FALSE))</f>
        <v/>
      </c>
      <c r="C111" s="49" t="str">
        <f>IFNA(VLOOKUP($A111,Quests!$A$2:$E1000,MATCH(C$1,Quests!$A$1:$E$1,0),FALSE))</f>
        <v/>
      </c>
      <c r="D111" s="49" t="str">
        <f>IFNA(VLOOKUP($A111,Quests!$A$2:$E1000,MATCH(D$1,Quests!$A$1:$E$1,0),FALSE))</f>
        <v/>
      </c>
      <c r="E111" s="49" t="str">
        <f>IFNA(VLOOKUP($A111,Quests!$A$2:$E1000,MATCH(E$1,Quests!$A$1:$E$1,0),FALSE))</f>
        <v/>
      </c>
      <c r="G111" s="120" t="b">
        <v>0</v>
      </c>
      <c r="H111" s="120" t="b">
        <v>0</v>
      </c>
      <c r="I111" s="120" t="b">
        <v>0</v>
      </c>
    </row>
    <row r="112">
      <c r="A112" s="49"/>
      <c r="B112" s="49" t="str">
        <f>IFNA(VLOOKUP($A112,Quests!$A$2:$E1000,MATCH(B$1,Quests!$A$1:$E$1,0),FALSE))</f>
        <v/>
      </c>
      <c r="C112" s="49" t="str">
        <f>IFNA(VLOOKUP($A112,Quests!$A$2:$E1000,MATCH(C$1,Quests!$A$1:$E$1,0),FALSE))</f>
        <v/>
      </c>
      <c r="D112" s="49" t="str">
        <f>IFNA(VLOOKUP($A112,Quests!$A$2:$E1000,MATCH(D$1,Quests!$A$1:$E$1,0),FALSE))</f>
        <v/>
      </c>
      <c r="E112" s="49" t="str">
        <f>IFNA(VLOOKUP($A112,Quests!$A$2:$E1000,MATCH(E$1,Quests!$A$1:$E$1,0),FALSE))</f>
        <v/>
      </c>
      <c r="G112" s="120" t="b">
        <v>0</v>
      </c>
      <c r="H112" s="120" t="b">
        <v>0</v>
      </c>
      <c r="I112" s="120" t="b">
        <v>0</v>
      </c>
    </row>
    <row r="113">
      <c r="A113" s="49"/>
      <c r="B113" s="49" t="str">
        <f>IFNA(VLOOKUP($A113,Quests!$A$2:$E1000,MATCH(B$1,Quests!$A$1:$E$1,0),FALSE))</f>
        <v/>
      </c>
      <c r="C113" s="49" t="str">
        <f>IFNA(VLOOKUP($A113,Quests!$A$2:$E1000,MATCH(C$1,Quests!$A$1:$E$1,0),FALSE))</f>
        <v/>
      </c>
      <c r="D113" s="49" t="str">
        <f>IFNA(VLOOKUP($A113,Quests!$A$2:$E1000,MATCH(D$1,Quests!$A$1:$E$1,0),FALSE))</f>
        <v/>
      </c>
      <c r="E113" s="49" t="str">
        <f>IFNA(VLOOKUP($A113,Quests!$A$2:$E1000,MATCH(E$1,Quests!$A$1:$E$1,0),FALSE))</f>
        <v/>
      </c>
      <c r="G113" s="120" t="b">
        <v>0</v>
      </c>
      <c r="H113" s="120" t="b">
        <v>0</v>
      </c>
      <c r="I113" s="120" t="b">
        <v>0</v>
      </c>
    </row>
    <row r="114">
      <c r="A114" s="49"/>
      <c r="B114" s="49" t="str">
        <f>IFNA(VLOOKUP($A114,Quests!$A$2:$E1000,MATCH(B$1,Quests!$A$1:$E$1,0),FALSE))</f>
        <v/>
      </c>
      <c r="C114" s="49" t="str">
        <f>IFNA(VLOOKUP($A114,Quests!$A$2:$E1000,MATCH(C$1,Quests!$A$1:$E$1,0),FALSE))</f>
        <v/>
      </c>
      <c r="D114" s="49" t="str">
        <f>IFNA(VLOOKUP($A114,Quests!$A$2:$E1000,MATCH(D$1,Quests!$A$1:$E$1,0),FALSE))</f>
        <v/>
      </c>
      <c r="E114" s="49" t="str">
        <f>IFNA(VLOOKUP($A114,Quests!$A$2:$E1000,MATCH(E$1,Quests!$A$1:$E$1,0),FALSE))</f>
        <v/>
      </c>
      <c r="G114" s="120" t="b">
        <v>0</v>
      </c>
      <c r="H114" s="120" t="b">
        <v>0</v>
      </c>
      <c r="I114" s="120" t="b">
        <v>0</v>
      </c>
    </row>
    <row r="115">
      <c r="A115" s="49"/>
      <c r="B115" s="49" t="str">
        <f>IFNA(VLOOKUP($A115,Quests!$A$2:$E1000,MATCH(B$1,Quests!$A$1:$E$1,0),FALSE))</f>
        <v/>
      </c>
      <c r="C115" s="49" t="str">
        <f>IFNA(VLOOKUP($A115,Quests!$A$2:$E1000,MATCH(C$1,Quests!$A$1:$E$1,0),FALSE))</f>
        <v/>
      </c>
      <c r="D115" s="49" t="str">
        <f>IFNA(VLOOKUP($A115,Quests!$A$2:$E1000,MATCH(D$1,Quests!$A$1:$E$1,0),FALSE))</f>
        <v/>
      </c>
      <c r="E115" s="49" t="str">
        <f>IFNA(VLOOKUP($A115,Quests!$A$2:$E1000,MATCH(E$1,Quests!$A$1:$E$1,0),FALSE))</f>
        <v/>
      </c>
      <c r="G115" s="120" t="b">
        <v>0</v>
      </c>
      <c r="H115" s="120" t="b">
        <v>0</v>
      </c>
      <c r="I115" s="120" t="b">
        <v>0</v>
      </c>
    </row>
    <row r="116">
      <c r="A116" s="49"/>
      <c r="B116" s="49" t="str">
        <f>IFNA(VLOOKUP($A116,Quests!$A$2:$E1000,MATCH(B$1,Quests!$A$1:$E$1,0),FALSE))</f>
        <v/>
      </c>
      <c r="C116" s="49" t="str">
        <f>IFNA(VLOOKUP($A116,Quests!$A$2:$E1000,MATCH(C$1,Quests!$A$1:$E$1,0),FALSE))</f>
        <v/>
      </c>
      <c r="D116" s="49" t="str">
        <f>IFNA(VLOOKUP($A116,Quests!$A$2:$E1000,MATCH(D$1,Quests!$A$1:$E$1,0),FALSE))</f>
        <v/>
      </c>
      <c r="E116" s="49" t="str">
        <f>IFNA(VLOOKUP($A116,Quests!$A$2:$E1000,MATCH(E$1,Quests!$A$1:$E$1,0),FALSE))</f>
        <v/>
      </c>
      <c r="G116" s="120" t="b">
        <v>0</v>
      </c>
      <c r="H116" s="120" t="b">
        <v>0</v>
      </c>
      <c r="I116" s="120" t="b">
        <v>0</v>
      </c>
    </row>
    <row r="117">
      <c r="A117" s="49"/>
      <c r="B117" s="49" t="str">
        <f>IFNA(VLOOKUP($A117,Quests!$A$2:$E1000,MATCH(B$1,Quests!$A$1:$E$1,0),FALSE))</f>
        <v/>
      </c>
      <c r="C117" s="49" t="str">
        <f>IFNA(VLOOKUP($A117,Quests!$A$2:$E1000,MATCH(C$1,Quests!$A$1:$E$1,0),FALSE))</f>
        <v/>
      </c>
      <c r="D117" s="49" t="str">
        <f>IFNA(VLOOKUP($A117,Quests!$A$2:$E1000,MATCH(D$1,Quests!$A$1:$E$1,0),FALSE))</f>
        <v/>
      </c>
      <c r="E117" s="49" t="str">
        <f>IFNA(VLOOKUP($A117,Quests!$A$2:$E1000,MATCH(E$1,Quests!$A$1:$E$1,0),FALSE))</f>
        <v/>
      </c>
      <c r="G117" s="120" t="b">
        <v>0</v>
      </c>
      <c r="H117" s="120" t="b">
        <v>0</v>
      </c>
      <c r="I117" s="120" t="b">
        <v>0</v>
      </c>
    </row>
    <row r="118">
      <c r="A118" s="49"/>
      <c r="B118" s="49" t="str">
        <f>IFNA(VLOOKUP($A118,Quests!$A$2:$E1000,MATCH(B$1,Quests!$A$1:$E$1,0),FALSE))</f>
        <v/>
      </c>
      <c r="C118" s="49" t="str">
        <f>IFNA(VLOOKUP($A118,Quests!$A$2:$E1000,MATCH(C$1,Quests!$A$1:$E$1,0),FALSE))</f>
        <v/>
      </c>
      <c r="D118" s="49" t="str">
        <f>IFNA(VLOOKUP($A118,Quests!$A$2:$E1000,MATCH(D$1,Quests!$A$1:$E$1,0),FALSE))</f>
        <v/>
      </c>
      <c r="E118" s="49" t="str">
        <f>IFNA(VLOOKUP($A118,Quests!$A$2:$E1000,MATCH(E$1,Quests!$A$1:$E$1,0),FALSE))</f>
        <v/>
      </c>
      <c r="G118" s="120" t="b">
        <v>0</v>
      </c>
      <c r="H118" s="120" t="b">
        <v>0</v>
      </c>
      <c r="I118" s="120" t="b">
        <v>0</v>
      </c>
    </row>
    <row r="119">
      <c r="A119" s="49"/>
      <c r="B119" s="49" t="str">
        <f>IFNA(VLOOKUP($A119,Quests!$A$2:$E1000,MATCH(B$1,Quests!$A$1:$E$1,0),FALSE))</f>
        <v/>
      </c>
      <c r="C119" s="49" t="str">
        <f>IFNA(VLOOKUP($A119,Quests!$A$2:$E1000,MATCH(C$1,Quests!$A$1:$E$1,0),FALSE))</f>
        <v/>
      </c>
      <c r="D119" s="49" t="str">
        <f>IFNA(VLOOKUP($A119,Quests!$A$2:$E1000,MATCH(D$1,Quests!$A$1:$E$1,0),FALSE))</f>
        <v/>
      </c>
      <c r="E119" s="49" t="str">
        <f>IFNA(VLOOKUP($A119,Quests!$A$2:$E1000,MATCH(E$1,Quests!$A$1:$E$1,0),FALSE))</f>
        <v/>
      </c>
      <c r="G119" s="120" t="b">
        <v>0</v>
      </c>
      <c r="H119" s="120" t="b">
        <v>0</v>
      </c>
      <c r="I119" s="120" t="b">
        <v>0</v>
      </c>
    </row>
    <row r="120">
      <c r="A120" s="49"/>
      <c r="B120" s="49" t="str">
        <f>IFNA(VLOOKUP($A120,Quests!$A$2:$E1000,MATCH(B$1,Quests!$A$1:$E$1,0),FALSE))</f>
        <v/>
      </c>
      <c r="C120" s="49" t="str">
        <f>IFNA(VLOOKUP($A120,Quests!$A$2:$E1000,MATCH(C$1,Quests!$A$1:$E$1,0),FALSE))</f>
        <v/>
      </c>
      <c r="D120" s="49" t="str">
        <f>IFNA(VLOOKUP($A120,Quests!$A$2:$E1000,MATCH(D$1,Quests!$A$1:$E$1,0),FALSE))</f>
        <v/>
      </c>
      <c r="E120" s="49" t="str">
        <f>IFNA(VLOOKUP($A120,Quests!$A$2:$E1000,MATCH(E$1,Quests!$A$1:$E$1,0),FALSE))</f>
        <v/>
      </c>
      <c r="G120" s="120" t="b">
        <v>0</v>
      </c>
      <c r="H120" s="120" t="b">
        <v>0</v>
      </c>
      <c r="I120" s="120" t="b">
        <v>0</v>
      </c>
    </row>
    <row r="121">
      <c r="A121" s="49"/>
      <c r="B121" s="49" t="str">
        <f>IFNA(VLOOKUP($A121,Quests!$A$2:$E1000,MATCH(B$1,Quests!$A$1:$E$1,0),FALSE))</f>
        <v/>
      </c>
      <c r="C121" s="49" t="str">
        <f>IFNA(VLOOKUP($A121,Quests!$A$2:$E1000,MATCH(C$1,Quests!$A$1:$E$1,0),FALSE))</f>
        <v/>
      </c>
      <c r="D121" s="49" t="str">
        <f>IFNA(VLOOKUP($A121,Quests!$A$2:$E1000,MATCH(D$1,Quests!$A$1:$E$1,0),FALSE))</f>
        <v/>
      </c>
      <c r="E121" s="49" t="str">
        <f>IFNA(VLOOKUP($A121,Quests!$A$2:$E1000,MATCH(E$1,Quests!$A$1:$E$1,0),FALSE))</f>
        <v/>
      </c>
      <c r="G121" s="120" t="b">
        <v>0</v>
      </c>
      <c r="H121" s="120" t="b">
        <v>0</v>
      </c>
      <c r="I121" s="120" t="b">
        <v>0</v>
      </c>
    </row>
    <row r="122">
      <c r="A122" s="49"/>
      <c r="B122" s="49" t="str">
        <f>IFNA(VLOOKUP($A122,Quests!$A$2:$E1000,MATCH(B$1,Quests!$A$1:$E$1,0),FALSE))</f>
        <v/>
      </c>
      <c r="C122" s="49" t="str">
        <f>IFNA(VLOOKUP($A122,Quests!$A$2:$E1000,MATCH(C$1,Quests!$A$1:$E$1,0),FALSE))</f>
        <v/>
      </c>
      <c r="D122" s="49" t="str">
        <f>IFNA(VLOOKUP($A122,Quests!$A$2:$E1000,MATCH(D$1,Quests!$A$1:$E$1,0),FALSE))</f>
        <v/>
      </c>
      <c r="E122" s="49" t="str">
        <f>IFNA(VLOOKUP($A122,Quests!$A$2:$E1000,MATCH(E$1,Quests!$A$1:$E$1,0),FALSE))</f>
        <v/>
      </c>
      <c r="G122" s="120" t="b">
        <v>0</v>
      </c>
      <c r="H122" s="120" t="b">
        <v>0</v>
      </c>
      <c r="I122" s="120" t="b">
        <v>0</v>
      </c>
    </row>
    <row r="123">
      <c r="A123" s="49"/>
      <c r="B123" s="49" t="str">
        <f>IFNA(VLOOKUP($A123,Quests!$A$2:$E1000,MATCH(B$1,Quests!$A$1:$E$1,0),FALSE))</f>
        <v/>
      </c>
      <c r="C123" s="49" t="str">
        <f>IFNA(VLOOKUP($A123,Quests!$A$2:$E1000,MATCH(C$1,Quests!$A$1:$E$1,0),FALSE))</f>
        <v/>
      </c>
      <c r="D123" s="49" t="str">
        <f>IFNA(VLOOKUP($A123,Quests!$A$2:$E1000,MATCH(D$1,Quests!$A$1:$E$1,0),FALSE))</f>
        <v/>
      </c>
      <c r="E123" s="49" t="str">
        <f>IFNA(VLOOKUP($A123,Quests!$A$2:$E1000,MATCH(E$1,Quests!$A$1:$E$1,0),FALSE))</f>
        <v/>
      </c>
      <c r="G123" s="120" t="b">
        <v>0</v>
      </c>
      <c r="H123" s="120" t="b">
        <v>0</v>
      </c>
      <c r="I123" s="120" t="b">
        <v>0</v>
      </c>
    </row>
    <row r="124">
      <c r="A124" s="49"/>
      <c r="B124" s="49" t="str">
        <f>IFNA(VLOOKUP($A124,Quests!$A$2:$E1000,MATCH(B$1,Quests!$A$1:$E$1,0),FALSE))</f>
        <v/>
      </c>
      <c r="C124" s="49" t="str">
        <f>IFNA(VLOOKUP($A124,Quests!$A$2:$E1000,MATCH(C$1,Quests!$A$1:$E$1,0),FALSE))</f>
        <v/>
      </c>
      <c r="D124" s="49" t="str">
        <f>IFNA(VLOOKUP($A124,Quests!$A$2:$E1000,MATCH(D$1,Quests!$A$1:$E$1,0),FALSE))</f>
        <v/>
      </c>
      <c r="E124" s="49" t="str">
        <f>IFNA(VLOOKUP($A124,Quests!$A$2:$E1000,MATCH(E$1,Quests!$A$1:$E$1,0),FALSE))</f>
        <v/>
      </c>
      <c r="G124" s="120" t="b">
        <v>0</v>
      </c>
      <c r="H124" s="120" t="b">
        <v>0</v>
      </c>
      <c r="I124" s="120" t="b">
        <v>0</v>
      </c>
    </row>
    <row r="125">
      <c r="A125" s="49"/>
      <c r="B125" s="49" t="str">
        <f>IFNA(VLOOKUP($A125,Quests!$A$2:$E1000,MATCH(B$1,Quests!$A$1:$E$1,0),FALSE))</f>
        <v/>
      </c>
      <c r="C125" s="49" t="str">
        <f>IFNA(VLOOKUP($A125,Quests!$A$2:$E1000,MATCH(C$1,Quests!$A$1:$E$1,0),FALSE))</f>
        <v/>
      </c>
      <c r="D125" s="49" t="str">
        <f>IFNA(VLOOKUP($A125,Quests!$A$2:$E1000,MATCH(D$1,Quests!$A$1:$E$1,0),FALSE))</f>
        <v/>
      </c>
      <c r="E125" s="49" t="str">
        <f>IFNA(VLOOKUP($A125,Quests!$A$2:$E1000,MATCH(E$1,Quests!$A$1:$E$1,0),FALSE))</f>
        <v/>
      </c>
      <c r="G125" s="120" t="b">
        <v>0</v>
      </c>
      <c r="H125" s="120" t="b">
        <v>0</v>
      </c>
      <c r="I125" s="120" t="b">
        <v>0</v>
      </c>
    </row>
    <row r="126">
      <c r="A126" s="49"/>
      <c r="B126" s="49" t="str">
        <f>IFNA(VLOOKUP($A126,Quests!$A$2:$E1000,MATCH(B$1,Quests!$A$1:$E$1,0),FALSE))</f>
        <v/>
      </c>
      <c r="C126" s="49" t="str">
        <f>IFNA(VLOOKUP($A126,Quests!$A$2:$E1000,MATCH(C$1,Quests!$A$1:$E$1,0),FALSE))</f>
        <v/>
      </c>
      <c r="D126" s="49" t="str">
        <f>IFNA(VLOOKUP($A126,Quests!$A$2:$E1000,MATCH(D$1,Quests!$A$1:$E$1,0),FALSE))</f>
        <v/>
      </c>
      <c r="E126" s="49" t="str">
        <f>IFNA(VLOOKUP($A126,Quests!$A$2:$E1000,MATCH(E$1,Quests!$A$1:$E$1,0),FALSE))</f>
        <v/>
      </c>
      <c r="G126" s="120" t="b">
        <v>0</v>
      </c>
      <c r="H126" s="120" t="b">
        <v>0</v>
      </c>
      <c r="I126" s="120" t="b">
        <v>0</v>
      </c>
    </row>
    <row r="127">
      <c r="A127" s="49"/>
      <c r="B127" s="49" t="str">
        <f>IFNA(VLOOKUP($A127,Quests!$A$2:$E1000,MATCH(B$1,Quests!$A$1:$E$1,0),FALSE))</f>
        <v/>
      </c>
      <c r="C127" s="49" t="str">
        <f>IFNA(VLOOKUP($A127,Quests!$A$2:$E1000,MATCH(C$1,Quests!$A$1:$E$1,0),FALSE))</f>
        <v/>
      </c>
      <c r="D127" s="49" t="str">
        <f>IFNA(VLOOKUP($A127,Quests!$A$2:$E1000,MATCH(D$1,Quests!$A$1:$E$1,0),FALSE))</f>
        <v/>
      </c>
      <c r="E127" s="49" t="str">
        <f>IFNA(VLOOKUP($A127,Quests!$A$2:$E1000,MATCH(E$1,Quests!$A$1:$E$1,0),FALSE))</f>
        <v/>
      </c>
      <c r="G127" s="120" t="b">
        <v>0</v>
      </c>
      <c r="H127" s="120" t="b">
        <v>0</v>
      </c>
      <c r="I127" s="120" t="b">
        <v>0</v>
      </c>
    </row>
    <row r="128">
      <c r="A128" s="49"/>
      <c r="B128" s="49" t="str">
        <f>IFNA(VLOOKUP($A128,Quests!$A$2:$E1000,MATCH(B$1,Quests!$A$1:$E$1,0),FALSE))</f>
        <v/>
      </c>
      <c r="C128" s="49" t="str">
        <f>IFNA(VLOOKUP($A128,Quests!$A$2:$E1000,MATCH(C$1,Quests!$A$1:$E$1,0),FALSE))</f>
        <v/>
      </c>
      <c r="D128" s="49" t="str">
        <f>IFNA(VLOOKUP($A128,Quests!$A$2:$E1000,MATCH(D$1,Quests!$A$1:$E$1,0),FALSE))</f>
        <v/>
      </c>
      <c r="E128" s="49" t="str">
        <f>IFNA(VLOOKUP($A128,Quests!$A$2:$E1000,MATCH(E$1,Quests!$A$1:$E$1,0),FALSE))</f>
        <v/>
      </c>
      <c r="G128" s="120" t="b">
        <v>0</v>
      </c>
      <c r="H128" s="120" t="b">
        <v>0</v>
      </c>
      <c r="I128" s="120" t="b">
        <v>0</v>
      </c>
    </row>
    <row r="129">
      <c r="A129" s="49"/>
      <c r="B129" s="49" t="str">
        <f>IFNA(VLOOKUP($A129,Quests!$A$2:$E1000,MATCH(B$1,Quests!$A$1:$E$1,0),FALSE))</f>
        <v/>
      </c>
      <c r="C129" s="49" t="str">
        <f>IFNA(VLOOKUP($A129,Quests!$A$2:$E1000,MATCH(C$1,Quests!$A$1:$E$1,0),FALSE))</f>
        <v/>
      </c>
      <c r="D129" s="49" t="str">
        <f>IFNA(VLOOKUP($A129,Quests!$A$2:$E1000,MATCH(D$1,Quests!$A$1:$E$1,0),FALSE))</f>
        <v/>
      </c>
      <c r="E129" s="49" t="str">
        <f>IFNA(VLOOKUP($A129,Quests!$A$2:$E1000,MATCH(E$1,Quests!$A$1:$E$1,0),FALSE))</f>
        <v/>
      </c>
      <c r="G129" s="120" t="b">
        <v>0</v>
      </c>
      <c r="H129" s="120" t="b">
        <v>0</v>
      </c>
      <c r="I129" s="120" t="b">
        <v>0</v>
      </c>
    </row>
    <row r="130">
      <c r="A130" s="49"/>
      <c r="B130" s="49" t="str">
        <f>IFNA(VLOOKUP($A130,Quests!$A$2:$E1000,MATCH(B$1,Quests!$A$1:$E$1,0),FALSE))</f>
        <v/>
      </c>
      <c r="C130" s="49" t="str">
        <f>IFNA(VLOOKUP($A130,Quests!$A$2:$E1000,MATCH(C$1,Quests!$A$1:$E$1,0),FALSE))</f>
        <v/>
      </c>
      <c r="D130" s="49" t="str">
        <f>IFNA(VLOOKUP($A130,Quests!$A$2:$E1000,MATCH(D$1,Quests!$A$1:$E$1,0),FALSE))</f>
        <v/>
      </c>
      <c r="E130" s="49" t="str">
        <f>IFNA(VLOOKUP($A130,Quests!$A$2:$E1000,MATCH(E$1,Quests!$A$1:$E$1,0),FALSE))</f>
        <v/>
      </c>
      <c r="G130" s="120" t="b">
        <v>0</v>
      </c>
      <c r="H130" s="120" t="b">
        <v>0</v>
      </c>
      <c r="I130" s="120" t="b">
        <v>0</v>
      </c>
    </row>
    <row r="131">
      <c r="A131" s="49"/>
      <c r="B131" s="49" t="str">
        <f>IFNA(VLOOKUP($A131,Quests!$A$2:$E1000,MATCH(B$1,Quests!$A$1:$E$1,0),FALSE))</f>
        <v/>
      </c>
      <c r="C131" s="49" t="str">
        <f>IFNA(VLOOKUP($A131,Quests!$A$2:$E1000,MATCH(C$1,Quests!$A$1:$E$1,0),FALSE))</f>
        <v/>
      </c>
      <c r="D131" s="49" t="str">
        <f>IFNA(VLOOKUP($A131,Quests!$A$2:$E1000,MATCH(D$1,Quests!$A$1:$E$1,0),FALSE))</f>
        <v/>
      </c>
      <c r="E131" s="49" t="str">
        <f>IFNA(VLOOKUP($A131,Quests!$A$2:$E1000,MATCH(E$1,Quests!$A$1:$E$1,0),FALSE))</f>
        <v/>
      </c>
      <c r="G131" s="120" t="b">
        <v>0</v>
      </c>
      <c r="H131" s="120" t="b">
        <v>0</v>
      </c>
      <c r="I131" s="120" t="b">
        <v>0</v>
      </c>
    </row>
    <row r="132">
      <c r="A132" s="49"/>
      <c r="B132" s="49" t="str">
        <f>IFNA(VLOOKUP($A132,Quests!$A$2:$E1000,MATCH(B$1,Quests!$A$1:$E$1,0),FALSE))</f>
        <v/>
      </c>
      <c r="C132" s="49" t="str">
        <f>IFNA(VLOOKUP($A132,Quests!$A$2:$E1000,MATCH(C$1,Quests!$A$1:$E$1,0),FALSE))</f>
        <v/>
      </c>
      <c r="D132" s="49" t="str">
        <f>IFNA(VLOOKUP($A132,Quests!$A$2:$E1000,MATCH(D$1,Quests!$A$1:$E$1,0),FALSE))</f>
        <v/>
      </c>
      <c r="E132" s="49" t="str">
        <f>IFNA(VLOOKUP($A132,Quests!$A$2:$E1000,MATCH(E$1,Quests!$A$1:$E$1,0),FALSE))</f>
        <v/>
      </c>
      <c r="G132" s="120" t="b">
        <v>0</v>
      </c>
      <c r="H132" s="120" t="b">
        <v>0</v>
      </c>
      <c r="I132" s="120" t="b">
        <v>0</v>
      </c>
    </row>
    <row r="133">
      <c r="A133" s="49"/>
      <c r="B133" s="49" t="str">
        <f>IFNA(VLOOKUP($A133,Quests!$A$2:$E1000,MATCH(B$1,Quests!$A$1:$E$1,0),FALSE))</f>
        <v/>
      </c>
      <c r="C133" s="49" t="str">
        <f>IFNA(VLOOKUP($A133,Quests!$A$2:$E1000,MATCH(C$1,Quests!$A$1:$E$1,0),FALSE))</f>
        <v/>
      </c>
      <c r="D133" s="49" t="str">
        <f>IFNA(VLOOKUP($A133,Quests!$A$2:$E1000,MATCH(D$1,Quests!$A$1:$E$1,0),FALSE))</f>
        <v/>
      </c>
      <c r="E133" s="49" t="str">
        <f>IFNA(VLOOKUP($A133,Quests!$A$2:$E1000,MATCH(E$1,Quests!$A$1:$E$1,0),FALSE))</f>
        <v/>
      </c>
      <c r="G133" s="120" t="b">
        <v>0</v>
      </c>
      <c r="H133" s="120" t="b">
        <v>0</v>
      </c>
      <c r="I133" s="120" t="b">
        <v>0</v>
      </c>
    </row>
    <row r="134">
      <c r="A134" s="49"/>
      <c r="B134" s="49" t="str">
        <f>IFNA(VLOOKUP($A134,Quests!$A$2:$E1000,MATCH(B$1,Quests!$A$1:$E$1,0),FALSE))</f>
        <v/>
      </c>
      <c r="C134" s="49" t="str">
        <f>IFNA(VLOOKUP($A134,Quests!$A$2:$E1000,MATCH(C$1,Quests!$A$1:$E$1,0),FALSE))</f>
        <v/>
      </c>
      <c r="D134" s="49" t="str">
        <f>IFNA(VLOOKUP($A134,Quests!$A$2:$E1000,MATCH(D$1,Quests!$A$1:$E$1,0),FALSE))</f>
        <v/>
      </c>
      <c r="E134" s="49" t="str">
        <f>IFNA(VLOOKUP($A134,Quests!$A$2:$E1000,MATCH(E$1,Quests!$A$1:$E$1,0),FALSE))</f>
        <v/>
      </c>
      <c r="G134" s="120" t="b">
        <v>0</v>
      </c>
      <c r="H134" s="120" t="b">
        <v>0</v>
      </c>
      <c r="I134" s="120" t="b">
        <v>0</v>
      </c>
    </row>
    <row r="135">
      <c r="A135" s="49"/>
      <c r="B135" s="49" t="str">
        <f>IFNA(VLOOKUP($A135,Quests!$A$2:$E1000,MATCH(B$1,Quests!$A$1:$E$1,0),FALSE))</f>
        <v/>
      </c>
      <c r="C135" s="49" t="str">
        <f>IFNA(VLOOKUP($A135,Quests!$A$2:$E1000,MATCH(C$1,Quests!$A$1:$E$1,0),FALSE))</f>
        <v/>
      </c>
      <c r="D135" s="49" t="str">
        <f>IFNA(VLOOKUP($A135,Quests!$A$2:$E1000,MATCH(D$1,Quests!$A$1:$E$1,0),FALSE))</f>
        <v/>
      </c>
      <c r="E135" s="49" t="str">
        <f>IFNA(VLOOKUP($A135,Quests!$A$2:$E1000,MATCH(E$1,Quests!$A$1:$E$1,0),FALSE))</f>
        <v/>
      </c>
      <c r="G135" s="120" t="b">
        <v>0</v>
      </c>
      <c r="H135" s="120" t="b">
        <v>0</v>
      </c>
      <c r="I135" s="120" t="b">
        <v>0</v>
      </c>
    </row>
    <row r="136">
      <c r="A136" s="49"/>
      <c r="B136" s="49" t="str">
        <f>IFNA(VLOOKUP($A136,Quests!$A$2:$E1000,MATCH(B$1,Quests!$A$1:$E$1,0),FALSE))</f>
        <v/>
      </c>
      <c r="C136" s="49" t="str">
        <f>IFNA(VLOOKUP($A136,Quests!$A$2:$E1000,MATCH(C$1,Quests!$A$1:$E$1,0),FALSE))</f>
        <v/>
      </c>
      <c r="D136" s="49" t="str">
        <f>IFNA(VLOOKUP($A136,Quests!$A$2:$E1000,MATCH(D$1,Quests!$A$1:$E$1,0),FALSE))</f>
        <v/>
      </c>
      <c r="E136" s="49" t="str">
        <f>IFNA(VLOOKUP($A136,Quests!$A$2:$E1000,MATCH(E$1,Quests!$A$1:$E$1,0),FALSE))</f>
        <v/>
      </c>
      <c r="G136" s="120" t="b">
        <v>0</v>
      </c>
      <c r="H136" s="120" t="b">
        <v>0</v>
      </c>
      <c r="I136" s="120" t="b">
        <v>0</v>
      </c>
    </row>
    <row r="137">
      <c r="A137" s="49"/>
      <c r="B137" s="49" t="str">
        <f>IFNA(VLOOKUP($A137,Quests!$A$2:$E1000,MATCH(B$1,Quests!$A$1:$E$1,0),FALSE))</f>
        <v/>
      </c>
      <c r="C137" s="49" t="str">
        <f>IFNA(VLOOKUP($A137,Quests!$A$2:$E1000,MATCH(C$1,Quests!$A$1:$E$1,0),FALSE))</f>
        <v/>
      </c>
      <c r="D137" s="49" t="str">
        <f>IFNA(VLOOKUP($A137,Quests!$A$2:$E1000,MATCH(D$1,Quests!$A$1:$E$1,0),FALSE))</f>
        <v/>
      </c>
      <c r="E137" s="49" t="str">
        <f>IFNA(VLOOKUP($A137,Quests!$A$2:$E1000,MATCH(E$1,Quests!$A$1:$E$1,0),FALSE))</f>
        <v/>
      </c>
      <c r="G137" s="120" t="b">
        <v>0</v>
      </c>
      <c r="H137" s="120" t="b">
        <v>0</v>
      </c>
      <c r="I137" s="120" t="b">
        <v>0</v>
      </c>
    </row>
    <row r="138">
      <c r="A138" s="49"/>
      <c r="B138" s="49" t="str">
        <f>IFNA(VLOOKUP($A138,Quests!$A$2:$E1000,MATCH(B$1,Quests!$A$1:$E$1,0),FALSE))</f>
        <v/>
      </c>
      <c r="C138" s="49" t="str">
        <f>IFNA(VLOOKUP($A138,Quests!$A$2:$E1000,MATCH(C$1,Quests!$A$1:$E$1,0),FALSE))</f>
        <v/>
      </c>
      <c r="D138" s="49" t="str">
        <f>IFNA(VLOOKUP($A138,Quests!$A$2:$E1000,MATCH(D$1,Quests!$A$1:$E$1,0),FALSE))</f>
        <v/>
      </c>
      <c r="E138" s="49" t="str">
        <f>IFNA(VLOOKUP($A138,Quests!$A$2:$E1000,MATCH(E$1,Quests!$A$1:$E$1,0),FALSE))</f>
        <v/>
      </c>
      <c r="G138" s="120" t="b">
        <v>0</v>
      </c>
      <c r="H138" s="120" t="b">
        <v>0</v>
      </c>
      <c r="I138" s="120" t="b">
        <v>0</v>
      </c>
    </row>
    <row r="139">
      <c r="A139" s="49"/>
      <c r="B139" s="49" t="str">
        <f>IFNA(VLOOKUP($A139,Quests!$A$2:$E1000,MATCH(B$1,Quests!$A$1:$E$1,0),FALSE))</f>
        <v/>
      </c>
      <c r="C139" s="49" t="str">
        <f>IFNA(VLOOKUP($A139,Quests!$A$2:$E1000,MATCH(C$1,Quests!$A$1:$E$1,0),FALSE))</f>
        <v/>
      </c>
      <c r="D139" s="49" t="str">
        <f>IFNA(VLOOKUP($A139,Quests!$A$2:$E1000,MATCH(D$1,Quests!$A$1:$E$1,0),FALSE))</f>
        <v/>
      </c>
      <c r="E139" s="49" t="str">
        <f>IFNA(VLOOKUP($A139,Quests!$A$2:$E1000,MATCH(E$1,Quests!$A$1:$E$1,0),FALSE))</f>
        <v/>
      </c>
      <c r="G139" s="120" t="b">
        <v>0</v>
      </c>
      <c r="H139" s="120" t="b">
        <v>0</v>
      </c>
      <c r="I139" s="120" t="b">
        <v>0</v>
      </c>
    </row>
    <row r="140">
      <c r="A140" s="49"/>
      <c r="B140" s="49" t="str">
        <f>IFNA(VLOOKUP($A140,Quests!$A$2:$E1000,MATCH(B$1,Quests!$A$1:$E$1,0),FALSE))</f>
        <v/>
      </c>
      <c r="C140" s="49" t="str">
        <f>IFNA(VLOOKUP($A140,Quests!$A$2:$E1000,MATCH(C$1,Quests!$A$1:$E$1,0),FALSE))</f>
        <v/>
      </c>
      <c r="D140" s="49" t="str">
        <f>IFNA(VLOOKUP($A140,Quests!$A$2:$E1000,MATCH(D$1,Quests!$A$1:$E$1,0),FALSE))</f>
        <v/>
      </c>
      <c r="E140" s="49" t="str">
        <f>IFNA(VLOOKUP($A140,Quests!$A$2:$E1000,MATCH(E$1,Quests!$A$1:$E$1,0),FALSE))</f>
        <v/>
      </c>
      <c r="G140" s="120" t="b">
        <v>0</v>
      </c>
      <c r="H140" s="120" t="b">
        <v>0</v>
      </c>
      <c r="I140" s="120" t="b">
        <v>0</v>
      </c>
    </row>
    <row r="141">
      <c r="A141" s="49"/>
      <c r="B141" s="49" t="str">
        <f>IFNA(VLOOKUP($A141,Quests!$A$2:$E1000,MATCH(B$1,Quests!$A$1:$E$1,0),FALSE))</f>
        <v/>
      </c>
      <c r="C141" s="49" t="str">
        <f>IFNA(VLOOKUP($A141,Quests!$A$2:$E1000,MATCH(C$1,Quests!$A$1:$E$1,0),FALSE))</f>
        <v/>
      </c>
      <c r="D141" s="49" t="str">
        <f>IFNA(VLOOKUP($A141,Quests!$A$2:$E1000,MATCH(D$1,Quests!$A$1:$E$1,0),FALSE))</f>
        <v/>
      </c>
      <c r="E141" s="49" t="str">
        <f>IFNA(VLOOKUP($A141,Quests!$A$2:$E1000,MATCH(E$1,Quests!$A$1:$E$1,0),FALSE))</f>
        <v/>
      </c>
      <c r="G141" s="120" t="b">
        <v>0</v>
      </c>
      <c r="H141" s="120" t="b">
        <v>0</v>
      </c>
      <c r="I141" s="120" t="b">
        <v>0</v>
      </c>
    </row>
    <row r="142">
      <c r="A142" s="49"/>
      <c r="B142" s="49" t="str">
        <f>IFNA(VLOOKUP($A142,Quests!$A$2:$E1000,MATCH(B$1,Quests!$A$1:$E$1,0),FALSE))</f>
        <v/>
      </c>
      <c r="C142" s="49" t="str">
        <f>IFNA(VLOOKUP($A142,Quests!$A$2:$E1000,MATCH(C$1,Quests!$A$1:$E$1,0),FALSE))</f>
        <v/>
      </c>
      <c r="D142" s="49" t="str">
        <f>IFNA(VLOOKUP($A142,Quests!$A$2:$E1000,MATCH(D$1,Quests!$A$1:$E$1,0),FALSE))</f>
        <v/>
      </c>
      <c r="E142" s="49" t="str">
        <f>IFNA(VLOOKUP($A142,Quests!$A$2:$E1000,MATCH(E$1,Quests!$A$1:$E$1,0),FALSE))</f>
        <v/>
      </c>
      <c r="G142" s="120" t="b">
        <v>0</v>
      </c>
      <c r="H142" s="120" t="b">
        <v>0</v>
      </c>
      <c r="I142" s="120" t="b">
        <v>0</v>
      </c>
    </row>
    <row r="143">
      <c r="A143" s="49"/>
      <c r="B143" s="49" t="str">
        <f>IFNA(VLOOKUP($A143,Quests!$A$2:$E1000,MATCH(B$1,Quests!$A$1:$E$1,0),FALSE))</f>
        <v/>
      </c>
      <c r="C143" s="49" t="str">
        <f>IFNA(VLOOKUP($A143,Quests!$A$2:$E1000,MATCH(C$1,Quests!$A$1:$E$1,0),FALSE))</f>
        <v/>
      </c>
      <c r="D143" s="49" t="str">
        <f>IFNA(VLOOKUP($A143,Quests!$A$2:$E1000,MATCH(D$1,Quests!$A$1:$E$1,0),FALSE))</f>
        <v/>
      </c>
      <c r="E143" s="49" t="str">
        <f>IFNA(VLOOKUP($A143,Quests!$A$2:$E1000,MATCH(E$1,Quests!$A$1:$E$1,0),FALSE))</f>
        <v/>
      </c>
      <c r="G143" s="120" t="b">
        <v>0</v>
      </c>
      <c r="H143" s="120" t="b">
        <v>0</v>
      </c>
      <c r="I143" s="120" t="b">
        <v>0</v>
      </c>
    </row>
    <row r="144">
      <c r="A144" s="49"/>
      <c r="B144" s="49" t="str">
        <f>IFNA(VLOOKUP($A144,Quests!$A$2:$E1000,MATCH(B$1,Quests!$A$1:$E$1,0),FALSE))</f>
        <v/>
      </c>
      <c r="C144" s="49" t="str">
        <f>IFNA(VLOOKUP($A144,Quests!$A$2:$E1000,MATCH(C$1,Quests!$A$1:$E$1,0),FALSE))</f>
        <v/>
      </c>
      <c r="D144" s="49" t="str">
        <f>IFNA(VLOOKUP($A144,Quests!$A$2:$E1000,MATCH(D$1,Quests!$A$1:$E$1,0),FALSE))</f>
        <v/>
      </c>
      <c r="E144" s="49" t="str">
        <f>IFNA(VLOOKUP($A144,Quests!$A$2:$E1000,MATCH(E$1,Quests!$A$1:$E$1,0),FALSE))</f>
        <v/>
      </c>
      <c r="G144" s="120" t="b">
        <v>0</v>
      </c>
      <c r="H144" s="120" t="b">
        <v>0</v>
      </c>
      <c r="I144" s="120" t="b">
        <v>0</v>
      </c>
    </row>
    <row r="145">
      <c r="A145" s="49"/>
      <c r="B145" s="49" t="str">
        <f>IFNA(VLOOKUP($A145,Quests!$A$2:$E1000,MATCH(B$1,Quests!$A$1:$E$1,0),FALSE))</f>
        <v/>
      </c>
      <c r="C145" s="49" t="str">
        <f>IFNA(VLOOKUP($A145,Quests!$A$2:$E1000,MATCH(C$1,Quests!$A$1:$E$1,0),FALSE))</f>
        <v/>
      </c>
      <c r="D145" s="49" t="str">
        <f>IFNA(VLOOKUP($A145,Quests!$A$2:$E1000,MATCH(D$1,Quests!$A$1:$E$1,0),FALSE))</f>
        <v/>
      </c>
      <c r="E145" s="49" t="str">
        <f>IFNA(VLOOKUP($A145,Quests!$A$2:$E1000,MATCH(E$1,Quests!$A$1:$E$1,0),FALSE))</f>
        <v/>
      </c>
      <c r="G145" s="120" t="b">
        <v>0</v>
      </c>
      <c r="H145" s="120" t="b">
        <v>0</v>
      </c>
      <c r="I145" s="120" t="b">
        <v>0</v>
      </c>
    </row>
    <row r="146">
      <c r="A146" s="49"/>
      <c r="B146" s="49" t="str">
        <f>IFNA(VLOOKUP($A146,Quests!$A$2:$E1000,MATCH(B$1,Quests!$A$1:$E$1,0),FALSE))</f>
        <v/>
      </c>
      <c r="C146" s="49" t="str">
        <f>IFNA(VLOOKUP($A146,Quests!$A$2:$E1000,MATCH(C$1,Quests!$A$1:$E$1,0),FALSE))</f>
        <v/>
      </c>
      <c r="D146" s="49" t="str">
        <f>IFNA(VLOOKUP($A146,Quests!$A$2:$E1000,MATCH(D$1,Quests!$A$1:$E$1,0),FALSE))</f>
        <v/>
      </c>
      <c r="E146" s="49" t="str">
        <f>IFNA(VLOOKUP($A146,Quests!$A$2:$E1000,MATCH(E$1,Quests!$A$1:$E$1,0),FALSE))</f>
        <v/>
      </c>
      <c r="G146" s="120" t="b">
        <v>0</v>
      </c>
      <c r="H146" s="120" t="b">
        <v>0</v>
      </c>
      <c r="I146" s="120" t="b">
        <v>0</v>
      </c>
    </row>
    <row r="147">
      <c r="A147" s="49"/>
      <c r="B147" s="49" t="str">
        <f>IFNA(VLOOKUP($A147,Quests!$A$2:$E1000,MATCH(B$1,Quests!$A$1:$E$1,0),FALSE))</f>
        <v/>
      </c>
      <c r="C147" s="49" t="str">
        <f>IFNA(VLOOKUP($A147,Quests!$A$2:$E1000,MATCH(C$1,Quests!$A$1:$E$1,0),FALSE))</f>
        <v/>
      </c>
      <c r="D147" s="49" t="str">
        <f>IFNA(VLOOKUP($A147,Quests!$A$2:$E1000,MATCH(D$1,Quests!$A$1:$E$1,0),FALSE))</f>
        <v/>
      </c>
      <c r="E147" s="49" t="str">
        <f>IFNA(VLOOKUP($A147,Quests!$A$2:$E1000,MATCH(E$1,Quests!$A$1:$E$1,0),FALSE))</f>
        <v/>
      </c>
      <c r="G147" s="120" t="b">
        <v>0</v>
      </c>
      <c r="H147" s="120" t="b">
        <v>0</v>
      </c>
      <c r="I147" s="120" t="b">
        <v>0</v>
      </c>
    </row>
    <row r="148">
      <c r="A148" s="49"/>
      <c r="B148" s="49" t="str">
        <f>IFNA(VLOOKUP($A148,Quests!$A$2:$E1000,MATCH(B$1,Quests!$A$1:$E$1,0),FALSE))</f>
        <v/>
      </c>
      <c r="C148" s="49" t="str">
        <f>IFNA(VLOOKUP($A148,Quests!$A$2:$E1000,MATCH(C$1,Quests!$A$1:$E$1,0),FALSE))</f>
        <v/>
      </c>
      <c r="D148" s="49" t="str">
        <f>IFNA(VLOOKUP($A148,Quests!$A$2:$E1000,MATCH(D$1,Quests!$A$1:$E$1,0),FALSE))</f>
        <v/>
      </c>
      <c r="E148" s="49" t="str">
        <f>IFNA(VLOOKUP($A148,Quests!$A$2:$E1000,MATCH(E$1,Quests!$A$1:$E$1,0),FALSE))</f>
        <v/>
      </c>
      <c r="G148" s="120" t="b">
        <v>0</v>
      </c>
      <c r="H148" s="120" t="b">
        <v>0</v>
      </c>
      <c r="I148" s="120" t="b">
        <v>0</v>
      </c>
    </row>
    <row r="149">
      <c r="A149" s="49"/>
      <c r="B149" s="49" t="str">
        <f>IFNA(VLOOKUP($A149,Quests!$A$2:$E1000,MATCH(B$1,Quests!$A$1:$E$1,0),FALSE))</f>
        <v/>
      </c>
      <c r="C149" s="49" t="str">
        <f>IFNA(VLOOKUP($A149,Quests!$A$2:$E1000,MATCH(C$1,Quests!$A$1:$E$1,0),FALSE))</f>
        <v/>
      </c>
      <c r="D149" s="49" t="str">
        <f>IFNA(VLOOKUP($A149,Quests!$A$2:$E1000,MATCH(D$1,Quests!$A$1:$E$1,0),FALSE))</f>
        <v/>
      </c>
      <c r="E149" s="49" t="str">
        <f>IFNA(VLOOKUP($A149,Quests!$A$2:$E1000,MATCH(E$1,Quests!$A$1:$E$1,0),FALSE))</f>
        <v/>
      </c>
      <c r="G149" s="120" t="b">
        <v>0</v>
      </c>
      <c r="H149" s="120" t="b">
        <v>0</v>
      </c>
      <c r="I149" s="120" t="b">
        <v>0</v>
      </c>
    </row>
    <row r="150">
      <c r="A150" s="49"/>
      <c r="B150" s="49" t="str">
        <f>IFNA(VLOOKUP($A150,Quests!$A$2:$E1000,MATCH(B$1,Quests!$A$1:$E$1,0),FALSE))</f>
        <v/>
      </c>
      <c r="C150" s="49" t="str">
        <f>IFNA(VLOOKUP($A150,Quests!$A$2:$E1000,MATCH(C$1,Quests!$A$1:$E$1,0),FALSE))</f>
        <v/>
      </c>
      <c r="D150" s="49" t="str">
        <f>IFNA(VLOOKUP($A150,Quests!$A$2:$E1000,MATCH(D$1,Quests!$A$1:$E$1,0),FALSE))</f>
        <v/>
      </c>
      <c r="E150" s="49" t="str">
        <f>IFNA(VLOOKUP($A150,Quests!$A$2:$E1000,MATCH(E$1,Quests!$A$1:$E$1,0),FALSE))</f>
        <v/>
      </c>
      <c r="G150" s="120" t="b">
        <v>0</v>
      </c>
      <c r="H150" s="120" t="b">
        <v>0</v>
      </c>
      <c r="I150" s="120" t="b">
        <v>0</v>
      </c>
    </row>
    <row r="151">
      <c r="A151" s="49"/>
      <c r="B151" s="49" t="str">
        <f>IFNA(VLOOKUP($A151,Quests!$A$2:$E1000,MATCH(B$1,Quests!$A$1:$E$1,0),FALSE))</f>
        <v/>
      </c>
      <c r="C151" s="49" t="str">
        <f>IFNA(VLOOKUP($A151,Quests!$A$2:$E1000,MATCH(C$1,Quests!$A$1:$E$1,0),FALSE))</f>
        <v/>
      </c>
      <c r="D151" s="49" t="str">
        <f>IFNA(VLOOKUP($A151,Quests!$A$2:$E1000,MATCH(D$1,Quests!$A$1:$E$1,0),FALSE))</f>
        <v/>
      </c>
      <c r="E151" s="49" t="str">
        <f>IFNA(VLOOKUP($A151,Quests!$A$2:$E1000,MATCH(E$1,Quests!$A$1:$E$1,0),FALSE))</f>
        <v/>
      </c>
      <c r="G151" s="120" t="b">
        <v>0</v>
      </c>
      <c r="H151" s="120" t="b">
        <v>0</v>
      </c>
      <c r="I151" s="120" t="b">
        <v>0</v>
      </c>
    </row>
    <row r="152">
      <c r="A152" s="49"/>
      <c r="B152" s="49" t="str">
        <f>IFNA(VLOOKUP($A152,Quests!$A$2:$E1000,MATCH(B$1,Quests!$A$1:$E$1,0),FALSE))</f>
        <v/>
      </c>
      <c r="C152" s="49" t="str">
        <f>IFNA(VLOOKUP($A152,Quests!$A$2:$E1000,MATCH(C$1,Quests!$A$1:$E$1,0),FALSE))</f>
        <v/>
      </c>
      <c r="D152" s="49" t="str">
        <f>IFNA(VLOOKUP($A152,Quests!$A$2:$E1000,MATCH(D$1,Quests!$A$1:$E$1,0),FALSE))</f>
        <v/>
      </c>
      <c r="E152" s="49" t="str">
        <f>IFNA(VLOOKUP($A152,Quests!$A$2:$E1000,MATCH(E$1,Quests!$A$1:$E$1,0),FALSE))</f>
        <v/>
      </c>
      <c r="G152" s="120" t="b">
        <v>0</v>
      </c>
      <c r="H152" s="120" t="b">
        <v>0</v>
      </c>
      <c r="I152" s="120" t="b">
        <v>0</v>
      </c>
    </row>
    <row r="153">
      <c r="A153" s="49"/>
      <c r="B153" s="49" t="str">
        <f>IFNA(VLOOKUP($A153,Quests!$A$2:$E1000,MATCH(B$1,Quests!$A$1:$E$1,0),FALSE))</f>
        <v/>
      </c>
      <c r="C153" s="49" t="str">
        <f>IFNA(VLOOKUP($A153,Quests!$A$2:$E1000,MATCH(C$1,Quests!$A$1:$E$1,0),FALSE))</f>
        <v/>
      </c>
      <c r="D153" s="49" t="str">
        <f>IFNA(VLOOKUP($A153,Quests!$A$2:$E1000,MATCH(D$1,Quests!$A$1:$E$1,0),FALSE))</f>
        <v/>
      </c>
      <c r="E153" s="49" t="str">
        <f>IFNA(VLOOKUP($A153,Quests!$A$2:$E1000,MATCH(E$1,Quests!$A$1:$E$1,0),FALSE))</f>
        <v/>
      </c>
      <c r="G153" s="120" t="b">
        <v>0</v>
      </c>
      <c r="H153" s="120" t="b">
        <v>0</v>
      </c>
      <c r="I153" s="120" t="b">
        <v>0</v>
      </c>
    </row>
    <row r="154">
      <c r="A154" s="49"/>
      <c r="B154" s="49" t="str">
        <f>IFNA(VLOOKUP($A154,Quests!$A$2:$E1000,MATCH(B$1,Quests!$A$1:$E$1,0),FALSE))</f>
        <v/>
      </c>
      <c r="C154" s="49" t="str">
        <f>IFNA(VLOOKUP($A154,Quests!$A$2:$E1000,MATCH(C$1,Quests!$A$1:$E$1,0),FALSE))</f>
        <v/>
      </c>
      <c r="D154" s="49" t="str">
        <f>IFNA(VLOOKUP($A154,Quests!$A$2:$E1000,MATCH(D$1,Quests!$A$1:$E$1,0),FALSE))</f>
        <v/>
      </c>
      <c r="E154" s="49" t="str">
        <f>IFNA(VLOOKUP($A154,Quests!$A$2:$E1000,MATCH(E$1,Quests!$A$1:$E$1,0),FALSE))</f>
        <v/>
      </c>
      <c r="G154" s="120" t="b">
        <v>0</v>
      </c>
      <c r="H154" s="120" t="b">
        <v>0</v>
      </c>
      <c r="I154" s="120" t="b">
        <v>0</v>
      </c>
    </row>
    <row r="155">
      <c r="A155" s="49"/>
      <c r="B155" s="49" t="str">
        <f>IFNA(VLOOKUP($A155,Quests!$A$2:$E1000,MATCH(B$1,Quests!$A$1:$E$1,0),FALSE))</f>
        <v/>
      </c>
      <c r="C155" s="49" t="str">
        <f>IFNA(VLOOKUP($A155,Quests!$A$2:$E1000,MATCH(C$1,Quests!$A$1:$E$1,0),FALSE))</f>
        <v/>
      </c>
      <c r="D155" s="49" t="str">
        <f>IFNA(VLOOKUP($A155,Quests!$A$2:$E1000,MATCH(D$1,Quests!$A$1:$E$1,0),FALSE))</f>
        <v/>
      </c>
      <c r="E155" s="49" t="str">
        <f>IFNA(VLOOKUP($A155,Quests!$A$2:$E1000,MATCH(E$1,Quests!$A$1:$E$1,0),FALSE))</f>
        <v/>
      </c>
      <c r="G155" s="120" t="b">
        <v>0</v>
      </c>
      <c r="H155" s="120" t="b">
        <v>0</v>
      </c>
      <c r="I155" s="120" t="b">
        <v>0</v>
      </c>
    </row>
    <row r="156">
      <c r="A156" s="49"/>
      <c r="B156" s="49" t="str">
        <f>IFNA(VLOOKUP($A156,Quests!$A$2:$E1000,MATCH(B$1,Quests!$A$1:$E$1,0),FALSE))</f>
        <v/>
      </c>
      <c r="C156" s="49" t="str">
        <f>IFNA(VLOOKUP($A156,Quests!$A$2:$E1000,MATCH(C$1,Quests!$A$1:$E$1,0),FALSE))</f>
        <v/>
      </c>
      <c r="D156" s="49" t="str">
        <f>IFNA(VLOOKUP($A156,Quests!$A$2:$E1000,MATCH(D$1,Quests!$A$1:$E$1,0),FALSE))</f>
        <v/>
      </c>
      <c r="E156" s="49" t="str">
        <f>IFNA(VLOOKUP($A156,Quests!$A$2:$E1000,MATCH(E$1,Quests!$A$1:$E$1,0),FALSE))</f>
        <v/>
      </c>
      <c r="G156" s="120" t="b">
        <v>0</v>
      </c>
      <c r="H156" s="120" t="b">
        <v>0</v>
      </c>
      <c r="I156" s="120" t="b">
        <v>0</v>
      </c>
    </row>
    <row r="157">
      <c r="A157" s="49"/>
      <c r="B157" s="49" t="str">
        <f>IFNA(VLOOKUP($A157,Quests!$A$2:$E1000,MATCH(B$1,Quests!$A$1:$E$1,0),FALSE))</f>
        <v/>
      </c>
      <c r="C157" s="49" t="str">
        <f>IFNA(VLOOKUP($A157,Quests!$A$2:$E1000,MATCH(C$1,Quests!$A$1:$E$1,0),FALSE))</f>
        <v/>
      </c>
      <c r="D157" s="49" t="str">
        <f>IFNA(VLOOKUP($A157,Quests!$A$2:$E1000,MATCH(D$1,Quests!$A$1:$E$1,0),FALSE))</f>
        <v/>
      </c>
      <c r="E157" s="49" t="str">
        <f>IFNA(VLOOKUP($A157,Quests!$A$2:$E1000,MATCH(E$1,Quests!$A$1:$E$1,0),FALSE))</f>
        <v/>
      </c>
      <c r="G157" s="120" t="b">
        <v>0</v>
      </c>
      <c r="H157" s="120" t="b">
        <v>0</v>
      </c>
      <c r="I157" s="120" t="b">
        <v>0</v>
      </c>
    </row>
    <row r="158">
      <c r="A158" s="49"/>
      <c r="B158" s="49" t="str">
        <f>IFNA(VLOOKUP($A158,Quests!$A$2:$E1000,MATCH(B$1,Quests!$A$1:$E$1,0),FALSE))</f>
        <v/>
      </c>
      <c r="C158" s="49" t="str">
        <f>IFNA(VLOOKUP($A158,Quests!$A$2:$E1000,MATCH(C$1,Quests!$A$1:$E$1,0),FALSE))</f>
        <v/>
      </c>
      <c r="D158" s="49" t="str">
        <f>IFNA(VLOOKUP($A158,Quests!$A$2:$E1000,MATCH(D$1,Quests!$A$1:$E$1,0),FALSE))</f>
        <v/>
      </c>
      <c r="E158" s="49" t="str">
        <f>IFNA(VLOOKUP($A158,Quests!$A$2:$E1000,MATCH(E$1,Quests!$A$1:$E$1,0),FALSE))</f>
        <v/>
      </c>
      <c r="G158" s="120" t="b">
        <v>0</v>
      </c>
      <c r="H158" s="120" t="b">
        <v>0</v>
      </c>
      <c r="I158" s="120" t="b">
        <v>0</v>
      </c>
    </row>
    <row r="159">
      <c r="A159" s="49"/>
      <c r="B159" s="49" t="str">
        <f>IFNA(VLOOKUP($A159,Quests!$A$2:$E1000,MATCH(B$1,Quests!$A$1:$E$1,0),FALSE))</f>
        <v/>
      </c>
      <c r="C159" s="49" t="str">
        <f>IFNA(VLOOKUP($A159,Quests!$A$2:$E1000,MATCH(C$1,Quests!$A$1:$E$1,0),FALSE))</f>
        <v/>
      </c>
      <c r="D159" s="49" t="str">
        <f>IFNA(VLOOKUP($A159,Quests!$A$2:$E1000,MATCH(D$1,Quests!$A$1:$E$1,0),FALSE))</f>
        <v/>
      </c>
      <c r="E159" s="49" t="str">
        <f>IFNA(VLOOKUP($A159,Quests!$A$2:$E1000,MATCH(E$1,Quests!$A$1:$E$1,0),FALSE))</f>
        <v/>
      </c>
      <c r="G159" s="120" t="b">
        <v>0</v>
      </c>
      <c r="H159" s="120" t="b">
        <v>0</v>
      </c>
      <c r="I159" s="120" t="b">
        <v>0</v>
      </c>
    </row>
    <row r="160">
      <c r="A160" s="49"/>
      <c r="B160" s="49" t="str">
        <f>IFNA(VLOOKUP($A160,Quests!$A$2:$E1000,MATCH(B$1,Quests!$A$1:$E$1,0),FALSE))</f>
        <v/>
      </c>
      <c r="C160" s="49" t="str">
        <f>IFNA(VLOOKUP($A160,Quests!$A$2:$E1000,MATCH(C$1,Quests!$A$1:$E$1,0),FALSE))</f>
        <v/>
      </c>
      <c r="D160" s="49" t="str">
        <f>IFNA(VLOOKUP($A160,Quests!$A$2:$E1000,MATCH(D$1,Quests!$A$1:$E$1,0),FALSE))</f>
        <v/>
      </c>
      <c r="E160" s="49" t="str">
        <f>IFNA(VLOOKUP($A160,Quests!$A$2:$E1000,MATCH(E$1,Quests!$A$1:$E$1,0),FALSE))</f>
        <v/>
      </c>
      <c r="G160" s="120" t="b">
        <v>0</v>
      </c>
      <c r="H160" s="120" t="b">
        <v>0</v>
      </c>
      <c r="I160" s="120" t="b">
        <v>0</v>
      </c>
    </row>
    <row r="161">
      <c r="A161" s="49"/>
      <c r="B161" s="49" t="str">
        <f>IFNA(VLOOKUP($A161,Quests!$A$2:$E1000,MATCH(B$1,Quests!$A$1:$E$1,0),FALSE))</f>
        <v/>
      </c>
      <c r="C161" s="49" t="str">
        <f>IFNA(VLOOKUP($A161,Quests!$A$2:$E1000,MATCH(C$1,Quests!$A$1:$E$1,0),FALSE))</f>
        <v/>
      </c>
      <c r="D161" s="49" t="str">
        <f>IFNA(VLOOKUP($A161,Quests!$A$2:$E1000,MATCH(D$1,Quests!$A$1:$E$1,0),FALSE))</f>
        <v/>
      </c>
      <c r="E161" s="49" t="str">
        <f>IFNA(VLOOKUP($A161,Quests!$A$2:$E1000,MATCH(E$1,Quests!$A$1:$E$1,0),FALSE))</f>
        <v/>
      </c>
      <c r="G161" s="120" t="b">
        <v>0</v>
      </c>
      <c r="H161" s="120" t="b">
        <v>0</v>
      </c>
      <c r="I161" s="120" t="b">
        <v>0</v>
      </c>
    </row>
    <row r="162">
      <c r="A162" s="49"/>
      <c r="B162" s="49" t="str">
        <f>IFNA(VLOOKUP($A162,Quests!$A$2:$E1000,MATCH(B$1,Quests!$A$1:$E$1,0),FALSE))</f>
        <v/>
      </c>
      <c r="C162" s="49" t="str">
        <f>IFNA(VLOOKUP($A162,Quests!$A$2:$E1000,MATCH(C$1,Quests!$A$1:$E$1,0),FALSE))</f>
        <v/>
      </c>
      <c r="D162" s="49" t="str">
        <f>IFNA(VLOOKUP($A162,Quests!$A$2:$E1000,MATCH(D$1,Quests!$A$1:$E$1,0),FALSE))</f>
        <v/>
      </c>
      <c r="E162" s="49" t="str">
        <f>IFNA(VLOOKUP($A162,Quests!$A$2:$E1000,MATCH(E$1,Quests!$A$1:$E$1,0),FALSE))</f>
        <v/>
      </c>
      <c r="G162" s="120" t="b">
        <v>0</v>
      </c>
      <c r="H162" s="120" t="b">
        <v>0</v>
      </c>
      <c r="I162" s="120" t="b">
        <v>0</v>
      </c>
    </row>
    <row r="163">
      <c r="A163" s="49"/>
      <c r="B163" s="49" t="str">
        <f>IFNA(VLOOKUP($A163,Quests!$A$2:$E1000,MATCH(B$1,Quests!$A$1:$E$1,0),FALSE))</f>
        <v/>
      </c>
      <c r="C163" s="49" t="str">
        <f>IFNA(VLOOKUP($A163,Quests!$A$2:$E1000,MATCH(C$1,Quests!$A$1:$E$1,0),FALSE))</f>
        <v/>
      </c>
      <c r="D163" s="49" t="str">
        <f>IFNA(VLOOKUP($A163,Quests!$A$2:$E1000,MATCH(D$1,Quests!$A$1:$E$1,0),FALSE))</f>
        <v/>
      </c>
      <c r="E163" s="49" t="str">
        <f>IFNA(VLOOKUP($A163,Quests!$A$2:$E1000,MATCH(E$1,Quests!$A$1:$E$1,0),FALSE))</f>
        <v/>
      </c>
      <c r="G163" s="120" t="b">
        <v>0</v>
      </c>
      <c r="H163" s="120" t="b">
        <v>0</v>
      </c>
      <c r="I163" s="120" t="b">
        <v>0</v>
      </c>
    </row>
    <row r="164">
      <c r="A164" s="49"/>
      <c r="B164" s="49" t="str">
        <f>IFNA(VLOOKUP($A164,Quests!$A$2:$E1000,MATCH(B$1,Quests!$A$1:$E$1,0),FALSE))</f>
        <v/>
      </c>
      <c r="C164" s="49" t="str">
        <f>IFNA(VLOOKUP($A164,Quests!$A$2:$E1000,MATCH(C$1,Quests!$A$1:$E$1,0),FALSE))</f>
        <v/>
      </c>
      <c r="D164" s="49" t="str">
        <f>IFNA(VLOOKUP($A164,Quests!$A$2:$E1000,MATCH(D$1,Quests!$A$1:$E$1,0),FALSE))</f>
        <v/>
      </c>
      <c r="E164" s="49" t="str">
        <f>IFNA(VLOOKUP($A164,Quests!$A$2:$E1000,MATCH(E$1,Quests!$A$1:$E$1,0),FALSE))</f>
        <v/>
      </c>
      <c r="G164" s="120" t="b">
        <v>0</v>
      </c>
      <c r="H164" s="120" t="b">
        <v>0</v>
      </c>
      <c r="I164" s="120" t="b">
        <v>0</v>
      </c>
    </row>
    <row r="165">
      <c r="A165" s="49"/>
      <c r="B165" s="49" t="str">
        <f>IFNA(VLOOKUP($A165,Quests!$A$2:$E1000,MATCH(B$1,Quests!$A$1:$E$1,0),FALSE))</f>
        <v/>
      </c>
      <c r="C165" s="49" t="str">
        <f>IFNA(VLOOKUP($A165,Quests!$A$2:$E1000,MATCH(C$1,Quests!$A$1:$E$1,0),FALSE))</f>
        <v/>
      </c>
      <c r="D165" s="49" t="str">
        <f>IFNA(VLOOKUP($A165,Quests!$A$2:$E1000,MATCH(D$1,Quests!$A$1:$E$1,0),FALSE))</f>
        <v/>
      </c>
      <c r="E165" s="49" t="str">
        <f>IFNA(VLOOKUP($A165,Quests!$A$2:$E1000,MATCH(E$1,Quests!$A$1:$E$1,0),FALSE))</f>
        <v/>
      </c>
      <c r="G165" s="120" t="b">
        <v>0</v>
      </c>
      <c r="H165" s="120" t="b">
        <v>0</v>
      </c>
      <c r="I165" s="120" t="b">
        <v>0</v>
      </c>
    </row>
    <row r="166">
      <c r="A166" s="49"/>
      <c r="B166" s="49" t="str">
        <f>IFNA(VLOOKUP($A166,Quests!$A$2:$E1000,MATCH(B$1,Quests!$A$1:$E$1,0),FALSE))</f>
        <v/>
      </c>
      <c r="C166" s="49" t="str">
        <f>IFNA(VLOOKUP($A166,Quests!$A$2:$E1000,MATCH(C$1,Quests!$A$1:$E$1,0),FALSE))</f>
        <v/>
      </c>
      <c r="D166" s="49" t="str">
        <f>IFNA(VLOOKUP($A166,Quests!$A$2:$E1000,MATCH(D$1,Quests!$A$1:$E$1,0),FALSE))</f>
        <v/>
      </c>
      <c r="E166" s="49" t="str">
        <f>IFNA(VLOOKUP($A166,Quests!$A$2:$E1000,MATCH(E$1,Quests!$A$1:$E$1,0),FALSE))</f>
        <v/>
      </c>
      <c r="G166" s="120" t="b">
        <v>0</v>
      </c>
      <c r="H166" s="120" t="b">
        <v>0</v>
      </c>
      <c r="I166" s="120" t="b">
        <v>0</v>
      </c>
    </row>
    <row r="167">
      <c r="A167" s="49"/>
      <c r="B167" s="49" t="str">
        <f>IFNA(VLOOKUP($A167,Quests!$A$2:$E1000,MATCH(B$1,Quests!$A$1:$E$1,0),FALSE))</f>
        <v/>
      </c>
      <c r="C167" s="49" t="str">
        <f>IFNA(VLOOKUP($A167,Quests!$A$2:$E1000,MATCH(C$1,Quests!$A$1:$E$1,0),FALSE))</f>
        <v/>
      </c>
      <c r="D167" s="49" t="str">
        <f>IFNA(VLOOKUP($A167,Quests!$A$2:$E1000,MATCH(D$1,Quests!$A$1:$E$1,0),FALSE))</f>
        <v/>
      </c>
      <c r="E167" s="49" t="str">
        <f>IFNA(VLOOKUP($A167,Quests!$A$2:$E1000,MATCH(E$1,Quests!$A$1:$E$1,0),FALSE))</f>
        <v/>
      </c>
      <c r="G167" s="120" t="b">
        <v>0</v>
      </c>
      <c r="H167" s="120" t="b">
        <v>0</v>
      </c>
      <c r="I167" s="120" t="b">
        <v>0</v>
      </c>
    </row>
    <row r="168">
      <c r="A168" s="49"/>
      <c r="B168" s="49" t="str">
        <f>IFNA(VLOOKUP($A168,Quests!$A$2:$E1000,MATCH(B$1,Quests!$A$1:$E$1,0),FALSE))</f>
        <v/>
      </c>
      <c r="C168" s="49" t="str">
        <f>IFNA(VLOOKUP($A168,Quests!$A$2:$E1000,MATCH(C$1,Quests!$A$1:$E$1,0),FALSE))</f>
        <v/>
      </c>
      <c r="D168" s="49" t="str">
        <f>IFNA(VLOOKUP($A168,Quests!$A$2:$E1000,MATCH(D$1,Quests!$A$1:$E$1,0),FALSE))</f>
        <v/>
      </c>
      <c r="E168" s="49" t="str">
        <f>IFNA(VLOOKUP($A168,Quests!$A$2:$E1000,MATCH(E$1,Quests!$A$1:$E$1,0),FALSE))</f>
        <v/>
      </c>
      <c r="G168" s="120" t="b">
        <v>0</v>
      </c>
      <c r="H168" s="120" t="b">
        <v>0</v>
      </c>
      <c r="I168" s="120" t="b">
        <v>0</v>
      </c>
    </row>
    <row r="169">
      <c r="A169" s="49"/>
      <c r="B169" s="49" t="str">
        <f>IFNA(VLOOKUP($A169,Quests!$A$2:$E1000,MATCH(B$1,Quests!$A$1:$E$1,0),FALSE))</f>
        <v/>
      </c>
      <c r="C169" s="49" t="str">
        <f>IFNA(VLOOKUP($A169,Quests!$A$2:$E1000,MATCH(C$1,Quests!$A$1:$E$1,0),FALSE))</f>
        <v/>
      </c>
      <c r="D169" s="49" t="str">
        <f>IFNA(VLOOKUP($A169,Quests!$A$2:$E1000,MATCH(D$1,Quests!$A$1:$E$1,0),FALSE))</f>
        <v/>
      </c>
      <c r="E169" s="49" t="str">
        <f>IFNA(VLOOKUP($A169,Quests!$A$2:$E1000,MATCH(E$1,Quests!$A$1:$E$1,0),FALSE))</f>
        <v/>
      </c>
      <c r="G169" s="120" t="b">
        <v>0</v>
      </c>
      <c r="H169" s="120" t="b">
        <v>0</v>
      </c>
      <c r="I169" s="120" t="b">
        <v>0</v>
      </c>
    </row>
    <row r="170">
      <c r="A170" s="49"/>
      <c r="B170" s="49" t="str">
        <f>IFNA(VLOOKUP($A170,Quests!$A$2:$E1000,MATCH(B$1,Quests!$A$1:$E$1,0),FALSE))</f>
        <v/>
      </c>
      <c r="C170" s="49" t="str">
        <f>IFNA(VLOOKUP($A170,Quests!$A$2:$E1000,MATCH(C$1,Quests!$A$1:$E$1,0),FALSE))</f>
        <v/>
      </c>
      <c r="D170" s="49" t="str">
        <f>IFNA(VLOOKUP($A170,Quests!$A$2:$E1000,MATCH(D$1,Quests!$A$1:$E$1,0),FALSE))</f>
        <v/>
      </c>
      <c r="E170" s="49" t="str">
        <f>IFNA(VLOOKUP($A170,Quests!$A$2:$E1000,MATCH(E$1,Quests!$A$1:$E$1,0),FALSE))</f>
        <v/>
      </c>
      <c r="G170" s="120" t="b">
        <v>0</v>
      </c>
      <c r="H170" s="120" t="b">
        <v>0</v>
      </c>
      <c r="I170" s="120" t="b">
        <v>0</v>
      </c>
    </row>
    <row r="171">
      <c r="A171" s="49"/>
      <c r="B171" s="49" t="str">
        <f>IFNA(VLOOKUP($A171,Quests!$A$2:$E1000,MATCH(B$1,Quests!$A$1:$E$1,0),FALSE))</f>
        <v/>
      </c>
      <c r="C171" s="49" t="str">
        <f>IFNA(VLOOKUP($A171,Quests!$A$2:$E1000,MATCH(C$1,Quests!$A$1:$E$1,0),FALSE))</f>
        <v/>
      </c>
      <c r="D171" s="49" t="str">
        <f>IFNA(VLOOKUP($A171,Quests!$A$2:$E1000,MATCH(D$1,Quests!$A$1:$E$1,0),FALSE))</f>
        <v/>
      </c>
      <c r="E171" s="49" t="str">
        <f>IFNA(VLOOKUP($A171,Quests!$A$2:$E1000,MATCH(E$1,Quests!$A$1:$E$1,0),FALSE))</f>
        <v/>
      </c>
      <c r="G171" s="120" t="b">
        <v>0</v>
      </c>
      <c r="H171" s="120" t="b">
        <v>0</v>
      </c>
      <c r="I171" s="120" t="b">
        <v>0</v>
      </c>
    </row>
    <row r="172">
      <c r="A172" s="49"/>
      <c r="B172" s="49" t="str">
        <f>IFNA(VLOOKUP($A172,Quests!$A$2:$E1000,MATCH(B$1,Quests!$A$1:$E$1,0),FALSE))</f>
        <v/>
      </c>
      <c r="C172" s="49" t="str">
        <f>IFNA(VLOOKUP($A172,Quests!$A$2:$E1000,MATCH(C$1,Quests!$A$1:$E$1,0),FALSE))</f>
        <v/>
      </c>
      <c r="D172" s="49" t="str">
        <f>IFNA(VLOOKUP($A172,Quests!$A$2:$E1000,MATCH(D$1,Quests!$A$1:$E$1,0),FALSE))</f>
        <v/>
      </c>
      <c r="E172" s="49" t="str">
        <f>IFNA(VLOOKUP($A172,Quests!$A$2:$E1000,MATCH(E$1,Quests!$A$1:$E$1,0),FALSE))</f>
        <v/>
      </c>
      <c r="G172" s="120" t="b">
        <v>0</v>
      </c>
      <c r="H172" s="120" t="b">
        <v>0</v>
      </c>
      <c r="I172" s="120" t="b">
        <v>0</v>
      </c>
    </row>
    <row r="173">
      <c r="A173" s="49"/>
      <c r="B173" s="49" t="str">
        <f>IFNA(VLOOKUP($A173,Quests!$A$2:$E1000,MATCH(B$1,Quests!$A$1:$E$1,0),FALSE))</f>
        <v/>
      </c>
      <c r="C173" s="49" t="str">
        <f>IFNA(VLOOKUP($A173,Quests!$A$2:$E1000,MATCH(C$1,Quests!$A$1:$E$1,0),FALSE))</f>
        <v/>
      </c>
      <c r="D173" s="49" t="str">
        <f>IFNA(VLOOKUP($A173,Quests!$A$2:$E1000,MATCH(D$1,Quests!$A$1:$E$1,0),FALSE))</f>
        <v/>
      </c>
      <c r="E173" s="49" t="str">
        <f>IFNA(VLOOKUP($A173,Quests!$A$2:$E1000,MATCH(E$1,Quests!$A$1:$E$1,0),FALSE))</f>
        <v/>
      </c>
      <c r="G173" s="120" t="b">
        <v>0</v>
      </c>
      <c r="H173" s="120" t="b">
        <v>0</v>
      </c>
      <c r="I173" s="120" t="b">
        <v>0</v>
      </c>
    </row>
    <row r="174">
      <c r="A174" s="49"/>
      <c r="B174" s="49" t="str">
        <f>IFNA(VLOOKUP($A174,Quests!$A$2:$E1000,MATCH(B$1,Quests!$A$1:$E$1,0),FALSE))</f>
        <v/>
      </c>
      <c r="C174" s="49" t="str">
        <f>IFNA(VLOOKUP($A174,Quests!$A$2:$E1000,MATCH(C$1,Quests!$A$1:$E$1,0),FALSE))</f>
        <v/>
      </c>
      <c r="D174" s="49" t="str">
        <f>IFNA(VLOOKUP($A174,Quests!$A$2:$E1000,MATCH(D$1,Quests!$A$1:$E$1,0),FALSE))</f>
        <v/>
      </c>
      <c r="E174" s="49" t="str">
        <f>IFNA(VLOOKUP($A174,Quests!$A$2:$E1000,MATCH(E$1,Quests!$A$1:$E$1,0),FALSE))</f>
        <v/>
      </c>
      <c r="G174" s="120" t="b">
        <v>0</v>
      </c>
      <c r="H174" s="120" t="b">
        <v>0</v>
      </c>
      <c r="I174" s="120" t="b">
        <v>0</v>
      </c>
    </row>
    <row r="175">
      <c r="A175" s="49"/>
      <c r="B175" s="49" t="str">
        <f>IFNA(VLOOKUP($A175,Quests!$A$2:$E1000,MATCH(B$1,Quests!$A$1:$E$1,0),FALSE))</f>
        <v/>
      </c>
      <c r="C175" s="49" t="str">
        <f>IFNA(VLOOKUP($A175,Quests!$A$2:$E1000,MATCH(C$1,Quests!$A$1:$E$1,0),FALSE))</f>
        <v/>
      </c>
      <c r="D175" s="49" t="str">
        <f>IFNA(VLOOKUP($A175,Quests!$A$2:$E1000,MATCH(D$1,Quests!$A$1:$E$1,0),FALSE))</f>
        <v/>
      </c>
      <c r="E175" s="49" t="str">
        <f>IFNA(VLOOKUP($A175,Quests!$A$2:$E1000,MATCH(E$1,Quests!$A$1:$E$1,0),FALSE))</f>
        <v/>
      </c>
      <c r="G175" s="120" t="b">
        <v>0</v>
      </c>
      <c r="H175" s="120" t="b">
        <v>0</v>
      </c>
      <c r="I175" s="120" t="b">
        <v>0</v>
      </c>
    </row>
    <row r="176">
      <c r="A176" s="49"/>
      <c r="B176" s="49" t="str">
        <f>IFNA(VLOOKUP($A176,Quests!$A$2:$E1000,MATCH(B$1,Quests!$A$1:$E$1,0),FALSE))</f>
        <v/>
      </c>
      <c r="C176" s="49" t="str">
        <f>IFNA(VLOOKUP($A176,Quests!$A$2:$E1000,MATCH(C$1,Quests!$A$1:$E$1,0),FALSE))</f>
        <v/>
      </c>
      <c r="D176" s="49" t="str">
        <f>IFNA(VLOOKUP($A176,Quests!$A$2:$E1000,MATCH(D$1,Quests!$A$1:$E$1,0),FALSE))</f>
        <v/>
      </c>
      <c r="E176" s="49" t="str">
        <f>IFNA(VLOOKUP($A176,Quests!$A$2:$E1000,MATCH(E$1,Quests!$A$1:$E$1,0),FALSE))</f>
        <v/>
      </c>
      <c r="G176" s="120" t="b">
        <v>0</v>
      </c>
      <c r="H176" s="120" t="b">
        <v>0</v>
      </c>
      <c r="I176" s="120" t="b">
        <v>0</v>
      </c>
    </row>
    <row r="177">
      <c r="A177" s="49"/>
      <c r="B177" s="49" t="str">
        <f>IFNA(VLOOKUP($A177,Quests!$A$2:$E1000,MATCH(B$1,Quests!$A$1:$E$1,0),FALSE))</f>
        <v/>
      </c>
      <c r="C177" s="49" t="str">
        <f>IFNA(VLOOKUP($A177,Quests!$A$2:$E1000,MATCH(C$1,Quests!$A$1:$E$1,0),FALSE))</f>
        <v/>
      </c>
      <c r="D177" s="49" t="str">
        <f>IFNA(VLOOKUP($A177,Quests!$A$2:$E1000,MATCH(D$1,Quests!$A$1:$E$1,0),FALSE))</f>
        <v/>
      </c>
      <c r="E177" s="49" t="str">
        <f>IFNA(VLOOKUP($A177,Quests!$A$2:$E1000,MATCH(E$1,Quests!$A$1:$E$1,0),FALSE))</f>
        <v/>
      </c>
      <c r="G177" s="120" t="b">
        <v>0</v>
      </c>
      <c r="H177" s="120" t="b">
        <v>0</v>
      </c>
      <c r="I177" s="120" t="b">
        <v>0</v>
      </c>
    </row>
    <row r="178">
      <c r="A178" s="49"/>
      <c r="B178" s="49" t="str">
        <f>IFNA(VLOOKUP($A178,Quests!$A$2:$E1000,MATCH(B$1,Quests!$A$1:$E$1,0),FALSE))</f>
        <v/>
      </c>
      <c r="C178" s="49" t="str">
        <f>IFNA(VLOOKUP($A178,Quests!$A$2:$E1000,MATCH(C$1,Quests!$A$1:$E$1,0),FALSE))</f>
        <v/>
      </c>
      <c r="D178" s="49" t="str">
        <f>IFNA(VLOOKUP($A178,Quests!$A$2:$E1000,MATCH(D$1,Quests!$A$1:$E$1,0),FALSE))</f>
        <v/>
      </c>
      <c r="E178" s="49" t="str">
        <f>IFNA(VLOOKUP($A178,Quests!$A$2:$E1000,MATCH(E$1,Quests!$A$1:$E$1,0),FALSE))</f>
        <v/>
      </c>
      <c r="G178" s="120" t="b">
        <v>0</v>
      </c>
      <c r="H178" s="120" t="b">
        <v>0</v>
      </c>
      <c r="I178" s="120" t="b">
        <v>0</v>
      </c>
    </row>
    <row r="179">
      <c r="A179" s="49"/>
      <c r="B179" s="49" t="str">
        <f>IFNA(VLOOKUP($A179,Quests!$A$2:$E1000,MATCH(B$1,Quests!$A$1:$E$1,0),FALSE))</f>
        <v/>
      </c>
      <c r="C179" s="49" t="str">
        <f>IFNA(VLOOKUP($A179,Quests!$A$2:$E1000,MATCH(C$1,Quests!$A$1:$E$1,0),FALSE))</f>
        <v/>
      </c>
      <c r="D179" s="49" t="str">
        <f>IFNA(VLOOKUP($A179,Quests!$A$2:$E1000,MATCH(D$1,Quests!$A$1:$E$1,0),FALSE))</f>
        <v/>
      </c>
      <c r="E179" s="49" t="str">
        <f>IFNA(VLOOKUP($A179,Quests!$A$2:$E1000,MATCH(E$1,Quests!$A$1:$E$1,0),FALSE))</f>
        <v/>
      </c>
      <c r="G179" s="120" t="b">
        <v>0</v>
      </c>
      <c r="H179" s="120" t="b">
        <v>0</v>
      </c>
      <c r="I179" s="120" t="b">
        <v>0</v>
      </c>
    </row>
    <row r="180">
      <c r="A180" s="49"/>
      <c r="B180" s="49" t="str">
        <f>IFNA(VLOOKUP($A180,Quests!$A$2:$E1000,MATCH(B$1,Quests!$A$1:$E$1,0),FALSE))</f>
        <v/>
      </c>
      <c r="C180" s="49" t="str">
        <f>IFNA(VLOOKUP($A180,Quests!$A$2:$E1000,MATCH(C$1,Quests!$A$1:$E$1,0),FALSE))</f>
        <v/>
      </c>
      <c r="D180" s="49" t="str">
        <f>IFNA(VLOOKUP($A180,Quests!$A$2:$E1000,MATCH(D$1,Quests!$A$1:$E$1,0),FALSE))</f>
        <v/>
      </c>
      <c r="E180" s="49" t="str">
        <f>IFNA(VLOOKUP($A180,Quests!$A$2:$E1000,MATCH(E$1,Quests!$A$1:$E$1,0),FALSE))</f>
        <v/>
      </c>
      <c r="G180" s="120" t="b">
        <v>0</v>
      </c>
      <c r="H180" s="120" t="b">
        <v>0</v>
      </c>
      <c r="I180" s="120" t="b">
        <v>0</v>
      </c>
    </row>
    <row r="181">
      <c r="A181" s="49"/>
      <c r="B181" s="49" t="str">
        <f>IFNA(VLOOKUP($A181,Quests!$A$2:$E1000,MATCH(B$1,Quests!$A$1:$E$1,0),FALSE))</f>
        <v/>
      </c>
      <c r="C181" s="49" t="str">
        <f>IFNA(VLOOKUP($A181,Quests!$A$2:$E1000,MATCH(C$1,Quests!$A$1:$E$1,0),FALSE))</f>
        <v/>
      </c>
      <c r="D181" s="49" t="str">
        <f>IFNA(VLOOKUP($A181,Quests!$A$2:$E1000,MATCH(D$1,Quests!$A$1:$E$1,0),FALSE))</f>
        <v/>
      </c>
      <c r="E181" s="49" t="str">
        <f>IFNA(VLOOKUP($A181,Quests!$A$2:$E1000,MATCH(E$1,Quests!$A$1:$E$1,0),FALSE))</f>
        <v/>
      </c>
      <c r="G181" s="120" t="b">
        <v>0</v>
      </c>
      <c r="H181" s="120" t="b">
        <v>0</v>
      </c>
      <c r="I181" s="120" t="b">
        <v>0</v>
      </c>
    </row>
    <row r="182">
      <c r="A182" s="49"/>
      <c r="B182" s="49" t="str">
        <f>IFNA(VLOOKUP($A182,Quests!$A$2:$E1000,MATCH(B$1,Quests!$A$1:$E$1,0),FALSE))</f>
        <v/>
      </c>
      <c r="C182" s="49" t="str">
        <f>IFNA(VLOOKUP($A182,Quests!$A$2:$E1000,MATCH(C$1,Quests!$A$1:$E$1,0),FALSE))</f>
        <v/>
      </c>
      <c r="D182" s="49" t="str">
        <f>IFNA(VLOOKUP($A182,Quests!$A$2:$E1000,MATCH(D$1,Quests!$A$1:$E$1,0),FALSE))</f>
        <v/>
      </c>
      <c r="E182" s="49" t="str">
        <f>IFNA(VLOOKUP($A182,Quests!$A$2:$E1000,MATCH(E$1,Quests!$A$1:$E$1,0),FALSE))</f>
        <v/>
      </c>
      <c r="G182" s="120" t="b">
        <v>0</v>
      </c>
      <c r="H182" s="120" t="b">
        <v>0</v>
      </c>
      <c r="I182" s="120" t="b">
        <v>0</v>
      </c>
    </row>
    <row r="183">
      <c r="A183" s="49"/>
      <c r="B183" s="49" t="str">
        <f>IFNA(VLOOKUP($A183,Quests!$A$2:$E1000,MATCH(B$1,Quests!$A$1:$E$1,0),FALSE))</f>
        <v/>
      </c>
      <c r="C183" s="49" t="str">
        <f>IFNA(VLOOKUP($A183,Quests!$A$2:$E1000,MATCH(C$1,Quests!$A$1:$E$1,0),FALSE))</f>
        <v/>
      </c>
      <c r="D183" s="49" t="str">
        <f>IFNA(VLOOKUP($A183,Quests!$A$2:$E1000,MATCH(D$1,Quests!$A$1:$E$1,0),FALSE))</f>
        <v/>
      </c>
      <c r="E183" s="49" t="str">
        <f>IFNA(VLOOKUP($A183,Quests!$A$2:$E1000,MATCH(E$1,Quests!$A$1:$E$1,0),FALSE))</f>
        <v/>
      </c>
      <c r="G183" s="120" t="b">
        <v>0</v>
      </c>
      <c r="H183" s="120" t="b">
        <v>0</v>
      </c>
      <c r="I183" s="120" t="b">
        <v>0</v>
      </c>
    </row>
    <row r="184">
      <c r="A184" s="49"/>
      <c r="B184" s="49" t="str">
        <f>IFNA(VLOOKUP($A184,Quests!$A$2:$E1000,MATCH(B$1,Quests!$A$1:$E$1,0),FALSE))</f>
        <v/>
      </c>
      <c r="C184" s="49" t="str">
        <f>IFNA(VLOOKUP($A184,Quests!$A$2:$E1000,MATCH(C$1,Quests!$A$1:$E$1,0),FALSE))</f>
        <v/>
      </c>
      <c r="D184" s="49" t="str">
        <f>IFNA(VLOOKUP($A184,Quests!$A$2:$E1000,MATCH(D$1,Quests!$A$1:$E$1,0),FALSE))</f>
        <v/>
      </c>
      <c r="E184" s="49" t="str">
        <f>IFNA(VLOOKUP($A184,Quests!$A$2:$E1000,MATCH(E$1,Quests!$A$1:$E$1,0),FALSE))</f>
        <v/>
      </c>
      <c r="G184" s="120" t="b">
        <v>0</v>
      </c>
      <c r="H184" s="120" t="b">
        <v>0</v>
      </c>
      <c r="I184" s="120" t="b">
        <v>0</v>
      </c>
    </row>
    <row r="185">
      <c r="A185" s="49"/>
      <c r="B185" s="49" t="str">
        <f>IFNA(VLOOKUP($A185,Quests!$A$2:$E1000,MATCH(B$1,Quests!$A$1:$E$1,0),FALSE))</f>
        <v/>
      </c>
      <c r="C185" s="49" t="str">
        <f>IFNA(VLOOKUP($A185,Quests!$A$2:$E1000,MATCH(C$1,Quests!$A$1:$E$1,0),FALSE))</f>
        <v/>
      </c>
      <c r="D185" s="49" t="str">
        <f>IFNA(VLOOKUP($A185,Quests!$A$2:$E1000,MATCH(D$1,Quests!$A$1:$E$1,0),FALSE))</f>
        <v/>
      </c>
      <c r="E185" s="49" t="str">
        <f>IFNA(VLOOKUP($A185,Quests!$A$2:$E1000,MATCH(E$1,Quests!$A$1:$E$1,0),FALSE))</f>
        <v/>
      </c>
      <c r="G185" s="120" t="b">
        <v>0</v>
      </c>
      <c r="H185" s="120" t="b">
        <v>0</v>
      </c>
      <c r="I185" s="120" t="b">
        <v>0</v>
      </c>
    </row>
    <row r="186">
      <c r="A186" s="49"/>
      <c r="B186" s="49" t="str">
        <f>IFNA(VLOOKUP($A186,Quests!$A$2:$E1000,MATCH(B$1,Quests!$A$1:$E$1,0),FALSE))</f>
        <v/>
      </c>
      <c r="C186" s="49" t="str">
        <f>IFNA(VLOOKUP($A186,Quests!$A$2:$E1000,MATCH(C$1,Quests!$A$1:$E$1,0),FALSE))</f>
        <v/>
      </c>
      <c r="D186" s="49" t="str">
        <f>IFNA(VLOOKUP($A186,Quests!$A$2:$E1000,MATCH(D$1,Quests!$A$1:$E$1,0),FALSE))</f>
        <v/>
      </c>
      <c r="E186" s="49" t="str">
        <f>IFNA(VLOOKUP($A186,Quests!$A$2:$E1000,MATCH(E$1,Quests!$A$1:$E$1,0),FALSE))</f>
        <v/>
      </c>
      <c r="G186" s="120" t="b">
        <v>0</v>
      </c>
      <c r="H186" s="120" t="b">
        <v>0</v>
      </c>
      <c r="I186" s="120" t="b">
        <v>0</v>
      </c>
    </row>
    <row r="187">
      <c r="A187" s="49"/>
      <c r="B187" s="49" t="str">
        <f>IFNA(VLOOKUP($A187,Quests!$A$2:$E1000,MATCH(B$1,Quests!$A$1:$E$1,0),FALSE))</f>
        <v/>
      </c>
      <c r="C187" s="49" t="str">
        <f>IFNA(VLOOKUP($A187,Quests!$A$2:$E1000,MATCH(C$1,Quests!$A$1:$E$1,0),FALSE))</f>
        <v/>
      </c>
      <c r="D187" s="49" t="str">
        <f>IFNA(VLOOKUP($A187,Quests!$A$2:$E1000,MATCH(D$1,Quests!$A$1:$E$1,0),FALSE))</f>
        <v/>
      </c>
      <c r="E187" s="49" t="str">
        <f>IFNA(VLOOKUP($A187,Quests!$A$2:$E1000,MATCH(E$1,Quests!$A$1:$E$1,0),FALSE))</f>
        <v/>
      </c>
      <c r="G187" s="120" t="b">
        <v>0</v>
      </c>
      <c r="H187" s="120" t="b">
        <v>0</v>
      </c>
      <c r="I187" s="120" t="b">
        <v>0</v>
      </c>
    </row>
    <row r="188">
      <c r="A188" s="49"/>
      <c r="B188" s="49" t="str">
        <f>IFNA(VLOOKUP($A188,Quests!$A$2:$E1000,MATCH(B$1,Quests!$A$1:$E$1,0),FALSE))</f>
        <v/>
      </c>
      <c r="C188" s="49" t="str">
        <f>IFNA(VLOOKUP($A188,Quests!$A$2:$E1000,MATCH(C$1,Quests!$A$1:$E$1,0),FALSE))</f>
        <v/>
      </c>
      <c r="D188" s="49" t="str">
        <f>IFNA(VLOOKUP($A188,Quests!$A$2:$E1000,MATCH(D$1,Quests!$A$1:$E$1,0),FALSE))</f>
        <v/>
      </c>
      <c r="E188" s="49" t="str">
        <f>IFNA(VLOOKUP($A188,Quests!$A$2:$E1000,MATCH(E$1,Quests!$A$1:$E$1,0),FALSE))</f>
        <v/>
      </c>
      <c r="G188" s="120" t="b">
        <v>0</v>
      </c>
      <c r="H188" s="120" t="b">
        <v>0</v>
      </c>
      <c r="I188" s="120" t="b">
        <v>0</v>
      </c>
    </row>
    <row r="189">
      <c r="A189" s="49"/>
      <c r="B189" s="49" t="str">
        <f>IFNA(VLOOKUP($A189,Quests!$A$2:$E1000,MATCH(B$1,Quests!$A$1:$E$1,0),FALSE))</f>
        <v/>
      </c>
      <c r="C189" s="49" t="str">
        <f>IFNA(VLOOKUP($A189,Quests!$A$2:$E1000,MATCH(C$1,Quests!$A$1:$E$1,0),FALSE))</f>
        <v/>
      </c>
      <c r="D189" s="49" t="str">
        <f>IFNA(VLOOKUP($A189,Quests!$A$2:$E1000,MATCH(D$1,Quests!$A$1:$E$1,0),FALSE))</f>
        <v/>
      </c>
      <c r="E189" s="49" t="str">
        <f>IFNA(VLOOKUP($A189,Quests!$A$2:$E1000,MATCH(E$1,Quests!$A$1:$E$1,0),FALSE))</f>
        <v/>
      </c>
      <c r="G189" s="120" t="b">
        <v>0</v>
      </c>
      <c r="H189" s="120" t="b">
        <v>0</v>
      </c>
      <c r="I189" s="120" t="b">
        <v>0</v>
      </c>
    </row>
    <row r="190">
      <c r="A190" s="49"/>
      <c r="B190" s="49" t="str">
        <f>IFNA(VLOOKUP($A190,Quests!$A$2:$E1000,MATCH(B$1,Quests!$A$1:$E$1,0),FALSE))</f>
        <v/>
      </c>
      <c r="C190" s="49" t="str">
        <f>IFNA(VLOOKUP($A190,Quests!$A$2:$E1000,MATCH(C$1,Quests!$A$1:$E$1,0),FALSE))</f>
        <v/>
      </c>
      <c r="D190" s="49" t="str">
        <f>IFNA(VLOOKUP($A190,Quests!$A$2:$E1000,MATCH(D$1,Quests!$A$1:$E$1,0),FALSE))</f>
        <v/>
      </c>
      <c r="E190" s="49" t="str">
        <f>IFNA(VLOOKUP($A190,Quests!$A$2:$E1000,MATCH(E$1,Quests!$A$1:$E$1,0),FALSE))</f>
        <v/>
      </c>
      <c r="G190" s="120" t="b">
        <v>0</v>
      </c>
      <c r="H190" s="120" t="b">
        <v>0</v>
      </c>
      <c r="I190" s="120" t="b">
        <v>0</v>
      </c>
    </row>
    <row r="191">
      <c r="A191" s="49"/>
      <c r="B191" s="49" t="str">
        <f>IFNA(VLOOKUP($A191,Quests!$A$2:$E1000,MATCH(B$1,Quests!$A$1:$E$1,0),FALSE))</f>
        <v/>
      </c>
      <c r="C191" s="49" t="str">
        <f>IFNA(VLOOKUP($A191,Quests!$A$2:$E1000,MATCH(C$1,Quests!$A$1:$E$1,0),FALSE))</f>
        <v/>
      </c>
      <c r="D191" s="49" t="str">
        <f>IFNA(VLOOKUP($A191,Quests!$A$2:$E1000,MATCH(D$1,Quests!$A$1:$E$1,0),FALSE))</f>
        <v/>
      </c>
      <c r="E191" s="49" t="str">
        <f>IFNA(VLOOKUP($A191,Quests!$A$2:$E1000,MATCH(E$1,Quests!$A$1:$E$1,0),FALSE))</f>
        <v/>
      </c>
      <c r="G191" s="120" t="b">
        <v>0</v>
      </c>
      <c r="H191" s="120" t="b">
        <v>0</v>
      </c>
      <c r="I191" s="120" t="b">
        <v>0</v>
      </c>
    </row>
    <row r="192">
      <c r="A192" s="49"/>
      <c r="B192" s="49" t="str">
        <f>IFNA(VLOOKUP($A192,Quests!$A$2:$E1000,MATCH(B$1,Quests!$A$1:$E$1,0),FALSE))</f>
        <v/>
      </c>
      <c r="C192" s="49" t="str">
        <f>IFNA(VLOOKUP($A192,Quests!$A$2:$E1000,MATCH(C$1,Quests!$A$1:$E$1,0),FALSE))</f>
        <v/>
      </c>
      <c r="D192" s="49" t="str">
        <f>IFNA(VLOOKUP($A192,Quests!$A$2:$E1000,MATCH(D$1,Quests!$A$1:$E$1,0),FALSE))</f>
        <v/>
      </c>
      <c r="E192" s="49" t="str">
        <f>IFNA(VLOOKUP($A192,Quests!$A$2:$E1000,MATCH(E$1,Quests!$A$1:$E$1,0),FALSE))</f>
        <v/>
      </c>
      <c r="G192" s="120" t="b">
        <v>0</v>
      </c>
      <c r="H192" s="120" t="b">
        <v>0</v>
      </c>
      <c r="I192" s="120" t="b">
        <v>0</v>
      </c>
    </row>
    <row r="193">
      <c r="A193" s="49"/>
      <c r="B193" s="49" t="str">
        <f>IFNA(VLOOKUP($A193,Quests!$A$2:$E1000,MATCH(B$1,Quests!$A$1:$E$1,0),FALSE))</f>
        <v/>
      </c>
      <c r="C193" s="49" t="str">
        <f>IFNA(VLOOKUP($A193,Quests!$A$2:$E1000,MATCH(C$1,Quests!$A$1:$E$1,0),FALSE))</f>
        <v/>
      </c>
      <c r="D193" s="49" t="str">
        <f>IFNA(VLOOKUP($A193,Quests!$A$2:$E1000,MATCH(D$1,Quests!$A$1:$E$1,0),FALSE))</f>
        <v/>
      </c>
      <c r="E193" s="49" t="str">
        <f>IFNA(VLOOKUP($A193,Quests!$A$2:$E1000,MATCH(E$1,Quests!$A$1:$E$1,0),FALSE))</f>
        <v/>
      </c>
      <c r="G193" s="120" t="b">
        <v>0</v>
      </c>
      <c r="H193" s="120" t="b">
        <v>0</v>
      </c>
      <c r="I193" s="120" t="b">
        <v>0</v>
      </c>
    </row>
    <row r="194">
      <c r="A194" s="49"/>
      <c r="B194" s="49" t="str">
        <f>IFNA(VLOOKUP($A194,Quests!$A$2:$E1000,MATCH(B$1,Quests!$A$1:$E$1,0),FALSE))</f>
        <v/>
      </c>
      <c r="C194" s="49" t="str">
        <f>IFNA(VLOOKUP($A194,Quests!$A$2:$E1000,MATCH(C$1,Quests!$A$1:$E$1,0),FALSE))</f>
        <v/>
      </c>
      <c r="D194" s="49" t="str">
        <f>IFNA(VLOOKUP($A194,Quests!$A$2:$E1000,MATCH(D$1,Quests!$A$1:$E$1,0),FALSE))</f>
        <v/>
      </c>
      <c r="E194" s="49" t="str">
        <f>IFNA(VLOOKUP($A194,Quests!$A$2:$E1000,MATCH(E$1,Quests!$A$1:$E$1,0),FALSE))</f>
        <v/>
      </c>
      <c r="G194" s="120" t="b">
        <v>0</v>
      </c>
      <c r="H194" s="120" t="b">
        <v>0</v>
      </c>
      <c r="I194" s="120" t="b">
        <v>0</v>
      </c>
    </row>
    <row r="195">
      <c r="A195" s="49"/>
      <c r="B195" s="49" t="str">
        <f>IFNA(VLOOKUP($A195,Quests!$A$2:$E1000,MATCH(B$1,Quests!$A$1:$E$1,0),FALSE))</f>
        <v/>
      </c>
      <c r="C195" s="49" t="str">
        <f>IFNA(VLOOKUP($A195,Quests!$A$2:$E1000,MATCH(C$1,Quests!$A$1:$E$1,0),FALSE))</f>
        <v/>
      </c>
      <c r="D195" s="49" t="str">
        <f>IFNA(VLOOKUP($A195,Quests!$A$2:$E1000,MATCH(D$1,Quests!$A$1:$E$1,0),FALSE))</f>
        <v/>
      </c>
      <c r="E195" s="49" t="str">
        <f>IFNA(VLOOKUP($A195,Quests!$A$2:$E1000,MATCH(E$1,Quests!$A$1:$E$1,0),FALSE))</f>
        <v/>
      </c>
      <c r="G195" s="120" t="b">
        <v>0</v>
      </c>
      <c r="H195" s="120" t="b">
        <v>0</v>
      </c>
      <c r="I195" s="120" t="b">
        <v>0</v>
      </c>
    </row>
    <row r="196">
      <c r="A196" s="49"/>
      <c r="B196" s="49" t="str">
        <f>IFNA(VLOOKUP($A196,Quests!$A$2:$E1000,MATCH(B$1,Quests!$A$1:$E$1,0),FALSE))</f>
        <v/>
      </c>
      <c r="C196" s="49" t="str">
        <f>IFNA(VLOOKUP($A196,Quests!$A$2:$E1000,MATCH(C$1,Quests!$A$1:$E$1,0),FALSE))</f>
        <v/>
      </c>
      <c r="D196" s="49" t="str">
        <f>IFNA(VLOOKUP($A196,Quests!$A$2:$E1000,MATCH(D$1,Quests!$A$1:$E$1,0),FALSE))</f>
        <v/>
      </c>
      <c r="E196" s="49" t="str">
        <f>IFNA(VLOOKUP($A196,Quests!$A$2:$E1000,MATCH(E$1,Quests!$A$1:$E$1,0),FALSE))</f>
        <v/>
      </c>
      <c r="G196" s="120" t="b">
        <v>0</v>
      </c>
      <c r="H196" s="120" t="b">
        <v>0</v>
      </c>
      <c r="I196" s="120" t="b">
        <v>0</v>
      </c>
    </row>
    <row r="197">
      <c r="A197" s="49"/>
      <c r="B197" s="49" t="str">
        <f>IFNA(VLOOKUP($A197,Quests!$A$2:$E1000,MATCH(B$1,Quests!$A$1:$E$1,0),FALSE))</f>
        <v/>
      </c>
      <c r="C197" s="49" t="str">
        <f>IFNA(VLOOKUP($A197,Quests!$A$2:$E1000,MATCH(C$1,Quests!$A$1:$E$1,0),FALSE))</f>
        <v/>
      </c>
      <c r="D197" s="49" t="str">
        <f>IFNA(VLOOKUP($A197,Quests!$A$2:$E1000,MATCH(D$1,Quests!$A$1:$E$1,0),FALSE))</f>
        <v/>
      </c>
      <c r="E197" s="49" t="str">
        <f>IFNA(VLOOKUP($A197,Quests!$A$2:$E1000,MATCH(E$1,Quests!$A$1:$E$1,0),FALSE))</f>
        <v/>
      </c>
      <c r="G197" s="120" t="b">
        <v>0</v>
      </c>
      <c r="H197" s="120" t="b">
        <v>0</v>
      </c>
      <c r="I197" s="120" t="b">
        <v>0</v>
      </c>
    </row>
    <row r="198">
      <c r="A198" s="49"/>
      <c r="B198" s="49" t="str">
        <f>IFNA(VLOOKUP($A198,Quests!$A$2:$E1000,MATCH(B$1,Quests!$A$1:$E$1,0),FALSE))</f>
        <v/>
      </c>
      <c r="C198" s="49" t="str">
        <f>IFNA(VLOOKUP($A198,Quests!$A$2:$E1000,MATCH(C$1,Quests!$A$1:$E$1,0),FALSE))</f>
        <v/>
      </c>
      <c r="D198" s="49" t="str">
        <f>IFNA(VLOOKUP($A198,Quests!$A$2:$E1000,MATCH(D$1,Quests!$A$1:$E$1,0),FALSE))</f>
        <v/>
      </c>
      <c r="E198" s="49" t="str">
        <f>IFNA(VLOOKUP($A198,Quests!$A$2:$E1000,MATCH(E$1,Quests!$A$1:$E$1,0),FALSE))</f>
        <v/>
      </c>
      <c r="G198" s="120" t="b">
        <v>0</v>
      </c>
      <c r="H198" s="120" t="b">
        <v>0</v>
      </c>
      <c r="I198" s="120" t="b">
        <v>0</v>
      </c>
    </row>
    <row r="199">
      <c r="A199" s="49"/>
      <c r="B199" s="49" t="str">
        <f>IFNA(VLOOKUP($A199,Quests!$A$2:$E1000,MATCH(B$1,Quests!$A$1:$E$1,0),FALSE))</f>
        <v/>
      </c>
      <c r="C199" s="49" t="str">
        <f>IFNA(VLOOKUP($A199,Quests!$A$2:$E1000,MATCH(C$1,Quests!$A$1:$E$1,0),FALSE))</f>
        <v/>
      </c>
      <c r="D199" s="49" t="str">
        <f>IFNA(VLOOKUP($A199,Quests!$A$2:$E1000,MATCH(D$1,Quests!$A$1:$E$1,0),FALSE))</f>
        <v/>
      </c>
      <c r="E199" s="49" t="str">
        <f>IFNA(VLOOKUP($A199,Quests!$A$2:$E1000,MATCH(E$1,Quests!$A$1:$E$1,0),FALSE))</f>
        <v/>
      </c>
      <c r="G199" s="120" t="b">
        <v>0</v>
      </c>
      <c r="H199" s="120" t="b">
        <v>0</v>
      </c>
      <c r="I199" s="120" t="b">
        <v>0</v>
      </c>
    </row>
    <row r="200">
      <c r="A200" s="49"/>
      <c r="B200" s="49" t="str">
        <f>IFNA(VLOOKUP($A200,Quests!$A$2:$E1000,MATCH(B$1,Quests!$A$1:$E$1,0),FALSE))</f>
        <v/>
      </c>
      <c r="C200" s="49" t="str">
        <f>IFNA(VLOOKUP($A200,Quests!$A$2:$E1000,MATCH(C$1,Quests!$A$1:$E$1,0),FALSE))</f>
        <v/>
      </c>
      <c r="D200" s="49" t="str">
        <f>IFNA(VLOOKUP($A200,Quests!$A$2:$E1000,MATCH(D$1,Quests!$A$1:$E$1,0),FALSE))</f>
        <v/>
      </c>
      <c r="E200" s="49" t="str">
        <f>IFNA(VLOOKUP($A200,Quests!$A$2:$E1000,MATCH(E$1,Quests!$A$1:$E$1,0),FALSE))</f>
        <v/>
      </c>
      <c r="G200" s="120" t="b">
        <v>0</v>
      </c>
      <c r="H200" s="120" t="b">
        <v>0</v>
      </c>
      <c r="I200" s="120" t="b">
        <v>0</v>
      </c>
    </row>
    <row r="201">
      <c r="A201" s="49"/>
      <c r="B201" s="49" t="str">
        <f>IFNA(VLOOKUP($A201,Quests!$A$2:$E1000,MATCH(B$1,Quests!$A$1:$E$1,0),FALSE))</f>
        <v/>
      </c>
      <c r="C201" s="49" t="str">
        <f>IFNA(VLOOKUP($A201,Quests!$A$2:$E1000,MATCH(C$1,Quests!$A$1:$E$1,0),FALSE))</f>
        <v/>
      </c>
      <c r="D201" s="49" t="str">
        <f>IFNA(VLOOKUP($A201,Quests!$A$2:$E1000,MATCH(D$1,Quests!$A$1:$E$1,0),FALSE))</f>
        <v/>
      </c>
      <c r="E201" s="49" t="str">
        <f>IFNA(VLOOKUP($A201,Quests!$A$2:$E1000,MATCH(E$1,Quests!$A$1:$E$1,0),FALSE))</f>
        <v/>
      </c>
      <c r="G201" s="120" t="b">
        <v>0</v>
      </c>
      <c r="H201" s="120" t="b">
        <v>0</v>
      </c>
      <c r="I201" s="120" t="b">
        <v>0</v>
      </c>
    </row>
    <row r="202">
      <c r="A202" s="49"/>
      <c r="B202" s="49" t="str">
        <f>IFNA(VLOOKUP($A202,Quests!$A$2:$E1000,MATCH(B$1,Quests!$A$1:$E$1,0),FALSE))</f>
        <v/>
      </c>
      <c r="C202" s="49" t="str">
        <f>IFNA(VLOOKUP($A202,Quests!$A$2:$E1000,MATCH(C$1,Quests!$A$1:$E$1,0),FALSE))</f>
        <v/>
      </c>
      <c r="D202" s="49" t="str">
        <f>IFNA(VLOOKUP($A202,Quests!$A$2:$E1000,MATCH(D$1,Quests!$A$1:$E$1,0),FALSE))</f>
        <v/>
      </c>
      <c r="E202" s="49" t="str">
        <f>IFNA(VLOOKUP($A202,Quests!$A$2:$E1000,MATCH(E$1,Quests!$A$1:$E$1,0),FALSE))</f>
        <v/>
      </c>
      <c r="G202" s="120" t="b">
        <v>0</v>
      </c>
      <c r="H202" s="120" t="b">
        <v>0</v>
      </c>
      <c r="I202" s="120" t="b">
        <v>0</v>
      </c>
    </row>
    <row r="203">
      <c r="A203" s="49"/>
      <c r="B203" s="49" t="str">
        <f>IFNA(VLOOKUP($A203,Quests!$A$2:$E1000,MATCH(B$1,Quests!$A$1:$E$1,0),FALSE))</f>
        <v/>
      </c>
      <c r="C203" s="49" t="str">
        <f>IFNA(VLOOKUP($A203,Quests!$A$2:$E1000,MATCH(C$1,Quests!$A$1:$E$1,0),FALSE))</f>
        <v/>
      </c>
      <c r="D203" s="49" t="str">
        <f>IFNA(VLOOKUP($A203,Quests!$A$2:$E1000,MATCH(D$1,Quests!$A$1:$E$1,0),FALSE))</f>
        <v/>
      </c>
      <c r="E203" s="49" t="str">
        <f>IFNA(VLOOKUP($A203,Quests!$A$2:$E1000,MATCH(E$1,Quests!$A$1:$E$1,0),FALSE))</f>
        <v/>
      </c>
      <c r="G203" s="120" t="b">
        <v>0</v>
      </c>
      <c r="H203" s="120" t="b">
        <v>0</v>
      </c>
      <c r="I203" s="120" t="b">
        <v>0</v>
      </c>
    </row>
    <row r="204">
      <c r="A204" s="49"/>
      <c r="B204" s="49" t="str">
        <f>IFNA(VLOOKUP($A204,Quests!$A$2:$E1000,MATCH(B$1,Quests!$A$1:$E$1,0),FALSE))</f>
        <v/>
      </c>
      <c r="C204" s="49" t="str">
        <f>IFNA(VLOOKUP($A204,Quests!$A$2:$E1000,MATCH(C$1,Quests!$A$1:$E$1,0),FALSE))</f>
        <v/>
      </c>
      <c r="D204" s="49" t="str">
        <f>IFNA(VLOOKUP($A204,Quests!$A$2:$E1000,MATCH(D$1,Quests!$A$1:$E$1,0),FALSE))</f>
        <v/>
      </c>
      <c r="E204" s="49" t="str">
        <f>IFNA(VLOOKUP($A204,Quests!$A$2:$E1000,MATCH(E$1,Quests!$A$1:$E$1,0),FALSE))</f>
        <v/>
      </c>
      <c r="G204" s="120" t="b">
        <v>0</v>
      </c>
      <c r="H204" s="120" t="b">
        <v>0</v>
      </c>
      <c r="I204" s="120" t="b">
        <v>0</v>
      </c>
    </row>
    <row r="205">
      <c r="A205" s="49"/>
      <c r="B205" s="49" t="str">
        <f>IFNA(VLOOKUP($A205,Quests!$A$2:$E1000,MATCH(B$1,Quests!$A$1:$E$1,0),FALSE))</f>
        <v/>
      </c>
      <c r="C205" s="49" t="str">
        <f>IFNA(VLOOKUP($A205,Quests!$A$2:$E1000,MATCH(C$1,Quests!$A$1:$E$1,0),FALSE))</f>
        <v/>
      </c>
      <c r="D205" s="49" t="str">
        <f>IFNA(VLOOKUP($A205,Quests!$A$2:$E1000,MATCH(D$1,Quests!$A$1:$E$1,0),FALSE))</f>
        <v/>
      </c>
      <c r="E205" s="49" t="str">
        <f>IFNA(VLOOKUP($A205,Quests!$A$2:$E1000,MATCH(E$1,Quests!$A$1:$E$1,0),FALSE))</f>
        <v/>
      </c>
      <c r="G205" s="120" t="b">
        <v>0</v>
      </c>
      <c r="H205" s="120" t="b">
        <v>0</v>
      </c>
      <c r="I205" s="120" t="b">
        <v>0</v>
      </c>
    </row>
    <row r="206">
      <c r="A206" s="49"/>
      <c r="B206" s="49" t="str">
        <f>IFNA(VLOOKUP($A206,Quests!$A$2:$E1000,MATCH(B$1,Quests!$A$1:$E$1,0),FALSE))</f>
        <v/>
      </c>
      <c r="C206" s="49" t="str">
        <f>IFNA(VLOOKUP($A206,Quests!$A$2:$E1000,MATCH(C$1,Quests!$A$1:$E$1,0),FALSE))</f>
        <v/>
      </c>
      <c r="D206" s="49" t="str">
        <f>IFNA(VLOOKUP($A206,Quests!$A$2:$E1000,MATCH(D$1,Quests!$A$1:$E$1,0),FALSE))</f>
        <v/>
      </c>
      <c r="E206" s="49" t="str">
        <f>IFNA(VLOOKUP($A206,Quests!$A$2:$E1000,MATCH(E$1,Quests!$A$1:$E$1,0),FALSE))</f>
        <v/>
      </c>
      <c r="G206" s="120" t="b">
        <v>0</v>
      </c>
      <c r="H206" s="120" t="b">
        <v>0</v>
      </c>
      <c r="I206" s="120" t="b">
        <v>0</v>
      </c>
    </row>
    <row r="207">
      <c r="A207" s="49"/>
      <c r="B207" s="49" t="str">
        <f>IFNA(VLOOKUP($A207,Quests!$A$2:$E1000,MATCH(B$1,Quests!$A$1:$E$1,0),FALSE))</f>
        <v/>
      </c>
      <c r="C207" s="49" t="str">
        <f>IFNA(VLOOKUP($A207,Quests!$A$2:$E1000,MATCH(C$1,Quests!$A$1:$E$1,0),FALSE))</f>
        <v/>
      </c>
      <c r="D207" s="49" t="str">
        <f>IFNA(VLOOKUP($A207,Quests!$A$2:$E1000,MATCH(D$1,Quests!$A$1:$E$1,0),FALSE))</f>
        <v/>
      </c>
      <c r="E207" s="49" t="str">
        <f>IFNA(VLOOKUP($A207,Quests!$A$2:$E1000,MATCH(E$1,Quests!$A$1:$E$1,0),FALSE))</f>
        <v/>
      </c>
      <c r="G207" s="120" t="b">
        <v>0</v>
      </c>
      <c r="H207" s="120" t="b">
        <v>0</v>
      </c>
      <c r="I207" s="120" t="b">
        <v>0</v>
      </c>
    </row>
    <row r="208">
      <c r="A208" s="49"/>
      <c r="B208" s="49" t="str">
        <f>IFNA(VLOOKUP($A208,Quests!$A$2:$E1000,MATCH(B$1,Quests!$A$1:$E$1,0),FALSE))</f>
        <v/>
      </c>
      <c r="C208" s="49" t="str">
        <f>IFNA(VLOOKUP($A208,Quests!$A$2:$E1000,MATCH(C$1,Quests!$A$1:$E$1,0),FALSE))</f>
        <v/>
      </c>
      <c r="D208" s="49" t="str">
        <f>IFNA(VLOOKUP($A208,Quests!$A$2:$E1000,MATCH(D$1,Quests!$A$1:$E$1,0),FALSE))</f>
        <v/>
      </c>
      <c r="E208" s="49" t="str">
        <f>IFNA(VLOOKUP($A208,Quests!$A$2:$E1000,MATCH(E$1,Quests!$A$1:$E$1,0),FALSE))</f>
        <v/>
      </c>
      <c r="G208" s="120" t="b">
        <v>0</v>
      </c>
      <c r="H208" s="120" t="b">
        <v>0</v>
      </c>
      <c r="I208" s="120" t="b">
        <v>0</v>
      </c>
    </row>
    <row r="209">
      <c r="A209" s="49"/>
      <c r="B209" s="49" t="str">
        <f>IFNA(VLOOKUP($A209,Quests!$A$2:$E1000,MATCH(B$1,Quests!$A$1:$E$1,0),FALSE))</f>
        <v/>
      </c>
      <c r="C209" s="49" t="str">
        <f>IFNA(VLOOKUP($A209,Quests!$A$2:$E1000,MATCH(C$1,Quests!$A$1:$E$1,0),FALSE))</f>
        <v/>
      </c>
      <c r="D209" s="49" t="str">
        <f>IFNA(VLOOKUP($A209,Quests!$A$2:$E1000,MATCH(D$1,Quests!$A$1:$E$1,0),FALSE))</f>
        <v/>
      </c>
      <c r="E209" s="49" t="str">
        <f>IFNA(VLOOKUP($A209,Quests!$A$2:$E1000,MATCH(E$1,Quests!$A$1:$E$1,0),FALSE))</f>
        <v/>
      </c>
      <c r="G209" s="120" t="b">
        <v>0</v>
      </c>
      <c r="H209" s="120" t="b">
        <v>0</v>
      </c>
      <c r="I209" s="120" t="b">
        <v>0</v>
      </c>
    </row>
    <row r="210">
      <c r="A210" s="49"/>
      <c r="B210" s="49" t="str">
        <f>IFNA(VLOOKUP($A210,Quests!$A$2:$E1000,MATCH(B$1,Quests!$A$1:$E$1,0),FALSE))</f>
        <v/>
      </c>
      <c r="C210" s="49" t="str">
        <f>IFNA(VLOOKUP($A210,Quests!$A$2:$E1000,MATCH(C$1,Quests!$A$1:$E$1,0),FALSE))</f>
        <v/>
      </c>
      <c r="D210" s="49" t="str">
        <f>IFNA(VLOOKUP($A210,Quests!$A$2:$E1000,MATCH(D$1,Quests!$A$1:$E$1,0),FALSE))</f>
        <v/>
      </c>
      <c r="E210" s="49" t="str">
        <f>IFNA(VLOOKUP($A210,Quests!$A$2:$E1000,MATCH(E$1,Quests!$A$1:$E$1,0),FALSE))</f>
        <v/>
      </c>
      <c r="G210" s="120" t="b">
        <v>0</v>
      </c>
      <c r="H210" s="120" t="b">
        <v>0</v>
      </c>
      <c r="I210" s="120" t="b">
        <v>0</v>
      </c>
    </row>
    <row r="211">
      <c r="A211" s="49"/>
      <c r="B211" s="49" t="str">
        <f>IFNA(VLOOKUP($A211,Quests!$A$2:$E1000,MATCH(B$1,Quests!$A$1:$E$1,0),FALSE))</f>
        <v/>
      </c>
      <c r="C211" s="49" t="str">
        <f>IFNA(VLOOKUP($A211,Quests!$A$2:$E1000,MATCH(C$1,Quests!$A$1:$E$1,0),FALSE))</f>
        <v/>
      </c>
      <c r="D211" s="49" t="str">
        <f>IFNA(VLOOKUP($A211,Quests!$A$2:$E1000,MATCH(D$1,Quests!$A$1:$E$1,0),FALSE))</f>
        <v/>
      </c>
      <c r="E211" s="49" t="str">
        <f>IFNA(VLOOKUP($A211,Quests!$A$2:$E1000,MATCH(E$1,Quests!$A$1:$E$1,0),FALSE))</f>
        <v/>
      </c>
      <c r="G211" s="120" t="b">
        <v>0</v>
      </c>
      <c r="H211" s="120" t="b">
        <v>0</v>
      </c>
      <c r="I211" s="120" t="b">
        <v>0</v>
      </c>
    </row>
    <row r="212">
      <c r="A212" s="49"/>
      <c r="B212" s="49" t="str">
        <f>IFNA(VLOOKUP($A212,Quests!$A$2:$E1000,MATCH(B$1,Quests!$A$1:$E$1,0),FALSE))</f>
        <v/>
      </c>
      <c r="C212" s="49" t="str">
        <f>IFNA(VLOOKUP($A212,Quests!$A$2:$E1000,MATCH(C$1,Quests!$A$1:$E$1,0),FALSE))</f>
        <v/>
      </c>
      <c r="D212" s="49" t="str">
        <f>IFNA(VLOOKUP($A212,Quests!$A$2:$E1000,MATCH(D$1,Quests!$A$1:$E$1,0),FALSE))</f>
        <v/>
      </c>
      <c r="E212" s="49" t="str">
        <f>IFNA(VLOOKUP($A212,Quests!$A$2:$E1000,MATCH(E$1,Quests!$A$1:$E$1,0),FALSE))</f>
        <v/>
      </c>
      <c r="G212" s="120" t="b">
        <v>0</v>
      </c>
      <c r="H212" s="120" t="b">
        <v>0</v>
      </c>
      <c r="I212" s="120" t="b">
        <v>0</v>
      </c>
    </row>
    <row r="213">
      <c r="A213" s="49"/>
      <c r="B213" s="49" t="str">
        <f>IFNA(VLOOKUP($A213,Quests!$A$2:$E1000,MATCH(B$1,Quests!$A$1:$E$1,0),FALSE))</f>
        <v/>
      </c>
      <c r="C213" s="49" t="str">
        <f>IFNA(VLOOKUP($A213,Quests!$A$2:$E1000,MATCH(C$1,Quests!$A$1:$E$1,0),FALSE))</f>
        <v/>
      </c>
      <c r="D213" s="49" t="str">
        <f>IFNA(VLOOKUP($A213,Quests!$A$2:$E1000,MATCH(D$1,Quests!$A$1:$E$1,0),FALSE))</f>
        <v/>
      </c>
      <c r="E213" s="49" t="str">
        <f>IFNA(VLOOKUP($A213,Quests!$A$2:$E1000,MATCH(E$1,Quests!$A$1:$E$1,0),FALSE))</f>
        <v/>
      </c>
      <c r="G213" s="120" t="b">
        <v>0</v>
      </c>
      <c r="H213" s="120" t="b">
        <v>0</v>
      </c>
      <c r="I213" s="120" t="b">
        <v>0</v>
      </c>
    </row>
    <row r="214">
      <c r="A214" s="49"/>
      <c r="B214" s="49" t="str">
        <f>IFNA(VLOOKUP($A214,Quests!$A$2:$E1000,MATCH(B$1,Quests!$A$1:$E$1,0),FALSE))</f>
        <v/>
      </c>
      <c r="C214" s="49" t="str">
        <f>IFNA(VLOOKUP($A214,Quests!$A$2:$E1000,MATCH(C$1,Quests!$A$1:$E$1,0),FALSE))</f>
        <v/>
      </c>
      <c r="D214" s="49" t="str">
        <f>IFNA(VLOOKUP($A214,Quests!$A$2:$E1000,MATCH(D$1,Quests!$A$1:$E$1,0),FALSE))</f>
        <v/>
      </c>
      <c r="E214" s="49" t="str">
        <f>IFNA(VLOOKUP($A214,Quests!$A$2:$E1000,MATCH(E$1,Quests!$A$1:$E$1,0),FALSE))</f>
        <v/>
      </c>
      <c r="G214" s="120" t="b">
        <v>0</v>
      </c>
      <c r="H214" s="120" t="b">
        <v>0</v>
      </c>
      <c r="I214" s="120" t="b">
        <v>0</v>
      </c>
    </row>
    <row r="215">
      <c r="A215" s="49"/>
      <c r="B215" s="49" t="str">
        <f>IFNA(VLOOKUP($A215,Quests!$A$2:$E1000,MATCH(B$1,Quests!$A$1:$E$1,0),FALSE))</f>
        <v/>
      </c>
      <c r="C215" s="49" t="str">
        <f>IFNA(VLOOKUP($A215,Quests!$A$2:$E1000,MATCH(C$1,Quests!$A$1:$E$1,0),FALSE))</f>
        <v/>
      </c>
      <c r="D215" s="49" t="str">
        <f>IFNA(VLOOKUP($A215,Quests!$A$2:$E1000,MATCH(D$1,Quests!$A$1:$E$1,0),FALSE))</f>
        <v/>
      </c>
      <c r="E215" s="49" t="str">
        <f>IFNA(VLOOKUP($A215,Quests!$A$2:$E1000,MATCH(E$1,Quests!$A$1:$E$1,0),FALSE))</f>
        <v/>
      </c>
      <c r="G215" s="120" t="b">
        <v>0</v>
      </c>
      <c r="H215" s="120" t="b">
        <v>0</v>
      </c>
      <c r="I215" s="120" t="b">
        <v>0</v>
      </c>
    </row>
    <row r="216">
      <c r="A216" s="49"/>
      <c r="B216" s="49" t="str">
        <f>IFNA(VLOOKUP($A216,Quests!$A$2:$E1000,MATCH(B$1,Quests!$A$1:$E$1,0),FALSE))</f>
        <v/>
      </c>
      <c r="C216" s="49" t="str">
        <f>IFNA(VLOOKUP($A216,Quests!$A$2:$E1000,MATCH(C$1,Quests!$A$1:$E$1,0),FALSE))</f>
        <v/>
      </c>
      <c r="D216" s="49" t="str">
        <f>IFNA(VLOOKUP($A216,Quests!$A$2:$E1000,MATCH(D$1,Quests!$A$1:$E$1,0),FALSE))</f>
        <v/>
      </c>
      <c r="E216" s="49" t="str">
        <f>IFNA(VLOOKUP($A216,Quests!$A$2:$E1000,MATCH(E$1,Quests!$A$1:$E$1,0),FALSE))</f>
        <v/>
      </c>
      <c r="G216" s="120" t="b">
        <v>0</v>
      </c>
      <c r="H216" s="120" t="b">
        <v>0</v>
      </c>
      <c r="I216" s="120" t="b">
        <v>0</v>
      </c>
    </row>
    <row r="217">
      <c r="A217" s="49"/>
      <c r="B217" s="49" t="str">
        <f>IFNA(VLOOKUP($A217,Quests!$A$2:$E1000,MATCH(B$1,Quests!$A$1:$E$1,0),FALSE))</f>
        <v/>
      </c>
      <c r="C217" s="49" t="str">
        <f>IFNA(VLOOKUP($A217,Quests!$A$2:$E1000,MATCH(C$1,Quests!$A$1:$E$1,0),FALSE))</f>
        <v/>
      </c>
      <c r="D217" s="49" t="str">
        <f>IFNA(VLOOKUP($A217,Quests!$A$2:$E1000,MATCH(D$1,Quests!$A$1:$E$1,0),FALSE))</f>
        <v/>
      </c>
      <c r="E217" s="49" t="str">
        <f>IFNA(VLOOKUP($A217,Quests!$A$2:$E1000,MATCH(E$1,Quests!$A$1:$E$1,0),FALSE))</f>
        <v/>
      </c>
      <c r="G217" s="120" t="b">
        <v>0</v>
      </c>
      <c r="H217" s="120" t="b">
        <v>0</v>
      </c>
      <c r="I217" s="120" t="b">
        <v>0</v>
      </c>
    </row>
    <row r="218">
      <c r="A218" s="49"/>
      <c r="B218" s="49" t="str">
        <f>IFNA(VLOOKUP($A218,Quests!$A$2:$E1000,MATCH(B$1,Quests!$A$1:$E$1,0),FALSE))</f>
        <v/>
      </c>
      <c r="C218" s="49" t="str">
        <f>IFNA(VLOOKUP($A218,Quests!$A$2:$E1000,MATCH(C$1,Quests!$A$1:$E$1,0),FALSE))</f>
        <v/>
      </c>
      <c r="D218" s="49" t="str">
        <f>IFNA(VLOOKUP($A218,Quests!$A$2:$E1000,MATCH(D$1,Quests!$A$1:$E$1,0),FALSE))</f>
        <v/>
      </c>
      <c r="E218" s="49" t="str">
        <f>IFNA(VLOOKUP($A218,Quests!$A$2:$E1000,MATCH(E$1,Quests!$A$1:$E$1,0),FALSE))</f>
        <v/>
      </c>
      <c r="G218" s="120" t="b">
        <v>0</v>
      </c>
      <c r="H218" s="120" t="b">
        <v>0</v>
      </c>
      <c r="I218" s="120" t="b">
        <v>0</v>
      </c>
    </row>
    <row r="219">
      <c r="A219" s="49"/>
      <c r="B219" s="49" t="str">
        <f>IFNA(VLOOKUP($A219,Quests!$A$2:$E1000,MATCH(B$1,Quests!$A$1:$E$1,0),FALSE))</f>
        <v/>
      </c>
      <c r="C219" s="49" t="str">
        <f>IFNA(VLOOKUP($A219,Quests!$A$2:$E1000,MATCH(C$1,Quests!$A$1:$E$1,0),FALSE))</f>
        <v/>
      </c>
      <c r="D219" s="49" t="str">
        <f>IFNA(VLOOKUP($A219,Quests!$A$2:$E1000,MATCH(D$1,Quests!$A$1:$E$1,0),FALSE))</f>
        <v/>
      </c>
      <c r="E219" s="49" t="str">
        <f>IFNA(VLOOKUP($A219,Quests!$A$2:$E1000,MATCH(E$1,Quests!$A$1:$E$1,0),FALSE))</f>
        <v/>
      </c>
      <c r="G219" s="120" t="b">
        <v>0</v>
      </c>
      <c r="H219" s="120" t="b">
        <v>0</v>
      </c>
      <c r="I219" s="120" t="b">
        <v>0</v>
      </c>
    </row>
    <row r="220">
      <c r="A220" s="49"/>
      <c r="B220" s="49" t="str">
        <f>IFNA(VLOOKUP($A220,Quests!$A$2:$E1000,MATCH(B$1,Quests!$A$1:$E$1,0),FALSE))</f>
        <v/>
      </c>
      <c r="C220" s="49" t="str">
        <f>IFNA(VLOOKUP($A220,Quests!$A$2:$E1000,MATCH(C$1,Quests!$A$1:$E$1,0),FALSE))</f>
        <v/>
      </c>
      <c r="D220" s="49" t="str">
        <f>IFNA(VLOOKUP($A220,Quests!$A$2:$E1000,MATCH(D$1,Quests!$A$1:$E$1,0),FALSE))</f>
        <v/>
      </c>
      <c r="E220" s="49" t="str">
        <f>IFNA(VLOOKUP($A220,Quests!$A$2:$E1000,MATCH(E$1,Quests!$A$1:$E$1,0),FALSE))</f>
        <v/>
      </c>
      <c r="G220" s="120" t="b">
        <v>0</v>
      </c>
      <c r="H220" s="120" t="b">
        <v>0</v>
      </c>
      <c r="I220" s="120" t="b">
        <v>0</v>
      </c>
    </row>
    <row r="221">
      <c r="A221" s="49"/>
      <c r="B221" s="49" t="str">
        <f>IFNA(VLOOKUP($A221,Quests!$A$2:$E1000,MATCH(B$1,Quests!$A$1:$E$1,0),FALSE))</f>
        <v/>
      </c>
      <c r="C221" s="49" t="str">
        <f>IFNA(VLOOKUP($A221,Quests!$A$2:$E1000,MATCH(C$1,Quests!$A$1:$E$1,0),FALSE))</f>
        <v/>
      </c>
      <c r="D221" s="49" t="str">
        <f>IFNA(VLOOKUP($A221,Quests!$A$2:$E1000,MATCH(D$1,Quests!$A$1:$E$1,0),FALSE))</f>
        <v/>
      </c>
      <c r="E221" s="49" t="str">
        <f>IFNA(VLOOKUP($A221,Quests!$A$2:$E1000,MATCH(E$1,Quests!$A$1:$E$1,0),FALSE))</f>
        <v/>
      </c>
      <c r="G221" s="120" t="b">
        <v>0</v>
      </c>
      <c r="H221" s="120" t="b">
        <v>0</v>
      </c>
      <c r="I221" s="120" t="b">
        <v>0</v>
      </c>
    </row>
    <row r="222">
      <c r="A222" s="49"/>
      <c r="B222" s="49" t="str">
        <f>IFNA(VLOOKUP($A222,Quests!$A$2:$E1000,MATCH(B$1,Quests!$A$1:$E$1,0),FALSE))</f>
        <v/>
      </c>
      <c r="C222" s="49" t="str">
        <f>IFNA(VLOOKUP($A222,Quests!$A$2:$E1000,MATCH(C$1,Quests!$A$1:$E$1,0),FALSE))</f>
        <v/>
      </c>
      <c r="D222" s="49" t="str">
        <f>IFNA(VLOOKUP($A222,Quests!$A$2:$E1000,MATCH(D$1,Quests!$A$1:$E$1,0),FALSE))</f>
        <v/>
      </c>
      <c r="E222" s="49" t="str">
        <f>IFNA(VLOOKUP($A222,Quests!$A$2:$E1000,MATCH(E$1,Quests!$A$1:$E$1,0),FALSE))</f>
        <v/>
      </c>
      <c r="G222" s="120" t="b">
        <v>0</v>
      </c>
      <c r="H222" s="120" t="b">
        <v>0</v>
      </c>
      <c r="I222" s="120" t="b">
        <v>0</v>
      </c>
    </row>
    <row r="223">
      <c r="A223" s="49"/>
      <c r="B223" s="49" t="str">
        <f>IFNA(VLOOKUP($A223,Quests!$A$2:$E1000,MATCH(B$1,Quests!$A$1:$E$1,0),FALSE))</f>
        <v/>
      </c>
      <c r="C223" s="49" t="str">
        <f>IFNA(VLOOKUP($A223,Quests!$A$2:$E1000,MATCH(C$1,Quests!$A$1:$E$1,0),FALSE))</f>
        <v/>
      </c>
      <c r="D223" s="49" t="str">
        <f>IFNA(VLOOKUP($A223,Quests!$A$2:$E1000,MATCH(D$1,Quests!$A$1:$E$1,0),FALSE))</f>
        <v/>
      </c>
      <c r="E223" s="49" t="str">
        <f>IFNA(VLOOKUP($A223,Quests!$A$2:$E1000,MATCH(E$1,Quests!$A$1:$E$1,0),FALSE))</f>
        <v/>
      </c>
      <c r="G223" s="120" t="b">
        <v>0</v>
      </c>
      <c r="H223" s="120" t="b">
        <v>0</v>
      </c>
      <c r="I223" s="120" t="b">
        <v>0</v>
      </c>
    </row>
    <row r="224">
      <c r="A224" s="49"/>
      <c r="B224" s="49" t="str">
        <f>IFNA(VLOOKUP($A224,Quests!$A$2:$E1000,MATCH(B$1,Quests!$A$1:$E$1,0),FALSE))</f>
        <v/>
      </c>
      <c r="C224" s="49" t="str">
        <f>IFNA(VLOOKUP($A224,Quests!$A$2:$E1000,MATCH(C$1,Quests!$A$1:$E$1,0),FALSE))</f>
        <v/>
      </c>
      <c r="D224" s="49" t="str">
        <f>IFNA(VLOOKUP($A224,Quests!$A$2:$E1000,MATCH(D$1,Quests!$A$1:$E$1,0),FALSE))</f>
        <v/>
      </c>
      <c r="E224" s="49" t="str">
        <f>IFNA(VLOOKUP($A224,Quests!$A$2:$E1000,MATCH(E$1,Quests!$A$1:$E$1,0),FALSE))</f>
        <v/>
      </c>
      <c r="G224" s="120" t="b">
        <v>0</v>
      </c>
      <c r="H224" s="120" t="b">
        <v>0</v>
      </c>
      <c r="I224" s="120" t="b">
        <v>0</v>
      </c>
    </row>
    <row r="225">
      <c r="A225" s="49"/>
      <c r="B225" s="49" t="str">
        <f>IFNA(VLOOKUP($A225,Quests!$A$2:$E1000,MATCH(B$1,Quests!$A$1:$E$1,0),FALSE))</f>
        <v/>
      </c>
      <c r="C225" s="49" t="str">
        <f>IFNA(VLOOKUP($A225,Quests!$A$2:$E1000,MATCH(C$1,Quests!$A$1:$E$1,0),FALSE))</f>
        <v/>
      </c>
      <c r="D225" s="49" t="str">
        <f>IFNA(VLOOKUP($A225,Quests!$A$2:$E1000,MATCH(D$1,Quests!$A$1:$E$1,0),FALSE))</f>
        <v/>
      </c>
      <c r="E225" s="49" t="str">
        <f>IFNA(VLOOKUP($A225,Quests!$A$2:$E1000,MATCH(E$1,Quests!$A$1:$E$1,0),FALSE))</f>
        <v/>
      </c>
      <c r="G225" s="120" t="b">
        <v>0</v>
      </c>
      <c r="H225" s="120" t="b">
        <v>0</v>
      </c>
      <c r="I225" s="120" t="b">
        <v>0</v>
      </c>
    </row>
    <row r="226">
      <c r="A226" s="49"/>
      <c r="B226" s="49" t="str">
        <f>IFNA(VLOOKUP($A226,Quests!$A$2:$E1000,MATCH(B$1,Quests!$A$1:$E$1,0),FALSE))</f>
        <v/>
      </c>
      <c r="C226" s="49" t="str">
        <f>IFNA(VLOOKUP($A226,Quests!$A$2:$E1000,MATCH(C$1,Quests!$A$1:$E$1,0),FALSE))</f>
        <v/>
      </c>
      <c r="D226" s="49" t="str">
        <f>IFNA(VLOOKUP($A226,Quests!$A$2:$E1000,MATCH(D$1,Quests!$A$1:$E$1,0),FALSE))</f>
        <v/>
      </c>
      <c r="E226" s="49" t="str">
        <f>IFNA(VLOOKUP($A226,Quests!$A$2:$E1000,MATCH(E$1,Quests!$A$1:$E$1,0),FALSE))</f>
        <v/>
      </c>
      <c r="G226" s="120" t="b">
        <v>0</v>
      </c>
      <c r="H226" s="120" t="b">
        <v>0</v>
      </c>
      <c r="I226" s="120" t="b">
        <v>0</v>
      </c>
    </row>
    <row r="227">
      <c r="A227" s="49"/>
      <c r="B227" s="49" t="str">
        <f>IFNA(VLOOKUP($A227,Quests!$A$2:$E1000,MATCH(B$1,Quests!$A$1:$E$1,0),FALSE))</f>
        <v/>
      </c>
      <c r="C227" s="49" t="str">
        <f>IFNA(VLOOKUP($A227,Quests!$A$2:$E1000,MATCH(C$1,Quests!$A$1:$E$1,0),FALSE))</f>
        <v/>
      </c>
      <c r="D227" s="49" t="str">
        <f>IFNA(VLOOKUP($A227,Quests!$A$2:$E1000,MATCH(D$1,Quests!$A$1:$E$1,0),FALSE))</f>
        <v/>
      </c>
      <c r="E227" s="49" t="str">
        <f>IFNA(VLOOKUP($A227,Quests!$A$2:$E1000,MATCH(E$1,Quests!$A$1:$E$1,0),FALSE))</f>
        <v/>
      </c>
      <c r="G227" s="120" t="b">
        <v>0</v>
      </c>
      <c r="H227" s="120" t="b">
        <v>0</v>
      </c>
      <c r="I227" s="120" t="b">
        <v>0</v>
      </c>
    </row>
    <row r="228">
      <c r="A228" s="49"/>
      <c r="B228" s="49" t="str">
        <f>IFNA(VLOOKUP($A228,Quests!$A$2:$E1000,MATCH(B$1,Quests!$A$1:$E$1,0),FALSE))</f>
        <v/>
      </c>
      <c r="C228" s="49" t="str">
        <f>IFNA(VLOOKUP($A228,Quests!$A$2:$E1000,MATCH(C$1,Quests!$A$1:$E$1,0),FALSE))</f>
        <v/>
      </c>
      <c r="D228" s="49" t="str">
        <f>IFNA(VLOOKUP($A228,Quests!$A$2:$E1000,MATCH(D$1,Quests!$A$1:$E$1,0),FALSE))</f>
        <v/>
      </c>
      <c r="E228" s="49" t="str">
        <f>IFNA(VLOOKUP($A228,Quests!$A$2:$E1000,MATCH(E$1,Quests!$A$1:$E$1,0),FALSE))</f>
        <v/>
      </c>
      <c r="G228" s="120" t="b">
        <v>0</v>
      </c>
      <c r="H228" s="120" t="b">
        <v>0</v>
      </c>
      <c r="I228" s="120" t="b">
        <v>0</v>
      </c>
    </row>
    <row r="229">
      <c r="A229" s="49"/>
      <c r="B229" s="49" t="str">
        <f>IFNA(VLOOKUP($A229,Quests!$A$2:$E1000,MATCH(B$1,Quests!$A$1:$E$1,0),FALSE))</f>
        <v/>
      </c>
      <c r="C229" s="49" t="str">
        <f>IFNA(VLOOKUP($A229,Quests!$A$2:$E1000,MATCH(C$1,Quests!$A$1:$E$1,0),FALSE))</f>
        <v/>
      </c>
      <c r="D229" s="49" t="str">
        <f>IFNA(VLOOKUP($A229,Quests!$A$2:$E1000,MATCH(D$1,Quests!$A$1:$E$1,0),FALSE))</f>
        <v/>
      </c>
      <c r="E229" s="49" t="str">
        <f>IFNA(VLOOKUP($A229,Quests!$A$2:$E1000,MATCH(E$1,Quests!$A$1:$E$1,0),FALSE))</f>
        <v/>
      </c>
      <c r="G229" s="120" t="b">
        <v>0</v>
      </c>
      <c r="H229" s="120" t="b">
        <v>0</v>
      </c>
      <c r="I229" s="120" t="b">
        <v>0</v>
      </c>
    </row>
    <row r="230">
      <c r="G230" s="44"/>
      <c r="H230" s="44"/>
      <c r="I230" s="44"/>
    </row>
    <row r="231">
      <c r="G231" s="44"/>
      <c r="H231" s="44"/>
      <c r="I231" s="44"/>
    </row>
    <row r="232">
      <c r="G232" s="44"/>
      <c r="H232" s="44"/>
      <c r="I232" s="44"/>
    </row>
    <row r="233">
      <c r="G233" s="44"/>
      <c r="H233" s="44"/>
      <c r="I233" s="44"/>
    </row>
    <row r="234">
      <c r="G234" s="44"/>
      <c r="H234" s="44"/>
      <c r="I234" s="44"/>
    </row>
    <row r="235">
      <c r="G235" s="44"/>
      <c r="H235" s="44"/>
      <c r="I235" s="44"/>
    </row>
    <row r="236">
      <c r="G236" s="44"/>
      <c r="H236" s="44"/>
      <c r="I236" s="44"/>
    </row>
    <row r="237">
      <c r="G237" s="44"/>
      <c r="H237" s="44"/>
      <c r="I237" s="44"/>
    </row>
    <row r="238">
      <c r="G238" s="44"/>
      <c r="H238" s="44"/>
      <c r="I238" s="44"/>
    </row>
    <row r="239">
      <c r="G239" s="44"/>
      <c r="H239" s="44"/>
      <c r="I239" s="44"/>
    </row>
    <row r="240">
      <c r="G240" s="44"/>
      <c r="H240" s="44"/>
      <c r="I240" s="44"/>
    </row>
    <row r="241">
      <c r="G241" s="44"/>
      <c r="H241" s="44"/>
      <c r="I241" s="44"/>
    </row>
    <row r="242">
      <c r="G242" s="44"/>
      <c r="H242" s="44"/>
      <c r="I242" s="44"/>
    </row>
    <row r="243">
      <c r="G243" s="44"/>
      <c r="H243" s="44"/>
      <c r="I243" s="44"/>
    </row>
    <row r="244">
      <c r="G244" s="44"/>
      <c r="H244" s="44"/>
      <c r="I244" s="44"/>
    </row>
    <row r="245">
      <c r="G245" s="44"/>
      <c r="H245" s="44"/>
      <c r="I245" s="44"/>
    </row>
    <row r="246">
      <c r="G246" s="44"/>
      <c r="H246" s="44"/>
      <c r="I246" s="44"/>
    </row>
    <row r="247">
      <c r="G247" s="44"/>
      <c r="H247" s="44"/>
      <c r="I247" s="44"/>
    </row>
    <row r="248">
      <c r="G248" s="44"/>
      <c r="H248" s="44"/>
      <c r="I248" s="44"/>
    </row>
    <row r="249">
      <c r="G249" s="44"/>
      <c r="H249" s="44"/>
      <c r="I249" s="44"/>
    </row>
    <row r="250">
      <c r="G250" s="44"/>
      <c r="H250" s="44"/>
      <c r="I250" s="44"/>
    </row>
    <row r="251">
      <c r="G251" s="44"/>
      <c r="H251" s="44"/>
      <c r="I251" s="44"/>
    </row>
    <row r="252">
      <c r="G252" s="44"/>
      <c r="H252" s="44"/>
      <c r="I252" s="44"/>
    </row>
    <row r="253">
      <c r="G253" s="44"/>
      <c r="H253" s="44"/>
      <c r="I253" s="44"/>
    </row>
    <row r="254">
      <c r="G254" s="44"/>
      <c r="H254" s="44"/>
      <c r="I254" s="44"/>
    </row>
    <row r="255">
      <c r="G255" s="44"/>
      <c r="H255" s="44"/>
      <c r="I255" s="44"/>
    </row>
    <row r="256">
      <c r="G256" s="44"/>
      <c r="H256" s="44"/>
      <c r="I256" s="44"/>
    </row>
    <row r="257">
      <c r="G257" s="44"/>
      <c r="H257" s="44"/>
      <c r="I257" s="44"/>
    </row>
    <row r="258">
      <c r="G258" s="44"/>
      <c r="H258" s="44"/>
      <c r="I258" s="44"/>
    </row>
    <row r="259">
      <c r="G259" s="44"/>
      <c r="H259" s="44"/>
      <c r="I259" s="44"/>
    </row>
    <row r="260">
      <c r="G260" s="44"/>
      <c r="H260" s="44"/>
      <c r="I260" s="44"/>
    </row>
    <row r="261">
      <c r="G261" s="44"/>
      <c r="H261" s="44"/>
      <c r="I261" s="44"/>
    </row>
    <row r="262">
      <c r="G262" s="44"/>
      <c r="H262" s="44"/>
      <c r="I262" s="44"/>
    </row>
    <row r="263">
      <c r="G263" s="44"/>
      <c r="H263" s="44"/>
      <c r="I263" s="44"/>
    </row>
    <row r="264">
      <c r="G264" s="44"/>
      <c r="H264" s="44"/>
      <c r="I264" s="44"/>
    </row>
    <row r="265">
      <c r="G265" s="44"/>
      <c r="H265" s="44"/>
      <c r="I265" s="44"/>
    </row>
    <row r="266">
      <c r="G266" s="44"/>
      <c r="H266" s="44"/>
      <c r="I266" s="44"/>
    </row>
    <row r="267">
      <c r="G267" s="44"/>
      <c r="H267" s="44"/>
      <c r="I267" s="44"/>
    </row>
    <row r="268">
      <c r="G268" s="44"/>
      <c r="H268" s="44"/>
      <c r="I268" s="44"/>
    </row>
    <row r="269">
      <c r="G269" s="44"/>
      <c r="H269" s="44"/>
      <c r="I269" s="44"/>
    </row>
    <row r="270">
      <c r="G270" s="44"/>
      <c r="H270" s="44"/>
      <c r="I270" s="44"/>
    </row>
    <row r="271">
      <c r="G271" s="44"/>
      <c r="H271" s="44"/>
      <c r="I271" s="44"/>
    </row>
    <row r="272">
      <c r="G272" s="44"/>
      <c r="H272" s="44"/>
      <c r="I272" s="44"/>
    </row>
    <row r="273">
      <c r="G273" s="44"/>
      <c r="H273" s="44"/>
      <c r="I273" s="44"/>
    </row>
    <row r="274">
      <c r="G274" s="44"/>
      <c r="H274" s="44"/>
      <c r="I274" s="44"/>
    </row>
    <row r="275">
      <c r="G275" s="44"/>
      <c r="H275" s="44"/>
      <c r="I275" s="44"/>
    </row>
    <row r="276">
      <c r="G276" s="44"/>
      <c r="H276" s="44"/>
      <c r="I276" s="44"/>
    </row>
    <row r="277">
      <c r="G277" s="44"/>
      <c r="H277" s="44"/>
      <c r="I277" s="44"/>
    </row>
    <row r="278">
      <c r="G278" s="44"/>
      <c r="H278" s="44"/>
      <c r="I278" s="44"/>
    </row>
    <row r="279">
      <c r="G279" s="44"/>
      <c r="H279" s="44"/>
      <c r="I279" s="44"/>
    </row>
    <row r="280">
      <c r="G280" s="44"/>
      <c r="H280" s="44"/>
      <c r="I280" s="44"/>
    </row>
    <row r="281">
      <c r="G281" s="44"/>
      <c r="H281" s="44"/>
      <c r="I281" s="44"/>
    </row>
    <row r="282">
      <c r="G282" s="44"/>
      <c r="H282" s="44"/>
      <c r="I282" s="44"/>
    </row>
    <row r="283">
      <c r="G283" s="44"/>
      <c r="H283" s="44"/>
      <c r="I283" s="44"/>
    </row>
    <row r="284">
      <c r="G284" s="44"/>
      <c r="H284" s="44"/>
      <c r="I284" s="44"/>
    </row>
    <row r="285">
      <c r="G285" s="44"/>
      <c r="H285" s="44"/>
      <c r="I285" s="44"/>
    </row>
    <row r="286">
      <c r="G286" s="44"/>
      <c r="H286" s="44"/>
      <c r="I286" s="44"/>
    </row>
    <row r="287">
      <c r="G287" s="44"/>
      <c r="H287" s="44"/>
      <c r="I287" s="44"/>
    </row>
    <row r="288">
      <c r="G288" s="44"/>
      <c r="H288" s="44"/>
      <c r="I288" s="44"/>
    </row>
    <row r="289">
      <c r="G289" s="44"/>
      <c r="H289" s="44"/>
      <c r="I289" s="44"/>
    </row>
    <row r="290">
      <c r="G290" s="44"/>
      <c r="H290" s="44"/>
      <c r="I290" s="44"/>
    </row>
    <row r="291">
      <c r="G291" s="44"/>
      <c r="H291" s="44"/>
      <c r="I291" s="44"/>
    </row>
    <row r="292">
      <c r="G292" s="44"/>
      <c r="H292" s="44"/>
      <c r="I292" s="44"/>
    </row>
    <row r="293">
      <c r="G293" s="44"/>
      <c r="H293" s="44"/>
      <c r="I293" s="44"/>
    </row>
    <row r="294">
      <c r="G294" s="44"/>
      <c r="H294" s="44"/>
      <c r="I294" s="44"/>
    </row>
    <row r="295">
      <c r="G295" s="44"/>
      <c r="H295" s="44"/>
      <c r="I295" s="44"/>
    </row>
    <row r="296">
      <c r="G296" s="44"/>
      <c r="H296" s="44"/>
      <c r="I296" s="44"/>
    </row>
    <row r="297">
      <c r="G297" s="44"/>
      <c r="H297" s="44"/>
      <c r="I297" s="44"/>
    </row>
    <row r="298">
      <c r="G298" s="44"/>
      <c r="H298" s="44"/>
      <c r="I298" s="44"/>
    </row>
    <row r="299">
      <c r="G299" s="44"/>
      <c r="H299" s="44"/>
      <c r="I299" s="44"/>
    </row>
    <row r="300">
      <c r="G300" s="44"/>
      <c r="H300" s="44"/>
      <c r="I300" s="44"/>
    </row>
    <row r="301">
      <c r="G301" s="44"/>
      <c r="H301" s="44"/>
      <c r="I301" s="44"/>
    </row>
    <row r="302">
      <c r="G302" s="44"/>
      <c r="H302" s="44"/>
      <c r="I302" s="44"/>
    </row>
    <row r="303">
      <c r="G303" s="44"/>
      <c r="H303" s="44"/>
      <c r="I303" s="44"/>
    </row>
    <row r="304">
      <c r="G304" s="44"/>
      <c r="H304" s="44"/>
      <c r="I304" s="44"/>
    </row>
    <row r="305">
      <c r="G305" s="44"/>
      <c r="H305" s="44"/>
      <c r="I305" s="44"/>
    </row>
    <row r="306">
      <c r="G306" s="44"/>
      <c r="H306" s="44"/>
      <c r="I306" s="44"/>
    </row>
    <row r="307">
      <c r="G307" s="44"/>
      <c r="H307" s="44"/>
      <c r="I307" s="44"/>
    </row>
    <row r="308">
      <c r="G308" s="44"/>
      <c r="H308" s="44"/>
      <c r="I308" s="44"/>
    </row>
    <row r="309">
      <c r="G309" s="44"/>
      <c r="H309" s="44"/>
      <c r="I309" s="44"/>
    </row>
    <row r="310">
      <c r="G310" s="44"/>
      <c r="H310" s="44"/>
      <c r="I310" s="44"/>
    </row>
    <row r="311">
      <c r="G311" s="44"/>
      <c r="H311" s="44"/>
      <c r="I311" s="44"/>
    </row>
    <row r="312">
      <c r="G312" s="44"/>
      <c r="H312" s="44"/>
      <c r="I312" s="44"/>
    </row>
    <row r="313">
      <c r="G313" s="44"/>
      <c r="H313" s="44"/>
      <c r="I313" s="44"/>
    </row>
    <row r="314">
      <c r="G314" s="44"/>
      <c r="H314" s="44"/>
      <c r="I314" s="44"/>
    </row>
    <row r="315">
      <c r="G315" s="44"/>
      <c r="H315" s="44"/>
      <c r="I315" s="44"/>
    </row>
    <row r="316">
      <c r="G316" s="44"/>
      <c r="H316" s="44"/>
      <c r="I316" s="44"/>
    </row>
    <row r="317">
      <c r="G317" s="44"/>
      <c r="H317" s="44"/>
      <c r="I317" s="44"/>
    </row>
    <row r="318">
      <c r="G318" s="44"/>
      <c r="H318" s="44"/>
      <c r="I318" s="44"/>
    </row>
    <row r="319">
      <c r="G319" s="44"/>
      <c r="H319" s="44"/>
      <c r="I319" s="44"/>
    </row>
    <row r="320">
      <c r="G320" s="44"/>
      <c r="H320" s="44"/>
      <c r="I320" s="44"/>
    </row>
    <row r="321">
      <c r="G321" s="44"/>
      <c r="H321" s="44"/>
      <c r="I321" s="44"/>
    </row>
    <row r="322">
      <c r="G322" s="44"/>
      <c r="H322" s="44"/>
      <c r="I322" s="44"/>
    </row>
    <row r="323">
      <c r="G323" s="44"/>
      <c r="H323" s="44"/>
      <c r="I323" s="44"/>
    </row>
    <row r="324">
      <c r="G324" s="44"/>
      <c r="H324" s="44"/>
      <c r="I324" s="44"/>
    </row>
    <row r="325">
      <c r="G325" s="44"/>
      <c r="H325" s="44"/>
      <c r="I325" s="44"/>
    </row>
    <row r="326">
      <c r="G326" s="44"/>
      <c r="H326" s="44"/>
      <c r="I326" s="44"/>
    </row>
    <row r="327">
      <c r="G327" s="44"/>
      <c r="H327" s="44"/>
      <c r="I327" s="44"/>
    </row>
    <row r="328">
      <c r="G328" s="44"/>
      <c r="H328" s="44"/>
      <c r="I328" s="44"/>
    </row>
    <row r="329">
      <c r="G329" s="44"/>
      <c r="H329" s="44"/>
      <c r="I329" s="44"/>
    </row>
    <row r="330">
      <c r="G330" s="44"/>
      <c r="H330" s="44"/>
      <c r="I330" s="44"/>
    </row>
    <row r="331">
      <c r="G331" s="44"/>
      <c r="H331" s="44"/>
      <c r="I331" s="44"/>
    </row>
    <row r="332">
      <c r="G332" s="44"/>
      <c r="H332" s="44"/>
      <c r="I332" s="44"/>
    </row>
    <row r="333">
      <c r="G333" s="44"/>
      <c r="H333" s="44"/>
      <c r="I333" s="44"/>
    </row>
    <row r="334">
      <c r="G334" s="44"/>
      <c r="H334" s="44"/>
      <c r="I334" s="44"/>
    </row>
    <row r="335">
      <c r="G335" s="44"/>
      <c r="H335" s="44"/>
      <c r="I335" s="44"/>
    </row>
    <row r="336">
      <c r="G336" s="44"/>
      <c r="H336" s="44"/>
      <c r="I336" s="44"/>
    </row>
    <row r="337">
      <c r="G337" s="44"/>
      <c r="H337" s="44"/>
      <c r="I337" s="44"/>
    </row>
    <row r="338">
      <c r="G338" s="44"/>
      <c r="H338" s="44"/>
      <c r="I338" s="44"/>
    </row>
    <row r="339">
      <c r="G339" s="44"/>
      <c r="H339" s="44"/>
      <c r="I339" s="44"/>
    </row>
    <row r="340">
      <c r="G340" s="44"/>
      <c r="H340" s="44"/>
      <c r="I340" s="44"/>
    </row>
    <row r="341">
      <c r="G341" s="44"/>
      <c r="H341" s="44"/>
      <c r="I341" s="44"/>
    </row>
    <row r="342">
      <c r="G342" s="44"/>
      <c r="H342" s="44"/>
      <c r="I342" s="44"/>
    </row>
    <row r="343">
      <c r="G343" s="44"/>
      <c r="H343" s="44"/>
      <c r="I343" s="44"/>
    </row>
    <row r="344">
      <c r="G344" s="44"/>
      <c r="H344" s="44"/>
      <c r="I344" s="44"/>
    </row>
    <row r="345">
      <c r="G345" s="44"/>
      <c r="H345" s="44"/>
      <c r="I345" s="44"/>
    </row>
    <row r="346">
      <c r="G346" s="44"/>
      <c r="H346" s="44"/>
      <c r="I346" s="44"/>
    </row>
    <row r="347">
      <c r="G347" s="44"/>
      <c r="H347" s="44"/>
      <c r="I347" s="44"/>
    </row>
    <row r="348">
      <c r="G348" s="44"/>
      <c r="H348" s="44"/>
      <c r="I348" s="44"/>
    </row>
    <row r="349">
      <c r="G349" s="44"/>
      <c r="H349" s="44"/>
      <c r="I349" s="44"/>
    </row>
    <row r="350">
      <c r="G350" s="44"/>
      <c r="H350" s="44"/>
      <c r="I350" s="44"/>
    </row>
    <row r="351">
      <c r="G351" s="44"/>
      <c r="H351" s="44"/>
      <c r="I351" s="44"/>
    </row>
    <row r="352">
      <c r="G352" s="44"/>
      <c r="H352" s="44"/>
      <c r="I352" s="44"/>
    </row>
    <row r="353">
      <c r="G353" s="44"/>
      <c r="H353" s="44"/>
      <c r="I353" s="44"/>
    </row>
    <row r="354">
      <c r="G354" s="44"/>
      <c r="H354" s="44"/>
      <c r="I354" s="44"/>
    </row>
    <row r="355">
      <c r="G355" s="44"/>
      <c r="H355" s="44"/>
      <c r="I355" s="44"/>
    </row>
    <row r="356">
      <c r="G356" s="44"/>
      <c r="H356" s="44"/>
      <c r="I356" s="44"/>
    </row>
    <row r="357">
      <c r="G357" s="44"/>
      <c r="H357" s="44"/>
      <c r="I357" s="44"/>
    </row>
    <row r="358">
      <c r="G358" s="44"/>
      <c r="H358" s="44"/>
      <c r="I358" s="44"/>
    </row>
    <row r="359">
      <c r="G359" s="44"/>
      <c r="H359" s="44"/>
      <c r="I359" s="44"/>
    </row>
    <row r="360">
      <c r="G360" s="44"/>
      <c r="H360" s="44"/>
      <c r="I360" s="44"/>
    </row>
    <row r="361">
      <c r="G361" s="44"/>
      <c r="H361" s="44"/>
      <c r="I361" s="44"/>
    </row>
    <row r="362">
      <c r="G362" s="44"/>
      <c r="H362" s="44"/>
      <c r="I362" s="44"/>
    </row>
    <row r="363">
      <c r="G363" s="44"/>
      <c r="H363" s="44"/>
      <c r="I363" s="44"/>
    </row>
    <row r="364">
      <c r="G364" s="44"/>
      <c r="H364" s="44"/>
      <c r="I364" s="44"/>
    </row>
    <row r="365">
      <c r="G365" s="44"/>
      <c r="H365" s="44"/>
      <c r="I365" s="44"/>
    </row>
    <row r="366">
      <c r="G366" s="44"/>
      <c r="H366" s="44"/>
      <c r="I366" s="44"/>
    </row>
    <row r="367">
      <c r="G367" s="44"/>
      <c r="H367" s="44"/>
      <c r="I367" s="44"/>
    </row>
    <row r="368">
      <c r="G368" s="44"/>
      <c r="H368" s="44"/>
      <c r="I368" s="44"/>
    </row>
    <row r="369">
      <c r="G369" s="44"/>
      <c r="H369" s="44"/>
      <c r="I369" s="44"/>
    </row>
    <row r="370">
      <c r="G370" s="44"/>
      <c r="H370" s="44"/>
      <c r="I370" s="44"/>
    </row>
    <row r="371">
      <c r="G371" s="44"/>
      <c r="H371" s="44"/>
      <c r="I371" s="44"/>
    </row>
    <row r="372">
      <c r="G372" s="44"/>
      <c r="H372" s="44"/>
      <c r="I372" s="44"/>
    </row>
    <row r="373">
      <c r="G373" s="44"/>
      <c r="H373" s="44"/>
      <c r="I373" s="44"/>
    </row>
    <row r="374">
      <c r="G374" s="44"/>
      <c r="H374" s="44"/>
      <c r="I374" s="44"/>
    </row>
    <row r="375">
      <c r="G375" s="44"/>
      <c r="H375" s="44"/>
      <c r="I375" s="44"/>
    </row>
    <row r="376">
      <c r="G376" s="44"/>
      <c r="H376" s="44"/>
      <c r="I376" s="44"/>
    </row>
    <row r="377">
      <c r="G377" s="44"/>
      <c r="H377" s="44"/>
      <c r="I377" s="44"/>
    </row>
    <row r="378">
      <c r="G378" s="44"/>
      <c r="H378" s="44"/>
      <c r="I378" s="44"/>
    </row>
    <row r="379">
      <c r="G379" s="44"/>
      <c r="H379" s="44"/>
      <c r="I379" s="44"/>
    </row>
    <row r="380">
      <c r="G380" s="44"/>
      <c r="H380" s="44"/>
      <c r="I380" s="44"/>
    </row>
    <row r="381">
      <c r="G381" s="44"/>
      <c r="H381" s="44"/>
      <c r="I381" s="44"/>
    </row>
    <row r="382">
      <c r="G382" s="44"/>
      <c r="H382" s="44"/>
      <c r="I382" s="44"/>
    </row>
    <row r="383">
      <c r="G383" s="44"/>
      <c r="H383" s="44"/>
      <c r="I383" s="44"/>
    </row>
    <row r="384">
      <c r="G384" s="44"/>
      <c r="H384" s="44"/>
      <c r="I384" s="44"/>
    </row>
    <row r="385">
      <c r="G385" s="44"/>
      <c r="H385" s="44"/>
      <c r="I385" s="44"/>
    </row>
    <row r="386">
      <c r="G386" s="44"/>
      <c r="H386" s="44"/>
      <c r="I386" s="44"/>
    </row>
    <row r="387">
      <c r="G387" s="44"/>
      <c r="H387" s="44"/>
      <c r="I387" s="44"/>
    </row>
    <row r="388">
      <c r="G388" s="44"/>
      <c r="H388" s="44"/>
      <c r="I388" s="44"/>
    </row>
    <row r="389">
      <c r="G389" s="44"/>
      <c r="H389" s="44"/>
      <c r="I389" s="44"/>
    </row>
    <row r="390">
      <c r="G390" s="44"/>
      <c r="H390" s="44"/>
      <c r="I390" s="44"/>
    </row>
    <row r="391">
      <c r="G391" s="44"/>
      <c r="H391" s="44"/>
      <c r="I391" s="44"/>
    </row>
    <row r="392">
      <c r="G392" s="44"/>
      <c r="H392" s="44"/>
      <c r="I392" s="44"/>
    </row>
    <row r="393">
      <c r="G393" s="44"/>
      <c r="H393" s="44"/>
      <c r="I393" s="44"/>
    </row>
    <row r="394">
      <c r="G394" s="44"/>
      <c r="H394" s="44"/>
      <c r="I394" s="44"/>
    </row>
    <row r="395">
      <c r="G395" s="44"/>
      <c r="H395" s="44"/>
      <c r="I395" s="44"/>
    </row>
    <row r="396">
      <c r="G396" s="44"/>
      <c r="H396" s="44"/>
      <c r="I396" s="44"/>
    </row>
    <row r="397">
      <c r="G397" s="44"/>
      <c r="H397" s="44"/>
      <c r="I397" s="44"/>
    </row>
    <row r="398">
      <c r="G398" s="44"/>
      <c r="H398" s="44"/>
      <c r="I398" s="44"/>
    </row>
    <row r="399">
      <c r="G399" s="44"/>
      <c r="H399" s="44"/>
      <c r="I399" s="44"/>
    </row>
    <row r="400">
      <c r="G400" s="44"/>
      <c r="H400" s="44"/>
      <c r="I400" s="44"/>
    </row>
    <row r="401">
      <c r="G401" s="44"/>
      <c r="H401" s="44"/>
      <c r="I401" s="44"/>
    </row>
    <row r="402">
      <c r="G402" s="44"/>
      <c r="H402" s="44"/>
      <c r="I402" s="44"/>
    </row>
    <row r="403">
      <c r="G403" s="44"/>
      <c r="H403" s="44"/>
      <c r="I403" s="44"/>
    </row>
    <row r="404">
      <c r="G404" s="44"/>
      <c r="H404" s="44"/>
      <c r="I404" s="44"/>
    </row>
    <row r="405">
      <c r="G405" s="44"/>
      <c r="H405" s="44"/>
      <c r="I405" s="44"/>
    </row>
    <row r="406">
      <c r="G406" s="44"/>
      <c r="H406" s="44"/>
      <c r="I406" s="44"/>
    </row>
    <row r="407">
      <c r="G407" s="44"/>
      <c r="H407" s="44"/>
      <c r="I407" s="44"/>
    </row>
    <row r="408">
      <c r="G408" s="44"/>
      <c r="H408" s="44"/>
      <c r="I408" s="44"/>
    </row>
    <row r="409">
      <c r="G409" s="44"/>
      <c r="H409" s="44"/>
      <c r="I409" s="44"/>
    </row>
    <row r="410">
      <c r="G410" s="44"/>
      <c r="H410" s="44"/>
      <c r="I410" s="44"/>
    </row>
    <row r="411">
      <c r="G411" s="44"/>
      <c r="H411" s="44"/>
      <c r="I411" s="44"/>
    </row>
    <row r="412">
      <c r="G412" s="44"/>
      <c r="H412" s="44"/>
      <c r="I412" s="44"/>
    </row>
    <row r="413">
      <c r="G413" s="44"/>
      <c r="H413" s="44"/>
      <c r="I413" s="44"/>
    </row>
    <row r="414">
      <c r="G414" s="44"/>
      <c r="H414" s="44"/>
      <c r="I414" s="44"/>
    </row>
    <row r="415">
      <c r="G415" s="44"/>
      <c r="H415" s="44"/>
      <c r="I415" s="44"/>
    </row>
    <row r="416">
      <c r="G416" s="44"/>
      <c r="H416" s="44"/>
      <c r="I416" s="44"/>
    </row>
    <row r="417">
      <c r="G417" s="44"/>
      <c r="H417" s="44"/>
      <c r="I417" s="44"/>
    </row>
    <row r="418">
      <c r="G418" s="44"/>
      <c r="H418" s="44"/>
      <c r="I418" s="44"/>
    </row>
    <row r="419">
      <c r="G419" s="44"/>
      <c r="H419" s="44"/>
      <c r="I419" s="44"/>
    </row>
    <row r="420">
      <c r="G420" s="44"/>
      <c r="H420" s="44"/>
      <c r="I420" s="44"/>
    </row>
    <row r="421">
      <c r="G421" s="44"/>
      <c r="H421" s="44"/>
      <c r="I421" s="44"/>
    </row>
    <row r="422">
      <c r="G422" s="44"/>
      <c r="H422" s="44"/>
      <c r="I422" s="44"/>
    </row>
    <row r="423">
      <c r="G423" s="44"/>
      <c r="H423" s="44"/>
      <c r="I423" s="44"/>
    </row>
    <row r="424">
      <c r="G424" s="44"/>
      <c r="H424" s="44"/>
      <c r="I424" s="44"/>
    </row>
    <row r="425">
      <c r="G425" s="44"/>
      <c r="H425" s="44"/>
      <c r="I425" s="44"/>
    </row>
    <row r="426">
      <c r="G426" s="44"/>
      <c r="H426" s="44"/>
      <c r="I426" s="44"/>
    </row>
    <row r="427">
      <c r="G427" s="44"/>
      <c r="H427" s="44"/>
      <c r="I427" s="44"/>
    </row>
    <row r="428">
      <c r="G428" s="44"/>
      <c r="H428" s="44"/>
      <c r="I428" s="44"/>
    </row>
    <row r="429">
      <c r="G429" s="44"/>
      <c r="H429" s="44"/>
      <c r="I429" s="44"/>
    </row>
    <row r="430">
      <c r="G430" s="44"/>
      <c r="H430" s="44"/>
      <c r="I430" s="44"/>
    </row>
    <row r="431">
      <c r="G431" s="44"/>
      <c r="H431" s="44"/>
      <c r="I431" s="44"/>
    </row>
    <row r="432">
      <c r="G432" s="44"/>
      <c r="H432" s="44"/>
      <c r="I432" s="44"/>
    </row>
    <row r="433">
      <c r="G433" s="44"/>
      <c r="H433" s="44"/>
      <c r="I433" s="44"/>
    </row>
    <row r="434">
      <c r="G434" s="44"/>
      <c r="H434" s="44"/>
      <c r="I434" s="44"/>
    </row>
    <row r="435">
      <c r="G435" s="44"/>
      <c r="H435" s="44"/>
      <c r="I435" s="44"/>
    </row>
    <row r="436">
      <c r="G436" s="44"/>
      <c r="H436" s="44"/>
      <c r="I436" s="44"/>
    </row>
    <row r="437">
      <c r="G437" s="44"/>
      <c r="H437" s="44"/>
      <c r="I437" s="44"/>
    </row>
    <row r="438">
      <c r="G438" s="44"/>
      <c r="H438" s="44"/>
      <c r="I438" s="44"/>
    </row>
    <row r="439">
      <c r="G439" s="44"/>
      <c r="H439" s="44"/>
      <c r="I439" s="44"/>
    </row>
    <row r="440">
      <c r="G440" s="44"/>
      <c r="H440" s="44"/>
      <c r="I440" s="44"/>
    </row>
    <row r="441">
      <c r="G441" s="44"/>
      <c r="H441" s="44"/>
      <c r="I441" s="44"/>
    </row>
    <row r="442">
      <c r="G442" s="44"/>
      <c r="H442" s="44"/>
      <c r="I442" s="44"/>
    </row>
    <row r="443">
      <c r="G443" s="44"/>
      <c r="H443" s="44"/>
      <c r="I443" s="44"/>
    </row>
    <row r="444">
      <c r="G444" s="44"/>
      <c r="H444" s="44"/>
      <c r="I444" s="44"/>
    </row>
    <row r="445">
      <c r="G445" s="44"/>
      <c r="H445" s="44"/>
      <c r="I445" s="44"/>
    </row>
    <row r="446">
      <c r="G446" s="44"/>
      <c r="H446" s="44"/>
      <c r="I446" s="44"/>
    </row>
    <row r="447">
      <c r="G447" s="44"/>
      <c r="H447" s="44"/>
      <c r="I447" s="44"/>
    </row>
    <row r="448">
      <c r="G448" s="44"/>
      <c r="H448" s="44"/>
      <c r="I448" s="44"/>
    </row>
    <row r="449">
      <c r="G449" s="44"/>
      <c r="H449" s="44"/>
      <c r="I449" s="44"/>
    </row>
    <row r="450">
      <c r="G450" s="44"/>
      <c r="H450" s="44"/>
      <c r="I450" s="44"/>
    </row>
    <row r="451">
      <c r="G451" s="44"/>
      <c r="H451" s="44"/>
      <c r="I451" s="44"/>
    </row>
    <row r="452">
      <c r="G452" s="44"/>
      <c r="H452" s="44"/>
      <c r="I452" s="44"/>
    </row>
    <row r="453">
      <c r="G453" s="44"/>
      <c r="H453" s="44"/>
      <c r="I453" s="44"/>
    </row>
    <row r="454">
      <c r="G454" s="44"/>
      <c r="H454" s="44"/>
      <c r="I454" s="44"/>
    </row>
    <row r="455">
      <c r="G455" s="44"/>
      <c r="H455" s="44"/>
      <c r="I455" s="44"/>
    </row>
    <row r="456">
      <c r="G456" s="44"/>
      <c r="H456" s="44"/>
      <c r="I456" s="44"/>
    </row>
    <row r="457">
      <c r="G457" s="44"/>
      <c r="H457" s="44"/>
      <c r="I457" s="44"/>
    </row>
    <row r="458">
      <c r="G458" s="44"/>
      <c r="H458" s="44"/>
      <c r="I458" s="44"/>
    </row>
    <row r="459">
      <c r="G459" s="44"/>
      <c r="H459" s="44"/>
      <c r="I459" s="44"/>
    </row>
    <row r="460">
      <c r="G460" s="44"/>
      <c r="H460" s="44"/>
      <c r="I460" s="44"/>
    </row>
    <row r="461">
      <c r="G461" s="44"/>
      <c r="H461" s="44"/>
      <c r="I461" s="44"/>
    </row>
    <row r="462">
      <c r="G462" s="44"/>
      <c r="H462" s="44"/>
      <c r="I462" s="44"/>
    </row>
    <row r="463">
      <c r="G463" s="44"/>
      <c r="H463" s="44"/>
      <c r="I463" s="44"/>
    </row>
    <row r="464">
      <c r="G464" s="44"/>
      <c r="H464" s="44"/>
      <c r="I464" s="44"/>
    </row>
    <row r="465">
      <c r="G465" s="44"/>
      <c r="H465" s="44"/>
      <c r="I465" s="44"/>
    </row>
    <row r="466">
      <c r="G466" s="44"/>
      <c r="H466" s="44"/>
      <c r="I466" s="44"/>
    </row>
    <row r="467">
      <c r="G467" s="44"/>
      <c r="H467" s="44"/>
      <c r="I467" s="44"/>
    </row>
    <row r="468">
      <c r="G468" s="44"/>
      <c r="H468" s="44"/>
      <c r="I468" s="44"/>
    </row>
    <row r="469">
      <c r="G469" s="44"/>
      <c r="H469" s="44"/>
      <c r="I469" s="44"/>
    </row>
    <row r="470">
      <c r="G470" s="44"/>
      <c r="H470" s="44"/>
      <c r="I470" s="44"/>
    </row>
    <row r="471">
      <c r="G471" s="44"/>
      <c r="H471" s="44"/>
      <c r="I471" s="44"/>
    </row>
    <row r="472">
      <c r="G472" s="44"/>
      <c r="H472" s="44"/>
      <c r="I472" s="44"/>
    </row>
    <row r="473">
      <c r="G473" s="44"/>
      <c r="H473" s="44"/>
      <c r="I473" s="44"/>
    </row>
    <row r="474">
      <c r="G474" s="44"/>
      <c r="H474" s="44"/>
      <c r="I474" s="44"/>
    </row>
    <row r="475">
      <c r="G475" s="44"/>
      <c r="H475" s="44"/>
      <c r="I475" s="44"/>
    </row>
    <row r="476">
      <c r="G476" s="44"/>
      <c r="H476" s="44"/>
      <c r="I476" s="44"/>
    </row>
    <row r="477">
      <c r="G477" s="44"/>
      <c r="H477" s="44"/>
      <c r="I477" s="44"/>
    </row>
    <row r="478">
      <c r="G478" s="44"/>
      <c r="H478" s="44"/>
      <c r="I478" s="44"/>
    </row>
    <row r="479">
      <c r="G479" s="44"/>
      <c r="H479" s="44"/>
      <c r="I479" s="44"/>
    </row>
    <row r="480">
      <c r="G480" s="44"/>
      <c r="H480" s="44"/>
      <c r="I480" s="44"/>
    </row>
    <row r="481">
      <c r="G481" s="44"/>
      <c r="H481" s="44"/>
      <c r="I481" s="44"/>
    </row>
    <row r="482">
      <c r="G482" s="44"/>
      <c r="H482" s="44"/>
      <c r="I482" s="44"/>
    </row>
    <row r="483">
      <c r="G483" s="44"/>
      <c r="H483" s="44"/>
      <c r="I483" s="44"/>
    </row>
    <row r="484">
      <c r="G484" s="44"/>
      <c r="H484" s="44"/>
      <c r="I484" s="44"/>
    </row>
    <row r="485">
      <c r="G485" s="44"/>
      <c r="H485" s="44"/>
      <c r="I485" s="44"/>
    </row>
    <row r="486">
      <c r="G486" s="44"/>
      <c r="H486" s="44"/>
      <c r="I486" s="44"/>
    </row>
    <row r="487">
      <c r="G487" s="44"/>
      <c r="H487" s="44"/>
      <c r="I487" s="44"/>
    </row>
    <row r="488">
      <c r="G488" s="44"/>
      <c r="H488" s="44"/>
      <c r="I488" s="44"/>
    </row>
    <row r="489">
      <c r="G489" s="44"/>
      <c r="H489" s="44"/>
      <c r="I489" s="44"/>
    </row>
    <row r="490">
      <c r="G490" s="44"/>
      <c r="H490" s="44"/>
      <c r="I490" s="44"/>
    </row>
    <row r="491">
      <c r="G491" s="44"/>
      <c r="H491" s="44"/>
      <c r="I491" s="44"/>
    </row>
    <row r="492">
      <c r="G492" s="44"/>
      <c r="H492" s="44"/>
      <c r="I492" s="44"/>
    </row>
    <row r="493">
      <c r="G493" s="44"/>
      <c r="H493" s="44"/>
      <c r="I493" s="44"/>
    </row>
    <row r="494">
      <c r="G494" s="44"/>
      <c r="H494" s="44"/>
      <c r="I494" s="44"/>
    </row>
    <row r="495">
      <c r="G495" s="44"/>
      <c r="H495" s="44"/>
      <c r="I495" s="44"/>
    </row>
    <row r="496">
      <c r="G496" s="44"/>
      <c r="H496" s="44"/>
      <c r="I496" s="44"/>
    </row>
    <row r="497">
      <c r="G497" s="44"/>
      <c r="H497" s="44"/>
      <c r="I497" s="44"/>
    </row>
    <row r="498">
      <c r="G498" s="44"/>
      <c r="H498" s="44"/>
      <c r="I498" s="44"/>
    </row>
    <row r="499">
      <c r="G499" s="44"/>
      <c r="H499" s="44"/>
      <c r="I499" s="44"/>
    </row>
    <row r="500">
      <c r="G500" s="44"/>
      <c r="H500" s="44"/>
      <c r="I500" s="44"/>
    </row>
    <row r="501">
      <c r="G501" s="44"/>
      <c r="H501" s="44"/>
      <c r="I501" s="44"/>
    </row>
    <row r="502">
      <c r="G502" s="44"/>
      <c r="H502" s="44"/>
      <c r="I502" s="44"/>
    </row>
    <row r="503">
      <c r="G503" s="44"/>
      <c r="H503" s="44"/>
      <c r="I503" s="44"/>
    </row>
    <row r="504">
      <c r="G504" s="44"/>
      <c r="H504" s="44"/>
      <c r="I504" s="44"/>
    </row>
    <row r="505">
      <c r="G505" s="44"/>
      <c r="H505" s="44"/>
      <c r="I505" s="44"/>
    </row>
    <row r="506">
      <c r="G506" s="44"/>
      <c r="H506" s="44"/>
      <c r="I506" s="44"/>
    </row>
    <row r="507">
      <c r="G507" s="44"/>
      <c r="H507" s="44"/>
      <c r="I507" s="44"/>
    </row>
    <row r="508">
      <c r="G508" s="44"/>
      <c r="H508" s="44"/>
      <c r="I508" s="44"/>
    </row>
    <row r="509">
      <c r="G509" s="44"/>
      <c r="H509" s="44"/>
      <c r="I509" s="44"/>
    </row>
    <row r="510">
      <c r="G510" s="44"/>
      <c r="H510" s="44"/>
      <c r="I510" s="44"/>
    </row>
    <row r="511">
      <c r="G511" s="44"/>
      <c r="H511" s="44"/>
      <c r="I511" s="44"/>
    </row>
    <row r="512">
      <c r="G512" s="44"/>
      <c r="H512" s="44"/>
      <c r="I512" s="44"/>
    </row>
    <row r="513">
      <c r="G513" s="44"/>
      <c r="H513" s="44"/>
      <c r="I513" s="44"/>
    </row>
    <row r="514">
      <c r="G514" s="44"/>
      <c r="H514" s="44"/>
      <c r="I514" s="44"/>
    </row>
    <row r="515">
      <c r="G515" s="44"/>
      <c r="H515" s="44"/>
      <c r="I515" s="44"/>
    </row>
    <row r="516">
      <c r="G516" s="44"/>
      <c r="H516" s="44"/>
      <c r="I516" s="44"/>
    </row>
    <row r="517">
      <c r="G517" s="44"/>
      <c r="H517" s="44"/>
      <c r="I517" s="44"/>
    </row>
    <row r="518">
      <c r="G518" s="44"/>
      <c r="H518" s="44"/>
      <c r="I518" s="44"/>
    </row>
    <row r="519">
      <c r="G519" s="44"/>
      <c r="H519" s="44"/>
      <c r="I519" s="44"/>
    </row>
    <row r="520">
      <c r="G520" s="44"/>
      <c r="H520" s="44"/>
      <c r="I520" s="44"/>
    </row>
    <row r="521">
      <c r="G521" s="44"/>
      <c r="H521" s="44"/>
      <c r="I521" s="44"/>
    </row>
    <row r="522">
      <c r="G522" s="44"/>
      <c r="H522" s="44"/>
      <c r="I522" s="44"/>
    </row>
    <row r="523">
      <c r="G523" s="44"/>
      <c r="H523" s="44"/>
      <c r="I523" s="44"/>
    </row>
    <row r="524">
      <c r="G524" s="44"/>
      <c r="H524" s="44"/>
      <c r="I524" s="44"/>
    </row>
    <row r="525">
      <c r="G525" s="44"/>
      <c r="H525" s="44"/>
      <c r="I525" s="44"/>
    </row>
    <row r="526">
      <c r="G526" s="44"/>
      <c r="H526" s="44"/>
      <c r="I526" s="44"/>
    </row>
    <row r="527">
      <c r="G527" s="44"/>
      <c r="H527" s="44"/>
      <c r="I527" s="44"/>
    </row>
    <row r="528">
      <c r="G528" s="44"/>
      <c r="H528" s="44"/>
      <c r="I528" s="44"/>
    </row>
    <row r="529">
      <c r="G529" s="44"/>
      <c r="H529" s="44"/>
      <c r="I529" s="44"/>
    </row>
    <row r="530">
      <c r="G530" s="44"/>
      <c r="H530" s="44"/>
      <c r="I530" s="44"/>
    </row>
    <row r="531">
      <c r="G531" s="44"/>
      <c r="H531" s="44"/>
      <c r="I531" s="44"/>
    </row>
    <row r="532">
      <c r="G532" s="44"/>
      <c r="H532" s="44"/>
      <c r="I532" s="44"/>
    </row>
    <row r="533">
      <c r="G533" s="44"/>
      <c r="H533" s="44"/>
      <c r="I533" s="44"/>
    </row>
    <row r="534">
      <c r="G534" s="44"/>
      <c r="H534" s="44"/>
      <c r="I534" s="44"/>
    </row>
    <row r="535">
      <c r="G535" s="44"/>
      <c r="H535" s="44"/>
      <c r="I535" s="44"/>
    </row>
    <row r="536">
      <c r="G536" s="44"/>
      <c r="H536" s="44"/>
      <c r="I536" s="44"/>
    </row>
    <row r="537">
      <c r="G537" s="44"/>
      <c r="H537" s="44"/>
      <c r="I537" s="44"/>
    </row>
    <row r="538">
      <c r="G538" s="44"/>
      <c r="H538" s="44"/>
      <c r="I538" s="44"/>
    </row>
    <row r="539">
      <c r="G539" s="44"/>
      <c r="H539" s="44"/>
      <c r="I539" s="44"/>
    </row>
    <row r="540">
      <c r="G540" s="44"/>
      <c r="H540" s="44"/>
      <c r="I540" s="44"/>
    </row>
    <row r="541">
      <c r="G541" s="44"/>
      <c r="H541" s="44"/>
      <c r="I541" s="44"/>
    </row>
    <row r="542">
      <c r="G542" s="44"/>
      <c r="H542" s="44"/>
      <c r="I542" s="44"/>
    </row>
    <row r="543">
      <c r="G543" s="44"/>
      <c r="H543" s="44"/>
      <c r="I543" s="44"/>
    </row>
    <row r="544">
      <c r="G544" s="44"/>
      <c r="H544" s="44"/>
      <c r="I544" s="44"/>
    </row>
    <row r="545">
      <c r="G545" s="44"/>
      <c r="H545" s="44"/>
      <c r="I545" s="44"/>
    </row>
    <row r="546">
      <c r="G546" s="44"/>
      <c r="H546" s="44"/>
      <c r="I546" s="44"/>
    </row>
    <row r="547">
      <c r="G547" s="44"/>
      <c r="H547" s="44"/>
      <c r="I547" s="44"/>
    </row>
    <row r="548">
      <c r="G548" s="44"/>
      <c r="H548" s="44"/>
      <c r="I548" s="44"/>
    </row>
    <row r="549">
      <c r="G549" s="44"/>
      <c r="H549" s="44"/>
      <c r="I549" s="44"/>
    </row>
    <row r="550">
      <c r="G550" s="44"/>
      <c r="H550" s="44"/>
      <c r="I550" s="44"/>
    </row>
    <row r="551">
      <c r="G551" s="44"/>
      <c r="H551" s="44"/>
      <c r="I551" s="44"/>
    </row>
    <row r="552">
      <c r="G552" s="44"/>
      <c r="H552" s="44"/>
      <c r="I552" s="44"/>
    </row>
    <row r="553">
      <c r="G553" s="44"/>
      <c r="H553" s="44"/>
      <c r="I553" s="44"/>
    </row>
    <row r="554">
      <c r="G554" s="44"/>
      <c r="H554" s="44"/>
      <c r="I554" s="44"/>
    </row>
    <row r="555">
      <c r="G555" s="44"/>
      <c r="H555" s="44"/>
      <c r="I555" s="44"/>
    </row>
    <row r="556">
      <c r="G556" s="44"/>
      <c r="H556" s="44"/>
      <c r="I556" s="44"/>
    </row>
    <row r="557">
      <c r="G557" s="44"/>
      <c r="H557" s="44"/>
      <c r="I557" s="44"/>
    </row>
    <row r="558">
      <c r="G558" s="44"/>
      <c r="H558" s="44"/>
      <c r="I558" s="44"/>
    </row>
    <row r="559">
      <c r="G559" s="44"/>
      <c r="H559" s="44"/>
      <c r="I559" s="44"/>
    </row>
    <row r="560">
      <c r="G560" s="44"/>
      <c r="H560" s="44"/>
      <c r="I560" s="44"/>
    </row>
    <row r="561">
      <c r="G561" s="44"/>
      <c r="H561" s="44"/>
      <c r="I561" s="44"/>
    </row>
    <row r="562">
      <c r="G562" s="44"/>
      <c r="H562" s="44"/>
      <c r="I562" s="44"/>
    </row>
    <row r="563">
      <c r="G563" s="44"/>
      <c r="H563" s="44"/>
      <c r="I563" s="44"/>
    </row>
    <row r="564">
      <c r="G564" s="44"/>
      <c r="H564" s="44"/>
      <c r="I564" s="44"/>
    </row>
    <row r="565">
      <c r="G565" s="44"/>
      <c r="H565" s="44"/>
      <c r="I565" s="44"/>
    </row>
    <row r="566">
      <c r="G566" s="44"/>
      <c r="H566" s="44"/>
      <c r="I566" s="44"/>
    </row>
    <row r="567">
      <c r="G567" s="44"/>
      <c r="H567" s="44"/>
      <c r="I567" s="44"/>
    </row>
    <row r="568">
      <c r="G568" s="44"/>
      <c r="H568" s="44"/>
      <c r="I568" s="44"/>
    </row>
    <row r="569">
      <c r="G569" s="44"/>
      <c r="H569" s="44"/>
      <c r="I569" s="44"/>
    </row>
    <row r="570">
      <c r="G570" s="44"/>
      <c r="H570" s="44"/>
      <c r="I570" s="44"/>
    </row>
    <row r="571">
      <c r="G571" s="44"/>
      <c r="H571" s="44"/>
      <c r="I571" s="44"/>
    </row>
    <row r="572">
      <c r="G572" s="44"/>
      <c r="H572" s="44"/>
      <c r="I572" s="44"/>
    </row>
    <row r="573">
      <c r="G573" s="44"/>
      <c r="H573" s="44"/>
      <c r="I573" s="44"/>
    </row>
    <row r="574">
      <c r="G574" s="44"/>
      <c r="H574" s="44"/>
      <c r="I574" s="44"/>
    </row>
    <row r="575">
      <c r="G575" s="44"/>
      <c r="H575" s="44"/>
      <c r="I575" s="44"/>
    </row>
    <row r="576">
      <c r="G576" s="44"/>
      <c r="H576" s="44"/>
      <c r="I576" s="44"/>
    </row>
    <row r="577">
      <c r="G577" s="44"/>
      <c r="H577" s="44"/>
      <c r="I577" s="44"/>
    </row>
    <row r="578">
      <c r="G578" s="44"/>
      <c r="H578" s="44"/>
      <c r="I578" s="44"/>
    </row>
    <row r="579">
      <c r="G579" s="44"/>
      <c r="H579" s="44"/>
      <c r="I579" s="44"/>
    </row>
    <row r="580">
      <c r="G580" s="44"/>
      <c r="H580" s="44"/>
      <c r="I580" s="44"/>
    </row>
    <row r="581">
      <c r="G581" s="44"/>
      <c r="H581" s="44"/>
      <c r="I581" s="44"/>
    </row>
    <row r="582">
      <c r="G582" s="44"/>
      <c r="H582" s="44"/>
      <c r="I582" s="44"/>
    </row>
    <row r="583">
      <c r="G583" s="44"/>
      <c r="H583" s="44"/>
      <c r="I583" s="44"/>
    </row>
    <row r="584">
      <c r="G584" s="44"/>
      <c r="H584" s="44"/>
      <c r="I584" s="44"/>
    </row>
    <row r="585">
      <c r="G585" s="44"/>
      <c r="H585" s="44"/>
      <c r="I585" s="44"/>
    </row>
    <row r="586">
      <c r="G586" s="44"/>
      <c r="H586" s="44"/>
      <c r="I586" s="44"/>
    </row>
    <row r="587">
      <c r="G587" s="44"/>
      <c r="H587" s="44"/>
      <c r="I587" s="44"/>
    </row>
    <row r="588">
      <c r="G588" s="44"/>
      <c r="H588" s="44"/>
      <c r="I588" s="44"/>
    </row>
    <row r="589">
      <c r="G589" s="44"/>
      <c r="H589" s="44"/>
      <c r="I589" s="44"/>
    </row>
    <row r="590">
      <c r="G590" s="44"/>
      <c r="H590" s="44"/>
      <c r="I590" s="44"/>
    </row>
    <row r="591">
      <c r="G591" s="44"/>
      <c r="H591" s="44"/>
      <c r="I591" s="44"/>
    </row>
    <row r="592">
      <c r="G592" s="44"/>
      <c r="H592" s="44"/>
      <c r="I592" s="44"/>
    </row>
    <row r="593">
      <c r="G593" s="44"/>
      <c r="H593" s="44"/>
      <c r="I593" s="44"/>
    </row>
    <row r="594">
      <c r="G594" s="44"/>
      <c r="H594" s="44"/>
      <c r="I594" s="44"/>
    </row>
    <row r="595">
      <c r="G595" s="44"/>
      <c r="H595" s="44"/>
      <c r="I595" s="44"/>
    </row>
    <row r="596">
      <c r="G596" s="44"/>
      <c r="H596" s="44"/>
      <c r="I596" s="44"/>
    </row>
    <row r="597">
      <c r="G597" s="44"/>
      <c r="H597" s="44"/>
      <c r="I597" s="44"/>
    </row>
    <row r="598">
      <c r="G598" s="44"/>
      <c r="H598" s="44"/>
      <c r="I598" s="44"/>
    </row>
    <row r="599">
      <c r="G599" s="44"/>
      <c r="H599" s="44"/>
      <c r="I599" s="44"/>
    </row>
    <row r="600">
      <c r="G600" s="44"/>
      <c r="H600" s="44"/>
      <c r="I600" s="44"/>
    </row>
    <row r="601">
      <c r="G601" s="44"/>
      <c r="H601" s="44"/>
      <c r="I601" s="44"/>
    </row>
    <row r="602">
      <c r="G602" s="44"/>
      <c r="H602" s="44"/>
      <c r="I602" s="44"/>
    </row>
    <row r="603">
      <c r="G603" s="44"/>
      <c r="H603" s="44"/>
      <c r="I603" s="44"/>
    </row>
    <row r="604">
      <c r="G604" s="44"/>
      <c r="H604" s="44"/>
      <c r="I604" s="44"/>
    </row>
    <row r="605">
      <c r="G605" s="44"/>
      <c r="H605" s="44"/>
      <c r="I605" s="44"/>
    </row>
    <row r="606">
      <c r="G606" s="44"/>
      <c r="H606" s="44"/>
      <c r="I606" s="44"/>
    </row>
    <row r="607">
      <c r="G607" s="44"/>
      <c r="H607" s="44"/>
      <c r="I607" s="44"/>
    </row>
    <row r="608">
      <c r="G608" s="44"/>
      <c r="H608" s="44"/>
      <c r="I608" s="44"/>
    </row>
    <row r="609">
      <c r="G609" s="44"/>
      <c r="H609" s="44"/>
      <c r="I609" s="44"/>
    </row>
    <row r="610">
      <c r="G610" s="44"/>
      <c r="H610" s="44"/>
      <c r="I610" s="44"/>
    </row>
    <row r="611">
      <c r="G611" s="44"/>
      <c r="H611" s="44"/>
      <c r="I611" s="44"/>
    </row>
    <row r="612">
      <c r="G612" s="44"/>
      <c r="H612" s="44"/>
      <c r="I612" s="44"/>
    </row>
    <row r="613">
      <c r="G613" s="44"/>
      <c r="H613" s="44"/>
      <c r="I613" s="44"/>
    </row>
    <row r="614">
      <c r="G614" s="44"/>
      <c r="H614" s="44"/>
      <c r="I614" s="44"/>
    </row>
    <row r="615">
      <c r="G615" s="44"/>
      <c r="H615" s="44"/>
      <c r="I615" s="44"/>
    </row>
    <row r="616">
      <c r="G616" s="44"/>
      <c r="H616" s="44"/>
      <c r="I616" s="44"/>
    </row>
    <row r="617">
      <c r="G617" s="44"/>
      <c r="H617" s="44"/>
      <c r="I617" s="44"/>
    </row>
    <row r="618">
      <c r="G618" s="44"/>
      <c r="H618" s="44"/>
      <c r="I618" s="44"/>
    </row>
    <row r="619">
      <c r="G619" s="44"/>
      <c r="H619" s="44"/>
      <c r="I619" s="44"/>
    </row>
    <row r="620">
      <c r="G620" s="44"/>
      <c r="H620" s="44"/>
      <c r="I620" s="44"/>
    </row>
    <row r="621">
      <c r="G621" s="44"/>
      <c r="H621" s="44"/>
      <c r="I621" s="44"/>
    </row>
    <row r="622">
      <c r="G622" s="44"/>
      <c r="H622" s="44"/>
      <c r="I622" s="44"/>
    </row>
    <row r="623">
      <c r="G623" s="44"/>
      <c r="H623" s="44"/>
      <c r="I623" s="44"/>
    </row>
    <row r="624">
      <c r="G624" s="44"/>
      <c r="H624" s="44"/>
      <c r="I624" s="44"/>
    </row>
    <row r="625">
      <c r="G625" s="44"/>
      <c r="H625" s="44"/>
      <c r="I625" s="44"/>
    </row>
    <row r="626">
      <c r="G626" s="44"/>
      <c r="H626" s="44"/>
      <c r="I626" s="44"/>
    </row>
    <row r="627">
      <c r="G627" s="44"/>
      <c r="H627" s="44"/>
      <c r="I627" s="44"/>
    </row>
    <row r="628">
      <c r="G628" s="44"/>
      <c r="H628" s="44"/>
      <c r="I628" s="44"/>
    </row>
    <row r="629">
      <c r="G629" s="44"/>
      <c r="H629" s="44"/>
      <c r="I629" s="44"/>
    </row>
    <row r="630">
      <c r="G630" s="44"/>
      <c r="H630" s="44"/>
      <c r="I630" s="44"/>
    </row>
    <row r="631">
      <c r="G631" s="44"/>
      <c r="H631" s="44"/>
      <c r="I631" s="44"/>
    </row>
    <row r="632">
      <c r="G632" s="44"/>
      <c r="H632" s="44"/>
      <c r="I632" s="44"/>
    </row>
    <row r="633">
      <c r="G633" s="44"/>
      <c r="H633" s="44"/>
      <c r="I633" s="44"/>
    </row>
    <row r="634">
      <c r="G634" s="44"/>
      <c r="H634" s="44"/>
      <c r="I634" s="44"/>
    </row>
    <row r="635">
      <c r="G635" s="44"/>
      <c r="H635" s="44"/>
      <c r="I635" s="44"/>
    </row>
    <row r="636">
      <c r="G636" s="44"/>
      <c r="H636" s="44"/>
      <c r="I636" s="44"/>
    </row>
    <row r="637">
      <c r="G637" s="44"/>
      <c r="H637" s="44"/>
      <c r="I637" s="44"/>
    </row>
    <row r="638">
      <c r="G638" s="44"/>
      <c r="H638" s="44"/>
      <c r="I638" s="44"/>
    </row>
    <row r="639">
      <c r="G639" s="44"/>
      <c r="H639" s="44"/>
      <c r="I639" s="44"/>
    </row>
    <row r="640">
      <c r="G640" s="44"/>
      <c r="H640" s="44"/>
      <c r="I640" s="44"/>
    </row>
    <row r="641">
      <c r="G641" s="44"/>
      <c r="H641" s="44"/>
      <c r="I641" s="44"/>
    </row>
    <row r="642">
      <c r="G642" s="44"/>
      <c r="H642" s="44"/>
      <c r="I642" s="44"/>
    </row>
    <row r="643">
      <c r="G643" s="44"/>
      <c r="H643" s="44"/>
      <c r="I643" s="44"/>
    </row>
    <row r="644">
      <c r="G644" s="44"/>
      <c r="H644" s="44"/>
      <c r="I644" s="44"/>
    </row>
    <row r="645">
      <c r="G645" s="44"/>
      <c r="H645" s="44"/>
      <c r="I645" s="44"/>
    </row>
    <row r="646">
      <c r="G646" s="44"/>
      <c r="H646" s="44"/>
      <c r="I646" s="44"/>
    </row>
    <row r="647">
      <c r="G647" s="44"/>
      <c r="H647" s="44"/>
      <c r="I647" s="44"/>
    </row>
    <row r="648">
      <c r="G648" s="44"/>
      <c r="H648" s="44"/>
      <c r="I648" s="44"/>
    </row>
    <row r="649">
      <c r="G649" s="44"/>
      <c r="H649" s="44"/>
      <c r="I649" s="44"/>
    </row>
    <row r="650">
      <c r="G650" s="44"/>
      <c r="H650" s="44"/>
      <c r="I650" s="44"/>
    </row>
    <row r="651">
      <c r="G651" s="44"/>
      <c r="H651" s="44"/>
      <c r="I651" s="44"/>
    </row>
    <row r="652">
      <c r="G652" s="44"/>
      <c r="H652" s="44"/>
      <c r="I652" s="44"/>
    </row>
    <row r="653">
      <c r="G653" s="44"/>
      <c r="H653" s="44"/>
      <c r="I653" s="44"/>
    </row>
    <row r="654">
      <c r="G654" s="44"/>
      <c r="H654" s="44"/>
      <c r="I654" s="44"/>
    </row>
    <row r="655">
      <c r="G655" s="44"/>
      <c r="H655" s="44"/>
      <c r="I655" s="44"/>
    </row>
    <row r="656">
      <c r="G656" s="44"/>
      <c r="H656" s="44"/>
      <c r="I656" s="44"/>
    </row>
    <row r="657">
      <c r="G657" s="44"/>
      <c r="H657" s="44"/>
      <c r="I657" s="44"/>
    </row>
    <row r="658">
      <c r="G658" s="44"/>
      <c r="H658" s="44"/>
      <c r="I658" s="44"/>
    </row>
    <row r="659">
      <c r="G659" s="44"/>
      <c r="H659" s="44"/>
      <c r="I659" s="44"/>
    </row>
    <row r="660">
      <c r="G660" s="44"/>
      <c r="H660" s="44"/>
      <c r="I660" s="44"/>
    </row>
    <row r="661">
      <c r="G661" s="44"/>
      <c r="H661" s="44"/>
      <c r="I661" s="44"/>
    </row>
    <row r="662">
      <c r="G662" s="44"/>
      <c r="H662" s="44"/>
      <c r="I662" s="44"/>
    </row>
    <row r="663">
      <c r="G663" s="44"/>
      <c r="H663" s="44"/>
      <c r="I663" s="44"/>
    </row>
    <row r="664">
      <c r="G664" s="44"/>
      <c r="H664" s="44"/>
      <c r="I664" s="44"/>
    </row>
    <row r="665">
      <c r="G665" s="44"/>
      <c r="H665" s="44"/>
      <c r="I665" s="44"/>
    </row>
    <row r="666">
      <c r="G666" s="44"/>
      <c r="H666" s="44"/>
      <c r="I666" s="44"/>
    </row>
    <row r="667">
      <c r="G667" s="44"/>
      <c r="H667" s="44"/>
      <c r="I667" s="44"/>
    </row>
    <row r="668">
      <c r="G668" s="44"/>
      <c r="H668" s="44"/>
      <c r="I668" s="44"/>
    </row>
    <row r="669">
      <c r="G669" s="44"/>
      <c r="H669" s="44"/>
      <c r="I669" s="44"/>
    </row>
    <row r="670">
      <c r="G670" s="44"/>
      <c r="H670" s="44"/>
      <c r="I670" s="44"/>
    </row>
    <row r="671">
      <c r="G671" s="44"/>
      <c r="H671" s="44"/>
      <c r="I671" s="44"/>
    </row>
    <row r="672">
      <c r="G672" s="44"/>
      <c r="H672" s="44"/>
      <c r="I672" s="44"/>
    </row>
    <row r="673">
      <c r="G673" s="44"/>
      <c r="H673" s="44"/>
      <c r="I673" s="44"/>
    </row>
    <row r="674">
      <c r="G674" s="44"/>
      <c r="H674" s="44"/>
      <c r="I674" s="44"/>
    </row>
    <row r="675">
      <c r="G675" s="44"/>
      <c r="H675" s="44"/>
      <c r="I675" s="44"/>
    </row>
    <row r="676">
      <c r="G676" s="44"/>
      <c r="H676" s="44"/>
      <c r="I676" s="44"/>
    </row>
    <row r="677">
      <c r="G677" s="44"/>
      <c r="H677" s="44"/>
      <c r="I677" s="44"/>
    </row>
    <row r="678">
      <c r="G678" s="44"/>
      <c r="H678" s="44"/>
      <c r="I678" s="44"/>
    </row>
    <row r="679">
      <c r="G679" s="44"/>
      <c r="H679" s="44"/>
      <c r="I679" s="44"/>
    </row>
    <row r="680">
      <c r="G680" s="44"/>
      <c r="H680" s="44"/>
      <c r="I680" s="44"/>
    </row>
    <row r="681">
      <c r="G681" s="44"/>
      <c r="H681" s="44"/>
      <c r="I681" s="44"/>
    </row>
    <row r="682">
      <c r="G682" s="44"/>
      <c r="H682" s="44"/>
      <c r="I682" s="44"/>
    </row>
    <row r="683">
      <c r="G683" s="44"/>
      <c r="H683" s="44"/>
      <c r="I683" s="44"/>
    </row>
    <row r="684">
      <c r="G684" s="44"/>
      <c r="H684" s="44"/>
      <c r="I684" s="44"/>
    </row>
    <row r="685">
      <c r="G685" s="44"/>
      <c r="H685" s="44"/>
      <c r="I685" s="44"/>
    </row>
    <row r="686">
      <c r="G686" s="44"/>
      <c r="H686" s="44"/>
      <c r="I686" s="44"/>
    </row>
    <row r="687">
      <c r="G687" s="44"/>
      <c r="H687" s="44"/>
      <c r="I687" s="44"/>
    </row>
    <row r="688">
      <c r="G688" s="44"/>
      <c r="H688" s="44"/>
      <c r="I688" s="44"/>
    </row>
    <row r="689">
      <c r="G689" s="44"/>
      <c r="H689" s="44"/>
      <c r="I689" s="44"/>
    </row>
    <row r="690">
      <c r="G690" s="44"/>
      <c r="H690" s="44"/>
      <c r="I690" s="44"/>
    </row>
    <row r="691">
      <c r="G691" s="44"/>
      <c r="H691" s="44"/>
      <c r="I691" s="44"/>
    </row>
    <row r="692">
      <c r="G692" s="44"/>
      <c r="H692" s="44"/>
      <c r="I692" s="44"/>
    </row>
    <row r="693">
      <c r="G693" s="44"/>
      <c r="H693" s="44"/>
      <c r="I693" s="44"/>
    </row>
    <row r="694">
      <c r="G694" s="44"/>
      <c r="H694" s="44"/>
      <c r="I694" s="44"/>
    </row>
    <row r="695">
      <c r="G695" s="44"/>
      <c r="H695" s="44"/>
      <c r="I695" s="44"/>
    </row>
    <row r="696">
      <c r="G696" s="44"/>
      <c r="H696" s="44"/>
      <c r="I696" s="44"/>
    </row>
    <row r="697">
      <c r="G697" s="44"/>
      <c r="H697" s="44"/>
      <c r="I697" s="44"/>
    </row>
    <row r="698">
      <c r="G698" s="44"/>
      <c r="H698" s="44"/>
      <c r="I698" s="44"/>
    </row>
    <row r="699">
      <c r="G699" s="44"/>
      <c r="H699" s="44"/>
      <c r="I699" s="44"/>
    </row>
    <row r="700">
      <c r="G700" s="44"/>
      <c r="H700" s="44"/>
      <c r="I700" s="44"/>
    </row>
    <row r="701">
      <c r="G701" s="44"/>
      <c r="H701" s="44"/>
      <c r="I701" s="44"/>
    </row>
    <row r="702">
      <c r="G702" s="44"/>
      <c r="H702" s="44"/>
      <c r="I702" s="44"/>
    </row>
    <row r="703">
      <c r="G703" s="44"/>
      <c r="H703" s="44"/>
      <c r="I703" s="44"/>
    </row>
    <row r="704">
      <c r="G704" s="44"/>
      <c r="H704" s="44"/>
      <c r="I704" s="44"/>
    </row>
    <row r="705">
      <c r="G705" s="44"/>
      <c r="H705" s="44"/>
      <c r="I705" s="44"/>
    </row>
    <row r="706">
      <c r="G706" s="44"/>
      <c r="H706" s="44"/>
      <c r="I706" s="44"/>
    </row>
    <row r="707">
      <c r="G707" s="44"/>
      <c r="H707" s="44"/>
      <c r="I707" s="44"/>
    </row>
    <row r="708">
      <c r="G708" s="44"/>
      <c r="H708" s="44"/>
      <c r="I708" s="44"/>
    </row>
    <row r="709">
      <c r="G709" s="44"/>
      <c r="H709" s="44"/>
      <c r="I709" s="44"/>
    </row>
    <row r="710">
      <c r="G710" s="44"/>
      <c r="H710" s="44"/>
      <c r="I710" s="44"/>
    </row>
    <row r="711">
      <c r="G711" s="44"/>
      <c r="H711" s="44"/>
      <c r="I711" s="44"/>
    </row>
    <row r="712">
      <c r="G712" s="44"/>
      <c r="H712" s="44"/>
      <c r="I712" s="44"/>
    </row>
    <row r="713">
      <c r="G713" s="44"/>
      <c r="H713" s="44"/>
      <c r="I713" s="44"/>
    </row>
    <row r="714">
      <c r="G714" s="44"/>
      <c r="H714" s="44"/>
      <c r="I714" s="44"/>
    </row>
    <row r="715">
      <c r="G715" s="44"/>
      <c r="H715" s="44"/>
      <c r="I715" s="44"/>
    </row>
    <row r="716">
      <c r="G716" s="44"/>
      <c r="H716" s="44"/>
      <c r="I716" s="44"/>
    </row>
    <row r="717">
      <c r="G717" s="44"/>
      <c r="H717" s="44"/>
      <c r="I717" s="44"/>
    </row>
    <row r="718">
      <c r="G718" s="44"/>
      <c r="H718" s="44"/>
      <c r="I718" s="44"/>
    </row>
    <row r="719">
      <c r="G719" s="44"/>
      <c r="H719" s="44"/>
      <c r="I719" s="44"/>
    </row>
    <row r="720">
      <c r="G720" s="44"/>
      <c r="H720" s="44"/>
      <c r="I720" s="44"/>
    </row>
    <row r="721">
      <c r="G721" s="44"/>
      <c r="H721" s="44"/>
      <c r="I721" s="44"/>
    </row>
    <row r="722">
      <c r="G722" s="44"/>
      <c r="H722" s="44"/>
      <c r="I722" s="44"/>
    </row>
    <row r="723">
      <c r="G723" s="44"/>
      <c r="H723" s="44"/>
      <c r="I723" s="44"/>
    </row>
    <row r="724">
      <c r="G724" s="44"/>
      <c r="H724" s="44"/>
      <c r="I724" s="44"/>
    </row>
    <row r="725">
      <c r="G725" s="44"/>
      <c r="H725" s="44"/>
      <c r="I725" s="44"/>
    </row>
    <row r="726">
      <c r="G726" s="44"/>
      <c r="H726" s="44"/>
      <c r="I726" s="44"/>
    </row>
    <row r="727">
      <c r="G727" s="44"/>
      <c r="H727" s="44"/>
      <c r="I727" s="44"/>
    </row>
    <row r="728">
      <c r="G728" s="44"/>
      <c r="H728" s="44"/>
      <c r="I728" s="44"/>
    </row>
    <row r="729">
      <c r="G729" s="44"/>
      <c r="H729" s="44"/>
      <c r="I729" s="44"/>
    </row>
    <row r="730">
      <c r="G730" s="44"/>
      <c r="H730" s="44"/>
      <c r="I730" s="44"/>
    </row>
    <row r="731">
      <c r="G731" s="44"/>
      <c r="H731" s="44"/>
      <c r="I731" s="44"/>
    </row>
    <row r="732">
      <c r="G732" s="44"/>
      <c r="H732" s="44"/>
      <c r="I732" s="44"/>
    </row>
    <row r="733">
      <c r="G733" s="44"/>
      <c r="H733" s="44"/>
      <c r="I733" s="44"/>
    </row>
    <row r="734">
      <c r="G734" s="44"/>
      <c r="H734" s="44"/>
      <c r="I734" s="44"/>
    </row>
    <row r="735">
      <c r="G735" s="44"/>
      <c r="H735" s="44"/>
      <c r="I735" s="44"/>
    </row>
    <row r="736">
      <c r="G736" s="44"/>
      <c r="H736" s="44"/>
      <c r="I736" s="44"/>
    </row>
    <row r="737">
      <c r="G737" s="44"/>
      <c r="H737" s="44"/>
      <c r="I737" s="44"/>
    </row>
    <row r="738">
      <c r="G738" s="44"/>
      <c r="H738" s="44"/>
      <c r="I738" s="44"/>
    </row>
    <row r="739">
      <c r="G739" s="44"/>
      <c r="H739" s="44"/>
      <c r="I739" s="44"/>
    </row>
    <row r="740">
      <c r="G740" s="44"/>
      <c r="H740" s="44"/>
      <c r="I740" s="44"/>
    </row>
    <row r="741">
      <c r="G741" s="44"/>
      <c r="H741" s="44"/>
      <c r="I741" s="44"/>
    </row>
    <row r="742">
      <c r="G742" s="44"/>
      <c r="H742" s="44"/>
      <c r="I742" s="44"/>
    </row>
    <row r="743">
      <c r="G743" s="44"/>
      <c r="H743" s="44"/>
      <c r="I743" s="44"/>
    </row>
    <row r="744">
      <c r="G744" s="44"/>
      <c r="H744" s="44"/>
      <c r="I744" s="44"/>
    </row>
    <row r="745">
      <c r="G745" s="44"/>
      <c r="H745" s="44"/>
      <c r="I745" s="44"/>
    </row>
    <row r="746">
      <c r="G746" s="44"/>
      <c r="H746" s="44"/>
      <c r="I746" s="44"/>
    </row>
    <row r="747">
      <c r="G747" s="44"/>
      <c r="H747" s="44"/>
      <c r="I747" s="44"/>
    </row>
    <row r="748">
      <c r="G748" s="44"/>
      <c r="H748" s="44"/>
      <c r="I748" s="44"/>
    </row>
    <row r="749">
      <c r="G749" s="44"/>
      <c r="H749" s="44"/>
      <c r="I749" s="44"/>
    </row>
    <row r="750">
      <c r="G750" s="44"/>
      <c r="H750" s="44"/>
      <c r="I750" s="44"/>
    </row>
    <row r="751">
      <c r="G751" s="44"/>
      <c r="H751" s="44"/>
      <c r="I751" s="44"/>
    </row>
    <row r="752">
      <c r="G752" s="44"/>
      <c r="H752" s="44"/>
      <c r="I752" s="44"/>
    </row>
    <row r="753">
      <c r="G753" s="44"/>
      <c r="H753" s="44"/>
      <c r="I753" s="44"/>
    </row>
    <row r="754">
      <c r="G754" s="44"/>
      <c r="H754" s="44"/>
      <c r="I754" s="44"/>
    </row>
    <row r="755">
      <c r="G755" s="44"/>
      <c r="H755" s="44"/>
      <c r="I755" s="44"/>
    </row>
    <row r="756">
      <c r="G756" s="44"/>
      <c r="H756" s="44"/>
      <c r="I756" s="44"/>
    </row>
    <row r="757">
      <c r="G757" s="44"/>
      <c r="H757" s="44"/>
      <c r="I757" s="44"/>
    </row>
    <row r="758">
      <c r="G758" s="44"/>
      <c r="H758" s="44"/>
      <c r="I758" s="44"/>
    </row>
    <row r="759">
      <c r="G759" s="44"/>
      <c r="H759" s="44"/>
      <c r="I759" s="44"/>
    </row>
    <row r="760">
      <c r="G760" s="44"/>
      <c r="H760" s="44"/>
      <c r="I760" s="44"/>
    </row>
    <row r="761">
      <c r="G761" s="44"/>
      <c r="H761" s="44"/>
      <c r="I761" s="44"/>
    </row>
    <row r="762">
      <c r="G762" s="44"/>
      <c r="H762" s="44"/>
      <c r="I762" s="44"/>
    </row>
    <row r="763">
      <c r="G763" s="44"/>
      <c r="H763" s="44"/>
      <c r="I763" s="44"/>
    </row>
    <row r="764">
      <c r="G764" s="44"/>
      <c r="H764" s="44"/>
      <c r="I764" s="44"/>
    </row>
    <row r="765">
      <c r="G765" s="44"/>
      <c r="H765" s="44"/>
      <c r="I765" s="44"/>
    </row>
    <row r="766">
      <c r="G766" s="44"/>
      <c r="H766" s="44"/>
      <c r="I766" s="44"/>
    </row>
    <row r="767">
      <c r="G767" s="44"/>
      <c r="H767" s="44"/>
      <c r="I767" s="44"/>
    </row>
    <row r="768">
      <c r="G768" s="44"/>
      <c r="H768" s="44"/>
      <c r="I768" s="44"/>
    </row>
    <row r="769">
      <c r="G769" s="44"/>
      <c r="H769" s="44"/>
      <c r="I769" s="44"/>
    </row>
    <row r="770">
      <c r="G770" s="44"/>
      <c r="H770" s="44"/>
      <c r="I770" s="44"/>
    </row>
    <row r="771">
      <c r="G771" s="44"/>
      <c r="H771" s="44"/>
      <c r="I771" s="44"/>
    </row>
    <row r="772">
      <c r="G772" s="44"/>
      <c r="H772" s="44"/>
      <c r="I772" s="44"/>
    </row>
    <row r="773">
      <c r="G773" s="44"/>
      <c r="H773" s="44"/>
      <c r="I773" s="44"/>
    </row>
    <row r="774">
      <c r="G774" s="44"/>
      <c r="H774" s="44"/>
      <c r="I774" s="44"/>
    </row>
    <row r="775">
      <c r="G775" s="44"/>
      <c r="H775" s="44"/>
      <c r="I775" s="44"/>
    </row>
    <row r="776">
      <c r="G776" s="44"/>
      <c r="H776" s="44"/>
      <c r="I776" s="44"/>
    </row>
    <row r="777">
      <c r="G777" s="44"/>
      <c r="H777" s="44"/>
      <c r="I777" s="44"/>
    </row>
    <row r="778">
      <c r="G778" s="44"/>
      <c r="H778" s="44"/>
      <c r="I778" s="44"/>
    </row>
    <row r="779">
      <c r="G779" s="44"/>
      <c r="H779" s="44"/>
      <c r="I779" s="44"/>
    </row>
    <row r="780">
      <c r="G780" s="44"/>
      <c r="H780" s="44"/>
      <c r="I780" s="44"/>
    </row>
    <row r="781">
      <c r="G781" s="44"/>
      <c r="H781" s="44"/>
      <c r="I781" s="44"/>
    </row>
    <row r="782">
      <c r="G782" s="44"/>
      <c r="H782" s="44"/>
      <c r="I782" s="44"/>
    </row>
    <row r="783">
      <c r="G783" s="44"/>
      <c r="H783" s="44"/>
      <c r="I783" s="44"/>
    </row>
    <row r="784">
      <c r="G784" s="44"/>
      <c r="H784" s="44"/>
      <c r="I784" s="44"/>
    </row>
    <row r="785">
      <c r="G785" s="44"/>
      <c r="H785" s="44"/>
      <c r="I785" s="44"/>
    </row>
    <row r="786">
      <c r="G786" s="44"/>
      <c r="H786" s="44"/>
      <c r="I786" s="44"/>
    </row>
    <row r="787">
      <c r="G787" s="44"/>
      <c r="H787" s="44"/>
      <c r="I787" s="44"/>
    </row>
    <row r="788">
      <c r="G788" s="44"/>
      <c r="H788" s="44"/>
      <c r="I788" s="44"/>
    </row>
    <row r="789">
      <c r="G789" s="44"/>
      <c r="H789" s="44"/>
      <c r="I789" s="44"/>
    </row>
    <row r="790">
      <c r="G790" s="44"/>
      <c r="H790" s="44"/>
      <c r="I790" s="44"/>
    </row>
    <row r="791">
      <c r="G791" s="44"/>
      <c r="H791" s="44"/>
      <c r="I791" s="44"/>
    </row>
    <row r="792">
      <c r="G792" s="44"/>
      <c r="H792" s="44"/>
      <c r="I792" s="44"/>
    </row>
    <row r="793">
      <c r="G793" s="44"/>
      <c r="H793" s="44"/>
      <c r="I793" s="44"/>
    </row>
    <row r="794">
      <c r="G794" s="44"/>
      <c r="H794" s="44"/>
      <c r="I794" s="44"/>
    </row>
    <row r="795">
      <c r="G795" s="44"/>
      <c r="H795" s="44"/>
      <c r="I795" s="44"/>
    </row>
    <row r="796">
      <c r="G796" s="44"/>
      <c r="H796" s="44"/>
      <c r="I796" s="44"/>
    </row>
    <row r="797">
      <c r="G797" s="44"/>
      <c r="H797" s="44"/>
      <c r="I797" s="44"/>
    </row>
    <row r="798">
      <c r="G798" s="44"/>
      <c r="H798" s="44"/>
      <c r="I798" s="44"/>
    </row>
    <row r="799">
      <c r="G799" s="44"/>
      <c r="H799" s="44"/>
      <c r="I799" s="44"/>
    </row>
    <row r="800">
      <c r="G800" s="44"/>
      <c r="H800" s="44"/>
      <c r="I800" s="44"/>
    </row>
    <row r="801">
      <c r="G801" s="44"/>
      <c r="H801" s="44"/>
      <c r="I801" s="44"/>
    </row>
    <row r="802">
      <c r="G802" s="44"/>
      <c r="H802" s="44"/>
      <c r="I802" s="44"/>
    </row>
    <row r="803">
      <c r="G803" s="44"/>
      <c r="H803" s="44"/>
      <c r="I803" s="44"/>
    </row>
    <row r="804">
      <c r="G804" s="44"/>
      <c r="H804" s="44"/>
      <c r="I804" s="44"/>
    </row>
    <row r="805">
      <c r="G805" s="44"/>
      <c r="H805" s="44"/>
      <c r="I805" s="44"/>
    </row>
    <row r="806">
      <c r="G806" s="44"/>
      <c r="H806" s="44"/>
      <c r="I806" s="44"/>
    </row>
    <row r="807">
      <c r="G807" s="44"/>
      <c r="H807" s="44"/>
      <c r="I807" s="44"/>
    </row>
    <row r="808">
      <c r="G808" s="44"/>
      <c r="H808" s="44"/>
      <c r="I808" s="44"/>
    </row>
    <row r="809">
      <c r="G809" s="44"/>
      <c r="H809" s="44"/>
      <c r="I809" s="44"/>
    </row>
    <row r="810">
      <c r="G810" s="44"/>
      <c r="H810" s="44"/>
      <c r="I810" s="44"/>
    </row>
    <row r="811">
      <c r="G811" s="44"/>
      <c r="H811" s="44"/>
      <c r="I811" s="44"/>
    </row>
    <row r="812">
      <c r="G812" s="44"/>
      <c r="H812" s="44"/>
      <c r="I812" s="44"/>
    </row>
    <row r="813">
      <c r="G813" s="44"/>
      <c r="H813" s="44"/>
      <c r="I813" s="44"/>
    </row>
    <row r="814">
      <c r="G814" s="44"/>
      <c r="H814" s="44"/>
      <c r="I814" s="44"/>
    </row>
    <row r="815">
      <c r="G815" s="44"/>
      <c r="H815" s="44"/>
      <c r="I815" s="44"/>
    </row>
    <row r="816">
      <c r="G816" s="44"/>
      <c r="H816" s="44"/>
      <c r="I816" s="44"/>
    </row>
    <row r="817">
      <c r="G817" s="44"/>
      <c r="H817" s="44"/>
      <c r="I817" s="44"/>
    </row>
    <row r="818">
      <c r="G818" s="44"/>
      <c r="H818" s="44"/>
      <c r="I818" s="44"/>
    </row>
    <row r="819">
      <c r="G819" s="44"/>
      <c r="H819" s="44"/>
      <c r="I819" s="44"/>
    </row>
    <row r="820">
      <c r="G820" s="44"/>
      <c r="H820" s="44"/>
      <c r="I820" s="44"/>
    </row>
    <row r="821">
      <c r="G821" s="44"/>
      <c r="H821" s="44"/>
      <c r="I821" s="44"/>
    </row>
    <row r="822">
      <c r="G822" s="44"/>
      <c r="H822" s="44"/>
      <c r="I822" s="44"/>
    </row>
    <row r="823">
      <c r="G823" s="44"/>
      <c r="H823" s="44"/>
      <c r="I823" s="44"/>
    </row>
    <row r="824">
      <c r="G824" s="44"/>
      <c r="H824" s="44"/>
      <c r="I824" s="44"/>
    </row>
    <row r="825">
      <c r="G825" s="44"/>
      <c r="H825" s="44"/>
      <c r="I825" s="44"/>
    </row>
    <row r="826">
      <c r="G826" s="44"/>
      <c r="H826" s="44"/>
      <c r="I826" s="44"/>
    </row>
    <row r="827">
      <c r="G827" s="44"/>
      <c r="H827" s="44"/>
      <c r="I827" s="44"/>
    </row>
    <row r="828">
      <c r="G828" s="44"/>
      <c r="H828" s="44"/>
      <c r="I828" s="44"/>
    </row>
    <row r="829">
      <c r="G829" s="44"/>
      <c r="H829" s="44"/>
      <c r="I829" s="44"/>
    </row>
    <row r="830">
      <c r="G830" s="44"/>
      <c r="H830" s="44"/>
      <c r="I830" s="44"/>
    </row>
    <row r="831">
      <c r="G831" s="44"/>
      <c r="H831" s="44"/>
      <c r="I831" s="44"/>
    </row>
    <row r="832">
      <c r="G832" s="44"/>
      <c r="H832" s="44"/>
      <c r="I832" s="44"/>
    </row>
    <row r="833">
      <c r="G833" s="44"/>
      <c r="H833" s="44"/>
      <c r="I833" s="44"/>
    </row>
    <row r="834">
      <c r="G834" s="44"/>
      <c r="H834" s="44"/>
      <c r="I834" s="44"/>
    </row>
    <row r="835">
      <c r="G835" s="44"/>
      <c r="H835" s="44"/>
      <c r="I835" s="44"/>
    </row>
    <row r="836">
      <c r="G836" s="44"/>
      <c r="H836" s="44"/>
      <c r="I836" s="44"/>
    </row>
    <row r="837">
      <c r="G837" s="44"/>
      <c r="H837" s="44"/>
      <c r="I837" s="44"/>
    </row>
    <row r="838">
      <c r="G838" s="44"/>
      <c r="H838" s="44"/>
      <c r="I838" s="44"/>
    </row>
    <row r="839">
      <c r="G839" s="44"/>
      <c r="H839" s="44"/>
      <c r="I839" s="44"/>
    </row>
    <row r="840">
      <c r="G840" s="44"/>
      <c r="H840" s="44"/>
      <c r="I840" s="44"/>
    </row>
    <row r="841">
      <c r="G841" s="44"/>
      <c r="H841" s="44"/>
      <c r="I841" s="44"/>
    </row>
    <row r="842">
      <c r="G842" s="44"/>
      <c r="H842" s="44"/>
      <c r="I842" s="44"/>
    </row>
    <row r="843">
      <c r="G843" s="44"/>
      <c r="H843" s="44"/>
      <c r="I843" s="44"/>
    </row>
    <row r="844">
      <c r="G844" s="44"/>
      <c r="H844" s="44"/>
      <c r="I844" s="44"/>
    </row>
    <row r="845">
      <c r="G845" s="44"/>
      <c r="H845" s="44"/>
      <c r="I845" s="44"/>
    </row>
    <row r="846">
      <c r="G846" s="44"/>
      <c r="H846" s="44"/>
      <c r="I846" s="44"/>
    </row>
    <row r="847">
      <c r="G847" s="44"/>
      <c r="H847" s="44"/>
      <c r="I847" s="44"/>
    </row>
    <row r="848">
      <c r="G848" s="44"/>
      <c r="H848" s="44"/>
      <c r="I848" s="44"/>
    </row>
    <row r="849">
      <c r="G849" s="44"/>
      <c r="H849" s="44"/>
      <c r="I849" s="44"/>
    </row>
    <row r="850">
      <c r="G850" s="44"/>
      <c r="H850" s="44"/>
      <c r="I850" s="44"/>
    </row>
    <row r="851">
      <c r="G851" s="44"/>
      <c r="H851" s="44"/>
      <c r="I851" s="44"/>
    </row>
    <row r="852">
      <c r="G852" s="44"/>
      <c r="H852" s="44"/>
      <c r="I852" s="44"/>
    </row>
    <row r="853">
      <c r="G853" s="44"/>
      <c r="H853" s="44"/>
      <c r="I853" s="44"/>
    </row>
    <row r="854">
      <c r="G854" s="44"/>
      <c r="H854" s="44"/>
      <c r="I854" s="44"/>
    </row>
    <row r="855">
      <c r="G855" s="44"/>
      <c r="H855" s="44"/>
      <c r="I855" s="44"/>
    </row>
    <row r="856">
      <c r="G856" s="44"/>
      <c r="H856" s="44"/>
      <c r="I856" s="44"/>
    </row>
    <row r="857">
      <c r="G857" s="44"/>
      <c r="H857" s="44"/>
      <c r="I857" s="44"/>
    </row>
    <row r="858">
      <c r="G858" s="44"/>
      <c r="H858" s="44"/>
      <c r="I858" s="44"/>
    </row>
    <row r="859">
      <c r="G859" s="44"/>
      <c r="H859" s="44"/>
      <c r="I859" s="44"/>
    </row>
    <row r="860">
      <c r="G860" s="44"/>
      <c r="H860" s="44"/>
      <c r="I860" s="44"/>
    </row>
    <row r="861">
      <c r="G861" s="44"/>
      <c r="H861" s="44"/>
      <c r="I861" s="44"/>
    </row>
    <row r="862">
      <c r="G862" s="44"/>
      <c r="H862" s="44"/>
      <c r="I862" s="44"/>
    </row>
    <row r="863">
      <c r="G863" s="44"/>
      <c r="H863" s="44"/>
      <c r="I863" s="44"/>
    </row>
    <row r="864">
      <c r="G864" s="44"/>
      <c r="H864" s="44"/>
      <c r="I864" s="44"/>
    </row>
    <row r="865">
      <c r="G865" s="44"/>
      <c r="H865" s="44"/>
      <c r="I865" s="44"/>
    </row>
    <row r="866">
      <c r="G866" s="44"/>
      <c r="H866" s="44"/>
      <c r="I866" s="44"/>
    </row>
    <row r="867">
      <c r="G867" s="44"/>
      <c r="H867" s="44"/>
      <c r="I867" s="44"/>
    </row>
    <row r="868">
      <c r="G868" s="44"/>
      <c r="H868" s="44"/>
      <c r="I868" s="44"/>
    </row>
    <row r="869">
      <c r="G869" s="44"/>
      <c r="H869" s="44"/>
      <c r="I869" s="44"/>
    </row>
    <row r="870">
      <c r="G870" s="44"/>
      <c r="H870" s="44"/>
      <c r="I870" s="44"/>
    </row>
    <row r="871">
      <c r="G871" s="44"/>
      <c r="H871" s="44"/>
      <c r="I871" s="44"/>
    </row>
    <row r="872">
      <c r="G872" s="44"/>
      <c r="H872" s="44"/>
      <c r="I872" s="44"/>
    </row>
    <row r="873">
      <c r="G873" s="44"/>
      <c r="H873" s="44"/>
      <c r="I873" s="44"/>
    </row>
    <row r="874">
      <c r="G874" s="44"/>
      <c r="H874" s="44"/>
      <c r="I874" s="44"/>
    </row>
    <row r="875">
      <c r="G875" s="44"/>
      <c r="H875" s="44"/>
      <c r="I875" s="44"/>
    </row>
    <row r="876">
      <c r="G876" s="44"/>
      <c r="H876" s="44"/>
      <c r="I876" s="44"/>
    </row>
    <row r="877">
      <c r="G877" s="44"/>
      <c r="H877" s="44"/>
      <c r="I877" s="44"/>
    </row>
    <row r="878">
      <c r="G878" s="44"/>
      <c r="H878" s="44"/>
      <c r="I878" s="44"/>
    </row>
    <row r="879">
      <c r="G879" s="44"/>
      <c r="H879" s="44"/>
      <c r="I879" s="44"/>
    </row>
    <row r="880">
      <c r="G880" s="44"/>
      <c r="H880" s="44"/>
      <c r="I880" s="44"/>
    </row>
    <row r="881">
      <c r="G881" s="44"/>
      <c r="H881" s="44"/>
      <c r="I881" s="44"/>
    </row>
    <row r="882">
      <c r="G882" s="44"/>
      <c r="H882" s="44"/>
      <c r="I882" s="44"/>
    </row>
    <row r="883">
      <c r="G883" s="44"/>
      <c r="H883" s="44"/>
      <c r="I883" s="44"/>
    </row>
    <row r="884">
      <c r="G884" s="44"/>
      <c r="H884" s="44"/>
      <c r="I884" s="44"/>
    </row>
    <row r="885">
      <c r="G885" s="44"/>
      <c r="H885" s="44"/>
      <c r="I885" s="44"/>
    </row>
    <row r="886">
      <c r="G886" s="44"/>
      <c r="H886" s="44"/>
      <c r="I886" s="44"/>
    </row>
    <row r="887">
      <c r="G887" s="44"/>
      <c r="H887" s="44"/>
      <c r="I887" s="44"/>
    </row>
    <row r="888">
      <c r="G888" s="44"/>
      <c r="H888" s="44"/>
      <c r="I888" s="44"/>
    </row>
    <row r="889">
      <c r="G889" s="44"/>
      <c r="H889" s="44"/>
      <c r="I889" s="44"/>
    </row>
    <row r="890">
      <c r="G890" s="44"/>
      <c r="H890" s="44"/>
      <c r="I890" s="44"/>
    </row>
    <row r="891">
      <c r="G891" s="44"/>
      <c r="H891" s="44"/>
      <c r="I891" s="44"/>
    </row>
    <row r="892">
      <c r="G892" s="44"/>
      <c r="H892" s="44"/>
      <c r="I892" s="44"/>
    </row>
    <row r="893">
      <c r="G893" s="44"/>
      <c r="H893" s="44"/>
      <c r="I893" s="44"/>
    </row>
    <row r="894">
      <c r="G894" s="44"/>
      <c r="H894" s="44"/>
      <c r="I894" s="44"/>
    </row>
    <row r="895">
      <c r="G895" s="44"/>
      <c r="H895" s="44"/>
      <c r="I895" s="44"/>
    </row>
    <row r="896">
      <c r="G896" s="44"/>
      <c r="H896" s="44"/>
      <c r="I896" s="44"/>
    </row>
    <row r="897">
      <c r="G897" s="44"/>
      <c r="H897" s="44"/>
      <c r="I897" s="44"/>
    </row>
    <row r="898">
      <c r="G898" s="44"/>
      <c r="H898" s="44"/>
      <c r="I898" s="44"/>
    </row>
    <row r="899">
      <c r="G899" s="44"/>
      <c r="H899" s="44"/>
      <c r="I899" s="44"/>
    </row>
    <row r="900">
      <c r="G900" s="44"/>
      <c r="H900" s="44"/>
      <c r="I900" s="44"/>
    </row>
    <row r="901">
      <c r="G901" s="44"/>
      <c r="H901" s="44"/>
      <c r="I901" s="44"/>
    </row>
    <row r="902">
      <c r="G902" s="44"/>
      <c r="H902" s="44"/>
      <c r="I902" s="44"/>
    </row>
    <row r="903">
      <c r="G903" s="44"/>
      <c r="H903" s="44"/>
      <c r="I903" s="44"/>
    </row>
    <row r="904">
      <c r="G904" s="44"/>
      <c r="H904" s="44"/>
      <c r="I904" s="44"/>
    </row>
    <row r="905">
      <c r="G905" s="44"/>
      <c r="H905" s="44"/>
      <c r="I905" s="44"/>
    </row>
    <row r="906">
      <c r="G906" s="44"/>
      <c r="H906" s="44"/>
      <c r="I906" s="44"/>
    </row>
    <row r="907">
      <c r="G907" s="44"/>
      <c r="H907" s="44"/>
      <c r="I907" s="44"/>
    </row>
    <row r="908">
      <c r="G908" s="44"/>
      <c r="H908" s="44"/>
      <c r="I908" s="44"/>
    </row>
    <row r="909">
      <c r="G909" s="44"/>
      <c r="H909" s="44"/>
      <c r="I909" s="44"/>
    </row>
    <row r="910">
      <c r="G910" s="44"/>
      <c r="H910" s="44"/>
      <c r="I910" s="44"/>
    </row>
    <row r="911">
      <c r="G911" s="44"/>
      <c r="H911" s="44"/>
      <c r="I911" s="44"/>
    </row>
    <row r="912">
      <c r="G912" s="44"/>
      <c r="H912" s="44"/>
      <c r="I912" s="44"/>
    </row>
    <row r="913">
      <c r="G913" s="44"/>
      <c r="H913" s="44"/>
      <c r="I913" s="44"/>
    </row>
    <row r="914">
      <c r="G914" s="44"/>
      <c r="H914" s="44"/>
      <c r="I914" s="44"/>
    </row>
    <row r="915">
      <c r="G915" s="44"/>
      <c r="H915" s="44"/>
      <c r="I915" s="44"/>
    </row>
    <row r="916">
      <c r="G916" s="44"/>
      <c r="H916" s="44"/>
      <c r="I916" s="44"/>
    </row>
    <row r="917">
      <c r="G917" s="44"/>
      <c r="H917" s="44"/>
      <c r="I917" s="44"/>
    </row>
    <row r="918">
      <c r="G918" s="44"/>
      <c r="H918" s="44"/>
      <c r="I918" s="44"/>
    </row>
    <row r="919">
      <c r="G919" s="44"/>
      <c r="H919" s="44"/>
      <c r="I919" s="44"/>
    </row>
    <row r="920">
      <c r="G920" s="44"/>
      <c r="H920" s="44"/>
      <c r="I920" s="44"/>
    </row>
    <row r="921">
      <c r="G921" s="44"/>
      <c r="H921" s="44"/>
      <c r="I921" s="44"/>
    </row>
    <row r="922">
      <c r="G922" s="44"/>
      <c r="H922" s="44"/>
      <c r="I922" s="44"/>
    </row>
    <row r="923">
      <c r="G923" s="44"/>
      <c r="H923" s="44"/>
      <c r="I923" s="44"/>
    </row>
    <row r="924">
      <c r="G924" s="44"/>
      <c r="H924" s="44"/>
      <c r="I924" s="44"/>
    </row>
    <row r="925">
      <c r="G925" s="44"/>
      <c r="H925" s="44"/>
      <c r="I925" s="44"/>
    </row>
    <row r="926">
      <c r="G926" s="44"/>
      <c r="H926" s="44"/>
      <c r="I926" s="44"/>
    </row>
    <row r="927">
      <c r="G927" s="44"/>
      <c r="H927" s="44"/>
      <c r="I927" s="44"/>
    </row>
    <row r="928">
      <c r="G928" s="44"/>
      <c r="H928" s="44"/>
      <c r="I928" s="44"/>
    </row>
    <row r="929">
      <c r="G929" s="44"/>
      <c r="H929" s="44"/>
      <c r="I929" s="44"/>
    </row>
    <row r="930">
      <c r="G930" s="44"/>
      <c r="H930" s="44"/>
      <c r="I930" s="44"/>
    </row>
    <row r="931">
      <c r="G931" s="44"/>
      <c r="H931" s="44"/>
      <c r="I931" s="44"/>
    </row>
    <row r="932">
      <c r="G932" s="44"/>
      <c r="H932" s="44"/>
      <c r="I932" s="44"/>
    </row>
    <row r="933">
      <c r="G933" s="44"/>
      <c r="H933" s="44"/>
      <c r="I933" s="44"/>
    </row>
    <row r="934">
      <c r="G934" s="44"/>
      <c r="H934" s="44"/>
      <c r="I934" s="44"/>
    </row>
    <row r="935">
      <c r="G935" s="44"/>
      <c r="H935" s="44"/>
      <c r="I935" s="44"/>
    </row>
    <row r="936">
      <c r="G936" s="44"/>
      <c r="H936" s="44"/>
      <c r="I936" s="44"/>
    </row>
    <row r="937">
      <c r="G937" s="44"/>
      <c r="H937" s="44"/>
      <c r="I937" s="44"/>
    </row>
    <row r="938">
      <c r="G938" s="44"/>
      <c r="H938" s="44"/>
      <c r="I938" s="44"/>
    </row>
    <row r="939">
      <c r="G939" s="44"/>
      <c r="H939" s="44"/>
      <c r="I939" s="44"/>
    </row>
    <row r="940">
      <c r="G940" s="44"/>
      <c r="H940" s="44"/>
      <c r="I940" s="44"/>
    </row>
    <row r="941">
      <c r="G941" s="44"/>
      <c r="H941" s="44"/>
      <c r="I941" s="44"/>
    </row>
    <row r="942">
      <c r="G942" s="44"/>
      <c r="H942" s="44"/>
      <c r="I942" s="44"/>
    </row>
    <row r="943">
      <c r="G943" s="44"/>
      <c r="H943" s="44"/>
      <c r="I943" s="44"/>
    </row>
    <row r="944">
      <c r="G944" s="44"/>
      <c r="H944" s="44"/>
      <c r="I944" s="44"/>
    </row>
    <row r="945">
      <c r="G945" s="44"/>
      <c r="H945" s="44"/>
      <c r="I945" s="44"/>
    </row>
    <row r="946">
      <c r="G946" s="44"/>
      <c r="H946" s="44"/>
      <c r="I946" s="44"/>
    </row>
    <row r="947">
      <c r="G947" s="44"/>
      <c r="H947" s="44"/>
      <c r="I947" s="44"/>
    </row>
    <row r="948">
      <c r="G948" s="44"/>
      <c r="H948" s="44"/>
      <c r="I948" s="44"/>
    </row>
    <row r="949">
      <c r="G949" s="44"/>
      <c r="H949" s="44"/>
      <c r="I949" s="44"/>
    </row>
    <row r="950">
      <c r="G950" s="44"/>
      <c r="H950" s="44"/>
      <c r="I950" s="44"/>
    </row>
    <row r="951">
      <c r="G951" s="44"/>
      <c r="H951" s="44"/>
      <c r="I951" s="44"/>
    </row>
    <row r="952">
      <c r="G952" s="44"/>
      <c r="H952" s="44"/>
      <c r="I952" s="44"/>
    </row>
    <row r="953">
      <c r="G953" s="44"/>
      <c r="H953" s="44"/>
      <c r="I953" s="44"/>
    </row>
    <row r="954">
      <c r="G954" s="44"/>
      <c r="H954" s="44"/>
      <c r="I954" s="44"/>
    </row>
    <row r="955">
      <c r="G955" s="44"/>
      <c r="H955" s="44"/>
      <c r="I955" s="44"/>
    </row>
    <row r="956">
      <c r="G956" s="44"/>
      <c r="H956" s="44"/>
      <c r="I956" s="44"/>
    </row>
    <row r="957">
      <c r="G957" s="44"/>
      <c r="H957" s="44"/>
      <c r="I957" s="44"/>
    </row>
    <row r="958">
      <c r="G958" s="44"/>
      <c r="H958" s="44"/>
      <c r="I958" s="44"/>
    </row>
    <row r="959">
      <c r="G959" s="44"/>
      <c r="H959" s="44"/>
      <c r="I959" s="44"/>
    </row>
    <row r="960">
      <c r="G960" s="44"/>
      <c r="H960" s="44"/>
      <c r="I960" s="44"/>
    </row>
    <row r="961">
      <c r="G961" s="44"/>
      <c r="H961" s="44"/>
      <c r="I961" s="44"/>
    </row>
    <row r="962">
      <c r="G962" s="44"/>
      <c r="H962" s="44"/>
      <c r="I962" s="44"/>
    </row>
    <row r="963">
      <c r="G963" s="44"/>
      <c r="H963" s="44"/>
      <c r="I963" s="44"/>
    </row>
    <row r="964">
      <c r="G964" s="44"/>
      <c r="H964" s="44"/>
      <c r="I964" s="44"/>
    </row>
    <row r="965">
      <c r="G965" s="44"/>
      <c r="H965" s="44"/>
      <c r="I965" s="44"/>
    </row>
    <row r="966">
      <c r="G966" s="44"/>
      <c r="H966" s="44"/>
      <c r="I966" s="44"/>
    </row>
    <row r="967">
      <c r="G967" s="44"/>
      <c r="H967" s="44"/>
      <c r="I967" s="44"/>
    </row>
    <row r="968">
      <c r="G968" s="44"/>
      <c r="H968" s="44"/>
      <c r="I968" s="44"/>
    </row>
    <row r="969">
      <c r="G969" s="44"/>
      <c r="H969" s="44"/>
      <c r="I969" s="44"/>
    </row>
    <row r="970">
      <c r="G970" s="44"/>
      <c r="H970" s="44"/>
      <c r="I970" s="44"/>
    </row>
    <row r="971">
      <c r="G971" s="44"/>
      <c r="H971" s="44"/>
      <c r="I971" s="44"/>
    </row>
    <row r="972">
      <c r="G972" s="44"/>
      <c r="H972" s="44"/>
      <c r="I972" s="44"/>
    </row>
    <row r="973">
      <c r="G973" s="44"/>
      <c r="H973" s="44"/>
      <c r="I973" s="44"/>
    </row>
    <row r="974">
      <c r="G974" s="44"/>
      <c r="H974" s="44"/>
      <c r="I974" s="44"/>
    </row>
    <row r="975">
      <c r="G975" s="44"/>
      <c r="H975" s="44"/>
      <c r="I975" s="44"/>
    </row>
    <row r="976">
      <c r="G976" s="44"/>
      <c r="H976" s="44"/>
      <c r="I976" s="44"/>
    </row>
    <row r="977">
      <c r="G977" s="44"/>
      <c r="H977" s="44"/>
      <c r="I977" s="44"/>
    </row>
    <row r="978">
      <c r="G978" s="44"/>
      <c r="H978" s="44"/>
      <c r="I978" s="44"/>
    </row>
    <row r="979">
      <c r="G979" s="44"/>
      <c r="H979" s="44"/>
      <c r="I979" s="44"/>
    </row>
    <row r="980">
      <c r="G980" s="44"/>
      <c r="H980" s="44"/>
      <c r="I980" s="44"/>
    </row>
    <row r="981">
      <c r="G981" s="44"/>
      <c r="H981" s="44"/>
      <c r="I981" s="44"/>
    </row>
    <row r="982">
      <c r="G982" s="44"/>
      <c r="H982" s="44"/>
      <c r="I982" s="44"/>
    </row>
    <row r="983">
      <c r="G983" s="44"/>
      <c r="H983" s="44"/>
      <c r="I983" s="44"/>
    </row>
    <row r="984">
      <c r="G984" s="44"/>
      <c r="H984" s="44"/>
      <c r="I984" s="44"/>
    </row>
    <row r="985">
      <c r="G985" s="44"/>
      <c r="H985" s="44"/>
      <c r="I985" s="44"/>
    </row>
    <row r="986">
      <c r="G986" s="44"/>
      <c r="H986" s="44"/>
      <c r="I986" s="44"/>
    </row>
    <row r="987">
      <c r="G987" s="44"/>
      <c r="H987" s="44"/>
      <c r="I987" s="44"/>
    </row>
    <row r="988">
      <c r="G988" s="44"/>
      <c r="H988" s="44"/>
      <c r="I988" s="44"/>
    </row>
    <row r="989">
      <c r="G989" s="44"/>
      <c r="H989" s="44"/>
      <c r="I989" s="44"/>
    </row>
    <row r="990">
      <c r="G990" s="44"/>
      <c r="H990" s="44"/>
      <c r="I990" s="44"/>
    </row>
    <row r="991">
      <c r="G991" s="44"/>
      <c r="H991" s="44"/>
      <c r="I991" s="44"/>
    </row>
    <row r="992">
      <c r="G992" s="44"/>
      <c r="H992" s="44"/>
      <c r="I992" s="44"/>
    </row>
    <row r="993">
      <c r="G993" s="44"/>
      <c r="H993" s="44"/>
      <c r="I993" s="44"/>
    </row>
    <row r="994">
      <c r="G994" s="44"/>
      <c r="H994" s="44"/>
      <c r="I994" s="44"/>
    </row>
    <row r="995">
      <c r="G995" s="44"/>
      <c r="H995" s="44"/>
      <c r="I995" s="44"/>
    </row>
    <row r="996">
      <c r="G996" s="44"/>
      <c r="H996" s="44"/>
      <c r="I996" s="44"/>
    </row>
    <row r="997">
      <c r="G997" s="44"/>
      <c r="H997" s="44"/>
      <c r="I997" s="44"/>
    </row>
    <row r="998">
      <c r="G998" s="44"/>
      <c r="H998" s="44"/>
      <c r="I998" s="44"/>
    </row>
    <row r="999">
      <c r="G999" s="44"/>
      <c r="H999" s="44"/>
      <c r="I999" s="44"/>
    </row>
    <row r="1000">
      <c r="G1000" s="44"/>
      <c r="H1000" s="44"/>
      <c r="I1000" s="44"/>
    </row>
  </sheetData>
  <conditionalFormatting sqref="I2:I1000">
    <cfRule type="expression" dxfId="1" priority="1">
      <formula>AND(if(E2=F2,True,False),I2)</formula>
    </cfRule>
  </conditionalFormatting>
  <conditionalFormatting sqref="I2:I1000">
    <cfRule type="expression" dxfId="0" priority="2">
      <formula>AND(E2&lt;&gt;F2,I2)</formula>
    </cfRule>
  </conditionalFormatting>
  <dataValidations>
    <dataValidation type="list" allowBlank="1" showErrorMessage="1" sqref="A2:A229">
      <formula1>Quests!$A$2:$A1000</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25.75"/>
  </cols>
  <sheetData>
    <row r="1">
      <c r="A1" s="45" t="s">
        <v>246</v>
      </c>
      <c r="B1" s="45" t="s">
        <v>247</v>
      </c>
    </row>
    <row r="2">
      <c r="A2" s="49"/>
      <c r="B2" s="49" t="str">
        <f>IFNA(VLOOKUP($A2,Towns!$A$2:$F1000,MATCH($B$1,Towns!$A$1:$F$1,0),false))</f>
        <v/>
      </c>
    </row>
    <row r="3">
      <c r="A3" s="49"/>
      <c r="B3" s="49" t="str">
        <f>IFNA(VLOOKUP($A3,Towns!$A$2:$F1000,MATCH($B$1,Towns!$A$1:$F$1,0),false))</f>
        <v/>
      </c>
    </row>
    <row r="4">
      <c r="A4" s="49"/>
      <c r="B4" s="49" t="str">
        <f>IFNA(VLOOKUP($A4,Towns!$A$2:$F1000,MATCH($B$1,Towns!$A$1:$F$1,0),false))</f>
        <v/>
      </c>
    </row>
    <row r="5">
      <c r="A5" s="49"/>
      <c r="B5" s="49" t="str">
        <f>IFNA(VLOOKUP($A5,Towns!$A$2:$F1000,MATCH($B$1,Towns!$A$1:$F$1,0),false))</f>
        <v/>
      </c>
    </row>
    <row r="6">
      <c r="A6" s="49"/>
      <c r="B6" s="49" t="str">
        <f>IFNA(VLOOKUP($A6,Towns!$A$2:$F1000,MATCH($B$1,Towns!$A$1:$F$1,0),false))</f>
        <v/>
      </c>
    </row>
    <row r="7">
      <c r="A7" s="49"/>
      <c r="B7" s="49" t="str">
        <f>IFNA(VLOOKUP($A7,Towns!$A$2:$F1000,MATCH($B$1,Towns!$A$1:$F$1,0),false))</f>
        <v/>
      </c>
    </row>
    <row r="8">
      <c r="A8" s="49"/>
      <c r="B8" s="49" t="str">
        <f>IFNA(VLOOKUP($A8,Towns!$A$2:$F1000,MATCH($B$1,Towns!$A$1:$F$1,0),false))</f>
        <v/>
      </c>
    </row>
    <row r="9">
      <c r="A9" s="49"/>
      <c r="B9" s="49" t="str">
        <f>IFNA(VLOOKUP($A9,Towns!$A$2:$F1000,MATCH($B$1,Towns!$A$1:$F$1,0),false))</f>
        <v/>
      </c>
    </row>
    <row r="10">
      <c r="A10" s="49"/>
      <c r="B10" s="49" t="str">
        <f>IFNA(VLOOKUP($A10,Towns!$A$2:$F1000,MATCH($B$1,Towns!$A$1:$F$1,0),false))</f>
        <v/>
      </c>
    </row>
    <row r="11">
      <c r="A11" s="49"/>
      <c r="B11" s="49" t="str">
        <f>IFNA(VLOOKUP($A11,Towns!$A$2:$F1000,MATCH($B$1,Towns!$A$1:$F$1,0),false))</f>
        <v/>
      </c>
    </row>
    <row r="12">
      <c r="A12" s="49"/>
      <c r="B12" s="49" t="str">
        <f>IFNA(VLOOKUP($A12,Towns!$A$2:$F1000,MATCH($B$1,Towns!$A$1:$F$1,0),false))</f>
        <v/>
      </c>
    </row>
    <row r="13">
      <c r="A13" s="49"/>
      <c r="B13" s="49" t="str">
        <f>IFNA(VLOOKUP($A13,Towns!$A$2:$F1000,MATCH($B$1,Towns!$A$1:$F$1,0),false))</f>
        <v/>
      </c>
    </row>
    <row r="14">
      <c r="A14" s="49"/>
      <c r="B14" s="49" t="str">
        <f>IFNA(VLOOKUP($A14,Towns!$A$2:$F1000,MATCH($B$1,Towns!$A$1:$F$1,0),false))</f>
        <v/>
      </c>
    </row>
    <row r="15">
      <c r="A15" s="49"/>
      <c r="B15" s="49" t="str">
        <f>IFNA(VLOOKUP($A15,Towns!$A$2:$F1000,MATCH($B$1,Towns!$A$1:$F$1,0),false))</f>
        <v/>
      </c>
    </row>
    <row r="16">
      <c r="A16" s="49"/>
      <c r="B16" s="49" t="str">
        <f>IFNA(VLOOKUP($A16,Towns!$A$2:$F1000,MATCH($B$1,Towns!$A$1:$F$1,0),false))</f>
        <v/>
      </c>
    </row>
    <row r="17">
      <c r="A17" s="49"/>
      <c r="B17" s="49" t="str">
        <f>IFNA(VLOOKUP($A17,Towns!$A$2:$F1000,MATCH($B$1,Towns!$A$1:$F$1,0),false))</f>
        <v/>
      </c>
    </row>
    <row r="18">
      <c r="A18" s="49"/>
      <c r="B18" s="49" t="str">
        <f>IFNA(VLOOKUP($A18,Towns!$A$2:$F1000,MATCH($B$1,Towns!$A$1:$F$1,0),false))</f>
        <v/>
      </c>
    </row>
    <row r="19">
      <c r="A19" s="49"/>
      <c r="B19" s="49" t="str">
        <f>IFNA(VLOOKUP($A19,Towns!$A$2:$F1000,MATCH($B$1,Towns!$A$1:$F$1,0),false))</f>
        <v/>
      </c>
    </row>
    <row r="20">
      <c r="A20" s="49"/>
      <c r="B20" s="49" t="str">
        <f>IFNA(VLOOKUP($A20,Towns!$A$2:$F1000,MATCH($B$1,Towns!$A$1:$F$1,0),false))</f>
        <v/>
      </c>
    </row>
    <row r="21">
      <c r="A21" s="49"/>
      <c r="B21" s="49" t="str">
        <f>IFNA(VLOOKUP($A21,Towns!$A$2:$F1000,MATCH($B$1,Towns!$A$1:$F$1,0),false))</f>
        <v/>
      </c>
    </row>
    <row r="22">
      <c r="A22" s="49"/>
      <c r="B22" s="49" t="str">
        <f>IFNA(VLOOKUP($A22,Towns!$A$2:$F1000,MATCH($B$1,Towns!$A$1:$F$1,0),false))</f>
        <v/>
      </c>
    </row>
    <row r="23">
      <c r="A23" s="49"/>
      <c r="B23" s="49" t="str">
        <f>IFNA(VLOOKUP($A23,Towns!$A$2:$F1000,MATCH($B$1,Towns!$A$1:$F$1,0),false))</f>
        <v/>
      </c>
    </row>
    <row r="24">
      <c r="A24" s="49"/>
      <c r="B24" s="49" t="str">
        <f>IFNA(VLOOKUP($A24,Towns!$A$2:$F1000,MATCH($B$1,Towns!$A$1:$F$1,0),false))</f>
        <v/>
      </c>
    </row>
    <row r="25">
      <c r="A25" s="49"/>
      <c r="B25" s="49" t="str">
        <f>IFNA(VLOOKUP($A25,Towns!$A$2:$F1000,MATCH($B$1,Towns!$A$1:$F$1,0),false))</f>
        <v/>
      </c>
    </row>
    <row r="26">
      <c r="A26" s="49"/>
      <c r="B26" s="49" t="str">
        <f>IFNA(VLOOKUP($A26,Towns!$A$2:$F1000,MATCH($B$1,Towns!$A$1:$F$1,0),false))</f>
        <v/>
      </c>
    </row>
    <row r="27">
      <c r="A27" s="49"/>
      <c r="B27" s="49" t="str">
        <f>IFNA(VLOOKUP($A27,Towns!$A$2:$F1000,MATCH($B$1,Towns!$A$1:$F$1,0),false))</f>
        <v/>
      </c>
    </row>
    <row r="28">
      <c r="A28" s="49"/>
      <c r="B28" s="49" t="str">
        <f>IFNA(VLOOKUP($A28,Towns!$A$2:$F1000,MATCH($B$1,Towns!$A$1:$F$1,0),false))</f>
        <v/>
      </c>
    </row>
    <row r="29">
      <c r="A29" s="49"/>
      <c r="B29" s="49" t="str">
        <f>IFNA(VLOOKUP($A29,Towns!$A$2:$F1000,MATCH($B$1,Towns!$A$1:$F$1,0),false))</f>
        <v/>
      </c>
    </row>
    <row r="30">
      <c r="A30" s="49"/>
      <c r="B30" s="49" t="str">
        <f>IFNA(VLOOKUP($A30,Towns!$A$2:$F1000,MATCH($B$1,Towns!$A$1:$F$1,0),false))</f>
        <v/>
      </c>
    </row>
    <row r="31">
      <c r="A31" s="49"/>
      <c r="B31" s="49" t="str">
        <f>IFNA(VLOOKUP($A31,Towns!$A$2:$F1000,MATCH($B$1,Towns!$A$1:$F$1,0),false))</f>
        <v/>
      </c>
    </row>
    <row r="32">
      <c r="A32" s="49"/>
      <c r="B32" s="49" t="str">
        <f>IFNA(VLOOKUP($A32,Towns!$A$2:$F1000,MATCH($B$1,Towns!$A$1:$F$1,0),false))</f>
        <v/>
      </c>
    </row>
    <row r="33">
      <c r="A33" s="49"/>
      <c r="B33" s="49" t="str">
        <f>IFNA(VLOOKUP($A33,Towns!$A$2:$F1000,MATCH($B$1,Towns!$A$1:$F$1,0),false))</f>
        <v/>
      </c>
    </row>
    <row r="34">
      <c r="A34" s="49"/>
      <c r="B34" s="49" t="str">
        <f>IFNA(VLOOKUP($A34,Towns!$A$2:$F1000,MATCH($B$1,Towns!$A$1:$F$1,0),false))</f>
        <v/>
      </c>
    </row>
    <row r="35">
      <c r="A35" s="49"/>
      <c r="B35" s="49" t="str">
        <f>IFNA(VLOOKUP($A35,Towns!$A$2:$F1000,MATCH($B$1,Towns!$A$1:$F$1,0),false))</f>
        <v/>
      </c>
    </row>
    <row r="36">
      <c r="A36" s="49"/>
      <c r="B36" s="49" t="str">
        <f>IFNA(VLOOKUP($A36,Towns!$A$2:$F1000,MATCH($B$1,Towns!$A$1:$F$1,0),false))</f>
        <v/>
      </c>
    </row>
    <row r="37">
      <c r="A37" s="49"/>
      <c r="B37" s="49" t="str">
        <f>IFNA(VLOOKUP($A37,Towns!$A$2:$F1000,MATCH($B$1,Towns!$A$1:$F$1,0),false))</f>
        <v/>
      </c>
    </row>
    <row r="38">
      <c r="A38" s="49"/>
      <c r="B38" s="49" t="str">
        <f>IFNA(VLOOKUP($A38,Towns!$A$2:$F1000,MATCH($B$1,Towns!$A$1:$F$1,0),false))</f>
        <v/>
      </c>
    </row>
    <row r="39">
      <c r="A39" s="49"/>
      <c r="B39" s="49" t="str">
        <f>IFNA(VLOOKUP($A39,Towns!$A$2:$F1000,MATCH($B$1,Towns!$A$1:$F$1,0),false))</f>
        <v/>
      </c>
    </row>
    <row r="40">
      <c r="A40" s="49"/>
      <c r="B40" s="49" t="str">
        <f>IFNA(VLOOKUP($A40,Towns!$A$2:$F1000,MATCH($B$1,Towns!$A$1:$F$1,0),false))</f>
        <v/>
      </c>
    </row>
    <row r="41">
      <c r="A41" s="49"/>
      <c r="B41" s="49" t="str">
        <f>IFNA(VLOOKUP($A41,Towns!$A$2:$F1000,MATCH($B$1,Towns!$A$1:$F$1,0),false))</f>
        <v/>
      </c>
    </row>
    <row r="42">
      <c r="A42" s="49"/>
      <c r="B42" s="49" t="str">
        <f>IFNA(VLOOKUP($A42,Towns!$A$2:$F1000,MATCH($B$1,Towns!$A$1:$F$1,0),false))</f>
        <v/>
      </c>
    </row>
    <row r="43">
      <c r="A43" s="49"/>
      <c r="B43" s="49" t="str">
        <f>IFNA(VLOOKUP($A43,Towns!$A$2:$F1000,MATCH($B$1,Towns!$A$1:$F$1,0),false))</f>
        <v/>
      </c>
    </row>
    <row r="44">
      <c r="A44" s="49"/>
      <c r="B44" s="49" t="str">
        <f>IFNA(VLOOKUP($A44,Towns!$A$2:$F1000,MATCH($B$1,Towns!$A$1:$F$1,0),false))</f>
        <v/>
      </c>
    </row>
    <row r="45">
      <c r="A45" s="49"/>
      <c r="B45" s="49" t="str">
        <f>IFNA(VLOOKUP($A45,Towns!$A$2:$F1000,MATCH($B$1,Towns!$A$1:$F$1,0),false))</f>
        <v/>
      </c>
    </row>
    <row r="46">
      <c r="A46" s="49"/>
      <c r="B46" s="49" t="str">
        <f>IFNA(VLOOKUP($A46,Towns!$A$2:$F1000,MATCH($B$1,Towns!$A$1:$F$1,0),false))</f>
        <v/>
      </c>
    </row>
    <row r="47">
      <c r="A47" s="49"/>
      <c r="B47" s="49" t="str">
        <f>IFNA(VLOOKUP($A47,Towns!$A$2:$F1000,MATCH($B$1,Towns!$A$1:$F$1,0),false))</f>
        <v/>
      </c>
    </row>
    <row r="48">
      <c r="A48" s="49"/>
      <c r="B48" s="49" t="str">
        <f>IFNA(VLOOKUP($A48,Towns!$A$2:$F1000,MATCH($B$1,Towns!$A$1:$F$1,0),false))</f>
        <v/>
      </c>
    </row>
    <row r="49">
      <c r="A49" s="49"/>
      <c r="B49" s="49" t="str">
        <f>IFNA(VLOOKUP($A49,Towns!$A$2:$F1000,MATCH($B$1,Towns!$A$1:$F$1,0),false))</f>
        <v/>
      </c>
    </row>
    <row r="50">
      <c r="A50" s="49"/>
      <c r="B50" s="49" t="str">
        <f>IFNA(VLOOKUP($A50,Towns!$A$2:$F1000,MATCH($B$1,Towns!$A$1:$F$1,0),false))</f>
        <v/>
      </c>
    </row>
    <row r="51">
      <c r="A51" s="49"/>
      <c r="B51" s="49" t="str">
        <f>IFNA(VLOOKUP($A51,Towns!$A$2:$F1000,MATCH($B$1,Towns!$A$1:$F$1,0),false))</f>
        <v/>
      </c>
    </row>
    <row r="52">
      <c r="A52" s="49"/>
      <c r="B52" s="49" t="str">
        <f>IFNA(VLOOKUP($A52,Towns!$A$2:$F1000,MATCH($B$1,Towns!$A$1:$F$1,0),false))</f>
        <v/>
      </c>
    </row>
    <row r="53">
      <c r="A53" s="49"/>
      <c r="B53" s="49" t="str">
        <f>IFNA(VLOOKUP($A53,Towns!$A$2:$F1000,MATCH($B$1,Towns!$A$1:$F$1,0),false))</f>
        <v/>
      </c>
    </row>
    <row r="54">
      <c r="A54" s="49"/>
      <c r="B54" s="49" t="str">
        <f>IFNA(VLOOKUP($A54,Towns!$A$2:$F1000,MATCH($B$1,Towns!$A$1:$F$1,0),false))</f>
        <v/>
      </c>
    </row>
    <row r="55">
      <c r="A55" s="49"/>
      <c r="B55" s="49" t="str">
        <f>IFNA(VLOOKUP($A55,Towns!$A$2:$F1000,MATCH($B$1,Towns!$A$1:$F$1,0),false))</f>
        <v/>
      </c>
    </row>
    <row r="56">
      <c r="A56" s="49"/>
      <c r="B56" s="49" t="str">
        <f>IFNA(VLOOKUP($A56,Towns!$A$2:$F1000,MATCH($B$1,Towns!$A$1:$F$1,0),false))</f>
        <v/>
      </c>
    </row>
    <row r="57">
      <c r="A57" s="49"/>
      <c r="B57" s="49" t="str">
        <f>IFNA(VLOOKUP($A57,Towns!$A$2:$F1000,MATCH($B$1,Towns!$A$1:$F$1,0),false))</f>
        <v/>
      </c>
    </row>
    <row r="58">
      <c r="A58" s="49"/>
      <c r="B58" s="49" t="str">
        <f>IFNA(VLOOKUP($A58,Towns!$A$2:$F1000,MATCH($B$1,Towns!$A$1:$F$1,0),false))</f>
        <v/>
      </c>
    </row>
    <row r="59">
      <c r="A59" s="49"/>
      <c r="B59" s="49" t="str">
        <f>IFNA(VLOOKUP($A59,Towns!$A$2:$F1000,MATCH($B$1,Towns!$A$1:$F$1,0),false))</f>
        <v/>
      </c>
    </row>
    <row r="60">
      <c r="A60" s="49"/>
      <c r="B60" s="49" t="str">
        <f>IFNA(VLOOKUP($A60,Towns!$A$2:$F1000,MATCH($B$1,Towns!$A$1:$F$1,0),false))</f>
        <v/>
      </c>
    </row>
    <row r="61">
      <c r="A61" s="49"/>
      <c r="B61" s="49" t="str">
        <f>IFNA(VLOOKUP($A61,Towns!$A$2:$F1000,MATCH($B$1,Towns!$A$1:$F$1,0),false))</f>
        <v/>
      </c>
    </row>
    <row r="62">
      <c r="A62" s="49"/>
      <c r="B62" s="49" t="str">
        <f>IFNA(VLOOKUP($A62,Towns!$A$2:$F1000,MATCH($B$1,Towns!$A$1:$F$1,0),false))</f>
        <v/>
      </c>
    </row>
    <row r="63">
      <c r="A63" s="49"/>
      <c r="B63" s="49" t="str">
        <f>IFNA(VLOOKUP($A63,Towns!$A$2:$F1000,MATCH($B$1,Towns!$A$1:$F$1,0),false))</f>
        <v/>
      </c>
    </row>
    <row r="64">
      <c r="A64" s="49"/>
      <c r="B64" s="49" t="str">
        <f>IFNA(VLOOKUP($A64,Towns!$A$2:$F1000,MATCH($B$1,Towns!$A$1:$F$1,0),false))</f>
        <v/>
      </c>
    </row>
    <row r="65">
      <c r="A65" s="49"/>
      <c r="B65" s="49" t="str">
        <f>IFNA(VLOOKUP($A65,Towns!$A$2:$F1000,MATCH($B$1,Towns!$A$1:$F$1,0),false))</f>
        <v/>
      </c>
    </row>
    <row r="66">
      <c r="A66" s="49"/>
      <c r="B66" s="49" t="str">
        <f>IFNA(VLOOKUP($A66,Towns!$A$2:$F1000,MATCH($B$1,Towns!$A$1:$F$1,0),false))</f>
        <v/>
      </c>
    </row>
    <row r="67">
      <c r="A67" s="49"/>
      <c r="B67" s="49" t="str">
        <f>IFNA(VLOOKUP($A67,Towns!$A$2:$F1000,MATCH($B$1,Towns!$A$1:$F$1,0),false))</f>
        <v/>
      </c>
    </row>
    <row r="68">
      <c r="A68" s="49"/>
      <c r="B68" s="49" t="str">
        <f>IFNA(VLOOKUP($A68,Towns!$A$2:$F1000,MATCH($B$1,Towns!$A$1:$F$1,0),false))</f>
        <v/>
      </c>
    </row>
    <row r="69">
      <c r="A69" s="49"/>
      <c r="B69" s="49" t="str">
        <f>IFNA(VLOOKUP($A69,Towns!$A$2:$F1000,MATCH($B$1,Towns!$A$1:$F$1,0),false))</f>
        <v/>
      </c>
    </row>
    <row r="70">
      <c r="A70" s="49"/>
      <c r="B70" s="49" t="str">
        <f>IFNA(VLOOKUP($A70,Towns!$A$2:$F1000,MATCH($B$1,Towns!$A$1:$F$1,0),false))</f>
        <v/>
      </c>
    </row>
    <row r="71">
      <c r="A71" s="49"/>
      <c r="B71" s="49" t="str">
        <f>IFNA(VLOOKUP($A71,Towns!$A$2:$F1000,MATCH($B$1,Towns!$A$1:$F$1,0),false))</f>
        <v/>
      </c>
    </row>
    <row r="72">
      <c r="A72" s="49"/>
      <c r="B72" s="49" t="str">
        <f>IFNA(VLOOKUP($A72,Towns!$A$2:$F1000,MATCH($B$1,Towns!$A$1:$F$1,0),false))</f>
        <v/>
      </c>
    </row>
    <row r="73">
      <c r="A73" s="49"/>
      <c r="B73" s="49" t="str">
        <f>IFNA(VLOOKUP($A73,Towns!$A$2:$F1000,MATCH($B$1,Towns!$A$1:$F$1,0),false))</f>
        <v/>
      </c>
    </row>
    <row r="74">
      <c r="A74" s="49"/>
      <c r="B74" s="49" t="str">
        <f>IFNA(VLOOKUP($A74,Towns!$A$2:$F1000,MATCH($B$1,Towns!$A$1:$F$1,0),false))</f>
        <v/>
      </c>
    </row>
    <row r="75">
      <c r="A75" s="49"/>
      <c r="B75" s="49" t="str">
        <f>IFNA(VLOOKUP($A75,Towns!$A$2:$F1000,MATCH($B$1,Towns!$A$1:$F$1,0),false))</f>
        <v/>
      </c>
    </row>
    <row r="76">
      <c r="A76" s="49"/>
      <c r="B76" s="49" t="str">
        <f>IFNA(VLOOKUP($A76,Towns!$A$2:$F1000,MATCH($B$1,Towns!$A$1:$F$1,0),false))</f>
        <v/>
      </c>
    </row>
    <row r="77">
      <c r="A77" s="49"/>
      <c r="B77" s="49" t="str">
        <f>IFNA(VLOOKUP($A77,Towns!$A$2:$F1000,MATCH($B$1,Towns!$A$1:$F$1,0),false))</f>
        <v/>
      </c>
    </row>
    <row r="78">
      <c r="A78" s="49"/>
      <c r="B78" s="49" t="str">
        <f>IFNA(VLOOKUP($A78,Towns!$A$2:$F1000,MATCH($B$1,Towns!$A$1:$F$1,0),false))</f>
        <v/>
      </c>
    </row>
    <row r="79">
      <c r="A79" s="49"/>
      <c r="B79" s="49" t="str">
        <f>IFNA(VLOOKUP($A79,Towns!$A$2:$F1000,MATCH($B$1,Towns!$A$1:$F$1,0),false))</f>
        <v/>
      </c>
    </row>
    <row r="80">
      <c r="A80" s="49"/>
      <c r="B80" s="49" t="str">
        <f>IFNA(VLOOKUP($A80,Towns!$A$2:$F1000,MATCH($B$1,Towns!$A$1:$F$1,0),false))</f>
        <v/>
      </c>
    </row>
    <row r="81">
      <c r="A81" s="49"/>
      <c r="B81" s="49" t="str">
        <f>IFNA(VLOOKUP($A81,Towns!$A$2:$F1000,MATCH($B$1,Towns!$A$1:$F$1,0),false))</f>
        <v/>
      </c>
    </row>
    <row r="82">
      <c r="A82" s="49"/>
      <c r="B82" s="49" t="str">
        <f>IFNA(VLOOKUP($A82,Towns!$A$2:$F1000,MATCH($B$1,Towns!$A$1:$F$1,0),false))</f>
        <v/>
      </c>
    </row>
    <row r="83">
      <c r="A83" s="49"/>
      <c r="B83" s="49" t="str">
        <f>IFNA(VLOOKUP($A83,Towns!$A$2:$F1000,MATCH($B$1,Towns!$A$1:$F$1,0),false))</f>
        <v/>
      </c>
    </row>
    <row r="84">
      <c r="A84" s="49"/>
      <c r="B84" s="49" t="str">
        <f>IFNA(VLOOKUP($A84,Towns!$A$2:$F1000,MATCH($B$1,Towns!$A$1:$F$1,0),false))</f>
        <v/>
      </c>
    </row>
    <row r="85">
      <c r="A85" s="49"/>
      <c r="B85" s="49" t="str">
        <f>IFNA(VLOOKUP($A85,Towns!$A$2:$F1000,MATCH($B$1,Towns!$A$1:$F$1,0),false))</f>
        <v/>
      </c>
    </row>
    <row r="86">
      <c r="A86" s="49"/>
      <c r="B86" s="49" t="str">
        <f>IFNA(VLOOKUP($A86,Towns!$A$2:$F1000,MATCH($B$1,Towns!$A$1:$F$1,0),false))</f>
        <v/>
      </c>
    </row>
    <row r="87">
      <c r="A87" s="49"/>
      <c r="B87" s="49" t="str">
        <f>IFNA(VLOOKUP($A87,Towns!$A$2:$F1000,MATCH($B$1,Towns!$A$1:$F$1,0),false))</f>
        <v/>
      </c>
    </row>
    <row r="88">
      <c r="A88" s="49"/>
      <c r="B88" s="49" t="str">
        <f>IFNA(VLOOKUP($A88,Towns!$A$2:$F1000,MATCH($B$1,Towns!$A$1:$F$1,0),false))</f>
        <v/>
      </c>
    </row>
    <row r="89">
      <c r="A89" s="49"/>
      <c r="B89" s="49" t="str">
        <f>IFNA(VLOOKUP($A89,Towns!$A$2:$F1000,MATCH($B$1,Towns!$A$1:$F$1,0),false))</f>
        <v/>
      </c>
    </row>
    <row r="90">
      <c r="A90" s="49"/>
      <c r="B90" s="49" t="str">
        <f>IFNA(VLOOKUP($A90,Towns!$A$2:$F1000,MATCH($B$1,Towns!$A$1:$F$1,0),false))</f>
        <v/>
      </c>
    </row>
    <row r="91">
      <c r="A91" s="49"/>
      <c r="B91" s="49" t="str">
        <f>IFNA(VLOOKUP($A91,Towns!$A$2:$F1000,MATCH($B$1,Towns!$A$1:$F$1,0),false))</f>
        <v/>
      </c>
    </row>
    <row r="92">
      <c r="A92" s="49"/>
      <c r="B92" s="49" t="str">
        <f>IFNA(VLOOKUP($A92,Towns!$A$2:$F1000,MATCH($B$1,Towns!$A$1:$F$1,0),false))</f>
        <v/>
      </c>
    </row>
    <row r="93">
      <c r="A93" s="49"/>
      <c r="B93" s="49" t="str">
        <f>IFNA(VLOOKUP($A93,Towns!$A$2:$F1000,MATCH($B$1,Towns!$A$1:$F$1,0),false))</f>
        <v/>
      </c>
    </row>
    <row r="94">
      <c r="A94" s="49"/>
      <c r="B94" s="49" t="str">
        <f>IFNA(VLOOKUP($A94,Towns!$A$2:$F1000,MATCH($B$1,Towns!$A$1:$F$1,0),false))</f>
        <v/>
      </c>
    </row>
    <row r="95">
      <c r="A95" s="49"/>
      <c r="B95" s="49" t="str">
        <f>IFNA(VLOOKUP($A95,Towns!$A$2:$F1000,MATCH($B$1,Towns!$A$1:$F$1,0),false))</f>
        <v/>
      </c>
    </row>
    <row r="96">
      <c r="A96" s="49"/>
      <c r="B96" s="49" t="str">
        <f>IFNA(VLOOKUP($A96,Towns!$A$2:$F1000,MATCH($B$1,Towns!$A$1:$F$1,0),false))</f>
        <v/>
      </c>
    </row>
    <row r="97">
      <c r="A97" s="49"/>
      <c r="B97" s="49" t="str">
        <f>IFNA(VLOOKUP($A97,Towns!$A$2:$F1000,MATCH($B$1,Towns!$A$1:$F$1,0),false))</f>
        <v/>
      </c>
    </row>
    <row r="98">
      <c r="A98" s="49"/>
      <c r="B98" s="49" t="str">
        <f>IFNA(VLOOKUP($A98,Towns!$A$2:$F1000,MATCH($B$1,Towns!$A$1:$F$1,0),false))</f>
        <v/>
      </c>
    </row>
    <row r="99">
      <c r="A99" s="49"/>
      <c r="B99" s="49" t="str">
        <f>IFNA(VLOOKUP($A99,Towns!$A$2:$F1000,MATCH($B$1,Towns!$A$1:$F$1,0),false))</f>
        <v/>
      </c>
    </row>
    <row r="100">
      <c r="A100" s="49"/>
      <c r="B100" s="49" t="str">
        <f>IFNA(VLOOKUP($A100,Towns!$A$2:$F1000,MATCH($B$1,Towns!$A$1:$F$1,0),false))</f>
        <v/>
      </c>
    </row>
    <row r="101">
      <c r="A101" s="49"/>
      <c r="B101" s="49" t="str">
        <f>IFNA(VLOOKUP($A101,Towns!$A$2:$F1000,MATCH($B$1,Towns!$A$1:$F$1,0),false))</f>
        <v/>
      </c>
    </row>
    <row r="102">
      <c r="A102" s="49"/>
      <c r="B102" s="49" t="str">
        <f>IFNA(VLOOKUP($A102,Towns!$A$2:$F1000,MATCH($B$1,Towns!$A$1:$F$1,0),false))</f>
        <v/>
      </c>
    </row>
    <row r="103">
      <c r="A103" s="49"/>
      <c r="B103" s="49" t="str">
        <f>IFNA(VLOOKUP($A103,Towns!$A$2:$F1000,MATCH($B$1,Towns!$A$1:$F$1,0),false))</f>
        <v/>
      </c>
    </row>
    <row r="104">
      <c r="A104" s="49"/>
      <c r="B104" s="49" t="str">
        <f>IFNA(VLOOKUP($A104,Towns!$A$2:$F1000,MATCH($B$1,Towns!$A$1:$F$1,0),false))</f>
        <v/>
      </c>
    </row>
    <row r="105">
      <c r="A105" s="49"/>
      <c r="B105" s="49" t="str">
        <f>IFNA(VLOOKUP($A105,Towns!$A$2:$F1000,MATCH($B$1,Towns!$A$1:$F$1,0),false))</f>
        <v/>
      </c>
    </row>
    <row r="106">
      <c r="A106" s="49"/>
      <c r="B106" s="49" t="str">
        <f>IFNA(VLOOKUP($A106,Towns!$A$2:$F1000,MATCH($B$1,Towns!$A$1:$F$1,0),false))</f>
        <v/>
      </c>
    </row>
    <row r="107">
      <c r="A107" s="49"/>
      <c r="B107" s="49" t="str">
        <f>IFNA(VLOOKUP($A107,Towns!$A$2:$F1000,MATCH($B$1,Towns!$A$1:$F$1,0),false))</f>
        <v/>
      </c>
    </row>
    <row r="108">
      <c r="A108" s="49"/>
      <c r="B108" s="49" t="str">
        <f>IFNA(VLOOKUP($A108,Towns!$A$2:$F1000,MATCH($B$1,Towns!$A$1:$F$1,0),false))</f>
        <v/>
      </c>
    </row>
    <row r="109">
      <c r="A109" s="49"/>
      <c r="B109" s="49" t="str">
        <f>IFNA(VLOOKUP($A109,Towns!$A$2:$F1000,MATCH($B$1,Towns!$A$1:$F$1,0),false))</f>
        <v/>
      </c>
    </row>
    <row r="110">
      <c r="A110" s="49"/>
      <c r="B110" s="49" t="str">
        <f>IFNA(VLOOKUP($A110,Towns!$A$2:$F1000,MATCH($B$1,Towns!$A$1:$F$1,0),false))</f>
        <v/>
      </c>
    </row>
    <row r="111">
      <c r="A111" s="49"/>
      <c r="B111" s="49" t="str">
        <f>IFNA(VLOOKUP($A111,Towns!$A$2:$F1000,MATCH($B$1,Towns!$A$1:$F$1,0),false))</f>
        <v/>
      </c>
    </row>
    <row r="112">
      <c r="A112" s="49"/>
      <c r="B112" s="49" t="str">
        <f>IFNA(VLOOKUP($A112,Towns!$A$2:$F1000,MATCH($B$1,Towns!$A$1:$F$1,0),false))</f>
        <v/>
      </c>
    </row>
    <row r="113">
      <c r="A113" s="49"/>
      <c r="B113" s="49" t="str">
        <f>IFNA(VLOOKUP($A113,Towns!$A$2:$F1000,MATCH($B$1,Towns!$A$1:$F$1,0),false))</f>
        <v/>
      </c>
    </row>
    <row r="114">
      <c r="A114" s="49"/>
      <c r="B114" s="49" t="str">
        <f>IFNA(VLOOKUP($A114,Towns!$A$2:$F1000,MATCH($B$1,Towns!$A$1:$F$1,0),false))</f>
        <v/>
      </c>
    </row>
    <row r="115">
      <c r="A115" s="49"/>
      <c r="B115" s="49" t="str">
        <f>IFNA(VLOOKUP($A115,Towns!$A$2:$F1000,MATCH($B$1,Towns!$A$1:$F$1,0),false))</f>
        <v/>
      </c>
    </row>
    <row r="116">
      <c r="A116" s="49"/>
      <c r="B116" s="49" t="str">
        <f>IFNA(VLOOKUP($A116,Towns!$A$2:$F1000,MATCH($B$1,Towns!$A$1:$F$1,0),false))</f>
        <v/>
      </c>
    </row>
    <row r="117">
      <c r="A117" s="49"/>
      <c r="B117" s="49" t="str">
        <f>IFNA(VLOOKUP($A117,Towns!$A$2:$F1000,MATCH($B$1,Towns!$A$1:$F$1,0),false))</f>
        <v/>
      </c>
    </row>
    <row r="118">
      <c r="A118" s="49"/>
      <c r="B118" s="49" t="str">
        <f>IFNA(VLOOKUP($A118,Towns!$A$2:$F1000,MATCH($B$1,Towns!$A$1:$F$1,0),false))</f>
        <v/>
      </c>
    </row>
    <row r="119">
      <c r="A119" s="49"/>
      <c r="B119" s="49" t="str">
        <f>IFNA(VLOOKUP($A119,Towns!$A$2:$F1000,MATCH($B$1,Towns!$A$1:$F$1,0),false))</f>
        <v/>
      </c>
    </row>
    <row r="120">
      <c r="A120" s="49"/>
      <c r="B120" s="49" t="str">
        <f>IFNA(VLOOKUP($A120,Towns!$A$2:$F1000,MATCH($B$1,Towns!$A$1:$F$1,0),false))</f>
        <v/>
      </c>
    </row>
    <row r="121">
      <c r="A121" s="49"/>
      <c r="B121" s="49" t="str">
        <f>IFNA(VLOOKUP($A121,Towns!$A$2:$F1000,MATCH($B$1,Towns!$A$1:$F$1,0),false))</f>
        <v/>
      </c>
    </row>
    <row r="122">
      <c r="A122" s="49"/>
      <c r="B122" s="49" t="str">
        <f>IFNA(VLOOKUP($A122,Towns!$A$2:$F1000,MATCH($B$1,Towns!$A$1:$F$1,0),false))</f>
        <v/>
      </c>
    </row>
    <row r="123">
      <c r="A123" s="49"/>
      <c r="B123" s="49" t="str">
        <f>IFNA(VLOOKUP($A123,Towns!$A$2:$F1000,MATCH($B$1,Towns!$A$1:$F$1,0),false))</f>
        <v/>
      </c>
    </row>
    <row r="124">
      <c r="A124" s="49"/>
      <c r="B124" s="49" t="str">
        <f>IFNA(VLOOKUP($A124,Towns!$A$2:$F1000,MATCH($B$1,Towns!$A$1:$F$1,0),false))</f>
        <v/>
      </c>
    </row>
    <row r="125">
      <c r="A125" s="49"/>
      <c r="B125" s="49" t="str">
        <f>IFNA(VLOOKUP($A125,Towns!$A$2:$F1000,MATCH($B$1,Towns!$A$1:$F$1,0),false))</f>
        <v/>
      </c>
    </row>
    <row r="126">
      <c r="A126" s="49"/>
      <c r="B126" s="49" t="str">
        <f>IFNA(VLOOKUP($A126,Towns!$A$2:$F1000,MATCH($B$1,Towns!$A$1:$F$1,0),false))</f>
        <v/>
      </c>
    </row>
    <row r="127">
      <c r="A127" s="49"/>
      <c r="B127" s="49" t="str">
        <f>IFNA(VLOOKUP($A127,Towns!$A$2:$F1000,MATCH($B$1,Towns!$A$1:$F$1,0),false))</f>
        <v/>
      </c>
    </row>
    <row r="128">
      <c r="A128" s="49"/>
      <c r="B128" s="49" t="str">
        <f>IFNA(VLOOKUP($A128,Towns!$A$2:$F1000,MATCH($B$1,Towns!$A$1:$F$1,0),false))</f>
        <v/>
      </c>
    </row>
    <row r="129">
      <c r="A129" s="49"/>
      <c r="B129" s="49" t="str">
        <f>IFNA(VLOOKUP($A129,Towns!$A$2:$F1000,MATCH($B$1,Towns!$A$1:$F$1,0),false))</f>
        <v/>
      </c>
    </row>
    <row r="130">
      <c r="A130" s="49"/>
      <c r="B130" s="49" t="str">
        <f>IFNA(VLOOKUP($A130,Towns!$A$2:$F1000,MATCH($B$1,Towns!$A$1:$F$1,0),false))</f>
        <v/>
      </c>
    </row>
    <row r="131">
      <c r="A131" s="49"/>
      <c r="B131" s="49" t="str">
        <f>IFNA(VLOOKUP($A131,Towns!$A$2:$F1000,MATCH($B$1,Towns!$A$1:$F$1,0),false))</f>
        <v/>
      </c>
    </row>
    <row r="132">
      <c r="A132" s="49"/>
      <c r="B132" s="49" t="str">
        <f>IFNA(VLOOKUP($A132,Towns!$A$2:$F1000,MATCH($B$1,Towns!$A$1:$F$1,0),false))</f>
        <v/>
      </c>
    </row>
    <row r="133">
      <c r="A133" s="49"/>
      <c r="B133" s="49" t="str">
        <f>IFNA(VLOOKUP($A133,Towns!$A$2:$F1000,MATCH($B$1,Towns!$A$1:$F$1,0),false))</f>
        <v/>
      </c>
    </row>
    <row r="134">
      <c r="A134" s="49"/>
      <c r="B134" s="49" t="str">
        <f>IFNA(VLOOKUP($A134,Towns!$A$2:$F1000,MATCH($B$1,Towns!$A$1:$F$1,0),false))</f>
        <v/>
      </c>
    </row>
    <row r="135">
      <c r="A135" s="49"/>
      <c r="B135" s="49" t="str">
        <f>IFNA(VLOOKUP($A135,Towns!$A$2:$F1000,MATCH($B$1,Towns!$A$1:$F$1,0),false))</f>
        <v/>
      </c>
    </row>
    <row r="136">
      <c r="A136" s="49"/>
      <c r="B136" s="49" t="str">
        <f>IFNA(VLOOKUP($A136,Towns!$A$2:$F1000,MATCH($B$1,Towns!$A$1:$F$1,0),false))</f>
        <v/>
      </c>
    </row>
    <row r="137">
      <c r="A137" s="49"/>
      <c r="B137" s="49" t="str">
        <f>IFNA(VLOOKUP($A137,Towns!$A$2:$F1000,MATCH($B$1,Towns!$A$1:$F$1,0),false))</f>
        <v/>
      </c>
    </row>
    <row r="138">
      <c r="A138" s="49"/>
      <c r="B138" s="49" t="str">
        <f>IFNA(VLOOKUP($A138,Towns!$A$2:$F1000,MATCH($B$1,Towns!$A$1:$F$1,0),false))</f>
        <v/>
      </c>
    </row>
    <row r="139">
      <c r="A139" s="49"/>
      <c r="B139" s="49" t="str">
        <f>IFNA(VLOOKUP($A139,Towns!$A$2:$F1000,MATCH($B$1,Towns!$A$1:$F$1,0),false))</f>
        <v/>
      </c>
    </row>
    <row r="140">
      <c r="A140" s="49"/>
      <c r="B140" s="49" t="str">
        <f>IFNA(VLOOKUP($A140,Towns!$A$2:$F1000,MATCH($B$1,Towns!$A$1:$F$1,0),false))</f>
        <v/>
      </c>
    </row>
    <row r="141">
      <c r="A141" s="49"/>
      <c r="B141" s="49" t="str">
        <f>IFNA(VLOOKUP($A141,Towns!$A$2:$F1000,MATCH($B$1,Towns!$A$1:$F$1,0),false))</f>
        <v/>
      </c>
    </row>
    <row r="142">
      <c r="A142" s="49"/>
      <c r="B142" s="49" t="str">
        <f>IFNA(VLOOKUP($A142,Towns!$A$2:$F1000,MATCH($B$1,Towns!$A$1:$F$1,0),false))</f>
        <v/>
      </c>
    </row>
    <row r="143">
      <c r="A143" s="49"/>
      <c r="B143" s="49" t="str">
        <f>IFNA(VLOOKUP($A143,Towns!$A$2:$F1000,MATCH($B$1,Towns!$A$1:$F$1,0),false))</f>
        <v/>
      </c>
    </row>
    <row r="144">
      <c r="A144" s="49"/>
      <c r="B144" s="49" t="str">
        <f>IFNA(VLOOKUP($A144,Towns!$A$2:$F1000,MATCH($B$1,Towns!$A$1:$F$1,0),false))</f>
        <v/>
      </c>
    </row>
    <row r="145">
      <c r="A145" s="49"/>
      <c r="B145" s="49" t="str">
        <f>IFNA(VLOOKUP($A145,Towns!$A$2:$F1000,MATCH($B$1,Towns!$A$1:$F$1,0),false))</f>
        <v/>
      </c>
    </row>
    <row r="146">
      <c r="A146" s="49"/>
      <c r="B146" s="49" t="str">
        <f>IFNA(VLOOKUP($A146,Towns!$A$2:$F1000,MATCH($B$1,Towns!$A$1:$F$1,0),false))</f>
        <v/>
      </c>
    </row>
    <row r="147">
      <c r="A147" s="49"/>
      <c r="B147" s="49" t="str">
        <f>IFNA(VLOOKUP($A147,Towns!$A$2:$F1000,MATCH($B$1,Towns!$A$1:$F$1,0),false))</f>
        <v/>
      </c>
    </row>
    <row r="148">
      <c r="A148" s="49"/>
      <c r="B148" s="49" t="str">
        <f>IFNA(VLOOKUP($A148,Towns!$A$2:$F1000,MATCH($B$1,Towns!$A$1:$F$1,0),false))</f>
        <v/>
      </c>
    </row>
    <row r="149">
      <c r="A149" s="49"/>
      <c r="B149" s="49" t="str">
        <f>IFNA(VLOOKUP($A149,Towns!$A$2:$F1000,MATCH($B$1,Towns!$A$1:$F$1,0),false))</f>
        <v/>
      </c>
    </row>
    <row r="150">
      <c r="A150" s="49"/>
      <c r="B150" s="49" t="str">
        <f>IFNA(VLOOKUP($A150,Towns!$A$2:$F1000,MATCH($B$1,Towns!$A$1:$F$1,0),false))</f>
        <v/>
      </c>
    </row>
    <row r="151">
      <c r="A151" s="49"/>
      <c r="B151" s="49" t="str">
        <f>IFNA(VLOOKUP($A151,Towns!$A$2:$F1000,MATCH($B$1,Towns!$A$1:$F$1,0),false))</f>
        <v/>
      </c>
    </row>
    <row r="152">
      <c r="A152" s="49"/>
      <c r="B152" s="49" t="str">
        <f>IFNA(VLOOKUP($A152,Towns!$A$2:$F1000,MATCH($B$1,Towns!$A$1:$F$1,0),false))</f>
        <v/>
      </c>
    </row>
    <row r="153">
      <c r="A153" s="49"/>
      <c r="B153" s="49" t="str">
        <f>IFNA(VLOOKUP($A153,Towns!$A$2:$F1000,MATCH($B$1,Towns!$A$1:$F$1,0),false))</f>
        <v/>
      </c>
    </row>
    <row r="154">
      <c r="A154" s="49"/>
      <c r="B154" s="49" t="str">
        <f>IFNA(VLOOKUP($A154,Towns!$A$2:$F1000,MATCH($B$1,Towns!$A$1:$F$1,0),false))</f>
        <v/>
      </c>
    </row>
    <row r="155">
      <c r="A155" s="49"/>
      <c r="B155" s="49" t="str">
        <f>IFNA(VLOOKUP($A155,Towns!$A$2:$F1000,MATCH($B$1,Towns!$A$1:$F$1,0),false))</f>
        <v/>
      </c>
    </row>
    <row r="156">
      <c r="A156" s="49"/>
      <c r="B156" s="49" t="str">
        <f>IFNA(VLOOKUP($A156,Towns!$A$2:$F1000,MATCH($B$1,Towns!$A$1:$F$1,0),false))</f>
        <v/>
      </c>
    </row>
    <row r="157">
      <c r="A157" s="49"/>
      <c r="B157" s="49" t="str">
        <f>IFNA(VLOOKUP($A157,Towns!$A$2:$F1000,MATCH($B$1,Towns!$A$1:$F$1,0),false))</f>
        <v/>
      </c>
    </row>
    <row r="158">
      <c r="A158" s="49"/>
      <c r="B158" s="49" t="str">
        <f>IFNA(VLOOKUP($A158,Towns!$A$2:$F1000,MATCH($B$1,Towns!$A$1:$F$1,0),false))</f>
        <v/>
      </c>
    </row>
    <row r="159">
      <c r="A159" s="49"/>
      <c r="B159" s="49" t="str">
        <f>IFNA(VLOOKUP($A159,Towns!$A$2:$F1000,MATCH($B$1,Towns!$A$1:$F$1,0),false))</f>
        <v/>
      </c>
    </row>
    <row r="160">
      <c r="A160" s="49"/>
      <c r="B160" s="49" t="str">
        <f>IFNA(VLOOKUP($A160,Towns!$A$2:$F1000,MATCH($B$1,Towns!$A$1:$F$1,0),false))</f>
        <v/>
      </c>
    </row>
    <row r="161">
      <c r="A161" s="49"/>
      <c r="B161" s="49" t="str">
        <f>IFNA(VLOOKUP($A161,Towns!$A$2:$F1000,MATCH($B$1,Towns!$A$1:$F$1,0),false))</f>
        <v/>
      </c>
    </row>
    <row r="162">
      <c r="A162" s="49"/>
      <c r="B162" s="49" t="str">
        <f>IFNA(VLOOKUP($A162,Towns!$A$2:$F1000,MATCH($B$1,Towns!$A$1:$F$1,0),false))</f>
        <v/>
      </c>
    </row>
    <row r="163">
      <c r="A163" s="49"/>
      <c r="B163" s="49" t="str">
        <f>IFNA(VLOOKUP($A163,Towns!$A$2:$F1000,MATCH($B$1,Towns!$A$1:$F$1,0),false))</f>
        <v/>
      </c>
    </row>
    <row r="164">
      <c r="A164" s="49"/>
      <c r="B164" s="49" t="str">
        <f>IFNA(VLOOKUP($A164,Towns!$A$2:$F1000,MATCH($B$1,Towns!$A$1:$F$1,0),false))</f>
        <v/>
      </c>
    </row>
    <row r="165">
      <c r="A165" s="49"/>
      <c r="B165" s="49" t="str">
        <f>IFNA(VLOOKUP($A165,Towns!$A$2:$F1000,MATCH($B$1,Towns!$A$1:$F$1,0),false))</f>
        <v/>
      </c>
    </row>
    <row r="166">
      <c r="A166" s="49"/>
      <c r="B166" s="49" t="str">
        <f>IFNA(VLOOKUP($A166,Towns!$A$2:$F1000,MATCH($B$1,Towns!$A$1:$F$1,0),false))</f>
        <v/>
      </c>
    </row>
    <row r="167">
      <c r="A167" s="49"/>
      <c r="B167" s="49" t="str">
        <f>IFNA(VLOOKUP($A167,Towns!$A$2:$F1000,MATCH($B$1,Towns!$A$1:$F$1,0),false))</f>
        <v/>
      </c>
    </row>
    <row r="168">
      <c r="A168" s="49"/>
      <c r="B168" s="49" t="str">
        <f>IFNA(VLOOKUP($A168,Towns!$A$2:$F1000,MATCH($B$1,Towns!$A$1:$F$1,0),false))</f>
        <v/>
      </c>
    </row>
    <row r="169">
      <c r="A169" s="49"/>
      <c r="B169" s="49" t="str">
        <f>IFNA(VLOOKUP($A169,Towns!$A$2:$F1000,MATCH($B$1,Towns!$A$1:$F$1,0),false))</f>
        <v/>
      </c>
    </row>
    <row r="170">
      <c r="A170" s="49"/>
      <c r="B170" s="49" t="str">
        <f>IFNA(VLOOKUP($A170,Towns!$A$2:$F1000,MATCH($B$1,Towns!$A$1:$F$1,0),false))</f>
        <v/>
      </c>
    </row>
    <row r="171">
      <c r="A171" s="49"/>
      <c r="B171" s="49" t="str">
        <f>IFNA(VLOOKUP($A171,Towns!$A$2:$F1000,MATCH($B$1,Towns!$A$1:$F$1,0),false))</f>
        <v/>
      </c>
    </row>
    <row r="172">
      <c r="A172" s="49"/>
      <c r="B172" s="49" t="str">
        <f>IFNA(VLOOKUP($A172,Towns!$A$2:$F1000,MATCH($B$1,Towns!$A$1:$F$1,0),false))</f>
        <v/>
      </c>
    </row>
    <row r="173">
      <c r="A173" s="49"/>
      <c r="B173" s="49" t="str">
        <f>IFNA(VLOOKUP($A173,Towns!$A$2:$F1000,MATCH($B$1,Towns!$A$1:$F$1,0),false))</f>
        <v/>
      </c>
    </row>
    <row r="174">
      <c r="A174" s="49"/>
      <c r="B174" s="49" t="str">
        <f>IFNA(VLOOKUP($A174,Towns!$A$2:$F1000,MATCH($B$1,Towns!$A$1:$F$1,0),false))</f>
        <v/>
      </c>
    </row>
    <row r="175">
      <c r="A175" s="49"/>
      <c r="B175" s="49" t="str">
        <f>IFNA(VLOOKUP($A175,Towns!$A$2:$F1000,MATCH($B$1,Towns!$A$1:$F$1,0),false))</f>
        <v/>
      </c>
    </row>
    <row r="176">
      <c r="A176" s="49"/>
      <c r="B176" s="49" t="str">
        <f>IFNA(VLOOKUP($A176,Towns!$A$2:$F1000,MATCH($B$1,Towns!$A$1:$F$1,0),false))</f>
        <v/>
      </c>
    </row>
    <row r="177">
      <c r="A177" s="49"/>
      <c r="B177" s="49" t="str">
        <f>IFNA(VLOOKUP($A177,Towns!$A$2:$F1000,MATCH($B$1,Towns!$A$1:$F$1,0),false))</f>
        <v/>
      </c>
    </row>
    <row r="178">
      <c r="A178" s="49"/>
      <c r="B178" s="49" t="str">
        <f>IFNA(VLOOKUP($A178,Towns!$A$2:$F1000,MATCH($B$1,Towns!$A$1:$F$1,0),false))</f>
        <v/>
      </c>
    </row>
    <row r="179">
      <c r="A179" s="49"/>
      <c r="B179" s="49" t="str">
        <f>IFNA(VLOOKUP($A179,Towns!$A$2:$F1000,MATCH($B$1,Towns!$A$1:$F$1,0),false))</f>
        <v/>
      </c>
    </row>
    <row r="180">
      <c r="A180" s="49"/>
      <c r="B180" s="49" t="str">
        <f>IFNA(VLOOKUP($A180,Towns!$A$2:$F1000,MATCH($B$1,Towns!$A$1:$F$1,0),false))</f>
        <v/>
      </c>
    </row>
    <row r="181">
      <c r="A181" s="49"/>
      <c r="B181" s="49" t="str">
        <f>IFNA(VLOOKUP($A181,Towns!$A$2:$F1000,MATCH($B$1,Towns!$A$1:$F$1,0),false))</f>
        <v/>
      </c>
    </row>
    <row r="182">
      <c r="A182" s="49"/>
      <c r="B182" s="49" t="str">
        <f>IFNA(VLOOKUP($A182,Towns!$A$2:$F1000,MATCH($B$1,Towns!$A$1:$F$1,0),false))</f>
        <v/>
      </c>
    </row>
    <row r="183">
      <c r="A183" s="49"/>
      <c r="B183" s="49" t="str">
        <f>IFNA(VLOOKUP($A183,Towns!$A$2:$F1000,MATCH($B$1,Towns!$A$1:$F$1,0),false))</f>
        <v/>
      </c>
    </row>
    <row r="184">
      <c r="A184" s="49"/>
      <c r="B184" s="49" t="str">
        <f>IFNA(VLOOKUP($A184,Towns!$A$2:$F1000,MATCH($B$1,Towns!$A$1:$F$1,0),false))</f>
        <v/>
      </c>
    </row>
    <row r="185">
      <c r="A185" s="49"/>
      <c r="B185" s="49" t="str">
        <f>IFNA(VLOOKUP($A185,Towns!$A$2:$F1000,MATCH($B$1,Towns!$A$1:$F$1,0),false))</f>
        <v/>
      </c>
    </row>
    <row r="186">
      <c r="A186" s="49"/>
      <c r="B186" s="49" t="str">
        <f>IFNA(VLOOKUP($A186,Towns!$A$2:$F1000,MATCH($B$1,Towns!$A$1:$F$1,0),false))</f>
        <v/>
      </c>
    </row>
    <row r="187">
      <c r="A187" s="49"/>
      <c r="B187" s="49" t="str">
        <f>IFNA(VLOOKUP($A187,Towns!$A$2:$F1000,MATCH($B$1,Towns!$A$1:$F$1,0),false))</f>
        <v/>
      </c>
    </row>
    <row r="188">
      <c r="A188" s="49"/>
      <c r="B188" s="49" t="str">
        <f>IFNA(VLOOKUP($A188,Towns!$A$2:$F1000,MATCH($B$1,Towns!$A$1:$F$1,0),false))</f>
        <v/>
      </c>
    </row>
    <row r="189">
      <c r="A189" s="49"/>
      <c r="B189" s="49" t="str">
        <f>IFNA(VLOOKUP($A189,Towns!$A$2:$F1000,MATCH($B$1,Towns!$A$1:$F$1,0),false))</f>
        <v/>
      </c>
    </row>
    <row r="190">
      <c r="A190" s="49"/>
      <c r="B190" s="49" t="str">
        <f>IFNA(VLOOKUP($A190,Towns!$A$2:$F1000,MATCH($B$1,Towns!$A$1:$F$1,0),false))</f>
        <v/>
      </c>
    </row>
    <row r="191">
      <c r="A191" s="49"/>
      <c r="B191" s="49" t="str">
        <f>IFNA(VLOOKUP($A191,Towns!$A$2:$F1000,MATCH($B$1,Towns!$A$1:$F$1,0),false))</f>
        <v/>
      </c>
    </row>
    <row r="192">
      <c r="A192" s="49"/>
      <c r="B192" s="49" t="str">
        <f>IFNA(VLOOKUP($A192,Towns!$A$2:$F1000,MATCH($B$1,Towns!$A$1:$F$1,0),false))</f>
        <v/>
      </c>
    </row>
    <row r="193">
      <c r="A193" s="49"/>
      <c r="B193" s="49" t="str">
        <f>IFNA(VLOOKUP($A193,Towns!$A$2:$F1000,MATCH($B$1,Towns!$A$1:$F$1,0),false))</f>
        <v/>
      </c>
    </row>
    <row r="194">
      <c r="A194" s="49"/>
      <c r="B194" s="49" t="str">
        <f>IFNA(VLOOKUP($A194,Towns!$A$2:$F1000,MATCH($B$1,Towns!$A$1:$F$1,0),false))</f>
        <v/>
      </c>
    </row>
    <row r="195">
      <c r="A195" s="49"/>
      <c r="B195" s="49" t="str">
        <f>IFNA(VLOOKUP($A195,Towns!$A$2:$F1000,MATCH($B$1,Towns!$A$1:$F$1,0),false))</f>
        <v/>
      </c>
    </row>
    <row r="196">
      <c r="A196" s="49"/>
      <c r="B196" s="49" t="str">
        <f>IFNA(VLOOKUP($A196,Towns!$A$2:$F1000,MATCH($B$1,Towns!$A$1:$F$1,0),false))</f>
        <v/>
      </c>
    </row>
    <row r="197">
      <c r="A197" s="49"/>
      <c r="B197" s="49" t="str">
        <f>IFNA(VLOOKUP($A197,Towns!$A$2:$F1000,MATCH($B$1,Towns!$A$1:$F$1,0),false))</f>
        <v/>
      </c>
    </row>
    <row r="198">
      <c r="A198" s="49"/>
      <c r="B198" s="49" t="str">
        <f>IFNA(VLOOKUP($A198,Towns!$A$2:$F1000,MATCH($B$1,Towns!$A$1:$F$1,0),false))</f>
        <v/>
      </c>
    </row>
    <row r="199">
      <c r="A199" s="49"/>
      <c r="B199" s="49" t="str">
        <f>IFNA(VLOOKUP($A199,Towns!$A$2:$F1000,MATCH($B$1,Towns!$A$1:$F$1,0),false))</f>
        <v/>
      </c>
    </row>
    <row r="200">
      <c r="A200" s="49"/>
      <c r="B200" s="49" t="str">
        <f>IFNA(VLOOKUP($A200,Towns!$A$2:$F1000,MATCH($B$1,Towns!$A$1:$F$1,0),false))</f>
        <v/>
      </c>
    </row>
    <row r="201">
      <c r="A201" s="49"/>
      <c r="B201" s="49" t="str">
        <f>IFNA(VLOOKUP($A201,Towns!$A$2:$F1000,MATCH($B$1,Towns!$A$1:$F$1,0),false))</f>
        <v/>
      </c>
    </row>
    <row r="202">
      <c r="A202" s="49"/>
      <c r="B202" s="49" t="str">
        <f>IFNA(VLOOKUP($A202,Towns!$A$2:$F1000,MATCH($B$1,Towns!$A$1:$F$1,0),false))</f>
        <v/>
      </c>
    </row>
    <row r="203">
      <c r="A203" s="49"/>
      <c r="B203" s="49" t="str">
        <f>IFNA(VLOOKUP($A203,Towns!$A$2:$F1000,MATCH($B$1,Towns!$A$1:$F$1,0),false))</f>
        <v/>
      </c>
    </row>
    <row r="204">
      <c r="A204" s="49"/>
      <c r="B204" s="49" t="str">
        <f>IFNA(VLOOKUP($A204,Towns!$A$2:$F1000,MATCH($B$1,Towns!$A$1:$F$1,0),false))</f>
        <v/>
      </c>
    </row>
    <row r="205">
      <c r="A205" s="49"/>
      <c r="B205" s="49" t="str">
        <f>IFNA(VLOOKUP($A205,Towns!$A$2:$F1000,MATCH($B$1,Towns!$A$1:$F$1,0),false))</f>
        <v/>
      </c>
    </row>
    <row r="206">
      <c r="A206" s="49"/>
      <c r="B206" s="49" t="str">
        <f>IFNA(VLOOKUP($A206,Towns!$A$2:$F1000,MATCH($B$1,Towns!$A$1:$F$1,0),false))</f>
        <v/>
      </c>
    </row>
    <row r="207">
      <c r="A207" s="49"/>
      <c r="B207" s="49" t="str">
        <f>IFNA(VLOOKUP($A207,Towns!$A$2:$F1000,MATCH($B$1,Towns!$A$1:$F$1,0),false))</f>
        <v/>
      </c>
    </row>
    <row r="208">
      <c r="A208" s="49"/>
      <c r="B208" s="49" t="str">
        <f>IFNA(VLOOKUP($A208,Towns!$A$2:$F1000,MATCH($B$1,Towns!$A$1:$F$1,0),false))</f>
        <v/>
      </c>
    </row>
    <row r="209">
      <c r="A209" s="49"/>
      <c r="B209" s="49" t="str">
        <f>IFNA(VLOOKUP($A209,Towns!$A$2:$F1000,MATCH($B$1,Towns!$A$1:$F$1,0),false))</f>
        <v/>
      </c>
    </row>
    <row r="210">
      <c r="A210" s="49"/>
      <c r="B210" s="49" t="str">
        <f>IFNA(VLOOKUP($A210,Towns!$A$2:$F1000,MATCH($B$1,Towns!$A$1:$F$1,0),false))</f>
        <v/>
      </c>
    </row>
    <row r="211">
      <c r="A211" s="49"/>
      <c r="B211" s="49" t="str">
        <f>IFNA(VLOOKUP($A211,Towns!$A$2:$F1000,MATCH($B$1,Towns!$A$1:$F$1,0),false))</f>
        <v/>
      </c>
    </row>
    <row r="212">
      <c r="A212" s="49"/>
      <c r="B212" s="49" t="str">
        <f>IFNA(VLOOKUP($A212,Towns!$A$2:$F1000,MATCH($B$1,Towns!$A$1:$F$1,0),false))</f>
        <v/>
      </c>
    </row>
    <row r="213">
      <c r="A213" s="49"/>
      <c r="B213" s="49" t="str">
        <f>IFNA(VLOOKUP($A213,Towns!$A$2:$F1000,MATCH($B$1,Towns!$A$1:$F$1,0),false))</f>
        <v/>
      </c>
    </row>
    <row r="214">
      <c r="A214" s="49"/>
      <c r="B214" s="49" t="str">
        <f>IFNA(VLOOKUP($A214,Towns!$A$2:$F1000,MATCH($B$1,Towns!$A$1:$F$1,0),false))</f>
        <v/>
      </c>
    </row>
    <row r="215">
      <c r="A215" s="49"/>
      <c r="B215" s="49" t="str">
        <f>IFNA(VLOOKUP($A215,Towns!$A$2:$F1000,MATCH($B$1,Towns!$A$1:$F$1,0),false))</f>
        <v/>
      </c>
    </row>
    <row r="216">
      <c r="A216" s="49"/>
      <c r="B216" s="49" t="str">
        <f>IFNA(VLOOKUP($A216,Towns!$A$2:$F1000,MATCH($B$1,Towns!$A$1:$F$1,0),false))</f>
        <v/>
      </c>
    </row>
    <row r="217">
      <c r="A217" s="49"/>
      <c r="B217" s="49" t="str">
        <f>IFNA(VLOOKUP($A217,Towns!$A$2:$F1000,MATCH($B$1,Towns!$A$1:$F$1,0),false))</f>
        <v/>
      </c>
    </row>
    <row r="218">
      <c r="A218" s="49"/>
      <c r="B218" s="49" t="str">
        <f>IFNA(VLOOKUP($A218,Towns!$A$2:$F1000,MATCH($B$1,Towns!$A$1:$F$1,0),false))</f>
        <v/>
      </c>
    </row>
    <row r="219">
      <c r="A219" s="49"/>
      <c r="B219" s="49" t="str">
        <f>IFNA(VLOOKUP($A219,Towns!$A$2:$F1000,MATCH($B$1,Towns!$A$1:$F$1,0),false))</f>
        <v/>
      </c>
    </row>
    <row r="220">
      <c r="A220" s="49"/>
      <c r="B220" s="49" t="str">
        <f>IFNA(VLOOKUP($A220,Towns!$A$2:$F1000,MATCH($B$1,Towns!$A$1:$F$1,0),false))</f>
        <v/>
      </c>
    </row>
    <row r="221">
      <c r="A221" s="49"/>
      <c r="B221" s="49" t="str">
        <f>IFNA(VLOOKUP($A221,Towns!$A$2:$F1000,MATCH($B$1,Towns!$A$1:$F$1,0),false))</f>
        <v/>
      </c>
    </row>
    <row r="222">
      <c r="A222" s="49"/>
      <c r="B222" s="49" t="str">
        <f>IFNA(VLOOKUP($A222,Towns!$A$2:$F1000,MATCH($B$1,Towns!$A$1:$F$1,0),false))</f>
        <v/>
      </c>
    </row>
    <row r="223">
      <c r="A223" s="49"/>
      <c r="B223" s="49" t="str">
        <f>IFNA(VLOOKUP($A223,Towns!$A$2:$F1000,MATCH($B$1,Towns!$A$1:$F$1,0),false))</f>
        <v/>
      </c>
    </row>
    <row r="224">
      <c r="A224" s="49"/>
      <c r="B224" s="49" t="str">
        <f>IFNA(VLOOKUP($A224,Towns!$A$2:$F1000,MATCH($B$1,Towns!$A$1:$F$1,0),false))</f>
        <v/>
      </c>
    </row>
    <row r="225">
      <c r="A225" s="49"/>
      <c r="B225" s="49" t="str">
        <f>IFNA(VLOOKUP($A225,Towns!$A$2:$F1000,MATCH($B$1,Towns!$A$1:$F$1,0),false))</f>
        <v/>
      </c>
    </row>
    <row r="226">
      <c r="A226" s="49"/>
      <c r="B226" s="49" t="str">
        <f>IFNA(VLOOKUP($A226,Towns!$A$2:$F1000,MATCH($B$1,Towns!$A$1:$F$1,0),false))</f>
        <v/>
      </c>
    </row>
    <row r="227">
      <c r="A227" s="49"/>
      <c r="B227" s="49" t="str">
        <f>IFNA(VLOOKUP($A227,Towns!$A$2:$F1000,MATCH($B$1,Towns!$A$1:$F$1,0),false))</f>
        <v/>
      </c>
    </row>
    <row r="228">
      <c r="A228" s="49"/>
      <c r="B228" s="49" t="str">
        <f>IFNA(VLOOKUP($A228,Towns!$A$2:$F1000,MATCH($B$1,Towns!$A$1:$F$1,0),false))</f>
        <v/>
      </c>
    </row>
    <row r="229">
      <c r="A229" s="49"/>
      <c r="B229" s="49" t="str">
        <f>IFNA(VLOOKUP($A229,Towns!$A$2:$F1000,MATCH($B$1,Towns!$A$1:$F$1,0),false))</f>
        <v/>
      </c>
    </row>
    <row r="230">
      <c r="A230" s="49"/>
      <c r="B230" s="49" t="str">
        <f>IFNA(VLOOKUP($A230,Towns!$A$2:$F1000,MATCH($B$1,Towns!$A$1:$F$1,0),false))</f>
        <v/>
      </c>
    </row>
    <row r="231">
      <c r="A231" s="49"/>
      <c r="B231" s="49" t="str">
        <f>IFNA(VLOOKUP($A231,Towns!$A$2:$F1000,MATCH($B$1,Towns!$A$1:$F$1,0),false))</f>
        <v/>
      </c>
    </row>
    <row r="232">
      <c r="A232" s="49"/>
      <c r="B232" s="49" t="str">
        <f>IFNA(VLOOKUP($A232,Towns!$A$2:$F1000,MATCH($B$1,Towns!$A$1:$F$1,0),false))</f>
        <v/>
      </c>
    </row>
    <row r="233">
      <c r="A233" s="49"/>
      <c r="B233" s="49" t="str">
        <f>IFNA(VLOOKUP($A233,Towns!$A$2:$F1000,MATCH($B$1,Towns!$A$1:$F$1,0),false))</f>
        <v/>
      </c>
    </row>
    <row r="234">
      <c r="A234" s="49"/>
      <c r="B234" s="49" t="str">
        <f>IFNA(VLOOKUP($A234,Towns!$A$2:$F1000,MATCH($B$1,Towns!$A$1:$F$1,0),false))</f>
        <v/>
      </c>
    </row>
    <row r="235">
      <c r="A235" s="49"/>
      <c r="B235" s="49" t="str">
        <f>IFNA(VLOOKUP($A235,Towns!$A$2:$F1000,MATCH($B$1,Towns!$A$1:$F$1,0),false))</f>
        <v/>
      </c>
    </row>
    <row r="236">
      <c r="A236" s="49"/>
      <c r="B236" s="49" t="str">
        <f>IFNA(VLOOKUP($A236,Towns!$A$2:$F1000,MATCH($B$1,Towns!$A$1:$F$1,0),false))</f>
        <v/>
      </c>
    </row>
    <row r="237">
      <c r="A237" s="49"/>
      <c r="B237" s="49" t="str">
        <f>IFNA(VLOOKUP($A237,Towns!$A$2:$F1000,MATCH($B$1,Towns!$A$1:$F$1,0),false))</f>
        <v/>
      </c>
    </row>
    <row r="238">
      <c r="A238" s="49"/>
      <c r="B238" s="49" t="str">
        <f>IFNA(VLOOKUP($A238,Towns!$A$2:$F1000,MATCH($B$1,Towns!$A$1:$F$1,0),false))</f>
        <v/>
      </c>
    </row>
    <row r="239">
      <c r="A239" s="49"/>
      <c r="B239" s="49" t="str">
        <f>IFNA(VLOOKUP($A239,Towns!$A$2:$F1000,MATCH($B$1,Towns!$A$1:$F$1,0),false))</f>
        <v/>
      </c>
    </row>
    <row r="240">
      <c r="A240" s="49"/>
      <c r="B240" s="49" t="str">
        <f>IFNA(VLOOKUP($A240,Towns!$A$2:$F1000,MATCH($B$1,Towns!$A$1:$F$1,0),false))</f>
        <v/>
      </c>
    </row>
    <row r="241">
      <c r="A241" s="49"/>
      <c r="B241" s="49" t="str">
        <f>IFNA(VLOOKUP($A241,Towns!$A$2:$F1000,MATCH($B$1,Towns!$A$1:$F$1,0),false))</f>
        <v/>
      </c>
    </row>
    <row r="242">
      <c r="A242" s="49"/>
      <c r="B242" s="49" t="str">
        <f>IFNA(VLOOKUP($A242,Towns!$A$2:$F1000,MATCH($B$1,Towns!$A$1:$F$1,0),false))</f>
        <v/>
      </c>
    </row>
    <row r="243">
      <c r="A243" s="49"/>
      <c r="B243" s="49" t="str">
        <f>IFNA(VLOOKUP($A243,Towns!$A$2:$F1000,MATCH($B$1,Towns!$A$1:$F$1,0),false))</f>
        <v/>
      </c>
    </row>
    <row r="244">
      <c r="A244" s="49"/>
      <c r="B244" s="49" t="str">
        <f>IFNA(VLOOKUP($A244,Towns!$A$2:$F1000,MATCH($B$1,Towns!$A$1:$F$1,0),false))</f>
        <v/>
      </c>
    </row>
    <row r="245">
      <c r="A245" s="49"/>
      <c r="B245" s="49" t="str">
        <f>IFNA(VLOOKUP($A245,Towns!$A$2:$F1000,MATCH($B$1,Towns!$A$1:$F$1,0),false))</f>
        <v/>
      </c>
    </row>
    <row r="246">
      <c r="A246" s="49"/>
      <c r="B246" s="49" t="str">
        <f>IFNA(VLOOKUP($A246,Towns!$A$2:$F1000,MATCH($B$1,Towns!$A$1:$F$1,0),false))</f>
        <v/>
      </c>
    </row>
    <row r="247">
      <c r="A247" s="49"/>
      <c r="B247" s="49" t="str">
        <f>IFNA(VLOOKUP($A247,Towns!$A$2:$F1000,MATCH($B$1,Towns!$A$1:$F$1,0),false))</f>
        <v/>
      </c>
    </row>
    <row r="248">
      <c r="A248" s="49"/>
      <c r="B248" s="49" t="str">
        <f>IFNA(VLOOKUP($A248,Towns!$A$2:$F1000,MATCH($B$1,Towns!$A$1:$F$1,0),false))</f>
        <v/>
      </c>
    </row>
    <row r="249">
      <c r="A249" s="49"/>
      <c r="B249" s="49" t="str">
        <f>IFNA(VLOOKUP($A249,Towns!$A$2:$F1000,MATCH($B$1,Towns!$A$1:$F$1,0),false))</f>
        <v/>
      </c>
    </row>
    <row r="250">
      <c r="A250" s="49"/>
      <c r="B250" s="49" t="str">
        <f>IFNA(VLOOKUP($A250,Towns!$A$2:$F1000,MATCH($B$1,Towns!$A$1:$F$1,0),false))</f>
        <v/>
      </c>
    </row>
    <row r="251">
      <c r="A251" s="49"/>
      <c r="B251" s="49" t="str">
        <f>IFNA(VLOOKUP($A251,Towns!$A$2:$F1000,MATCH($B$1,Towns!$A$1:$F$1,0),false))</f>
        <v/>
      </c>
    </row>
    <row r="252">
      <c r="A252" s="49"/>
      <c r="B252" s="49" t="str">
        <f>IFNA(VLOOKUP($A252,Towns!$A$2:$F1000,MATCH($B$1,Towns!$A$1:$F$1,0),false))</f>
        <v/>
      </c>
    </row>
    <row r="253">
      <c r="A253" s="49"/>
      <c r="B253" s="49" t="str">
        <f>IFNA(VLOOKUP($A253,Towns!$A$2:$F1000,MATCH($B$1,Towns!$A$1:$F$1,0),false))</f>
        <v/>
      </c>
    </row>
    <row r="254">
      <c r="A254" s="49"/>
      <c r="B254" s="49" t="str">
        <f>IFNA(VLOOKUP($A254,Towns!$A$2:$F1000,MATCH($B$1,Towns!$A$1:$F$1,0),false))</f>
        <v/>
      </c>
    </row>
    <row r="255">
      <c r="A255" s="49"/>
      <c r="B255" s="49" t="str">
        <f>IFNA(VLOOKUP($A255,Towns!$A$2:$F1000,MATCH($B$1,Towns!$A$1:$F$1,0),false))</f>
        <v/>
      </c>
    </row>
    <row r="256">
      <c r="A256" s="49"/>
      <c r="B256" s="49" t="str">
        <f>IFNA(VLOOKUP($A256,Towns!$A$2:$F1000,MATCH($B$1,Towns!$A$1:$F$1,0),false))</f>
        <v/>
      </c>
    </row>
    <row r="257">
      <c r="A257" s="49"/>
      <c r="B257" s="49" t="str">
        <f>IFNA(VLOOKUP($A257,Towns!$A$2:$F1000,MATCH($B$1,Towns!$A$1:$F$1,0),false))</f>
        <v/>
      </c>
    </row>
    <row r="258">
      <c r="A258" s="49"/>
      <c r="B258" s="49" t="str">
        <f>IFNA(VLOOKUP($A258,Towns!$A$2:$F1000,MATCH($B$1,Towns!$A$1:$F$1,0),false))</f>
        <v/>
      </c>
    </row>
    <row r="259">
      <c r="A259" s="49"/>
      <c r="B259" s="49" t="str">
        <f>IFNA(VLOOKUP($A259,Towns!$A$2:$F1000,MATCH($B$1,Towns!$A$1:$F$1,0),false))</f>
        <v/>
      </c>
    </row>
    <row r="260">
      <c r="A260" s="49"/>
      <c r="B260" s="49" t="str">
        <f>IFNA(VLOOKUP($A260,Towns!$A$2:$F1000,MATCH($B$1,Towns!$A$1:$F$1,0),false))</f>
        <v/>
      </c>
    </row>
    <row r="261">
      <c r="A261" s="49"/>
      <c r="B261" s="49" t="str">
        <f>IFNA(VLOOKUP($A261,Towns!$A$2:$F1000,MATCH($B$1,Towns!$A$1:$F$1,0),false))</f>
        <v/>
      </c>
    </row>
    <row r="262">
      <c r="A262" s="49"/>
      <c r="B262" s="49" t="str">
        <f>IFNA(VLOOKUP($A262,Towns!$A$2:$F1000,MATCH($B$1,Towns!$A$1:$F$1,0),false))</f>
        <v/>
      </c>
    </row>
    <row r="263">
      <c r="A263" s="49"/>
      <c r="B263" s="49" t="str">
        <f>IFNA(VLOOKUP($A263,Towns!$A$2:$F1000,MATCH($B$1,Towns!$A$1:$F$1,0),false))</f>
        <v/>
      </c>
    </row>
    <row r="264">
      <c r="A264" s="49"/>
      <c r="B264" s="49" t="str">
        <f>IFNA(VLOOKUP($A264,Towns!$A$2:$F1000,MATCH($B$1,Towns!$A$1:$F$1,0),false))</f>
        <v/>
      </c>
    </row>
    <row r="265">
      <c r="A265" s="49"/>
      <c r="B265" s="49" t="str">
        <f>IFNA(VLOOKUP($A265,Towns!$A$2:$F1000,MATCH($B$1,Towns!$A$1:$F$1,0),false))</f>
        <v/>
      </c>
    </row>
    <row r="266">
      <c r="A266" s="49"/>
      <c r="B266" s="49" t="str">
        <f>IFNA(VLOOKUP($A266,Towns!$A$2:$F1000,MATCH($B$1,Towns!$A$1:$F$1,0),false))</f>
        <v/>
      </c>
    </row>
    <row r="267">
      <c r="A267" s="49"/>
      <c r="B267" s="49" t="str">
        <f>IFNA(VLOOKUP($A267,Towns!$A$2:$F1000,MATCH($B$1,Towns!$A$1:$F$1,0),false))</f>
        <v/>
      </c>
    </row>
    <row r="268">
      <c r="A268" s="49"/>
      <c r="B268" s="49" t="str">
        <f>IFNA(VLOOKUP($A268,Towns!$A$2:$F1000,MATCH($B$1,Towns!$A$1:$F$1,0),false))</f>
        <v/>
      </c>
    </row>
    <row r="269">
      <c r="A269" s="49"/>
      <c r="B269" s="49" t="str">
        <f>IFNA(VLOOKUP($A269,Towns!$A$2:$F1000,MATCH($B$1,Towns!$A$1:$F$1,0),false))</f>
        <v/>
      </c>
    </row>
    <row r="270">
      <c r="A270" s="49"/>
      <c r="B270" s="49" t="str">
        <f>IFNA(VLOOKUP($A270,Towns!$A$2:$F1000,MATCH($B$1,Towns!$A$1:$F$1,0),false))</f>
        <v/>
      </c>
    </row>
    <row r="271">
      <c r="A271" s="49"/>
      <c r="B271" s="49" t="str">
        <f>IFNA(VLOOKUP($A271,Towns!$A$2:$F1000,MATCH($B$1,Towns!$A$1:$F$1,0),false))</f>
        <v/>
      </c>
    </row>
    <row r="272">
      <c r="A272" s="49"/>
      <c r="B272" s="49" t="str">
        <f>IFNA(VLOOKUP($A272,Towns!$A$2:$F1000,MATCH($B$1,Towns!$A$1:$F$1,0),false))</f>
        <v/>
      </c>
    </row>
    <row r="273">
      <c r="A273" s="49"/>
      <c r="B273" s="49" t="str">
        <f>IFNA(VLOOKUP($A273,Towns!$A$2:$F1000,MATCH($B$1,Towns!$A$1:$F$1,0),false))</f>
        <v/>
      </c>
    </row>
    <row r="274">
      <c r="A274" s="49"/>
      <c r="B274" s="49" t="str">
        <f>IFNA(VLOOKUP($A274,Towns!$A$2:$F1000,MATCH($B$1,Towns!$A$1:$F$1,0),false))</f>
        <v/>
      </c>
    </row>
    <row r="275">
      <c r="A275" s="49"/>
      <c r="B275" s="49" t="str">
        <f>IFNA(VLOOKUP($A275,Towns!$A$2:$F1000,MATCH($B$1,Towns!$A$1:$F$1,0),false))</f>
        <v/>
      </c>
    </row>
    <row r="276">
      <c r="A276" s="49"/>
      <c r="B276" s="49" t="str">
        <f>IFNA(VLOOKUP($A276,Towns!$A$2:$F1000,MATCH($B$1,Towns!$A$1:$F$1,0),false))</f>
        <v/>
      </c>
    </row>
    <row r="277">
      <c r="A277" s="49"/>
      <c r="B277" s="49" t="str">
        <f>IFNA(VLOOKUP($A277,Towns!$A$2:$F1000,MATCH($B$1,Towns!$A$1:$F$1,0),false))</f>
        <v/>
      </c>
    </row>
    <row r="278">
      <c r="A278" s="49"/>
      <c r="B278" s="49" t="str">
        <f>IFNA(VLOOKUP($A278,Towns!$A$2:$F1000,MATCH($B$1,Towns!$A$1:$F$1,0),false))</f>
        <v/>
      </c>
    </row>
    <row r="279">
      <c r="A279" s="49"/>
      <c r="B279" s="49" t="str">
        <f>IFNA(VLOOKUP($A279,Towns!$A$2:$F1000,MATCH($B$1,Towns!$A$1:$F$1,0),false))</f>
        <v/>
      </c>
    </row>
    <row r="280">
      <c r="A280" s="49"/>
      <c r="B280" s="49" t="str">
        <f>IFNA(VLOOKUP($A280,Towns!$A$2:$F1000,MATCH($B$1,Towns!$A$1:$F$1,0),false))</f>
        <v/>
      </c>
    </row>
    <row r="281">
      <c r="A281" s="49"/>
      <c r="B281" s="49" t="str">
        <f>IFNA(VLOOKUP($A281,Towns!$A$2:$F1000,MATCH($B$1,Towns!$A$1:$F$1,0),false))</f>
        <v/>
      </c>
    </row>
    <row r="282">
      <c r="A282" s="49"/>
      <c r="B282" s="49" t="str">
        <f>IFNA(VLOOKUP($A282,Towns!$A$2:$F1000,MATCH($B$1,Towns!$A$1:$F$1,0),false))</f>
        <v/>
      </c>
    </row>
    <row r="283">
      <c r="A283" s="49"/>
      <c r="B283" s="49" t="str">
        <f>IFNA(VLOOKUP($A283,Towns!$A$2:$F1000,MATCH($B$1,Towns!$A$1:$F$1,0),false))</f>
        <v/>
      </c>
    </row>
    <row r="284">
      <c r="A284" s="49"/>
      <c r="B284" s="49" t="str">
        <f>IFNA(VLOOKUP($A284,Towns!$A$2:$F1000,MATCH($B$1,Towns!$A$1:$F$1,0),false))</f>
        <v/>
      </c>
    </row>
    <row r="285">
      <c r="A285" s="49"/>
      <c r="B285" s="49" t="str">
        <f>IFNA(VLOOKUP($A285,Towns!$A$2:$F1000,MATCH($B$1,Towns!$A$1:$F$1,0),false))</f>
        <v/>
      </c>
    </row>
    <row r="286">
      <c r="A286" s="49"/>
      <c r="B286" s="49" t="str">
        <f>IFNA(VLOOKUP($A286,Towns!$A$2:$F1000,MATCH($B$1,Towns!$A$1:$F$1,0),false))</f>
        <v/>
      </c>
    </row>
    <row r="287">
      <c r="A287" s="49"/>
      <c r="B287" s="49" t="str">
        <f>IFNA(VLOOKUP($A287,Towns!$A$2:$F1000,MATCH($B$1,Towns!$A$1:$F$1,0),false))</f>
        <v/>
      </c>
    </row>
    <row r="288">
      <c r="A288" s="49"/>
      <c r="B288" s="49" t="str">
        <f>IFNA(VLOOKUP($A288,Towns!$A$2:$F1000,MATCH($B$1,Towns!$A$1:$F$1,0),false))</f>
        <v/>
      </c>
    </row>
    <row r="289">
      <c r="A289" s="49"/>
      <c r="B289" s="49" t="str">
        <f>IFNA(VLOOKUP($A289,Towns!$A$2:$F1000,MATCH($B$1,Towns!$A$1:$F$1,0),false))</f>
        <v/>
      </c>
    </row>
    <row r="290">
      <c r="A290" s="49"/>
      <c r="B290" s="49" t="str">
        <f>IFNA(VLOOKUP($A290,Towns!$A$2:$F1000,MATCH($B$1,Towns!$A$1:$F$1,0),false))</f>
        <v/>
      </c>
    </row>
    <row r="291">
      <c r="A291" s="49"/>
      <c r="B291" s="49" t="str">
        <f>IFNA(VLOOKUP($A291,Towns!$A$2:$F1000,MATCH($B$1,Towns!$A$1:$F$1,0),false))</f>
        <v/>
      </c>
    </row>
    <row r="292">
      <c r="A292" s="49"/>
      <c r="B292" s="49" t="str">
        <f>IFNA(VLOOKUP($A292,Towns!$A$2:$F1000,MATCH($B$1,Towns!$A$1:$F$1,0),false))</f>
        <v/>
      </c>
    </row>
    <row r="293">
      <c r="A293" s="49"/>
      <c r="B293" s="49" t="str">
        <f>IFNA(VLOOKUP($A293,Towns!$A$2:$F1000,MATCH($B$1,Towns!$A$1:$F$1,0),false))</f>
        <v/>
      </c>
    </row>
    <row r="294">
      <c r="A294" s="49"/>
      <c r="B294" s="49" t="str">
        <f>IFNA(VLOOKUP($A294,Towns!$A$2:$F1000,MATCH($B$1,Towns!$A$1:$F$1,0),false))</f>
        <v/>
      </c>
    </row>
    <row r="295">
      <c r="A295" s="49"/>
      <c r="B295" s="49" t="str">
        <f>IFNA(VLOOKUP($A295,Towns!$A$2:$F1000,MATCH($B$1,Towns!$A$1:$F$1,0),false))</f>
        <v/>
      </c>
    </row>
    <row r="296">
      <c r="A296" s="49"/>
      <c r="B296" s="49" t="str">
        <f>IFNA(VLOOKUP($A296,Towns!$A$2:$F1000,MATCH($B$1,Towns!$A$1:$F$1,0),false))</f>
        <v/>
      </c>
    </row>
    <row r="297">
      <c r="A297" s="49"/>
      <c r="B297" s="49" t="str">
        <f>IFNA(VLOOKUP($A297,Towns!$A$2:$F1000,MATCH($B$1,Towns!$A$1:$F$1,0),false))</f>
        <v/>
      </c>
    </row>
    <row r="298">
      <c r="A298" s="49"/>
      <c r="B298" s="49" t="str">
        <f>IFNA(VLOOKUP($A298,Towns!$A$2:$F1000,MATCH($B$1,Towns!$A$1:$F$1,0),false))</f>
        <v/>
      </c>
    </row>
    <row r="299">
      <c r="A299" s="49"/>
      <c r="B299" s="49" t="str">
        <f>IFNA(VLOOKUP($A299,Towns!$A$2:$F1000,MATCH($B$1,Towns!$A$1:$F$1,0),false))</f>
        <v/>
      </c>
    </row>
    <row r="300">
      <c r="A300" s="49"/>
      <c r="B300" s="49" t="str">
        <f>IFNA(VLOOKUP($A300,Towns!$A$2:$F1000,MATCH($B$1,Towns!$A$1:$F$1,0),false))</f>
        <v/>
      </c>
    </row>
    <row r="301">
      <c r="A301" s="49"/>
      <c r="B301" s="49" t="str">
        <f>IFNA(VLOOKUP($A301,Towns!$A$2:$F1000,MATCH($B$1,Towns!$A$1:$F$1,0),false))</f>
        <v/>
      </c>
    </row>
    <row r="302">
      <c r="A302" s="49"/>
      <c r="B302" s="49" t="str">
        <f>IFNA(VLOOKUP($A302,Towns!$A$2:$F1000,MATCH($B$1,Towns!$A$1:$F$1,0),false))</f>
        <v/>
      </c>
    </row>
    <row r="303">
      <c r="A303" s="49"/>
      <c r="B303" s="49" t="str">
        <f>IFNA(VLOOKUP($A303,Towns!$A$2:$F1000,MATCH($B$1,Towns!$A$1:$F$1,0),false))</f>
        <v/>
      </c>
    </row>
    <row r="304">
      <c r="A304" s="49"/>
      <c r="B304" s="49" t="str">
        <f>IFNA(VLOOKUP($A304,Towns!$A$2:$F1000,MATCH($B$1,Towns!$A$1:$F$1,0),false))</f>
        <v/>
      </c>
    </row>
    <row r="305">
      <c r="A305" s="49"/>
      <c r="B305" s="49" t="str">
        <f>IFNA(VLOOKUP($A305,Towns!$A$2:$F1000,MATCH($B$1,Towns!$A$1:$F$1,0),false))</f>
        <v/>
      </c>
    </row>
    <row r="306">
      <c r="A306" s="49"/>
      <c r="B306" s="49" t="str">
        <f>IFNA(VLOOKUP($A306,Towns!$A$2:$F1000,MATCH($B$1,Towns!$A$1:$F$1,0),false))</f>
        <v/>
      </c>
    </row>
    <row r="307">
      <c r="A307" s="49"/>
      <c r="B307" s="49" t="str">
        <f>IFNA(VLOOKUP($A307,Towns!$A$2:$F1000,MATCH($B$1,Towns!$A$1:$F$1,0),false))</f>
        <v/>
      </c>
    </row>
    <row r="308">
      <c r="A308" s="49"/>
      <c r="B308" s="49" t="str">
        <f>IFNA(VLOOKUP($A308,Towns!$A$2:$F1000,MATCH($B$1,Towns!$A$1:$F$1,0),false))</f>
        <v/>
      </c>
    </row>
    <row r="309">
      <c r="A309" s="49"/>
      <c r="B309" s="49" t="str">
        <f>IFNA(VLOOKUP($A309,Towns!$A$2:$F1000,MATCH($B$1,Towns!$A$1:$F$1,0),false))</f>
        <v/>
      </c>
    </row>
    <row r="310">
      <c r="A310" s="49"/>
      <c r="B310" s="49" t="str">
        <f>IFNA(VLOOKUP($A310,Towns!$A$2:$F1000,MATCH($B$1,Towns!$A$1:$F$1,0),false))</f>
        <v/>
      </c>
    </row>
    <row r="311">
      <c r="A311" s="49"/>
      <c r="B311" s="49" t="str">
        <f>IFNA(VLOOKUP($A311,Towns!$A$2:$F1000,MATCH($B$1,Towns!$A$1:$F$1,0),false))</f>
        <v/>
      </c>
    </row>
    <row r="312">
      <c r="A312" s="49"/>
      <c r="B312" s="49" t="str">
        <f>IFNA(VLOOKUP($A312,Towns!$A$2:$F1000,MATCH($B$1,Towns!$A$1:$F$1,0),false))</f>
        <v/>
      </c>
    </row>
    <row r="313">
      <c r="A313" s="49"/>
      <c r="B313" s="49" t="str">
        <f>IFNA(VLOOKUP($A313,Towns!$A$2:$F1000,MATCH($B$1,Towns!$A$1:$F$1,0),false))</f>
        <v/>
      </c>
    </row>
    <row r="314">
      <c r="A314" s="49"/>
      <c r="B314" s="49" t="str">
        <f>IFNA(VLOOKUP($A314,Towns!$A$2:$F1000,MATCH($B$1,Towns!$A$1:$F$1,0),false))</f>
        <v/>
      </c>
    </row>
    <row r="315">
      <c r="A315" s="49"/>
      <c r="B315" s="49" t="str">
        <f>IFNA(VLOOKUP($A315,Towns!$A$2:$F1000,MATCH($B$1,Towns!$A$1:$F$1,0),false))</f>
        <v/>
      </c>
    </row>
    <row r="316">
      <c r="A316" s="49"/>
      <c r="B316" s="49" t="str">
        <f>IFNA(VLOOKUP($A316,Towns!$A$2:$F1000,MATCH($B$1,Towns!$A$1:$F$1,0),false))</f>
        <v/>
      </c>
    </row>
    <row r="317">
      <c r="A317" s="49"/>
      <c r="B317" s="49" t="str">
        <f>IFNA(VLOOKUP($A317,Towns!$A$2:$F1000,MATCH($B$1,Towns!$A$1:$F$1,0),false))</f>
        <v/>
      </c>
    </row>
    <row r="318">
      <c r="A318" s="49"/>
      <c r="B318" s="49" t="str">
        <f>IFNA(VLOOKUP($A318,Towns!$A$2:$F1000,MATCH($B$1,Towns!$A$1:$F$1,0),false))</f>
        <v/>
      </c>
    </row>
    <row r="319">
      <c r="A319" s="49"/>
      <c r="B319" s="49" t="str">
        <f>IFNA(VLOOKUP($A319,Towns!$A$2:$F1000,MATCH($B$1,Towns!$A$1:$F$1,0),false))</f>
        <v/>
      </c>
    </row>
    <row r="320">
      <c r="A320" s="49"/>
      <c r="B320" s="49" t="str">
        <f>IFNA(VLOOKUP($A320,Towns!$A$2:$F1000,MATCH($B$1,Towns!$A$1:$F$1,0),false))</f>
        <v/>
      </c>
    </row>
    <row r="321">
      <c r="A321" s="49"/>
      <c r="B321" s="49" t="str">
        <f>IFNA(VLOOKUP($A321,Towns!$A$2:$F1000,MATCH($B$1,Towns!$A$1:$F$1,0),false))</f>
        <v/>
      </c>
    </row>
    <row r="322">
      <c r="A322" s="49"/>
      <c r="B322" s="49" t="str">
        <f>IFNA(VLOOKUP($A322,Towns!$A$2:$F1000,MATCH($B$1,Towns!$A$1:$F$1,0),false))</f>
        <v/>
      </c>
    </row>
    <row r="323">
      <c r="A323" s="49"/>
      <c r="B323" s="49" t="str">
        <f>IFNA(VLOOKUP($A323,Towns!$A$2:$F1000,MATCH($B$1,Towns!$A$1:$F$1,0),false))</f>
        <v/>
      </c>
    </row>
    <row r="324">
      <c r="A324" s="49"/>
      <c r="B324" s="49" t="str">
        <f>IFNA(VLOOKUP($A324,Towns!$A$2:$F1000,MATCH($B$1,Towns!$A$1:$F$1,0),false))</f>
        <v/>
      </c>
    </row>
    <row r="325">
      <c r="A325" s="49"/>
      <c r="B325" s="49" t="str">
        <f>IFNA(VLOOKUP($A325,Towns!$A$2:$F1000,MATCH($B$1,Towns!$A$1:$F$1,0),false))</f>
        <v/>
      </c>
    </row>
    <row r="326">
      <c r="A326" s="49"/>
      <c r="B326" s="49" t="str">
        <f>IFNA(VLOOKUP($A326,Towns!$A$2:$F1000,MATCH($B$1,Towns!$A$1:$F$1,0),false))</f>
        <v/>
      </c>
    </row>
    <row r="327">
      <c r="A327" s="49"/>
      <c r="B327" s="49" t="str">
        <f>IFNA(VLOOKUP($A327,Towns!$A$2:$F1000,MATCH($B$1,Towns!$A$1:$F$1,0),false))</f>
        <v/>
      </c>
    </row>
    <row r="328">
      <c r="A328" s="49"/>
      <c r="B328" s="49" t="str">
        <f>IFNA(VLOOKUP($A328,Towns!$A$2:$F1000,MATCH($B$1,Towns!$A$1:$F$1,0),false))</f>
        <v/>
      </c>
    </row>
    <row r="329">
      <c r="A329" s="49"/>
      <c r="B329" s="49" t="str">
        <f>IFNA(VLOOKUP($A329,Towns!$A$2:$F1000,MATCH($B$1,Towns!$A$1:$F$1,0),false))</f>
        <v/>
      </c>
    </row>
    <row r="330">
      <c r="A330" s="49"/>
      <c r="B330" s="49" t="str">
        <f>IFNA(VLOOKUP($A330,Towns!$A$2:$F1000,MATCH($B$1,Towns!$A$1:$F$1,0),false))</f>
        <v/>
      </c>
    </row>
    <row r="331">
      <c r="A331" s="49"/>
      <c r="B331" s="49" t="str">
        <f>IFNA(VLOOKUP($A331,Towns!$A$2:$F1000,MATCH($B$1,Towns!$A$1:$F$1,0),false))</f>
        <v/>
      </c>
    </row>
    <row r="332">
      <c r="A332" s="49"/>
      <c r="B332" s="49" t="str">
        <f>IFNA(VLOOKUP($A332,Towns!$A$2:$F1000,MATCH($B$1,Towns!$A$1:$F$1,0),false))</f>
        <v/>
      </c>
    </row>
    <row r="333">
      <c r="A333" s="49"/>
      <c r="B333" s="49" t="str">
        <f>IFNA(VLOOKUP($A333,Towns!$A$2:$F1000,MATCH($B$1,Towns!$A$1:$F$1,0),false))</f>
        <v/>
      </c>
    </row>
    <row r="334">
      <c r="A334" s="49"/>
      <c r="B334" s="49" t="str">
        <f>IFNA(VLOOKUP($A334,Towns!$A$2:$F1000,MATCH($B$1,Towns!$A$1:$F$1,0),false))</f>
        <v/>
      </c>
    </row>
    <row r="335">
      <c r="A335" s="49"/>
      <c r="B335" s="49" t="str">
        <f>IFNA(VLOOKUP($A335,Towns!$A$2:$F1000,MATCH($B$1,Towns!$A$1:$F$1,0),false))</f>
        <v/>
      </c>
    </row>
    <row r="336">
      <c r="A336" s="49"/>
      <c r="B336" s="49" t="str">
        <f>IFNA(VLOOKUP($A336,Towns!$A$2:$F1000,MATCH($B$1,Towns!$A$1:$F$1,0),false))</f>
        <v/>
      </c>
    </row>
    <row r="337">
      <c r="A337" s="49"/>
      <c r="B337" s="49" t="str">
        <f>IFNA(VLOOKUP($A337,Towns!$A$2:$F1000,MATCH($B$1,Towns!$A$1:$F$1,0),false))</f>
        <v/>
      </c>
    </row>
    <row r="338">
      <c r="A338" s="49"/>
      <c r="B338" s="49" t="str">
        <f>IFNA(VLOOKUP($A338,Towns!$A$2:$F1000,MATCH($B$1,Towns!$A$1:$F$1,0),false))</f>
        <v/>
      </c>
    </row>
    <row r="339">
      <c r="A339" s="49"/>
      <c r="B339" s="49" t="str">
        <f>IFNA(VLOOKUP($A339,Towns!$A$2:$F1000,MATCH($B$1,Towns!$A$1:$F$1,0),false))</f>
        <v/>
      </c>
    </row>
    <row r="340">
      <c r="A340" s="49"/>
      <c r="B340" s="49" t="str">
        <f>IFNA(VLOOKUP($A340,Towns!$A$2:$F1000,MATCH($B$1,Towns!$A$1:$F$1,0),false))</f>
        <v/>
      </c>
    </row>
    <row r="341">
      <c r="A341" s="49"/>
      <c r="B341" s="49" t="str">
        <f>IFNA(VLOOKUP($A341,Towns!$A$2:$F1000,MATCH($B$1,Towns!$A$1:$F$1,0),false))</f>
        <v/>
      </c>
    </row>
    <row r="342">
      <c r="A342" s="49"/>
      <c r="B342" s="49" t="str">
        <f>IFNA(VLOOKUP($A342,Towns!$A$2:$F1000,MATCH($B$1,Towns!$A$1:$F$1,0),false))</f>
        <v/>
      </c>
    </row>
    <row r="343">
      <c r="A343" s="49"/>
      <c r="B343" s="49" t="str">
        <f>IFNA(VLOOKUP($A343,Towns!$A$2:$F1000,MATCH($B$1,Towns!$A$1:$F$1,0),false))</f>
        <v/>
      </c>
    </row>
    <row r="344">
      <c r="A344" s="49"/>
      <c r="B344" s="49" t="str">
        <f>IFNA(VLOOKUP($A344,Towns!$A$2:$F1000,MATCH($B$1,Towns!$A$1:$F$1,0),false))</f>
        <v/>
      </c>
    </row>
    <row r="345">
      <c r="A345" s="49"/>
      <c r="B345" s="49" t="str">
        <f>IFNA(VLOOKUP($A345,Towns!$A$2:$F1000,MATCH($B$1,Towns!$A$1:$F$1,0),false))</f>
        <v/>
      </c>
    </row>
    <row r="346">
      <c r="A346" s="49"/>
      <c r="B346" s="49" t="str">
        <f>IFNA(VLOOKUP($A346,Towns!$A$2:$F1000,MATCH($B$1,Towns!$A$1:$F$1,0),false))</f>
        <v/>
      </c>
    </row>
    <row r="347">
      <c r="A347" s="49"/>
      <c r="B347" s="49" t="str">
        <f>IFNA(VLOOKUP($A347,Towns!$A$2:$F1000,MATCH($B$1,Towns!$A$1:$F$1,0),false))</f>
        <v/>
      </c>
    </row>
    <row r="348">
      <c r="A348" s="49"/>
      <c r="B348" s="49" t="str">
        <f>IFNA(VLOOKUP($A348,Towns!$A$2:$F1000,MATCH($B$1,Towns!$A$1:$F$1,0),false))</f>
        <v/>
      </c>
    </row>
    <row r="349">
      <c r="A349" s="49"/>
      <c r="B349" s="49" t="str">
        <f>IFNA(VLOOKUP($A349,Towns!$A$2:$F1000,MATCH($B$1,Towns!$A$1:$F$1,0),false))</f>
        <v/>
      </c>
    </row>
    <row r="350">
      <c r="A350" s="49"/>
      <c r="B350" s="49" t="str">
        <f>IFNA(VLOOKUP($A350,Towns!$A$2:$F1000,MATCH($B$1,Towns!$A$1:$F$1,0),false))</f>
        <v/>
      </c>
    </row>
    <row r="351">
      <c r="A351" s="49"/>
      <c r="B351" s="49" t="str">
        <f>IFNA(VLOOKUP($A351,Towns!$A$2:$F1000,MATCH($B$1,Towns!$A$1:$F$1,0),false))</f>
        <v/>
      </c>
    </row>
    <row r="352">
      <c r="A352" s="49"/>
      <c r="B352" s="49" t="str">
        <f>IFNA(VLOOKUP($A352,Towns!$A$2:$F1000,MATCH($B$1,Towns!$A$1:$F$1,0),false))</f>
        <v/>
      </c>
    </row>
    <row r="353">
      <c r="A353" s="49"/>
      <c r="B353" s="49" t="str">
        <f>IFNA(VLOOKUP($A353,Towns!$A$2:$F1000,MATCH($B$1,Towns!$A$1:$F$1,0),false))</f>
        <v/>
      </c>
    </row>
    <row r="354">
      <c r="A354" s="49"/>
      <c r="B354" s="49" t="str">
        <f>IFNA(VLOOKUP($A354,Towns!$A$2:$F1000,MATCH($B$1,Towns!$A$1:$F$1,0),false))</f>
        <v/>
      </c>
    </row>
    <row r="355">
      <c r="A355" s="49"/>
      <c r="B355" s="49" t="str">
        <f>IFNA(VLOOKUP($A355,Towns!$A$2:$F1000,MATCH($B$1,Towns!$A$1:$F$1,0),false))</f>
        <v/>
      </c>
    </row>
    <row r="356">
      <c r="A356" s="49"/>
      <c r="B356" s="49" t="str">
        <f>IFNA(VLOOKUP($A356,Towns!$A$2:$F1000,MATCH($B$1,Towns!$A$1:$F$1,0),false))</f>
        <v/>
      </c>
    </row>
    <row r="357">
      <c r="A357" s="49"/>
      <c r="B357" s="49" t="str">
        <f>IFNA(VLOOKUP($A357,Towns!$A$2:$F1000,MATCH($B$1,Towns!$A$1:$F$1,0),false))</f>
        <v/>
      </c>
    </row>
    <row r="358">
      <c r="A358" s="49"/>
      <c r="B358" s="49" t="str">
        <f>IFNA(VLOOKUP($A358,Towns!$A$2:$F1000,MATCH($B$1,Towns!$A$1:$F$1,0),false))</f>
        <v/>
      </c>
    </row>
    <row r="359">
      <c r="A359" s="49"/>
      <c r="B359" s="49" t="str">
        <f>IFNA(VLOOKUP($A359,Towns!$A$2:$F1000,MATCH($B$1,Towns!$A$1:$F$1,0),false))</f>
        <v/>
      </c>
    </row>
    <row r="360">
      <c r="A360" s="49"/>
      <c r="B360" s="49" t="str">
        <f>IFNA(VLOOKUP($A360,Towns!$A$2:$F1000,MATCH($B$1,Towns!$A$1:$F$1,0),false))</f>
        <v/>
      </c>
    </row>
    <row r="361">
      <c r="A361" s="49"/>
      <c r="B361" s="49" t="str">
        <f>IFNA(VLOOKUP($A361,Towns!$A$2:$F1000,MATCH($B$1,Towns!$A$1:$F$1,0),false))</f>
        <v/>
      </c>
    </row>
    <row r="362">
      <c r="A362" s="49"/>
      <c r="B362" s="49" t="str">
        <f>IFNA(VLOOKUP($A362,Towns!$A$2:$F1000,MATCH($B$1,Towns!$A$1:$F$1,0),false))</f>
        <v/>
      </c>
    </row>
    <row r="363">
      <c r="A363" s="49"/>
      <c r="B363" s="49" t="str">
        <f>IFNA(VLOOKUP($A363,Towns!$A$2:$F1000,MATCH($B$1,Towns!$A$1:$F$1,0),false))</f>
        <v/>
      </c>
    </row>
    <row r="364">
      <c r="A364" s="49"/>
      <c r="B364" s="49" t="str">
        <f>IFNA(VLOOKUP($A364,Towns!$A$2:$F1000,MATCH($B$1,Towns!$A$1:$F$1,0),false))</f>
        <v/>
      </c>
    </row>
    <row r="365">
      <c r="A365" s="49"/>
      <c r="B365" s="49" t="str">
        <f>IFNA(VLOOKUP($A365,Towns!$A$2:$F1000,MATCH($B$1,Towns!$A$1:$F$1,0),false))</f>
        <v/>
      </c>
    </row>
    <row r="366">
      <c r="A366" s="49"/>
      <c r="B366" s="49" t="str">
        <f>IFNA(VLOOKUP($A366,Towns!$A$2:$F1000,MATCH($B$1,Towns!$A$1:$F$1,0),false))</f>
        <v/>
      </c>
    </row>
    <row r="367">
      <c r="A367" s="49"/>
      <c r="B367" s="49" t="str">
        <f>IFNA(VLOOKUP($A367,Towns!$A$2:$F1000,MATCH($B$1,Towns!$A$1:$F$1,0),false))</f>
        <v/>
      </c>
    </row>
    <row r="368">
      <c r="A368" s="49"/>
      <c r="B368" s="49" t="str">
        <f>IFNA(VLOOKUP($A368,Towns!$A$2:$F1000,MATCH($B$1,Towns!$A$1:$F$1,0),false))</f>
        <v/>
      </c>
    </row>
    <row r="369">
      <c r="A369" s="49"/>
      <c r="B369" s="49" t="str">
        <f>IFNA(VLOOKUP($A369,Towns!$A$2:$F1000,MATCH($B$1,Towns!$A$1:$F$1,0),false))</f>
        <v/>
      </c>
    </row>
    <row r="370">
      <c r="A370" s="49"/>
      <c r="B370" s="49" t="str">
        <f>IFNA(VLOOKUP($A370,Towns!$A$2:$F1000,MATCH($B$1,Towns!$A$1:$F$1,0),false))</f>
        <v/>
      </c>
    </row>
    <row r="371">
      <c r="A371" s="49"/>
      <c r="B371" s="49" t="str">
        <f>IFNA(VLOOKUP($A371,Towns!$A$2:$F1000,MATCH($B$1,Towns!$A$1:$F$1,0),false))</f>
        <v/>
      </c>
    </row>
    <row r="372">
      <c r="A372" s="49"/>
      <c r="B372" s="49" t="str">
        <f>IFNA(VLOOKUP($A372,Towns!$A$2:$F1000,MATCH($B$1,Towns!$A$1:$F$1,0),false))</f>
        <v/>
      </c>
    </row>
    <row r="373">
      <c r="A373" s="49"/>
      <c r="B373" s="49" t="str">
        <f>IFNA(VLOOKUP($A373,Towns!$A$2:$F1000,MATCH($B$1,Towns!$A$1:$F$1,0),false))</f>
        <v/>
      </c>
    </row>
    <row r="374">
      <c r="A374" s="49"/>
      <c r="B374" s="49" t="str">
        <f>IFNA(VLOOKUP($A374,Towns!$A$2:$F1000,MATCH($B$1,Towns!$A$1:$F$1,0),false))</f>
        <v/>
      </c>
    </row>
    <row r="375">
      <c r="A375" s="49"/>
      <c r="B375" s="49" t="str">
        <f>IFNA(VLOOKUP($A375,Towns!$A$2:$F1000,MATCH($B$1,Towns!$A$1:$F$1,0),false))</f>
        <v/>
      </c>
    </row>
    <row r="376">
      <c r="A376" s="49"/>
      <c r="B376" s="49" t="str">
        <f>IFNA(VLOOKUP($A376,Towns!$A$2:$F1000,MATCH($B$1,Towns!$A$1:$F$1,0),false))</f>
        <v/>
      </c>
    </row>
    <row r="377">
      <c r="A377" s="49"/>
      <c r="B377" s="49" t="str">
        <f>IFNA(VLOOKUP($A377,Towns!$A$2:$F1000,MATCH($B$1,Towns!$A$1:$F$1,0),false))</f>
        <v/>
      </c>
    </row>
    <row r="378">
      <c r="A378" s="49"/>
      <c r="B378" s="49" t="str">
        <f>IFNA(VLOOKUP($A378,Towns!$A$2:$F1000,MATCH($B$1,Towns!$A$1:$F$1,0),false))</f>
        <v/>
      </c>
    </row>
    <row r="379">
      <c r="A379" s="49"/>
      <c r="B379" s="49" t="str">
        <f>IFNA(VLOOKUP($A379,Towns!$A$2:$F1000,MATCH($B$1,Towns!$A$1:$F$1,0),false))</f>
        <v/>
      </c>
    </row>
    <row r="380">
      <c r="A380" s="49"/>
      <c r="B380" s="49" t="str">
        <f>IFNA(VLOOKUP($A380,Towns!$A$2:$F1000,MATCH($B$1,Towns!$A$1:$F$1,0),false))</f>
        <v/>
      </c>
    </row>
    <row r="381">
      <c r="A381" s="49"/>
      <c r="B381" s="49" t="str">
        <f>IFNA(VLOOKUP($A381,Towns!$A$2:$F1000,MATCH($B$1,Towns!$A$1:$F$1,0),false))</f>
        <v/>
      </c>
    </row>
    <row r="382">
      <c r="A382" s="49"/>
      <c r="B382" s="49" t="str">
        <f>IFNA(VLOOKUP($A382,Towns!$A$2:$F1000,MATCH($B$1,Towns!$A$1:$F$1,0),false))</f>
        <v/>
      </c>
    </row>
    <row r="383">
      <c r="A383" s="49"/>
      <c r="B383" s="49" t="str">
        <f>IFNA(VLOOKUP($A383,Towns!$A$2:$F1000,MATCH($B$1,Towns!$A$1:$F$1,0),false))</f>
        <v/>
      </c>
    </row>
    <row r="384">
      <c r="A384" s="49"/>
      <c r="B384" s="49" t="str">
        <f>IFNA(VLOOKUP($A384,Towns!$A$2:$F1000,MATCH($B$1,Towns!$A$1:$F$1,0),false))</f>
        <v/>
      </c>
    </row>
    <row r="385">
      <c r="A385" s="49"/>
      <c r="B385" s="49" t="str">
        <f>IFNA(VLOOKUP($A385,Towns!$A$2:$F1000,MATCH($B$1,Towns!$A$1:$F$1,0),false))</f>
        <v/>
      </c>
    </row>
    <row r="386">
      <c r="A386" s="49"/>
      <c r="B386" s="49" t="str">
        <f>IFNA(VLOOKUP($A386,Towns!$A$2:$F1000,MATCH($B$1,Towns!$A$1:$F$1,0),false))</f>
        <v/>
      </c>
    </row>
    <row r="387">
      <c r="A387" s="49"/>
      <c r="B387" s="49" t="str">
        <f>IFNA(VLOOKUP($A387,Towns!$A$2:$F1000,MATCH($B$1,Towns!$A$1:$F$1,0),false))</f>
        <v/>
      </c>
    </row>
    <row r="388">
      <c r="A388" s="49"/>
      <c r="B388" s="49" t="str">
        <f>IFNA(VLOOKUP($A388,Towns!$A$2:$F1000,MATCH($B$1,Towns!$A$1:$F$1,0),false))</f>
        <v/>
      </c>
    </row>
    <row r="389">
      <c r="A389" s="49"/>
      <c r="B389" s="49" t="str">
        <f>IFNA(VLOOKUP($A389,Towns!$A$2:$F1000,MATCH($B$1,Towns!$A$1:$F$1,0),false))</f>
        <v/>
      </c>
    </row>
    <row r="390">
      <c r="A390" s="49"/>
      <c r="B390" s="49" t="str">
        <f>IFNA(VLOOKUP($A390,Towns!$A$2:$F1000,MATCH($B$1,Towns!$A$1:$F$1,0),false))</f>
        <v/>
      </c>
    </row>
    <row r="391">
      <c r="A391" s="49"/>
      <c r="B391" s="49" t="str">
        <f>IFNA(VLOOKUP($A391,Towns!$A$2:$F1000,MATCH($B$1,Towns!$A$1:$F$1,0),false))</f>
        <v/>
      </c>
    </row>
    <row r="392">
      <c r="A392" s="49"/>
      <c r="B392" s="49" t="str">
        <f>IFNA(VLOOKUP($A392,Towns!$A$2:$F1000,MATCH($B$1,Towns!$A$1:$F$1,0),false))</f>
        <v/>
      </c>
    </row>
    <row r="393">
      <c r="A393" s="49"/>
      <c r="B393" s="49" t="str">
        <f>IFNA(VLOOKUP($A393,Towns!$A$2:$F1000,MATCH($B$1,Towns!$A$1:$F$1,0),false))</f>
        <v/>
      </c>
    </row>
    <row r="394">
      <c r="A394" s="49"/>
      <c r="B394" s="49" t="str">
        <f>IFNA(VLOOKUP($A394,Towns!$A$2:$F1000,MATCH($B$1,Towns!$A$1:$F$1,0),false))</f>
        <v/>
      </c>
    </row>
    <row r="395">
      <c r="A395" s="49"/>
      <c r="B395" s="49" t="str">
        <f>IFNA(VLOOKUP($A395,Towns!$A$2:$F1000,MATCH($B$1,Towns!$A$1:$F$1,0),false))</f>
        <v/>
      </c>
    </row>
    <row r="396">
      <c r="A396" s="49"/>
      <c r="B396" s="49" t="str">
        <f>IFNA(VLOOKUP($A396,Towns!$A$2:$F1000,MATCH($B$1,Towns!$A$1:$F$1,0),false))</f>
        <v/>
      </c>
    </row>
    <row r="397">
      <c r="A397" s="49"/>
      <c r="B397" s="49" t="str">
        <f>IFNA(VLOOKUP($A397,Towns!$A$2:$F1000,MATCH($B$1,Towns!$A$1:$F$1,0),false))</f>
        <v/>
      </c>
    </row>
    <row r="398">
      <c r="A398" s="49"/>
      <c r="B398" s="49" t="str">
        <f>IFNA(VLOOKUP($A398,Towns!$A$2:$F1000,MATCH($B$1,Towns!$A$1:$F$1,0),false))</f>
        <v/>
      </c>
    </row>
    <row r="399">
      <c r="A399" s="49"/>
      <c r="B399" s="49" t="str">
        <f>IFNA(VLOOKUP($A399,Towns!$A$2:$F1000,MATCH($B$1,Towns!$A$1:$F$1,0),false))</f>
        <v/>
      </c>
    </row>
    <row r="400">
      <c r="A400" s="49"/>
      <c r="B400" s="49" t="str">
        <f>IFNA(VLOOKUP($A400,Towns!$A$2:$F1000,MATCH($B$1,Towns!$A$1:$F$1,0),false))</f>
        <v/>
      </c>
    </row>
    <row r="401">
      <c r="A401" s="49"/>
      <c r="B401" s="49" t="str">
        <f>IFNA(VLOOKUP($A401,Towns!$A$2:$F1000,MATCH($B$1,Towns!$A$1:$F$1,0),false))</f>
        <v/>
      </c>
    </row>
    <row r="402">
      <c r="A402" s="49"/>
      <c r="B402" s="49" t="str">
        <f>IFNA(VLOOKUP($A402,Towns!$A$2:$F1000,MATCH($B$1,Towns!$A$1:$F$1,0),false))</f>
        <v/>
      </c>
    </row>
    <row r="403">
      <c r="A403" s="49"/>
      <c r="B403" s="49" t="str">
        <f>IFNA(VLOOKUP($A403,Towns!$A$2:$F1000,MATCH($B$1,Towns!$A$1:$F$1,0),false))</f>
        <v/>
      </c>
    </row>
    <row r="404">
      <c r="A404" s="49"/>
      <c r="B404" s="49" t="str">
        <f>IFNA(VLOOKUP($A404,Towns!$A$2:$F1000,MATCH($B$1,Towns!$A$1:$F$1,0),false))</f>
        <v/>
      </c>
    </row>
    <row r="405">
      <c r="A405" s="49"/>
      <c r="B405" s="49" t="str">
        <f>IFNA(VLOOKUP($A405,Towns!$A$2:$F1000,MATCH($B$1,Towns!$A$1:$F$1,0),false))</f>
        <v/>
      </c>
    </row>
    <row r="406">
      <c r="A406" s="49"/>
      <c r="B406" s="49" t="str">
        <f>IFNA(VLOOKUP($A406,Towns!$A$2:$F1000,MATCH($B$1,Towns!$A$1:$F$1,0),false))</f>
        <v/>
      </c>
    </row>
    <row r="407">
      <c r="A407" s="49"/>
      <c r="B407" s="49" t="str">
        <f>IFNA(VLOOKUP($A407,Towns!$A$2:$F1000,MATCH($B$1,Towns!$A$1:$F$1,0),false))</f>
        <v/>
      </c>
    </row>
    <row r="408">
      <c r="A408" s="49"/>
      <c r="B408" s="49" t="str">
        <f>IFNA(VLOOKUP($A408,Towns!$A$2:$F1000,MATCH($B$1,Towns!$A$1:$F$1,0),false))</f>
        <v/>
      </c>
    </row>
    <row r="409">
      <c r="A409" s="49"/>
      <c r="B409" s="49" t="str">
        <f>IFNA(VLOOKUP($A409,Towns!$A$2:$F1000,MATCH($B$1,Towns!$A$1:$F$1,0),false))</f>
        <v/>
      </c>
    </row>
    <row r="410">
      <c r="A410" s="49"/>
      <c r="B410" s="49" t="str">
        <f>IFNA(VLOOKUP($A410,Towns!$A$2:$F1000,MATCH($B$1,Towns!$A$1:$F$1,0),false))</f>
        <v/>
      </c>
    </row>
    <row r="411">
      <c r="A411" s="49"/>
      <c r="B411" s="49" t="str">
        <f>IFNA(VLOOKUP($A411,Towns!$A$2:$F1000,MATCH($B$1,Towns!$A$1:$F$1,0),false))</f>
        <v/>
      </c>
    </row>
    <row r="412">
      <c r="A412" s="49"/>
      <c r="B412" s="49" t="str">
        <f>IFNA(VLOOKUP($A412,Towns!$A$2:$F1000,MATCH($B$1,Towns!$A$1:$F$1,0),false))</f>
        <v/>
      </c>
    </row>
    <row r="413">
      <c r="A413" s="49"/>
      <c r="B413" s="49" t="str">
        <f>IFNA(VLOOKUP($A413,Towns!$A$2:$F1000,MATCH($B$1,Towns!$A$1:$F$1,0),false))</f>
        <v/>
      </c>
    </row>
    <row r="414">
      <c r="A414" s="49"/>
      <c r="B414" s="49" t="str">
        <f>IFNA(VLOOKUP($A414,Towns!$A$2:$F1000,MATCH($B$1,Towns!$A$1:$F$1,0),false))</f>
        <v/>
      </c>
    </row>
    <row r="415">
      <c r="A415" s="49"/>
      <c r="B415" s="49" t="str">
        <f>IFNA(VLOOKUP($A415,Towns!$A$2:$F1000,MATCH($B$1,Towns!$A$1:$F$1,0),false))</f>
        <v/>
      </c>
    </row>
    <row r="416">
      <c r="A416" s="49"/>
      <c r="B416" s="49" t="str">
        <f>IFNA(VLOOKUP($A416,Towns!$A$2:$F1000,MATCH($B$1,Towns!$A$1:$F$1,0),false))</f>
        <v/>
      </c>
    </row>
    <row r="417">
      <c r="A417" s="49"/>
      <c r="B417" s="49" t="str">
        <f>IFNA(VLOOKUP($A417,Towns!$A$2:$F1000,MATCH($B$1,Towns!$A$1:$F$1,0),false))</f>
        <v/>
      </c>
    </row>
    <row r="418">
      <c r="A418" s="49"/>
      <c r="B418" s="49" t="str">
        <f>IFNA(VLOOKUP($A418,Towns!$A$2:$F1000,MATCH($B$1,Towns!$A$1:$F$1,0),false))</f>
        <v/>
      </c>
    </row>
    <row r="419">
      <c r="A419" s="49"/>
      <c r="B419" s="49" t="str">
        <f>IFNA(VLOOKUP($A419,Towns!$A$2:$F1000,MATCH($B$1,Towns!$A$1:$F$1,0),false))</f>
        <v/>
      </c>
    </row>
    <row r="420">
      <c r="A420" s="49"/>
      <c r="B420" s="49" t="str">
        <f>IFNA(VLOOKUP($A420,Towns!$A$2:$F1000,MATCH($B$1,Towns!$A$1:$F$1,0),false))</f>
        <v/>
      </c>
    </row>
    <row r="421">
      <c r="A421" s="49"/>
      <c r="B421" s="49" t="str">
        <f>IFNA(VLOOKUP($A421,Towns!$A$2:$F1000,MATCH($B$1,Towns!$A$1:$F$1,0),false))</f>
        <v/>
      </c>
    </row>
    <row r="422">
      <c r="A422" s="49"/>
      <c r="B422" s="49" t="str">
        <f>IFNA(VLOOKUP($A422,Towns!$A$2:$F1000,MATCH($B$1,Towns!$A$1:$F$1,0),false))</f>
        <v/>
      </c>
    </row>
    <row r="423">
      <c r="A423" s="49"/>
      <c r="B423" s="49" t="str">
        <f>IFNA(VLOOKUP($A423,Towns!$A$2:$F1000,MATCH($B$1,Towns!$A$1:$F$1,0),false))</f>
        <v/>
      </c>
    </row>
    <row r="424">
      <c r="A424" s="49"/>
      <c r="B424" s="49" t="str">
        <f>IFNA(VLOOKUP($A424,Towns!$A$2:$F1000,MATCH($B$1,Towns!$A$1:$F$1,0),false))</f>
        <v/>
      </c>
    </row>
    <row r="425">
      <c r="A425" s="49"/>
      <c r="B425" s="49" t="str">
        <f>IFNA(VLOOKUP($A425,Towns!$A$2:$F1000,MATCH($B$1,Towns!$A$1:$F$1,0),false))</f>
        <v/>
      </c>
    </row>
    <row r="426">
      <c r="A426" s="49"/>
      <c r="B426" s="49" t="str">
        <f>IFNA(VLOOKUP($A426,Towns!$A$2:$F1000,MATCH($B$1,Towns!$A$1:$F$1,0),false))</f>
        <v/>
      </c>
    </row>
    <row r="427">
      <c r="A427" s="49"/>
      <c r="B427" s="49" t="str">
        <f>IFNA(VLOOKUP($A427,Towns!$A$2:$F1000,MATCH($B$1,Towns!$A$1:$F$1,0),false))</f>
        <v/>
      </c>
    </row>
    <row r="428">
      <c r="A428" s="49"/>
      <c r="B428" s="49" t="str">
        <f>IFNA(VLOOKUP($A428,Towns!$A$2:$F1000,MATCH($B$1,Towns!$A$1:$F$1,0),false))</f>
        <v/>
      </c>
    </row>
    <row r="429">
      <c r="A429" s="49"/>
      <c r="B429" s="49" t="str">
        <f>IFNA(VLOOKUP($A429,Towns!$A$2:$F1000,MATCH($B$1,Towns!$A$1:$F$1,0),false))</f>
        <v/>
      </c>
    </row>
    <row r="430">
      <c r="A430" s="49"/>
      <c r="B430" s="49" t="str">
        <f>IFNA(VLOOKUP($A430,Towns!$A$2:$F1000,MATCH($B$1,Towns!$A$1:$F$1,0),false))</f>
        <v/>
      </c>
    </row>
    <row r="431">
      <c r="A431" s="49"/>
      <c r="B431" s="49" t="str">
        <f>IFNA(VLOOKUP($A431,Towns!$A$2:$F1000,MATCH($B$1,Towns!$A$1:$F$1,0),false))</f>
        <v/>
      </c>
    </row>
    <row r="432">
      <c r="A432" s="49"/>
      <c r="B432" s="49" t="str">
        <f>IFNA(VLOOKUP($A432,Towns!$A$2:$F1000,MATCH($B$1,Towns!$A$1:$F$1,0),false))</f>
        <v/>
      </c>
    </row>
    <row r="433">
      <c r="A433" s="49"/>
      <c r="B433" s="49" t="str">
        <f>IFNA(VLOOKUP($A433,Towns!$A$2:$F1000,MATCH($B$1,Towns!$A$1:$F$1,0),false))</f>
        <v/>
      </c>
    </row>
    <row r="434">
      <c r="A434" s="49"/>
      <c r="B434" s="49" t="str">
        <f>IFNA(VLOOKUP($A434,Towns!$A$2:$F1000,MATCH($B$1,Towns!$A$1:$F$1,0),false))</f>
        <v/>
      </c>
    </row>
    <row r="435">
      <c r="A435" s="49"/>
      <c r="B435" s="49" t="str">
        <f>IFNA(VLOOKUP($A435,Towns!$A$2:$F1000,MATCH($B$1,Towns!$A$1:$F$1,0),false))</f>
        <v/>
      </c>
    </row>
    <row r="436">
      <c r="A436" s="49"/>
      <c r="B436" s="49" t="str">
        <f>IFNA(VLOOKUP($A436,Towns!$A$2:$F1000,MATCH($B$1,Towns!$A$1:$F$1,0),false))</f>
        <v/>
      </c>
    </row>
    <row r="437">
      <c r="A437" s="49"/>
      <c r="B437" s="49" t="str">
        <f>IFNA(VLOOKUP($A437,Towns!$A$2:$F1000,MATCH($B$1,Towns!$A$1:$F$1,0),false))</f>
        <v/>
      </c>
    </row>
    <row r="438">
      <c r="A438" s="49"/>
      <c r="B438" s="49" t="str">
        <f>IFNA(VLOOKUP($A438,Towns!$A$2:$F1000,MATCH($B$1,Towns!$A$1:$F$1,0),false))</f>
        <v/>
      </c>
    </row>
    <row r="439">
      <c r="A439" s="49"/>
      <c r="B439" s="49" t="str">
        <f>IFNA(VLOOKUP($A439,Towns!$A$2:$F1000,MATCH($B$1,Towns!$A$1:$F$1,0),false))</f>
        <v/>
      </c>
    </row>
    <row r="440">
      <c r="A440" s="49"/>
      <c r="B440" s="49" t="str">
        <f>IFNA(VLOOKUP($A440,Towns!$A$2:$F1000,MATCH($B$1,Towns!$A$1:$F$1,0),false))</f>
        <v/>
      </c>
    </row>
    <row r="441">
      <c r="A441" s="49"/>
      <c r="B441" s="49" t="str">
        <f>IFNA(VLOOKUP($A441,Towns!$A$2:$F1000,MATCH($B$1,Towns!$A$1:$F$1,0),false))</f>
        <v/>
      </c>
    </row>
    <row r="442">
      <c r="A442" s="49"/>
      <c r="B442" s="49" t="str">
        <f>IFNA(VLOOKUP($A442,Towns!$A$2:$F1000,MATCH($B$1,Towns!$A$1:$F$1,0),false))</f>
        <v/>
      </c>
    </row>
    <row r="443">
      <c r="A443" s="49"/>
      <c r="B443" s="49" t="str">
        <f>IFNA(VLOOKUP($A443,Towns!$A$2:$F1000,MATCH($B$1,Towns!$A$1:$F$1,0),false))</f>
        <v/>
      </c>
    </row>
    <row r="444">
      <c r="A444" s="49"/>
      <c r="B444" s="49" t="str">
        <f>IFNA(VLOOKUP($A444,Towns!$A$2:$F1000,MATCH($B$1,Towns!$A$1:$F$1,0),false))</f>
        <v/>
      </c>
    </row>
    <row r="445">
      <c r="A445" s="49"/>
      <c r="B445" s="49" t="str">
        <f>IFNA(VLOOKUP($A445,Towns!$A$2:$F1000,MATCH($B$1,Towns!$A$1:$F$1,0),false))</f>
        <v/>
      </c>
    </row>
    <row r="446">
      <c r="A446" s="49"/>
      <c r="B446" s="49" t="str">
        <f>IFNA(VLOOKUP($A446,Towns!$A$2:$F1000,MATCH($B$1,Towns!$A$1:$F$1,0),false))</f>
        <v/>
      </c>
    </row>
    <row r="447">
      <c r="A447" s="49"/>
      <c r="B447" s="49" t="str">
        <f>IFNA(VLOOKUP($A447,Towns!$A$2:$F1000,MATCH($B$1,Towns!$A$1:$F$1,0),false))</f>
        <v/>
      </c>
    </row>
    <row r="448">
      <c r="A448" s="49"/>
      <c r="B448" s="49" t="str">
        <f>IFNA(VLOOKUP($A448,Towns!$A$2:$F1000,MATCH($B$1,Towns!$A$1:$F$1,0),false))</f>
        <v/>
      </c>
    </row>
    <row r="449">
      <c r="A449" s="49"/>
      <c r="B449" s="49" t="str">
        <f>IFNA(VLOOKUP($A449,Towns!$A$2:$F1000,MATCH($B$1,Towns!$A$1:$F$1,0),false))</f>
        <v/>
      </c>
    </row>
    <row r="450">
      <c r="A450" s="49"/>
      <c r="B450" s="49" t="str">
        <f>IFNA(VLOOKUP($A450,Towns!$A$2:$F1000,MATCH($B$1,Towns!$A$1:$F$1,0),false))</f>
        <v/>
      </c>
    </row>
    <row r="451">
      <c r="A451" s="49"/>
      <c r="B451" s="49" t="str">
        <f>IFNA(VLOOKUP($A451,Towns!$A$2:$F1000,MATCH($B$1,Towns!$A$1:$F$1,0),false))</f>
        <v/>
      </c>
    </row>
    <row r="452">
      <c r="A452" s="49"/>
      <c r="B452" s="49" t="str">
        <f>IFNA(VLOOKUP($A452,Towns!$A$2:$F1000,MATCH($B$1,Towns!$A$1:$F$1,0),false))</f>
        <v/>
      </c>
    </row>
    <row r="453">
      <c r="A453" s="49"/>
      <c r="B453" s="49" t="str">
        <f>IFNA(VLOOKUP($A453,Towns!$A$2:$F1000,MATCH($B$1,Towns!$A$1:$F$1,0),false))</f>
        <v/>
      </c>
    </row>
    <row r="454">
      <c r="A454" s="49"/>
      <c r="B454" s="49" t="str">
        <f>IFNA(VLOOKUP($A454,Towns!$A$2:$F1000,MATCH($B$1,Towns!$A$1:$F$1,0),false))</f>
        <v/>
      </c>
    </row>
    <row r="455">
      <c r="A455" s="49"/>
      <c r="B455" s="49" t="str">
        <f>IFNA(VLOOKUP($A455,Towns!$A$2:$F1000,MATCH($B$1,Towns!$A$1:$F$1,0),false))</f>
        <v/>
      </c>
    </row>
    <row r="456">
      <c r="A456" s="49"/>
      <c r="B456" s="49" t="str">
        <f>IFNA(VLOOKUP($A456,Towns!$A$2:$F1000,MATCH($B$1,Towns!$A$1:$F$1,0),false))</f>
        <v/>
      </c>
    </row>
    <row r="457">
      <c r="A457" s="49"/>
      <c r="B457" s="49" t="str">
        <f>IFNA(VLOOKUP($A457,Towns!$A$2:$F1000,MATCH($B$1,Towns!$A$1:$F$1,0),false))</f>
        <v/>
      </c>
    </row>
    <row r="458">
      <c r="A458" s="49"/>
      <c r="B458" s="49" t="str">
        <f>IFNA(VLOOKUP($A458,Towns!$A$2:$F1000,MATCH($B$1,Towns!$A$1:$F$1,0),false))</f>
        <v/>
      </c>
    </row>
    <row r="459">
      <c r="A459" s="49"/>
      <c r="B459" s="49" t="str">
        <f>IFNA(VLOOKUP($A459,Towns!$A$2:$F1000,MATCH($B$1,Towns!$A$1:$F$1,0),false))</f>
        <v/>
      </c>
    </row>
    <row r="460">
      <c r="A460" s="49"/>
      <c r="B460" s="49" t="str">
        <f>IFNA(VLOOKUP($A460,Towns!$A$2:$F1000,MATCH($B$1,Towns!$A$1:$F$1,0),false))</f>
        <v/>
      </c>
    </row>
    <row r="461">
      <c r="A461" s="49"/>
      <c r="B461" s="49" t="str">
        <f>IFNA(VLOOKUP($A461,Towns!$A$2:$F1000,MATCH($B$1,Towns!$A$1:$F$1,0),false))</f>
        <v/>
      </c>
    </row>
    <row r="462">
      <c r="A462" s="49"/>
      <c r="B462" s="49" t="str">
        <f>IFNA(VLOOKUP($A462,Towns!$A$2:$F1000,MATCH($B$1,Towns!$A$1:$F$1,0),false))</f>
        <v/>
      </c>
    </row>
    <row r="463">
      <c r="A463" s="49"/>
      <c r="B463" s="49" t="str">
        <f>IFNA(VLOOKUP($A463,Towns!$A$2:$F1000,MATCH($B$1,Towns!$A$1:$F$1,0),false))</f>
        <v/>
      </c>
    </row>
    <row r="464">
      <c r="A464" s="49"/>
      <c r="B464" s="49" t="str">
        <f>IFNA(VLOOKUP($A464,Towns!$A$2:$F1000,MATCH($B$1,Towns!$A$1:$F$1,0),false))</f>
        <v/>
      </c>
    </row>
    <row r="465">
      <c r="A465" s="49"/>
      <c r="B465" s="49" t="str">
        <f>IFNA(VLOOKUP($A465,Towns!$A$2:$F1000,MATCH($B$1,Towns!$A$1:$F$1,0),false))</f>
        <v/>
      </c>
    </row>
    <row r="466">
      <c r="A466" s="49"/>
      <c r="B466" s="49" t="str">
        <f>IFNA(VLOOKUP($A466,Towns!$A$2:$F1000,MATCH($B$1,Towns!$A$1:$F$1,0),false))</f>
        <v/>
      </c>
    </row>
    <row r="467">
      <c r="A467" s="49"/>
      <c r="B467" s="49" t="str">
        <f>IFNA(VLOOKUP($A467,Towns!$A$2:$F1000,MATCH($B$1,Towns!$A$1:$F$1,0),false))</f>
        <v/>
      </c>
    </row>
    <row r="468">
      <c r="A468" s="49"/>
      <c r="B468" s="49" t="str">
        <f>IFNA(VLOOKUP($A468,Towns!$A$2:$F1000,MATCH($B$1,Towns!$A$1:$F$1,0),false))</f>
        <v/>
      </c>
    </row>
    <row r="469">
      <c r="A469" s="49"/>
      <c r="B469" s="49" t="str">
        <f>IFNA(VLOOKUP($A469,Towns!$A$2:$F1000,MATCH($B$1,Towns!$A$1:$F$1,0),false))</f>
        <v/>
      </c>
    </row>
    <row r="470">
      <c r="A470" s="49"/>
      <c r="B470" s="49" t="str">
        <f>IFNA(VLOOKUP($A470,Towns!$A$2:$F1000,MATCH($B$1,Towns!$A$1:$F$1,0),false))</f>
        <v/>
      </c>
    </row>
    <row r="471">
      <c r="A471" s="49"/>
      <c r="B471" s="49" t="str">
        <f>IFNA(VLOOKUP($A471,Towns!$A$2:$F1000,MATCH($B$1,Towns!$A$1:$F$1,0),false))</f>
        <v/>
      </c>
    </row>
    <row r="472">
      <c r="A472" s="49"/>
      <c r="B472" s="49" t="str">
        <f>IFNA(VLOOKUP($A472,Towns!$A$2:$F1000,MATCH($B$1,Towns!$A$1:$F$1,0),false))</f>
        <v/>
      </c>
    </row>
    <row r="473">
      <c r="A473" s="49"/>
      <c r="B473" s="49" t="str">
        <f>IFNA(VLOOKUP($A473,Towns!$A$2:$F1000,MATCH($B$1,Towns!$A$1:$F$1,0),false))</f>
        <v/>
      </c>
    </row>
    <row r="474">
      <c r="A474" s="49"/>
      <c r="B474" s="49" t="str">
        <f>IFNA(VLOOKUP($A474,Towns!$A$2:$F1000,MATCH($B$1,Towns!$A$1:$F$1,0),false))</f>
        <v/>
      </c>
    </row>
    <row r="475">
      <c r="A475" s="49"/>
      <c r="B475" s="49" t="str">
        <f>IFNA(VLOOKUP($A475,Towns!$A$2:$F1000,MATCH($B$1,Towns!$A$1:$F$1,0),false))</f>
        <v/>
      </c>
    </row>
    <row r="476">
      <c r="A476" s="49"/>
      <c r="B476" s="49" t="str">
        <f>IFNA(VLOOKUP($A476,Towns!$A$2:$F1000,MATCH($B$1,Towns!$A$1:$F$1,0),false))</f>
        <v/>
      </c>
    </row>
    <row r="477">
      <c r="A477" s="49"/>
      <c r="B477" s="49" t="str">
        <f>IFNA(VLOOKUP($A477,Towns!$A$2:$F1000,MATCH($B$1,Towns!$A$1:$F$1,0),false))</f>
        <v/>
      </c>
    </row>
    <row r="478">
      <c r="A478" s="49"/>
      <c r="B478" s="49" t="str">
        <f>IFNA(VLOOKUP($A478,Towns!$A$2:$F1000,MATCH($B$1,Towns!$A$1:$F$1,0),false))</f>
        <v/>
      </c>
    </row>
    <row r="479">
      <c r="A479" s="49"/>
      <c r="B479" s="49" t="str">
        <f>IFNA(VLOOKUP($A479,Towns!$A$2:$F1000,MATCH($B$1,Towns!$A$1:$F$1,0),false))</f>
        <v/>
      </c>
    </row>
    <row r="480">
      <c r="A480" s="49"/>
      <c r="B480" s="49" t="str">
        <f>IFNA(VLOOKUP($A480,Towns!$A$2:$F1000,MATCH($B$1,Towns!$A$1:$F$1,0),false))</f>
        <v/>
      </c>
    </row>
    <row r="481">
      <c r="A481" s="49"/>
      <c r="B481" s="49" t="str">
        <f>IFNA(VLOOKUP($A481,Towns!$A$2:$F1000,MATCH($B$1,Towns!$A$1:$F$1,0),false))</f>
        <v/>
      </c>
    </row>
    <row r="482">
      <c r="A482" s="49"/>
      <c r="B482" s="49" t="str">
        <f>IFNA(VLOOKUP($A482,Towns!$A$2:$F1000,MATCH($B$1,Towns!$A$1:$F$1,0),false))</f>
        <v/>
      </c>
    </row>
    <row r="483">
      <c r="A483" s="49"/>
      <c r="B483" s="49" t="str">
        <f>IFNA(VLOOKUP($A483,Towns!$A$2:$F1000,MATCH($B$1,Towns!$A$1:$F$1,0),false))</f>
        <v/>
      </c>
    </row>
    <row r="484">
      <c r="A484" s="49"/>
      <c r="B484" s="49" t="str">
        <f>IFNA(VLOOKUP($A484,Towns!$A$2:$F1000,MATCH($B$1,Towns!$A$1:$F$1,0),false))</f>
        <v/>
      </c>
    </row>
    <row r="485">
      <c r="A485" s="49"/>
      <c r="B485" s="49" t="str">
        <f>IFNA(VLOOKUP($A485,Towns!$A$2:$F1000,MATCH($B$1,Towns!$A$1:$F$1,0),false))</f>
        <v/>
      </c>
    </row>
    <row r="486">
      <c r="A486" s="49"/>
      <c r="B486" s="49" t="str">
        <f>IFNA(VLOOKUP($A486,Towns!$A$2:$F1000,MATCH($B$1,Towns!$A$1:$F$1,0),false))</f>
        <v/>
      </c>
    </row>
    <row r="487">
      <c r="A487" s="49"/>
      <c r="B487" s="49" t="str">
        <f>IFNA(VLOOKUP($A487,Towns!$A$2:$F1000,MATCH($B$1,Towns!$A$1:$F$1,0),false))</f>
        <v/>
      </c>
    </row>
    <row r="488">
      <c r="A488" s="49"/>
      <c r="B488" s="49" t="str">
        <f>IFNA(VLOOKUP($A488,Towns!$A$2:$F1000,MATCH($B$1,Towns!$A$1:$F$1,0),false))</f>
        <v/>
      </c>
    </row>
    <row r="489">
      <c r="A489" s="49"/>
      <c r="B489" s="49" t="str">
        <f>IFNA(VLOOKUP($A489,Towns!$A$2:$F1000,MATCH($B$1,Towns!$A$1:$F$1,0),false))</f>
        <v/>
      </c>
    </row>
    <row r="490">
      <c r="A490" s="49"/>
      <c r="B490" s="49" t="str">
        <f>IFNA(VLOOKUP($A490,Towns!$A$2:$F1000,MATCH($B$1,Towns!$A$1:$F$1,0),false))</f>
        <v/>
      </c>
    </row>
    <row r="491">
      <c r="A491" s="49"/>
      <c r="B491" s="49" t="str">
        <f>IFNA(VLOOKUP($A491,Towns!$A$2:$F1000,MATCH($B$1,Towns!$A$1:$F$1,0),false))</f>
        <v/>
      </c>
    </row>
    <row r="492">
      <c r="A492" s="49"/>
      <c r="B492" s="49" t="str">
        <f>IFNA(VLOOKUP($A492,Towns!$A$2:$F1000,MATCH($B$1,Towns!$A$1:$F$1,0),false))</f>
        <v/>
      </c>
    </row>
    <row r="493">
      <c r="A493" s="49"/>
      <c r="B493" s="49" t="str">
        <f>IFNA(VLOOKUP($A493,Towns!$A$2:$F1000,MATCH($B$1,Towns!$A$1:$F$1,0),false))</f>
        <v/>
      </c>
    </row>
    <row r="494">
      <c r="A494" s="49"/>
      <c r="B494" s="49" t="str">
        <f>IFNA(VLOOKUP($A494,Towns!$A$2:$F1000,MATCH($B$1,Towns!$A$1:$F$1,0),false))</f>
        <v/>
      </c>
    </row>
    <row r="495">
      <c r="A495" s="49"/>
      <c r="B495" s="49" t="str">
        <f>IFNA(VLOOKUP($A495,Towns!$A$2:$F1000,MATCH($B$1,Towns!$A$1:$F$1,0),false))</f>
        <v/>
      </c>
    </row>
    <row r="496">
      <c r="A496" s="49"/>
      <c r="B496" s="49" t="str">
        <f>IFNA(VLOOKUP($A496,Towns!$A$2:$F1000,MATCH($B$1,Towns!$A$1:$F$1,0),false))</f>
        <v/>
      </c>
    </row>
    <row r="497">
      <c r="A497" s="49"/>
      <c r="B497" s="49" t="str">
        <f>IFNA(VLOOKUP($A497,Towns!$A$2:$F1000,MATCH($B$1,Towns!$A$1:$F$1,0),false))</f>
        <v/>
      </c>
    </row>
    <row r="498">
      <c r="A498" s="49"/>
      <c r="B498" s="49" t="str">
        <f>IFNA(VLOOKUP($A498,Towns!$A$2:$F1000,MATCH($B$1,Towns!$A$1:$F$1,0),false))</f>
        <v/>
      </c>
    </row>
    <row r="499">
      <c r="A499" s="49"/>
      <c r="B499" s="49" t="str">
        <f>IFNA(VLOOKUP($A499,Towns!$A$2:$F1000,MATCH($B$1,Towns!$A$1:$F$1,0),false))</f>
        <v/>
      </c>
    </row>
    <row r="500">
      <c r="A500" s="49"/>
      <c r="B500" s="49" t="str">
        <f>IFNA(VLOOKUP($A500,Towns!$A$2:$F1000,MATCH($B$1,Towns!$A$1:$F$1,0),false))</f>
        <v/>
      </c>
    </row>
    <row r="501">
      <c r="A501" s="49"/>
      <c r="B501" s="49" t="str">
        <f>IFNA(VLOOKUP($A501,Towns!$A$2:$F1000,MATCH($B$1,Towns!$A$1:$F$1,0),false))</f>
        <v/>
      </c>
    </row>
    <row r="502">
      <c r="A502" s="49"/>
      <c r="B502" s="49" t="str">
        <f>IFNA(VLOOKUP($A502,Towns!$A$2:$F1000,MATCH($B$1,Towns!$A$1:$F$1,0),false))</f>
        <v/>
      </c>
    </row>
    <row r="503">
      <c r="A503" s="49"/>
      <c r="B503" s="49" t="str">
        <f>IFNA(VLOOKUP($A503,Towns!$A$2:$F1000,MATCH($B$1,Towns!$A$1:$F$1,0),false))</f>
        <v/>
      </c>
    </row>
    <row r="504">
      <c r="A504" s="49"/>
      <c r="B504" s="49" t="str">
        <f>IFNA(VLOOKUP($A504,Towns!$A$2:$F1000,MATCH($B$1,Towns!$A$1:$F$1,0),false))</f>
        <v/>
      </c>
    </row>
    <row r="505">
      <c r="A505" s="49"/>
      <c r="B505" s="49" t="str">
        <f>IFNA(VLOOKUP($A505,Towns!$A$2:$F1000,MATCH($B$1,Towns!$A$1:$F$1,0),false))</f>
        <v/>
      </c>
    </row>
    <row r="506">
      <c r="A506" s="49"/>
      <c r="B506" s="49" t="str">
        <f>IFNA(VLOOKUP($A506,Towns!$A$2:$F1000,MATCH($B$1,Towns!$A$1:$F$1,0),false))</f>
        <v/>
      </c>
    </row>
    <row r="507">
      <c r="A507" s="49"/>
      <c r="B507" s="49" t="str">
        <f>IFNA(VLOOKUP($A507,Towns!$A$2:$F1000,MATCH($B$1,Towns!$A$1:$F$1,0),false))</f>
        <v/>
      </c>
    </row>
    <row r="508">
      <c r="A508" s="49"/>
      <c r="B508" s="49" t="str">
        <f>IFNA(VLOOKUP($A508,Towns!$A$2:$F1000,MATCH($B$1,Towns!$A$1:$F$1,0),false))</f>
        <v/>
      </c>
    </row>
    <row r="509">
      <c r="A509" s="49"/>
      <c r="B509" s="49" t="str">
        <f>IFNA(VLOOKUP($A509,Towns!$A$2:$F1000,MATCH($B$1,Towns!$A$1:$F$1,0),false))</f>
        <v/>
      </c>
    </row>
    <row r="510">
      <c r="A510" s="49"/>
      <c r="B510" s="49" t="str">
        <f>IFNA(VLOOKUP($A510,Towns!$A$2:$F1000,MATCH($B$1,Towns!$A$1:$F$1,0),false))</f>
        <v/>
      </c>
    </row>
    <row r="511">
      <c r="A511" s="49"/>
      <c r="B511" s="49" t="str">
        <f>IFNA(VLOOKUP($A511,Towns!$A$2:$F1000,MATCH($B$1,Towns!$A$1:$F$1,0),false))</f>
        <v/>
      </c>
    </row>
    <row r="512">
      <c r="A512" s="49"/>
      <c r="B512" s="49" t="str">
        <f>IFNA(VLOOKUP($A512,Towns!$A$2:$F1000,MATCH($B$1,Towns!$A$1:$F$1,0),false))</f>
        <v/>
      </c>
    </row>
    <row r="513">
      <c r="A513" s="49"/>
      <c r="B513" s="49" t="str">
        <f>IFNA(VLOOKUP($A513,Towns!$A$2:$F1000,MATCH($B$1,Towns!$A$1:$F$1,0),false))</f>
        <v/>
      </c>
    </row>
    <row r="514">
      <c r="A514" s="49"/>
      <c r="B514" s="49" t="str">
        <f>IFNA(VLOOKUP($A514,Towns!$A$2:$F1000,MATCH($B$1,Towns!$A$1:$F$1,0),false))</f>
        <v/>
      </c>
    </row>
    <row r="515">
      <c r="A515" s="49"/>
      <c r="B515" s="49" t="str">
        <f>IFNA(VLOOKUP($A515,Towns!$A$2:$F1000,MATCH($B$1,Towns!$A$1:$F$1,0),false))</f>
        <v/>
      </c>
    </row>
    <row r="516">
      <c r="A516" s="49"/>
      <c r="B516" s="49" t="str">
        <f>IFNA(VLOOKUP($A516,Towns!$A$2:$F1000,MATCH($B$1,Towns!$A$1:$F$1,0),false))</f>
        <v/>
      </c>
    </row>
    <row r="517">
      <c r="A517" s="49"/>
      <c r="B517" s="49" t="str">
        <f>IFNA(VLOOKUP($A517,Towns!$A$2:$F1000,MATCH($B$1,Towns!$A$1:$F$1,0),false))</f>
        <v/>
      </c>
    </row>
    <row r="518">
      <c r="A518" s="49"/>
      <c r="B518" s="49" t="str">
        <f>IFNA(VLOOKUP($A518,Towns!$A$2:$F1000,MATCH($B$1,Towns!$A$1:$F$1,0),false))</f>
        <v/>
      </c>
    </row>
    <row r="519">
      <c r="A519" s="49"/>
      <c r="B519" s="49" t="str">
        <f>IFNA(VLOOKUP($A519,Towns!$A$2:$F1000,MATCH($B$1,Towns!$A$1:$F$1,0),false))</f>
        <v/>
      </c>
    </row>
    <row r="520">
      <c r="A520" s="49"/>
      <c r="B520" s="49" t="str">
        <f>IFNA(VLOOKUP($A520,Towns!$A$2:$F1000,MATCH($B$1,Towns!$A$1:$F$1,0),false))</f>
        <v/>
      </c>
    </row>
    <row r="521">
      <c r="A521" s="49"/>
      <c r="B521" s="49" t="str">
        <f>IFNA(VLOOKUP($A521,Towns!$A$2:$F1000,MATCH($B$1,Towns!$A$1:$F$1,0),false))</f>
        <v/>
      </c>
    </row>
    <row r="522">
      <c r="A522" s="49"/>
      <c r="B522" s="49" t="str">
        <f>IFNA(VLOOKUP($A522,Towns!$A$2:$F1000,MATCH($B$1,Towns!$A$1:$F$1,0),false))</f>
        <v/>
      </c>
    </row>
    <row r="523">
      <c r="A523" s="49"/>
      <c r="B523" s="49" t="str">
        <f>IFNA(VLOOKUP($A523,Towns!$A$2:$F1000,MATCH($B$1,Towns!$A$1:$F$1,0),false))</f>
        <v/>
      </c>
    </row>
    <row r="524">
      <c r="A524" s="49"/>
      <c r="B524" s="49" t="str">
        <f>IFNA(VLOOKUP($A524,Towns!$A$2:$F1000,MATCH($B$1,Towns!$A$1:$F$1,0),false))</f>
        <v/>
      </c>
    </row>
    <row r="525">
      <c r="A525" s="49"/>
      <c r="B525" s="49" t="str">
        <f>IFNA(VLOOKUP($A525,Towns!$A$2:$F1000,MATCH($B$1,Towns!$A$1:$F$1,0),false))</f>
        <v/>
      </c>
    </row>
    <row r="526">
      <c r="A526" s="49"/>
      <c r="B526" s="49" t="str">
        <f>IFNA(VLOOKUP($A526,Towns!$A$2:$F1000,MATCH($B$1,Towns!$A$1:$F$1,0),false))</f>
        <v/>
      </c>
    </row>
    <row r="527">
      <c r="A527" s="49"/>
      <c r="B527" s="49" t="str">
        <f>IFNA(VLOOKUP($A527,Towns!$A$2:$F1000,MATCH($B$1,Towns!$A$1:$F$1,0),false))</f>
        <v/>
      </c>
    </row>
    <row r="528">
      <c r="A528" s="49"/>
      <c r="B528" s="49" t="str">
        <f>IFNA(VLOOKUP($A528,Towns!$A$2:$F1000,MATCH($B$1,Towns!$A$1:$F$1,0),false))</f>
        <v/>
      </c>
    </row>
    <row r="529">
      <c r="A529" s="49"/>
      <c r="B529" s="49" t="str">
        <f>IFNA(VLOOKUP($A529,Towns!$A$2:$F1000,MATCH($B$1,Towns!$A$1:$F$1,0),false))</f>
        <v/>
      </c>
    </row>
    <row r="530">
      <c r="A530" s="49"/>
      <c r="B530" s="49" t="str">
        <f>IFNA(VLOOKUP($A530,Towns!$A$2:$F1000,MATCH($B$1,Towns!$A$1:$F$1,0),false))</f>
        <v/>
      </c>
    </row>
    <row r="531">
      <c r="A531" s="49"/>
      <c r="B531" s="49" t="str">
        <f>IFNA(VLOOKUP($A531,Towns!$A$2:$F1000,MATCH($B$1,Towns!$A$1:$F$1,0),false))</f>
        <v/>
      </c>
    </row>
    <row r="532">
      <c r="A532" s="49"/>
      <c r="B532" s="49" t="str">
        <f>IFNA(VLOOKUP($A532,Towns!$A$2:$F1000,MATCH($B$1,Towns!$A$1:$F$1,0),false))</f>
        <v/>
      </c>
    </row>
    <row r="533">
      <c r="A533" s="49"/>
      <c r="B533" s="49" t="str">
        <f>IFNA(VLOOKUP($A533,Towns!$A$2:$F1000,MATCH($B$1,Towns!$A$1:$F$1,0),false))</f>
        <v/>
      </c>
    </row>
    <row r="534">
      <c r="A534" s="49"/>
      <c r="B534" s="49" t="str">
        <f>IFNA(VLOOKUP($A534,Towns!$A$2:$F1000,MATCH($B$1,Towns!$A$1:$F$1,0),false))</f>
        <v/>
      </c>
    </row>
    <row r="535">
      <c r="A535" s="49"/>
      <c r="B535" s="49" t="str">
        <f>IFNA(VLOOKUP($A535,Towns!$A$2:$F1000,MATCH($B$1,Towns!$A$1:$F$1,0),false))</f>
        <v/>
      </c>
    </row>
    <row r="536">
      <c r="A536" s="49"/>
      <c r="B536" s="49" t="str">
        <f>IFNA(VLOOKUP($A536,Towns!$A$2:$F1000,MATCH($B$1,Towns!$A$1:$F$1,0),false))</f>
        <v/>
      </c>
    </row>
    <row r="537">
      <c r="A537" s="49"/>
      <c r="B537" s="49" t="str">
        <f>IFNA(VLOOKUP($A537,Towns!$A$2:$F1000,MATCH($B$1,Towns!$A$1:$F$1,0),false))</f>
        <v/>
      </c>
    </row>
    <row r="538">
      <c r="A538" s="49"/>
      <c r="B538" s="49" t="str">
        <f>IFNA(VLOOKUP($A538,Towns!$A$2:$F1000,MATCH($B$1,Towns!$A$1:$F$1,0),false))</f>
        <v/>
      </c>
    </row>
    <row r="539">
      <c r="A539" s="49"/>
      <c r="B539" s="49" t="str">
        <f>IFNA(VLOOKUP($A539,Towns!$A$2:$F1000,MATCH($B$1,Towns!$A$1:$F$1,0),false))</f>
        <v/>
      </c>
    </row>
    <row r="540">
      <c r="A540" s="49"/>
      <c r="B540" s="49" t="str">
        <f>IFNA(VLOOKUP($A540,Towns!$A$2:$F1000,MATCH($B$1,Towns!$A$1:$F$1,0),false))</f>
        <v/>
      </c>
    </row>
    <row r="541">
      <c r="A541" s="49"/>
      <c r="B541" s="49" t="str">
        <f>IFNA(VLOOKUP($A541,Towns!$A$2:$F1000,MATCH($B$1,Towns!$A$1:$F$1,0),false))</f>
        <v/>
      </c>
    </row>
    <row r="542">
      <c r="A542" s="49"/>
      <c r="B542" s="49" t="str">
        <f>IFNA(VLOOKUP($A542,Towns!$A$2:$F1000,MATCH($B$1,Towns!$A$1:$F$1,0),false))</f>
        <v/>
      </c>
    </row>
    <row r="543">
      <c r="A543" s="49"/>
      <c r="B543" s="49" t="str">
        <f>IFNA(VLOOKUP($A543,Towns!$A$2:$F1000,MATCH($B$1,Towns!$A$1:$F$1,0),false))</f>
        <v/>
      </c>
    </row>
    <row r="544">
      <c r="A544" s="49"/>
      <c r="B544" s="49" t="str">
        <f>IFNA(VLOOKUP($A544,Towns!$A$2:$F1000,MATCH($B$1,Towns!$A$1:$F$1,0),false))</f>
        <v/>
      </c>
    </row>
    <row r="545">
      <c r="A545" s="49"/>
      <c r="B545" s="49" t="str">
        <f>IFNA(VLOOKUP($A545,Towns!$A$2:$F1000,MATCH($B$1,Towns!$A$1:$F$1,0),false))</f>
        <v/>
      </c>
    </row>
    <row r="546">
      <c r="A546" s="49"/>
      <c r="B546" s="49" t="str">
        <f>IFNA(VLOOKUP($A546,Towns!$A$2:$F1000,MATCH($B$1,Towns!$A$1:$F$1,0),false))</f>
        <v/>
      </c>
    </row>
    <row r="547">
      <c r="A547" s="49"/>
      <c r="B547" s="49" t="str">
        <f>IFNA(VLOOKUP($A547,Towns!$A$2:$F1000,MATCH($B$1,Towns!$A$1:$F$1,0),false))</f>
        <v/>
      </c>
    </row>
    <row r="548">
      <c r="A548" s="49"/>
      <c r="B548" s="49" t="str">
        <f>IFNA(VLOOKUP($A548,Towns!$A$2:$F1000,MATCH($B$1,Towns!$A$1:$F$1,0),false))</f>
        <v/>
      </c>
    </row>
    <row r="549">
      <c r="A549" s="49"/>
      <c r="B549" s="49" t="str">
        <f>IFNA(VLOOKUP($A549,Towns!$A$2:$F1000,MATCH($B$1,Towns!$A$1:$F$1,0),false))</f>
        <v/>
      </c>
    </row>
    <row r="550">
      <c r="A550" s="49"/>
      <c r="B550" s="49" t="str">
        <f>IFNA(VLOOKUP($A550,Towns!$A$2:$F1000,MATCH($B$1,Towns!$A$1:$F$1,0),false))</f>
        <v/>
      </c>
    </row>
    <row r="551">
      <c r="A551" s="49"/>
      <c r="B551" s="49" t="str">
        <f>IFNA(VLOOKUP($A551,Towns!$A$2:$F1000,MATCH($B$1,Towns!$A$1:$F$1,0),false))</f>
        <v/>
      </c>
    </row>
    <row r="552">
      <c r="A552" s="49"/>
      <c r="B552" s="49" t="str">
        <f>IFNA(VLOOKUP($A552,Towns!$A$2:$F1000,MATCH($B$1,Towns!$A$1:$F$1,0),false))</f>
        <v/>
      </c>
    </row>
    <row r="553">
      <c r="A553" s="49"/>
      <c r="B553" s="49" t="str">
        <f>IFNA(VLOOKUP($A553,Towns!$A$2:$F1000,MATCH($B$1,Towns!$A$1:$F$1,0),false))</f>
        <v/>
      </c>
    </row>
    <row r="554">
      <c r="A554" s="49"/>
      <c r="B554" s="49" t="str">
        <f>IFNA(VLOOKUP($A554,Towns!$A$2:$F1000,MATCH($B$1,Towns!$A$1:$F$1,0),false))</f>
        <v/>
      </c>
    </row>
    <row r="555">
      <c r="A555" s="49"/>
      <c r="B555" s="49" t="str">
        <f>IFNA(VLOOKUP($A555,Towns!$A$2:$F1000,MATCH($B$1,Towns!$A$1:$F$1,0),false))</f>
        <v/>
      </c>
    </row>
    <row r="556">
      <c r="A556" s="49"/>
      <c r="B556" s="49" t="str">
        <f>IFNA(VLOOKUP($A556,Towns!$A$2:$F1000,MATCH($B$1,Towns!$A$1:$F$1,0),false))</f>
        <v/>
      </c>
    </row>
    <row r="557">
      <c r="A557" s="49"/>
      <c r="B557" s="49" t="str">
        <f>IFNA(VLOOKUP($A557,Towns!$A$2:$F1000,MATCH($B$1,Towns!$A$1:$F$1,0),false))</f>
        <v/>
      </c>
    </row>
    <row r="558">
      <c r="A558" s="49"/>
      <c r="B558" s="49" t="str">
        <f>IFNA(VLOOKUP($A558,Towns!$A$2:$F1000,MATCH($B$1,Towns!$A$1:$F$1,0),false))</f>
        <v/>
      </c>
    </row>
    <row r="559">
      <c r="A559" s="49"/>
      <c r="B559" s="49" t="str">
        <f>IFNA(VLOOKUP($A559,Towns!$A$2:$F1000,MATCH($B$1,Towns!$A$1:$F$1,0),false))</f>
        <v/>
      </c>
    </row>
    <row r="560">
      <c r="A560" s="49"/>
      <c r="B560" s="49" t="str">
        <f>IFNA(VLOOKUP($A560,Towns!$A$2:$F1000,MATCH($B$1,Towns!$A$1:$F$1,0),false))</f>
        <v/>
      </c>
    </row>
    <row r="561">
      <c r="A561" s="49"/>
      <c r="B561" s="49" t="str">
        <f>IFNA(VLOOKUP($A561,Towns!$A$2:$F1000,MATCH($B$1,Towns!$A$1:$F$1,0),false))</f>
        <v/>
      </c>
    </row>
    <row r="562">
      <c r="A562" s="49"/>
      <c r="B562" s="49" t="str">
        <f>IFNA(VLOOKUP($A562,Towns!$A$2:$F1000,MATCH($B$1,Towns!$A$1:$F$1,0),false))</f>
        <v/>
      </c>
    </row>
    <row r="563">
      <c r="A563" s="49"/>
      <c r="B563" s="49" t="str">
        <f>IFNA(VLOOKUP($A563,Towns!$A$2:$F1000,MATCH($B$1,Towns!$A$1:$F$1,0),false))</f>
        <v/>
      </c>
    </row>
    <row r="564">
      <c r="A564" s="49"/>
      <c r="B564" s="49" t="str">
        <f>IFNA(VLOOKUP($A564,Towns!$A$2:$F1000,MATCH($B$1,Towns!$A$1:$F$1,0),false))</f>
        <v/>
      </c>
    </row>
    <row r="565">
      <c r="A565" s="49"/>
      <c r="B565" s="49" t="str">
        <f>IFNA(VLOOKUP($A565,Towns!$A$2:$F1000,MATCH($B$1,Towns!$A$1:$F$1,0),false))</f>
        <v/>
      </c>
    </row>
    <row r="566">
      <c r="A566" s="49"/>
      <c r="B566" s="49" t="str">
        <f>IFNA(VLOOKUP($A566,Towns!$A$2:$F1000,MATCH($B$1,Towns!$A$1:$F$1,0),false))</f>
        <v/>
      </c>
    </row>
    <row r="567">
      <c r="A567" s="49"/>
      <c r="B567" s="49" t="str">
        <f>IFNA(VLOOKUP($A567,Towns!$A$2:$F1000,MATCH($B$1,Towns!$A$1:$F$1,0),false))</f>
        <v/>
      </c>
    </row>
    <row r="568">
      <c r="A568" s="49"/>
      <c r="B568" s="49" t="str">
        <f>IFNA(VLOOKUP($A568,Towns!$A$2:$F1000,MATCH($B$1,Towns!$A$1:$F$1,0),false))</f>
        <v/>
      </c>
    </row>
    <row r="569">
      <c r="A569" s="49"/>
      <c r="B569" s="49" t="str">
        <f>IFNA(VLOOKUP($A569,Towns!$A$2:$F1000,MATCH($B$1,Towns!$A$1:$F$1,0),false))</f>
        <v/>
      </c>
    </row>
    <row r="570">
      <c r="A570" s="49"/>
      <c r="B570" s="49" t="str">
        <f>IFNA(VLOOKUP($A570,Towns!$A$2:$F1000,MATCH($B$1,Towns!$A$1:$F$1,0),false))</f>
        <v/>
      </c>
    </row>
    <row r="571">
      <c r="A571" s="49"/>
      <c r="B571" s="49" t="str">
        <f>IFNA(VLOOKUP($A571,Towns!$A$2:$F1000,MATCH($B$1,Towns!$A$1:$F$1,0),false))</f>
        <v/>
      </c>
    </row>
    <row r="572">
      <c r="A572" s="49"/>
      <c r="B572" s="49" t="str">
        <f>IFNA(VLOOKUP($A572,Towns!$A$2:$F1000,MATCH($B$1,Towns!$A$1:$F$1,0),false))</f>
        <v/>
      </c>
    </row>
    <row r="573">
      <c r="A573" s="49"/>
      <c r="B573" s="49" t="str">
        <f>IFNA(VLOOKUP($A573,Towns!$A$2:$F1000,MATCH($B$1,Towns!$A$1:$F$1,0),false))</f>
        <v/>
      </c>
    </row>
    <row r="574">
      <c r="A574" s="49"/>
      <c r="B574" s="49" t="str">
        <f>IFNA(VLOOKUP($A574,Towns!$A$2:$F1000,MATCH($B$1,Towns!$A$1:$F$1,0),false))</f>
        <v/>
      </c>
    </row>
    <row r="575">
      <c r="A575" s="49"/>
      <c r="B575" s="49" t="str">
        <f>IFNA(VLOOKUP($A575,Towns!$A$2:$F1000,MATCH($B$1,Towns!$A$1:$F$1,0),false))</f>
        <v/>
      </c>
    </row>
    <row r="576">
      <c r="A576" s="49"/>
      <c r="B576" s="49" t="str">
        <f>IFNA(VLOOKUP($A576,Towns!$A$2:$F1000,MATCH($B$1,Towns!$A$1:$F$1,0),false))</f>
        <v/>
      </c>
    </row>
    <row r="577">
      <c r="A577" s="49"/>
      <c r="B577" s="49" t="str">
        <f>IFNA(VLOOKUP($A577,Towns!$A$2:$F1000,MATCH($B$1,Towns!$A$1:$F$1,0),false))</f>
        <v/>
      </c>
    </row>
    <row r="578">
      <c r="A578" s="49"/>
      <c r="B578" s="49" t="str">
        <f>IFNA(VLOOKUP($A578,Towns!$A$2:$F1000,MATCH($B$1,Towns!$A$1:$F$1,0),false))</f>
        <v/>
      </c>
    </row>
    <row r="579">
      <c r="A579" s="49"/>
      <c r="B579" s="49" t="str">
        <f>IFNA(VLOOKUP($A579,Towns!$A$2:$F1000,MATCH($B$1,Towns!$A$1:$F$1,0),false))</f>
        <v/>
      </c>
    </row>
    <row r="580">
      <c r="A580" s="49"/>
      <c r="B580" s="49" t="str">
        <f>IFNA(VLOOKUP($A580,Towns!$A$2:$F1000,MATCH($B$1,Towns!$A$1:$F$1,0),false))</f>
        <v/>
      </c>
    </row>
    <row r="581">
      <c r="A581" s="49"/>
      <c r="B581" s="49" t="str">
        <f>IFNA(VLOOKUP($A581,Towns!$A$2:$F1000,MATCH($B$1,Towns!$A$1:$F$1,0),false))</f>
        <v/>
      </c>
    </row>
    <row r="582">
      <c r="A582" s="49"/>
      <c r="B582" s="49" t="str">
        <f>IFNA(VLOOKUP($A582,Towns!$A$2:$F1000,MATCH($B$1,Towns!$A$1:$F$1,0),false))</f>
        <v/>
      </c>
    </row>
    <row r="583">
      <c r="A583" s="49"/>
      <c r="B583" s="49" t="str">
        <f>IFNA(VLOOKUP($A583,Towns!$A$2:$F1000,MATCH($B$1,Towns!$A$1:$F$1,0),false))</f>
        <v/>
      </c>
    </row>
    <row r="584">
      <c r="A584" s="49"/>
      <c r="B584" s="49" t="str">
        <f>IFNA(VLOOKUP($A584,Towns!$A$2:$F1000,MATCH($B$1,Towns!$A$1:$F$1,0),false))</f>
        <v/>
      </c>
    </row>
    <row r="585">
      <c r="A585" s="49"/>
      <c r="B585" s="49" t="str">
        <f>IFNA(VLOOKUP($A585,Towns!$A$2:$F1000,MATCH($B$1,Towns!$A$1:$F$1,0),false))</f>
        <v/>
      </c>
    </row>
    <row r="586">
      <c r="A586" s="49"/>
      <c r="B586" s="49" t="str">
        <f>IFNA(VLOOKUP($A586,Towns!$A$2:$F1000,MATCH($B$1,Towns!$A$1:$F$1,0),false))</f>
        <v/>
      </c>
    </row>
    <row r="587">
      <c r="A587" s="49"/>
      <c r="B587" s="49" t="str">
        <f>IFNA(VLOOKUP($A587,Towns!$A$2:$F1000,MATCH($B$1,Towns!$A$1:$F$1,0),false))</f>
        <v/>
      </c>
    </row>
    <row r="588">
      <c r="A588" s="49"/>
      <c r="B588" s="49" t="str">
        <f>IFNA(VLOOKUP($A588,Towns!$A$2:$F1000,MATCH($B$1,Towns!$A$1:$F$1,0),false))</f>
        <v/>
      </c>
    </row>
    <row r="589">
      <c r="A589" s="49"/>
      <c r="B589" s="49" t="str">
        <f>IFNA(VLOOKUP($A589,Towns!$A$2:$F1000,MATCH($B$1,Towns!$A$1:$F$1,0),false))</f>
        <v/>
      </c>
    </row>
    <row r="590">
      <c r="A590" s="49"/>
      <c r="B590" s="49" t="str">
        <f>IFNA(VLOOKUP($A590,Towns!$A$2:$F1000,MATCH($B$1,Towns!$A$1:$F$1,0),false))</f>
        <v/>
      </c>
    </row>
    <row r="591">
      <c r="A591" s="49"/>
      <c r="B591" s="49" t="str">
        <f>IFNA(VLOOKUP($A591,Towns!$A$2:$F1000,MATCH($B$1,Towns!$A$1:$F$1,0),false))</f>
        <v/>
      </c>
    </row>
    <row r="592">
      <c r="A592" s="49"/>
      <c r="B592" s="49" t="str">
        <f>IFNA(VLOOKUP($A592,Towns!$A$2:$F1000,MATCH($B$1,Towns!$A$1:$F$1,0),false))</f>
        <v/>
      </c>
    </row>
    <row r="593">
      <c r="A593" s="49"/>
      <c r="B593" s="49" t="str">
        <f>IFNA(VLOOKUP($A593,Towns!$A$2:$F1000,MATCH($B$1,Towns!$A$1:$F$1,0),false))</f>
        <v/>
      </c>
    </row>
    <row r="594">
      <c r="A594" s="49"/>
      <c r="B594" s="49" t="str">
        <f>IFNA(VLOOKUP($A594,Towns!$A$2:$F1000,MATCH($B$1,Towns!$A$1:$F$1,0),false))</f>
        <v/>
      </c>
    </row>
    <row r="595">
      <c r="A595" s="49"/>
      <c r="B595" s="49" t="str">
        <f>IFNA(VLOOKUP($A595,Towns!$A$2:$F1000,MATCH($B$1,Towns!$A$1:$F$1,0),false))</f>
        <v/>
      </c>
    </row>
    <row r="596">
      <c r="A596" s="49"/>
      <c r="B596" s="49" t="str">
        <f>IFNA(VLOOKUP($A596,Towns!$A$2:$F1000,MATCH($B$1,Towns!$A$1:$F$1,0),false))</f>
        <v/>
      </c>
    </row>
    <row r="597">
      <c r="A597" s="49"/>
      <c r="B597" s="49" t="str">
        <f>IFNA(VLOOKUP($A597,Towns!$A$2:$F1000,MATCH($B$1,Towns!$A$1:$F$1,0),false))</f>
        <v/>
      </c>
    </row>
    <row r="598">
      <c r="A598" s="49"/>
      <c r="B598" s="49" t="str">
        <f>IFNA(VLOOKUP($A598,Towns!$A$2:$F1000,MATCH($B$1,Towns!$A$1:$F$1,0),false))</f>
        <v/>
      </c>
    </row>
    <row r="599">
      <c r="A599" s="49"/>
      <c r="B599" s="49" t="str">
        <f>IFNA(VLOOKUP($A599,Towns!$A$2:$F1000,MATCH($B$1,Towns!$A$1:$F$1,0),false))</f>
        <v/>
      </c>
    </row>
    <row r="600">
      <c r="A600" s="49"/>
      <c r="B600" s="49" t="str">
        <f>IFNA(VLOOKUP($A600,Towns!$A$2:$F1000,MATCH($B$1,Towns!$A$1:$F$1,0),false))</f>
        <v/>
      </c>
    </row>
    <row r="601">
      <c r="A601" s="49"/>
      <c r="B601" s="49" t="str">
        <f>IFNA(VLOOKUP($A601,Towns!$A$2:$F1000,MATCH($B$1,Towns!$A$1:$F$1,0),false))</f>
        <v/>
      </c>
    </row>
    <row r="602">
      <c r="A602" s="49"/>
      <c r="B602" s="49" t="str">
        <f>IFNA(VLOOKUP($A602,Towns!$A$2:$F1000,MATCH($B$1,Towns!$A$1:$F$1,0),false))</f>
        <v/>
      </c>
    </row>
    <row r="603">
      <c r="A603" s="49"/>
      <c r="B603" s="49" t="str">
        <f>IFNA(VLOOKUP($A603,Towns!$A$2:$F1000,MATCH($B$1,Towns!$A$1:$F$1,0),false))</f>
        <v/>
      </c>
    </row>
    <row r="604">
      <c r="A604" s="49"/>
      <c r="B604" s="49" t="str">
        <f>IFNA(VLOOKUP($A604,Towns!$A$2:$F1000,MATCH($B$1,Towns!$A$1:$F$1,0),false))</f>
        <v/>
      </c>
    </row>
    <row r="605">
      <c r="A605" s="49"/>
      <c r="B605" s="49" t="str">
        <f>IFNA(VLOOKUP($A605,Towns!$A$2:$F1000,MATCH($B$1,Towns!$A$1:$F$1,0),false))</f>
        <v/>
      </c>
    </row>
    <row r="606">
      <c r="A606" s="49"/>
      <c r="B606" s="49" t="str">
        <f>IFNA(VLOOKUP($A606,Towns!$A$2:$F1000,MATCH($B$1,Towns!$A$1:$F$1,0),false))</f>
        <v/>
      </c>
    </row>
    <row r="607">
      <c r="A607" s="49"/>
      <c r="B607" s="49" t="str">
        <f>IFNA(VLOOKUP($A607,Towns!$A$2:$F1000,MATCH($B$1,Towns!$A$1:$F$1,0),false))</f>
        <v/>
      </c>
    </row>
    <row r="608">
      <c r="A608" s="49"/>
      <c r="B608" s="49" t="str">
        <f>IFNA(VLOOKUP($A608,Towns!$A$2:$F1000,MATCH($B$1,Towns!$A$1:$F$1,0),false))</f>
        <v/>
      </c>
    </row>
    <row r="609">
      <c r="A609" s="49"/>
      <c r="B609" s="49" t="str">
        <f>IFNA(VLOOKUP($A609,Towns!$A$2:$F1000,MATCH($B$1,Towns!$A$1:$F$1,0),false))</f>
        <v/>
      </c>
    </row>
    <row r="610">
      <c r="A610" s="49"/>
      <c r="B610" s="49" t="str">
        <f>IFNA(VLOOKUP($A610,Towns!$A$2:$F1000,MATCH($B$1,Towns!$A$1:$F$1,0),false))</f>
        <v/>
      </c>
    </row>
    <row r="611">
      <c r="A611" s="49"/>
      <c r="B611" s="49" t="str">
        <f>IFNA(VLOOKUP($A611,Towns!$A$2:$F1000,MATCH($B$1,Towns!$A$1:$F$1,0),false))</f>
        <v/>
      </c>
    </row>
    <row r="612">
      <c r="A612" s="49"/>
      <c r="B612" s="49" t="str">
        <f>IFNA(VLOOKUP($A612,Towns!$A$2:$F1000,MATCH($B$1,Towns!$A$1:$F$1,0),false))</f>
        <v/>
      </c>
    </row>
    <row r="613">
      <c r="A613" s="49"/>
      <c r="B613" s="49" t="str">
        <f>IFNA(VLOOKUP($A613,Towns!$A$2:$F1000,MATCH($B$1,Towns!$A$1:$F$1,0),false))</f>
        <v/>
      </c>
    </row>
    <row r="614">
      <c r="A614" s="49"/>
      <c r="B614" s="49" t="str">
        <f>IFNA(VLOOKUP($A614,Towns!$A$2:$F1000,MATCH($B$1,Towns!$A$1:$F$1,0),false))</f>
        <v/>
      </c>
    </row>
    <row r="615">
      <c r="A615" s="49"/>
      <c r="B615" s="49" t="str">
        <f>IFNA(VLOOKUP($A615,Towns!$A$2:$F1000,MATCH($B$1,Towns!$A$1:$F$1,0),false))</f>
        <v/>
      </c>
    </row>
    <row r="616">
      <c r="A616" s="49"/>
      <c r="B616" s="49" t="str">
        <f>IFNA(VLOOKUP($A616,Towns!$A$2:$F1000,MATCH($B$1,Towns!$A$1:$F$1,0),false))</f>
        <v/>
      </c>
    </row>
    <row r="617">
      <c r="A617" s="49"/>
      <c r="B617" s="49" t="str">
        <f>IFNA(VLOOKUP($A617,Towns!$A$2:$F1000,MATCH($B$1,Towns!$A$1:$F$1,0),false))</f>
        <v/>
      </c>
    </row>
    <row r="618">
      <c r="A618" s="49"/>
      <c r="B618" s="49" t="str">
        <f>IFNA(VLOOKUP($A618,Towns!$A$2:$F1000,MATCH($B$1,Towns!$A$1:$F$1,0),false))</f>
        <v/>
      </c>
    </row>
    <row r="619">
      <c r="A619" s="49"/>
      <c r="B619" s="49" t="str">
        <f>IFNA(VLOOKUP($A619,Towns!$A$2:$F1000,MATCH($B$1,Towns!$A$1:$F$1,0),false))</f>
        <v/>
      </c>
    </row>
    <row r="620">
      <c r="A620" s="49"/>
      <c r="B620" s="49" t="str">
        <f>IFNA(VLOOKUP($A620,Towns!$A$2:$F1000,MATCH($B$1,Towns!$A$1:$F$1,0),false))</f>
        <v/>
      </c>
    </row>
    <row r="621">
      <c r="A621" s="49"/>
      <c r="B621" s="49" t="str">
        <f>IFNA(VLOOKUP($A621,Towns!$A$2:$F1000,MATCH($B$1,Towns!$A$1:$F$1,0),false))</f>
        <v/>
      </c>
    </row>
    <row r="622">
      <c r="A622" s="49"/>
      <c r="B622" s="49" t="str">
        <f>IFNA(VLOOKUP($A622,Towns!$A$2:$F1000,MATCH($B$1,Towns!$A$1:$F$1,0),false))</f>
        <v/>
      </c>
    </row>
    <row r="623">
      <c r="A623" s="49"/>
      <c r="B623" s="49" t="str">
        <f>IFNA(VLOOKUP($A623,Towns!$A$2:$F1000,MATCH($B$1,Towns!$A$1:$F$1,0),false))</f>
        <v/>
      </c>
    </row>
    <row r="624">
      <c r="A624" s="49"/>
      <c r="B624" s="49" t="str">
        <f>IFNA(VLOOKUP($A624,Towns!$A$2:$F1000,MATCH($B$1,Towns!$A$1:$F$1,0),false))</f>
        <v/>
      </c>
    </row>
    <row r="625">
      <c r="A625" s="49"/>
      <c r="B625" s="49" t="str">
        <f>IFNA(VLOOKUP($A625,Towns!$A$2:$F1000,MATCH($B$1,Towns!$A$1:$F$1,0),false))</f>
        <v/>
      </c>
    </row>
    <row r="626">
      <c r="A626" s="49"/>
      <c r="B626" s="49" t="str">
        <f>IFNA(VLOOKUP($A626,Towns!$A$2:$F1000,MATCH($B$1,Towns!$A$1:$F$1,0),false))</f>
        <v/>
      </c>
    </row>
    <row r="627">
      <c r="A627" s="49"/>
      <c r="B627" s="49" t="str">
        <f>IFNA(VLOOKUP($A627,Towns!$A$2:$F1000,MATCH($B$1,Towns!$A$1:$F$1,0),false))</f>
        <v/>
      </c>
    </row>
    <row r="628">
      <c r="A628" s="49"/>
      <c r="B628" s="49" t="str">
        <f>IFNA(VLOOKUP($A628,Towns!$A$2:$F1000,MATCH($B$1,Towns!$A$1:$F$1,0),false))</f>
        <v/>
      </c>
    </row>
    <row r="629">
      <c r="A629" s="49"/>
      <c r="B629" s="49" t="str">
        <f>IFNA(VLOOKUP($A629,Towns!$A$2:$F1000,MATCH($B$1,Towns!$A$1:$F$1,0),false))</f>
        <v/>
      </c>
    </row>
    <row r="630">
      <c r="A630" s="49"/>
      <c r="B630" s="49" t="str">
        <f>IFNA(VLOOKUP($A630,Towns!$A$2:$F1000,MATCH($B$1,Towns!$A$1:$F$1,0),false))</f>
        <v/>
      </c>
    </row>
    <row r="631">
      <c r="A631" s="49"/>
      <c r="B631" s="49" t="str">
        <f>IFNA(VLOOKUP($A631,Towns!$A$2:$F1000,MATCH($B$1,Towns!$A$1:$F$1,0),false))</f>
        <v/>
      </c>
    </row>
    <row r="632">
      <c r="A632" s="49"/>
      <c r="B632" s="49" t="str">
        <f>IFNA(VLOOKUP($A632,Towns!$A$2:$F1000,MATCH($B$1,Towns!$A$1:$F$1,0),false))</f>
        <v/>
      </c>
    </row>
    <row r="633">
      <c r="A633" s="49"/>
      <c r="B633" s="49" t="str">
        <f>IFNA(VLOOKUP($A633,Towns!$A$2:$F1000,MATCH($B$1,Towns!$A$1:$F$1,0),false))</f>
        <v/>
      </c>
    </row>
    <row r="634">
      <c r="A634" s="49"/>
      <c r="B634" s="49" t="str">
        <f>IFNA(VLOOKUP($A634,Towns!$A$2:$F1000,MATCH($B$1,Towns!$A$1:$F$1,0),false))</f>
        <v/>
      </c>
    </row>
    <row r="635">
      <c r="A635" s="49"/>
      <c r="B635" s="49" t="str">
        <f>IFNA(VLOOKUP($A635,Towns!$A$2:$F1000,MATCH($B$1,Towns!$A$1:$F$1,0),false))</f>
        <v/>
      </c>
    </row>
    <row r="636">
      <c r="A636" s="49"/>
      <c r="B636" s="49" t="str">
        <f>IFNA(VLOOKUP($A636,Towns!$A$2:$F1000,MATCH($B$1,Towns!$A$1:$F$1,0),false))</f>
        <v/>
      </c>
    </row>
    <row r="637">
      <c r="A637" s="49"/>
      <c r="B637" s="49" t="str">
        <f>IFNA(VLOOKUP($A637,Towns!$A$2:$F1000,MATCH($B$1,Towns!$A$1:$F$1,0),false))</f>
        <v/>
      </c>
    </row>
    <row r="638">
      <c r="A638" s="49"/>
      <c r="B638" s="49" t="str">
        <f>IFNA(VLOOKUP($A638,Towns!$A$2:$F1000,MATCH($B$1,Towns!$A$1:$F$1,0),false))</f>
        <v/>
      </c>
    </row>
    <row r="639">
      <c r="A639" s="49"/>
      <c r="B639" s="49" t="str">
        <f>IFNA(VLOOKUP($A639,Towns!$A$2:$F1000,MATCH($B$1,Towns!$A$1:$F$1,0),false))</f>
        <v/>
      </c>
    </row>
    <row r="640">
      <c r="A640" s="49"/>
      <c r="B640" s="49" t="str">
        <f>IFNA(VLOOKUP($A640,Towns!$A$2:$F1000,MATCH($B$1,Towns!$A$1:$F$1,0),false))</f>
        <v/>
      </c>
    </row>
    <row r="641">
      <c r="A641" s="49"/>
      <c r="B641" s="49" t="str">
        <f>IFNA(VLOOKUP($A641,Towns!$A$2:$F1000,MATCH($B$1,Towns!$A$1:$F$1,0),false))</f>
        <v/>
      </c>
    </row>
    <row r="642">
      <c r="A642" s="49"/>
      <c r="B642" s="49" t="str">
        <f>IFNA(VLOOKUP($A642,Towns!$A$2:$F1000,MATCH($B$1,Towns!$A$1:$F$1,0),false))</f>
        <v/>
      </c>
    </row>
    <row r="643">
      <c r="A643" s="49"/>
      <c r="B643" s="49" t="str">
        <f>IFNA(VLOOKUP($A643,Towns!$A$2:$F1000,MATCH($B$1,Towns!$A$1:$F$1,0),false))</f>
        <v/>
      </c>
    </row>
    <row r="644">
      <c r="A644" s="49"/>
      <c r="B644" s="49" t="str">
        <f>IFNA(VLOOKUP($A644,Towns!$A$2:$F1000,MATCH($B$1,Towns!$A$1:$F$1,0),false))</f>
        <v/>
      </c>
    </row>
    <row r="645">
      <c r="A645" s="49"/>
      <c r="B645" s="49" t="str">
        <f>IFNA(VLOOKUP($A645,Towns!$A$2:$F1000,MATCH($B$1,Towns!$A$1:$F$1,0),false))</f>
        <v/>
      </c>
    </row>
    <row r="646">
      <c r="A646" s="49"/>
      <c r="B646" s="49" t="str">
        <f>IFNA(VLOOKUP($A646,Towns!$A$2:$F1000,MATCH($B$1,Towns!$A$1:$F$1,0),false))</f>
        <v/>
      </c>
    </row>
    <row r="647">
      <c r="A647" s="49"/>
      <c r="B647" s="49" t="str">
        <f>IFNA(VLOOKUP($A647,Towns!$A$2:$F1000,MATCH($B$1,Towns!$A$1:$F$1,0),false))</f>
        <v/>
      </c>
    </row>
    <row r="648">
      <c r="A648" s="49"/>
      <c r="B648" s="49" t="str">
        <f>IFNA(VLOOKUP($A648,Towns!$A$2:$F1000,MATCH($B$1,Towns!$A$1:$F$1,0),false))</f>
        <v/>
      </c>
    </row>
    <row r="649">
      <c r="A649" s="49"/>
      <c r="B649" s="49" t="str">
        <f>IFNA(VLOOKUP($A649,Towns!$A$2:$F1000,MATCH($B$1,Towns!$A$1:$F$1,0),false))</f>
        <v/>
      </c>
    </row>
    <row r="650">
      <c r="A650" s="49"/>
      <c r="B650" s="49" t="str">
        <f>IFNA(VLOOKUP($A650,Towns!$A$2:$F1000,MATCH($B$1,Towns!$A$1:$F$1,0),false))</f>
        <v/>
      </c>
    </row>
    <row r="651">
      <c r="A651" s="49"/>
      <c r="B651" s="49" t="str">
        <f>IFNA(VLOOKUP($A651,Towns!$A$2:$F1000,MATCH($B$1,Towns!$A$1:$F$1,0),false))</f>
        <v/>
      </c>
    </row>
    <row r="652">
      <c r="A652" s="49"/>
      <c r="B652" s="49" t="str">
        <f>IFNA(VLOOKUP($A652,Towns!$A$2:$F1000,MATCH($B$1,Towns!$A$1:$F$1,0),false))</f>
        <v/>
      </c>
    </row>
    <row r="653">
      <c r="A653" s="49"/>
      <c r="B653" s="49" t="str">
        <f>IFNA(VLOOKUP($A653,Towns!$A$2:$F1000,MATCH($B$1,Towns!$A$1:$F$1,0),false))</f>
        <v/>
      </c>
    </row>
    <row r="654">
      <c r="A654" s="49"/>
      <c r="B654" s="49" t="str">
        <f>IFNA(VLOOKUP($A654,Towns!$A$2:$F1000,MATCH($B$1,Towns!$A$1:$F$1,0),false))</f>
        <v/>
      </c>
    </row>
    <row r="655">
      <c r="A655" s="49"/>
      <c r="B655" s="49" t="str">
        <f>IFNA(VLOOKUP($A655,Towns!$A$2:$F1000,MATCH($B$1,Towns!$A$1:$F$1,0),false))</f>
        <v/>
      </c>
    </row>
    <row r="656">
      <c r="A656" s="49"/>
      <c r="B656" s="49" t="str">
        <f>IFNA(VLOOKUP($A656,Towns!$A$2:$F1000,MATCH($B$1,Towns!$A$1:$F$1,0),false))</f>
        <v/>
      </c>
    </row>
    <row r="657">
      <c r="A657" s="49"/>
      <c r="B657" s="49" t="str">
        <f>IFNA(VLOOKUP($A657,Towns!$A$2:$F1000,MATCH($B$1,Towns!$A$1:$F$1,0),false))</f>
        <v/>
      </c>
    </row>
    <row r="658">
      <c r="A658" s="49"/>
      <c r="B658" s="49" t="str">
        <f>IFNA(VLOOKUP($A658,Towns!$A$2:$F1000,MATCH($B$1,Towns!$A$1:$F$1,0),false))</f>
        <v/>
      </c>
    </row>
    <row r="659">
      <c r="A659" s="49"/>
      <c r="B659" s="49" t="str">
        <f>IFNA(VLOOKUP($A659,Towns!$A$2:$F1000,MATCH($B$1,Towns!$A$1:$F$1,0),false))</f>
        <v/>
      </c>
    </row>
    <row r="660">
      <c r="A660" s="49"/>
      <c r="B660" s="49" t="str">
        <f>IFNA(VLOOKUP($A660,Towns!$A$2:$F1000,MATCH($B$1,Towns!$A$1:$F$1,0),false))</f>
        <v/>
      </c>
    </row>
    <row r="661">
      <c r="A661" s="49"/>
      <c r="B661" s="49" t="str">
        <f>IFNA(VLOOKUP($A661,Towns!$A$2:$F1000,MATCH($B$1,Towns!$A$1:$F$1,0),false))</f>
        <v/>
      </c>
    </row>
    <row r="662">
      <c r="A662" s="49"/>
      <c r="B662" s="49" t="str">
        <f>IFNA(VLOOKUP($A662,Towns!$A$2:$F1000,MATCH($B$1,Towns!$A$1:$F$1,0),false))</f>
        <v/>
      </c>
    </row>
    <row r="663">
      <c r="A663" s="49"/>
      <c r="B663" s="49" t="str">
        <f>IFNA(VLOOKUP($A663,Towns!$A$2:$F1000,MATCH($B$1,Towns!$A$1:$F$1,0),false))</f>
        <v/>
      </c>
    </row>
    <row r="664">
      <c r="A664" s="49"/>
      <c r="B664" s="49" t="str">
        <f>IFNA(VLOOKUP($A664,Towns!$A$2:$F1000,MATCH($B$1,Towns!$A$1:$F$1,0),false))</f>
        <v/>
      </c>
    </row>
    <row r="665">
      <c r="A665" s="49"/>
      <c r="B665" s="49" t="str">
        <f>IFNA(VLOOKUP($A665,Towns!$A$2:$F1000,MATCH($B$1,Towns!$A$1:$F$1,0),false))</f>
        <v/>
      </c>
    </row>
    <row r="666">
      <c r="A666" s="49"/>
      <c r="B666" s="49" t="str">
        <f>IFNA(VLOOKUP($A666,Towns!$A$2:$F1000,MATCH($B$1,Towns!$A$1:$F$1,0),false))</f>
        <v/>
      </c>
    </row>
    <row r="667">
      <c r="A667" s="49"/>
      <c r="B667" s="49" t="str">
        <f>IFNA(VLOOKUP($A667,Towns!$A$2:$F1000,MATCH($B$1,Towns!$A$1:$F$1,0),false))</f>
        <v/>
      </c>
    </row>
    <row r="668">
      <c r="A668" s="49"/>
      <c r="B668" s="49" t="str">
        <f>IFNA(VLOOKUP($A668,Towns!$A$2:$F1000,MATCH($B$1,Towns!$A$1:$F$1,0),false))</f>
        <v/>
      </c>
    </row>
    <row r="669">
      <c r="A669" s="49"/>
      <c r="B669" s="49" t="str">
        <f>IFNA(VLOOKUP($A669,Towns!$A$2:$F1000,MATCH($B$1,Towns!$A$1:$F$1,0),false))</f>
        <v/>
      </c>
    </row>
    <row r="670">
      <c r="A670" s="49"/>
      <c r="B670" s="49" t="str">
        <f>IFNA(VLOOKUP($A670,Towns!$A$2:$F1000,MATCH($B$1,Towns!$A$1:$F$1,0),false))</f>
        <v/>
      </c>
    </row>
    <row r="671">
      <c r="A671" s="49"/>
      <c r="B671" s="49" t="str">
        <f>IFNA(VLOOKUP($A671,Towns!$A$2:$F1000,MATCH($B$1,Towns!$A$1:$F$1,0),false))</f>
        <v/>
      </c>
    </row>
    <row r="672">
      <c r="A672" s="49"/>
      <c r="B672" s="49" t="str">
        <f>IFNA(VLOOKUP($A672,Towns!$A$2:$F1000,MATCH($B$1,Towns!$A$1:$F$1,0),false))</f>
        <v/>
      </c>
    </row>
    <row r="673">
      <c r="A673" s="49"/>
      <c r="B673" s="49" t="str">
        <f>IFNA(VLOOKUP($A673,Towns!$A$2:$F1000,MATCH($B$1,Towns!$A$1:$F$1,0),false))</f>
        <v/>
      </c>
    </row>
    <row r="674">
      <c r="A674" s="49"/>
      <c r="B674" s="49" t="str">
        <f>IFNA(VLOOKUP($A674,Towns!$A$2:$F1000,MATCH($B$1,Towns!$A$1:$F$1,0),false))</f>
        <v/>
      </c>
    </row>
    <row r="675">
      <c r="A675" s="49"/>
      <c r="B675" s="49" t="str">
        <f>IFNA(VLOOKUP($A675,Towns!$A$2:$F1000,MATCH($B$1,Towns!$A$1:$F$1,0),false))</f>
        <v/>
      </c>
    </row>
    <row r="676">
      <c r="A676" s="49"/>
      <c r="B676" s="49" t="str">
        <f>IFNA(VLOOKUP($A676,Towns!$A$2:$F1000,MATCH($B$1,Towns!$A$1:$F$1,0),false))</f>
        <v/>
      </c>
    </row>
    <row r="677">
      <c r="A677" s="49"/>
      <c r="B677" s="49" t="str">
        <f>IFNA(VLOOKUP($A677,Towns!$A$2:$F1000,MATCH($B$1,Towns!$A$1:$F$1,0),false))</f>
        <v/>
      </c>
    </row>
    <row r="678">
      <c r="A678" s="49"/>
      <c r="B678" s="49" t="str">
        <f>IFNA(VLOOKUP($A678,Towns!$A$2:$F1000,MATCH($B$1,Towns!$A$1:$F$1,0),false))</f>
        <v/>
      </c>
    </row>
    <row r="679">
      <c r="A679" s="49"/>
      <c r="B679" s="49" t="str">
        <f>IFNA(VLOOKUP($A679,Towns!$A$2:$F1000,MATCH($B$1,Towns!$A$1:$F$1,0),false))</f>
        <v/>
      </c>
    </row>
    <row r="680">
      <c r="A680" s="49"/>
      <c r="B680" s="49" t="str">
        <f>IFNA(VLOOKUP($A680,Towns!$A$2:$F1000,MATCH($B$1,Towns!$A$1:$F$1,0),false))</f>
        <v/>
      </c>
    </row>
    <row r="681">
      <c r="A681" s="49"/>
      <c r="B681" s="49" t="str">
        <f>IFNA(VLOOKUP($A681,Towns!$A$2:$F1000,MATCH($B$1,Towns!$A$1:$F$1,0),false))</f>
        <v/>
      </c>
    </row>
    <row r="682">
      <c r="A682" s="49"/>
      <c r="B682" s="49" t="str">
        <f>IFNA(VLOOKUP($A682,Towns!$A$2:$F1000,MATCH($B$1,Towns!$A$1:$F$1,0),false))</f>
        <v/>
      </c>
    </row>
    <row r="683">
      <c r="A683" s="49"/>
      <c r="B683" s="49" t="str">
        <f>IFNA(VLOOKUP($A683,Towns!$A$2:$F1000,MATCH($B$1,Towns!$A$1:$F$1,0),false))</f>
        <v/>
      </c>
    </row>
    <row r="684">
      <c r="A684" s="49"/>
      <c r="B684" s="49" t="str">
        <f>IFNA(VLOOKUP($A684,Towns!$A$2:$F1000,MATCH($B$1,Towns!$A$1:$F$1,0),false))</f>
        <v/>
      </c>
    </row>
    <row r="685">
      <c r="A685" s="49"/>
      <c r="B685" s="49" t="str">
        <f>IFNA(VLOOKUP($A685,Towns!$A$2:$F1000,MATCH($B$1,Towns!$A$1:$F$1,0),false))</f>
        <v/>
      </c>
    </row>
    <row r="686">
      <c r="A686" s="49"/>
      <c r="B686" s="49" t="str">
        <f>IFNA(VLOOKUP($A686,Towns!$A$2:$F1000,MATCH($B$1,Towns!$A$1:$F$1,0),false))</f>
        <v/>
      </c>
    </row>
    <row r="687">
      <c r="A687" s="49"/>
      <c r="B687" s="49" t="str">
        <f>IFNA(VLOOKUP($A687,Towns!$A$2:$F1000,MATCH($B$1,Towns!$A$1:$F$1,0),false))</f>
        <v/>
      </c>
    </row>
    <row r="688">
      <c r="A688" s="49"/>
      <c r="B688" s="49" t="str">
        <f>IFNA(VLOOKUP($A688,Towns!$A$2:$F1000,MATCH($B$1,Towns!$A$1:$F$1,0),false))</f>
        <v/>
      </c>
    </row>
    <row r="689">
      <c r="A689" s="49"/>
      <c r="B689" s="49" t="str">
        <f>IFNA(VLOOKUP($A689,Towns!$A$2:$F1000,MATCH($B$1,Towns!$A$1:$F$1,0),false))</f>
        <v/>
      </c>
    </row>
    <row r="690">
      <c r="A690" s="49"/>
      <c r="B690" s="49" t="str">
        <f>IFNA(VLOOKUP($A690,Towns!$A$2:$F1000,MATCH($B$1,Towns!$A$1:$F$1,0),false))</f>
        <v/>
      </c>
    </row>
    <row r="691">
      <c r="A691" s="49"/>
      <c r="B691" s="49" t="str">
        <f>IFNA(VLOOKUP($A691,Towns!$A$2:$F1000,MATCH($B$1,Towns!$A$1:$F$1,0),false))</f>
        <v/>
      </c>
    </row>
    <row r="692">
      <c r="A692" s="49"/>
      <c r="B692" s="49" t="str">
        <f>IFNA(VLOOKUP($A692,Towns!$A$2:$F1000,MATCH($B$1,Towns!$A$1:$F$1,0),false))</f>
        <v/>
      </c>
    </row>
    <row r="693">
      <c r="A693" s="49"/>
      <c r="B693" s="49" t="str">
        <f>IFNA(VLOOKUP($A693,Towns!$A$2:$F1000,MATCH($B$1,Towns!$A$1:$F$1,0),false))</f>
        <v/>
      </c>
    </row>
    <row r="694">
      <c r="A694" s="49"/>
      <c r="B694" s="49" t="str">
        <f>IFNA(VLOOKUP($A694,Towns!$A$2:$F1000,MATCH($B$1,Towns!$A$1:$F$1,0),false))</f>
        <v/>
      </c>
    </row>
    <row r="695">
      <c r="A695" s="49"/>
      <c r="B695" s="49" t="str">
        <f>IFNA(VLOOKUP($A695,Towns!$A$2:$F1000,MATCH($B$1,Towns!$A$1:$F$1,0),false))</f>
        <v/>
      </c>
    </row>
    <row r="696">
      <c r="A696" s="49"/>
      <c r="B696" s="49" t="str">
        <f>IFNA(VLOOKUP($A696,Towns!$A$2:$F1000,MATCH($B$1,Towns!$A$1:$F$1,0),false))</f>
        <v/>
      </c>
    </row>
    <row r="697">
      <c r="A697" s="49"/>
      <c r="B697" s="49" t="str">
        <f>IFNA(VLOOKUP($A697,Towns!$A$2:$F1000,MATCH($B$1,Towns!$A$1:$F$1,0),false))</f>
        <v/>
      </c>
    </row>
    <row r="698">
      <c r="A698" s="49"/>
      <c r="B698" s="49" t="str">
        <f>IFNA(VLOOKUP($A698,Towns!$A$2:$F1000,MATCH($B$1,Towns!$A$1:$F$1,0),false))</f>
        <v/>
      </c>
    </row>
    <row r="699">
      <c r="A699" s="49"/>
      <c r="B699" s="49" t="str">
        <f>IFNA(VLOOKUP($A699,Towns!$A$2:$F1000,MATCH($B$1,Towns!$A$1:$F$1,0),false))</f>
        <v/>
      </c>
    </row>
    <row r="700">
      <c r="A700" s="49"/>
      <c r="B700" s="49" t="str">
        <f>IFNA(VLOOKUP($A700,Towns!$A$2:$F1000,MATCH($B$1,Towns!$A$1:$F$1,0),false))</f>
        <v/>
      </c>
    </row>
    <row r="701">
      <c r="A701" s="49"/>
      <c r="B701" s="49" t="str">
        <f>IFNA(VLOOKUP($A701,Towns!$A$2:$F1000,MATCH($B$1,Towns!$A$1:$F$1,0),false))</f>
        <v/>
      </c>
    </row>
    <row r="702">
      <c r="A702" s="49"/>
      <c r="B702" s="49" t="str">
        <f>IFNA(VLOOKUP($A702,Towns!$A$2:$F1000,MATCH($B$1,Towns!$A$1:$F$1,0),false))</f>
        <v/>
      </c>
    </row>
    <row r="703">
      <c r="A703" s="49"/>
      <c r="B703" s="49" t="str">
        <f>IFNA(VLOOKUP($A703,Towns!$A$2:$F1000,MATCH($B$1,Towns!$A$1:$F$1,0),false))</f>
        <v/>
      </c>
    </row>
    <row r="704">
      <c r="A704" s="49"/>
      <c r="B704" s="49" t="str">
        <f>IFNA(VLOOKUP($A704,Towns!$A$2:$F1000,MATCH($B$1,Towns!$A$1:$F$1,0),false))</f>
        <v/>
      </c>
    </row>
    <row r="705">
      <c r="A705" s="49"/>
      <c r="B705" s="49" t="str">
        <f>IFNA(VLOOKUP($A705,Towns!$A$2:$F1000,MATCH($B$1,Towns!$A$1:$F$1,0),false))</f>
        <v/>
      </c>
    </row>
    <row r="706">
      <c r="A706" s="49"/>
      <c r="B706" s="49" t="str">
        <f>IFNA(VLOOKUP($A706,Towns!$A$2:$F1000,MATCH($B$1,Towns!$A$1:$F$1,0),false))</f>
        <v/>
      </c>
    </row>
    <row r="707">
      <c r="A707" s="49"/>
      <c r="B707" s="49" t="str">
        <f>IFNA(VLOOKUP($A707,Towns!$A$2:$F1000,MATCH($B$1,Towns!$A$1:$F$1,0),false))</f>
        <v/>
      </c>
    </row>
    <row r="708">
      <c r="A708" s="49"/>
      <c r="B708" s="49" t="str">
        <f>IFNA(VLOOKUP($A708,Towns!$A$2:$F1000,MATCH($B$1,Towns!$A$1:$F$1,0),false))</f>
        <v/>
      </c>
    </row>
    <row r="709">
      <c r="A709" s="49"/>
      <c r="B709" s="49" t="str">
        <f>IFNA(VLOOKUP($A709,Towns!$A$2:$F1000,MATCH($B$1,Towns!$A$1:$F$1,0),false))</f>
        <v/>
      </c>
    </row>
    <row r="710">
      <c r="A710" s="49"/>
      <c r="B710" s="49" t="str">
        <f>IFNA(VLOOKUP($A710,Towns!$A$2:$F1000,MATCH($B$1,Towns!$A$1:$F$1,0),false))</f>
        <v/>
      </c>
    </row>
    <row r="711">
      <c r="A711" s="49"/>
      <c r="B711" s="49" t="str">
        <f>IFNA(VLOOKUP($A711,Towns!$A$2:$F1000,MATCH($B$1,Towns!$A$1:$F$1,0),false))</f>
        <v/>
      </c>
    </row>
    <row r="712">
      <c r="A712" s="49"/>
      <c r="B712" s="49" t="str">
        <f>IFNA(VLOOKUP($A712,Towns!$A$2:$F1000,MATCH($B$1,Towns!$A$1:$F$1,0),false))</f>
        <v/>
      </c>
    </row>
    <row r="713">
      <c r="A713" s="49"/>
      <c r="B713" s="49" t="str">
        <f>IFNA(VLOOKUP($A713,Towns!$A$2:$F1000,MATCH($B$1,Towns!$A$1:$F$1,0),false))</f>
        <v/>
      </c>
    </row>
    <row r="714">
      <c r="A714" s="49"/>
      <c r="B714" s="49" t="str">
        <f>IFNA(VLOOKUP($A714,Towns!$A$2:$F1000,MATCH($B$1,Towns!$A$1:$F$1,0),false))</f>
        <v/>
      </c>
    </row>
    <row r="715">
      <c r="A715" s="49"/>
      <c r="B715" s="49" t="str">
        <f>IFNA(VLOOKUP($A715,Towns!$A$2:$F1000,MATCH($B$1,Towns!$A$1:$F$1,0),false))</f>
        <v/>
      </c>
    </row>
    <row r="716">
      <c r="A716" s="49"/>
      <c r="B716" s="49" t="str">
        <f>IFNA(VLOOKUP($A716,Towns!$A$2:$F1000,MATCH($B$1,Towns!$A$1:$F$1,0),false))</f>
        <v/>
      </c>
    </row>
    <row r="717">
      <c r="A717" s="49"/>
      <c r="B717" s="49" t="str">
        <f>IFNA(VLOOKUP($A717,Towns!$A$2:$F1000,MATCH($B$1,Towns!$A$1:$F$1,0),false))</f>
        <v/>
      </c>
    </row>
    <row r="718">
      <c r="A718" s="49"/>
      <c r="B718" s="49" t="str">
        <f>IFNA(VLOOKUP($A718,Towns!$A$2:$F1000,MATCH($B$1,Towns!$A$1:$F$1,0),false))</f>
        <v/>
      </c>
    </row>
    <row r="719">
      <c r="A719" s="49"/>
      <c r="B719" s="49" t="str">
        <f>IFNA(VLOOKUP($A719,Towns!$A$2:$F1000,MATCH($B$1,Towns!$A$1:$F$1,0),false))</f>
        <v/>
      </c>
    </row>
    <row r="720">
      <c r="A720" s="49"/>
      <c r="B720" s="49" t="str">
        <f>IFNA(VLOOKUP($A720,Towns!$A$2:$F1000,MATCH($B$1,Towns!$A$1:$F$1,0),false))</f>
        <v/>
      </c>
    </row>
    <row r="721">
      <c r="A721" s="49"/>
      <c r="B721" s="49" t="str">
        <f>IFNA(VLOOKUP($A721,Towns!$A$2:$F1000,MATCH($B$1,Towns!$A$1:$F$1,0),false))</f>
        <v/>
      </c>
    </row>
    <row r="722">
      <c r="A722" s="49"/>
      <c r="B722" s="49" t="str">
        <f>IFNA(VLOOKUP($A722,Towns!$A$2:$F1000,MATCH($B$1,Towns!$A$1:$F$1,0),false))</f>
        <v/>
      </c>
    </row>
    <row r="723">
      <c r="A723" s="49"/>
      <c r="B723" s="49" t="str">
        <f>IFNA(VLOOKUP($A723,Towns!$A$2:$F1000,MATCH($B$1,Towns!$A$1:$F$1,0),false))</f>
        <v/>
      </c>
    </row>
    <row r="724">
      <c r="A724" s="49"/>
      <c r="B724" s="49" t="str">
        <f>IFNA(VLOOKUP($A724,Towns!$A$2:$F1000,MATCH($B$1,Towns!$A$1:$F$1,0),false))</f>
        <v/>
      </c>
    </row>
    <row r="725">
      <c r="A725" s="49"/>
      <c r="B725" s="49" t="str">
        <f>IFNA(VLOOKUP($A725,Towns!$A$2:$F1000,MATCH($B$1,Towns!$A$1:$F$1,0),false))</f>
        <v/>
      </c>
    </row>
    <row r="726">
      <c r="A726" s="49"/>
      <c r="B726" s="49" t="str">
        <f>IFNA(VLOOKUP($A726,Towns!$A$2:$F1000,MATCH($B$1,Towns!$A$1:$F$1,0),false))</f>
        <v/>
      </c>
    </row>
    <row r="727">
      <c r="A727" s="49"/>
      <c r="B727" s="49" t="str">
        <f>IFNA(VLOOKUP($A727,Towns!$A$2:$F1000,MATCH($B$1,Towns!$A$1:$F$1,0),false))</f>
        <v/>
      </c>
    </row>
    <row r="728">
      <c r="A728" s="49"/>
      <c r="B728" s="49" t="str">
        <f>IFNA(VLOOKUP($A728,Towns!$A$2:$F1000,MATCH($B$1,Towns!$A$1:$F$1,0),false))</f>
        <v/>
      </c>
    </row>
    <row r="729">
      <c r="A729" s="49"/>
      <c r="B729" s="49" t="str">
        <f>IFNA(VLOOKUP($A729,Towns!$A$2:$F1000,MATCH($B$1,Towns!$A$1:$F$1,0),false))</f>
        <v/>
      </c>
    </row>
    <row r="730">
      <c r="A730" s="49"/>
      <c r="B730" s="49" t="str">
        <f>IFNA(VLOOKUP($A730,Towns!$A$2:$F1000,MATCH($B$1,Towns!$A$1:$F$1,0),false))</f>
        <v/>
      </c>
    </row>
    <row r="731">
      <c r="A731" s="49"/>
      <c r="B731" s="49" t="str">
        <f>IFNA(VLOOKUP($A731,Towns!$A$2:$F1000,MATCH($B$1,Towns!$A$1:$F$1,0),false))</f>
        <v/>
      </c>
    </row>
    <row r="732">
      <c r="A732" s="49"/>
      <c r="B732" s="49" t="str">
        <f>IFNA(VLOOKUP($A732,Towns!$A$2:$F1000,MATCH($B$1,Towns!$A$1:$F$1,0),false))</f>
        <v/>
      </c>
    </row>
    <row r="733">
      <c r="A733" s="49"/>
      <c r="B733" s="49" t="str">
        <f>IFNA(VLOOKUP($A733,Towns!$A$2:$F1000,MATCH($B$1,Towns!$A$1:$F$1,0),false))</f>
        <v/>
      </c>
    </row>
    <row r="734">
      <c r="A734" s="49"/>
      <c r="B734" s="49" t="str">
        <f>IFNA(VLOOKUP($A734,Towns!$A$2:$F1000,MATCH($B$1,Towns!$A$1:$F$1,0),false))</f>
        <v/>
      </c>
    </row>
    <row r="735">
      <c r="A735" s="49"/>
      <c r="B735" s="49" t="str">
        <f>IFNA(VLOOKUP($A735,Towns!$A$2:$F1000,MATCH($B$1,Towns!$A$1:$F$1,0),false))</f>
        <v/>
      </c>
    </row>
    <row r="736">
      <c r="A736" s="49"/>
      <c r="B736" s="49" t="str">
        <f>IFNA(VLOOKUP($A736,Towns!$A$2:$F1000,MATCH($B$1,Towns!$A$1:$F$1,0),false))</f>
        <v/>
      </c>
    </row>
    <row r="737">
      <c r="A737" s="49"/>
      <c r="B737" s="49" t="str">
        <f>IFNA(VLOOKUP($A737,Towns!$A$2:$F1000,MATCH($B$1,Towns!$A$1:$F$1,0),false))</f>
        <v/>
      </c>
    </row>
    <row r="738">
      <c r="A738" s="49"/>
      <c r="B738" s="49" t="str">
        <f>IFNA(VLOOKUP($A738,Towns!$A$2:$F1000,MATCH($B$1,Towns!$A$1:$F$1,0),false))</f>
        <v/>
      </c>
    </row>
    <row r="739">
      <c r="A739" s="49"/>
      <c r="B739" s="49" t="str">
        <f>IFNA(VLOOKUP($A739,Towns!$A$2:$F1000,MATCH($B$1,Towns!$A$1:$F$1,0),false))</f>
        <v/>
      </c>
    </row>
    <row r="740">
      <c r="A740" s="49"/>
      <c r="B740" s="49" t="str">
        <f>IFNA(VLOOKUP($A740,Towns!$A$2:$F1000,MATCH($B$1,Towns!$A$1:$F$1,0),false))</f>
        <v/>
      </c>
    </row>
    <row r="741">
      <c r="A741" s="49"/>
      <c r="B741" s="49" t="str">
        <f>IFNA(VLOOKUP($A741,Towns!$A$2:$F1000,MATCH($B$1,Towns!$A$1:$F$1,0),false))</f>
        <v/>
      </c>
    </row>
    <row r="742">
      <c r="A742" s="49"/>
      <c r="B742" s="49" t="str">
        <f>IFNA(VLOOKUP($A742,Towns!$A$2:$F1000,MATCH($B$1,Towns!$A$1:$F$1,0),false))</f>
        <v/>
      </c>
    </row>
    <row r="743">
      <c r="A743" s="49"/>
      <c r="B743" s="49" t="str">
        <f>IFNA(VLOOKUP($A743,Towns!$A$2:$F1000,MATCH($B$1,Towns!$A$1:$F$1,0),false))</f>
        <v/>
      </c>
    </row>
    <row r="744">
      <c r="A744" s="49"/>
      <c r="B744" s="49" t="str">
        <f>IFNA(VLOOKUP($A744,Towns!$A$2:$F1000,MATCH($B$1,Towns!$A$1:$F$1,0),false))</f>
        <v/>
      </c>
    </row>
    <row r="745">
      <c r="A745" s="49"/>
      <c r="B745" s="49" t="str">
        <f>IFNA(VLOOKUP($A745,Towns!$A$2:$F1000,MATCH($B$1,Towns!$A$1:$F$1,0),false))</f>
        <v/>
      </c>
    </row>
    <row r="746">
      <c r="A746" s="49"/>
      <c r="B746" s="49" t="str">
        <f>IFNA(VLOOKUP($A746,Towns!$A$2:$F1000,MATCH($B$1,Towns!$A$1:$F$1,0),false))</f>
        <v/>
      </c>
    </row>
    <row r="747">
      <c r="A747" s="49"/>
      <c r="B747" s="49" t="str">
        <f>IFNA(VLOOKUP($A747,Towns!$A$2:$F1000,MATCH($B$1,Towns!$A$1:$F$1,0),false))</f>
        <v/>
      </c>
    </row>
    <row r="748">
      <c r="A748" s="49"/>
      <c r="B748" s="49" t="str">
        <f>IFNA(VLOOKUP($A748,Towns!$A$2:$F1000,MATCH($B$1,Towns!$A$1:$F$1,0),false))</f>
        <v/>
      </c>
    </row>
    <row r="749">
      <c r="A749" s="49"/>
      <c r="B749" s="49" t="str">
        <f>IFNA(VLOOKUP($A749,Towns!$A$2:$F1000,MATCH($B$1,Towns!$A$1:$F$1,0),false))</f>
        <v/>
      </c>
    </row>
    <row r="750">
      <c r="A750" s="49"/>
      <c r="B750" s="49" t="str">
        <f>IFNA(VLOOKUP($A750,Towns!$A$2:$F1000,MATCH($B$1,Towns!$A$1:$F$1,0),false))</f>
        <v/>
      </c>
    </row>
    <row r="751">
      <c r="A751" s="49"/>
      <c r="B751" s="49" t="str">
        <f>IFNA(VLOOKUP($A751,Towns!$A$2:$F1000,MATCH($B$1,Towns!$A$1:$F$1,0),false))</f>
        <v/>
      </c>
    </row>
    <row r="752">
      <c r="A752" s="49"/>
      <c r="B752" s="49" t="str">
        <f>IFNA(VLOOKUP($A752,Towns!$A$2:$F1000,MATCH($B$1,Towns!$A$1:$F$1,0),false))</f>
        <v/>
      </c>
    </row>
    <row r="753">
      <c r="A753" s="49"/>
      <c r="B753" s="49" t="str">
        <f>IFNA(VLOOKUP($A753,Towns!$A$2:$F1000,MATCH($B$1,Towns!$A$1:$F$1,0),false))</f>
        <v/>
      </c>
    </row>
    <row r="754">
      <c r="A754" s="49"/>
      <c r="B754" s="49" t="str">
        <f>IFNA(VLOOKUP($A754,Towns!$A$2:$F1000,MATCH($B$1,Towns!$A$1:$F$1,0),false))</f>
        <v/>
      </c>
    </row>
    <row r="755">
      <c r="A755" s="49"/>
      <c r="B755" s="49" t="str">
        <f>IFNA(VLOOKUP($A755,Towns!$A$2:$F1000,MATCH($B$1,Towns!$A$1:$F$1,0),false))</f>
        <v/>
      </c>
    </row>
    <row r="756">
      <c r="A756" s="49"/>
      <c r="B756" s="49" t="str">
        <f>IFNA(VLOOKUP($A756,Towns!$A$2:$F1000,MATCH($B$1,Towns!$A$1:$F$1,0),false))</f>
        <v/>
      </c>
    </row>
    <row r="757">
      <c r="A757" s="49"/>
      <c r="B757" s="49" t="str">
        <f>IFNA(VLOOKUP($A757,Towns!$A$2:$F1000,MATCH($B$1,Towns!$A$1:$F$1,0),false))</f>
        <v/>
      </c>
    </row>
    <row r="758">
      <c r="A758" s="49"/>
      <c r="B758" s="49" t="str">
        <f>IFNA(VLOOKUP($A758,Towns!$A$2:$F1000,MATCH($B$1,Towns!$A$1:$F$1,0),false))</f>
        <v/>
      </c>
    </row>
    <row r="759">
      <c r="A759" s="49"/>
      <c r="B759" s="49" t="str">
        <f>IFNA(VLOOKUP($A759,Towns!$A$2:$F1000,MATCH($B$1,Towns!$A$1:$F$1,0),false))</f>
        <v/>
      </c>
    </row>
    <row r="760">
      <c r="A760" s="49"/>
      <c r="B760" s="49" t="str">
        <f>IFNA(VLOOKUP($A760,Towns!$A$2:$F1000,MATCH($B$1,Towns!$A$1:$F$1,0),false))</f>
        <v/>
      </c>
    </row>
    <row r="761">
      <c r="A761" s="49"/>
      <c r="B761" s="49" t="str">
        <f>IFNA(VLOOKUP($A761,Towns!$A$2:$F1000,MATCH($B$1,Towns!$A$1:$F$1,0),false))</f>
        <v/>
      </c>
    </row>
    <row r="762">
      <c r="A762" s="49"/>
      <c r="B762" s="49" t="str">
        <f>IFNA(VLOOKUP($A762,Towns!$A$2:$F1000,MATCH($B$1,Towns!$A$1:$F$1,0),false))</f>
        <v/>
      </c>
    </row>
    <row r="763">
      <c r="A763" s="49"/>
      <c r="B763" s="49" t="str">
        <f>IFNA(VLOOKUP($A763,Towns!$A$2:$F1000,MATCH($B$1,Towns!$A$1:$F$1,0),false))</f>
        <v/>
      </c>
    </row>
    <row r="764">
      <c r="A764" s="49"/>
      <c r="B764" s="49" t="str">
        <f>IFNA(VLOOKUP($A764,Towns!$A$2:$F1000,MATCH($B$1,Towns!$A$1:$F$1,0),false))</f>
        <v/>
      </c>
    </row>
    <row r="765">
      <c r="A765" s="49"/>
      <c r="B765" s="49" t="str">
        <f>IFNA(VLOOKUP($A765,Towns!$A$2:$F1000,MATCH($B$1,Towns!$A$1:$F$1,0),false))</f>
        <v/>
      </c>
    </row>
    <row r="766">
      <c r="A766" s="49"/>
      <c r="B766" s="49" t="str">
        <f>IFNA(VLOOKUP($A766,Towns!$A$2:$F1000,MATCH($B$1,Towns!$A$1:$F$1,0),false))</f>
        <v/>
      </c>
    </row>
    <row r="767">
      <c r="A767" s="49"/>
      <c r="B767" s="49" t="str">
        <f>IFNA(VLOOKUP($A767,Towns!$A$2:$F1000,MATCH($B$1,Towns!$A$1:$F$1,0),false))</f>
        <v/>
      </c>
    </row>
    <row r="768">
      <c r="A768" s="49"/>
      <c r="B768" s="49" t="str">
        <f>IFNA(VLOOKUP($A768,Towns!$A$2:$F1000,MATCH($B$1,Towns!$A$1:$F$1,0),false))</f>
        <v/>
      </c>
    </row>
    <row r="769">
      <c r="A769" s="49"/>
      <c r="B769" s="49" t="str">
        <f>IFNA(VLOOKUP($A769,Towns!$A$2:$F1000,MATCH($B$1,Towns!$A$1:$F$1,0),false))</f>
        <v/>
      </c>
    </row>
    <row r="770">
      <c r="A770" s="49"/>
      <c r="B770" s="49" t="str">
        <f>IFNA(VLOOKUP($A770,Towns!$A$2:$F1000,MATCH($B$1,Towns!$A$1:$F$1,0),false))</f>
        <v/>
      </c>
    </row>
    <row r="771">
      <c r="A771" s="49"/>
      <c r="B771" s="49" t="str">
        <f>IFNA(VLOOKUP($A771,Towns!$A$2:$F1000,MATCH($B$1,Towns!$A$1:$F$1,0),false))</f>
        <v/>
      </c>
    </row>
    <row r="772">
      <c r="A772" s="49"/>
      <c r="B772" s="49" t="str">
        <f>IFNA(VLOOKUP($A772,Towns!$A$2:$F1000,MATCH($B$1,Towns!$A$1:$F$1,0),false))</f>
        <v/>
      </c>
    </row>
    <row r="773">
      <c r="A773" s="49"/>
      <c r="B773" s="49" t="str">
        <f>IFNA(VLOOKUP($A773,Towns!$A$2:$F1000,MATCH($B$1,Towns!$A$1:$F$1,0),false))</f>
        <v/>
      </c>
    </row>
    <row r="774">
      <c r="A774" s="49"/>
      <c r="B774" s="49" t="str">
        <f>IFNA(VLOOKUP($A774,Towns!$A$2:$F1000,MATCH($B$1,Towns!$A$1:$F$1,0),false))</f>
        <v/>
      </c>
    </row>
    <row r="775">
      <c r="A775" s="49"/>
      <c r="B775" s="49" t="str">
        <f>IFNA(VLOOKUP($A775,Towns!$A$2:$F1000,MATCH($B$1,Towns!$A$1:$F$1,0),false))</f>
        <v/>
      </c>
    </row>
    <row r="776">
      <c r="A776" s="49"/>
      <c r="B776" s="49" t="str">
        <f>IFNA(VLOOKUP($A776,Towns!$A$2:$F1000,MATCH($B$1,Towns!$A$1:$F$1,0),false))</f>
        <v/>
      </c>
    </row>
    <row r="777">
      <c r="A777" s="49"/>
      <c r="B777" s="49" t="str">
        <f>IFNA(VLOOKUP($A777,Towns!$A$2:$F1000,MATCH($B$1,Towns!$A$1:$F$1,0),false))</f>
        <v/>
      </c>
    </row>
    <row r="778">
      <c r="A778" s="49"/>
      <c r="B778" s="49" t="str">
        <f>IFNA(VLOOKUP($A778,Towns!$A$2:$F1000,MATCH($B$1,Towns!$A$1:$F$1,0),false))</f>
        <v/>
      </c>
    </row>
    <row r="779">
      <c r="A779" s="49"/>
      <c r="B779" s="49" t="str">
        <f>IFNA(VLOOKUP($A779,Towns!$A$2:$F1000,MATCH($B$1,Towns!$A$1:$F$1,0),false))</f>
        <v/>
      </c>
    </row>
    <row r="780">
      <c r="A780" s="49"/>
      <c r="B780" s="49" t="str">
        <f>IFNA(VLOOKUP($A780,Towns!$A$2:$F1000,MATCH($B$1,Towns!$A$1:$F$1,0),false))</f>
        <v/>
      </c>
    </row>
    <row r="781">
      <c r="A781" s="49"/>
      <c r="B781" s="49" t="str">
        <f>IFNA(VLOOKUP($A781,Towns!$A$2:$F1000,MATCH($B$1,Towns!$A$1:$F$1,0),false))</f>
        <v/>
      </c>
    </row>
    <row r="782">
      <c r="A782" s="49"/>
      <c r="B782" s="49" t="str">
        <f>IFNA(VLOOKUP($A782,Towns!$A$2:$F1000,MATCH($B$1,Towns!$A$1:$F$1,0),false))</f>
        <v/>
      </c>
    </row>
    <row r="783">
      <c r="A783" s="49"/>
      <c r="B783" s="49" t="str">
        <f>IFNA(VLOOKUP($A783,Towns!$A$2:$F1000,MATCH($B$1,Towns!$A$1:$F$1,0),false))</f>
        <v/>
      </c>
    </row>
    <row r="784">
      <c r="A784" s="49"/>
      <c r="B784" s="49" t="str">
        <f>IFNA(VLOOKUP($A784,Towns!$A$2:$F1000,MATCH($B$1,Towns!$A$1:$F$1,0),false))</f>
        <v/>
      </c>
    </row>
    <row r="785">
      <c r="A785" s="49"/>
      <c r="B785" s="49" t="str">
        <f>IFNA(VLOOKUP($A785,Towns!$A$2:$F1000,MATCH($B$1,Towns!$A$1:$F$1,0),false))</f>
        <v/>
      </c>
    </row>
    <row r="786">
      <c r="A786" s="49"/>
      <c r="B786" s="49" t="str">
        <f>IFNA(VLOOKUP($A786,Towns!$A$2:$F1000,MATCH($B$1,Towns!$A$1:$F$1,0),false))</f>
        <v/>
      </c>
    </row>
    <row r="787">
      <c r="A787" s="49"/>
      <c r="B787" s="49" t="str">
        <f>IFNA(VLOOKUP($A787,Towns!$A$2:$F1000,MATCH($B$1,Towns!$A$1:$F$1,0),false))</f>
        <v/>
      </c>
    </row>
    <row r="788">
      <c r="A788" s="49"/>
      <c r="B788" s="49" t="str">
        <f>IFNA(VLOOKUP($A788,Towns!$A$2:$F1000,MATCH($B$1,Towns!$A$1:$F$1,0),false))</f>
        <v/>
      </c>
    </row>
    <row r="789">
      <c r="A789" s="49"/>
      <c r="B789" s="49" t="str">
        <f>IFNA(VLOOKUP($A789,Towns!$A$2:$F1000,MATCH($B$1,Towns!$A$1:$F$1,0),false))</f>
        <v/>
      </c>
    </row>
    <row r="790">
      <c r="A790" s="49"/>
      <c r="B790" s="49" t="str">
        <f>IFNA(VLOOKUP($A790,Towns!$A$2:$F1000,MATCH($B$1,Towns!$A$1:$F$1,0),false))</f>
        <v/>
      </c>
    </row>
    <row r="791">
      <c r="A791" s="49"/>
      <c r="B791" s="49" t="str">
        <f>IFNA(VLOOKUP($A791,Towns!$A$2:$F1000,MATCH($B$1,Towns!$A$1:$F$1,0),false))</f>
        <v/>
      </c>
    </row>
    <row r="792">
      <c r="A792" s="49"/>
      <c r="B792" s="49" t="str">
        <f>IFNA(VLOOKUP($A792,Towns!$A$2:$F1000,MATCH($B$1,Towns!$A$1:$F$1,0),false))</f>
        <v/>
      </c>
    </row>
    <row r="793">
      <c r="A793" s="49"/>
      <c r="B793" s="49" t="str">
        <f>IFNA(VLOOKUP($A793,Towns!$A$2:$F1000,MATCH($B$1,Towns!$A$1:$F$1,0),false))</f>
        <v/>
      </c>
    </row>
    <row r="794">
      <c r="A794" s="49"/>
      <c r="B794" s="49" t="str">
        <f>IFNA(VLOOKUP($A794,Towns!$A$2:$F1000,MATCH($B$1,Towns!$A$1:$F$1,0),false))</f>
        <v/>
      </c>
    </row>
    <row r="795">
      <c r="A795" s="49"/>
      <c r="B795" s="49" t="str">
        <f>IFNA(VLOOKUP($A795,Towns!$A$2:$F1000,MATCH($B$1,Towns!$A$1:$F$1,0),false))</f>
        <v/>
      </c>
    </row>
    <row r="796">
      <c r="A796" s="49"/>
      <c r="B796" s="49" t="str">
        <f>IFNA(VLOOKUP($A796,Towns!$A$2:$F1000,MATCH($B$1,Towns!$A$1:$F$1,0),false))</f>
        <v/>
      </c>
    </row>
    <row r="797">
      <c r="A797" s="49"/>
      <c r="B797" s="49" t="str">
        <f>IFNA(VLOOKUP($A797,Towns!$A$2:$F1000,MATCH($B$1,Towns!$A$1:$F$1,0),false))</f>
        <v/>
      </c>
    </row>
    <row r="798">
      <c r="A798" s="49"/>
      <c r="B798" s="49" t="str">
        <f>IFNA(VLOOKUP($A798,Towns!$A$2:$F1000,MATCH($B$1,Towns!$A$1:$F$1,0),false))</f>
        <v/>
      </c>
    </row>
    <row r="799">
      <c r="A799" s="49"/>
      <c r="B799" s="49" t="str">
        <f>IFNA(VLOOKUP($A799,Towns!$A$2:$F1000,MATCH($B$1,Towns!$A$1:$F$1,0),false))</f>
        <v/>
      </c>
    </row>
    <row r="800">
      <c r="A800" s="49"/>
      <c r="B800" s="49" t="str">
        <f>IFNA(VLOOKUP($A800,Towns!$A$2:$F1000,MATCH($B$1,Towns!$A$1:$F$1,0),false))</f>
        <v/>
      </c>
    </row>
    <row r="801">
      <c r="A801" s="49"/>
      <c r="B801" s="49" t="str">
        <f>IFNA(VLOOKUP($A801,Towns!$A$2:$F1000,MATCH($B$1,Towns!$A$1:$F$1,0),false))</f>
        <v/>
      </c>
    </row>
    <row r="802">
      <c r="A802" s="49"/>
      <c r="B802" s="49" t="str">
        <f>IFNA(VLOOKUP($A802,Towns!$A$2:$F1000,MATCH($B$1,Towns!$A$1:$F$1,0),false))</f>
        <v/>
      </c>
    </row>
    <row r="803">
      <c r="A803" s="49"/>
      <c r="B803" s="49" t="str">
        <f>IFNA(VLOOKUP($A803,Towns!$A$2:$F1000,MATCH($B$1,Towns!$A$1:$F$1,0),false))</f>
        <v/>
      </c>
    </row>
    <row r="804">
      <c r="A804" s="49"/>
      <c r="B804" s="49" t="str">
        <f>IFNA(VLOOKUP($A804,Towns!$A$2:$F1000,MATCH($B$1,Towns!$A$1:$F$1,0),false))</f>
        <v/>
      </c>
    </row>
    <row r="805">
      <c r="A805" s="49"/>
      <c r="B805" s="49" t="str">
        <f>IFNA(VLOOKUP($A805,Towns!$A$2:$F1000,MATCH($B$1,Towns!$A$1:$F$1,0),false))</f>
        <v/>
      </c>
    </row>
    <row r="806">
      <c r="A806" s="49"/>
      <c r="B806" s="49" t="str">
        <f>IFNA(VLOOKUP($A806,Towns!$A$2:$F1000,MATCH($B$1,Towns!$A$1:$F$1,0),false))</f>
        <v/>
      </c>
    </row>
    <row r="807">
      <c r="A807" s="49"/>
      <c r="B807" s="49" t="str">
        <f>IFNA(VLOOKUP($A807,Towns!$A$2:$F1000,MATCH($B$1,Towns!$A$1:$F$1,0),false))</f>
        <v/>
      </c>
    </row>
    <row r="808">
      <c r="A808" s="49"/>
      <c r="B808" s="49" t="str">
        <f>IFNA(VLOOKUP($A808,Towns!$A$2:$F1000,MATCH($B$1,Towns!$A$1:$F$1,0),false))</f>
        <v/>
      </c>
    </row>
    <row r="809">
      <c r="A809" s="49"/>
      <c r="B809" s="49" t="str">
        <f>IFNA(VLOOKUP($A809,Towns!$A$2:$F1000,MATCH($B$1,Towns!$A$1:$F$1,0),false))</f>
        <v/>
      </c>
    </row>
    <row r="810">
      <c r="A810" s="49"/>
      <c r="B810" s="49" t="str">
        <f>IFNA(VLOOKUP($A810,Towns!$A$2:$F1000,MATCH($B$1,Towns!$A$1:$F$1,0),false))</f>
        <v/>
      </c>
    </row>
    <row r="811">
      <c r="A811" s="49"/>
      <c r="B811" s="49" t="str">
        <f>IFNA(VLOOKUP($A811,Towns!$A$2:$F1000,MATCH($B$1,Towns!$A$1:$F$1,0),false))</f>
        <v/>
      </c>
    </row>
    <row r="812">
      <c r="A812" s="49"/>
      <c r="B812" s="49" t="str">
        <f>IFNA(VLOOKUP($A812,Towns!$A$2:$F1000,MATCH($B$1,Towns!$A$1:$F$1,0),false))</f>
        <v/>
      </c>
    </row>
    <row r="813">
      <c r="A813" s="49"/>
      <c r="B813" s="49" t="str">
        <f>IFNA(VLOOKUP($A813,Towns!$A$2:$F1000,MATCH($B$1,Towns!$A$1:$F$1,0),false))</f>
        <v/>
      </c>
    </row>
    <row r="814">
      <c r="A814" s="49"/>
      <c r="B814" s="49" t="str">
        <f>IFNA(VLOOKUP($A814,Towns!$A$2:$F1000,MATCH($B$1,Towns!$A$1:$F$1,0),false))</f>
        <v/>
      </c>
    </row>
    <row r="815">
      <c r="A815" s="49"/>
      <c r="B815" s="49" t="str">
        <f>IFNA(VLOOKUP($A815,Towns!$A$2:$F1000,MATCH($B$1,Towns!$A$1:$F$1,0),false))</f>
        <v/>
      </c>
    </row>
    <row r="816">
      <c r="A816" s="49"/>
      <c r="B816" s="49" t="str">
        <f>IFNA(VLOOKUP($A816,Towns!$A$2:$F1000,MATCH($B$1,Towns!$A$1:$F$1,0),false))</f>
        <v/>
      </c>
    </row>
    <row r="817">
      <c r="A817" s="49"/>
      <c r="B817" s="49" t="str">
        <f>IFNA(VLOOKUP($A817,Towns!$A$2:$F1000,MATCH($B$1,Towns!$A$1:$F$1,0),false))</f>
        <v/>
      </c>
    </row>
    <row r="818">
      <c r="A818" s="49"/>
      <c r="B818" s="49" t="str">
        <f>IFNA(VLOOKUP($A818,Towns!$A$2:$F1000,MATCH($B$1,Towns!$A$1:$F$1,0),false))</f>
        <v/>
      </c>
    </row>
    <row r="819">
      <c r="A819" s="49"/>
      <c r="B819" s="49" t="str">
        <f>IFNA(VLOOKUP($A819,Towns!$A$2:$F1000,MATCH($B$1,Towns!$A$1:$F$1,0),false))</f>
        <v/>
      </c>
    </row>
    <row r="820">
      <c r="A820" s="49"/>
      <c r="B820" s="49" t="str">
        <f>IFNA(VLOOKUP($A820,Towns!$A$2:$F1000,MATCH($B$1,Towns!$A$1:$F$1,0),false))</f>
        <v/>
      </c>
    </row>
    <row r="821">
      <c r="A821" s="49"/>
      <c r="B821" s="49" t="str">
        <f>IFNA(VLOOKUP($A821,Towns!$A$2:$F1000,MATCH($B$1,Towns!$A$1:$F$1,0),false))</f>
        <v/>
      </c>
    </row>
    <row r="822">
      <c r="A822" s="49"/>
      <c r="B822" s="49" t="str">
        <f>IFNA(VLOOKUP($A822,Towns!$A$2:$F1000,MATCH($B$1,Towns!$A$1:$F$1,0),false))</f>
        <v/>
      </c>
    </row>
    <row r="823">
      <c r="A823" s="49"/>
      <c r="B823" s="49" t="str">
        <f>IFNA(VLOOKUP($A823,Towns!$A$2:$F1000,MATCH($B$1,Towns!$A$1:$F$1,0),false))</f>
        <v/>
      </c>
    </row>
    <row r="824">
      <c r="A824" s="49"/>
      <c r="B824" s="49" t="str">
        <f>IFNA(VLOOKUP($A824,Towns!$A$2:$F1000,MATCH($B$1,Towns!$A$1:$F$1,0),false))</f>
        <v/>
      </c>
    </row>
    <row r="825">
      <c r="A825" s="49"/>
      <c r="B825" s="49" t="str">
        <f>IFNA(VLOOKUP($A825,Towns!$A$2:$F1000,MATCH($B$1,Towns!$A$1:$F$1,0),false))</f>
        <v/>
      </c>
    </row>
    <row r="826">
      <c r="A826" s="49"/>
      <c r="B826" s="49" t="str">
        <f>IFNA(VLOOKUP($A826,Towns!$A$2:$F1000,MATCH($B$1,Towns!$A$1:$F$1,0),false))</f>
        <v/>
      </c>
    </row>
    <row r="827">
      <c r="A827" s="49"/>
      <c r="B827" s="49" t="str">
        <f>IFNA(VLOOKUP($A827,Towns!$A$2:$F1000,MATCH($B$1,Towns!$A$1:$F$1,0),false))</f>
        <v/>
      </c>
    </row>
    <row r="828">
      <c r="A828" s="49"/>
      <c r="B828" s="49" t="str">
        <f>IFNA(VLOOKUP($A828,Towns!$A$2:$F1000,MATCH($B$1,Towns!$A$1:$F$1,0),false))</f>
        <v/>
      </c>
    </row>
    <row r="829">
      <c r="A829" s="49"/>
      <c r="B829" s="49" t="str">
        <f>IFNA(VLOOKUP($A829,Towns!$A$2:$F1000,MATCH($B$1,Towns!$A$1:$F$1,0),false))</f>
        <v/>
      </c>
    </row>
    <row r="830">
      <c r="A830" s="49"/>
      <c r="B830" s="49" t="str">
        <f>IFNA(VLOOKUP($A830,Towns!$A$2:$F1000,MATCH($B$1,Towns!$A$1:$F$1,0),false))</f>
        <v/>
      </c>
    </row>
    <row r="831">
      <c r="A831" s="49"/>
      <c r="B831" s="49" t="str">
        <f>IFNA(VLOOKUP($A831,Towns!$A$2:$F1000,MATCH($B$1,Towns!$A$1:$F$1,0),false))</f>
        <v/>
      </c>
    </row>
    <row r="832">
      <c r="A832" s="49"/>
      <c r="B832" s="49" t="str">
        <f>IFNA(VLOOKUP($A832,Towns!$A$2:$F1000,MATCH($B$1,Towns!$A$1:$F$1,0),false))</f>
        <v/>
      </c>
    </row>
    <row r="833">
      <c r="A833" s="49"/>
      <c r="B833" s="49" t="str">
        <f>IFNA(VLOOKUP($A833,Towns!$A$2:$F1000,MATCH($B$1,Towns!$A$1:$F$1,0),false))</f>
        <v/>
      </c>
    </row>
    <row r="834">
      <c r="A834" s="49"/>
      <c r="B834" s="49" t="str">
        <f>IFNA(VLOOKUP($A834,Towns!$A$2:$F1000,MATCH($B$1,Towns!$A$1:$F$1,0),false))</f>
        <v/>
      </c>
    </row>
    <row r="835">
      <c r="A835" s="49"/>
      <c r="B835" s="49" t="str">
        <f>IFNA(VLOOKUP($A835,Towns!$A$2:$F1000,MATCH($B$1,Towns!$A$1:$F$1,0),false))</f>
        <v/>
      </c>
    </row>
    <row r="836">
      <c r="A836" s="49"/>
      <c r="B836" s="49" t="str">
        <f>IFNA(VLOOKUP($A836,Towns!$A$2:$F1000,MATCH($B$1,Towns!$A$1:$F$1,0),false))</f>
        <v/>
      </c>
    </row>
    <row r="837">
      <c r="A837" s="49"/>
      <c r="B837" s="49" t="str">
        <f>IFNA(VLOOKUP($A837,Towns!$A$2:$F1000,MATCH($B$1,Towns!$A$1:$F$1,0),false))</f>
        <v/>
      </c>
    </row>
    <row r="838">
      <c r="A838" s="49"/>
      <c r="B838" s="49" t="str">
        <f>IFNA(VLOOKUP($A838,Towns!$A$2:$F1000,MATCH($B$1,Towns!$A$1:$F$1,0),false))</f>
        <v/>
      </c>
    </row>
    <row r="839">
      <c r="A839" s="49"/>
      <c r="B839" s="49" t="str">
        <f>IFNA(VLOOKUP($A839,Towns!$A$2:$F1000,MATCH($B$1,Towns!$A$1:$F$1,0),false))</f>
        <v/>
      </c>
    </row>
    <row r="840">
      <c r="A840" s="49"/>
      <c r="B840" s="49" t="str">
        <f>IFNA(VLOOKUP($A840,Towns!$A$2:$F1000,MATCH($B$1,Towns!$A$1:$F$1,0),false))</f>
        <v/>
      </c>
    </row>
    <row r="841">
      <c r="A841" s="49"/>
      <c r="B841" s="49" t="str">
        <f>IFNA(VLOOKUP($A841,Towns!$A$2:$F1000,MATCH($B$1,Towns!$A$1:$F$1,0),false))</f>
        <v/>
      </c>
    </row>
    <row r="842">
      <c r="A842" s="49"/>
      <c r="B842" s="49" t="str">
        <f>IFNA(VLOOKUP($A842,Towns!$A$2:$F1000,MATCH($B$1,Towns!$A$1:$F$1,0),false))</f>
        <v/>
      </c>
    </row>
    <row r="843">
      <c r="A843" s="49"/>
      <c r="B843" s="49" t="str">
        <f>IFNA(VLOOKUP($A843,Towns!$A$2:$F1000,MATCH($B$1,Towns!$A$1:$F$1,0),false))</f>
        <v/>
      </c>
    </row>
    <row r="844">
      <c r="A844" s="49"/>
      <c r="B844" s="49" t="str">
        <f>IFNA(VLOOKUP($A844,Towns!$A$2:$F1000,MATCH($B$1,Towns!$A$1:$F$1,0),false))</f>
        <v/>
      </c>
    </row>
    <row r="845">
      <c r="A845" s="49"/>
      <c r="B845" s="49" t="str">
        <f>IFNA(VLOOKUP($A845,Towns!$A$2:$F1000,MATCH($B$1,Towns!$A$1:$F$1,0),false))</f>
        <v/>
      </c>
    </row>
    <row r="846">
      <c r="A846" s="49"/>
      <c r="B846" s="49" t="str">
        <f>IFNA(VLOOKUP($A846,Towns!$A$2:$F1000,MATCH($B$1,Towns!$A$1:$F$1,0),false))</f>
        <v/>
      </c>
    </row>
    <row r="847">
      <c r="A847" s="49"/>
      <c r="B847" s="49" t="str">
        <f>IFNA(VLOOKUP($A847,Towns!$A$2:$F1000,MATCH($B$1,Towns!$A$1:$F$1,0),false))</f>
        <v/>
      </c>
    </row>
    <row r="848">
      <c r="A848" s="49"/>
      <c r="B848" s="49" t="str">
        <f>IFNA(VLOOKUP($A848,Towns!$A$2:$F1000,MATCH($B$1,Towns!$A$1:$F$1,0),false))</f>
        <v/>
      </c>
    </row>
    <row r="849">
      <c r="A849" s="49"/>
      <c r="B849" s="49" t="str">
        <f>IFNA(VLOOKUP($A849,Towns!$A$2:$F1000,MATCH($B$1,Towns!$A$1:$F$1,0),false))</f>
        <v/>
      </c>
    </row>
    <row r="850">
      <c r="A850" s="49"/>
      <c r="B850" s="49" t="str">
        <f>IFNA(VLOOKUP($A850,Towns!$A$2:$F1000,MATCH($B$1,Towns!$A$1:$F$1,0),false))</f>
        <v/>
      </c>
    </row>
    <row r="851">
      <c r="A851" s="49"/>
      <c r="B851" s="49" t="str">
        <f>IFNA(VLOOKUP($A851,Towns!$A$2:$F1000,MATCH($B$1,Towns!$A$1:$F$1,0),false))</f>
        <v/>
      </c>
    </row>
    <row r="852">
      <c r="A852" s="49"/>
      <c r="B852" s="49" t="str">
        <f>IFNA(VLOOKUP($A852,Towns!$A$2:$F1000,MATCH($B$1,Towns!$A$1:$F$1,0),false))</f>
        <v/>
      </c>
    </row>
    <row r="853">
      <c r="A853" s="49"/>
      <c r="B853" s="49" t="str">
        <f>IFNA(VLOOKUP($A853,Towns!$A$2:$F1000,MATCH($B$1,Towns!$A$1:$F$1,0),false))</f>
        <v/>
      </c>
    </row>
    <row r="854">
      <c r="A854" s="49"/>
      <c r="B854" s="49" t="str">
        <f>IFNA(VLOOKUP($A854,Towns!$A$2:$F1000,MATCH($B$1,Towns!$A$1:$F$1,0),false))</f>
        <v/>
      </c>
    </row>
    <row r="855">
      <c r="A855" s="49"/>
      <c r="B855" s="49" t="str">
        <f>IFNA(VLOOKUP($A855,Towns!$A$2:$F1000,MATCH($B$1,Towns!$A$1:$F$1,0),false))</f>
        <v/>
      </c>
    </row>
    <row r="856">
      <c r="A856" s="49"/>
      <c r="B856" s="49" t="str">
        <f>IFNA(VLOOKUP($A856,Towns!$A$2:$F1000,MATCH($B$1,Towns!$A$1:$F$1,0),false))</f>
        <v/>
      </c>
    </row>
    <row r="857">
      <c r="A857" s="49"/>
      <c r="B857" s="49" t="str">
        <f>IFNA(VLOOKUP($A857,Towns!$A$2:$F1000,MATCH($B$1,Towns!$A$1:$F$1,0),false))</f>
        <v/>
      </c>
    </row>
    <row r="858">
      <c r="A858" s="49"/>
      <c r="B858" s="49" t="str">
        <f>IFNA(VLOOKUP($A858,Towns!$A$2:$F1000,MATCH($B$1,Towns!$A$1:$F$1,0),false))</f>
        <v/>
      </c>
    </row>
    <row r="859">
      <c r="A859" s="49"/>
      <c r="B859" s="49" t="str">
        <f>IFNA(VLOOKUP($A859,Towns!$A$2:$F1000,MATCH($B$1,Towns!$A$1:$F$1,0),false))</f>
        <v/>
      </c>
    </row>
    <row r="860">
      <c r="A860" s="49"/>
      <c r="B860" s="49" t="str">
        <f>IFNA(VLOOKUP($A860,Towns!$A$2:$F1000,MATCH($B$1,Towns!$A$1:$F$1,0),false))</f>
        <v/>
      </c>
    </row>
    <row r="861">
      <c r="A861" s="49"/>
      <c r="B861" s="49" t="str">
        <f>IFNA(VLOOKUP($A861,Towns!$A$2:$F1000,MATCH($B$1,Towns!$A$1:$F$1,0),false))</f>
        <v/>
      </c>
    </row>
    <row r="862">
      <c r="A862" s="49"/>
      <c r="B862" s="49" t="str">
        <f>IFNA(VLOOKUP($A862,Towns!$A$2:$F1000,MATCH($B$1,Towns!$A$1:$F$1,0),false))</f>
        <v/>
      </c>
    </row>
    <row r="863">
      <c r="A863" s="49"/>
      <c r="B863" s="49" t="str">
        <f>IFNA(VLOOKUP($A863,Towns!$A$2:$F1000,MATCH($B$1,Towns!$A$1:$F$1,0),false))</f>
        <v/>
      </c>
    </row>
    <row r="864">
      <c r="A864" s="49"/>
      <c r="B864" s="49" t="str">
        <f>IFNA(VLOOKUP($A864,Towns!$A$2:$F1000,MATCH($B$1,Towns!$A$1:$F$1,0),false))</f>
        <v/>
      </c>
    </row>
    <row r="865">
      <c r="A865" s="49"/>
      <c r="B865" s="49" t="str">
        <f>IFNA(VLOOKUP($A865,Towns!$A$2:$F1000,MATCH($B$1,Towns!$A$1:$F$1,0),false))</f>
        <v/>
      </c>
    </row>
    <row r="866">
      <c r="A866" s="49"/>
      <c r="B866" s="49" t="str">
        <f>IFNA(VLOOKUP($A866,Towns!$A$2:$F1000,MATCH($B$1,Towns!$A$1:$F$1,0),false))</f>
        <v/>
      </c>
    </row>
    <row r="867">
      <c r="A867" s="49"/>
      <c r="B867" s="49" t="str">
        <f>IFNA(VLOOKUP($A867,Towns!$A$2:$F1000,MATCH($B$1,Towns!$A$1:$F$1,0),false))</f>
        <v/>
      </c>
    </row>
    <row r="868">
      <c r="A868" s="49"/>
      <c r="B868" s="49" t="str">
        <f>IFNA(VLOOKUP($A868,Towns!$A$2:$F1000,MATCH($B$1,Towns!$A$1:$F$1,0),false))</f>
        <v/>
      </c>
    </row>
    <row r="869">
      <c r="A869" s="49"/>
      <c r="B869" s="49" t="str">
        <f>IFNA(VLOOKUP($A869,Towns!$A$2:$F1000,MATCH($B$1,Towns!$A$1:$F$1,0),false))</f>
        <v/>
      </c>
    </row>
    <row r="870">
      <c r="A870" s="49"/>
      <c r="B870" s="49" t="str">
        <f>IFNA(VLOOKUP($A870,Towns!$A$2:$F1000,MATCH($B$1,Towns!$A$1:$F$1,0),false))</f>
        <v/>
      </c>
    </row>
    <row r="871">
      <c r="A871" s="49"/>
      <c r="B871" s="49" t="str">
        <f>IFNA(VLOOKUP($A871,Towns!$A$2:$F1000,MATCH($B$1,Towns!$A$1:$F$1,0),false))</f>
        <v/>
      </c>
    </row>
    <row r="872">
      <c r="A872" s="49"/>
      <c r="B872" s="49" t="str">
        <f>IFNA(VLOOKUP($A872,Towns!$A$2:$F1000,MATCH($B$1,Towns!$A$1:$F$1,0),false))</f>
        <v/>
      </c>
    </row>
    <row r="873">
      <c r="A873" s="49"/>
      <c r="B873" s="49" t="str">
        <f>IFNA(VLOOKUP($A873,Towns!$A$2:$F1000,MATCH($B$1,Towns!$A$1:$F$1,0),false))</f>
        <v/>
      </c>
    </row>
    <row r="874">
      <c r="A874" s="49"/>
      <c r="B874" s="49" t="str">
        <f>IFNA(VLOOKUP($A874,Towns!$A$2:$F1000,MATCH($B$1,Towns!$A$1:$F$1,0),false))</f>
        <v/>
      </c>
    </row>
    <row r="875">
      <c r="A875" s="49"/>
      <c r="B875" s="49" t="str">
        <f>IFNA(VLOOKUP($A875,Towns!$A$2:$F1000,MATCH($B$1,Towns!$A$1:$F$1,0),false))</f>
        <v/>
      </c>
    </row>
    <row r="876">
      <c r="A876" s="49"/>
      <c r="B876" s="49" t="str">
        <f>IFNA(VLOOKUP($A876,Towns!$A$2:$F1000,MATCH($B$1,Towns!$A$1:$F$1,0),false))</f>
        <v/>
      </c>
    </row>
    <row r="877">
      <c r="A877" s="49"/>
      <c r="B877" s="49" t="str">
        <f>IFNA(VLOOKUP($A877,Towns!$A$2:$F1000,MATCH($B$1,Towns!$A$1:$F$1,0),false))</f>
        <v/>
      </c>
    </row>
    <row r="878">
      <c r="A878" s="49"/>
      <c r="B878" s="49" t="str">
        <f>IFNA(VLOOKUP($A878,Towns!$A$2:$F1000,MATCH($B$1,Towns!$A$1:$F$1,0),false))</f>
        <v/>
      </c>
    </row>
    <row r="879">
      <c r="A879" s="49"/>
      <c r="B879" s="49" t="str">
        <f>IFNA(VLOOKUP($A879,Towns!$A$2:$F1000,MATCH($B$1,Towns!$A$1:$F$1,0),false))</f>
        <v/>
      </c>
    </row>
    <row r="880">
      <c r="A880" s="49"/>
      <c r="B880" s="49" t="str">
        <f>IFNA(VLOOKUP($A880,Towns!$A$2:$F1000,MATCH($B$1,Towns!$A$1:$F$1,0),false))</f>
        <v/>
      </c>
    </row>
    <row r="881">
      <c r="A881" s="49"/>
      <c r="B881" s="49" t="str">
        <f>IFNA(VLOOKUP($A881,Towns!$A$2:$F1000,MATCH($B$1,Towns!$A$1:$F$1,0),false))</f>
        <v/>
      </c>
    </row>
    <row r="882">
      <c r="A882" s="49"/>
      <c r="B882" s="49" t="str">
        <f>IFNA(VLOOKUP($A882,Towns!$A$2:$F1000,MATCH($B$1,Towns!$A$1:$F$1,0),false))</f>
        <v/>
      </c>
    </row>
    <row r="883">
      <c r="A883" s="49"/>
      <c r="B883" s="49" t="str">
        <f>IFNA(VLOOKUP($A883,Towns!$A$2:$F1000,MATCH($B$1,Towns!$A$1:$F$1,0),false))</f>
        <v/>
      </c>
    </row>
    <row r="884">
      <c r="A884" s="49"/>
      <c r="B884" s="49" t="str">
        <f>IFNA(VLOOKUP($A884,Towns!$A$2:$F1000,MATCH($B$1,Towns!$A$1:$F$1,0),false))</f>
        <v/>
      </c>
    </row>
    <row r="885">
      <c r="A885" s="49"/>
      <c r="B885" s="49" t="str">
        <f>IFNA(VLOOKUP($A885,Towns!$A$2:$F1000,MATCH($B$1,Towns!$A$1:$F$1,0),false))</f>
        <v/>
      </c>
    </row>
    <row r="886">
      <c r="A886" s="49"/>
      <c r="B886" s="49" t="str">
        <f>IFNA(VLOOKUP($A886,Towns!$A$2:$F1000,MATCH($B$1,Towns!$A$1:$F$1,0),false))</f>
        <v/>
      </c>
    </row>
    <row r="887">
      <c r="A887" s="49"/>
      <c r="B887" s="49" t="str">
        <f>IFNA(VLOOKUP($A887,Towns!$A$2:$F1000,MATCH($B$1,Towns!$A$1:$F$1,0),false))</f>
        <v/>
      </c>
    </row>
    <row r="888">
      <c r="A888" s="49"/>
      <c r="B888" s="49" t="str">
        <f>IFNA(VLOOKUP($A888,Towns!$A$2:$F1000,MATCH($B$1,Towns!$A$1:$F$1,0),false))</f>
        <v/>
      </c>
    </row>
    <row r="889">
      <c r="A889" s="49"/>
      <c r="B889" s="49" t="str">
        <f>IFNA(VLOOKUP($A889,Towns!$A$2:$F1000,MATCH($B$1,Towns!$A$1:$F$1,0),false))</f>
        <v/>
      </c>
    </row>
    <row r="890">
      <c r="A890" s="49"/>
      <c r="B890" s="49" t="str">
        <f>IFNA(VLOOKUP($A890,Towns!$A$2:$F1000,MATCH($B$1,Towns!$A$1:$F$1,0),false))</f>
        <v/>
      </c>
    </row>
    <row r="891">
      <c r="A891" s="49"/>
      <c r="B891" s="49" t="str">
        <f>IFNA(VLOOKUP($A891,Towns!$A$2:$F1000,MATCH($B$1,Towns!$A$1:$F$1,0),false))</f>
        <v/>
      </c>
    </row>
    <row r="892">
      <c r="A892" s="49"/>
      <c r="B892" s="49" t="str">
        <f>IFNA(VLOOKUP($A892,Towns!$A$2:$F1000,MATCH($B$1,Towns!$A$1:$F$1,0),false))</f>
        <v/>
      </c>
    </row>
    <row r="893">
      <c r="A893" s="49"/>
      <c r="B893" s="49" t="str">
        <f>IFNA(VLOOKUP($A893,Towns!$A$2:$F1000,MATCH($B$1,Towns!$A$1:$F$1,0),false))</f>
        <v/>
      </c>
    </row>
    <row r="894">
      <c r="A894" s="49"/>
      <c r="B894" s="49" t="str">
        <f>IFNA(VLOOKUP($A894,Towns!$A$2:$F1000,MATCH($B$1,Towns!$A$1:$F$1,0),false))</f>
        <v/>
      </c>
    </row>
    <row r="895">
      <c r="A895" s="49"/>
      <c r="B895" s="49" t="str">
        <f>IFNA(VLOOKUP($A895,Towns!$A$2:$F1000,MATCH($B$1,Towns!$A$1:$F$1,0),false))</f>
        <v/>
      </c>
    </row>
    <row r="896">
      <c r="A896" s="49"/>
      <c r="B896" s="49" t="str">
        <f>IFNA(VLOOKUP($A896,Towns!$A$2:$F1000,MATCH($B$1,Towns!$A$1:$F$1,0),false))</f>
        <v/>
      </c>
    </row>
    <row r="897">
      <c r="A897" s="49"/>
      <c r="B897" s="49" t="str">
        <f>IFNA(VLOOKUP($A897,Towns!$A$2:$F1000,MATCH($B$1,Towns!$A$1:$F$1,0),false))</f>
        <v/>
      </c>
    </row>
    <row r="898">
      <c r="A898" s="49"/>
      <c r="B898" s="49" t="str">
        <f>IFNA(VLOOKUP($A898,Towns!$A$2:$F1000,MATCH($B$1,Towns!$A$1:$F$1,0),false))</f>
        <v/>
      </c>
    </row>
    <row r="899">
      <c r="A899" s="49"/>
      <c r="B899" s="49" t="str">
        <f>IFNA(VLOOKUP($A899,Towns!$A$2:$F1000,MATCH($B$1,Towns!$A$1:$F$1,0),false))</f>
        <v/>
      </c>
    </row>
    <row r="900">
      <c r="A900" s="49"/>
      <c r="B900" s="49" t="str">
        <f>IFNA(VLOOKUP($A900,Towns!$A$2:$F1000,MATCH($B$1,Towns!$A$1:$F$1,0),false))</f>
        <v/>
      </c>
    </row>
    <row r="901">
      <c r="A901" s="49"/>
      <c r="B901" s="49" t="str">
        <f>IFNA(VLOOKUP($A901,Towns!$A$2:$F1000,MATCH($B$1,Towns!$A$1:$F$1,0),false))</f>
        <v/>
      </c>
    </row>
    <row r="902">
      <c r="A902" s="49"/>
      <c r="B902" s="49" t="str">
        <f>IFNA(VLOOKUP($A902,Towns!$A$2:$F1000,MATCH($B$1,Towns!$A$1:$F$1,0),false))</f>
        <v/>
      </c>
    </row>
    <row r="903">
      <c r="A903" s="49"/>
      <c r="B903" s="49" t="str">
        <f>IFNA(VLOOKUP($A903,Towns!$A$2:$F1000,MATCH($B$1,Towns!$A$1:$F$1,0),false))</f>
        <v/>
      </c>
    </row>
    <row r="904">
      <c r="A904" s="49"/>
      <c r="B904" s="49" t="str">
        <f>IFNA(VLOOKUP($A904,Towns!$A$2:$F1000,MATCH($B$1,Towns!$A$1:$F$1,0),false))</f>
        <v/>
      </c>
    </row>
    <row r="905">
      <c r="A905" s="49"/>
      <c r="B905" s="49" t="str">
        <f>IFNA(VLOOKUP($A905,Towns!$A$2:$F1000,MATCH($B$1,Towns!$A$1:$F$1,0),false))</f>
        <v/>
      </c>
    </row>
    <row r="906">
      <c r="A906" s="49"/>
      <c r="B906" s="49" t="str">
        <f>IFNA(VLOOKUP($A906,Towns!$A$2:$F1000,MATCH($B$1,Towns!$A$1:$F$1,0),false))</f>
        <v/>
      </c>
    </row>
    <row r="907">
      <c r="A907" s="49"/>
      <c r="B907" s="49" t="str">
        <f>IFNA(VLOOKUP($A907,Towns!$A$2:$F1000,MATCH($B$1,Towns!$A$1:$F$1,0),false))</f>
        <v/>
      </c>
    </row>
    <row r="908">
      <c r="A908" s="49"/>
      <c r="B908" s="49" t="str">
        <f>IFNA(VLOOKUP($A908,Towns!$A$2:$F1000,MATCH($B$1,Towns!$A$1:$F$1,0),false))</f>
        <v/>
      </c>
    </row>
    <row r="909">
      <c r="A909" s="49"/>
      <c r="B909" s="49" t="str">
        <f>IFNA(VLOOKUP($A909,Towns!$A$2:$F1000,MATCH($B$1,Towns!$A$1:$F$1,0),false))</f>
        <v/>
      </c>
    </row>
    <row r="910">
      <c r="A910" s="49"/>
      <c r="B910" s="49" t="str">
        <f>IFNA(VLOOKUP($A910,Towns!$A$2:$F1000,MATCH($B$1,Towns!$A$1:$F$1,0),false))</f>
        <v/>
      </c>
    </row>
    <row r="911">
      <c r="A911" s="49"/>
      <c r="B911" s="49" t="str">
        <f>IFNA(VLOOKUP($A911,Towns!$A$2:$F1000,MATCH($B$1,Towns!$A$1:$F$1,0),false))</f>
        <v/>
      </c>
    </row>
    <row r="912">
      <c r="A912" s="49"/>
      <c r="B912" s="49" t="str">
        <f>IFNA(VLOOKUP($A912,Towns!$A$2:$F1000,MATCH($B$1,Towns!$A$1:$F$1,0),false))</f>
        <v/>
      </c>
    </row>
    <row r="913">
      <c r="A913" s="49"/>
      <c r="B913" s="49" t="str">
        <f>IFNA(VLOOKUP($A913,Towns!$A$2:$F1000,MATCH($B$1,Towns!$A$1:$F$1,0),false))</f>
        <v/>
      </c>
    </row>
    <row r="914">
      <c r="A914" s="49"/>
      <c r="B914" s="49" t="str">
        <f>IFNA(VLOOKUP($A914,Towns!$A$2:$F1000,MATCH($B$1,Towns!$A$1:$F$1,0),false))</f>
        <v/>
      </c>
    </row>
    <row r="915">
      <c r="A915" s="49"/>
      <c r="B915" s="49" t="str">
        <f>IFNA(VLOOKUP($A915,Towns!$A$2:$F1000,MATCH($B$1,Towns!$A$1:$F$1,0),false))</f>
        <v/>
      </c>
    </row>
    <row r="916">
      <c r="A916" s="49"/>
      <c r="B916" s="49" t="str">
        <f>IFNA(VLOOKUP($A916,Towns!$A$2:$F1000,MATCH($B$1,Towns!$A$1:$F$1,0),false))</f>
        <v/>
      </c>
    </row>
    <row r="917">
      <c r="A917" s="49"/>
      <c r="B917" s="49" t="str">
        <f>IFNA(VLOOKUP($A917,Towns!$A$2:$F1000,MATCH($B$1,Towns!$A$1:$F$1,0),false))</f>
        <v/>
      </c>
    </row>
    <row r="918">
      <c r="A918" s="49"/>
      <c r="B918" s="49" t="str">
        <f>IFNA(VLOOKUP($A918,Towns!$A$2:$F1000,MATCH($B$1,Towns!$A$1:$F$1,0),false))</f>
        <v/>
      </c>
    </row>
    <row r="919">
      <c r="A919" s="49"/>
      <c r="B919" s="49" t="str">
        <f>IFNA(VLOOKUP($A919,Towns!$A$2:$F1000,MATCH($B$1,Towns!$A$1:$F$1,0),false))</f>
        <v/>
      </c>
    </row>
    <row r="920">
      <c r="A920" s="49"/>
      <c r="B920" s="49" t="str">
        <f>IFNA(VLOOKUP($A920,Towns!$A$2:$F1000,MATCH($B$1,Towns!$A$1:$F$1,0),false))</f>
        <v/>
      </c>
    </row>
    <row r="921">
      <c r="A921" s="49"/>
      <c r="B921" s="49" t="str">
        <f>IFNA(VLOOKUP($A921,Towns!$A$2:$F1000,MATCH($B$1,Towns!$A$1:$F$1,0),false))</f>
        <v/>
      </c>
    </row>
    <row r="922">
      <c r="A922" s="49"/>
      <c r="B922" s="49" t="str">
        <f>IFNA(VLOOKUP($A922,Towns!$A$2:$F1000,MATCH($B$1,Towns!$A$1:$F$1,0),false))</f>
        <v/>
      </c>
    </row>
    <row r="923">
      <c r="A923" s="49"/>
      <c r="B923" s="49" t="str">
        <f>IFNA(VLOOKUP($A923,Towns!$A$2:$F1000,MATCH($B$1,Towns!$A$1:$F$1,0),false))</f>
        <v/>
      </c>
    </row>
    <row r="924">
      <c r="A924" s="49"/>
      <c r="B924" s="49" t="str">
        <f>IFNA(VLOOKUP($A924,Towns!$A$2:$F1000,MATCH($B$1,Towns!$A$1:$F$1,0),false))</f>
        <v/>
      </c>
    </row>
    <row r="925">
      <c r="A925" s="49"/>
      <c r="B925" s="49" t="str">
        <f>IFNA(VLOOKUP($A925,Towns!$A$2:$F1000,MATCH($B$1,Towns!$A$1:$F$1,0),false))</f>
        <v/>
      </c>
    </row>
    <row r="926">
      <c r="A926" s="49"/>
      <c r="B926" s="49" t="str">
        <f>IFNA(VLOOKUP($A926,Towns!$A$2:$F1000,MATCH($B$1,Towns!$A$1:$F$1,0),false))</f>
        <v/>
      </c>
    </row>
    <row r="927">
      <c r="A927" s="49"/>
      <c r="B927" s="49" t="str">
        <f>IFNA(VLOOKUP($A927,Towns!$A$2:$F1000,MATCH($B$1,Towns!$A$1:$F$1,0),false))</f>
        <v/>
      </c>
    </row>
    <row r="928">
      <c r="A928" s="49"/>
      <c r="B928" s="49" t="str">
        <f>IFNA(VLOOKUP($A928,Towns!$A$2:$F1000,MATCH($B$1,Towns!$A$1:$F$1,0),false))</f>
        <v/>
      </c>
    </row>
    <row r="929">
      <c r="A929" s="49"/>
      <c r="B929" s="49" t="str">
        <f>IFNA(VLOOKUP($A929,Towns!$A$2:$F1000,MATCH($B$1,Towns!$A$1:$F$1,0),false))</f>
        <v/>
      </c>
    </row>
    <row r="930">
      <c r="A930" s="49"/>
      <c r="B930" s="49" t="str">
        <f>IFNA(VLOOKUP($A930,Towns!$A$2:$F1000,MATCH($B$1,Towns!$A$1:$F$1,0),false))</f>
        <v/>
      </c>
    </row>
    <row r="931">
      <c r="A931" s="49"/>
      <c r="B931" s="49" t="str">
        <f>IFNA(VLOOKUP($A931,Towns!$A$2:$F1000,MATCH($B$1,Towns!$A$1:$F$1,0),false))</f>
        <v/>
      </c>
    </row>
    <row r="932">
      <c r="A932" s="49"/>
      <c r="B932" s="49" t="str">
        <f>IFNA(VLOOKUP($A932,Towns!$A$2:$F1000,MATCH($B$1,Towns!$A$1:$F$1,0),false))</f>
        <v/>
      </c>
    </row>
    <row r="933">
      <c r="A933" s="49"/>
      <c r="B933" s="49" t="str">
        <f>IFNA(VLOOKUP($A933,Towns!$A$2:$F1000,MATCH($B$1,Towns!$A$1:$F$1,0),false))</f>
        <v/>
      </c>
    </row>
    <row r="934">
      <c r="A934" s="49"/>
      <c r="B934" s="49" t="str">
        <f>IFNA(VLOOKUP($A934,Towns!$A$2:$F1000,MATCH($B$1,Towns!$A$1:$F$1,0),false))</f>
        <v/>
      </c>
    </row>
    <row r="935">
      <c r="A935" s="49"/>
      <c r="B935" s="49" t="str">
        <f>IFNA(VLOOKUP($A935,Towns!$A$2:$F1000,MATCH($B$1,Towns!$A$1:$F$1,0),false))</f>
        <v/>
      </c>
    </row>
    <row r="936">
      <c r="A936" s="49"/>
      <c r="B936" s="49" t="str">
        <f>IFNA(VLOOKUP($A936,Towns!$A$2:$F1000,MATCH($B$1,Towns!$A$1:$F$1,0),false))</f>
        <v/>
      </c>
    </row>
    <row r="937">
      <c r="A937" s="49"/>
      <c r="B937" s="49" t="str">
        <f>IFNA(VLOOKUP($A937,Towns!$A$2:$F1000,MATCH($B$1,Towns!$A$1:$F$1,0),false))</f>
        <v/>
      </c>
    </row>
    <row r="938">
      <c r="A938" s="49"/>
      <c r="B938" s="49" t="str">
        <f>IFNA(VLOOKUP($A938,Towns!$A$2:$F1000,MATCH($B$1,Towns!$A$1:$F$1,0),false))</f>
        <v/>
      </c>
    </row>
    <row r="939">
      <c r="A939" s="49"/>
      <c r="B939" s="49" t="str">
        <f>IFNA(VLOOKUP($A939,Towns!$A$2:$F1000,MATCH($B$1,Towns!$A$1:$F$1,0),false))</f>
        <v/>
      </c>
    </row>
    <row r="940">
      <c r="A940" s="49"/>
      <c r="B940" s="49" t="str">
        <f>IFNA(VLOOKUP($A940,Towns!$A$2:$F1000,MATCH($B$1,Towns!$A$1:$F$1,0),false))</f>
        <v/>
      </c>
    </row>
    <row r="941">
      <c r="A941" s="49"/>
      <c r="B941" s="49" t="str">
        <f>IFNA(VLOOKUP($A941,Towns!$A$2:$F1000,MATCH($B$1,Towns!$A$1:$F$1,0),false))</f>
        <v/>
      </c>
    </row>
    <row r="942">
      <c r="A942" s="49"/>
      <c r="B942" s="49" t="str">
        <f>IFNA(VLOOKUP($A942,Towns!$A$2:$F1000,MATCH($B$1,Towns!$A$1:$F$1,0),false))</f>
        <v/>
      </c>
    </row>
    <row r="943">
      <c r="A943" s="49"/>
      <c r="B943" s="49" t="str">
        <f>IFNA(VLOOKUP($A943,Towns!$A$2:$F1000,MATCH($B$1,Towns!$A$1:$F$1,0),false))</f>
        <v/>
      </c>
    </row>
    <row r="944">
      <c r="A944" s="49"/>
      <c r="B944" s="49" t="str">
        <f>IFNA(VLOOKUP($A944,Towns!$A$2:$F1000,MATCH($B$1,Towns!$A$1:$F$1,0),false))</f>
        <v/>
      </c>
    </row>
    <row r="945">
      <c r="A945" s="49"/>
      <c r="B945" s="49" t="str">
        <f>IFNA(VLOOKUP($A945,Towns!$A$2:$F1000,MATCH($B$1,Towns!$A$1:$F$1,0),false))</f>
        <v/>
      </c>
    </row>
    <row r="946">
      <c r="A946" s="49"/>
      <c r="B946" s="49" t="str">
        <f>IFNA(VLOOKUP($A946,Towns!$A$2:$F1000,MATCH($B$1,Towns!$A$1:$F$1,0),false))</f>
        <v/>
      </c>
    </row>
    <row r="947">
      <c r="A947" s="49"/>
      <c r="B947" s="49" t="str">
        <f>IFNA(VLOOKUP($A947,Towns!$A$2:$F1000,MATCH($B$1,Towns!$A$1:$F$1,0),false))</f>
        <v/>
      </c>
    </row>
    <row r="948">
      <c r="A948" s="49"/>
      <c r="B948" s="49" t="str">
        <f>IFNA(VLOOKUP($A948,Towns!$A$2:$F1000,MATCH($B$1,Towns!$A$1:$F$1,0),false))</f>
        <v/>
      </c>
    </row>
    <row r="949">
      <c r="A949" s="49"/>
      <c r="B949" s="49" t="str">
        <f>IFNA(VLOOKUP($A949,Towns!$A$2:$F1000,MATCH($B$1,Towns!$A$1:$F$1,0),false))</f>
        <v/>
      </c>
    </row>
    <row r="950">
      <c r="A950" s="49"/>
      <c r="B950" s="49" t="str">
        <f>IFNA(VLOOKUP($A950,Towns!$A$2:$F1000,MATCH($B$1,Towns!$A$1:$F$1,0),false))</f>
        <v/>
      </c>
    </row>
    <row r="951">
      <c r="A951" s="49"/>
      <c r="B951" s="49" t="str">
        <f>IFNA(VLOOKUP($A951,Towns!$A$2:$F1000,MATCH($B$1,Towns!$A$1:$F$1,0),false))</f>
        <v/>
      </c>
    </row>
    <row r="952">
      <c r="A952" s="49"/>
      <c r="B952" s="49" t="str">
        <f>IFNA(VLOOKUP($A952,Towns!$A$2:$F1000,MATCH($B$1,Towns!$A$1:$F$1,0),false))</f>
        <v/>
      </c>
    </row>
    <row r="953">
      <c r="A953" s="49"/>
      <c r="B953" s="49" t="str">
        <f>IFNA(VLOOKUP($A953,Towns!$A$2:$F1000,MATCH($B$1,Towns!$A$1:$F$1,0),false))</f>
        <v/>
      </c>
    </row>
    <row r="954">
      <c r="A954" s="49"/>
      <c r="B954" s="49" t="str">
        <f>IFNA(VLOOKUP($A954,Towns!$A$2:$F1000,MATCH($B$1,Towns!$A$1:$F$1,0),false))</f>
        <v/>
      </c>
    </row>
    <row r="955">
      <c r="A955" s="49"/>
      <c r="B955" s="49" t="str">
        <f>IFNA(VLOOKUP($A955,Towns!$A$2:$F1000,MATCH($B$1,Towns!$A$1:$F$1,0),false))</f>
        <v/>
      </c>
    </row>
    <row r="956">
      <c r="A956" s="49"/>
      <c r="B956" s="49" t="str">
        <f>IFNA(VLOOKUP($A956,Towns!$A$2:$F1000,MATCH($B$1,Towns!$A$1:$F$1,0),false))</f>
        <v/>
      </c>
    </row>
    <row r="957">
      <c r="A957" s="49"/>
      <c r="B957" s="49" t="str">
        <f>IFNA(VLOOKUP($A957,Towns!$A$2:$F1000,MATCH($B$1,Towns!$A$1:$F$1,0),false))</f>
        <v/>
      </c>
    </row>
    <row r="958">
      <c r="A958" s="49"/>
      <c r="B958" s="49" t="str">
        <f>IFNA(VLOOKUP($A958,Towns!$A$2:$F1000,MATCH($B$1,Towns!$A$1:$F$1,0),false))</f>
        <v/>
      </c>
    </row>
    <row r="959">
      <c r="A959" s="49"/>
      <c r="B959" s="49" t="str">
        <f>IFNA(VLOOKUP($A959,Towns!$A$2:$F1000,MATCH($B$1,Towns!$A$1:$F$1,0),false))</f>
        <v/>
      </c>
    </row>
    <row r="960">
      <c r="A960" s="49"/>
      <c r="B960" s="49" t="str">
        <f>IFNA(VLOOKUP($A960,Towns!$A$2:$F1000,MATCH($B$1,Towns!$A$1:$F$1,0),false))</f>
        <v/>
      </c>
    </row>
    <row r="961">
      <c r="A961" s="49"/>
      <c r="B961" s="49" t="str">
        <f>IFNA(VLOOKUP($A961,Towns!$A$2:$F1000,MATCH($B$1,Towns!$A$1:$F$1,0),false))</f>
        <v/>
      </c>
    </row>
    <row r="962">
      <c r="A962" s="49"/>
      <c r="B962" s="49" t="str">
        <f>IFNA(VLOOKUP($A962,Towns!$A$2:$F1000,MATCH($B$1,Towns!$A$1:$F$1,0),false))</f>
        <v/>
      </c>
    </row>
    <row r="963">
      <c r="A963" s="49"/>
      <c r="B963" s="49" t="str">
        <f>IFNA(VLOOKUP($A963,Towns!$A$2:$F1000,MATCH($B$1,Towns!$A$1:$F$1,0),false))</f>
        <v/>
      </c>
    </row>
    <row r="964">
      <c r="A964" s="49"/>
      <c r="B964" s="49" t="str">
        <f>IFNA(VLOOKUP($A964,Towns!$A$2:$F1000,MATCH($B$1,Towns!$A$1:$F$1,0),false))</f>
        <v/>
      </c>
    </row>
    <row r="965">
      <c r="A965" s="49"/>
      <c r="B965" s="49" t="str">
        <f>IFNA(VLOOKUP($A965,Towns!$A$2:$F1000,MATCH($B$1,Towns!$A$1:$F$1,0),false))</f>
        <v/>
      </c>
    </row>
    <row r="966">
      <c r="A966" s="49"/>
      <c r="B966" s="49" t="str">
        <f>IFNA(VLOOKUP($A966,Towns!$A$2:$F1000,MATCH($B$1,Towns!$A$1:$F$1,0),false))</f>
        <v/>
      </c>
    </row>
    <row r="967">
      <c r="A967" s="49"/>
      <c r="B967" s="49" t="str">
        <f>IFNA(VLOOKUP($A967,Towns!$A$2:$F1000,MATCH($B$1,Towns!$A$1:$F$1,0),false))</f>
        <v/>
      </c>
    </row>
    <row r="968">
      <c r="A968" s="49"/>
      <c r="B968" s="49" t="str">
        <f>IFNA(VLOOKUP($A968,Towns!$A$2:$F1000,MATCH($B$1,Towns!$A$1:$F$1,0),false))</f>
        <v/>
      </c>
    </row>
    <row r="969">
      <c r="A969" s="49"/>
      <c r="B969" s="49" t="str">
        <f>IFNA(VLOOKUP($A969,Towns!$A$2:$F1000,MATCH($B$1,Towns!$A$1:$F$1,0),false))</f>
        <v/>
      </c>
    </row>
    <row r="970">
      <c r="A970" s="49"/>
      <c r="B970" s="49" t="str">
        <f>IFNA(VLOOKUP($A970,Towns!$A$2:$F1000,MATCH($B$1,Towns!$A$1:$F$1,0),false))</f>
        <v/>
      </c>
    </row>
    <row r="971">
      <c r="A971" s="49"/>
      <c r="B971" s="49" t="str">
        <f>IFNA(VLOOKUP($A971,Towns!$A$2:$F1000,MATCH($B$1,Towns!$A$1:$F$1,0),false))</f>
        <v/>
      </c>
    </row>
    <row r="972">
      <c r="A972" s="49"/>
      <c r="B972" s="49" t="str">
        <f>IFNA(VLOOKUP($A972,Towns!$A$2:$F1000,MATCH($B$1,Towns!$A$1:$F$1,0),false))</f>
        <v/>
      </c>
    </row>
    <row r="973">
      <c r="A973" s="49"/>
      <c r="B973" s="49" t="str">
        <f>IFNA(VLOOKUP($A973,Towns!$A$2:$F1000,MATCH($B$1,Towns!$A$1:$F$1,0),false))</f>
        <v/>
      </c>
    </row>
    <row r="974">
      <c r="A974" s="49"/>
      <c r="B974" s="49" t="str">
        <f>IFNA(VLOOKUP($A974,Towns!$A$2:$F1000,MATCH($B$1,Towns!$A$1:$F$1,0),false))</f>
        <v/>
      </c>
    </row>
    <row r="975">
      <c r="A975" s="49"/>
      <c r="B975" s="49" t="str">
        <f>IFNA(VLOOKUP($A975,Towns!$A$2:$F1000,MATCH($B$1,Towns!$A$1:$F$1,0),false))</f>
        <v/>
      </c>
    </row>
    <row r="976">
      <c r="A976" s="49"/>
      <c r="B976" s="49" t="str">
        <f>IFNA(VLOOKUP($A976,Towns!$A$2:$F1000,MATCH($B$1,Towns!$A$1:$F$1,0),false))</f>
        <v/>
      </c>
    </row>
    <row r="977">
      <c r="A977" s="49"/>
      <c r="B977" s="49" t="str">
        <f>IFNA(VLOOKUP($A977,Towns!$A$2:$F1000,MATCH($B$1,Towns!$A$1:$F$1,0),false))</f>
        <v/>
      </c>
    </row>
    <row r="978">
      <c r="A978" s="49"/>
      <c r="B978" s="49" t="str">
        <f>IFNA(VLOOKUP($A978,Towns!$A$2:$F1000,MATCH($B$1,Towns!$A$1:$F$1,0),false))</f>
        <v/>
      </c>
    </row>
    <row r="979">
      <c r="A979" s="49"/>
      <c r="B979" s="49" t="str">
        <f>IFNA(VLOOKUP($A979,Towns!$A$2:$F1000,MATCH($B$1,Towns!$A$1:$F$1,0),false))</f>
        <v/>
      </c>
    </row>
    <row r="980">
      <c r="A980" s="49"/>
      <c r="B980" s="49" t="str">
        <f>IFNA(VLOOKUP($A980,Towns!$A$2:$F1000,MATCH($B$1,Towns!$A$1:$F$1,0),false))</f>
        <v/>
      </c>
    </row>
    <row r="981">
      <c r="A981" s="49"/>
      <c r="B981" s="49" t="str">
        <f>IFNA(VLOOKUP($A981,Towns!$A$2:$F1000,MATCH($B$1,Towns!$A$1:$F$1,0),false))</f>
        <v/>
      </c>
    </row>
    <row r="982">
      <c r="A982" s="49"/>
      <c r="B982" s="49" t="str">
        <f>IFNA(VLOOKUP($A982,Towns!$A$2:$F1000,MATCH($B$1,Towns!$A$1:$F$1,0),false))</f>
        <v/>
      </c>
    </row>
    <row r="983">
      <c r="A983" s="49"/>
      <c r="B983" s="49" t="str">
        <f>IFNA(VLOOKUP($A983,Towns!$A$2:$F1000,MATCH($B$1,Towns!$A$1:$F$1,0),false))</f>
        <v/>
      </c>
    </row>
    <row r="984">
      <c r="A984" s="49"/>
      <c r="B984" s="49" t="str">
        <f>IFNA(VLOOKUP($A984,Towns!$A$2:$F1000,MATCH($B$1,Towns!$A$1:$F$1,0),false))</f>
        <v/>
      </c>
    </row>
    <row r="985">
      <c r="A985" s="49"/>
      <c r="B985" s="49" t="str">
        <f>IFNA(VLOOKUP($A985,Towns!$A$2:$F1000,MATCH($B$1,Towns!$A$1:$F$1,0),false))</f>
        <v/>
      </c>
    </row>
    <row r="986">
      <c r="A986" s="49"/>
      <c r="B986" s="49" t="str">
        <f>IFNA(VLOOKUP($A986,Towns!$A$2:$F1000,MATCH($B$1,Towns!$A$1:$F$1,0),false))</f>
        <v/>
      </c>
    </row>
    <row r="987">
      <c r="A987" s="49"/>
      <c r="B987" s="49" t="str">
        <f>IFNA(VLOOKUP($A987,Towns!$A$2:$F1000,MATCH($B$1,Towns!$A$1:$F$1,0),false))</f>
        <v/>
      </c>
    </row>
    <row r="988">
      <c r="A988" s="49"/>
      <c r="B988" s="49" t="str">
        <f>IFNA(VLOOKUP($A988,Towns!$A$2:$F1000,MATCH($B$1,Towns!$A$1:$F$1,0),false))</f>
        <v/>
      </c>
    </row>
    <row r="989">
      <c r="A989" s="49"/>
      <c r="B989" s="49" t="str">
        <f>IFNA(VLOOKUP($A989,Towns!$A$2:$F1000,MATCH($B$1,Towns!$A$1:$F$1,0),false))</f>
        <v/>
      </c>
    </row>
    <row r="990">
      <c r="A990" s="49"/>
      <c r="B990" s="49" t="str">
        <f>IFNA(VLOOKUP($A990,Towns!$A$2:$F1000,MATCH($B$1,Towns!$A$1:$F$1,0),false))</f>
        <v/>
      </c>
    </row>
    <row r="991">
      <c r="A991" s="49"/>
      <c r="B991" s="49" t="str">
        <f>IFNA(VLOOKUP($A991,Towns!$A$2:$F1000,MATCH($B$1,Towns!$A$1:$F$1,0),false))</f>
        <v/>
      </c>
    </row>
    <row r="992">
      <c r="A992" s="49"/>
      <c r="B992" s="49" t="str">
        <f>IFNA(VLOOKUP($A992,Towns!$A$2:$F1000,MATCH($B$1,Towns!$A$1:$F$1,0),false))</f>
        <v/>
      </c>
    </row>
    <row r="993">
      <c r="A993" s="49"/>
      <c r="B993" s="49" t="str">
        <f>IFNA(VLOOKUP($A993,Towns!$A$2:$F1000,MATCH($B$1,Towns!$A$1:$F$1,0),false))</f>
        <v/>
      </c>
    </row>
    <row r="994">
      <c r="A994" s="49"/>
      <c r="B994" s="49" t="str">
        <f>IFNA(VLOOKUP($A994,Towns!$A$2:$F1000,MATCH($B$1,Towns!$A$1:$F$1,0),false))</f>
        <v/>
      </c>
    </row>
    <row r="995">
      <c r="A995" s="49"/>
      <c r="B995" s="49" t="str">
        <f>IFNA(VLOOKUP($A995,Towns!$A$2:$F1000,MATCH($B$1,Towns!$A$1:$F$1,0),false))</f>
        <v/>
      </c>
    </row>
    <row r="996">
      <c r="A996" s="49"/>
      <c r="B996" s="49" t="str">
        <f>IFNA(VLOOKUP($A996,Towns!$A$2:$F1000,MATCH($B$1,Towns!$A$1:$F$1,0),false))</f>
        <v/>
      </c>
    </row>
    <row r="997">
      <c r="A997" s="49"/>
      <c r="B997" s="49" t="str">
        <f>IFNA(VLOOKUP($A997,Towns!$A$2:$F1000,MATCH($B$1,Towns!$A$1:$F$1,0),false))</f>
        <v/>
      </c>
    </row>
    <row r="998">
      <c r="A998" s="49"/>
      <c r="B998" s="49" t="str">
        <f>IFNA(VLOOKUP($A998,Towns!$A$2:$F1000,MATCH($B$1,Towns!$A$1:$F$1,0),false))</f>
        <v/>
      </c>
    </row>
    <row r="999">
      <c r="A999" s="49"/>
      <c r="B999" s="49" t="str">
        <f>IFNA(VLOOKUP($A999,Towns!$A$2:$F1000,MATCH($B$1,Towns!$A$1:$F$1,0),false))</f>
        <v/>
      </c>
    </row>
    <row r="1000">
      <c r="A1000" s="49"/>
      <c r="B1000" s="49" t="str">
        <f>IFNA(VLOOKUP($A1000,Towns!$A$2:$F1000,MATCH($B$1,Towns!$A$1:$F$1,0),false))</f>
        <v/>
      </c>
    </row>
  </sheetData>
  <dataValidations>
    <dataValidation type="list" allowBlank="1" showErrorMessage="1" sqref="A2:A1000">
      <formula1>Towns!$A$2:$A1000</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248</v>
      </c>
      <c r="B1" s="19" t="s">
        <v>249</v>
      </c>
    </row>
    <row r="2">
      <c r="A2" s="19" t="s">
        <v>250</v>
      </c>
      <c r="B2" s="19" t="s">
        <v>251</v>
      </c>
    </row>
    <row r="3">
      <c r="A3" s="19" t="s">
        <v>252</v>
      </c>
      <c r="B3" s="19" t="s">
        <v>253</v>
      </c>
    </row>
    <row r="4">
      <c r="A4" s="19" t="s">
        <v>254</v>
      </c>
      <c r="B4" s="19" t="s">
        <v>255</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9" t="s">
        <v>256</v>
      </c>
      <c r="B1" s="49" t="s">
        <v>174</v>
      </c>
      <c r="C1" s="49" t="s">
        <v>257</v>
      </c>
    </row>
    <row r="2">
      <c r="A2" s="49" t="str">
        <f>IFERROR(__xludf.DUMMYFUNCTION("IFNA(QUERY(GuildMembers!$A$2:$D1000,""Select A,C,D where B = '""""""&amp;Leveler!$F$5&amp;""""""'""))"),"")</f>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9" t="str">
        <f>IFERROR(__xludf.DUMMYFUNCTION("IMPORTRANGE(""https://docs.google.com/spreadsheets/d/""&amp;Config!B1,""Quest_Tracker!A:E"")"),"Quest name")</f>
        <v>Quest name</v>
      </c>
      <c r="B1" s="49" t="str">
        <f>IFERROR(__xludf.DUMMYFUNCTION("""COMPUTED_VALUE"""),"Quest description")</f>
        <v>Quest description</v>
      </c>
      <c r="C1" s="49" t="str">
        <f>IFERROR(__xludf.DUMMYFUNCTION("""COMPUTED_VALUE"""),"Quest Type")</f>
        <v>Quest Type</v>
      </c>
      <c r="D1" s="49" t="str">
        <f>IFERROR(__xludf.DUMMYFUNCTION("""COMPUTED_VALUE"""),"Location")</f>
        <v>Location</v>
      </c>
      <c r="E1" s="49" t="str">
        <f>IFERROR(__xludf.DUMMYFUNCTION("""COMPUTED_VALUE"""),"Value")</f>
        <v>Value</v>
      </c>
    </row>
    <row r="2">
      <c r="A2" s="49" t="str">
        <f>IFERROR(__xludf.DUMMYFUNCTION("""COMPUTED_VALUE"""),"The Doll Collector")</f>
        <v>The Doll Collector</v>
      </c>
      <c r="B2" s="49" t="str">
        <f>IFERROR(__xludf.DUMMYFUNCTION("""COMPUTED_VALUE"""),"A doll collector wants the party to go collect a special doll from Mekana. Go get the doll from Mekana. Upon leaving Mekana, it comes to life and attacks the party. Upon returning  to the collector's shop, it will be empty, with no trace of the collector."&amp;"..")</f>
        <v>A doll collector wants the party to go collect a special doll from Mekana. Go get the doll from Mekana. Upon leaving Mekana, it comes to life and attacks the party. Upon returning  to the collector's shop, it will be empty, with no trace of the collector...</v>
      </c>
      <c r="C2" s="49" t="str">
        <f>IFERROR(__xludf.DUMMYFUNCTION("""COMPUTED_VALUE"""),"Side")</f>
        <v>Side</v>
      </c>
      <c r="D2" s="49" t="str">
        <f>IFERROR(__xludf.DUMMYFUNCTION("""COMPUTED_VALUE"""),"Land of Spira")</f>
        <v>Land of Spira</v>
      </c>
      <c r="E2" s="49">
        <f>IFERROR(__xludf.DUMMYFUNCTION("""COMPUTED_VALUE"""),0.0)</f>
        <v>0</v>
      </c>
    </row>
    <row r="3">
      <c r="A3" s="49" t="str">
        <f>IFERROR(__xludf.DUMMYFUNCTION("""COMPUTED_VALUE"""),"The Case of the Missing Guard")</f>
        <v>The Case of the Missing Guard</v>
      </c>
      <c r="B3" s="49" t="str">
        <f>IFERROR(__xludf.DUMMYFUNCTION("""COMPUTED_VALUE"""),"A guard has gone missing, and hasn't been heard from for weeks. He was last seen at the Church. The party must investigate his disappearance. Turns out he was taken to Swampville by cult members. The party goes to rescue him... only to blow his cover, as "&amp;"he was attempting to infiltrate the cult. A battle ensues and the party manages to get the guard back home")</f>
        <v>A guard has gone missing, and hasn't been heard from for weeks. He was last seen at the Church. The party must investigate his disappearance. Turns out he was taken to Swampville by cult members. The party goes to rescue him... only to blow his cover, as he was attempting to infiltrate the cult. A battle ensues and the party manages to get the guard back home</v>
      </c>
      <c r="C3" s="49" t="str">
        <f>IFERROR(__xludf.DUMMYFUNCTION("""COMPUTED_VALUE"""),"Side")</f>
        <v>Side</v>
      </c>
      <c r="D3" s="49" t="str">
        <f>IFERROR(__xludf.DUMMYFUNCTION("""COMPUTED_VALUE"""),"Land of Spira")</f>
        <v>Land of Spira</v>
      </c>
      <c r="E3" s="49">
        <f>IFERROR(__xludf.DUMMYFUNCTION("""COMPUTED_VALUE"""),0.0)</f>
        <v>0</v>
      </c>
    </row>
    <row r="4">
      <c r="A4" s="49" t="str">
        <f>IFERROR(__xludf.DUMMYFUNCTION("""COMPUTED_VALUE"""),"The Lost Oasis of 3 Kings")</f>
        <v>The Lost Oasis of 3 Kings</v>
      </c>
      <c r="B4" s="49" t="str">
        <f>IFERROR(__xludf.DUMMYFUNCTION("""COMPUTED_VALUE"""),"Find the 3 missing map pieces to the map of the Lost Oasis. Each piece will be located in 3 different areas. The Red Sands, Desert Island, and Dryland Desert. Recover each piece, put the map together, and locate the Lost Oasis where your reward will be wa"&amp;"iting.")</f>
        <v>Find the 3 missing map pieces to the map of the Lost Oasis. Each piece will be located in 3 different areas. The Red Sands, Desert Island, and Dryland Desert. Recover each piece, put the map together, and locate the Lost Oasis where your reward will be waiting.</v>
      </c>
      <c r="C4" s="49" t="str">
        <f>IFERROR(__xludf.DUMMYFUNCTION("""COMPUTED_VALUE"""),"Side")</f>
        <v>Side</v>
      </c>
      <c r="D4" s="49" t="str">
        <f>IFERROR(__xludf.DUMMYFUNCTION("""COMPUTED_VALUE"""),"Land of Spira")</f>
        <v>Land of Spira</v>
      </c>
      <c r="E4" s="49">
        <f>IFERROR(__xludf.DUMMYFUNCTION("""COMPUTED_VALUE"""),3.0)</f>
        <v>3</v>
      </c>
    </row>
    <row r="5">
      <c r="A5" s="49" t="str">
        <f>IFERROR(__xludf.DUMMYFUNCTION("""COMPUTED_VALUE"""),"SANDWORMS!!!")</f>
        <v>SANDWORMS!!!</v>
      </c>
      <c r="B5" s="49" t="str">
        <f>IFERROR(__xludf.DUMMYFUNCTION("""COMPUTED_VALUE"""),"Kill 10 sandworms")</f>
        <v>Kill 10 sandworms</v>
      </c>
      <c r="C5" s="49" t="str">
        <f>IFERROR(__xludf.DUMMYFUNCTION("""COMPUTED_VALUE"""),"Bounty")</f>
        <v>Bounty</v>
      </c>
      <c r="D5" s="49" t="str">
        <f>IFERROR(__xludf.DUMMYFUNCTION("""COMPUTED_VALUE"""),"Land of Spira")</f>
        <v>Land of Spira</v>
      </c>
      <c r="E5" s="49">
        <f>IFERROR(__xludf.DUMMYFUNCTION("""COMPUTED_VALUE"""),10.0)</f>
        <v>10</v>
      </c>
    </row>
    <row r="6">
      <c r="A6" s="49" t="str">
        <f>IFERROR(__xludf.DUMMYFUNCTION("""COMPUTED_VALUE"""),"The Rum Ain't Gone")</f>
        <v>The Rum Ain't Gone</v>
      </c>
      <c r="B6" s="49" t="str">
        <f>IFERROR(__xludf.DUMMYFUNCTION("""COMPUTED_VALUE"""),"Give 2 rum to a group of partyers.")</f>
        <v>Give 2 rum to a group of partyers.</v>
      </c>
      <c r="C6" s="49" t="str">
        <f>IFERROR(__xludf.DUMMYFUNCTION("""COMPUTED_VALUE"""),"Side")</f>
        <v>Side</v>
      </c>
      <c r="D6" s="49" t="str">
        <f>IFERROR(__xludf.DUMMYFUNCTION("""COMPUTED_VALUE"""),"Land of Spira")</f>
        <v>Land of Spira</v>
      </c>
      <c r="E6" s="49">
        <f>IFERROR(__xludf.DUMMYFUNCTION("""COMPUTED_VALUE"""),2.0)</f>
        <v>2</v>
      </c>
    </row>
    <row r="7">
      <c r="A7" s="49" t="str">
        <f>IFERROR(__xludf.DUMMYFUNCTION("""COMPUTED_VALUE"""),"Undercover Work")</f>
        <v>Undercover Work</v>
      </c>
      <c r="B7" s="49" t="str">
        <f>IFERROR(__xludf.DUMMYFUNCTION("""COMPUTED_VALUE"""),"A cyborg from Mekana says his former employer is making a new weapon, and is planning a test run in Forest View. Find and destroy  4 Level 1500 Flamethrower Corps in Forest View.")</f>
        <v>A cyborg from Mekana says his former employer is making a new weapon, and is planning a test run in Forest View. Find and destroy  4 Level 1500 Flamethrower Corps in Forest View.</v>
      </c>
      <c r="C7" s="49" t="str">
        <f>IFERROR(__xludf.DUMMYFUNCTION("""COMPUTED_VALUE"""),"Side")</f>
        <v>Side</v>
      </c>
      <c r="D7" s="49" t="str">
        <f>IFERROR(__xludf.DUMMYFUNCTION("""COMPUTED_VALUE"""),"Land of Spira")</f>
        <v>Land of Spira</v>
      </c>
      <c r="E7" s="49">
        <f>IFERROR(__xludf.DUMMYFUNCTION("""COMPUTED_VALUE"""),4.0)</f>
        <v>4</v>
      </c>
    </row>
    <row r="8">
      <c r="A8" s="49" t="str">
        <f>IFERROR(__xludf.DUMMYFUNCTION("""COMPUTED_VALUE"""),"A Gift Between Lovers Part A")</f>
        <v>A Gift Between Lovers Part A</v>
      </c>
      <c r="B8" s="49" t="str">
        <f>IFERROR(__xludf.DUMMYFUNCTION("""COMPUTED_VALUE"""),"Players are approached by a man with a broken arm, asking them for help. The man, who introduces himself as Daniel, wants to make his girlfriend some leather armor as a gift, but with his broken arm he can’t go out and do any hunting. He asks the party to"&amp;" hunt some boars for him. If the players get him 6 boar hides he’ll have enough to make a piece of armor for his girlfriend and for the player.
")</f>
        <v>Players are approached by a man with a broken arm, asking them for help. The man, who introduces himself as Daniel, wants to make his girlfriend some leather armor as a gift, but with his broken arm he can’t go out and do any hunting. He asks the party to hunt some boars for him. If the players get him 6 boar hides he’ll have enough to make a piece of armor for his girlfriend and for the player.
</v>
      </c>
      <c r="C8" s="49" t="str">
        <f>IFERROR(__xludf.DUMMYFUNCTION("""COMPUTED_VALUE"""),"Side")</f>
        <v>Side</v>
      </c>
      <c r="D8" s="49" t="str">
        <f>IFERROR(__xludf.DUMMYFUNCTION("""COMPUTED_VALUE"""),"Land of Spira")</f>
        <v>Land of Spira</v>
      </c>
      <c r="E8" s="49">
        <f>IFERROR(__xludf.DUMMYFUNCTION("""COMPUTED_VALUE"""),6.0)</f>
        <v>6</v>
      </c>
    </row>
    <row r="9">
      <c r="A9" s="49" t="str">
        <f>IFERROR(__xludf.DUMMYFUNCTION("""COMPUTED_VALUE"""),"A Gift Between Lovers Part B")</f>
        <v>A Gift Between Lovers Part B</v>
      </c>
      <c r="B9" s="49" t="str">
        <f>IFERROR(__xludf.DUMMYFUNCTION("""COMPUTED_VALUE"""),"A muscular woman wearing leather armor approaches the party, recognizing them from her boyfriend Daniel’s description of them. She thanks them for helping him out and introduces herself as Elora before asking if they’ll be willing to help her make a gift "&amp;"for him. She tells the party she’s making a necklace with the teeth of various monsters she’s hunted, but wants help with her final target: A Desert Eater.
The party and Elora go travel to Dryland Desert and kill A Desert Eater. Elora takes one of its tee"&amp;"th and tells the party to meet her back in Forest View. As the party arrives they see her giving the necklace to her boyfriend. Noticing them, Elora comes over and thanks the party for their help.")</f>
        <v>A muscular woman wearing leather armor approaches the party, recognizing them from her boyfriend Daniel’s description of them. She thanks them for helping him out and introduces herself as Elora before asking if they’ll be willing to help her make a gift for him. She tells the party she’s making a necklace with the teeth of various monsters she’s hunted, but wants help with her final target: A Desert Eater.
The party and Elora go travel to Dryland Desert and kill A Desert Eater. Elora takes one of its teeth and tells the party to meet her back in Forest View. As the party arrives they see her giving the necklace to her boyfriend. Noticing them, Elora comes over and thanks the party for their help.</v>
      </c>
      <c r="C9" s="49" t="str">
        <f>IFERROR(__xludf.DUMMYFUNCTION("""COMPUTED_VALUE"""),"Side")</f>
        <v>Side</v>
      </c>
      <c r="D9" s="49" t="str">
        <f>IFERROR(__xludf.DUMMYFUNCTION("""COMPUTED_VALUE"""),"Land of Spira")</f>
        <v>Land of Spira</v>
      </c>
      <c r="E9" s="49">
        <f>IFERROR(__xludf.DUMMYFUNCTION("""COMPUTED_VALUE"""),0.0)</f>
        <v>0</v>
      </c>
    </row>
    <row r="10">
      <c r="A10" s="49" t="str">
        <f>IFERROR(__xludf.DUMMYFUNCTION("""COMPUTED_VALUE"""),"A Gift Between Lovers Part Omega")</f>
        <v>A Gift Between Lovers Part Omega</v>
      </c>
      <c r="B10" s="49" t="str">
        <f>IFERROR(__xludf.DUMMYFUNCTION("""COMPUTED_VALUE"""),"The players are approached by an old woman, who recognizes the players from her daughter and son-in-law’s descriptions of them. She introduces herself as Elora’s mother and asks the players to visit her and Elora that night.
When the players visit that ni"&amp;"ght, they find that Elora has been planning on proposing to her boyfriend, but the ring she ordered has yet to be delivered. The players are asked to help her find what’s going on. On their way to the place Elora ordered the ring from, they find the man t"&amp;"hat was delivering it, having fallen in a ditch and broken his leg.
With the ring in hand (and the delivery man helped back to town) the players get to see Elora propose to Daniel, who excitedly says yes. Elora asks the players to come to the wedding in o"&amp;"ne week. The players show up a week later and everything goes off without a hitch.")</f>
        <v>The players are approached by an old woman, who recognizes the players from her daughter and son-in-law’s descriptions of them. She introduces herself as Elora’s mother and asks the players to visit her and Elora that night.
When the players visit that night, they find that Elora has been planning on proposing to her boyfriend, but the ring she ordered has yet to be delivered. The players are asked to help her find what’s going on. On their way to the place Elora ordered the ring from, they find the man that was delivering it, having fallen in a ditch and broken his leg.
With the ring in hand (and the delivery man helped back to town) the players get to see Elora propose to Daniel, who excitedly says yes. Elora asks the players to come to the wedding in one week. The players show up a week later and everything goes off without a hitch.</v>
      </c>
      <c r="C10" s="49" t="str">
        <f>IFERROR(__xludf.DUMMYFUNCTION("""COMPUTED_VALUE"""),"Side")</f>
        <v>Side</v>
      </c>
      <c r="D10" s="49" t="str">
        <f>IFERROR(__xludf.DUMMYFUNCTION("""COMPUTED_VALUE"""),"Land of Spira")</f>
        <v>Land of Spira</v>
      </c>
      <c r="E10" s="49">
        <f>IFERROR(__xludf.DUMMYFUNCTION("""COMPUTED_VALUE"""),0.0)</f>
        <v>0</v>
      </c>
    </row>
    <row r="11">
      <c r="A11" s="49" t="str">
        <f>IFERROR(__xludf.DUMMYFUNCTION("""COMPUTED_VALUE"""),"The Necrocorn")</f>
        <v>The Necrocorn</v>
      </c>
      <c r="B11" s="49" t="str">
        <f>IFERROR(__xludf.DUMMYFUNCTION("""COMPUTED_VALUE"""),"There have been sightings of an undead unicorn around. It doesn’t seem hostile to the living but has been desecrating certain graves in the town cemetery. Provide some X50 stone to the gravedigger to repair the damages.
Upon delivering the materials, the "&amp;"players and gravedigger sight the Necrocorn with two unicorns in the cemetery. One of the unicorns is carving something onto a tombstone. The unicorns and Necrocorn disappear before the players can get over there. The gravedigger points out that the name "&amp;"on the tombstone has been crossed out and the word “accomplice” has been written under. Two of the other tombstones have had the same thing happen to them, and another instead reads “murderer.” The Necrocorn is never seen again.")</f>
        <v>There have been sightings of an undead unicorn around. It doesn’t seem hostile to the living but has been desecrating certain graves in the town cemetery. Provide some X50 stone to the gravedigger to repair the damages.
Upon delivering the materials, the players and gravedigger sight the Necrocorn with two unicorns in the cemetery. One of the unicorns is carving something onto a tombstone. The unicorns and Necrocorn disappear before the players can get over there. The gravedigger points out that the name on the tombstone has been crossed out and the word “accomplice” has been written under. Two of the other tombstones have had the same thing happen to them, and another instead reads “murderer.” The Necrocorn is never seen again.</v>
      </c>
      <c r="C11" s="49" t="str">
        <f>IFERROR(__xludf.DUMMYFUNCTION("""COMPUTED_VALUE"""),"Side")</f>
        <v>Side</v>
      </c>
      <c r="D11" s="49" t="str">
        <f>IFERROR(__xludf.DUMMYFUNCTION("""COMPUTED_VALUE"""),"Land of Spira")</f>
        <v>Land of Spira</v>
      </c>
      <c r="E11" s="49">
        <f>IFERROR(__xludf.DUMMYFUNCTION("""COMPUTED_VALUE"""),50.0)</f>
        <v>50</v>
      </c>
    </row>
    <row r="12">
      <c r="A12" s="49" t="str">
        <f>IFERROR(__xludf.DUMMYFUNCTION("""COMPUTED_VALUE"""),"Mournful Mother")</f>
        <v>Mournful Mother</v>
      </c>
      <c r="B12" s="49" t="str">
        <f>IFERROR(__xludf.DUMMYFUNCTION("""COMPUTED_VALUE"""),"A gossipy young man informs the players of a rumor of a serial killer in the area, with multiple women having gone missing only to turn up days later mutilated. The players (provided at least one member is female) plan a trap to lure out the killer that n"&amp;"ight. The killer attacks and turns out to be an elderly woman, indiscriminately attacking women and blaming them for her son killing himself after being cheated on.")</f>
        <v>A gossipy young man informs the players of a rumor of a serial killer in the area, with multiple women having gone missing only to turn up days later mutilated. The players (provided at least one member is female) plan a trap to lure out the killer that night. The killer attacks and turns out to be an elderly woman, indiscriminately attacking women and blaming them for her son killing himself after being cheated on.</v>
      </c>
      <c r="C12" s="49" t="str">
        <f>IFERROR(__xludf.DUMMYFUNCTION("""COMPUTED_VALUE"""),"Side")</f>
        <v>Side</v>
      </c>
      <c r="D12" s="49" t="str">
        <f>IFERROR(__xludf.DUMMYFUNCTION("""COMPUTED_VALUE"""),"Land of Spira")</f>
        <v>Land of Spira</v>
      </c>
      <c r="E12" s="49">
        <f>IFERROR(__xludf.DUMMYFUNCTION("""COMPUTED_VALUE"""),0.0)</f>
        <v>0</v>
      </c>
    </row>
    <row r="13">
      <c r="A13" s="49" t="str">
        <f>IFERROR(__xludf.DUMMYFUNCTION("""COMPUTED_VALUE"""),"The Grocer’s delivery")</f>
        <v>The Grocer’s delivery</v>
      </c>
      <c r="B13" s="49" t="str">
        <f>IFERROR(__xludf.DUMMYFUNCTION("""COMPUTED_VALUE"""),"Players come across a wounded traveler. The traveler is incapable of moving, and asks the players to deliver a decorative jewelry box to the Grocer in Civille. He warns the players not to open the jewelry box. Upon the box being delivered, the grocer give"&amp;"s the players the item inside, a Wig of Temper Fire (reduces any fire damage to 1), as she only wanted the jewelry box. She also grants the players access to her secret shop.")</f>
        <v>Players come across a wounded traveler. The traveler is incapable of moving, and asks the players to deliver a decorative jewelry box to the Grocer in Civille. He warns the players not to open the jewelry box. Upon the box being delivered, the grocer gives the players the item inside, a Wig of Temper Fire (reduces any fire damage to 1), as she only wanted the jewelry box. She also grants the players access to her secret shop.</v>
      </c>
      <c r="C13" s="49" t="str">
        <f>IFERROR(__xludf.DUMMYFUNCTION("""COMPUTED_VALUE"""),"Side")</f>
        <v>Side</v>
      </c>
      <c r="D13" s="49" t="str">
        <f>IFERROR(__xludf.DUMMYFUNCTION("""COMPUTED_VALUE"""),"Land of Spira")</f>
        <v>Land of Spira</v>
      </c>
      <c r="E13" s="49">
        <f>IFERROR(__xludf.DUMMYFUNCTION("""COMPUTED_VALUE"""),0.0)</f>
        <v>0</v>
      </c>
    </row>
    <row r="14">
      <c r="A14" s="49" t="str">
        <f>IFERROR(__xludf.DUMMYFUNCTION("""COMPUTED_VALUE"""),"You can EAT those!?")</f>
        <v>You can EAT those!?</v>
      </c>
      <c r="B14" s="49" t="str">
        <f>IFERROR(__xludf.DUMMYFUNCTION("""COMPUTED_VALUE"""),"Give 15 Slime cores to a woman making Slime Jelly")</f>
        <v>Give 15 Slime cores to a woman making Slime Jelly</v>
      </c>
      <c r="C14" s="49" t="str">
        <f>IFERROR(__xludf.DUMMYFUNCTION("""COMPUTED_VALUE"""),"Side")</f>
        <v>Side</v>
      </c>
      <c r="D14" s="49" t="str">
        <f>IFERROR(__xludf.DUMMYFUNCTION("""COMPUTED_VALUE"""),"Land of Spira")</f>
        <v>Land of Spira</v>
      </c>
      <c r="E14" s="49">
        <f>IFERROR(__xludf.DUMMYFUNCTION("""COMPUTED_VALUE"""),15.0)</f>
        <v>15</v>
      </c>
    </row>
    <row r="15">
      <c r="A15" s="49" t="str">
        <f>IFERROR(__xludf.DUMMYFUNCTION("""COMPUTED_VALUE"""),"Robros Stick Together")</f>
        <v>Robros Stick Together</v>
      </c>
      <c r="B15" s="49" t="str">
        <f>IFERROR(__xludf.DUMMYFUNCTION("""COMPUTED_VALUE"""),"A strange cloaked figure stands outside Muro’s Goods. If the players approach or attempt to enter Muro’s Goods, the figure quickly catches the players’ attention. They ask if the player could go inside and purchase the “Broken Robot” for them. If the play"&amp;"er accepts, they hand the player 350,000 G to make the purchase. When the players return with the Broken Robot, the figure thanks them and gives them the cloak he was wearing, revealing himself to be robotic underneath.")</f>
        <v>A strange cloaked figure stands outside Muro’s Goods. If the players approach or attempt to enter Muro’s Goods, the figure quickly catches the players’ attention. They ask if the player could go inside and purchase the “Broken Robot” for them. If the player accepts, they hand the player 350,000 G to make the purchase. When the players return with the Broken Robot, the figure thanks them and gives them the cloak he was wearing, revealing himself to be robotic underneath.</v>
      </c>
      <c r="C15" s="49" t="str">
        <f>IFERROR(__xludf.DUMMYFUNCTION("""COMPUTED_VALUE"""),"Side")</f>
        <v>Side</v>
      </c>
      <c r="D15" s="49" t="str">
        <f>IFERROR(__xludf.DUMMYFUNCTION("""COMPUTED_VALUE"""),"Land of Spira")</f>
        <v>Land of Spira</v>
      </c>
      <c r="E15" s="49">
        <f>IFERROR(__xludf.DUMMYFUNCTION("""COMPUTED_VALUE"""),0.0)</f>
        <v>0</v>
      </c>
    </row>
    <row r="16">
      <c r="A16" s="49" t="str">
        <f>IFERROR(__xludf.DUMMYFUNCTION("""COMPUTED_VALUE"""),"A Man’s Ship Is His Home")</f>
        <v>A Man’s Ship Is His Home</v>
      </c>
      <c r="B16" s="49" t="str">
        <f>IFERROR(__xludf.DUMMYFUNCTION("""COMPUTED_VALUE"""),"A “sailor” is seen bemoaning the damage to his ship after a recent storm. The party takes it upon themselves to help. Bring 50 Wood.")</f>
        <v>A “sailor” is seen bemoaning the damage to his ship after a recent storm. The party takes it upon themselves to help. Bring 50 Wood.</v>
      </c>
      <c r="C16" s="49" t="str">
        <f>IFERROR(__xludf.DUMMYFUNCTION("""COMPUTED_VALUE"""),"Side")</f>
        <v>Side</v>
      </c>
      <c r="D16" s="49" t="str">
        <f>IFERROR(__xludf.DUMMYFUNCTION("""COMPUTED_VALUE"""),"Land of Spira")</f>
        <v>Land of Spira</v>
      </c>
      <c r="E16" s="49">
        <f>IFERROR(__xludf.DUMMYFUNCTION("""COMPUTED_VALUE"""),50.0)</f>
        <v>50</v>
      </c>
    </row>
    <row r="17">
      <c r="A17" s="49" t="str">
        <f>IFERROR(__xludf.DUMMYFUNCTION("""COMPUTED_VALUE"""),"The Lost Children")</f>
        <v>The Lost Children</v>
      </c>
      <c r="B17" s="49" t="str">
        <f>IFERROR(__xludf.DUMMYFUNCTION("""COMPUTED_VALUE"""),"A strange beast has been luring children away, with no evidence as to WHAT it’s doing to them. Seven children have already gone missing, the most recent two at the same time. The parents of one of these two ask the players to go investigate. In a cave, th"&amp;"e players find Lamia sleeping after a meal (she misses her first turn). When killed, the players manage to cut her open and find the two children. The players guide the children back to their parents, and though happy, the parents mourn the loss of the ot"&amp;"her children.")</f>
        <v>A strange beast has been luring children away, with no evidence as to WHAT it’s doing to them. Seven children have already gone missing, the most recent two at the same time. The parents of one of these two ask the players to go investigate. In a cave, the players find Lamia sleeping after a meal (she misses her first turn). When killed, the players manage to cut her open and find the two children. The players guide the children back to their parents, and though happy, the parents mourn the loss of the other children.</v>
      </c>
      <c r="C17" s="49" t="str">
        <f>IFERROR(__xludf.DUMMYFUNCTION("""COMPUTED_VALUE"""),"Side")</f>
        <v>Side</v>
      </c>
      <c r="D17" s="49" t="str">
        <f>IFERROR(__xludf.DUMMYFUNCTION("""COMPUTED_VALUE"""),"Land of Spira")</f>
        <v>Land of Spira</v>
      </c>
      <c r="E17" s="49">
        <f>IFERROR(__xludf.DUMMYFUNCTION("""COMPUTED_VALUE"""),0.0)</f>
        <v>0</v>
      </c>
    </row>
    <row r="18">
      <c r="A18" s="49" t="str">
        <f>IFERROR(__xludf.DUMMYFUNCTION("""COMPUTED_VALUE"""),"A Suspicious Package")</f>
        <v>A Suspicious Package</v>
      </c>
      <c r="B18" s="49" t="str">
        <f>IFERROR(__xludf.DUMMYFUNCTION("""COMPUTED_VALUE"""),"Players are accosted by a man with a small box which seems to have no hinges or way to open. The man asks the players to deliver it to a “Marcus Himmler” in The Foul Night Swamp. The man offers the players 130,000 G for the delivery, and pays 50,000 G of "&amp;"that upfront.
Upon arriving in The Foul Night Swamp, they find Marcus. He asks the players to come to his “shop” to make the delivery. While Marcus leads the party through the marsh, they are suddenly attacked by a group of three miscreants. After fightin"&amp;"g them off, Marcus thanks the party and apologizes, the box apparently holds a very rare and powerful medicine he needed for his daughter. Marcus leads the party to a small shop at the end of the marsh and pays them 80,000 G.")</f>
        <v>Players are accosted by a man with a small box which seems to have no hinges or way to open. The man asks the players to deliver it to a “Marcus Himmler” in The Foul Night Swamp. The man offers the players 130,000 G for the delivery, and pays 50,000 G of that upfront.
Upon arriving in The Foul Night Swamp, they find Marcus. He asks the players to come to his “shop” to make the delivery. While Marcus leads the party through the marsh, they are suddenly attacked by a group of three miscreants. After fighting them off, Marcus thanks the party and apologizes, the box apparently holds a very rare and powerful medicine he needed for his daughter. Marcus leads the party to a small shop at the end of the marsh and pays them 80,000 G.</v>
      </c>
      <c r="C18" s="49" t="str">
        <f>IFERROR(__xludf.DUMMYFUNCTION("""COMPUTED_VALUE"""),"Side")</f>
        <v>Side</v>
      </c>
      <c r="D18" s="49" t="str">
        <f>IFERROR(__xludf.DUMMYFUNCTION("""COMPUTED_VALUE"""),"Land of Spira")</f>
        <v>Land of Spira</v>
      </c>
      <c r="E18" s="49">
        <f>IFERROR(__xludf.DUMMYFUNCTION("""COMPUTED_VALUE"""),0.0)</f>
        <v>0</v>
      </c>
    </row>
    <row r="19">
      <c r="A19" s="49" t="str">
        <f>IFERROR(__xludf.DUMMYFUNCTION("""COMPUTED_VALUE"""),"Rigorous Training")</f>
        <v>Rigorous Training</v>
      </c>
      <c r="B19" s="49" t="str">
        <f>IFERROR(__xludf.DUMMYFUNCTION("""COMPUTED_VALUE"""),"5 Battles, each battle against a group of random enemies equal in number to party size. Each battle will have differently leveled enemies, relative to average party level. Battle 1: Enemy level = Average Party level -50, Battles 2 &amp; 3: Enemy level = Party"&amp;" level, Battles 4&amp;5 Enemy level =Party level +100. All five battles must be done back to back, with no time to rest or use spell/items in between.")</f>
        <v>5 Battles, each battle against a group of random enemies equal in number to party size. Each battle will have differently leveled enemies, relative to average party level. Battle 1: Enemy level = Average Party level -50, Battles 2 &amp; 3: Enemy level = Party level, Battles 4&amp;5 Enemy level =Party level +100. All five battles must be done back to back, with no time to rest or use spell/items in between.</v>
      </c>
      <c r="C19" s="49" t="str">
        <f>IFERROR(__xludf.DUMMYFUNCTION("""COMPUTED_VALUE"""),"Side")</f>
        <v>Side</v>
      </c>
      <c r="D19" s="49" t="str">
        <f>IFERROR(__xludf.DUMMYFUNCTION("""COMPUTED_VALUE"""),"Land of Spira")</f>
        <v>Land of Spira</v>
      </c>
      <c r="E19" s="49">
        <f>IFERROR(__xludf.DUMMYFUNCTION("""COMPUTED_VALUE"""),5.0)</f>
        <v>5</v>
      </c>
    </row>
    <row r="20">
      <c r="A20" s="49" t="str">
        <f>IFERROR(__xludf.DUMMYFUNCTION("""COMPUTED_VALUE"""),"Aptitude Test")</f>
        <v>Aptitude Test</v>
      </c>
      <c r="B20" s="49" t="str">
        <f>IFERROR(__xludf.DUMMYFUNCTION("""COMPUTED_VALUE"""),"Face off against a General to move up in the guard ranks")</f>
        <v>Face off against a General to move up in the guard ranks</v>
      </c>
      <c r="C20" s="49" t="str">
        <f>IFERROR(__xludf.DUMMYFUNCTION("""COMPUTED_VALUE"""),"Side")</f>
        <v>Side</v>
      </c>
      <c r="D20" s="49" t="str">
        <f>IFERROR(__xludf.DUMMYFUNCTION("""COMPUTED_VALUE"""),"Land of Spira")</f>
        <v>Land of Spira</v>
      </c>
      <c r="E20" s="49">
        <f>IFERROR(__xludf.DUMMYFUNCTION("""COMPUTED_VALUE"""),0.0)</f>
        <v>0</v>
      </c>
    </row>
    <row r="21">
      <c r="A21" s="49" t="str">
        <f>IFERROR(__xludf.DUMMYFUNCTION("""COMPUTED_VALUE"""),"Abysville Trouble!")</f>
        <v>Abysville Trouble!</v>
      </c>
      <c r="B21" s="49" t="str">
        <f>IFERROR(__xludf.DUMMYFUNCTION("""COMPUTED_VALUE"""),"Abysville is in danger and the only person to help is you. The pesky demons are back and they wanna cause trouble. Defeat 10 Demons.")</f>
        <v>Abysville is in danger and the only person to help is you. The pesky demons are back and they wanna cause trouble. Defeat 10 Demons.</v>
      </c>
      <c r="C21" s="49" t="str">
        <f>IFERROR(__xludf.DUMMYFUNCTION("""COMPUTED_VALUE"""),"Bounty")</f>
        <v>Bounty</v>
      </c>
      <c r="D21" s="49" t="str">
        <f>IFERROR(__xludf.DUMMYFUNCTION("""COMPUTED_VALUE"""),"Abstara")</f>
        <v>Abstara</v>
      </c>
      <c r="E21" s="49">
        <f>IFERROR(__xludf.DUMMYFUNCTION("""COMPUTED_VALUE"""),10.0)</f>
        <v>10</v>
      </c>
    </row>
    <row r="22">
      <c r="A22" s="49" t="str">
        <f>IFERROR(__xludf.DUMMYFUNCTION("""COMPUTED_VALUE"""),"The Unlucky Blacksmith")</f>
        <v>The Unlucky Blacksmith</v>
      </c>
      <c r="B22" s="49" t="str">
        <f>IFERROR(__xludf.DUMMYFUNCTION("""COMPUTED_VALUE"""),"The Blacksmith needs more Powerful fire crystals mined deep within the village of hell, he asked everyone in town to help but no one would. “So for you traveler.” he said, “I will forge a unique weapon out of the crystals you get, and if you have more ite"&amp;"ms for blacksmithing that would be great!” Mine 2500 fire crystals and bring them back to the blacksmith in the City of Flames.")</f>
        <v>The Blacksmith needs more Powerful fire crystals mined deep within the village of hell, he asked everyone in town to help but no one would. “So for you traveler.” he said, “I will forge a unique weapon out of the crystals you get, and if you have more items for blacksmithing that would be great!” Mine 2500 fire crystals and bring them back to the blacksmith in the City of Flames.</v>
      </c>
      <c r="C22" s="49" t="str">
        <f>IFERROR(__xludf.DUMMYFUNCTION("""COMPUTED_VALUE"""),"Side")</f>
        <v>Side</v>
      </c>
      <c r="D22" s="49" t="str">
        <f>IFERROR(__xludf.DUMMYFUNCTION("""COMPUTED_VALUE"""),"Abstara")</f>
        <v>Abstara</v>
      </c>
      <c r="E22" s="49">
        <f>IFERROR(__xludf.DUMMYFUNCTION("""COMPUTED_VALUE"""),2500.0)</f>
        <v>2500</v>
      </c>
    </row>
    <row r="23">
      <c r="A23" s="49" t="str">
        <f>IFERROR(__xludf.DUMMYFUNCTION("""COMPUTED_VALUE"""),"Trials of Undying")</f>
        <v>Trials of Undying</v>
      </c>
      <c r="B23" s="49" t="str">
        <f>IFERROR(__xludf.DUMMYFUNCTION("""COMPUTED_VALUE"""),"The Grand Mage of the city has a very powerful item but he thinks you aren’t worthy of the item. He says “ If you want this item then Prove yourself, by defeating 5 enemies without dying ONCE.” ")</f>
        <v>The Grand Mage of the city has a very powerful item but he thinks you aren’t worthy of the item. He says “ If you want this item then Prove yourself, by defeating 5 enemies without dying ONCE.” </v>
      </c>
      <c r="C23" s="49" t="str">
        <f>IFERROR(__xludf.DUMMYFUNCTION("""COMPUTED_VALUE"""),"Side")</f>
        <v>Side</v>
      </c>
      <c r="D23" s="49" t="str">
        <f>IFERROR(__xludf.DUMMYFUNCTION("""COMPUTED_VALUE"""),"Abstara")</f>
        <v>Abstara</v>
      </c>
      <c r="E23" s="49">
        <f>IFERROR(__xludf.DUMMYFUNCTION("""COMPUTED_VALUE"""),5.0)</f>
        <v>5</v>
      </c>
    </row>
    <row r="24">
      <c r="A24" s="49" t="str">
        <f>IFERROR(__xludf.DUMMYFUNCTION("""COMPUTED_VALUE"""),"The Wild Look About")</f>
        <v>The Wild Look About</v>
      </c>
      <c r="B24" s="49" t="str">
        <f>IFERROR(__xludf.DUMMYFUNCTION("""COMPUTED_VALUE"""),"A Demon Hunter is looking for his pet but it ran away somewhere in the Feral Empire, It is a Saber-Tooth Cat. The Demon Hunter will not let you leave until you have found his cat.")</f>
        <v>A Demon Hunter is looking for his pet but it ran away somewhere in the Feral Empire, It is a Saber-Tooth Cat. The Demon Hunter will not let you leave until you have found his cat.</v>
      </c>
      <c r="C24" s="49" t="str">
        <f>IFERROR(__xludf.DUMMYFUNCTION("""COMPUTED_VALUE"""),"Side")</f>
        <v>Side</v>
      </c>
      <c r="D24" s="49" t="str">
        <f>IFERROR(__xludf.DUMMYFUNCTION("""COMPUTED_VALUE"""),"Abstara")</f>
        <v>Abstara</v>
      </c>
      <c r="E24" s="49">
        <f>IFERROR(__xludf.DUMMYFUNCTION("""COMPUTED_VALUE"""),0.0)</f>
        <v>0</v>
      </c>
    </row>
    <row r="25">
      <c r="A25" s="49" t="str">
        <f>IFERROR(__xludf.DUMMYFUNCTION("""COMPUTED_VALUE"""),"Gargoyle Hunt")</f>
        <v>Gargoyle Hunt</v>
      </c>
      <c r="B25" s="49" t="str">
        <f>IFERROR(__xludf.DUMMYFUNCTION("""COMPUTED_VALUE"""),"Noxus The Gargoyle has lost all of his tiny Gargoyles, There are a total of 100 to collect which can be found by days of travel in Abstara, Mob Drops, Random Loot, etc. Find all of the tiny gargoyles and return them when you find them all.")</f>
        <v>Noxus The Gargoyle has lost all of his tiny Gargoyles, There are a total of 100 to collect which can be found by days of travel in Abstara, Mob Drops, Random Loot, etc. Find all of the tiny gargoyles and return them when you find them all.</v>
      </c>
      <c r="C25" s="49" t="str">
        <f>IFERROR(__xludf.DUMMYFUNCTION("""COMPUTED_VALUE"""),"Side")</f>
        <v>Side</v>
      </c>
      <c r="D25" s="49" t="str">
        <f>IFERROR(__xludf.DUMMYFUNCTION("""COMPUTED_VALUE"""),"Abstara")</f>
        <v>Abstara</v>
      </c>
      <c r="E25" s="49">
        <f>IFERROR(__xludf.DUMMYFUNCTION("""COMPUTED_VALUE"""),100.0)</f>
        <v>100</v>
      </c>
    </row>
    <row r="26">
      <c r="A26" s="49" t="str">
        <f>IFERROR(__xludf.DUMMYFUNCTION("""COMPUTED_VALUE"""),"Satanic Requirements")</f>
        <v>Satanic Requirements</v>
      </c>
      <c r="B26" s="49" t="str">
        <f>IFERROR(__xludf.DUMMYFUNCTION("""COMPUTED_VALUE"""),"Some cult members are in need of items but they are far to weak to even travel without dying. They ask the nearby Party / Traveler to get these items which in return they will give you some unique items.")</f>
        <v>Some cult members are in need of items but they are far to weak to even travel without dying. They ask the nearby Party / Traveler to get these items which in return they will give you some unique items.</v>
      </c>
      <c r="C26" s="49" t="str">
        <f>IFERROR(__xludf.DUMMYFUNCTION("""COMPUTED_VALUE"""),"Side")</f>
        <v>Side</v>
      </c>
      <c r="D26" s="49" t="str">
        <f>IFERROR(__xludf.DUMMYFUNCTION("""COMPUTED_VALUE"""),"Abstara")</f>
        <v>Abstara</v>
      </c>
      <c r="E26" s="49">
        <f>IFERROR(__xludf.DUMMYFUNCTION("""COMPUTED_VALUE"""),0.0)</f>
        <v>0</v>
      </c>
    </row>
    <row r="27">
      <c r="A27" s="49" t="str">
        <f>IFERROR(__xludf.DUMMYFUNCTION("""COMPUTED_VALUE"""),"The Gathering of Souls")</f>
        <v>The Gathering of Souls</v>
      </c>
      <c r="B27" s="49" t="str">
        <f>IFERROR(__xludf.DUMMYFUNCTION("""COMPUTED_VALUE"""),"Once entered the Soul Empire you are greeted by a vampire soldier who says that the king is needing of souls because he hasn’t even had a good meal today, but the king is picky about what he eats, and he will only eat souls, nothing more nothing less, it "&amp;"is your job to collect 100 souls of any kind and bring to the king for his feast.")</f>
        <v>Once entered the Soul Empire you are greeted by a vampire soldier who says that the king is needing of souls because he hasn’t even had a good meal today, but the king is picky about what he eats, and he will only eat souls, nothing more nothing less, it is your job to collect 100 souls of any kind and bring to the king for his feast.</v>
      </c>
      <c r="C27" s="49" t="str">
        <f>IFERROR(__xludf.DUMMYFUNCTION("""COMPUTED_VALUE"""),"Side")</f>
        <v>Side</v>
      </c>
      <c r="D27" s="49" t="str">
        <f>IFERROR(__xludf.DUMMYFUNCTION("""COMPUTED_VALUE"""),"Abstara")</f>
        <v>Abstara</v>
      </c>
      <c r="E27" s="49">
        <f>IFERROR(__xludf.DUMMYFUNCTION("""COMPUTED_VALUE"""),100.0)</f>
        <v>100</v>
      </c>
    </row>
    <row r="28">
      <c r="A28" s="49" t="str">
        <f>IFERROR(__xludf.DUMMYFUNCTION("""COMPUTED_VALUE"""),"The Legend of the Sacred Flaming Pearl")</f>
        <v>The Legend of the Sacred Flaming Pearl</v>
      </c>
      <c r="B28" s="49" t="str">
        <f>IFERROR(__xludf.DUMMYFUNCTION("""COMPUTED_VALUE"""),"You meet a Fishermen who tells you about a long tale about a giant clam who had the most beautiful pearl, this pearl was no ordinary pearl, it was very large in size, shined very brightly through the emptiness of Abstara. This fisherman has only seen it o"&amp;"nce and he would like to finally have it as his own prized possession. The fisherman will give you rare items that he found while fishing for so many years. He will give you Armor so that you can explore the Ember Ocean without worrying about burning aliv"&amp;"e.
When Quest is Accepted: Player receives: Obsidian Armor")</f>
        <v>You meet a Fishermen who tells you about a long tale about a giant clam who had the most beautiful pearl, this pearl was no ordinary pearl, it was very large in size, shined very brightly through the emptiness of Abstara. This fisherman has only seen it once and he would like to finally have it as his own prized possession. The fisherman will give you rare items that he found while fishing for so many years. He will give you Armor so that you can explore the Ember Ocean without worrying about burning alive.
When Quest is Accepted: Player receives: Obsidian Armor</v>
      </c>
      <c r="C28" s="49" t="str">
        <f>IFERROR(__xludf.DUMMYFUNCTION("""COMPUTED_VALUE"""),"Side")</f>
        <v>Side</v>
      </c>
      <c r="D28" s="49" t="str">
        <f>IFERROR(__xludf.DUMMYFUNCTION("""COMPUTED_VALUE"""),"Abstara")</f>
        <v>Abstara</v>
      </c>
      <c r="E28" s="49">
        <f>IFERROR(__xludf.DUMMYFUNCTION("""COMPUTED_VALUE"""),0.0)</f>
        <v>0</v>
      </c>
    </row>
    <row r="29">
      <c r="A29" s="49" t="str">
        <f>IFERROR(__xludf.DUMMYFUNCTION("""COMPUTED_VALUE"""),"The Legendary Catch")</f>
        <v>The Legendary Catch</v>
      </c>
      <c r="B29" s="49" t="str">
        <f>IFERROR(__xludf.DUMMYFUNCTION("""COMPUTED_VALUE"""),"When you enter The Black Lake the players will notice a cottage that is near the Black Lake. The player(s) must enter it to start this quest. When entering the cottage the player(s) will be greeted by an old and wise fisherman, a friend from the one in th"&amp;"e Ember Ocean. He will notice that the player(s) have the Sacred Flaming Pearl in their bag and says something. “ I see, you have slain the big clam known as big bertha. Congrats, but there is still more to this tale you see. There is this one Beast you h"&amp;"ave yet to come by young travelers.” He continues “ Thy, I haven’t seen it in many years, all I remember is that it had an eel-like body, and had some dragon aspects to it. But you need to make preparations to start this fishing experience, are you sure y"&amp;"ou want to go through several hours of pain?”")</f>
        <v>When you enter The Black Lake the players will notice a cottage that is near the Black Lake. The player(s) must enter it to start this quest. When entering the cottage the player(s) will be greeted by an old and wise fisherman, a friend from the one in the Ember Ocean. He will notice that the player(s) have the Sacred Flaming Pearl in their bag and says something. “ I see, you have slain the big clam known as big bertha. Congrats, but there is still more to this tale you see. There is this one Beast you have yet to come by young travelers.” He continues “ Thy, I haven’t seen it in many years, all I remember is that it had an eel-like body, and had some dragon aspects to it. But you need to make preparations to start this fishing experience, are you sure you want to go through several hours of pain?”</v>
      </c>
      <c r="C29" s="49" t="str">
        <f>IFERROR(__xludf.DUMMYFUNCTION("""COMPUTED_VALUE"""),"Side")</f>
        <v>Side</v>
      </c>
      <c r="D29" s="49" t="str">
        <f>IFERROR(__xludf.DUMMYFUNCTION("""COMPUTED_VALUE"""),"Abstara")</f>
        <v>Abstara</v>
      </c>
      <c r="E29" s="49">
        <f>IFERROR(__xludf.DUMMYFUNCTION("""COMPUTED_VALUE"""),0.0)</f>
        <v>0</v>
      </c>
    </row>
    <row r="30">
      <c r="A30" s="49" t="str">
        <f>IFERROR(__xludf.DUMMYFUNCTION("""COMPUTED_VALUE"""),"The Burning Trials of Combat: Part 1")</f>
        <v>The Burning Trials of Combat: Part 1</v>
      </c>
      <c r="B30" s="49" t="str">
        <f>IFERROR(__xludf.DUMMYFUNCTION("""COMPUTED_VALUE"""),"After finally going through the tough battle with the Giant Clam and The Black Serpent Dragon a fisherman invites the player(s) to take on a tougher foe that nobody can defeat. It is the Volcanic Serpent. All party members get their weapons drawn and head"&amp;" fourth to the lava lake’s arena to fight this great beast, as the player(s) enter they see the Volcanic Serpent ready for its next meal. The Player(s) Immediately engage the battle with the beast.")</f>
        <v>After finally going through the tough battle with the Giant Clam and The Black Serpent Dragon a fisherman invites the player(s) to take on a tougher foe that nobody can defeat. It is the Volcanic Serpent. All party members get their weapons drawn and head fourth to the lava lake’s arena to fight this great beast, as the player(s) enter they see the Volcanic Serpent ready for its next meal. The Player(s) Immediately engage the battle with the beast.</v>
      </c>
      <c r="C30" s="49" t="str">
        <f>IFERROR(__xludf.DUMMYFUNCTION("""COMPUTED_VALUE"""),"Side")</f>
        <v>Side</v>
      </c>
      <c r="D30" s="49" t="str">
        <f>IFERROR(__xludf.DUMMYFUNCTION("""COMPUTED_VALUE"""),"Abstara")</f>
        <v>Abstara</v>
      </c>
      <c r="E30" s="49">
        <f>IFERROR(__xludf.DUMMYFUNCTION("""COMPUTED_VALUE"""),0.0)</f>
        <v>0</v>
      </c>
    </row>
    <row r="31">
      <c r="A31" s="49" t="str">
        <f>IFERROR(__xludf.DUMMYFUNCTION("""COMPUTED_VALUE"""),"The Burning Trials of Combat: Part 2")</f>
        <v>The Burning Trials of Combat: Part 2</v>
      </c>
      <c r="B31" s="49" t="str">
        <f>IFERROR(__xludf.DUMMYFUNCTION("""COMPUTED_VALUE"""),"After slaying the Volcanic Serpent the player(s) cheer in victory while the crowd just laughs at the player(s) because they don’t know what is coming next, the player(s) start to notice the crowd laughing, One of the player(s) start yelling at the crowd t"&amp;"hen the party feels vibrations coming from the ground that they were standing on. The Volcanic Serpent now becomes The Waking Ash of the Serpent as the player(s) get ready to attack, the Serpent lets out a loud roar causing the partys d20 rolls to be half"&amp;"ed for 3 rounds as the battle starts.")</f>
        <v>After slaying the Volcanic Serpent the player(s) cheer in victory while the crowd just laughs at the player(s) because they don’t know what is coming next, the player(s) start to notice the crowd laughing, One of the player(s) start yelling at the crowd then the party feels vibrations coming from the ground that they were standing on. The Volcanic Serpent now becomes The Waking Ash of the Serpent as the player(s) get ready to attack, the Serpent lets out a loud roar causing the partys d20 rolls to be halfed for 3 rounds as the battle starts.</v>
      </c>
      <c r="C31" s="49" t="str">
        <f>IFERROR(__xludf.DUMMYFUNCTION("""COMPUTED_VALUE"""),"Side")</f>
        <v>Side</v>
      </c>
      <c r="D31" s="49" t="str">
        <f>IFERROR(__xludf.DUMMYFUNCTION("""COMPUTED_VALUE"""),"Abstara")</f>
        <v>Abstara</v>
      </c>
      <c r="E31" s="49">
        <f>IFERROR(__xludf.DUMMYFUNCTION("""COMPUTED_VALUE"""),0.0)</f>
        <v>0</v>
      </c>
    </row>
    <row r="32">
      <c r="A32" s="49" t="str">
        <f>IFERROR(__xludf.DUMMYFUNCTION("""COMPUTED_VALUE"""),"1. The Firestorm Unleashed")</f>
        <v>1. The Firestorm Unleashed</v>
      </c>
      <c r="B32" s="49" t="str">
        <f>IFERROR(__xludf.DUMMYFUNCTION("""COMPUTED_VALUE"""),"The grand city of Civille, within the Land of Spira, faces an imminent threat as Lord Dreadful's ambitions escalate. A malevolent Dragon Summoner unleashes a fiery terror upon Civille - a Volcanic Void Dragon. Your party crosses paths with Deathblade The "&amp;"Dragon Hunter, a mysterious and skilled warrior who offers his assistance. Together, you must thwart the dragon's destruction and confront the sinister connection between the summoner and Lord Dreadful. This quest sets the stage for the larger battle agai"&amp;"nst Lord Dreadful's forces.")</f>
        <v>The grand city of Civille, within the Land of Spira, faces an imminent threat as Lord Dreadful's ambitions escalate. A malevolent Dragon Summoner unleashes a fiery terror upon Civille - a Volcanic Void Dragon. Your party crosses paths with Deathblade The Dragon Hunter, a mysterious and skilled warrior who offers his assistance. Together, you must thwart the dragon's destruction and confront the sinister connection between the summoner and Lord Dreadful. This quest sets the stage for the larger battle against Lord Dreadful's forces.</v>
      </c>
      <c r="C32" s="49" t="str">
        <f>IFERROR(__xludf.DUMMYFUNCTION("""COMPUTED_VALUE"""),"Main")</f>
        <v>Main</v>
      </c>
      <c r="D32" s="49" t="str">
        <f>IFERROR(__xludf.DUMMYFUNCTION("""COMPUTED_VALUE"""),"Land of Spira, Civille")</f>
        <v>Land of Spira, Civille</v>
      </c>
      <c r="E32" s="49">
        <f>IFERROR(__xludf.DUMMYFUNCTION("""COMPUTED_VALUE"""),0.0)</f>
        <v>0</v>
      </c>
    </row>
    <row r="33">
      <c r="A33" s="49" t="str">
        <f>IFERROR(__xludf.DUMMYFUNCTION("""COMPUTED_VALUE"""),"2. Echoes of Darkness")</f>
        <v>2. Echoes of Darkness</v>
      </c>
      <c r="B33" s="49" t="str">
        <f>IFERROR(__xludf.DUMMYFUNCTION("""COMPUTED_VALUE"""),"After entering the ominous Dead Forest alongside Deathblade, the party finds themselves separated from him, lost in the foreboding wilderness. As they venture deeper, they are beset by groups of undead enemies, and their only lead is a cryptic message fro"&amp;"m a Skeletal Warrior, hinting at a meeting on the western shores of the forest. Intrigued and determined, the party heads in that direction, only to witness a chilling encounter with the Phantom of Lord Dreadful and his menacing Dark Wizards. Their pursui"&amp;"t of the Phantom begins, uncovering hints of a sinister alliance that may pose a new threat.")</f>
        <v>After entering the ominous Dead Forest alongside Deathblade, the party finds themselves separated from him, lost in the foreboding wilderness. As they venture deeper, they are beset by groups of undead enemies, and their only lead is a cryptic message from a Skeletal Warrior, hinting at a meeting on the western shores of the forest. Intrigued and determined, the party heads in that direction, only to witness a chilling encounter with the Phantom of Lord Dreadful and his menacing Dark Wizards. Their pursuit of the Phantom begins, uncovering hints of a sinister alliance that may pose a new threat.</v>
      </c>
      <c r="C33" s="49" t="str">
        <f>IFERROR(__xludf.DUMMYFUNCTION("""COMPUTED_VALUE"""),"Main")</f>
        <v>Main</v>
      </c>
      <c r="D33" s="49" t="str">
        <f>IFERROR(__xludf.DUMMYFUNCTION("""COMPUTED_VALUE"""),"Land of Spira, Dead Forest")</f>
        <v>Land of Spira, Dead Forest</v>
      </c>
      <c r="E33" s="49">
        <f>IFERROR(__xludf.DUMMYFUNCTION("""COMPUTED_VALUE"""),0.0)</f>
        <v>0</v>
      </c>
    </row>
    <row r="34">
      <c r="A34" s="49" t="str">
        <f>IFERROR(__xludf.DUMMYFUNCTION("""COMPUTED_VALUE"""),"3. Beneath the Surface")</f>
        <v>3. Beneath the Surface</v>
      </c>
      <c r="B34" s="49" t="str">
        <f>IFERROR(__xludf.DUMMYFUNCTION("""COMPUTED_VALUE"""),"Upon arriving in Lake Town, the party is compelled to investigate any connections between Lord Dreadful and this enigmatic town. During conversations with the town's guards, they uncover that Lord Dreadful's associates are linked to a series of peculiar d"&amp;"isappearances near the docks. As the party sets up a stakeout at the docks, they observe the arrival of a group of strange cultists and their entrance into a concealed underground passage. With cunning subterfuge and quick thinking, the party infiltrates "&amp;"the cultists' ranks to discover a sinister plot involving the summoning of a being capable of controlling a Spira Guardian. Armed with this critical information, they partner with the local guards for a raid on the cultist fortress.")</f>
        <v>Upon arriving in Lake Town, the party is compelled to investigate any connections between Lord Dreadful and this enigmatic town. During conversations with the town's guards, they uncover that Lord Dreadful's associates are linked to a series of peculiar disappearances near the docks. As the party sets up a stakeout at the docks, they observe the arrival of a group of strange cultists and their entrance into a concealed underground passage. With cunning subterfuge and quick thinking, the party infiltrates the cultists' ranks to discover a sinister plot involving the summoning of a being capable of controlling a Spira Guardian. Armed with this critical information, they partner with the local guards for a raid on the cultist fortress.</v>
      </c>
      <c r="C34" s="49" t="str">
        <f>IFERROR(__xludf.DUMMYFUNCTION("""COMPUTED_VALUE"""),"Main")</f>
        <v>Main</v>
      </c>
      <c r="D34" s="49" t="str">
        <f>IFERROR(__xludf.DUMMYFUNCTION("""COMPUTED_VALUE"""),"Land of Spira, Lake Town")</f>
        <v>Land of Spira, Lake Town</v>
      </c>
      <c r="E34" s="49">
        <f>IFERROR(__xludf.DUMMYFUNCTION("""COMPUTED_VALUE"""),0.0)</f>
        <v>0</v>
      </c>
    </row>
    <row r="35">
      <c r="A35" s="49" t="str">
        <f>IFERROR(__xludf.DUMMYFUNCTION("""COMPUTED_VALUE"""),"4.  Deserts of Vengeance")</f>
        <v>4.  Deserts of Vengeance</v>
      </c>
      <c r="B35" s="49" t="str">
        <f>IFERROR(__xludf.DUMMYFUNCTION("""COMPUTED_VALUE"""),"Your party arrives on the scorching Desert Island, where they find themselves in the midst of chaos and peril. Speaking with the island's guards, you learn that the cultists have fled Lake Town after their hideout was raided. Seeking revenge, they've init"&amp;"iated a plan to summon a horde of Sand Worms to wreak havoc upon the island, threatening its very habitability. To restore peace and safeguard the island, your party embarks on a perilous quest to hunt down and eliminate the marauding Sand Worms.")</f>
        <v>Your party arrives on the scorching Desert Island, where they find themselves in the midst of chaos and peril. Speaking with the island's guards, you learn that the cultists have fled Lake Town after their hideout was raided. Seeking revenge, they've initiated a plan to summon a horde of Sand Worms to wreak havoc upon the island, threatening its very habitability. To restore peace and safeguard the island, your party embarks on a perilous quest to hunt down and eliminate the marauding Sand Worms.</v>
      </c>
      <c r="C35" s="49" t="str">
        <f>IFERROR(__xludf.DUMMYFUNCTION("""COMPUTED_VALUE"""),"Main")</f>
        <v>Main</v>
      </c>
      <c r="D35" s="49" t="str">
        <f>IFERROR(__xludf.DUMMYFUNCTION("""COMPUTED_VALUE"""),"Land of Spira, Desert Island")</f>
        <v>Land of Spira, Desert Island</v>
      </c>
      <c r="E35" s="49">
        <f>IFERROR(__xludf.DUMMYFUNCTION("""COMPUTED_VALUE"""),15.0)</f>
        <v>15</v>
      </c>
    </row>
    <row r="36">
      <c r="A36" s="49" t="str">
        <f>IFERROR(__xludf.DUMMYFUNCTION("""COMPUTED_VALUE"""),"5. Ashen Reckoning")</f>
        <v>5. Ashen Reckoning</v>
      </c>
      <c r="B36" s="49" t="str">
        <f>IFERROR(__xludf.DUMMYFUNCTION("""COMPUTED_VALUE"""),"Seeking fresh leads, the party arrives at Forest View, a seemingly peaceful location to gather information. However, they are met with a devastating sight - The Deep Forest is in flames, and the magnificent Spira Guardian, the Ancient Forest Colossus, has"&amp;" been set ablaze. In a race against time, the party assists in the evacuation of civilians and attempts to douse the flames, but a significant portion of the forest is ultimately reduced to ash. From the guards, they learn that a group of infiltrating fir"&amp;"e mages had conspired to wreak havoc on Forest View at the behest of Lord Dreadful. The party pursues one of the fleeing mages to extract information that reveals Lord Dreadful's ominous intentions for Tritonoch, and his determination to prevent interfere"&amp;"nce from Forest View.")</f>
        <v>Seeking fresh leads, the party arrives at Forest View, a seemingly peaceful location to gather information. However, they are met with a devastating sight - The Deep Forest is in flames, and the magnificent Spira Guardian, the Ancient Forest Colossus, has been set ablaze. In a race against time, the party assists in the evacuation of civilians and attempts to douse the flames, but a significant portion of the forest is ultimately reduced to ash. From the guards, they learn that a group of infiltrating fire mages had conspired to wreak havoc on Forest View at the behest of Lord Dreadful. The party pursues one of the fleeing mages to extract information that reveals Lord Dreadful's ominous intentions for Tritonoch, and his determination to prevent interference from Forest View.</v>
      </c>
      <c r="C36" s="49" t="str">
        <f>IFERROR(__xludf.DUMMYFUNCTION("""COMPUTED_VALUE"""),"Main")</f>
        <v>Main</v>
      </c>
      <c r="D36" s="49" t="str">
        <f>IFERROR(__xludf.DUMMYFUNCTION("""COMPUTED_VALUE"""),"Land of Spira, Forest View")</f>
        <v>Land of Spira, Forest View</v>
      </c>
      <c r="E36" s="49">
        <f>IFERROR(__xludf.DUMMYFUNCTION("""COMPUTED_VALUE"""),0.0)</f>
        <v>0</v>
      </c>
    </row>
    <row r="37">
      <c r="A37" s="49" t="str">
        <f>IFERROR(__xludf.DUMMYFUNCTION("""COMPUTED_VALUE"""),"6.Tides of Deception")</f>
        <v>6.Tides of Deception</v>
      </c>
      <c r="B37" s="49" t="str">
        <f>IFERROR(__xludf.DUMMYFUNCTION("""COMPUTED_VALUE"""),"Eager to set sail for Tritonoch from Forest View, the party embarks on a journey in search of a ship. After struggling to find a way to the distant land, they are approached by a peculiar sailor who offers passage. However, their journey quickly takes a t"&amp;"reacherous turn as the ""sailor"" reveals his allegiance to Lord Dreadful, and the party is thrust into a life-or-death battle on the high seas. They uncover a map to Tritonoch in the captain's quarters but must weather a violent storm that eventually lea"&amp;"ds them to an unexpected and perilous destination - the Ship Graveyard.")</f>
        <v>Eager to set sail for Tritonoch from Forest View, the party embarks on a journey in search of a ship. After struggling to find a way to the distant land, they are approached by a peculiar sailor who offers passage. However, their journey quickly takes a treacherous turn as the "sailor" reveals his allegiance to Lord Dreadful, and the party is thrust into a life-or-death battle on the high seas. They uncover a map to Tritonoch in the captain's quarters but must weather a violent storm that eventually leads them to an unexpected and perilous destination - the Ship Graveyard.</v>
      </c>
      <c r="C37" s="49" t="str">
        <f>IFERROR(__xludf.DUMMYFUNCTION("""COMPUTED_VALUE"""),"Main")</f>
        <v>Main</v>
      </c>
      <c r="D37" s="49" t="str">
        <f>IFERROR(__xludf.DUMMYFUNCTION("""COMPUTED_VALUE"""),"Land of Spira, Port Fawn")</f>
        <v>Land of Spira, Port Fawn</v>
      </c>
      <c r="E37" s="49">
        <f>IFERROR(__xludf.DUMMYFUNCTION("""COMPUTED_VALUE"""),0.0)</f>
        <v>0</v>
      </c>
    </row>
    <row r="38">
      <c r="A38" s="49" t="str">
        <f>IFERROR(__xludf.DUMMYFUNCTION("""COMPUTED_VALUE"""),"7. The Kraken's Lament")</f>
        <v>7. The Kraken's Lament</v>
      </c>
      <c r="B38" s="49" t="str">
        <f>IFERROR(__xludf.DUMMYFUNCTION("""COMPUTED_VALUE"""),"Stranded in the eerie Ship Graveyard, your party faces the daunting task of exploring the derelict vessels for a way out or essential supplies. While searching through the graveyard, you encounter fierce adversaries and uncover an unexpected treasure - a "&amp;"chest concealed within the remains of a ship that once belonged to Lord Dreadful. Breaking open this chest reveals a small, cursed effigy of the Kraken, which, upon touch, dissolves into nothingness, allowing a voice to resonate in your minds. The voice b"&amp;"elongs to the Kraken, imprisoned by Lord Dreadful's dark magic, and he seeks your assistance to restore his energy. The Kraken emerges from the depths to transport your party to Tritonoch to aid him in his quest.")</f>
        <v>Stranded in the eerie Ship Graveyard, your party faces the daunting task of exploring the derelict vessels for a way out or essential supplies. While searching through the graveyard, you encounter fierce adversaries and uncover an unexpected treasure - a chest concealed within the remains of a ship that once belonged to Lord Dreadful. Breaking open this chest reveals a small, cursed effigy of the Kraken, which, upon touch, dissolves into nothingness, allowing a voice to resonate in your minds. The voice belongs to the Kraken, imprisoned by Lord Dreadful's dark magic, and he seeks your assistance to restore his energy. The Kraken emerges from the depths to transport your party to Tritonoch to aid him in his quest.</v>
      </c>
      <c r="C38" s="49" t="str">
        <f>IFERROR(__xludf.DUMMYFUNCTION("""COMPUTED_VALUE"""),"Main")</f>
        <v>Main</v>
      </c>
      <c r="D38" s="49" t="str">
        <f>IFERROR(__xludf.DUMMYFUNCTION("""COMPUTED_VALUE"""),"Land of Spira, Ship Graveyard")</f>
        <v>Land of Spira, Ship Graveyard</v>
      </c>
      <c r="E38" s="49">
        <f>IFERROR(__xludf.DUMMYFUNCTION("""COMPUTED_VALUE"""),0.0)</f>
        <v>0</v>
      </c>
    </row>
    <row r="39">
      <c r="A39" s="49" t="str">
        <f>IFERROR(__xludf.DUMMYFUNCTION("""COMPUTED_VALUE"""),"8. Rise of the Kraken")</f>
        <v>8. Rise of the Kraken</v>
      </c>
      <c r="B39" s="49" t="str">
        <f>IFERROR(__xludf.DUMMYFUNCTION("""COMPUTED_VALUE"""),"The Kraken has transported your party to Tritonoch, only to find the land under the oppressive control of Lord Dreadful's minions who have harnessed the Kraken's energy in a dangerous relic, seeking to revive the malevolent entity, Cthulhu. Your party mus"&amp;"t now join forces with the weakened Kraken to fight through Lord Dreadful's forces, recover the relic, and confront the formidable Skeleton Lord. In a dramatic showdown, the Kraken seizes the relic, but the Skeleton Lord narrowly escapes. With the relic i"&amp;"n the Kraken's possession, he reclaims his full power and eradicates Lord Dreadful's forces, liberating Tritonoch. As gratitude, the Kraken offers to guide your party to the Foul Night Swamp, embarking on another crucial leg of your epic quest.")</f>
        <v>The Kraken has transported your party to Tritonoch, only to find the land under the oppressive control of Lord Dreadful's minions who have harnessed the Kraken's energy in a dangerous relic, seeking to revive the malevolent entity, Cthulhu. Your party must now join forces with the weakened Kraken to fight through Lord Dreadful's forces, recover the relic, and confront the formidable Skeleton Lord. In a dramatic showdown, the Kraken seizes the relic, but the Skeleton Lord narrowly escapes. With the relic in the Kraken's possession, he reclaims his full power and eradicates Lord Dreadful's forces, liberating Tritonoch. As gratitude, the Kraken offers to guide your party to the Foul Night Swamp, embarking on another crucial leg of your epic quest.</v>
      </c>
      <c r="C39" s="49" t="str">
        <f>IFERROR(__xludf.DUMMYFUNCTION("""COMPUTED_VALUE"""),"Main")</f>
        <v>Main</v>
      </c>
      <c r="D39" s="49" t="str">
        <f>IFERROR(__xludf.DUMMYFUNCTION("""COMPUTED_VALUE"""),"Land of Spira, Tritonoch")</f>
        <v>Land of Spira, Tritonoch</v>
      </c>
      <c r="E39" s="49">
        <f>IFERROR(__xludf.DUMMYFUNCTION("""COMPUTED_VALUE"""),0.0)</f>
        <v>0</v>
      </c>
    </row>
    <row r="40">
      <c r="A40" s="49" t="str">
        <f>IFERROR(__xludf.DUMMYFUNCTION("""COMPUTED_VALUE"""),"9. A Foul Night to be in a Swamp")</f>
        <v>9. A Foul Night to be in a Swamp</v>
      </c>
      <c r="B40" s="49" t="str">
        <f>IFERROR(__xludf.DUMMYFUNCTION("""COMPUTED_VALUE"""),"The Kraken safely delivers your party to the foreboding shores of the Foul Night Swamp. As you venture into the nearby town, you quickly become aware that it is plagued by a substantial number of people loyal to Lord Dreadful. With the descent of night, t"&amp;"his treacherous loyalty becomes increasingly evident when your party is attacked by a group of cultists. During the battle, the cultists' leader drops a peculiar medallion, along with a message from Lord Dreadful instructing them to steal the other medall"&amp;"ion from the Lord of Spira in The Red Sands.")</f>
        <v>The Kraken safely delivers your party to the foreboding shores of the Foul Night Swamp. As you venture into the nearby town, you quickly become aware that it is plagued by a substantial number of people loyal to Lord Dreadful. With the descent of night, this treacherous loyalty becomes increasingly evident when your party is attacked by a group of cultists. During the battle, the cultists' leader drops a peculiar medallion, along with a message from Lord Dreadful instructing them to steal the other medallion from the Lord of Spira in The Red Sands.</v>
      </c>
      <c r="C40" s="49" t="str">
        <f>IFERROR(__xludf.DUMMYFUNCTION("""COMPUTED_VALUE"""),"Main")</f>
        <v>Main</v>
      </c>
      <c r="D40" s="49" t="str">
        <f>IFERROR(__xludf.DUMMYFUNCTION("""COMPUTED_VALUE"""),"Land of Spira, Foul Night Swamp")</f>
        <v>Land of Spira, Foul Night Swamp</v>
      </c>
      <c r="E40" s="49">
        <f>IFERROR(__xludf.DUMMYFUNCTION("""COMPUTED_VALUE"""),0.0)</f>
        <v>0</v>
      </c>
    </row>
    <row r="41">
      <c r="A41" s="49" t="str">
        <f>IFERROR(__xludf.DUMMYFUNCTION("""COMPUTED_VALUE"""),"10. A Good Day to Have a Good Day")</f>
        <v>10. A Good Day to Have a Good Day</v>
      </c>
      <c r="B41" s="49" t="str">
        <f>IFERROR(__xludf.DUMMYFUNCTION("""COMPUTED_VALUE"""),"Traveling to The Red Sands, the party passes through the Docile Plains. There, they are set upon by Lord Goose. After defeating Lord Goose, they discover a chest containing a a goose staff.")</f>
        <v>Traveling to The Red Sands, the party passes through the Docile Plains. There, they are set upon by Lord Goose. After defeating Lord Goose, they discover a chest containing a a goose staff.</v>
      </c>
      <c r="C41" s="49" t="str">
        <f>IFERROR(__xludf.DUMMYFUNCTION("""COMPUTED_VALUE"""),"Main")</f>
        <v>Main</v>
      </c>
      <c r="D41" s="49" t="str">
        <f>IFERROR(__xludf.DUMMYFUNCTION("""COMPUTED_VALUE"""),"Land of Spira, Docile Plains")</f>
        <v>Land of Spira, Docile Plains</v>
      </c>
      <c r="E41" s="49">
        <f>IFERROR(__xludf.DUMMYFUNCTION("""COMPUTED_VALUE"""),0.0)</f>
        <v>0</v>
      </c>
    </row>
    <row r="42">
      <c r="A42" s="49" t="str">
        <f>IFERROR(__xludf.DUMMYFUNCTION("""COMPUTED_VALUE"""),"11. Shadows in The Sands")</f>
        <v>11. Shadows in The Sands</v>
      </c>
      <c r="B42" s="49" t="str">
        <f>IFERROR(__xludf.DUMMYFUNCTION("""COMPUTED_VALUE"""),"As your party arrives in The Red Sands and seeks an audience with the Lord of Spira, you are met with resistance from the guards who are on high alert due to an assassination attempt on the Lord's life. The guards also reveal that an important medallion, "&amp;"one of a pair capable of unlocking hidden secrets in the Ruins of Mana, has been stolen. Your party, armed with the medallion you obtained from the Foul Night Swamp, attempts to explain that you received it from cultists who attacked you. However, this on"&amp;"ly leads to your immediate arrest, as the guards believe you are responsible for the theft. While imprisoned, it's discovered that the real assassin is among the guards, a Major General who took the medallion during your arrest and handed it over to Lord "&amp;"Dreadful. He now attempts to eliminate your party to cover his tracks. In a tense battle, your party overcomes the treacherous guard, exposing the truth and earning a meeting with the Lord of Spira. In this meeting, you discover that the Ruins of Mana hol"&amp;"d dangerous and ancient powers that must not fall into the wrong hands. Lord Dreadful is actively seeking access to the Ruins. A sudden development interrupts your meeting, as a guard rushes in with news that the second medallion has been stolen and is he"&amp;"aded for Wildwood. Should the thief get away, Lord Dreadful will possess both medallions, and your party is tasked with pursuing the thief.")</f>
        <v>As your party arrives in The Red Sands and seeks an audience with the Lord of Spira, you are met with resistance from the guards who are on high alert due to an assassination attempt on the Lord's life. The guards also reveal that an important medallion, one of a pair capable of unlocking hidden secrets in the Ruins of Mana, has been stolen. Your party, armed with the medallion you obtained from the Foul Night Swamp, attempts to explain that you received it from cultists who attacked you. However, this only leads to your immediate arrest, as the guards believe you are responsible for the theft. While imprisoned, it's discovered that the real assassin is among the guards, a Major General who took the medallion during your arrest and handed it over to Lord Dreadful. He now attempts to eliminate your party to cover his tracks. In a tense battle, your party overcomes the treacherous guard, exposing the truth and earning a meeting with the Lord of Spira. In this meeting, you discover that the Ruins of Mana hold dangerous and ancient powers that must not fall into the wrong hands. Lord Dreadful is actively seeking access to the Ruins. A sudden development interrupts your meeting, as a guard rushes in with news that the second medallion has been stolen and is headed for Wildwood. Should the thief get away, Lord Dreadful will possess both medallions, and your party is tasked with pursuing the thief.</v>
      </c>
      <c r="C42" s="49" t="str">
        <f>IFERROR(__xludf.DUMMYFUNCTION("""COMPUTED_VALUE"""),"Main")</f>
        <v>Main</v>
      </c>
      <c r="D42" s="49" t="str">
        <f>IFERROR(__xludf.DUMMYFUNCTION("""COMPUTED_VALUE"""),"Land of Spira, Red Sands")</f>
        <v>Land of Spira, Red Sands</v>
      </c>
      <c r="E42" s="49">
        <f>IFERROR(__xludf.DUMMYFUNCTION("""COMPUTED_VALUE"""),0.0)</f>
        <v>0</v>
      </c>
    </row>
    <row r="43">
      <c r="A43" s="49" t="str">
        <f>IFERROR(__xludf.DUMMYFUNCTION("""COMPUTED_VALUE"""),"12. The Pursuit For The Medals")</f>
        <v>12. The Pursuit For The Medals</v>
      </c>
      <c r="B43" s="49" t="str">
        <f>IFERROR(__xludf.DUMMYFUNCTION("""COMPUTED_VALUE"""),"In hot pursuit of the thieves who stole the second medallion, your party passes through the Docile Plains and tracks the thieves to Wildwood. However, the trail becomes elusive as you enter a small village. In your quest for information regarding the meda"&amp;"llions, one of the villagers begins shadowing your party. As your search in the village proves fruitless, night descends, and the villager offers your party a night's stay at their ""Inn."" In the darkness, the villager attempts to murder your party in th"&amp;"eir sleep, revealing their allegiance to Lord Dreadful. The party manages to defeat the treacherous cultist villager. Further investigation in the ""Inn"" leads to the discovery of a secret torture room in the basement. Inside, the party finds the medalli"&amp;"on thief, one of the guards from the Red Sands, who has been brutally beaten. The thief admits to attempting to betray Lord Dreadful and use the medallions for his own gain, but the cultists discovered his intentions and seized the medallions, heading to "&amp;"the Ruins.")</f>
        <v>In hot pursuit of the thieves who stole the second medallion, your party passes through the Docile Plains and tracks the thieves to Wildwood. However, the trail becomes elusive as you enter a small village. In your quest for information regarding the medallions, one of the villagers begins shadowing your party. As your search in the village proves fruitless, night descends, and the villager offers your party a night's stay at their "Inn." In the darkness, the villager attempts to murder your party in their sleep, revealing their allegiance to Lord Dreadful. The party manages to defeat the treacherous cultist villager. Further investigation in the "Inn" leads to the discovery of a secret torture room in the basement. Inside, the party finds the medallion thief, one of the guards from the Red Sands, who has been brutally beaten. The thief admits to attempting to betray Lord Dreadful and use the medallions for his own gain, but the cultists discovered his intentions and seized the medallions, heading to the Ruins.</v>
      </c>
      <c r="C43" s="49" t="str">
        <f>IFERROR(__xludf.DUMMYFUNCTION("""COMPUTED_VALUE"""),"Main")</f>
        <v>Main</v>
      </c>
      <c r="D43" s="49" t="str">
        <f>IFERROR(__xludf.DUMMYFUNCTION("""COMPUTED_VALUE"""),"Land of Spira, WildWood")</f>
        <v>Land of Spira, WildWood</v>
      </c>
      <c r="E43" s="49">
        <f>IFERROR(__xludf.DUMMYFUNCTION("""COMPUTED_VALUE"""),0.0)</f>
        <v>0</v>
      </c>
    </row>
    <row r="44">
      <c r="A44" s="49" t="str">
        <f>IFERROR(__xludf.DUMMYFUNCTION("""COMPUTED_VALUE"""),"13. The Spectacle of Hallowtown")</f>
        <v>13. The Spectacle of Hallowtown</v>
      </c>
      <c r="B44" s="49" t="str">
        <f>IFERROR(__xludf.DUMMYFUNCTION("""COMPUTED_VALUE"""),"Upon reaching Hallowtown, your party is immediately surrounded by skeletons, seemingly engaged in a peculiar celebration. They insist that your party participate, revealing a grand spectacle in progress. You soon learn that a group of three guards had arr"&amp;"ived in Hallowtown in pursuit of the medallions, but their confrontation with the town's residents led to their capture. The town intends to execute them that night in a grand spectacle. Faced with a moral dilemma, your party decides to intervene, breakin"&amp;"g into the spectacle to free the guards. Upon their liberation, the guards disclose that the cultists with the medallions have already passed through.")</f>
        <v>Upon reaching Hallowtown, your party is immediately surrounded by skeletons, seemingly engaged in a peculiar celebration. They insist that your party participate, revealing a grand spectacle in progress. You soon learn that a group of three guards had arrived in Hallowtown in pursuit of the medallions, but their confrontation with the town's residents led to their capture. The town intends to execute them that night in a grand spectacle. Faced with a moral dilemma, your party decides to intervene, breaking into the spectacle to free the guards. Upon their liberation, the guards disclose that the cultists with the medallions have already passed through.</v>
      </c>
      <c r="C44" s="49" t="str">
        <f>IFERROR(__xludf.DUMMYFUNCTION("""COMPUTED_VALUE"""),"Main")</f>
        <v>Main</v>
      </c>
      <c r="D44" s="49" t="str">
        <f>IFERROR(__xludf.DUMMYFUNCTION("""COMPUTED_VALUE"""),"Land of Spira, Hallowtown")</f>
        <v>Land of Spira, Hallowtown</v>
      </c>
      <c r="E44" s="49">
        <f>IFERROR(__xludf.DUMMYFUNCTION("""COMPUTED_VALUE"""),0.0)</f>
        <v>0</v>
      </c>
    </row>
    <row r="45">
      <c r="A45" s="49" t="str">
        <f>IFERROR(__xludf.DUMMYFUNCTION("""COMPUTED_VALUE"""),"14. The Power of Mana")</f>
        <v>14. The Power of Mana</v>
      </c>
      <c r="B45" s="49" t="str">
        <f>IFERROR(__xludf.DUMMYFUNCTION("""COMPUTED_VALUE"""),"Lord Dreadful's minions have already arrived at the Ruins of Mana, with the players hot on their trail. Upon reaching the area, however, the players find no living trace of the minions. They approach one of the buildings, but are attacked by two Ancient S"&amp;"tone Guards. The party fight them off, but more appear, chasing the players into the building. They find the minions of Lord Dreadful, already defeated by the Guards, one of the minions holding the medallions. One of the players grab the medallions, at wh"&amp;"ich point the Guards immediately cease their attack. They position themselves between the party and the path deeper into the Ruins, and tells the party that minions of Lord Dreadful are not welcome here, so they must leave. The Guards refuse to listen to "&amp;"anything of the party saying they're not Lord Dreadful's minions, and the party is forced to leave for the time being. Returning the medallions to the Lord of Spira, the party is told to keep them for safekeeping, and sent to the Frozen Forest to investig"&amp;"ate Lord Dreadful's movements there...")</f>
        <v>Lord Dreadful's minions have already arrived at the Ruins of Mana, with the players hot on their trail. Upon reaching the area, however, the players find no living trace of the minions. They approach one of the buildings, but are attacked by two Ancient Stone Guards. The party fight them off, but more appear, chasing the players into the building. They find the minions of Lord Dreadful, already defeated by the Guards, one of the minions holding the medallions. One of the players grab the medallions, at which point the Guards immediately cease their attack. They position themselves between the party and the path deeper into the Ruins, and tells the party that minions of Lord Dreadful are not welcome here, so they must leave. The Guards refuse to listen to anything of the party saying they're not Lord Dreadful's minions, and the party is forced to leave for the time being. Returning the medallions to the Lord of Spira, the party is told to keep them for safekeeping, and sent to the Frozen Forest to investigate Lord Dreadful's movements there...</v>
      </c>
      <c r="C45" s="49" t="str">
        <f>IFERROR(__xludf.DUMMYFUNCTION("""COMPUTED_VALUE"""),"Main")</f>
        <v>Main</v>
      </c>
      <c r="D45" s="49" t="str">
        <f>IFERROR(__xludf.DUMMYFUNCTION("""COMPUTED_VALUE"""),"Land of Spira, Ruins of Mana")</f>
        <v>Land of Spira, Ruins of Mana</v>
      </c>
      <c r="E45" s="49">
        <f>IFERROR(__xludf.DUMMYFUNCTION("""COMPUTED_VALUE"""),0.0)</f>
        <v>0</v>
      </c>
    </row>
    <row r="46">
      <c r="A46" s="49" t="str">
        <f>IFERROR(__xludf.DUMMYFUNCTION("""COMPUTED_VALUE"""),"15. A Cold Time")</f>
        <v>15. A Cold Time</v>
      </c>
      <c r="B46" s="49" t="str">
        <f>IFERROR(__xludf.DUMMYFUNCTION("""COMPUTED_VALUE"""),"The party attempts to travel through the Cursed Iceland to make it to the Frozen Forest, but are faced with 5 battles against Big Frost Owls and Frost Knights. They must fight way through to make it to the Frozen Forest")</f>
        <v>The party attempts to travel through the Cursed Iceland to make it to the Frozen Forest, but are faced with 5 battles against Big Frost Owls and Frost Knights. They must fight way through to make it to the Frozen Forest</v>
      </c>
      <c r="C46" s="49" t="str">
        <f>IFERROR(__xludf.DUMMYFUNCTION("""COMPUTED_VALUE"""),"Main")</f>
        <v>Main</v>
      </c>
      <c r="D46" s="49" t="str">
        <f>IFERROR(__xludf.DUMMYFUNCTION("""COMPUTED_VALUE"""),"Land of Spira, Cursed Iceland")</f>
        <v>Land of Spira, Cursed Iceland</v>
      </c>
      <c r="E46" s="49">
        <f>IFERROR(__xludf.DUMMYFUNCTION("""COMPUTED_VALUE"""),5.0)</f>
        <v>5</v>
      </c>
    </row>
    <row r="47">
      <c r="A47" s="49" t="str">
        <f>IFERROR(__xludf.DUMMYFUNCTION("""COMPUTED_VALUE"""),"16. A Frozen Reception")</f>
        <v>16. A Frozen Reception</v>
      </c>
      <c r="B47" s="49" t="str">
        <f>IFERROR(__xludf.DUMMYFUNCTION("""COMPUTED_VALUE"""),"Arriving in the Frozen Forest, the group attempts to see the queen, but are told that she is preoccupied with the movement of Lord Dreadful's troops around the Treacherous Ice Lake. The party offers to help the problem, and are told they'd be perfect for "&amp;"a mission to sneak into Lord Dreadful's Tower of Chaos at Silence Edge Point. The disguises however require pieces from Shadow Suits of armor, 15 of them to be exact, so the party must go hunt them down.")</f>
        <v>Arriving in the Frozen Forest, the group attempts to see the queen, but are told that she is preoccupied with the movement of Lord Dreadful's troops around the Treacherous Ice Lake. The party offers to help the problem, and are told they'd be perfect for a mission to sneak into Lord Dreadful's Tower of Chaos at Silence Edge Point. The disguises however require pieces from Shadow Suits of armor, 15 of them to be exact, so the party must go hunt them down.</v>
      </c>
      <c r="C47" s="49" t="str">
        <f>IFERROR(__xludf.DUMMYFUNCTION("""COMPUTED_VALUE"""),"Main")</f>
        <v>Main</v>
      </c>
      <c r="D47" s="49" t="str">
        <f>IFERROR(__xludf.DUMMYFUNCTION("""COMPUTED_VALUE"""),"Land of Spira, Frozen Forest")</f>
        <v>Land of Spira, Frozen Forest</v>
      </c>
      <c r="E47" s="49">
        <f>IFERROR(__xludf.DUMMYFUNCTION("""COMPUTED_VALUE"""),15.0)</f>
        <v>15</v>
      </c>
    </row>
    <row r="48">
      <c r="A48" s="49" t="str">
        <f>IFERROR(__xludf.DUMMYFUNCTION("""COMPUTED_VALUE"""),"17. Dreadful Encounter")</f>
        <v>17. Dreadful Encounter</v>
      </c>
      <c r="B48" s="49" t="str">
        <f>IFERROR(__xludf.DUMMYFUNCTION("""COMPUTED_VALUE"""),"The party are disguised as Lord Dreadful's minions and manage to sneak through Silence Edge Point all the way to the Tower of Chaos. They manage to sneak in, and make their way through various war rooms with plans to invade and destabilize numerous region"&amp;"s: triggering a war between Black Horn,Tritonoch, and the Undead City; orders for deadly items from Mekana; correspondence with some mages in the Chaotic Seas; invasion plans for Zhenmay and the Frozen Terrain; and more documents the party doesn't have ti"&amp;"me to read before they are disturbed by Lord Dreadful himself, flanked by his Phantom and his two Horsemen. They immediately see through the party's disguise and attack them. During the battle, the party is thoroughly thrashed and are forced to run away, "&amp;"ending up in the Jungle of Shadows")</f>
        <v>The party are disguised as Lord Dreadful's minions and manage to sneak through Silence Edge Point all the way to the Tower of Chaos. They manage to sneak in, and make their way through various war rooms with plans to invade and destabilize numerous regions: triggering a war between Black Horn,Tritonoch, and the Undead City; orders for deadly items from Mekana; correspondence with some mages in the Chaotic Seas; invasion plans for Zhenmay and the Frozen Terrain; and more documents the party doesn't have time to read before they are disturbed by Lord Dreadful himself, flanked by his Phantom and his two Horsemen. They immediately see through the party's disguise and attack them. During the battle, the party is thoroughly thrashed and are forced to run away, ending up in the Jungle of Shadows</v>
      </c>
      <c r="C48" s="49" t="str">
        <f>IFERROR(__xludf.DUMMYFUNCTION("""COMPUTED_VALUE"""),"Main")</f>
        <v>Main</v>
      </c>
      <c r="D48" s="49" t="str">
        <f>IFERROR(__xludf.DUMMYFUNCTION("""COMPUTED_VALUE"""),"Land of Spira, Silence Edge Point")</f>
        <v>Land of Spira, Silence Edge Point</v>
      </c>
      <c r="E48" s="49">
        <f>IFERROR(__xludf.DUMMYFUNCTION("""COMPUTED_VALUE"""),0.0)</f>
        <v>0</v>
      </c>
    </row>
    <row r="49">
      <c r="A49" s="49" t="str">
        <f>IFERROR(__xludf.DUMMYFUNCTION("""COMPUTED_VALUE"""),"18. Obtaining Passage")</f>
        <v>18. Obtaining Passage</v>
      </c>
      <c r="B49" s="49" t="str">
        <f>IFERROR(__xludf.DUMMYFUNCTION("""COMPUTED_VALUE"""),"The party decides to deal with the attempted breakout of war in Black Horn, but are unable to enter Black Horn. They begin searching the Jungle of Shadows for the Chaotic Temple of Shadows, which is rumored to have a potion that allows the living to pass "&amp;"through Undead-only barriers like that which surrounds Black Horn. Eventually they find the Temple and enter. As they search around, they eventually find the potion, but it only allows one round trip through such barriers before wearing off.")</f>
        <v>The party decides to deal with the attempted breakout of war in Black Horn, but are unable to enter Black Horn. They begin searching the Jungle of Shadows for the Chaotic Temple of Shadows, which is rumored to have a potion that allows the living to pass through Undead-only barriers like that which surrounds Black Horn. Eventually they find the Temple and enter. As they search around, they eventually find the potion, but it only allows one round trip through such barriers before wearing off.</v>
      </c>
      <c r="C49" s="49" t="str">
        <f>IFERROR(__xludf.DUMMYFUNCTION("""COMPUTED_VALUE"""),"Main")</f>
        <v>Main</v>
      </c>
      <c r="D49" s="49" t="str">
        <f>IFERROR(__xludf.DUMMYFUNCTION("""COMPUTED_VALUE"""),"Land of Spira, Jungle of Shadows")</f>
        <v>Land of Spira, Jungle of Shadows</v>
      </c>
      <c r="E49" s="49">
        <f>IFERROR(__xludf.DUMMYFUNCTION("""COMPUTED_VALUE"""),0.0)</f>
        <v>0</v>
      </c>
    </row>
    <row r="50">
      <c r="A50" s="49" t="str">
        <f>IFERROR(__xludf.DUMMYFUNCTION("""COMPUTED_VALUE"""),"19. A Day of Negotiations")</f>
        <v>19. A Day of Negotiations</v>
      </c>
      <c r="B50" s="49" t="str">
        <f>IFERROR(__xludf.DUMMYFUNCTION("""COMPUTED_VALUE"""),"The party uses the potion and enters Black Horn. They bring news that Lord Dreadful is attempting to ignite a war, and are given an audience with the Skeleton Colossus. They report on what they found and are informed that the Skeleton Colossus is awaiting"&amp;" for word from Tritonoch and the City of Undead on a peace treaty. The Skeleton Colossus asks the party to sit in on the negotiations due to their previous adventures with Deathblade and the Kraken. Both Deathblade and the Kraken eventually arrive and the"&amp;" negotiations begin. During the negotiations, Deathblade makes more and more ridiculous demands and acts erratic, and eventually he attacks one of the Skeleton Colossus' vassals, declaring that this is a time for action and war instead of lifeless talks o"&amp;"f peace, and reveals himself to be allied with Lord Dreadful. A battle breaks out between Deathblade's reinforcements and the forces of Black Horn and the Kraken. Deathblade escapes, and the party's attempts to prevent a war has ended in failure.")</f>
        <v>The party uses the potion and enters Black Horn. They bring news that Lord Dreadful is attempting to ignite a war, and are given an audience with the Skeleton Colossus. They report on what they found and are informed that the Skeleton Colossus is awaiting for word from Tritonoch and the City of Undead on a peace treaty. The Skeleton Colossus asks the party to sit in on the negotiations due to their previous adventures with Deathblade and the Kraken. Both Deathblade and the Kraken eventually arrive and the negotiations begin. During the negotiations, Deathblade makes more and more ridiculous demands and acts erratic, and eventually he attacks one of the Skeleton Colossus' vassals, declaring that this is a time for action and war instead of lifeless talks of peace, and reveals himself to be allied with Lord Dreadful. A battle breaks out between Deathblade's reinforcements and the forces of Black Horn and the Kraken. Deathblade escapes, and the party's attempts to prevent a war has ended in failure.</v>
      </c>
      <c r="C50" s="49" t="str">
        <f>IFERROR(__xludf.DUMMYFUNCTION("""COMPUTED_VALUE"""),"Main")</f>
        <v>Main</v>
      </c>
      <c r="D50" s="49" t="str">
        <f>IFERROR(__xludf.DUMMYFUNCTION("""COMPUTED_VALUE"""),"Land of Spira, Black Horn")</f>
        <v>Land of Spira, Black Horn</v>
      </c>
      <c r="E50" s="49">
        <f>IFERROR(__xludf.DUMMYFUNCTION("""COMPUTED_VALUE"""),0.0)</f>
        <v>0</v>
      </c>
    </row>
    <row r="51">
      <c r="A51" s="49" t="str">
        <f>IFERROR(__xludf.DUMMYFUNCTION("""COMPUTED_VALUE"""),"20. Mekanized Heroes")</f>
        <v>20. Mekanized Heroes</v>
      </c>
      <c r="B51" s="49" t="str">
        <f>IFERROR(__xludf.DUMMYFUNCTION("""COMPUTED_VALUE"""),"With defeat stinging their pride, the party presses on to the next of Lord Dreadful's plans: an order of deadly new weaponry from Mekana. The party heads to Mekana and quickly gets an audience with the King of Mekana. The King initially seems worried that"&amp;" Lord Dreadful would be ordering such dangerous items, and offers to help the party with some cybernetic enhancements they'll need to hunt down and destroy Lord Dreadful's order. Using their new enhancements, the players track down the company working for"&amp;" Lord Dreadful. Before they can put a stop to it however, their parts lock up, preventing them from stopping the shipping being sent away. Stumbling through the streets, they find a street mechanic that offers to have a look at them. The mechanic reveals "&amp;"they've been tricked, the parts were sabotoged, the King of Mekana was in on it! The mechanic disables some of the locks on the parts, but will need the original schematics to remove them completely. The party must sneak through the factory and find the s"&amp;"chematics, then bring them back to be restored to normal.")</f>
        <v>With defeat stinging their pride, the party presses on to the next of Lord Dreadful's plans: an order of deadly new weaponry from Mekana. The party heads to Mekana and quickly gets an audience with the King of Mekana. The King initially seems worried that Lord Dreadful would be ordering such dangerous items, and offers to help the party with some cybernetic enhancements they'll need to hunt down and destroy Lord Dreadful's order. Using their new enhancements, the players track down the company working for Lord Dreadful. Before they can put a stop to it however, their parts lock up, preventing them from stopping the shipping being sent away. Stumbling through the streets, they find a street mechanic that offers to have a look at them. The mechanic reveals they've been tricked, the parts were sabotoged, the King of Mekana was in on it! The mechanic disables some of the locks on the parts, but will need the original schematics to remove them completely. The party must sneak through the factory and find the schematics, then bring them back to be restored to normal.</v>
      </c>
      <c r="C51" s="49" t="str">
        <f>IFERROR(__xludf.DUMMYFUNCTION("""COMPUTED_VALUE"""),"Main")</f>
        <v>Main</v>
      </c>
      <c r="D51" s="49" t="str">
        <f>IFERROR(__xludf.DUMMYFUNCTION("""COMPUTED_VALUE"""),"Land of Spira, Mekana")</f>
        <v>Land of Spira, Mekana</v>
      </c>
      <c r="E51" s="49">
        <f>IFERROR(__xludf.DUMMYFUNCTION("""COMPUTED_VALUE"""),0.0)</f>
        <v>0</v>
      </c>
    </row>
    <row r="52">
      <c r="A52" s="49" t="str">
        <f>IFERROR(__xludf.DUMMYFUNCTION("""COMPUTED_VALUE"""),"21. Go North Young Man")</f>
        <v>21. Go North Young Man</v>
      </c>
      <c r="B52" s="49" t="str">
        <f>IFERROR(__xludf.DUMMYFUNCTION("""COMPUTED_VALUE"""),"The party makes their way to Zhenmay, hoping to have a victory after two crushing defeats. They begin their investigation by asking the guards for any suspicious activity that could be linked to Lord Dreadful. The party is informed that Elder Monk Kenyu h"&amp;"as gone missing and they were about to raid the suspected perpetrators' hideout. The party is not allowed to join the guards, but stick nearby to keep an eye on things. They discover a group of goblins and spirit warriors escaping from the area and fight "&amp;"them. They drop a message saying that Kenyu has been taken to the Frozen Terrain.")</f>
        <v>The party makes their way to Zhenmay, hoping to have a victory after two crushing defeats. They begin their investigation by asking the guards for any suspicious activity that could be linked to Lord Dreadful. The party is informed that Elder Monk Kenyu has gone missing and they were about to raid the suspected perpetrators' hideout. The party is not allowed to join the guards, but stick nearby to keep an eye on things. They discover a group of goblins and spirit warriors escaping from the area and fight them. They drop a message saying that Kenyu has been taken to the Frozen Terrain.</v>
      </c>
      <c r="C52" s="49" t="str">
        <f>IFERROR(__xludf.DUMMYFUNCTION("""COMPUTED_VALUE"""),"Main")</f>
        <v>Main</v>
      </c>
      <c r="D52" s="49" t="str">
        <f>IFERROR(__xludf.DUMMYFUNCTION("""COMPUTED_VALUE"""),"Land of Spira, Zhenmay")</f>
        <v>Land of Spira, Zhenmay</v>
      </c>
      <c r="E52" s="49">
        <f>IFERROR(__xludf.DUMMYFUNCTION("""COMPUTED_VALUE"""),0.0)</f>
        <v>0</v>
      </c>
    </row>
    <row r="53">
      <c r="A53" s="49" t="str">
        <f>IFERROR(__xludf.DUMMYFUNCTION("""COMPUTED_VALUE"""),"22. Go West Now")</f>
        <v>22. Go West Now</v>
      </c>
      <c r="B53" s="49" t="str">
        <f>IFERROR(__xludf.DUMMYFUNCTION("""COMPUTED_VALUE"""),"The group enter the Northern Frozen Terrain in search of where Kenyu may be held. They meet with the King and Queen of the Frozen Terrain and are informed that they have agents all across the Frozen Terrain looking for Kenyu, but that Lord Dreadful's forc"&amp;"es massing in the Western Frozen Terrain has been holding their attention. If the party goes deals with it then they'll be able to look for Kenyu better. The party is asked to look for someone that can take them to the West, but while looking they are att"&amp;"acked by a Bounty Hunter hired by Lord Dreadful. They defeat the enemy, and head to the West")</f>
        <v>The group enter the Northern Frozen Terrain in search of where Kenyu may be held. They meet with the King and Queen of the Frozen Terrain and are informed that they have agents all across the Frozen Terrain looking for Kenyu, but that Lord Dreadful's forces massing in the Western Frozen Terrain has been holding their attention. If the party goes deals with it then they'll be able to look for Kenyu better. The party is asked to look for someone that can take them to the West, but while looking they are attacked by a Bounty Hunter hired by Lord Dreadful. They defeat the enemy, and head to the West</v>
      </c>
      <c r="C53" s="49" t="str">
        <f>IFERROR(__xludf.DUMMYFUNCTION("""COMPUTED_VALUE"""),"Main")</f>
        <v>Main</v>
      </c>
      <c r="D53" s="49" t="str">
        <f>IFERROR(__xludf.DUMMYFUNCTION("""COMPUTED_VALUE"""),"Land of Spira, Northern Frozen Terrain")</f>
        <v>Land of Spira, Northern Frozen Terrain</v>
      </c>
      <c r="E53" s="49">
        <f>IFERROR(__xludf.DUMMYFUNCTION("""COMPUTED_VALUE"""),0.0)</f>
        <v>0</v>
      </c>
    </row>
    <row r="54">
      <c r="A54" s="49" t="str">
        <f>IFERROR(__xludf.DUMMYFUNCTION("""COMPUTED_VALUE"""),"23. Below Zero")</f>
        <v>23. Below Zero</v>
      </c>
      <c r="B54" s="49" t="str">
        <f>IFERROR(__xludf.DUMMYFUNCTION("""COMPUTED_VALUE"""),"The players approach the outskirts of the army of Lord Dreadful's minions. They spy that the forces are being led by the Phantom of Lord Dreadful. Their guide tells them of a plan to cause an avalanche and bury the army, and hands them some explosives and"&amp;" send them up a mountain. The party is seen by guards and must fight through waves of enemies before reaching the top. They set off the explosives, crushing the army under tons of snow. When they return to their guide they are congratulated on a job well "&amp;"done, but are told he saw the Phantom of Lord Dreadful leave beforehand.")</f>
        <v>The players approach the outskirts of the army of Lord Dreadful's minions. They spy that the forces are being led by the Phantom of Lord Dreadful. Their guide tells them of a plan to cause an avalanche and bury the army, and hands them some explosives and send them up a mountain. The party is seen by guards and must fight through waves of enemies before reaching the top. They set off the explosives, crushing the army under tons of snow. When they return to their guide they are congratulated on a job well done, but are told he saw the Phantom of Lord Dreadful leave beforehand.</v>
      </c>
      <c r="C54" s="49" t="str">
        <f>IFERROR(__xludf.DUMMYFUNCTION("""COMPUTED_VALUE"""),"Main")</f>
        <v>Main</v>
      </c>
      <c r="D54" s="49" t="str">
        <f>IFERROR(__xludf.DUMMYFUNCTION("""COMPUTED_VALUE"""),"Land of Spira, Western Frozen Terrain")</f>
        <v>Land of Spira, Western Frozen Terrain</v>
      </c>
      <c r="E54" s="49">
        <f>IFERROR(__xludf.DUMMYFUNCTION("""COMPUTED_VALUE"""),0.0)</f>
        <v>0</v>
      </c>
    </row>
    <row r="55">
      <c r="A55" s="49" t="str">
        <f>IFERROR(__xludf.DUMMYFUNCTION("""COMPUTED_VALUE"""),"24. Trouble in the Frozen Terrain, eh?")</f>
        <v>24. Trouble in the Frozen Terrain, eh?</v>
      </c>
      <c r="B55" s="49" t="str">
        <f>IFERROR(__xludf.DUMMYFUNCTION("""COMPUTED_VALUE"""),"After returning to the King and Queen of the Frozen Terrain, the party reports their mission in the Western Frozen Terrain as a success. The King and Queen divert some of their spies and informants to look into Kenyu's disappearance and instructs the part"&amp;"y to meet up with a duo of informants on the border to Zhenmay the next morning. The party arrive to meet the informants, but finds them under attack by the Phantom of Lord Dreadful! The party rushes in and defeats Lord Dreadful's Phantom, but when the ba"&amp;"ttle is over the Phantom is revealed to be a fake, conjured by an unknown power. The informants thank the party for the help, and tell them that a group of Lord Dreadful's minions were sighted constructing a makeshift prison in the Eastern Frozen Terrain,"&amp;" and Elder Monk Kenyu is believed to be there...")</f>
        <v>After returning to the King and Queen of the Frozen Terrain, the party reports their mission in the Western Frozen Terrain as a success. The King and Queen divert some of their spies and informants to look into Kenyu's disappearance and instructs the party to meet up with a duo of informants on the border to Zhenmay the next morning. The party arrive to meet the informants, but finds them under attack by the Phantom of Lord Dreadful! The party rushes in and defeats Lord Dreadful's Phantom, but when the battle is over the Phantom is revealed to be a fake, conjured by an unknown power. The informants thank the party for the help, and tell them that a group of Lord Dreadful's minions were sighted constructing a makeshift prison in the Eastern Frozen Terrain, and Elder Monk Kenyu is believed to be there...</v>
      </c>
      <c r="C55" s="49" t="str">
        <f>IFERROR(__xludf.DUMMYFUNCTION("""COMPUTED_VALUE"""),"Main")</f>
        <v>Main</v>
      </c>
      <c r="D55" s="49" t="str">
        <f>IFERROR(__xludf.DUMMYFUNCTION("""COMPUTED_VALUE"""),"Land of Spira, Northern Frozen Terrain")</f>
        <v>Land of Spira, Northern Frozen Terrain</v>
      </c>
      <c r="E55" s="49">
        <f>IFERROR(__xludf.DUMMYFUNCTION("""COMPUTED_VALUE"""),0.0)</f>
        <v>0</v>
      </c>
    </row>
    <row r="56">
      <c r="A56" s="49" t="str">
        <f>IFERROR(__xludf.DUMMYFUNCTION("""COMPUTED_VALUE"""),"25. A Daring Rescue")</f>
        <v>25. A Daring Rescue</v>
      </c>
      <c r="B56" s="49" t="str">
        <f>IFERROR(__xludf.DUMMYFUNCTION("""COMPUTED_VALUE"""),"The party investigate the makeshift prison being used to hold Elder Monk Kenyu. They find it's in the middle of nowhere but heavily guarded by various frost monsters. Unfortunately, they're quickly seen and must fight their way through wave after wave of "&amp;"enemies to reach the Elder Monk. They eventually make it through and make it to the holding cell. After breaking Kenyu out, they work together to make their escape and then travel back to Zhenmay. Along the way, Kenyu says they were stealing energy from h"&amp;"im to use for something in the Dryland Desert.")</f>
        <v>The party investigate the makeshift prison being used to hold Elder Monk Kenyu. They find it's in the middle of nowhere but heavily guarded by various frost monsters. Unfortunately, they're quickly seen and must fight their way through wave after wave of enemies to reach the Elder Monk. They eventually make it through and make it to the holding cell. After breaking Kenyu out, they work together to make their escape and then travel back to Zhenmay. Along the way, Kenyu says they were stealing energy from him to use for something in the Dryland Desert.</v>
      </c>
      <c r="C56" s="49" t="str">
        <f>IFERROR(__xludf.DUMMYFUNCTION("""COMPUTED_VALUE"""),"Main")</f>
        <v>Main</v>
      </c>
      <c r="D56" s="49" t="str">
        <f>IFERROR(__xludf.DUMMYFUNCTION("""COMPUTED_VALUE"""),"Land of Spira, Eastern Frozen Terrain")</f>
        <v>Land of Spira, Eastern Frozen Terrain</v>
      </c>
      <c r="E56" s="49">
        <f>IFERROR(__xludf.DUMMYFUNCTION("""COMPUTED_VALUE"""),0.0)</f>
        <v>0</v>
      </c>
    </row>
    <row r="57">
      <c r="A57" s="49" t="str">
        <f>IFERROR(__xludf.DUMMYFUNCTION("""COMPUTED_VALUE"""),"26. A Return")</f>
        <v>26. A Return</v>
      </c>
      <c r="B57" s="49" t="str">
        <f>IFERROR(__xludf.DUMMYFUNCTION("""COMPUTED_VALUE"""),"Upon returning to Zhenmay, the party is greated warmly for saving Elder Monk Kenyu. However, the party learns that some of his kidnappers are still at large in the city. They must track down the remaining 20 enemies, consisting of vampires, spirit warrior"&amp;"s, cursed ronin, and blood monks before going on their way. Once all the kidnappers are brought to justice, Elder Monk Kenyu asks them to head to the Dryland Desert and put a stop to whatever the enemy plans to use his energy for.")</f>
        <v>Upon returning to Zhenmay, the party is greated warmly for saving Elder Monk Kenyu. However, the party learns that some of his kidnappers are still at large in the city. They must track down the remaining 20 enemies, consisting of vampires, spirit warriors, cursed ronin, and blood monks before going on their way. Once all the kidnappers are brought to justice, Elder Monk Kenyu asks them to head to the Dryland Desert and put a stop to whatever the enemy plans to use his energy for.</v>
      </c>
      <c r="C57" s="49" t="str">
        <f>IFERROR(__xludf.DUMMYFUNCTION("""COMPUTED_VALUE"""),"Main")</f>
        <v>Main</v>
      </c>
      <c r="D57" s="49" t="str">
        <f>IFERROR(__xludf.DUMMYFUNCTION("""COMPUTED_VALUE"""),"Land of Spira, Zhenmay")</f>
        <v>Land of Spira, Zhenmay</v>
      </c>
      <c r="E57" s="49">
        <f>IFERROR(__xludf.DUMMYFUNCTION("""COMPUTED_VALUE"""),20.0)</f>
        <v>20</v>
      </c>
    </row>
    <row r="58">
      <c r="A58" s="49" t="str">
        <f>IFERROR(__xludf.DUMMYFUNCTION("""COMPUTED_VALUE"""),"27. From the Desert of Frost to the Desert of Sand")</f>
        <v>27. From the Desert of Frost to the Desert of Sand</v>
      </c>
      <c r="B58" s="49" t="str">
        <f>IFERROR(__xludf.DUMMYFUNCTION("""COMPUTED_VALUE"""),"The party arrive in the Dryland Desert and set to work figuring out what Lord Dreadful is planning. They track a mysterious man bearing the same symbol that was plaster about the prison, and eventually corner and interrogate him. He says he doesn't know w"&amp;"hat the energy is FOR but he does know it's been stored in 5 artifacts that have been spread around the Desert. The players must explore the Desert and find all 5. Upon finding the fifth, they notice that it was only recently placed, and notice track head"&amp;"ing out to the Dryland Mesa...")</f>
        <v>The party arrive in the Dryland Desert and set to work figuring out what Lord Dreadful is planning. They track a mysterious man bearing the same symbol that was plaster about the prison, and eventually corner and interrogate him. He says he doesn't know what the energy is FOR but he does know it's been stored in 5 artifacts that have been spread around the Desert. The players must explore the Desert and find all 5. Upon finding the fifth, they notice that it was only recently placed, and notice track heading out to the Dryland Mesa...</v>
      </c>
      <c r="C58" s="49" t="str">
        <f>IFERROR(__xludf.DUMMYFUNCTION("""COMPUTED_VALUE"""),"Main")</f>
        <v>Main</v>
      </c>
      <c r="D58" s="49" t="str">
        <f>IFERROR(__xludf.DUMMYFUNCTION("""COMPUTED_VALUE"""),"Land of Spira, Dryland Desert")</f>
        <v>Land of Spira, Dryland Desert</v>
      </c>
      <c r="E58" s="49">
        <f>IFERROR(__xludf.DUMMYFUNCTION("""COMPUTED_VALUE"""),5.0)</f>
        <v>5</v>
      </c>
    </row>
    <row r="59">
      <c r="A59" s="49" t="str">
        <f>IFERROR(__xludf.DUMMYFUNCTION("""COMPUTED_VALUE"""),"28. Dryland Pursuit")</f>
        <v>28. Dryland Pursuit</v>
      </c>
      <c r="B59" s="49" t="str">
        <f>IFERROR(__xludf.DUMMYFUNCTION("""COMPUTED_VALUE"""),"The party tracks whoever left the trail from the final artifact all the way into the Dryland Mesa. As they approach though, the air begins to feel colder and colder. It is then that they see it: A frost dragon, and a powerful one to boot! This must have b"&amp;"een what they were gonna use that energy for, to unleash a frost dragon on the Dryland Desert. It's up to the party to defeat it.")</f>
        <v>The party tracks whoever left the trail from the final artifact all the way into the Dryland Mesa. As they approach though, the air begins to feel colder and colder. It is then that they see it: A frost dragon, and a powerful one to boot! This must have been what they were gonna use that energy for, to unleash a frost dragon on the Dryland Desert. It's up to the party to defeat it.</v>
      </c>
      <c r="C59" s="49" t="str">
        <f>IFERROR(__xludf.DUMMYFUNCTION("""COMPUTED_VALUE"""),"Main")</f>
        <v>Main</v>
      </c>
      <c r="D59" s="49" t="str">
        <f>IFERROR(__xludf.DUMMYFUNCTION("""COMPUTED_VALUE"""),"Land of Spira, Dryland Mesa")</f>
        <v>Land of Spira, Dryland Mesa</v>
      </c>
      <c r="E59" s="49">
        <f>IFERROR(__xludf.DUMMYFUNCTION("""COMPUTED_VALUE"""),0.0)</f>
        <v>0</v>
      </c>
    </row>
    <row r="60">
      <c r="A60" s="49" t="str">
        <f>IFERROR(__xludf.DUMMYFUNCTION("""COMPUTED_VALUE"""),"29. A Fertile Picnic.")</f>
        <v>29. A Fertile Picnic.</v>
      </c>
      <c r="B60" s="49" t="str">
        <f>IFERROR(__xludf.DUMMYFUNCTION("""COMPUTED_VALUE"""),"After fighting off the Frost Dragon, the party is tired but must track down whoever summoned it. They pursue south, and find a group of cultists. The party engage and defeat the cultists")</f>
        <v>After fighting off the Frost Dragon, the party is tired but must track down whoever summoned it. They pursue south, and find a group of cultists. The party engage and defeat the cultists</v>
      </c>
      <c r="C60" s="49" t="str">
        <f>IFERROR(__xludf.DUMMYFUNCTION("""COMPUTED_VALUE"""),"Main")</f>
        <v>Main</v>
      </c>
      <c r="D60" s="49" t="str">
        <f>IFERROR(__xludf.DUMMYFUNCTION("""COMPUTED_VALUE"""),"Land of Spira, Fertile Plains")</f>
        <v>Land of Spira, Fertile Plains</v>
      </c>
      <c r="E60" s="49">
        <f>IFERROR(__xludf.DUMMYFUNCTION("""COMPUTED_VALUE"""),0.0)</f>
        <v>0</v>
      </c>
    </row>
    <row r="61">
      <c r="A61" s="49" t="str">
        <f>IFERROR(__xludf.DUMMYFUNCTION("""COMPUTED_VALUE"""),"30. Ghost Pond")</f>
        <v>30. Ghost Pond</v>
      </c>
      <c r="B61" s="49" t="str">
        <f>IFERROR(__xludf.DUMMYFUNCTION("""COMPUTED_VALUE"""),"Setting their sights to the Chaotic Seas, the party travels eastward to Pond City. Upon arriving, they find only a few people about town, and they are not very receptive. When the party approaches and gazes into the pond itself, they see not their reflect"&amp;"ions, but a distorted view of a large tower sticking out of the Chaotic Seas. They're suddenly attacked by the ""inhabitants,"" who reveal themselves to be an assortment of zombies and skeletons pretending to be the inhabitants of Pond City. The party fig"&amp;"hts off the attack, and by the time all the enemies are dead, the City is truly empty...")</f>
        <v>Setting their sights to the Chaotic Seas, the party travels eastward to Pond City. Upon arriving, they find only a few people about town, and they are not very receptive. When the party approaches and gazes into the pond itself, they see not their reflections, but a distorted view of a large tower sticking out of the Chaotic Seas. They're suddenly attacked by the "inhabitants," who reveal themselves to be an assortment of zombies and skeletons pretending to be the inhabitants of Pond City. The party fights off the attack, and by the time all the enemies are dead, the City is truly empty...</v>
      </c>
      <c r="C61" s="49" t="str">
        <f>IFERROR(__xludf.DUMMYFUNCTION("""COMPUTED_VALUE"""),"Main")</f>
        <v>Main</v>
      </c>
      <c r="D61" s="49" t="str">
        <f>IFERROR(__xludf.DUMMYFUNCTION("""COMPUTED_VALUE"""),"Land of Spira, Pond City")</f>
        <v>Land of Spira, Pond City</v>
      </c>
      <c r="E61" s="49">
        <f>IFERROR(__xludf.DUMMYFUNCTION("""COMPUTED_VALUE"""),15.0)</f>
        <v>15</v>
      </c>
    </row>
    <row r="62">
      <c r="A62" s="49" t="str">
        <f>IFERROR(__xludf.DUMMYFUNCTION("""COMPUTED_VALUE"""),"Frost King's Wares")</f>
        <v>Frost King's Wares</v>
      </c>
      <c r="B62" s="49" t="str">
        <f>IFERROR(__xludf.DUMMYFUNCTION("""COMPUTED_VALUE"""),"As the party travels through the frozen tundra, they come across a group of frost giants who are in a state of distress. Upon closer inspection, the party realizes that the giants are actually the Frost King and Frost Queen, and that they have had their r"&amp;"espective artifacts stolen.
The Frost King explains that his artifact is a powerful ice scepter that has been passed down through his family for generations. It has the ability to summon blizzards and freeze entire armies in their tracks. The frost queen"&amp;"'s artifact, on the other hand, is a magical cloak that allows her to control the elements and summon powerful ice golems to do her bidding.
The theft has left the frost king and queen weakened and vulnerable, and they fear that their enemies will take a"&amp;"dvantage of their current state. They beg the party to help them find their stolen artifacts before it's too late.")</f>
        <v>As the party travels through the frozen tundra, they come across a group of frost giants who are in a state of distress. Upon closer inspection, the party realizes that the giants are actually the Frost King and Frost Queen, and that they have had their respective artifacts stolen.
The Frost King explains that his artifact is a powerful ice scepter that has been passed down through his family for generations. It has the ability to summon blizzards and freeze entire armies in their tracks. The frost queen's artifact, on the other hand, is a magical cloak that allows her to control the elements and summon powerful ice golems to do her bidding.
The theft has left the frost king and queen weakened and vulnerable, and they fear that their enemies will take advantage of their current state. They beg the party to help them find their stolen artifacts before it's too late.</v>
      </c>
      <c r="C62" s="49" t="str">
        <f>IFERROR(__xludf.DUMMYFUNCTION("""COMPUTED_VALUE"""),"Side")</f>
        <v>Side</v>
      </c>
      <c r="D62" s="49" t="str">
        <f>IFERROR(__xludf.DUMMYFUNCTION("""COMPUTED_VALUE"""),"Land of Spira, Northern Frozen Terrain")</f>
        <v>Land of Spira, Northern Frozen Terrain</v>
      </c>
      <c r="E62" s="49">
        <f>IFERROR(__xludf.DUMMYFUNCTION("""COMPUTED_VALUE"""),2.0)</f>
        <v>2</v>
      </c>
    </row>
    <row r="63">
      <c r="A63" s="49" t="str">
        <f>IFERROR(__xludf.DUMMYFUNCTION("""COMPUTED_VALUE""")," The Cult of Swampville")</f>
        <v> The Cult of Swampville</v>
      </c>
      <c r="B63" s="49" t="str">
        <f>IFERROR(__xludf.DUMMYFUNCTION("""COMPUTED_VALUE"""),"The town guards have received disturbing news from their scouts. A local cult in the nearby town of Swampville is gathering resources and performing dark rituals to summon an evil creature to The Land of Spira. The guards fear that this could bring great "&amp;"danger to the land and its inhabitants. They request the party's help in stopping the cult and putting an end to their plans.")</f>
        <v>The town guards have received disturbing news from their scouts. A local cult in the nearby town of Swampville is gathering resources and performing dark rituals to summon an evil creature to The Land of Spira. The guards fear that this could bring great danger to the land and its inhabitants. They request the party's help in stopping the cult and putting an end to their plans.</v>
      </c>
      <c r="C63" s="49" t="str">
        <f>IFERROR(__xludf.DUMMYFUNCTION("""COMPUTED_VALUE"""),"Side")</f>
        <v>Side</v>
      </c>
      <c r="D63" s="49" t="str">
        <f>IFERROR(__xludf.DUMMYFUNCTION("""COMPUTED_VALUE"""),"Land of Spira, Swampville")</f>
        <v>Land of Spira, Swampville</v>
      </c>
      <c r="E63" s="49">
        <f>IFERROR(__xludf.DUMMYFUNCTION("""COMPUTED_VALUE"""),0.0)</f>
        <v>0</v>
      </c>
    </row>
    <row r="64">
      <c r="A64" s="49" t="str">
        <f>IFERROR(__xludf.DUMMYFUNCTION("""COMPUTED_VALUE"""),"Finding Your Angle")</f>
        <v>Finding Your Angle</v>
      </c>
      <c r="B64" s="49" t="str">
        <f>IFERROR(__xludf.DUMMYFUNCTION("""COMPUTED_VALUE"""),"The quest ""Finding Your Angle"" begins in a small fishing village, where the party meets an old fisherman named Ben. Ben is distraught because he has lost his magical fishing pole, which has been passed down in his family for generations. The fishing pol"&amp;"e is said to be unbreakable and imbued with powerful magic, making it the most prized possession of any fisherman in the village.
Ben offers to reward the party if they can retrieve his lost fishing pole. He explains that he was fishing in a nearby lake "&amp;"when he felt a strong tug on his line. He reeled in the fish, but in his excitement, he accidentally dropped his fishing pole into the water. He believes that the pole is somewhere at the bottom of the lake, but he is too old to search for it himself.
Th"&amp;"e party must travel to the lake and search for the lost fishing pole. The lake is said to be home to many dangerous creatures, including giant fish and water elementals. The party must brave the dangers of the lake and search its depths to find the fishin"&amp;"g pole.
Once they find the fishing pole, they must return it to Ben in the fishing village. Ben is overjoyed to have his magical fishing pole back and rewards the party with the magical and unbreakable fishing pole.
In addition to the fishing pole, Ben "&amp;"also offers the party a wealth of information about the area, including local fishing spots, rumors of hidden treasure, and the locations of dangerous creatures. The party is free to use this information as they see fit, and Ben becomes a valuable ally fo"&amp;"r any future adventures they may undertake in the area.")</f>
        <v>The quest "Finding Your Angle" begins in a small fishing village, where the party meets an old fisherman named Ben. Ben is distraught because he has lost his magical fishing pole, which has been passed down in his family for generations. The fishing pole is said to be unbreakable and imbued with powerful magic, making it the most prized possession of any fisherman in the village.
Ben offers to reward the party if they can retrieve his lost fishing pole. He explains that he was fishing in a nearby lake when he felt a strong tug on his line. He reeled in the fish, but in his excitement, he accidentally dropped his fishing pole into the water. He believes that the pole is somewhere at the bottom of the lake, but he is too old to search for it himself.
The party must travel to the lake and search for the lost fishing pole. The lake is said to be home to many dangerous creatures, including giant fish and water elementals. The party must brave the dangers of the lake and search its depths to find the fishing pole.
Once they find the fishing pole, they must return it to Ben in the fishing village. Ben is overjoyed to have his magical fishing pole back and rewards the party with the magical and unbreakable fishing pole.
In addition to the fishing pole, Ben also offers the party a wealth of information about the area, including local fishing spots, rumors of hidden treasure, and the locations of dangerous creatures. The party is free to use this information as they see fit, and Ben becomes a valuable ally for any future adventures they may undertake in the area.</v>
      </c>
      <c r="C64" s="49" t="str">
        <f>IFERROR(__xludf.DUMMYFUNCTION("""COMPUTED_VALUE"""),"Side")</f>
        <v>Side</v>
      </c>
      <c r="D64" s="49" t="str">
        <f>IFERROR(__xludf.DUMMYFUNCTION("""COMPUTED_VALUE"""),"Land of Spira, Pond City")</f>
        <v>Land of Spira, Pond City</v>
      </c>
      <c r="E64" s="49">
        <f>IFERROR(__xludf.DUMMYFUNCTION("""COMPUTED_VALUE"""),0.0)</f>
        <v>0</v>
      </c>
    </row>
    <row r="65">
      <c r="A65" s="49" t="str">
        <f>IFERROR(__xludf.DUMMYFUNCTION("""COMPUTED_VALUE"""),"The Cursed Crystals")</f>
        <v>The Cursed Crystals</v>
      </c>
      <c r="B65" s="49" t="str">
        <f>IFERROR(__xludf.DUMMYFUNCTION("""COMPUTED_VALUE"""),"Deep within the mystical land of Spira lies the breathtaking Crystal Cave, a once-thriving city known for its shimmering crystals that held great power and brought prosperity to its inhabitants. However, a dark shadow has fallen upon the cave, as the male"&amp;"volent sorcerer Lord Dreadful unleashed a powerful curse, corrupting the crystals and twisting the once benevolent Crystal King into a force of darkness.
The fate of Crystal Cave and its people now rests upon the brave shoulders of a group of adventurers"&amp;". Their mission is to venture into the heart of the Crystal Cave, navigating its treacherous depths and overcoming the sinister creatures and traps that now infest the city. Their ultimate goal is to restore the crystals to their former glory, breaking th"&amp;"e curse that has befallen the Crystal King.
To accomplish this, the adventurers must embark on a quest to find the scattered Crystal Shards, the remnants of the corrupted crystals. These shards hold the essence of the original crystals' power and purity."&amp;" However, they have been scattered throughout the dangerous caverns, guarded by fearsome creatures under Lord Dreadful's control.
The party must explore the various chambers of Crystal Cave, battling monsters, and overcoming obstacles to collect the Crys"&amp;"tal Shards. Along their journey, they may encounter helpful allies, ancient spirits, and even uncover the secrets of the cave's rich history. Each Crystal Shard they retrieve brings them closer to restoring the Crystal King's sanity and lifting the curse "&amp;"that plagues the land.
But the path to victory will not be easy. Lord Dreadful's minions, loyal to his dark cause, will stop at nothing to prevent the adventurers from succeeding. They must face off against powerful guardians, cunning traps, and the sorc"&amp;"erer's malevolent magic. The fate of Crystal Cave and the Crystal King hangs in the balance, and the adventurers must summon all their skills, bravery, and teamwork to prevail.
Only by reassembling the shattered crystals and cleansing them of Lord Dreadf"&amp;"ul's curse can the adventurers hope to restore the Crystal King's benevolence and bring peace back to the land of Spira. Will they succeed in their perilous quest, or will the darkness forever claim the Crystal Cave? The answer lies in their hands.")</f>
        <v>Deep within the mystical land of Spira lies the breathtaking Crystal Cave, a once-thriving city known for its shimmering crystals that held great power and brought prosperity to its inhabitants. However, a dark shadow has fallen upon the cave, as the malevolent sorcerer Lord Dreadful unleashed a powerful curse, corrupting the crystals and twisting the once benevolent Crystal King into a force of darkness.
The fate of Crystal Cave and its people now rests upon the brave shoulders of a group of adventurers. Their mission is to venture into the heart of the Crystal Cave, navigating its treacherous depths and overcoming the sinister creatures and traps that now infest the city. Their ultimate goal is to restore the crystals to their former glory, breaking the curse that has befallen the Crystal King.
To accomplish this, the adventurers must embark on a quest to find the scattered Crystal Shards, the remnants of the corrupted crystals. These shards hold the essence of the original crystals' power and purity. However, they have been scattered throughout the dangerous caverns, guarded by fearsome creatures under Lord Dreadful's control.
The party must explore the various chambers of Crystal Cave, battling monsters, and overcoming obstacles to collect the Crystal Shards. Along their journey, they may encounter helpful allies, ancient spirits, and even uncover the secrets of the cave's rich history. Each Crystal Shard they retrieve brings them closer to restoring the Crystal King's sanity and lifting the curse that plagues the land.
But the path to victory will not be easy. Lord Dreadful's minions, loyal to his dark cause, will stop at nothing to prevent the adventurers from succeeding. They must face off against powerful guardians, cunning traps, and the sorcerer's malevolent magic. The fate of Crystal Cave and the Crystal King hangs in the balance, and the adventurers must summon all their skills, bravery, and teamwork to prevail.
Only by reassembling the shattered crystals and cleansing them of Lord Dreadful's curse can the adventurers hope to restore the Crystal King's benevolence and bring peace back to the land of Spira. Will they succeed in their perilous quest, or will the darkness forever claim the Crystal Cave? The answer lies in their hands.</v>
      </c>
      <c r="C65" s="49" t="str">
        <f>IFERROR(__xludf.DUMMYFUNCTION("""COMPUTED_VALUE"""),"Side")</f>
        <v>Side</v>
      </c>
      <c r="D65" s="49" t="str">
        <f>IFERROR(__xludf.DUMMYFUNCTION("""COMPUTED_VALUE"""),"Land of Spira, Crystal Cave")</f>
        <v>Land of Spira, Crystal Cave</v>
      </c>
      <c r="E65" s="49">
        <f>IFERROR(__xludf.DUMMYFUNCTION("""COMPUTED_VALUE"""),4.0)</f>
        <v>4</v>
      </c>
    </row>
    <row r="66">
      <c r="A66" s="49" t="str">
        <f>IFERROR(__xludf.DUMMYFUNCTION("""COMPUTED_VALUE"""),"Trials of The Tempest")</f>
        <v>Trials of The Tempest</v>
      </c>
      <c r="B66" s="49" t="str">
        <f>IFERROR(__xludf.DUMMYFUNCTION("""COMPUTED_VALUE"""),"The party hears rumors of a wise old water mage living in a remote village on the coast. The mage is said to possess incredible magical powers and is renowned for his ability to control the ocean's fury. The party learns that the mage is willing to offer "&amp;"great rewards to anyone who can prove their strength and worthiness.
Upon arriving in the village, the party seeks out the mage and is greeted by a stern-looking man with deep-set eyes and a long beard. The mage introduces himself as Tempest and explains"&amp;" that he has a series of trials that must be completed before he will offer any rewards.
The first trial requires the party to retrieve a rare pearl from the depths of the ocean. The pearl is guarded by a fierce sea monster that must be defeated in order"&amp;" to claim the treasure. The party must use their skills and teamwork to navigate the treacherous underwater currents and defeat the monster.
The second trial takes place on a rocky island in the middle of a raging storm. The party must climb to the top o"&amp;"f the island and retrieve a lightning rod that is said to have the power to control the tempest. The party must brave the lightning strikes and high winds to reach the summit and claim the rod.
The third and final trial requires the party to face off aga"&amp;"inst a powerful water elemental. The elemental has been summoned by Tempest to test the party's strength and skill. The party must work together to defeat the elemental and prove their worthiness to the wise mage.
If the party successfully completes all "&amp;"three trials, Tempest will reward them with powerful magical items and treasures that will aid them in their future adventures. However, if they fail, they will be cast out of the village and branded as unworthy of Tempest's gifts.")</f>
        <v>The party hears rumors of a wise old water mage living in a remote village on the coast. The mage is said to possess incredible magical powers and is renowned for his ability to control the ocean's fury. The party learns that the mage is willing to offer great rewards to anyone who can prove their strength and worthiness.
Upon arriving in the village, the party seeks out the mage and is greeted by a stern-looking man with deep-set eyes and a long beard. The mage introduces himself as Tempest and explains that he has a series of trials that must be completed before he will offer any rewards.
The first trial requires the party to retrieve a rare pearl from the depths of the ocean. The pearl is guarded by a fierce sea monster that must be defeated in order to claim the treasure. The party must use their skills and teamwork to navigate the treacherous underwater currents and defeat the monster.
The second trial takes place on a rocky island in the middle of a raging storm. The party must climb to the top of the island and retrieve a lightning rod that is said to have the power to control the tempest. The party must brave the lightning strikes and high winds to reach the summit and claim the rod.
The third and final trial requires the party to face off against a powerful water elemental. The elemental has been summoned by Tempest to test the party's strength and skill. The party must work together to defeat the elemental and prove their worthiness to the wise mage.
If the party successfully completes all three trials, Tempest will reward them with powerful magical items and treasures that will aid them in their future adventures. However, if they fail, they will be cast out of the village and branded as unworthy of Tempest's gifts.</v>
      </c>
      <c r="C66" s="49" t="str">
        <f>IFERROR(__xludf.DUMMYFUNCTION("""COMPUTED_VALUE"""),"Side")</f>
        <v>Side</v>
      </c>
      <c r="D66" s="49" t="str">
        <f>IFERROR(__xludf.DUMMYFUNCTION("""COMPUTED_VALUE"""),"Dragonscale Island, SepentScale Village")</f>
        <v>Dragonscale Island, SepentScale Village</v>
      </c>
      <c r="E66" s="49">
        <f>IFERROR(__xludf.DUMMYFUNCTION("""COMPUTED_VALUE"""),3.0)</f>
        <v>3</v>
      </c>
    </row>
    <row r="67">
      <c r="A67" s="49" t="str">
        <f>IFERROR(__xludf.DUMMYFUNCTION("""COMPUTED_VALUE"""),"Trial of Tears")</f>
        <v>Trial of Tears</v>
      </c>
      <c r="B67" s="49" t="str">
        <f>IFERROR(__xludf.DUMMYFUNCTION("""COMPUTED_VALUE"""),"The Trial of Tears is a quest that will test the bravery and endurance of even the most experienced adventurers. The quest begins in the small town of SerpentScale Village, where the daughter of Tempest seeks the help of any willing adventurers.
Tempest "&amp;"has fallen gravely ill, and the only cure for his ailment is a rare and powerful substance known as DragonTear Tears. These tears can only be found in the depths of DragonTear Lake, a treacherous body of water that is guarded by fierce dragons and other d"&amp;"angerous creatures.
The daughter offers a reward of gold and magical items to any adventurers who are willing to undertake the dangerous journey to DragonTear Lake and retrieve the tears that her mother desperately needs.
The journey to DragonTear Lake "&amp;"is long and perilous, with many obstacles and challenges along the way. Adventurers must navigate through thick forests, cross treacherous rivers, and climb steep mountains to reach the lake.
Once they arrive at DragonTear Lake, adventurers must brave th"&amp;"e dangerous waters and avoid the watchful eyes of the dragon guardians that roam the area. The tears themselves can only be found in the deepest parts of the lake, where the water is coldest and most dangerous.
Adventurers who are successful in retrievin"&amp;"g the tears must then make the long and dangerous journey back to SerpentScale Village, where the daughter waits anxiously for their return. However, the journey back is just as perilous as the journey to DragonTear Lake, with dangers lurking around every"&amp;" corner.
Once the adventurers arrive back in SerpentScale Village with the DragonTear Tears, they can present them to Anna, who will use them to heal Tempest. In return for their bravery, The daughter of Tempest will reward the adventurers with gold and "&amp;"magical items, and they will be hailed as heroes throughout the land.")</f>
        <v>The Trial of Tears is a quest that will test the bravery and endurance of even the most experienced adventurers. The quest begins in the small town of SerpentScale Village, where the daughter of Tempest seeks the help of any willing adventurers.
Tempest has fallen gravely ill, and the only cure for his ailment is a rare and powerful substance known as DragonTear Tears. These tears can only be found in the depths of DragonTear Lake, a treacherous body of water that is guarded by fierce dragons and other dangerous creatures.
The daughter offers a reward of gold and magical items to any adventurers who are willing to undertake the dangerous journey to DragonTear Lake and retrieve the tears that her mother desperately needs.
The journey to DragonTear Lake is long and perilous, with many obstacles and challenges along the way. Adventurers must navigate through thick forests, cross treacherous rivers, and climb steep mountains to reach the lake.
Once they arrive at DragonTear Lake, adventurers must brave the dangerous waters and avoid the watchful eyes of the dragon guardians that roam the area. The tears themselves can only be found in the deepest parts of the lake, where the water is coldest and most dangerous.
Adventurers who are successful in retrieving the tears must then make the long and dangerous journey back to SerpentScale Village, where the daughter waits anxiously for their return. However, the journey back is just as perilous as the journey to DragonTear Lake, with dangers lurking around every corner.
Once the adventurers arrive back in SerpentScale Village with the DragonTear Tears, they can present them to Anna, who will use them to heal Tempest. In return for their bravery, The daughter of Tempest will reward the adventurers with gold and magical items, and they will be hailed as heroes throughout the land.</v>
      </c>
      <c r="C67" s="49" t="str">
        <f>IFERROR(__xludf.DUMMYFUNCTION("""COMPUTED_VALUE"""),"Side")</f>
        <v>Side</v>
      </c>
      <c r="D67" s="49" t="str">
        <f>IFERROR(__xludf.DUMMYFUNCTION("""COMPUTED_VALUE"""),"Dragonscale Island, SepentScale Village")</f>
        <v>Dragonscale Island, SepentScale Village</v>
      </c>
      <c r="E67" s="49">
        <f>IFERROR(__xludf.DUMMYFUNCTION("""COMPUTED_VALUE"""),4.0)</f>
        <v>4</v>
      </c>
    </row>
    <row r="68">
      <c r="A68" s="49" t="str">
        <f>IFERROR(__xludf.DUMMYFUNCTION("""COMPUTED_VALUE"""),"Forst King's Wares")</f>
        <v>Forst King's Wares</v>
      </c>
      <c r="B68" s="49" t="str">
        <f>IFERROR(__xludf.DUMMYFUNCTION("""COMPUTED_VALUE"""),"In the icy realm of Spira, a land perpetually covered in frost and snow, an ancient and enigmatic figure known as the Frost Phantom. The Phantom, a mysterious being with the power to manipulate ice and shadows, is both feared and respected by the denizens"&amp;" of Spira. Legends tell of the Phantom's ability to traverse the frozen landscapes undetected, leaving no trace behind.
Within the realm of Spira, there exists a monarchy ruled by the Frost King, a wise and just ruler who ensures the prosperity and safet"&amp;"y of his people. The Frost King's lineage is steeped in history, with a vast collection of priceless artifacts passed down through generations. These artifacts hold immense cultural significance and are considered symbols of the Frost King's family's powe"&amp;"r and authority.
One fateful day, as the Frost King peruses his treasury, he realizes with shock and dismay that his family's artifacts have vanished. Desperate to retrieve these precious heirlooms, the Frost King suspects foul play and seeks the aid of "&amp;"capable adventurers, forming the basis for the Quest ""Frost King's Wares.""
Rumors begin to circulate that the artifacts may have been stolen, but by whom remains a mystery. Some whisper of an elusive thief who operates in the shadows, using cunning and"&amp;" stealth to pilfer treasures from under the nose of their owners. Others claim that the Frost Phantom , known for it's otherworldly abilities, may be involved, seeking to gain power through the acquisition of the Frost King's treasures.
The Frost King, b"&amp;"urdened by the weight of responsibility and haunted by the loss of his family's legacy, tasks the party of adventurers with finding and retrieving the stolen artifacts. He entrusts them with a key that unlocks a hidden passage leading to the Phantom's lai"&amp;"r—a treacherous, ice-laden labyrinth concealed beneath the frozen surface of Spira.
As the adventurers venture deeper into the frozen terrain, they face numerous challenges: cunning traps, formidable ice creatures, and the chilling presence of the Phanto"&amp;"m's illusions. Each step brings them closer to unraveling the truth behind the stolen artifacts and uncovering the identity of the elusive thief.
Throughout their journey, the party encounters Spira's inhabitants, each with their own stories and motives."&amp;" Some may provide valuable information or offer assistance, while others may harbor secrets or prove to be obstacles in the adventurers' quest. The frozen landscape of Spira serves as a harsh backdrop, both beautiful and treacherous, as the adventurers na"&amp;"vigate its icy depths.
Ultimately, the quest ""Frost King's Wares"" becomes a test of the adventurers' resourcefulness, bravery, and their ability to uncover the truth hidden within the Phantom's domain. The fate of the Frost King's family legacy and the"&amp;" reputation of the Frost Phantom lie in the balance as the party strives to recover the stolen artifacts and bring justice to the realm.")</f>
        <v>In the icy realm of Spira, a land perpetually covered in frost and snow, an ancient and enigmatic figure known as the Frost Phantom. The Phantom, a mysterious being with the power to manipulate ice and shadows, is both feared and respected by the denizens of Spira. Legends tell of the Phantom's ability to traverse the frozen landscapes undetected, leaving no trace behind.
Within the realm of Spira, there exists a monarchy ruled by the Frost King, a wise and just ruler who ensures the prosperity and safety of his people. The Frost King's lineage is steeped in history, with a vast collection of priceless artifacts passed down through generations. These artifacts hold immense cultural significance and are considered symbols of the Frost King's family's power and authority.
One fateful day, as the Frost King peruses his treasury, he realizes with shock and dismay that his family's artifacts have vanished. Desperate to retrieve these precious heirlooms, the Frost King suspects foul play and seeks the aid of capable adventurers, forming the basis for the Quest "Frost King's Wares."
Rumors begin to circulate that the artifacts may have been stolen, but by whom remains a mystery. Some whisper of an elusive thief who operates in the shadows, using cunning and stealth to pilfer treasures from under the nose of their owners. Others claim that the Frost Phantom , known for it's otherworldly abilities, may be involved, seeking to gain power through the acquisition of the Frost King's treasures.
The Frost King, burdened by the weight of responsibility and haunted by the loss of his family's legacy, tasks the party of adventurers with finding and retrieving the stolen artifacts. He entrusts them with a key that unlocks a hidden passage leading to the Phantom's lair—a treacherous, ice-laden labyrinth concealed beneath the frozen surface of Spira.
As the adventurers venture deeper into the frozen terrain, they face numerous challenges: cunning traps, formidable ice creatures, and the chilling presence of the Phantom's illusions. Each step brings them closer to unraveling the truth behind the stolen artifacts and uncovering the identity of the elusive thief.
Throughout their journey, the party encounters Spira's inhabitants, each with their own stories and motives. Some may provide valuable information or offer assistance, while others may harbor secrets or prove to be obstacles in the adventurers' quest. The frozen landscape of Spira serves as a harsh backdrop, both beautiful and treacherous, as the adventurers navigate its icy depths.
Ultimately, the quest "Frost King's Wares" becomes a test of the adventurers' resourcefulness, bravery, and their ability to uncover the truth hidden within the Phantom's domain. The fate of the Frost King's family legacy and the reputation of the Frost Phantom lie in the balance as the party strives to recover the stolen artifacts and bring justice to the realm.</v>
      </c>
      <c r="C68" s="49" t="str">
        <f>IFERROR(__xludf.DUMMYFUNCTION("""COMPUTED_VALUE"""),"Side")</f>
        <v>Side</v>
      </c>
      <c r="D68" s="49" t="str">
        <f>IFERROR(__xludf.DUMMYFUNCTION("""COMPUTED_VALUE"""),"Land of Spira, Eastern Forzen Terrain")</f>
        <v>Land of Spira, Eastern Forzen Terrain</v>
      </c>
      <c r="E68" s="49">
        <f>IFERROR(__xludf.DUMMYFUNCTION("""COMPUTED_VALUE"""),5.0)</f>
        <v>5</v>
      </c>
    </row>
    <row r="69">
      <c r="A69" s="49" t="str">
        <f>IFERROR(__xludf.DUMMYFUNCTION("""COMPUTED_VALUE"""),"Blackhorn Royal Training")</f>
        <v>Blackhorn Royal Training</v>
      </c>
      <c r="B69" s="49" t="str">
        <f>IFERROR(__xludf.DUMMYFUNCTION("""COMPUTED_VALUE"""),"Train with the Ancient Skeleton Colossus to inscrease your strength.")</f>
        <v>Train with the Ancient Skeleton Colossus to inscrease your strength.</v>
      </c>
      <c r="C69" s="49" t="str">
        <f>IFERROR(__xludf.DUMMYFUNCTION("""COMPUTED_VALUE"""),"Side")</f>
        <v>Side</v>
      </c>
      <c r="D69" s="49" t="str">
        <f>IFERROR(__xludf.DUMMYFUNCTION("""COMPUTED_VALUE"""),"Land of Spira, Blackhorn")</f>
        <v>Land of Spira, Blackhorn</v>
      </c>
      <c r="E69" s="49">
        <f>IFERROR(__xludf.DUMMYFUNCTION("""COMPUTED_VALUE"""),0.0)</f>
        <v>0</v>
      </c>
    </row>
    <row r="70">
      <c r="A70" s="49" t="str">
        <f>IFERROR(__xludf.DUMMYFUNCTION("""COMPUTED_VALUE"""),"Forest View Royal Training")</f>
        <v>Forest View Royal Training</v>
      </c>
      <c r="B70" s="49" t="str">
        <f>IFERROR(__xludf.DUMMYFUNCTION("""COMPUTED_VALUE"""),"Train with the Ancient Forest Colossus to inscrease your strength.")</f>
        <v>Train with the Ancient Forest Colossus to inscrease your strength.</v>
      </c>
      <c r="C70" s="49" t="str">
        <f>IFERROR(__xludf.DUMMYFUNCTION("""COMPUTED_VALUE"""),"Side")</f>
        <v>Side</v>
      </c>
      <c r="D70" s="49" t="str">
        <f>IFERROR(__xludf.DUMMYFUNCTION("""COMPUTED_VALUE"""),"Land of Spira, Forest View")</f>
        <v>Land of Spira, Forest View</v>
      </c>
      <c r="E70" s="49">
        <f>IFERROR(__xludf.DUMMYFUNCTION("""COMPUTED_VALUE"""),0.0)</f>
        <v>0</v>
      </c>
    </row>
    <row r="71">
      <c r="A71" s="49" t="str">
        <f>IFERROR(__xludf.DUMMYFUNCTION("""COMPUTED_VALUE"""),"Crown of Tides")</f>
        <v>Crown of Tides</v>
      </c>
      <c r="B71" s="49" t="str">
        <f>IFERROR(__xludf.DUMMYFUNCTION("""COMPUTED_VALUE"""),"Your party finds themselves on the shores of the Chaotic Seas, a place tainted by the malevolent influence of Lord Dreadful. An encounter with a desperate merchant leads to a tale of Vermouth the Sea Monkey King, a once benevolent creature corrupted by a "&amp;"cursed crown. To break the curse and gain a powerful ally in the fight against Lord Dreadful, your party must journey to the depths of the Chaotic Seas, confront Vermouth, and claim the Crown of Tides.")</f>
        <v>Your party finds themselves on the shores of the Chaotic Seas, a place tainted by the malevolent influence of Lord Dreadful. An encounter with a desperate merchant leads to a tale of Vermouth the Sea Monkey King, a once benevolent creature corrupted by a cursed crown. To break the curse and gain a powerful ally in the fight against Lord Dreadful, your party must journey to the depths of the Chaotic Seas, confront Vermouth, and claim the Crown of Tides.</v>
      </c>
      <c r="C71" s="49" t="str">
        <f>IFERROR(__xludf.DUMMYFUNCTION("""COMPUTED_VALUE"""),"Side")</f>
        <v>Side</v>
      </c>
      <c r="D71" s="49" t="str">
        <f>IFERROR(__xludf.DUMMYFUNCTION("""COMPUTED_VALUE"""),"Land of Spira, Chaotic Seas")</f>
        <v>Land of Spira, Chaotic Seas</v>
      </c>
      <c r="E71" s="49">
        <f>IFERROR(__xludf.DUMMYFUNCTION("""COMPUTED_VALUE"""),8.0)</f>
        <v>8</v>
      </c>
    </row>
    <row r="72">
      <c r="A72" s="49" t="str">
        <f>IFERROR(__xludf.DUMMYFUNCTION("""COMPUTED_VALUE"""),"The Ticking Threat")</f>
        <v>The Ticking Threat</v>
      </c>
      <c r="B72" s="49" t="str">
        <f>IFERROR(__xludf.DUMMYFUNCTION("""COMPUTED_VALUE"""),"Detective Lanford, a skilled investigator, urgently seeks the aid of the party. Lord Dreadful's henchmen have been spotted at the Clock Tower, a prominent landmark in the city's northwestern region. These criminals are believed to be stealing wind-up cloc"&amp;"ks with the intent of constructing a destructive time bomb. As time ticks away, your party must work alongside Detective Lanford to track down the goons, dismantle their plans, and prevent the city from facing imminent destruction.
The Ticking Threat que"&amp;"st embroils your party in a race against time to thwart Lord Dreadful's nefarious scheme, showcasing your investigative prowess and heroism in the steam punk city of Mekana.")</f>
        <v>Detective Lanford, a skilled investigator, urgently seeks the aid of the party. Lord Dreadful's henchmen have been spotted at the Clock Tower, a prominent landmark in the city's northwestern region. These criminals are believed to be stealing wind-up clocks with the intent of constructing a destructive time bomb. As time ticks away, your party must work alongside Detective Lanford to track down the goons, dismantle their plans, and prevent the city from facing imminent destruction.
The Ticking Threat quest embroils your party in a race against time to thwart Lord Dreadful's nefarious scheme, showcasing your investigative prowess and heroism in the steam punk city of Mekana.</v>
      </c>
      <c r="C72" s="49" t="str">
        <f>IFERROR(__xludf.DUMMYFUNCTION("""COMPUTED_VALUE"""),"Side")</f>
        <v>Side</v>
      </c>
      <c r="D72" s="49" t="str">
        <f>IFERROR(__xludf.DUMMYFUNCTION("""COMPUTED_VALUE"""),"Land of Spira, Mekana")</f>
        <v>Land of Spira, Mekana</v>
      </c>
      <c r="E72" s="49">
        <f>IFERROR(__xludf.DUMMYFUNCTION("""COMPUTED_VALUE"""),8.0)</f>
        <v>8</v>
      </c>
    </row>
    <row r="73">
      <c r="A73" s="49" t="str">
        <f>IFERROR(__xludf.DUMMYFUNCTION("""COMPUTED_VALUE"""),"Blackbeard's Legacy")</f>
        <v>Blackbeard's Legacy</v>
      </c>
      <c r="B73" s="49" t="str">
        <f>IFERROR(__xludf.DUMMYFUNCTION("""COMPUTED_VALUE"""),"Upon resting in the local inn, you find yourself awakening in the night to a sound from outside. Leaving the inn you find a spectre who hands you a map, the map is rumored along the locals to lead you to Captain Blackbeard's Treausre. Upon following the m"&amp;"ap the party will under constant harrassment from a band of pirates before finding the Captain had already beaten you there and you must fight him to claim Blackbeard's Legacy. ")</f>
        <v>Upon resting in the local inn, you find yourself awakening in the night to a sound from outside. Leaving the inn you find a spectre who hands you a map, the map is rumored along the locals to lead you to Captain Blackbeard's Treausre. Upon following the map the party will under constant harrassment from a band of pirates before finding the Captain had already beaten you there and you must fight him to claim Blackbeard's Legacy. </v>
      </c>
      <c r="C73" s="49" t="str">
        <f>IFERROR(__xludf.DUMMYFUNCTION("""COMPUTED_VALUE"""),"Side")</f>
        <v>Side</v>
      </c>
      <c r="D73" s="49" t="str">
        <f>IFERROR(__xludf.DUMMYFUNCTION("""COMPUTED_VALUE"""),"Land of Spira, Pirate's Cove")</f>
        <v>Land of Spira, Pirate's Cove</v>
      </c>
      <c r="E73" s="49">
        <f>IFERROR(__xludf.DUMMYFUNCTION("""COMPUTED_VALUE"""),4.0)</f>
        <v>4</v>
      </c>
    </row>
    <row r="74">
      <c r="A74" s="49" t="str">
        <f>IFERROR(__xludf.DUMMYFUNCTION("""COMPUTED_VALUE"""),"Mysteries of The Mist (Fogweb)")</f>
        <v>Mysteries of The Mist (Fogweb)</v>
      </c>
      <c r="B74" s="49" t="str">
        <f>IFERROR(__xludf.DUMMYFUNCTION("""COMPUTED_VALUE"""),"Upon Arriving in Wyverntail you hear a ruccuss among the locals many people whispering about ""The Mist Warriors"" and ""Fogweb"" finding this to be curious you may decide to ask a nearby citizen what this is all about and learn about the tails of Fogweb,"&amp;" the Village Hidden in the Mist a secret village hidden in nearby forest where none would dare to venture due to the mysterious mist that hangs heavy into the air seemingly dragging those who enter uninvited into the mud. Following up these rumors across "&amp;"Wyverntail you manage to track down a master from the aforementioned village. Upon being approached the master challenges you to a duel saying that he wishes to test you. Upon passing the test by defeating the master without killing him the master will of"&amp;"fer to teach you the way through the mist to Fogweb.")</f>
        <v>Upon Arriving in Wyverntail you hear a ruccuss among the locals many people whispering about "The Mist Warriors" and "Fogweb" finding this to be curious you may decide to ask a nearby citizen what this is all about and learn about the tails of Fogweb, the Village Hidden in the Mist a secret village hidden in nearby forest where none would dare to venture due to the mysterious mist that hangs heavy into the air seemingly dragging those who enter uninvited into the mud. Following up these rumors across Wyverntail you manage to track down a master from the aforementioned village. Upon being approached the master challenges you to a duel saying that he wishes to test you. Upon passing the test by defeating the master without killing him the master will offer to teach you the way through the mist to Fogweb.</v>
      </c>
      <c r="C74" s="49" t="str">
        <f>IFERROR(__xludf.DUMMYFUNCTION("""COMPUTED_VALUE"""),"Side")</f>
        <v>Side</v>
      </c>
      <c r="D74" s="49" t="str">
        <f>IFERROR(__xludf.DUMMYFUNCTION("""COMPUTED_VALUE"""),"Dragonscale Island, Wyvertail Falls")</f>
        <v>Dragonscale Island, Wyvertail Falls</v>
      </c>
      <c r="E74" s="49">
        <f>IFERROR(__xludf.DUMMYFUNCTION("""COMPUTED_VALUE"""),6.0)</f>
        <v>6</v>
      </c>
    </row>
    <row r="75">
      <c r="A75" s="49" t="str">
        <f>IFERROR(__xludf.DUMMYFUNCTION("""COMPUTED_VALUE"""),"Reviving Thundertail Falls")</f>
        <v>Reviving Thundertail Falls</v>
      </c>
      <c r="B75" s="49" t="str">
        <f>IFERROR(__xludf.DUMMYFUNCTION("""COMPUTED_VALUE"""),"""The once-majestic Thundertail Falls, has fallen into a state of disarray and decay. Its legendary Thundertail creatures are near extinction, and the falls' waters are now polluted and lifeless. The city's residents, however, still hold onto the belief i"&amp;"n the falls' mystical powers and untapped adventure potential. Your party is called upon to help restore Thundertail Falls to its former beauty, revive its unique ecosystem, and unlock its hidden secrets.
Embark on the Reviving Thundertail Falls quest t"&amp;"o explore the intersection of nature, magic, and urban life while breathing new life into a once-thriving natural wonder.""")</f>
        <v>"The once-majestic Thundertail Falls, has fallen into a state of disarray and decay. Its legendary Thundertail creatures are near extinction, and the falls' waters are now polluted and lifeless. The city's residents, however, still hold onto the belief in the falls' mystical powers and untapped adventure potential. Your party is called upon to help restore Thundertail Falls to its former beauty, revive its unique ecosystem, and unlock its hidden secrets.
Embark on the Reviving Thundertail Falls quest to explore the intersection of nature, magic, and urban life while breathing new life into a once-thriving natural wonder."</v>
      </c>
      <c r="C75" s="49" t="str">
        <f>IFERROR(__xludf.DUMMYFUNCTION("""COMPUTED_VALUE"""),"Side")</f>
        <v>Side</v>
      </c>
      <c r="D75" s="49" t="str">
        <f>IFERROR(__xludf.DUMMYFUNCTION("""COMPUTED_VALUE"""),"Dragonscale Island, The Grand City of Dragonia")</f>
        <v>Dragonscale Island, The Grand City of Dragonia</v>
      </c>
      <c r="E75" s="49">
        <f>IFERROR(__xludf.DUMMYFUNCTION("""COMPUTED_VALUE"""),8.0)</f>
        <v>8</v>
      </c>
    </row>
    <row r="76">
      <c r="A76" s="49" t="str">
        <f>IFERROR(__xludf.DUMMYFUNCTION("""COMPUTED_VALUE"""),"Dragons, Dragons, and More Dragons.")</f>
        <v>Dragons, Dragons, and More Dragons.</v>
      </c>
      <c r="B76" s="49" t="str">
        <f>IFERROR(__xludf.DUMMYFUNCTION("""COMPUTED_VALUE"""),"In the town of DragonSpire Dragons live in relative peace, however it seems that a recent event has caused some sort of turmoil within the town as the enraged dragons have begun harrassing the non-dragonoid inhabitants of the town. A wizard approaches the"&amp;" party and asks their assistance in a matter of utmost urgency and beckons you to follow him.
Upon arriving at the decrepit old tower at the edge of town the wizard would begin to describe the recent events that have caused the tense atmosphere within th"&amp;"e town. Apparently a group of Amphibuki have recently snuck into town, and under the cover of dark they made off with the stolen eggs of a few of the dragons. The wizard implores you to put an end to the fighting and secure the stolen eggs whilst also bri"&amp;"nging the Amphibuki to justice. He promises the party great rewards and his eternal gratitude for their deeds should they suceed.")</f>
        <v>In the town of DragonSpire Dragons live in relative peace, however it seems that a recent event has caused some sort of turmoil within the town as the enraged dragons have begun harrassing the non-dragonoid inhabitants of the town. A wizard approaches the party and asks their assistance in a matter of utmost urgency and beckons you to follow him.
Upon arriving at the decrepit old tower at the edge of town the wizard would begin to describe the recent events that have caused the tense atmosphere within the town. Apparently a group of Amphibuki have recently snuck into town, and under the cover of dark they made off with the stolen eggs of a few of the dragons. The wizard implores you to put an end to the fighting and secure the stolen eggs whilst also bringing the Amphibuki to justice. He promises the party great rewards and his eternal gratitude for their deeds should they suceed.</v>
      </c>
      <c r="C76" s="49" t="str">
        <f>IFERROR(__xludf.DUMMYFUNCTION("""COMPUTED_VALUE"""),"Side")</f>
        <v>Side</v>
      </c>
      <c r="D76" s="49" t="str">
        <f>IFERROR(__xludf.DUMMYFUNCTION("""COMPUTED_VALUE"""),"Dragonscale Island")</f>
        <v>Dragonscale Island</v>
      </c>
      <c r="E76" s="49">
        <f>IFERROR(__xludf.DUMMYFUNCTION("""COMPUTED_VALUE"""),8.0)</f>
        <v>8</v>
      </c>
    </row>
    <row r="77">
      <c r="A77" s="49" t="str">
        <f>IFERROR(__xludf.DUMMYFUNCTION("""COMPUTED_VALUE"""),"Mysteries of The Mist (Mistpeak)")</f>
        <v>Mysteries of The Mist (Mistpeak)</v>
      </c>
      <c r="B77" s="49" t="str">
        <f>IFERROR(__xludf.DUMMYFUNCTION("""COMPUTED_VALUE"""),"(This quest is technically activated upon entering DragonSpire for the first time however can be done at any point in time)
The party, Upon entering the town of Dragonspire hears whispers of a Village hidden in the forest, upon hearing such strange tales "&amp;"the party decides to look further into this matter.
(step 1 Investigation description) The Party decides to approach the woman who was spouting such rumors and inquire about any way to find this hidden village. She sighs and tells the party that she herse"&amp;"lf has no idea how to find this hidden village, hell she isn't quite sure it even exists and recommends the party go talk to Baldwyn the tavernkeep as he's the one who knows the most gossip in town (Talk to Npcs 1/3)
Upon entering the tavern the party wo"&amp;"uld see Baldwyn standing behind the counter shining glasses (a strange habit all barkeeps tend to have). The party approaches the man and recounts their information of there being a hidden village nearby and that they heard he may have some information ab"&amp;"out it. Baldwyn rubs his temples deep in thought before telling the party that he actually had heard a rather similar story from a patron recently. Something about some hidden master in the woods or so He points the party in the direction of the library a"&amp;"nd tells them to ask for Scholar Mark, as he's the one who was telling the tale. (Talk to Npcs 2/3)
Arriving at the Grand Library of Dragonscale the party would find a scholarly man sitting out front engulfed in a book, upon asking him where they could f"&amp;"ind Scholar Mark, the man admits that he himself is Scholar mark and inquires as to what the party needs. If the party ask him about the Master in the woods he would regale them with the tale of him finding the master. He says he was wandering in the wood"&amp;"s just east of DragonSpire when he found himself under attack by a group of lowlives, fortunately the master showed up and saved him, offering to treat his wounds in his cottage. He would ask to mark the location on the players map and show them where he'"&amp;"s located (Talk to Npc's 3/3)(Step 1 completed)
(Step 2: Trial description) Upon arriving at the hidden master's cottage the party is greeted by silence from within until the hear a soft tapping coming from within, A hunched over frogonian with seemingly"&amp;" many years behind him opens the door and greets the party, inquiring as to what business they have with a mere old alchemist. If the party answers anything along the lines of wanting to go to the hidden village or meet the hidden master the old man will "&amp;"beckon the party in to his cottage where he will reveal his identity as a retired Elder of the Mist Peak ninja village, and that if they wish for him to guide them to the village they must first prove that they are worthy through combat. (Combat begins)
("&amp;"Optional) The players can try to convince the master of their strength via an intimidation roll however to do so they must roll a 30 or higher on said intimidation roll.
(After Combat) Upon being beaten in combat the Mistpeak Master heaves heavy breaths "&amp;"before collapsing to the ground, he stands up again after a few seconds and bows to the party. He states that the party has shown that they are more than worthy of entering Mistpeak and that they shall leave immediately for he fears that their combat has "&amp;"attracted unwanted guests to his abode.
(if they succeed at Intimidation) The martial master peers deeply into the eyes of the brave adventurer before eventually relenting and deciding to let them pass without trial, he recommends they move soon as the Am"&amp;"phibuki had been following his trail for a while.
(If they fail at intimidation or are defeated in battle) The mistpeak master peers deep into the daring adventurers eyes causing the adventure to shudder deeply. The master sighs and tells you that you lac"&amp;"k the strength required to pass his trial and that you should return to where you came from as he will not lead you to Mistpeak (QUEST FAILED)
(If the party kills the Martial Master) With the final attack the blood of the mistpeak master stains the advent"&amp;"urer's hands, their only hope of finding mistpeak now lies dead on the floor
(Step 3: Ambush!!! description) As soon as the leave through the door the party begins to feel a strange sensation run down their spines as shurikens fly out of the bushes and t"&amp;"rees (The party rolls 1d20 with no modifiers 10 and below get -10 to their initiative rolls 11 or higher get +5 to their initiative rolls) Following the shurikens come a group of (1-6 depending on the roll) amphibuki aiming for the head of Martial Master."&amp;" (The Martial Master will join the party for this battle at whatever level the DM decides death of the Martial master is an instant failure) (Begin Combat)
(If the party successfully defeats the ambushers without the master dying) The party stands over th"&amp;"e corpses of the Amphibuki heaving heavy breaths after the hard fought battle however they have no time for rest as they assume more ambushers could arrive at any time and so they head off following the Mistpeak Master
(If the Mistpeak Master dies)  The p"&amp;"arty, too busy fighting off the Amphibuki aiming for their throats fail to notice that one of the Amphibuki has disappeared until suddenly they hear a cry from behind as a dagger pierces the throat of the mist peak master and he falls to the ground as blo"&amp;"od pools. (QUEST FAILED)
(Step 4: Travel description) The mistpeak master leads the party into a fog which begins to distort their vision and minds, the master tells them that is is tantamount that they remain focused otherwise they will be lost in the m"&amp;"ist and returned to where they started (No enemies will appear during this travel as most creatures are unable to withstand the confusing effects of the mist however you can still harvest herbs and hatch eggs during this travel)
(if they make it through s"&amp;"uccessfully read the next step description)
(If they roll a natural 1) You try your best to focus but this damned fog invades your mind you feel as though you upside down as you wander aimlessly before finding yourself back in the forest.
(Step 5: Follow"&amp;"ed description) The party finally arrives in front of the grand gates of Mistpeak, seeing the red gate in front of them they make their way forward thinking they have finally arrived at the end of this part of their journey however they hear a cackling fr"&amp;"om behind as a frogonian wearing a mask and thick robes hops out of the mist, a green fog envelopes his body as he pulls a needle and dart gun from his robe. ""Finally!"" he begins ""I have found the Hidden Village of mistpeak! All thanks to you fools I n"&amp;"ow have everything I need to wipe this pesky village off the map. He reveals a barrel oozing a green substance. The party does not know what it is but they know that if they don't stop this Bastard the village will likely not survive. (The Mistpeak Master"&amp;" will join the party for this fight with their level determined by the GM)
(If the Party Succeeds in defeating the Amphibuki Poison Master) Upon striking down the poison master the party destroys the barrel in an inferno receiving thanks from the Mistpeak"&amp;" master, and they finally make their way into the enigmatic ninja village
(If the Party fails) The party collapses to the ground blood dripping from their lips as the Amphibuki Master's cackles transform into uproarious laughter and their vision finally f"&amp;"ades (QUEST FAILED)")</f>
        <v>(This quest is technically activated upon entering DragonSpire for the first time however can be done at any point in time)
The party, Upon entering the town of Dragonspire hears whispers of a Village hidden in the forest, upon hearing such strange tales the party decides to look further into this matter.
(step 1 Investigation description) The Party decides to approach the woman who was spouting such rumors and inquire about any way to find this hidden village. She sighs and tells the party that she herself has no idea how to find this hidden village, hell she isn't quite sure it even exists and recommends the party go talk to Baldwyn the tavernkeep as he's the one who knows the most gossip in town (Talk to Npcs 1/3)
Upon entering the tavern the party would see Baldwyn standing behind the counter shining glasses (a strange habit all barkeeps tend to have). The party approaches the man and recounts their information of there being a hidden village nearby and that they heard he may have some information about it. Baldwyn rubs his temples deep in thought before telling the party that he actually had heard a rather similar story from a patron recently. Something about some hidden master in the woods or so He points the party in the direction of the library and tells them to ask for Scholar Mark, as he's the one who was telling the tale. (Talk to Npcs 2/3)
Arriving at the Grand Library of Dragonscale the party would find a scholarly man sitting out front engulfed in a book, upon asking him where they could find Scholar Mark, the man admits that he himself is Scholar mark and inquires as to what the party needs. If the party ask him about the Master in the woods he would regale them with the tale of him finding the master. He says he was wandering in the woods just east of DragonSpire when he found himself under attack by a group of lowlives, fortunately the master showed up and saved him, offering to treat his wounds in his cottage. He would ask to mark the location on the players map and show them where he's located (Talk to Npc's 3/3)(Step 1 completed)
(Step 2: Trial description) Upon arriving at the hidden master's cottage the party is greeted by silence from within until the hear a soft tapping coming from within, A hunched over frogonian with seemingly many years behind him opens the door and greets the party, inquiring as to what business they have with a mere old alchemist. If the party answers anything along the lines of wanting to go to the hidden village or meet the hidden master the old man will beckon the party in to his cottage where he will reveal his identity as a retired Elder of the Mist Peak ninja village, and that if they wish for him to guide them to the village they must first prove that they are worthy through combat. (Combat begins)
(Optional) The players can try to convince the master of their strength via an intimidation roll however to do so they must roll a 30 or higher on said intimidation roll.
(After Combat) Upon being beaten in combat the Mistpeak Master heaves heavy breaths before collapsing to the ground, he stands up again after a few seconds and bows to the party. He states that the party has shown that they are more than worthy of entering Mistpeak and that they shall leave immediately for he fears that their combat has attracted unwanted guests to his abode.
(if they succeed at Intimidation) The martial master peers deeply into the eyes of the brave adventurer before eventually relenting and deciding to let them pass without trial, he recommends they move soon as the Amphibuki had been following his trail for a while.
(If they fail at intimidation or are defeated in battle) The mistpeak master peers deep into the daring adventurers eyes causing the adventure to shudder deeply. The master sighs and tells you that you lack the strength required to pass his trial and that you should return to where you came from as he will not lead you to Mistpeak (QUEST FAILED)
(If the party kills the Martial Master) With the final attack the blood of the mistpeak master stains the adventurer's hands, their only hope of finding mistpeak now lies dead on the floor
(Step 3: Ambush!!! description) As soon as the leave through the door the party begins to feel a strange sensation run down their spines as shurikens fly out of the bushes and trees (The party rolls 1d20 with no modifiers 10 and below get -10 to their initiative rolls 11 or higher get +5 to their initiative rolls) Following the shurikens come a group of (1-6 depending on the roll) amphibuki aiming for the head of Martial Master. (The Martial Master will join the party for this battle at whatever level the DM decides death of the Martial master is an instant failure) (Begin Combat)
(If the party successfully defeats the ambushers without the master dying) The party stands over the corpses of the Amphibuki heaving heavy breaths after the hard fought battle however they have no time for rest as they assume more ambushers could arrive at any time and so they head off following the Mistpeak Master
(If the Mistpeak Master dies)  The party, too busy fighting off the Amphibuki aiming for their throats fail to notice that one of the Amphibuki has disappeared until suddenly they hear a cry from behind as a dagger pierces the throat of the mist peak master and he falls to the ground as blood pools. (QUEST FAILED)
(Step 4: Travel description) The mistpeak master leads the party into a fog which begins to distort their vision and minds, the master tells them that is is tantamount that they remain focused otherwise they will be lost in the mist and returned to where they started (No enemies will appear during this travel as most creatures are unable to withstand the confusing effects of the mist however you can still harvest herbs and hatch eggs during this travel)
(if they make it through successfully read the next step description)
(If they roll a natural 1) You try your best to focus but this damned fog invades your mind you feel as though you upside down as you wander aimlessly before finding yourself back in the forest.
(Step 5: Followed description) The party finally arrives in front of the grand gates of Mistpeak, seeing the red gate in front of them they make their way forward thinking they have finally arrived at the end of this part of their journey however they hear a cackling from behind as a frogonian wearing a mask and thick robes hops out of the mist, a green fog envelopes his body as he pulls a needle and dart gun from his robe. "Finally!" he begins "I have found the Hidden Village of mistpeak! All thanks to you fools I now have everything I need to wipe this pesky village off the map. He reveals a barrel oozing a green substance. The party does not know what it is but they know that if they don't stop this Bastard the village will likely not survive. (The Mistpeak Master will join the party for this fight with their level determined by the GM)
(If the Party Succeeds in defeating the Amphibuki Poison Master) Upon striking down the poison master the party destroys the barrel in an inferno receiving thanks from the Mistpeak master, and they finally make their way into the enigmatic ninja village
(If the Party fails) The party collapses to the ground blood dripping from their lips as the Amphibuki Master's cackles transform into uproarious laughter and their vision finally fades (QUEST FAILED)</v>
      </c>
      <c r="C77" s="49" t="str">
        <f>IFERROR(__xludf.DUMMYFUNCTION("""COMPUTED_VALUE"""),"Side")</f>
        <v>Side</v>
      </c>
      <c r="D77" s="49" t="str">
        <f>IFERROR(__xludf.DUMMYFUNCTION("""COMPUTED_VALUE"""),"Dragonscale Island")</f>
        <v>Dragonscale Island</v>
      </c>
      <c r="E77" s="49">
        <f>IFERROR(__xludf.DUMMYFUNCTION("""COMPUTED_VALUE"""),5.0)</f>
        <v>5</v>
      </c>
    </row>
    <row r="78">
      <c r="A78" s="49" t="str">
        <f>IFERROR(__xludf.DUMMYFUNCTION("""COMPUTED_VALUE"""),"To End A War")</f>
        <v>To End A War</v>
      </c>
      <c r="B78" s="49" t="str">
        <f>IFERROR(__xludf.DUMMYFUNCTION("""COMPUTED_VALUE"""),"(This quest is technically activated immediately upon all it's prerequisites being reached however it can be done at any time)
(Step 1: Receiving the Trial description)  Upon receiving recognition for their efforts in assisting the Fogweb village the part"&amp;"y receives a letter via bird with a few simple words scrawled within
To the heroes of the Forgonian People and all ninja villages we would like to bestow on you the right to ascend to the peak of Shadow Arts.
For further details we implore that you meet u"&amp;"s in person
We await your presence
Upon arriving in front of the main palace of Fogweb the brilliant doors being to slowly creak open as the darkness within is revealed to the Party. As the party steps into the darkness torches begin to light up with gree"&amp;"n flames around them revealing 11 seated figures surrounding the party. 10 of the figures wear the uniforms of either Martial or poison masters whilst the one directly in front of the party, which they recognize as the Fog Webmaster who first led them to "&amp;"the city, wears brilliant black robes which drape over its body with a beautiful Jade pendant sitting on his neck. The Frogonians look down upon the party from their thrones for a few solid seconds before the door slams shut behind the party and the Fogwe"&amp;"b leader speaks.
""Adventurers, I am Grand Elder Joa of the Fogweb Ninja Tribe. I trust that you know the reason you all stand before me today, and I shall explain to you the trial which stands in the path of your ascension.""
With a loud boom the elders "&amp;"Cane strikes the ground and the torches begin to flair into what appears to be a map.
""Before you, Adventurers lay a map of the Dragonscale Islands, upon each lay a ninja village which you have saved from some sort of grand trial, these trials have led u"&amp;"s to finally locate the hidden base of the Amphibuki Traitors!""
With another boom a part of the map begins to shine with great intensity.
""Here lies those traitorous fiends who have turned against their brothers and sister and sought their blood, and he"&amp;"re is where you trial shall be held""
The Grand Elder rises from his seat and approaches the party, the rhythmic tapping of his cane being the only sound which fills the hall. He extends his cane to point towards the party.
""If you wish to gain the rank "&amp;"of master and stand alongside the elders of the 5 ninja villages, bring us the head of Inugami, The scourge of the Amphibuki. Do this and you shall earn the rank of  a ninja master, and the rewards which come along with it. Now, off with you, I have high "&amp;"expectations for such great adventurers like yourselves.""
He motions for the party to leave the palace as he returns to his seat and the room goes dark once more. 
(Step 2: Invasion Description)  The party, after a long time of travel finally arrives at"&amp;" the cave which houses the Amphibuki Lair and make their way into the cave where they are immediately waylaid by Amphibuki Trainees. (Begin Dungeon 'Amphibuki Hideout')
(Step 3: Master versus Master description) The party finally arrives at the room of t"&amp;"he Amphibuki Master, who they are surprised to see is, unlike the other ninjas, human. Master Inugima turns to the party who have broke into his layer surprised.
""How the hell have you bastards made it up here? I should have known that a few ninja's woul"&amp;"dn't be enough to stop you, considering your achievements. No matter, however as unlike you I have been blessed by the great Lord Dreadful and have power unimaginable to lowlives like you.""
His raised finger points to the party as shadows began to writhe"&amp;" around Master Inugima, rising up from the ground as if given life by Inugima's foul magic. Eventually the writhing shadows begin to still as they take on the form of three clones of master Inugima and Inugima begins to laugh as he morphs into the shadows"&amp;" himself gesturing to the party to come and get him. (begin battle)
(Upon Victory via killing Inugima) Inugima begins to cough heavily as he grasps his ribs.
*heavy Breaths* ""I won't. Let it end like this."" *cough* *cough*
He begins channeling the same "&amp;"dark energy as before this time with maniacal laughter that fill the room and the darkness surges wildly however something goes wrong. Due to his exhaustion Inugima becomes unable to handle the backlash of casting the spell and he begins to writhe in pain"&amp;" as blood spurts from his eyes and mouth and he collapses to the floor gasping for breathe
""I won't... Let it... End...""
He looks up to the ceiling and the light finally fades from his eyes as an eerie sword on the wall which seems to scream out curses "&amp;"begins to suck up his blood.
(Upon victory via arresting Inugima) The party feeling as though Inugima's fate is not there's to decide seals Inugima within a powerful magic as the shadows die down as does Inugima's fighting as an eerie sword on the wall wh"&amp;"ich seems to scream out curses becomes silent and crumbles to dust as the screams intensify before eventually going seemingly silent. However Inugima seems to become crazed as you drag him back to Fogweb.
(Upon death of the party) The party fought well ho"&amp;"wever they did not fight hard enough as Inugima's laughter is heard echoing through the caves. The shadows writhe with his laughs as they begin to wrap around you and you know that death has arrived. The Screams of the Eerie sword on the wall grow to deaf"&amp;"ening levels. (QUEST FAILED)
(Step 4: Celebration (Inugima Arrested Version) description) The party returns to Fogweb Inugima still in tow, his eyes are dark as he stares at the ground no longer responding to any external interactions but the party hardl"&amp;"y finds this to be an issue. The citizens of Fogweb applaud the party as they pass through and the Trainees bow to you all thankful that the fight against the Amphibuki is finally over. The party arrives at the front of the palace as the gates open once m"&amp;"ore. Stepping through the doors into the halls the torches illuminate once again revealing the smiling faces of not just the 10 elders of Fogweb, but the Grand elders of the other 4 villages as well.
""Adventurers!"" Joa Begins cheerfully ""We elders have"&amp;" never in our lives been more pleased to see someone walk through the doors of this palace"" He steps down from his seat and approaches the party once again with the same rhythmic tapping of his cane. ""Today is the most joyous day in the history of the n"&amp;"inja villages, as today we see the end to the war we've fought for ages and the end of our life long enemy."" He pulls up the chin of Inugima with his staff and stares into Inugimas Blank eyes. ""I thank you for bringing this one to me personally, I will "&amp;"make certain that he sees justice for the crimes he has committed against our people. As numerous as they are his death is guaranteed."" He releases Inugima's head and returns his gaze to the party. ""But now is most certainly not the time for such dour t"&amp;"alk is there? Today is for celebration, Let us begin your promotion ceremony!"" He taps his cane on the floor and the Palace gates open to a stage which you could swear wasn't there before. Joa begins a speech to the combined people of and the other 5 nin"&amp;"ja villages recounting your heroic deeds to them before coming out with (However many outfits as there are players that completed the quest) Ninja Master outfits and medals. He hands them to the party and bows as the crowd applauses. After your ceremony c"&amp;"omes Inugima, dragged out onto the stage by a procession of guards. He is led to a guillotine where he places his head down under the blade. His lifeless eyes seem to stare directly into the party's souls and then he dies. Just like that the scourge of th"&amp;"e ninja clans across Dragonscale meets his end. But for some reason you're left with this feeling that perhaps, this isn't how things were supposed to end. Perhaps there was another way.
(Step 4: Celebration (Inugima KIlled Version) description) The part"&amp;"y members, infatuated with the mysterious blade are unable to pull their eyes away from it, they reach out grabbing the blade from where it stands on the walls and feel a sudden surge of sickness wash over them. Their mind begins racing at unimaginable sp"&amp;"eed as the desire to kill fills their heads along with nonsensical visions as voices scream within their heads. It feels like years before the voices finally calm down whilst the party writhes on the ground. (Gain the Curse of The Ancestral Blood). The pa"&amp;"rty eventually arrives back in Fogweb with the voice still whispering in the back of their heads. The citizens of Fogweb applaud the party as they pass through and the Trainees bow to you all thankful that the fight against the Amphibuki is finally over. "&amp;"The party arrives at the front of the palace as the gates open once more. Stepping through the doors into the halls the torches illuminate once again revealing the smiling faces of not just the 10 elders of Fogweb, but the Grand elders of the other 4 vill"&amp;"ages as well.
""Adventurers!"" Joa Begins cheerfully ""We elders have never in our lives been more pleased to see someone walk through the doors of this palace"" He steps down from his seat and approaches the party once again with the same rhythmic tappin"&amp;"g of his cane. ""Today is the most joyous day in the history of the ninja villages, as today we see the end to the war we've fought for ages and the end of our life long enemy."" He bows lightly to the party. "" I could never thank you enough adventurers,"&amp;" that scourge had slaughtered our people for years now, never letting us rest in peace at night think of when and where he'd attack again"" He raises his head. ""But now is most certainly not the time for such dour talk is there? Today is for celebration,"&amp;" Let us begin your promotion ceremony!"" He taps his cane on the floor and the Palace gates open to a stage which you could swear wasn't there before. Joa begins a speech to the combined people of and the other 5 ninja villages recounting your heroic deed"&amp;"s to them before coming out with (However many outfits as there are players that completed the quest) Ninja Master outfits and medals. He hands them to the party and bows as the crowd applauses. As the party finishes with the festivities they look at the "&amp;"blade now in their possession, it's gone mostly quiet for now but you are all full of the feeling that this story is not over just yet. (Epilogue Quest Unlocks at level 6000)")</f>
        <v>(This quest is technically activated immediately upon all it's prerequisites being reached however it can be done at any time)
(Step 1: Receiving the Trial description)  Upon receiving recognition for their efforts in assisting the Fogweb village the party receives a letter via bird with a few simple words scrawled within
To the heroes of the Forgonian People and all ninja villages we would like to bestow on you the right to ascend to the peak of Shadow Arts.
For further details we implore that you meet us in person
We await your presence
Upon arriving in front of the main palace of Fogweb the brilliant doors being to slowly creak open as the darkness within is revealed to the Party. As the party steps into the darkness torches begin to light up with green flames around them revealing 11 seated figures surrounding the party. 10 of the figures wear the uniforms of either Martial or poison masters whilst the one directly in front of the party, which they recognize as the Fog Webmaster who first led them to the city, wears brilliant black robes which drape over its body with a beautiful Jade pendant sitting on his neck. The Frogonians look down upon the party from their thrones for a few solid seconds before the door slams shut behind the party and the Fogweb leader speaks.
"Adventurers, I am Grand Elder Joa of the Fogweb Ninja Tribe. I trust that you know the reason you all stand before me today, and I shall explain to you the trial which stands in the path of your ascension."
With a loud boom the elders Cane strikes the ground and the torches begin to flair into what appears to be a map.
"Before you, Adventurers lay a map of the Dragonscale Islands, upon each lay a ninja village which you have saved from some sort of grand trial, these trials have led us to finally locate the hidden base of the Amphibuki Traitors!"
With another boom a part of the map begins to shine with great intensity.
"Here lies those traitorous fiends who have turned against their brothers and sister and sought their blood, and here is where you trial shall be held"
The Grand Elder rises from his seat and approaches the party, the rhythmic tapping of his cane being the only sound which fills the hall. He extends his cane to point towards the party.
"If you wish to gain the rank of master and stand alongside the elders of the 5 ninja villages, bring us the head of Inugami, The scourge of the Amphibuki. Do this and you shall earn the rank of  a ninja master, and the rewards which come along with it. Now, off with you, I have high expectations for such great adventurers like yourselves."
He motions for the party to leave the palace as he returns to his seat and the room goes dark once more. 
(Step 2: Invasion Description)  The party, after a long time of travel finally arrives at the cave which houses the Amphibuki Lair and make their way into the cave where they are immediately waylaid by Amphibuki Trainees. (Begin Dungeon 'Amphibuki Hideout')
(Step 3: Master versus Master description) The party finally arrives at the room of the Amphibuki Master, who they are surprised to see is, unlike the other ninjas, human. Master Inugima turns to the party who have broke into his layer surprised.
"How the hell have you bastards made it up here? I should have known that a few ninja's wouldn't be enough to stop you, considering your achievements. No matter, however as unlike you I have been blessed by the great Lord Dreadful and have power unimaginable to lowlives like you."
His raised finger points to the party as shadows began to writhe around Master Inugima, rising up from the ground as if given life by Inugima's foul magic. Eventually the writhing shadows begin to still as they take on the form of three clones of master Inugima and Inugima begins to laugh as he morphs into the shadows himself gesturing to the party to come and get him. (begin battle)
(Upon Victory via killing Inugima) Inugima begins to cough heavily as he grasps his ribs.
*heavy Breaths* "I won't. Let it end like this." *cough* *cough*
He begins channeling the same dark energy as before this time with maniacal laughter that fill the room and the darkness surges wildly however something goes wrong. Due to his exhaustion Inugima becomes unable to handle the backlash of casting the spell and he begins to writhe in pain as blood spurts from his eyes and mouth and he collapses to the floor gasping for breathe
"I won't... Let it... End..."
He looks up to the ceiling and the light finally fades from his eyes as an eerie sword on the wall which seems to scream out curses begins to suck up his blood.
(Upon victory via arresting Inugima) The party feeling as though Inugima's fate is not there's to decide seals Inugima within a powerful magic as the shadows die down as does Inugima's fighting as an eerie sword on the wall which seems to scream out curses becomes silent and crumbles to dust as the screams intensify before eventually going seemingly silent. However Inugima seems to become crazed as you drag him back to Fogweb.
(Upon death of the party) The party fought well however they did not fight hard enough as Inugima's laughter is heard echoing through the caves. The shadows writhe with his laughs as they begin to wrap around you and you know that death has arrived. The Screams of the Eerie sword on the wall grow to deafening levels. (QUEST FAILED)
(Step 4: Celebration (Inugima Arrested Version) description) The party returns to Fogweb Inugima still in tow, his eyes are dark as he stares at the ground no longer responding to any external interactions but the party hardly finds this to be an issue.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pulls up the chin of Inugima with his staff and stares into Inugimas Blank eyes. "I thank you for bringing this one to me personally, I will make certain that he sees justice for the crimes he has committed against our people. As numerous as they are his death is guaranteed." He releases Inugima's head and returns his gaze to the party.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After your ceremony comes Inugima, dragged out onto the stage by a procession of guards. He is led to a guillotine where he places his head down under the blade. His lifeless eyes seem to stare directly into the party's souls and then he dies. Just like that the scourge of the ninja clans across Dragonscale meets his end. But for some reason you're left with this feeling that perhaps, this isn't how things were supposed to end. Perhaps there was another way.
(Step 4: Celebration (Inugima KIlled Version) description) The party members, infatuated with the mysterious blade are unable to pull their eyes away from it, they reach out grabbing the blade from where it stands on the walls and feel a sudden surge of sickness wash over them. Their mind begins racing at unimaginable speed as the desire to kill fills their heads along with nonsensical visions as voices scream within their heads. It feels like years before the voices finally calm down whilst the party writhes on the ground. (Gain the Curse of The Ancestral Blood). The party eventually arrives back in Fogweb with the voice still whispering in the back of their heads.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bows lightly to the party. " I could never thank you enough adventurers, that scourge had slaughtered our people for years now, never letting us rest in peace at night think of when and where he'd attack again" He raises his head.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As the party finishes with the festivities they look at the blade now in their possession, it's gone mostly quiet for now but you are all full of the feeling that this story is not over just yet. (Epilogue Quest Unlocks at level 6000)</v>
      </c>
      <c r="C78" s="49" t="str">
        <f>IFERROR(__xludf.DUMMYFUNCTION("""COMPUTED_VALUE"""),"Side")</f>
        <v>Side</v>
      </c>
      <c r="D78" s="49" t="str">
        <f>IFERROR(__xludf.DUMMYFUNCTION("""COMPUTED_VALUE"""),"Dragonscale Island")</f>
        <v>Dragonscale Island</v>
      </c>
      <c r="E78" s="49">
        <f>IFERROR(__xludf.DUMMYFUNCTION("""COMPUTED_VALUE"""),4.0)</f>
        <v>4</v>
      </c>
    </row>
    <row r="79">
      <c r="A79" s="49" t="str">
        <f>IFERROR(__xludf.DUMMYFUNCTION("""COMPUTED_VALUE"""),"A land of the Wild")</f>
        <v>A land of the Wild</v>
      </c>
      <c r="B79" s="49" t="str">
        <f>IFERROR(__xludf.DUMMYFUNCTION("""COMPUTED_VALUE"""),"(Upon entering WildWood for the First Time) The Party, upon arriving in the WildWood sees that the people there are in a sort of panic.
""Oh not again!"" one pedestrian yells out, approaching the pedestrian the party would see the severed lower body of a "&amp;"sheep lying in the street.
Upon talking to the man the party would learn that the man is a shepard of the wild wood and that for the past few weeks his and several other sheperds livestock have become the victims of the ""Beast of Gévaudan.""
""Say you lo"&amp;"t look capable of handling yer'selves,"" he starts scanning the party's equipment, ""Yes perhaps you lot could solve our problem, adventurers I ask that ye go talk to the chief o' this 'ere town, he lives just north of here in the large buil'ing atop that"&amp;" 'ill"" He points towards a simple structure standing atop a hill which overlooks the rest of the WildWood.
""The Chiefs been looking for adventurer's like you lot to deal with that nasty beast for a while now, I'm sure e'd have some reward for ya if ya d"&amp;"id,"" 
(Part 1: Talk to the Chief of WIldWood) The Party arrives at the structure atop the hill where they find 2 guards standing in front of a great door. The guards look at the party and the one on the left says ""Here to fight the beast ey? Let's see i"&amp;"f this group comes back alive then. Go on in."" The guards begin to open the hefty doors and the party sees a great hall, at the end of which sits a giant of a man on a throne. The party approaches the throne and speak of their wish to learn more about th"&amp;"e great beast that's been plaguing the people of WildWood.
After sizing up the party in silence for a few seconds the Chief of WildWood begins to speak, ""The Beast of Gévaudan, It's a large beast that's been stalking our woods, killing our people and liv"&amp;"estock, it's a menace and it needs ended,"" his voice echoes these words across the hall, ""However, our attempts to kill it thus far have been complete failures, we've sent other adventurers out but none of them have returned and we can no longer spare a"&amp;"ny guards due to the cultists from the South, I'm willing to pay so I ask that you deal with the beast for the town since you seem at least slightly more qualified than the average hoodlum who takes the request."" The Chief rises from his seat towering ov"&amp;"er even the tallest party member. ""The hunt will be simple, go and slay some wolves and that should draw out the foul beast after that-"" he draws his thumb across his throat-"" Kill it, and bring me it's head as proof, with that you'll have your reward."&amp;""" He points towards the east of the town, ""My hunters have reported sighting of the beast over there, now go, I expect good results.""
And with that the party makes their way for the forest.
(Part 2: Hunt 6 Wolves) Upon arriving in the woods eastward of"&amp;" the town the party encounters a group of wolves feasting upon the corpse of a young lamb, upon preparing themselves for inevitable battle they charge in. (Begin Battle)
(Part 3: Kill or Capture the Beast of Gévaudan) Soaked in the blood of the wolves the"&amp;" party stands triumphantly when they hear a thumping approaching fast they feel a shiver go down their spine as they turn and see a beast approaching at speeds that shouldn't be feasible for such a large creature as it bares down on them, It's black coat "&amp;"shimmering in the moonlight as it stops suddenly mere feet away from the party. It begins to circle with a menacing glare that bares down on the party almost as if it's stare was enchanted before revealing it's fangs and pouncing on the party. (Begin Batt"&amp;"le)
(Upon Killing The Beast) After a grueling battle against the foul creature The party manages to trike true severing the head from the rest of the spirits semi-corporeal body, as they do it's body begins to slowly dissipate into the air, one of the par"&amp;"ty members (doesn't matter who does just that some one does) attaches the severed head of the beast to their belt and they make their way back to the town of WildWood, triumphant.
(Upon Capturing The Beast via Arrest) The Party fights hard to restrain the"&amp;" beast, it is no easy feat as the beast thrashes against it's bindings until eventually it is completely sealed and unable to move. The party makes their way back to the town of WildWood, triumphant.
(Part 4: Offer the Beast to the Chief) 
(If the Beast i"&amp;"s Killed) The party struts through the streets of WildWood the severed head of the beast hanging from their belt as several onlookers look on in awe, they make their way to the Great Door of the Chief's Abode where they meet the same two guards as before,"&amp;" one of which whistles in mock awe as they approach ""oh~ So you killed the blither then ey? Good on you lads, you may have some future as adventurers after all. Anyway go right on in, the chief's 'een waiting for ya,"" Him and the other guard begin to pu"&amp;"sh the heavy doors open with ease once again as it opens to the Grand Hall, at the end of the hall sits the chief, he eyes the party before settling on the head attached to a party member's belt.
""I see that your venture has been a success,"" He begins, "&amp;"his voice deep and gravely, ""I thank you for your service to the WildWood, and I imagine my people do too, a suitable reward will be given promptly for these admirable results-"" he pulls a purse of coins from an extra dimensional space and holds it out "&amp;"to the party- ""Take it,"" he finishes handing the pouch to the person at the front of the party. ""You may keep the head, it has some special properties you may be interested in."" With their pay received and their quest complete the party makes their wa"&amp;"y back into town (QUEST COMPLETE)
(If The Beast Is Captured) The party struts through town hauling the captured beast in tow, as it thrashes against it's binds the people look on in horror and awe as the party approaches the Great Door, The guards at the "&amp;"front give you a look that shows their impression at your feat as they open the door, ""Quite a pet ya got there lad,"" one of the guards say, ""Just make sure it dun' shed to much on the chiefs carpet will ya'?"" As the party enters the Grand Hall they s"&amp;"ee the chief, he eyes the party before settling on the Beast bound down and being dragged behind the party, he rises from his chair and approaches the party wordlessly before pulling out a greatsword as large as two men and swiftly detaching the head from"&amp;" the Beast, ""You did well in capturing the beast, but I ask that you kill them next time, saves us all some trouble,"" He says returning to his seat. ""I thank you for your service to the WildWood, and I imagine my people do too, a suitable reward will b"&amp;"e given promptly for these admirable results-"" he pulls a purse of coins from an extra dimensional space and holds it out to the party- ""Take it,"" he finishes, handing the pouch to the person at the front of the party. ""You may keep the head, it has s"&amp;"ome special properties you may be interested in."" With their pay received and their quest complete the party makes their way back into town (QUEST COMPLETE)")</f>
        <v>(Upon entering WildWood for the First Time) The Party, upon arriving in the WildWood sees that the people there are in a sort of panic.
"Oh not again!" one pedestrian yells out, approaching the pedestrian the party would see the severed lower body of a sheep lying in the street.
Upon talking to the man the party would learn that the man is a shepard of the wild wood and that for the past few weeks his and several other sheperds livestock have become the victims of the "Beast of Gévaudan."
"Say you lot look capable of handling yer'selves," he starts scanning the party's equipment, "Yes perhaps you lot could solve our problem, adventurers I ask that ye go talk to the chief o' this 'ere town, he lives just north of here in the large buil'ing atop that 'ill" He points towards a simple structure standing atop a hill which overlooks the rest of the WildWood.
"The Chiefs been looking for adventurer's like you lot to deal with that nasty beast for a while now, I'm sure e'd have some reward for ya if ya did," 
(Part 1: Talk to the Chief of WIldWood) The Party arrives at the structure atop the hill where they find 2 guards standing in front of a great door. The guards look at the party and the one on the left says "Here to fight the beast ey? Let's see if this group comes back alive then. Go on in." The guards begin to open the hefty doors and the party sees a great hall, at the end of which sits a giant of a man on a throne. The party approaches the throne and speak of their wish to learn more about the great beast that's been plaguing the people of WildWood.
After sizing up the party in silence for a few seconds the Chief of WildWood begins to speak, "The Beast of Gévaudan, It's a large beast that's been stalking our woods, killing our people and livestock, it's a menace and it needs ended," his voice echoes these words across the hall, "However, our attempts to kill it thus far have been complete failures, we've sent other adventurers out but none of them have returned and we can no longer spare any guards due to the cultists from the South, I'm willing to pay so I ask that you deal with the beast for the town since you seem at least slightly more qualified than the average hoodlum who takes the request." The Chief rises from his seat towering over even the tallest party member. "The hunt will be simple, go and slay some wolves and that should draw out the foul beast after that-" he draws his thumb across his throat-" Kill it, and bring me it's head as proof, with that you'll have your reward." He points towards the east of the town, "My hunters have reported sighting of the beast over there, now go, I expect good results."
And with that the party makes their way for the forest.
(Part 2: Hunt 6 Wolves) Upon arriving in the woods eastward of the town the party encounters a group of wolves feasting upon the corpse of a young lamb, upon preparing themselves for inevitable battle they charge in. (Begin Battle)
(Part 3: Kill or Capture the Beast of Gévaudan) Soaked in the blood of the wolves the party stands triumphantly when they hear a thumping approaching fast they feel a shiver go down their spine as they turn and see a beast approaching at speeds that shouldn't be feasible for such a large creature as it bares down on them, It's black coat shimmering in the moonlight as it stops suddenly mere feet away from the party. It begins to circle with a menacing glare that bares down on the party almost as if it's stare was enchanted before revealing it's fangs and pouncing on the party. (Begin Battle)
(Upon Killing The Beast) After a grueling battle against the foul creature The party manages to trike true severing the head from the rest of the spirits semi-corporeal body, as they do it's body begins to slowly dissipate into the air, one of the party members (doesn't matter who does just that some one does) attaches the severed head of the beast to their belt and they make their way back to the town of WildWood, triumphant.
(Upon Capturing The Beast via Arrest) The Party fights hard to restrain the beast, it is no easy feat as the beast thrashes against it's bindings until eventually it is completely sealed and unable to move. The party makes their way back to the town of WildWood, triumphant.
(Part 4: Offer the Beast to the Chief) 
(If the Beast is Killed) The party struts through the streets of WildWood the severed head of the beast hanging from their belt as several onlookers look on in awe, they make their way to the Great Door of the Chief's Abode where they meet the same two guards as before, one of which whistles in mock awe as they approach "oh~ So you killed the blither then ey? Good on you lads, you may have some future as adventurers after all. Anyway go right on in, the chief's 'een waiting for ya," Him and the other guard begin to push the heavy doors open with ease once again as it opens to the Grand Hall, at the end of the hall sits the chief, he eyes the party before settling on the head attached to a party member's belt.
"I see that your venture has been a success," He begins, his voice deep and gravely,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
(If The Beast Is Captured) The party struts through town hauling the captured beast in tow, as it thrashes against it's binds the people look on in horror and awe as the party approaches the Great Door, The guards at the front give you a look that shows their impression at your feat as they open the door, "Quite a pet ya got there lad," one of the guards say, "Just make sure it dun' shed to much on the chiefs carpet will ya'?" As the party enters the Grand Hall they see the chief, he eyes the party before settling on the Beast bound down and being dragged behind the party, he rises from his chair and approaches the party wordlessly before pulling out a greatsword as large as two men and swiftly detaching the head from the Beast, "You did well in capturing the beast, but I ask that you kill them next time, saves us all some trouble," He says returning to his seat.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v>
      </c>
      <c r="C79" s="49" t="str">
        <f>IFERROR(__xludf.DUMMYFUNCTION("""COMPUTED_VALUE"""),"Side")</f>
        <v>Side</v>
      </c>
      <c r="D79" s="49" t="str">
        <f>IFERROR(__xludf.DUMMYFUNCTION("""COMPUTED_VALUE"""),"Land of Spira")</f>
        <v>Land of Spira</v>
      </c>
      <c r="E79" s="49">
        <f>IFERROR(__xludf.DUMMYFUNCTION("""COMPUTED_VALUE"""),4.0)</f>
        <v>4</v>
      </c>
    </row>
    <row r="80">
      <c r="A80" s="49" t="str">
        <f>IFERROR(__xludf.DUMMYFUNCTION("""COMPUTED_VALUE"""),"Trials of Valor")</f>
        <v>Trials of Valor</v>
      </c>
      <c r="B80" s="49" t="str">
        <f>IFERROR(__xludf.DUMMYFUNCTION("""COMPUTED_VALUE"""),"In the heart of The Kingdom of Royal Knights, beneath the scorching sun of the Red Sands, you stand before the imposing figure of the Lord of Spira. Your desire to become a guard, a defender of the realm, echoes through the vast expanse. The Lord of Spira"&amp;", a discerning ruler, acknowledges your aspiration but demands proof of your mettle. He assigns you a series of tasks, known as the Trials of Valor, to determine if you are worthy of joining the ranks of the esteemed guards.")</f>
        <v>In the heart of The Kingdom of Royal Knights, beneath the scorching sun of the Red Sands, you stand before the imposing figure of the Lord of Spira. Your desire to become a guard, a defender of the realm, echoes through the vast expanse. The Lord of Spira, a discerning ruler, acknowledges your aspiration but demands proof of your mettle. He assigns you a series of tasks, known as the Trials of Valor, to determine if you are worthy of joining the ranks of the esteemed guards.</v>
      </c>
      <c r="C80" s="49" t="str">
        <f>IFERROR(__xludf.DUMMYFUNCTION("""COMPUTED_VALUE"""),"Side")</f>
        <v>Side</v>
      </c>
      <c r="D80" s="49" t="str">
        <f>IFERROR(__xludf.DUMMYFUNCTION("""COMPUTED_VALUE"""),"Land of Spira")</f>
        <v>Land of Spira</v>
      </c>
      <c r="E80" s="49">
        <f>IFERROR(__xludf.DUMMYFUNCTION("""COMPUTED_VALUE"""),4.0)</f>
        <v>4</v>
      </c>
    </row>
    <row r="81">
      <c r="A81" s="49" t="str">
        <f>IFERROR(__xludf.DUMMYFUNCTION("""COMPUTED_VALUE"""),"Rise to Glory")</f>
        <v>Rise to Glory</v>
      </c>
      <c r="B81" s="49" t="str">
        <f>IFERROR(__xludf.DUMMYFUNCTION("""COMPUTED_VALUE"""),"You have been given a rare opportunity to prove your worth and rise through the ranks of the esteemed Spira Guard. The Lord of Spira in the Red Sands has summoned you, entrusting you with a promotion quest that will test your skills, bravery, and allegian"&amp;"ce. Your goal is to become a Spira Guard Sergeant First Class, a position of great honor and responsibility. Embark on this epic journey and demonstrate your unwavering dedication to the protection of Spira!")</f>
        <v>You have been given a rare opportunity to prove your worth and rise through the ranks of the esteemed Spira Guard. The Lord of Spira in the Red Sands has summoned you, entrusting you with a promotion quest that will test your skills, bravery, and allegiance. Your goal is to become a Spira Guard Sergeant First Class, a position of great honor and responsibility. Embark on this epic journey and demonstrate your unwavering dedication to the protection of Spira!</v>
      </c>
      <c r="C81" s="49" t="str">
        <f>IFERROR(__xludf.DUMMYFUNCTION("""COMPUTED_VALUE"""),"Side")</f>
        <v>Side</v>
      </c>
      <c r="D81" s="49" t="str">
        <f>IFERROR(__xludf.DUMMYFUNCTION("""COMPUTED_VALUE"""),"Land of Spira")</f>
        <v>Land of Spira</v>
      </c>
      <c r="E81" s="49">
        <f>IFERROR(__xludf.DUMMYFUNCTION("""COMPUTED_VALUE"""),7.0)</f>
        <v>7</v>
      </c>
    </row>
    <row r="82">
      <c r="A82" s="49" t="str">
        <f>IFERROR(__xludf.DUMMYFUNCTION("""COMPUTED_VALUE"""),"The Council of Spira")</f>
        <v>The Council of Spira</v>
      </c>
      <c r="B82" s="49" t="str">
        <f>IFERROR(__xludf.DUMMYFUNCTION("""COMPUTED_VALUE"""),"An opportunity for greatness presents itself. The Lord of Spira, a powerful and enigmatic figure, has called upon you, a valiant adventurer, to undertake a promotion quest of utmost importance. Your task is to prove your worth and ascend to the prestigiou"&amp;"s rank of Spira Guard General, becoming a formidable guardian of the realm.")</f>
        <v>An opportunity for greatness presents itself. The Lord of Spira, a powerful and enigmatic figure, has called upon you, a valiant adventurer, to undertake a promotion quest of utmost importance. Your task is to prove your worth and ascend to the prestigious rank of Spira Guard General, becoming a formidable guardian of the realm.</v>
      </c>
      <c r="C82" s="49" t="str">
        <f>IFERROR(__xludf.DUMMYFUNCTION("""COMPUTED_VALUE"""),"Side")</f>
        <v>Side</v>
      </c>
      <c r="D82" s="49" t="str">
        <f>IFERROR(__xludf.DUMMYFUNCTION("""COMPUTED_VALUE"""),"Land of Spira")</f>
        <v>Land of Spira</v>
      </c>
      <c r="E82" s="49">
        <f>IFERROR(__xludf.DUMMYFUNCTION("""COMPUTED_VALUE"""),6.0)</f>
        <v>6</v>
      </c>
    </row>
    <row r="83">
      <c r="A83" s="49" t="str">
        <f>IFERROR(__xludf.DUMMYFUNCTION("""COMPUTED_VALUE"""),"Poaching the Poachers")</f>
        <v>Poaching the Poachers</v>
      </c>
      <c r="B83" s="49" t="str">
        <f>IFERROR(__xludf.DUMMYFUNCTION("""COMPUTED_VALUE"""),"The party picks a paper off of the quest board in the Boar Tusk Bar, it's a notice which reads as follows. 
To all those reading this, a dangerous group of poachers has been found in the eastern WildWood, if you wish to assist the God's Quiver in subduing"&amp;" these cretins please meet Divine Arrow Harald  in the Church of Artemis, otherwise the eastern forest is off limits until further notice.
(Part 1 Speak with Divine Arrow Harald within the church of Artemis.) The party, reading of the poachers decides to "&amp;"make their way to the church, either from a convition to help, or a lust for monetary reward. Arriving at the church of Artemis the party will see and imposing man dressed in green with a greatbow as large as him on his back, He appears to be speaking wit"&amp;"h another man, smaller than the other but somehow more intimidating with a scruffy beard. Suddenly the two men notice the party's approach.
""Anyway, just get it done, we have far too much on our hands right now to be worrying about a few petty poachers."&amp;""" The smaller man says before nodding to the party and leaving.
The larger man turns to the party and says, ""Hello, and welcome to the Church of Artemis, I hope above all hopes you are here to deal with our pest problem."" he sighs. The party affirms hi"&amp;"s suspicions, producing the paper with the job's details upon it. ""Thank the gods, I've been wanting to deal with these poachers myself but recent events have kept all branches of the church busy and I haven't even been able to send any of my men to deal"&amp;" with these damnable poachers-"" he pauses, ""apologies, my woes are of no importance to you, anyway if you would, could you go into the eastern forest, about a day's travel into the forest you'll find a bear, one of the poacher's recent marks, you should"&amp;" be able to rather easily track the messy hooligans from there, they leave quite the trail,"" He hands them another sheet of paper, ""This is a warrant for their arrest, though I don't imagine they'll come easily, if you do manage to capture them bring th"&amp;"em to the judge along with this warrant and he shoudl reward you, if you can't catch them alive however bringin their heads shoudl suffice, I can't thank you all enough for taking this job off my hands, and good luck."" WIth that Harald makes his way into"&amp;" the church where he is immdiately bombarded with all kinds of question from paladins on different topics, you see the rush inside and can tell he wasn't lying when he said he was busy.
(Part 2 Investigate the dead bear) The party arrives at the scene of "&amp;"the poachers most recent capture and see a grisly scene. A bear lies in the middle of a clearing covered in several lascerations and without it's heads, around the bear are the corpses of 3 men, the party assumes them to be poachers who got cocky during t"&amp;"he hunt. (HAVE THE PARTY ROLL WISDOM HERE TO INVESTIGATE THE CRIME SCENE THE DC IS 15 ONLY ONE SUCCESS IS NEEDED)
(FAILURE) The party tries their best given the limited clues surrounding them, however they can't seem to get a solid direction the poachers "&amp;"might've gone after the hunt. Giving up the party decides it best to give up on the quest for now.
(SUCCESS) The party notices the faint trace of footprint in the dirt, following these tracks they find a hidden trail through the brush that the poachers se"&amp;"t up to monitor their trap, Following this trail the party would find the poacher's hideout.
(Part 3 Defeat the Poachers) The outskirts of the Poacher camps smells heavily of blood and booze as the party makes their way through the thick underbrush, weapo"&amp;"ns readied, the poachers, some drunk, some asleep have yet to notice the party's approach. The drunken ones are loudly laughing amongst themselves about something inaudible to the party as the party strikes.(BEGIN COMBAT)
(Part 4 Turn in the captured/kill"&amp;"ed poachers to the judge within WildWood) The party returns to town, shackled poachers in tow, arriving in WildWood's courthouse, the prisoner's are taken into custody by the judge and th eparty rewarded aptly with the poacher's bounty.
""It's a good thin"&amp;"g to see those cretins put behind bars, they've begun getting into scuffles with hunters recently, anyway good job you all, and here's your deserved rewards. I hope not to see you all again, though hopefully not under the circumstances of our poacher frie"&amp;"nds.""
(QUEST COMPLETE)")</f>
        <v>The party picks a paper off of the quest board in the Boar Tusk Bar, it's a notice which reads as follows. 
To all those reading this, a dangerous group of poachers has been found in the eastern WildWood, if you wish to assist the God's Quiver in subduing these cretins please meet Divine Arrow Harald  in the Church of Artemis, otherwise the eastern forest is off limits until further notice.
(Part 1 Speak with Divine Arrow Harald within the church of Artemis.) The party, reading of the poachers decides to make their way to the church, either from a convition to help, or a lust for monetary reward. Arriving at the church of Artemis the party will see and imposing man dressed in green with a greatbow as large as him on his back, He appears to be speaking with another man, smaller than the other but somehow more intimidating with a scruffy beard. Suddenly the two men notice the party's approach.
"Anyway, just get it done, we have far too much on our hands right now to be worrying about a few petty poachers." The smaller man says before nodding to the party and leaving.
The larger man turns to the party and says, "Hello, and welcome to the Church of Artemis, I hope above all hopes you are here to deal with our pest problem." he sighs. The party affirms his suspicions, producing the paper with the job's details upon it. "Thank the gods, I've been wanting to deal with these poachers myself but recent events have kept all branches of the church busy and I haven't even been able to send any of my men to deal with these damnable poachers-" he pauses, "apologies, my woes are of no importance to you, anyway if you would, could you go into the eastern forest, about a day's travel into the forest you'll find a bear, one of the poacher's recent marks, you should be able to rather easily track the messy hooligans from there, they leave quite the trail," He hands them another sheet of paper, "This is a warrant for their arrest, though I don't imagine they'll come easily, if you do manage to capture them bring them to the judge along with this warrant and he shoudl reward you, if you can't catch them alive however bringin their heads shoudl suffice, I can't thank you all enough for taking this job off my hands, and good luck." WIth that Harald makes his way into the church where he is immdiately bombarded with all kinds of question from paladins on different topics, you see the rush inside and can tell he wasn't lying when he said he was busy.
(Part 2 Investigate the dead bear) The party arrives at the scene of the poachers most recent capture and see a grisly scene. A bear lies in the middle of a clearing covered in several lascerations and without it's heads, around the bear are the corpses of 3 men, the party assumes them to be poachers who got cocky during the hunt. (HAVE THE PARTY ROLL WISDOM HERE TO INVESTIGATE THE CRIME SCENE THE DC IS 15 ONLY ONE SUCCESS IS NEEDED)
(FAILURE) The party tries their best given the limited clues surrounding them, however they can't seem to get a solid direction the poachers might've gone after the hunt. Giving up the party decides it best to give up on the quest for now.
(SUCCESS) The party notices the faint trace of footprint in the dirt, following these tracks they find a hidden trail through the brush that the poachers set up to monitor their trap, Following this trail the party would find the poacher's hideout.
(Part 3 Defeat the Poachers) The outskirts of the Poacher camps smells heavily of blood and booze as the party makes their way through the thick underbrush, weapons readied, the poachers, some drunk, some asleep have yet to notice the party's approach. The drunken ones are loudly laughing amongst themselves about something inaudible to the party as the party strikes.(BEGIN COMBAT)
(Part 4 Turn in the captured/killed poachers to the judge within WildWood) The party returns to town, shackled poachers in tow, arriving in WildWood's courthouse, the prisoner's are taken into custody by the judge and th eparty rewarded aptly with the poacher's bounty.
"It's a good thing to see those cretins put behind bars, they've begun getting into scuffles with hunters recently, anyway good job you all, and here's your deserved rewards. I hope not to see you all again, though hopefully not under the circumstances of our poacher friends."
(QUEST COMPLETE)</v>
      </c>
      <c r="C83" s="49" t="str">
        <f>IFERROR(__xludf.DUMMYFUNCTION("""COMPUTED_VALUE"""),"Side")</f>
        <v>Side</v>
      </c>
      <c r="D83" s="49" t="str">
        <f>IFERROR(__xludf.DUMMYFUNCTION("""COMPUTED_VALUE"""),"Land of Spira")</f>
        <v>Land of Spira</v>
      </c>
      <c r="E83" s="49">
        <f>IFERROR(__xludf.DUMMYFUNCTION("""COMPUTED_VALUE"""),4.0)</f>
        <v>4</v>
      </c>
    </row>
    <row r="84">
      <c r="A84" s="49" t="str">
        <f>IFERROR(__xludf.DUMMYFUNCTION("""COMPUTED_VALUE"""),"Kenyu's Guided Meditation")</f>
        <v>Kenyu's Guided Meditation</v>
      </c>
      <c r="B84" s="49" t="str">
        <f>IFERROR(__xludf.DUMMYFUNCTION("""COMPUTED_VALUE"""),"Embark on a transformative quest with Elder Monk Kenyu as he invites you to partake in a profound spiritual journey known as ""Kenyu's Guided Meditation."" In a world filled with turmoil and chaos, Elder Monk Kenyu has mastered the art of serenity and now"&amp;" extends his wisdom to those seeking solace.
Your task is simple yet profound - accompany Elder Monk Kenyu to a secluded sanctuary, a place untouched by the external chaos that plagues the realm. Here, under the guidance of Kenyu, you will delve into the"&amp;" recesses of your mind, seeking to unravel and dispel the negative energies that weigh heavily upon your spirit.
As you navigate through the ethereal landscapes within your own consciousness, you may encounter symbolic challenges representing your inner "&amp;"struggles. These trials could manifest as metaphorical obstacles, requiring your introspection and resolve to overcome. Kenyu will be there, a beacon of wisdom, offering guidance and enlightenment throughout this introspective odyssey.
Success in ""Kenyu"&amp;"'s Guided Meditation"" promises not only the tranquility of a cleared mind but also the unlocking of hidden potentials within yourself. The rewards are not material but spiritual - a newfound sense of balance, resilience, and a profound understanding of y"&amp;"our own psyche.
Venture forth, brave traveler, and let the soothing whispers of Kenyu's teachings guide you to the serene shores of inner peace.")</f>
        <v>Embark on a transformative quest with Elder Monk Kenyu as he invites you to partake in a profound spiritual journey known as "Kenyu's Guided Meditation." In a world filled with turmoil and chaos, Elder Monk Kenyu has mastered the art of serenity and now extends his wisdom to those seeking solace.
Your task is simple yet profound - accompany Elder Monk Kenyu to a secluded sanctuary, a place untouched by the external chaos that plagues the realm. Here, under the guidance of Kenyu, you will delve into the recesses of your mind, seeking to unravel and dispel the negative energies that weigh heavily upon your spirit.
As you navigate through the ethereal landscapes within your own consciousness, you may encounter symbolic challenges representing your inner struggles. These trials could manifest as metaphorical obstacles, requiring your introspection and resolve to overcome. Kenyu will be there, a beacon of wisdom, offering guidance and enlightenment throughout this introspective odyssey.
Success in "Kenyu's Guided Meditation" promises not only the tranquility of a cleared mind but also the unlocking of hidden potentials within yourself. The rewards are not material but spiritual - a newfound sense of balance, resilience, and a profound understanding of your own psyche.
Venture forth, brave traveler, and let the soothing whispers of Kenyu's teachings guide you to the serene shores of inner peace.</v>
      </c>
      <c r="C84" s="49" t="str">
        <f>IFERROR(__xludf.DUMMYFUNCTION("""COMPUTED_VALUE"""),"Side")</f>
        <v>Side</v>
      </c>
      <c r="D84" s="49" t="str">
        <f>IFERROR(__xludf.DUMMYFUNCTION("""COMPUTED_VALUE"""),"Land of Spira")</f>
        <v>Land of Spira</v>
      </c>
      <c r="E84" s="49">
        <f>IFERROR(__xludf.DUMMYFUNCTION("""COMPUTED_VALUE"""),0.0)</f>
        <v>0</v>
      </c>
    </row>
    <row r="85">
      <c r="A85" s="49" t="str">
        <f>IFERROR(__xludf.DUMMYFUNCTION("""COMPUTED_VALUE"""),"The Cult and the Copperhead")</f>
        <v>The Cult and the Copperhead</v>
      </c>
      <c r="B85" s="49" t="str">
        <f>IFERROR(__xludf.DUMMYFUNCTION("""COMPUTED_VALUE"""),"The town of Swampville is a vile place, the manifestation of corruption taken form in it's town and people, and yet a single person stands out from the rest, a bright-eyed fresh recruit by the name of Cooper. This is his story, and a cautionary tale of wh"&amp;"at happens to those who cross the Cult.
(PART 1: LOCATE PRIVATE COOPER HENDERSON) Ripping the posting from the board the party begins to read the quest's details, it read of a private Cooper, a recent recruit to the guards of Spira assigned to the town"&amp;" of Swampville. He believes he's found traces of cult activity within the town of Swampville and implores any competent adventurers passing through swampville to lend their aide in his investigation. It tells the party to head to the Drowned Light Inn whe"&amp;"re Henderson usually stays. 
Heading to the Inn the party would spot a rugged man standing behind a counter who regards the party as they enter ""You with the private or the hood freaks?"" If the party were to ask what he meant he'd elaborate. ""Only two"&amp;" groups are' and no open rooms, first one is taken by the loudmouth private saying he's got a case and the other's taken by those creepy fellas who came a few days after the bastard starting talkin' cult shite."" The party shows the innkeeper the quest po"&amp;"sting they took and he directs the party to a room on the second floor, overlooking the small pier.
Following the Innkeeper's instructions the party knock on the door and are greeted by a man in guard equipment.
(PART 2: HELP COOPER) Cooper greets the"&amp;" party with a warm smile before inviting them in and offering them tea, ""Here for the quest posting are you? Gods I hope so, I've been asking around for weeks on leads to find this cult's headquarters, you see I've been tracking their movements ever sinc"&amp;"e my posting here looking for enough evidence of cult activity to get the church and capital to mobilize a crusade against the cult."" He directs the parties attention over to a board on his wall on it are several pieces of paper detailing the activities "&amp;"of certain affluent people within Swampville, Merchants, entertainers, even some guards. ""All of the people you see here have been exhibiting strange, and dare I say heretical tendencies, I've reasonable suspicion to suspect that they all, in some way or"&amp;" another, have connections to the Cult of Dreadful. Now this is obviously no joking matter and as such I don't want to bring any of them before the judge until I am 100% certain that they are indeed cultists, and for that I need you-"" He points his finge"&amp;"r to the party with a flourish- ""Adventurers, I need you all to investigate these citizens for anything that might tie them to the cult, but specifically, the mask, It's an item given to all cultists in order to identify them, helpful for both cult membe"&amp;"rs and consequently us, without further ado adventurers let us begin or hunt.""
The first place the adventurers arrive is a merchantry owned by an influential noblemen, ""This is the place adventurers, this is man has been dealing with shady folks on the"&amp;" side, I have suspicions that the shady figures in question are in fact cultists,"" he says. ""Now you obviously can't just run in the front door and demand evidence of 'cult like behaviors' so I'm going to need to ask you to be discrete about it, and one"&amp;" final thing, what you're looking for are any ledgers that show dealings with the cult or a cultist mask, I'll be searching the other suspects personal residence for any sort of clue, meet me back at the inn when you're done."" With that the party begins "&amp;"their infiltration. The party may chose to go about this in any way they please however being caught trying to infiltrate will result in immediate failure.
(SUCCESS) Upon successfully securing the evidence of the merchant's cult ties the party hands it o"&amp;"ver to cooper. ""This is brilliant adventurers, while you were gathering the evidence on the merchant I managed to find conclusive evidence on a few of the other suspects, with this much there's no way in hell we won't get a crusade, the town will be clea"&amp;"nsed of it's evil.""
(PART 3: PRESENT THE EVIDENCE) The party arrives in front of the imposing courthouse of swampville as Cooper speaks to the guard stationed outside and salutes the guards before entering. He beckons you to follow as you enter the gi"&amp;"ant doors. The party finds itself in the shadow the judge's stand as Cooper gives a vehement speech imploring the judge to acquire permission for a crusade in swampville as the judge reads through the stack of papers given to him by Cooper. Unfortunately "&amp;"the judge claims that he is unable to come to a decision immediately and bids Cooper to wait 5 days before receiving a verdict, Cooper sighs but nods and you leave the Courthouse. 
""That most certainly could've gone better,"" Cooper sighs, ""but the jud"&amp;"ge will see the truth of the matter I'm sure of it, Thank you friends,"" he extends his hand for a handshake with each party member, ""I was unable to get anything out of that merchant for so long and yet you solved my problem with such ease."" He gives t"&amp;"he party a salute, ""This is where we part ways for now adventurers but I hope to see you in 5 days time when we finally get our verdict, at that time I will be more than happy to give you payment for your job well done,"" having said his piece he gives o"&amp;"ne final wave before making his way to the Inn.
(PART 4: RETURN TO COOPER) After around 5 days the party makes their way back to the Drowned Light Inn where they are greeted by the same Gruff man, ""So it's you lot again? here to check on your friend? "&amp;"I haven't heard from him in days, not since he came here all giddy prattling on about solving his first case, if you could, go make sure he's alright, I'm worried those hooded creeps mighta done something to him,"" The party makes their way to the second "&amp;"floor and knocks on Cooper's door but they receive no answer. Opening the door the party sees a shocking sight, Cooper is sprawled across the Ground, blood staining the floor. Next to his body lay a cultist mask with a smile painted on in blood (It is the"&amp;" ""Smiling mask"" in case any players attempt to pick it up.) It would seem that the hooded figures in the Inn were in fact cultists keeping an eye on Cooper, deciding it best to kill him when he brought evidence of their presence to the judge.
PART 5:"&amp;" REPORT) The party moves to leave the Inn when the Innkeeper suddenly stops them, ""Oi, Cooper said that he wanted me to give you lot something in case you came back when he wasn't around, sadi it was payment for assisting him."" The man hands you a small"&amp;" ring, it's rather plain in design being a simple silver ring but the party takes it anyway. Arriving in front of the guard tower the party reports the shocking sight in the Inn to a sergeant.
""So they got to the poor bastard did they? I told him not to"&amp;" go poking around, said it would only get him killed, and now look what's happened."" The guard sighs deeply, ""I'm sorry you all had to see that, I'm sure it was a grisly sight, but take it as a warning, don't go poking around the cult in these parts if "&amp;"you want to live, anyway, I'll make sure his body at least gets back to his family, Thank you adventurers.""
(QUEST COMPLETE)")</f>
        <v>The town of Swampville is a vile place, the manifestation of corruption taken form in it's town and people, and yet a single person stands out from the rest, a bright-eyed fresh recruit by the name of Cooper. This is his story, and a cautionary tale of what happens to those who cross the Cult.
(PART 1: LOCATE PRIVATE COOPER HENDERSON) Ripping the posting from the board the party begins to read the quest's details, it read of a private Cooper, a recent recruit to the guards of Spira assigned to the town of Swampville. He believes he's found traces of cult activity within the town of Swampville and implores any competent adventurers passing through swampville to lend their aide in his investigation. It tells the party to head to the Drowned Light Inn where Henderson usually stays. 
Heading to the Inn the party would spot a rugged man standing behind a counter who regards the party as they enter "You with the private or the hood freaks?" If the party were to ask what he meant he'd elaborate. "Only two groups are' and no open rooms, first one is taken by the loudmouth private saying he's got a case and the other's taken by those creepy fellas who came a few days after the bastard starting talkin' cult shite." The party shows the innkeeper the quest posting they took and he directs the party to a room on the second floor, overlooking the small pier.
Following the Innkeeper's instructions the party knock on the door and are greeted by a man in guard equipment.
(PART 2: HELP COOPER) Cooper greets the party with a warm smile before inviting them in and offering them tea, "Here for the quest posting are you? Gods I hope so, I've been asking around for weeks on leads to find this cult's headquarters, you see I've been tracking their movements ever since my posting here looking for enough evidence of cult activity to get the church and capital to mobilize a crusade against the cult." He directs the parties attention over to a board on his wall on it are several pieces of paper detailing the activities of certain affluent people within Swampville, Merchants, entertainers, even some guards. "All of the people you see here have been exhibiting strange, and dare I say heretical tendencies, I've reasonable suspicion to suspect that they all, in some way or another, have connections to the Cult of Dreadful. Now this is obviously no joking matter and as such I don't want to bring any of them before the judge until I am 100% certain that they are indeed cultists, and for that I need you-" He points his finger to the party with a flourish- "Adventurers, I need you all to investigate these citizens for anything that might tie them to the cult, but specifically, the mask, It's an item given to all cultists in order to identify them, helpful for both cult members and consequently us, without further ado adventurers let us begin or hunt."
The first place the adventurers arrive is a merchantry owned by an influential noblemen, "This is the place adventurers, this is man has been dealing with shady folks on the side, I have suspicions that the shady figures in question are in fact cultists," he says. "Now you obviously can't just run in the front door and demand evidence of 'cult like behaviors' so I'm going to need to ask you to be discrete about it, and one final thing, what you're looking for are any ledgers that show dealings with the cult or a cultist mask, I'll be searching the other suspects personal residence for any sort of clue, meet me back at the inn when you're done." With that the party begins their infiltration. The party may chose to go about this in any way they please however being caught trying to infiltrate will result in immediate failure.
(SUCCESS) Upon successfully securing the evidence of the merchant's cult ties the party hands it over to cooper. "This is brilliant adventurers, while you were gathering the evidence on the merchant I managed to find conclusive evidence on a few of the other suspects, with this much there's no way in hell we won't get a crusade, the town will be cleansed of it's evil."
(PART 3: PRESENT THE EVIDENCE) The party arrives in front of the imposing courthouse of swampville as Cooper speaks to the guard stationed outside and salutes the guards before entering. He beckons you to follow as you enter the giant doors. The party finds itself in the shadow the judge's stand as Cooper gives a vehement speech imploring the judge to acquire permission for a crusade in swampville as the judge reads through the stack of papers given to him by Cooper. Unfortunately the judge claims that he is unable to come to a decision immediately and bids Cooper to wait 5 days before receiving a verdict, Cooper sighs but nods and you leave the Courthouse. 
"That most certainly could've gone better," Cooper sighs, "but the judge will see the truth of the matter I'm sure of it, Thank you friends," he extends his hand for a handshake with each party member, "I was unable to get anything out of that merchant for so long and yet you solved my problem with such ease." He gives the party a salute, "This is where we part ways for now adventurers but I hope to see you in 5 days time when we finally get our verdict, at that time I will be more than happy to give you payment for your job well done," having said his piece he gives one final wave before making his way to the Inn.
(PART 4: RETURN TO COOPER) After around 5 days the party makes their way back to the Drowned Light Inn where they are greeted by the same Gruff man, "So it's you lot again? here to check on your friend? I haven't heard from him in days, not since he came here all giddy prattling on about solving his first case, if you could, go make sure he's alright, I'm worried those hooded creeps mighta done something to him," The party makes their way to the second floor and knocks on Cooper's door but they receive no answer. Opening the door the party sees a shocking sight, Cooper is sprawled across the Ground, blood staining the floor. Next to his body lay a cultist mask with a smile painted on in blood (It is the "Smiling mask" in case any players attempt to pick it up.) It would seem that the hooded figures in the Inn were in fact cultists keeping an eye on Cooper, deciding it best to kill him when he brought evidence of their presence to the judge.
PART 5: REPORT) The party moves to leave the Inn when the Innkeeper suddenly stops them, "Oi, Cooper said that he wanted me to give you lot something in case you came back when he wasn't around, sadi it was payment for assisting him." The man hands you a small ring, it's rather plain in design being a simple silver ring but the party takes it anyway. Arriving in front of the guard tower the party reports the shocking sight in the Inn to a sergeant.
"So they got to the poor bastard did they? I told him not to go poking around, said it would only get him killed, and now look what's happened." The guard sighs deeply, "I'm sorry you all had to see that, I'm sure it was a grisly sight, but take it as a warning, don't go poking around the cult in these parts if you want to live, anyway, I'll make sure his body at least gets back to his family, Thank you adventurers."
(QUEST COMPLETE)</v>
      </c>
      <c r="C85" s="49" t="str">
        <f>IFERROR(__xludf.DUMMYFUNCTION("""COMPUTED_VALUE"""),"Side")</f>
        <v>Side</v>
      </c>
      <c r="D85" s="49" t="str">
        <f>IFERROR(__xludf.DUMMYFUNCTION("""COMPUTED_VALUE"""),"Land of Spira")</f>
        <v>Land of Spira</v>
      </c>
      <c r="E85" s="49">
        <f>IFERROR(__xludf.DUMMYFUNCTION("""COMPUTED_VALUE"""),0.0)</f>
        <v>0</v>
      </c>
    </row>
    <row r="86">
      <c r="A86" s="49" t="str">
        <f>IFERROR(__xludf.DUMMYFUNCTION("""COMPUTED_VALUE"""),"Wyrm's Rampage")</f>
        <v>Wyrm's Rampage</v>
      </c>
      <c r="B86" s="49" t="str">
        <f>IFERROR(__xludf.DUMMYFUNCTION("""COMPUTED_VALUE"""),"(PART 1 TALK TO THE HUNTER) Recently a hunter has been having issues with a certain spirit Wyrm poaching his game, normally it wouldn't be an issue since wyrms generally only hunt when they have to, but this specific Wyrm has been attacking every creature"&amp;" it sees, and it hasn't even been eating them. The hunter believes that this may be a sign of a bigger issue and asks the party's help in capturing this wyrm, he doesn't have much to offer but he says he can teach you about the delicate process of the dra"&amp;"gon's breath weapon. 
(PART 2 INVESTIGATE THE MONSTER'S TRACKS) The party arrives at one of the Wyrm's recent rampage sights with the help of the Head Hunter and begin to look over the scene. There's an entire pack of wolves and a Beast of Gevaudun lying"&amp;" aroud the broken trees and greyed plant life, it looks as the ough all the life in the area has been sucked out. The wolves and beast are shredded and yet it doesn't seem that they've been eating espeacially since Spirit Wyrms don't eat physical flesh. U"&amp;"pon attempting to touch one of the creatures one of the party members can feel themselves growing drowsy before pulling their hand back. Have the party roll wisdom they must get a 20 or higher to succeed. 
[SUCCESS] Upon further thinking you begin to piec"&amp;"e together a possible cause for all this, Spiritual Psychosis, you remeber reading about it within one of the WildWood libraries, It's a rare disease thought to be long gone. It infects the soul of the creature twisting it over time until the creature los"&amp;"es it's sense of self and begins to go berserk attacking everything, especially other spirits, until it eventually kills the creature. Luckily this disease can only spirit based enities and therefore the people of WildWood are mostly safe from it's effect"&amp;"s however if left unchecked the disease can spread rapidly and decimate the spirits in WildWood, 
(PART 3 GATHER WOOD) Upon hearing this alarming news the Head Hunter will decide that it's best to capture and perform an autopsy on the Wyrm to see if it's"&amp;" true, he directs the party to gather 50 wood to build a trap for the Wyrm, he doesn't care how you get it but he tells you to meet him here when you have it. 
[SUCCESS] Upon gathering the neccessary materials the party returns to the head hunter who begi"&amp;"ns to craft a large trap to capture the beast, and lies in wait. 
(PART 4 SPRING THE TRAP)  After a while the party spots the Wyrm on the horizon as it rushes towards a spirit chasing it throigh the forest, The spirit rushes into the trap before pahsing "&amp;"through but the wyrm is not so lucky as it's caught within the trap, It begins to thrash about as the head hunter approaches. The head hunter tries to finish it in one strike but is suddenly blown back into a tree as the Wyrm smashes the trap sending wood"&amp;" shards everywhere as it attacks. [BEGIN BATTLE] [SPIRIT WYRM X1] 
[SUCCESS] The party strikes true sending the crazed wyrm down as it tries to thrash about, but soon, all movement ceases. The Head Hunter is still unconcious against the tree as the party "&amp;"begins to drag him and the Wyrm back to town. Upon returning the party is approached by a group of alchemists who introduce themelves as the town's primary physicians and scientists, they take the corpse of the Wyrm from the party handing them a bag of 5,"&amp;"000,000 Gilders before hurrying off towards the town's main hall. A few days later the party is once again approached by the hunter who offers them to teach them about the breath attacks of Wyrms and says that he can demonstrate using the head of the Wyrm"&amp;". 
[QUEST COMPLETE]")</f>
        <v>(PART 1 TALK TO THE HUNTER) Recently a hunter has been having issues with a certain spirit Wyrm poaching his game, normally it wouldn't be an issue since wyrms generally only hunt when they have to, but this specific Wyrm has been attacking every creature it sees, and it hasn't even been eating them. The hunter believes that this may be a sign of a bigger issue and asks the party's help in capturing this wyrm, he doesn't have much to offer but he says he can teach you about the delicate process of the dragon's breath weapon. 
(PART 2 INVESTIGATE THE MONSTER'S TRACKS) The party arrives at one of the Wyrm's recent rampage sights with the help of the Head Hunter and begin to look over the scene. There's an entire pack of wolves and a Beast of Gevaudun lying aroud the broken trees and greyed plant life, it looks as the ough all the life in the area has been sucked out. The wolves and beast are shredded and yet it doesn't seem that they've been eating espeacially since Spirit Wyrms don't eat physical flesh. Upon attempting to touch one of the creatures one of the party members can feel themselves growing drowsy before pulling their hand back. Have the party roll wisdom they must get a 20 or higher to succeed. 
[SUCCESS] Upon further thinking you begin to piece together a possible cause for all this, Spiritual Psychosis, you remeber reading about it within one of the WildWood libraries, It's a rare disease thought to be long gone. It infects the soul of the creature twisting it over time until the creature loses it's sense of self and begins to go berserk attacking everything, especially other spirits, until it eventually kills the creature. Luckily this disease can only spirit based enities and therefore the people of WildWood are mostly safe from it's effects however if left unchecked the disease can spread rapidly and decimate the spirits in WildWood, 
(PART 3 GATHER WOOD) Upon hearing this alarming news the Head Hunter will decide that it's best to capture and perform an autopsy on the Wyrm to see if it's true, he directs the party to gather 50 wood to build a trap for the Wyrm, he doesn't care how you get it but he tells you to meet him here when you have it. 
[SUCCESS] Upon gathering the neccessary materials the party returns to the head hunter who begins to craft a large trap to capture the beast, and lies in wait. 
(PART 4 SPRING THE TRAP)  After a while the party spots the Wyrm on the horizon as it rushes towards a spirit chasing it throigh the forest, The spirit rushes into the trap before pahsing through but the wyrm is not so lucky as it's caught within the trap, It begins to thrash about as the head hunter approaches. The head hunter tries to finish it in one strike but is suddenly blown back into a tree as the Wyrm smashes the trap sending wood shards everywhere as it attacks. [BEGIN BATTLE] [SPIRIT WYRM X1] 
[SUCCESS] The party strikes true sending the crazed wyrm down as it tries to thrash about, but soon, all movement ceases. The Head Hunter is still unconcious against the tree as the party begins to drag him and the Wyrm back to town. Upon returning the party is approached by a group of alchemists who introduce themelves as the town's primary physicians and scientists, they take the corpse of the Wyrm from the party handing them a bag of 5,000,000 Gilders before hurrying off towards the town's main hall. A few days later the party is once again approached by the hunter who offers them to teach them about the breath attacks of Wyrms and says that he can demonstrate using the head of the Wyrm. 
[QUEST COMPLETE]</v>
      </c>
      <c r="C86" s="49" t="str">
        <f>IFERROR(__xludf.DUMMYFUNCTION("""COMPUTED_VALUE"""),"Side")</f>
        <v>Side</v>
      </c>
      <c r="D86" s="49" t="str">
        <f>IFERROR(__xludf.DUMMYFUNCTION("""COMPUTED_VALUE"""),"Land of Spira")</f>
        <v>Land of Spira</v>
      </c>
      <c r="E86" s="49">
        <f>IFERROR(__xludf.DUMMYFUNCTION("""COMPUTED_VALUE"""),50.0)</f>
        <v>50</v>
      </c>
    </row>
    <row r="87">
      <c r="A87" s="49" t="str">
        <f>IFERROR(__xludf.DUMMYFUNCTION("""COMPUTED_VALUE"""),"Of Mountains and Men")</f>
        <v>Of Mountains and Men</v>
      </c>
      <c r="B87" s="49" t="str">
        <f>IFERROR(__xludf.DUMMYFUNCTION("""COMPUTED_VALUE"""),"General Corvus has recently heard concerning news of a group of Shamans attempting to summon an elemental king and has tasked you with putting a stop to this, he tells you that the only way to enter the Fire Tiki Fortress where the Shamans are performing "&amp;"the ritual is to retrieve the ever-burning stone from Fire Tiki Temple and The Earthen Goddess's Blessing from The Pyramid of The Earthen Goddess. 
(PART 1) (5-3) You enter the garden, it would seem almost zen if not for the raging inferno that lay in the"&amp;" center of the room. Master Sawoogo stands and regards you as he lifts his staff, unwilling to relent the ever-burning stone. (BEGIN BATTLE) 
(VICTORY) Master Sawoogo falls to the ground as his staff falls from his hands, the injuries he's sustained prove"&amp;" fatal as his eyes dim. The party retrieves the burning stone from Heatmore's flame and prepares themselves for the next temple. 
(PART 2) (4-3) Upon entering the room you behold a golden throne, Light streams from above illuminating this otherwise dark s"&amp;"pace and casting an ethereal glow upon the throne as you hear the shifting of armor. Peering to the right you see Grisaia, Gaia's head paladin and most devoted follower standing next to the empty throne. He offers the party surrender, insisting that there"&amp;"'s no need for a battle if they simply leave the Goddess to rest but the party shows no sign of relenting. Grisaia heaves an exasperated sigh as he lifts his giant sword and shield pointing to the party in challenge.(Begin Battle)
 (VICTORY) as Grisaia fa"&amp;"lls, heaving, he is no longer capable of preventing the party's entrance into Gaia's Chambers. He slips out of consciousness as he slumps against the wall. The party approaches the large ornate door as it begins to slowly scrap open revealing a horrendous"&amp;" sight. 
(5-3) The party enters the horrid room filled with the stench of blood, Innumerable eyes covering the walls and floor of the room snap to the party as they enter. This room is truly a blood-tainted hellscape. A man in heavy platemale raises his s"&amp;"word over a skeleton which lies in a bed of black roses and an ominous light fills the bones as flesh begins to form. Gaia rises from the bed, her flesh tainted red and horns growing from her head as the man exits through the portal which collapses shortl"&amp;"y after he enters. (BEGIN BATTLE) 
(VICTORY) As the party strikes the Corrupted Goddess she falls to her knees and light begins to descend from the ceiling, enveloping her. The horns atop her head begin to fade to dust as her skin returns to its normal ea"&amp;"rthy color, a crest descends with the light and as a party member reaches out to touch it, it begins to absorb into their hand, and the party is finally ready to take on the Fire Tiki Fortress. 
(PART 3) (4-3) The party arrives on the final floor of fire "&amp;"tiki fortress after fighting their way through golems and constructs only to realize they've arrived too late, the shamans complete the ritual as soon as the party arrives on the top floor of the fortress. Cloudius towers over the volcano as he looks down"&amp;" on the shamans and party. Suddenly the shamans are enveloped in smoke as they choke to death before the party's eyes and Cloudius begins his approach. 
(BEGIN BATTLE) (VICTORY) The sky begins to clear as ash falls upon the shoulders of the party, smokius"&amp;" fades into the air staring unflinchingly at the party. They were lucky, Cloudius being newly formed couldn't showcase his full power and thus, he is defeated. A group of shamans rush up the stairs of the fortress and thank the party, they introduce thems"&amp;"elves as the Magmatic Sages, a group of shamans tasked with defending the earth and fire spirits of Fire Tiki Mountain. They thank you for weeding out the corrupted shamans who attempted to abuse the power of the spirit world and hand the party 3 relics, "&amp;"they say that they are elements that represent the 3 elements of Fire Tiki Mountain. The Sword of Fire, The Shield of Earth, and The Staff of Magma which combines Earth and fire. They tell the party that from this day forth if they ever require the assist"&amp;"ance of the Magmatic Sages they will do their best to assist. (QUEST COMPLETE)")</f>
        <v>General Corvus has recently heard concerning news of a group of Shamans attempting to summon an elemental king and has tasked you with putting a stop to this, he tells you that the only way to enter the Fire Tiki Fortress where the Shamans are performing the ritual is to retrieve the ever-burning stone from Fire Tiki Temple and The Earthen Goddess's Blessing from The Pyramid of The Earthen Goddess. 
(PART 1) (5-3) You enter the garden, it would seem almost zen if not for the raging inferno that lay in the center of the room. Master Sawoogo stands and regards you as he lifts his staff, unwilling to relent the ever-burning stone. (BEGIN BATTLE) 
(VICTORY) Master Sawoogo falls to the ground as his staff falls from his hands, the injuries he's sustained prove fatal as his eyes dim. The party retrieves the burning stone from Heatmore's flame and prepares themselves for the next temple. 
(PART 2) (4-3) Upon entering the room you behold a golden throne, Light streams from above illuminating this otherwise dark space and casting an ethereal glow upon the throne as you hear the shifting of armor. Peering to the right you see Grisaia, Gaia's head paladin and most devoted follower standing next to the empty throne. He offers the party surrender, insisting that there's no need for a battle if they simply leave the Goddess to rest but the party shows no sign of relenting. Grisaia heaves an exasperated sigh as he lifts his giant sword and shield pointing to the party in challenge.(Begin Battle)
 (VICTORY) as Grisaia falls, heaving, he is no longer capable of preventing the party's entrance into Gaia's Chambers. He slips out of consciousness as he slumps against the wall. The party approaches the large ornate door as it begins to slowly scrap open revealing a horrendous sight. 
(5-3) The party enters the horrid room filled with the stench of blood, Innumerable eyes covering the walls and floor of the room snap to the party as they enter. This room is truly a blood-tainted hellscape. A man in heavy platemale raises his sword over a skeleton which lies in a bed of black roses and an ominous light fills the bones as flesh begins to form. Gaia rises from the bed, her flesh tainted red and horns growing from her head as the man exits through the portal which collapses shortly after he enters. (BEGIN BATTLE) 
(VICTORY) As the party strikes the Corrupted Goddess she falls to her knees and light begins to descend from the ceiling, enveloping her. The horns atop her head begin to fade to dust as her skin returns to its normal earthy color, a crest descends with the light and as a party member reaches out to touch it, it begins to absorb into their hand, and the party is finally ready to take on the Fire Tiki Fortress. 
(PART 3) (4-3) The party arrives on the final floor of fire tiki fortress after fighting their way through golems and constructs only to realize they've arrived too late, the shamans complete the ritual as soon as the party arrives on the top floor of the fortress. Cloudius towers over the volcano as he looks down on the shamans and party. Suddenly the shamans are enveloped in smoke as they choke to death before the party's eyes and Cloudius begins his approach. 
(BEGIN BATTLE) (VICTORY) The sky begins to clear as ash falls upon the shoulders of the party, smokius fades into the air staring unflinchingly at the party. They were lucky, Cloudius being newly formed couldn't showcase his full power and thus, he is defeated. A group of shamans rush up the stairs of the fortress and thank the party, they introduce themselves as the Magmatic Sages, a group of shamans tasked with defending the earth and fire spirits of Fire Tiki Mountain. They thank you for weeding out the corrupted shamans who attempted to abuse the power of the spirit world and hand the party 3 relics, they say that they are elements that represent the 3 elements of Fire Tiki Mountain. The Sword of Fire, The Shield of Earth, and The Staff of Magma which combines Earth and fire. They tell the party that from this day forth if they ever require the assistance of the Magmatic Sages they will do their best to assist. (QUEST COMPLETE)</v>
      </c>
      <c r="C87" s="49" t="str">
        <f>IFERROR(__xludf.DUMMYFUNCTION("""COMPUTED_VALUE"""),"Side")</f>
        <v>Side</v>
      </c>
      <c r="D87" s="49" t="str">
        <f>IFERROR(__xludf.DUMMYFUNCTION("""COMPUTED_VALUE"""),"Land of Spira")</f>
        <v>Land of Spira</v>
      </c>
      <c r="E87" s="49">
        <f>IFERROR(__xludf.DUMMYFUNCTION("""COMPUTED_VALUE"""),3.0)</f>
        <v>3</v>
      </c>
    </row>
    <row r="88">
      <c r="A88" s="49" t="str">
        <f>IFERROR(__xludf.DUMMYFUNCTION("""COMPUTED_VALUE"""),"A Strange Infection")</f>
        <v>A Strange Infection</v>
      </c>
      <c r="B88" s="49" t="str">
        <f>IFERROR(__xludf.DUMMYFUNCTION("""COMPUTED_VALUE"""),"(PART 1: TALK TO THE CHIEF OF WILDWOOD) As the party arrives in front of the chieftain, they see his brow creased with worry as he turns his gaze up to the party. ""Adventurers,"" he begins as he nervously taps the side of his throne, ""My greatest shaman"&amp;"'s have investigated the corpse of the Spirit Wyrm which you have brought me, and the news they bring is concerning,"" He pauses as if to gather his thoughts, ""it would appear a rare disease of great magnitude has begun to rear it's head within the WildW"&amp;"ood, a disease though to be no more than a legend, or at least no longer a threat, however this recent discovery has begun to allow us to connect the pieces of this festering puzzle, why the beast of Gevadun was so aggressive, why spirit populations have "&amp;"been low, and why contact with the great spirit kings has been cut off,"" He stops allowing the party to process all the information which has been thrust upon them, ""while it fills me with much anguish-"" he suddenly cuts himself off, his sword leans ag"&amp;"ainst his throne as he stands, and bows to the party- ""I must plead with you, kind adventurers, please, seek the witch doctors of the Foul Night Swamp, I fear that without them..."" He trails off not wanting to finish his sentence... ""The results shall "&amp;"be dreadful indeed."" He tells the adventurers about the Witch doctors, and how to find them in foul night swamp, he hands the party an amulet and tells them to hand it to the Witch Doctors. 
(PART 3: FOUL NIGHT) The party travels to Foul Night Swamp via "&amp;"teleportation or by wading through its murky, muddy turf. Arriving in Foul Night they are oh so close to their destination when suddenly they feel a chilling sensation (BEAR TRAP) 
(SUCCESS) The party manages to avoid loss of limb from this contraption as"&amp;" they continue but they are soon met face to face with a strange man. The man makes no noise as he looks down upon the group through his corvid mask, his entire body is hidden within his cloak as he suddenly launches himself at the party, (BEGIN BATTLE (P"&amp;"LAGUE DOCTOR KAILLON X1)) 
(SUCCESS) The plague doctor slips back from the party, the amulet within his grasp as he looks down at it, he turns wordlessly to the party and gestures for them to follow as he wades through the mud. 
(PART 4: KAILLON) Arriving"&amp;" at Kaillon's hut, the party watches as Kaillon rummages through the cupboards and takes out a strange item, he tells the party that he knows the purpose of their visit, and hands the gadget to the party. The object's purpose, as Kaillon explains it, is t"&amp;"o forcefully extract an opponent's soul. (Upon killing an enemy the enemy is guaranteed to drop 1 soul) He bids the party to gather 50 souls so that he may study the disease further and promises a reward should they return quickly. 
(PART 5: COLLECT SOULS"&amp;") (SUCCESS) The plague doctor snatches the device out of your hand and begins to inspect it, you can't see his face but you still get a feeling of minor discomfort emanating from the crow mask. He takes the amulet off his neck and throws it to the party a"&amp;"s he turns to his instruments, returning with a map of Spira and DragonScale Island with 5 areas marked on it. He tells the party to go to these areas and appear before the spirit kings. The Sylph of WildWood, The Raijin of the Mountains of War and Dishon"&amp;"or, The Undyne of Tritonoch, Karduk of the Dragonscale Grotto, and The Salamander King of Lava Lizard Lake. If they are friendly, he says to request their aid. Otherwise, kill them and bring their souls before him. (QUEST COMPLETE)")</f>
        <v>(PART 1: TALK TO THE CHIEF OF WILDWOOD) As the party arrives in front of the chieftain, they see his brow creased with worry as he turns his gaze up to the party. "Adventurers," he begins as he nervously taps the side of his throne, "My greatest shaman's have investigated the corpse of the Spirit Wyrm which you have brought me, and the news they bring is concerning," He pauses as if to gather his thoughts, "it would appear a rare disease of great magnitude has begun to rear it's head within the WildWood, a disease though to be no more than a legend, or at least no longer a threat, however this recent discovery has begun to allow us to connect the pieces of this festering puzzle, why the beast of Gevadun was so aggressive, why spirit populations have been low, and why contact with the great spirit kings has been cut off," He stops allowing the party to process all the information which has been thrust upon them, "while it fills me with much anguish-" he suddenly cuts himself off, his sword leans against his throne as he stands, and bows to the party- "I must plead with you, kind adventurers, please, seek the witch doctors of the Foul Night Swamp, I fear that without them..." He trails off not wanting to finish his sentence... "The results shall be dreadful indeed." He tells the adventurers about the Witch doctors, and how to find them in foul night swamp, he hands the party an amulet and tells them to hand it to the Witch Doctors. 
(PART 3: FOUL NIGHT) The party travels to Foul Night Swamp via teleportation or by wading through its murky, muddy turf. Arriving in Foul Night they are oh so close to their destination when suddenly they feel a chilling sensation (BEAR TRAP) 
(SUCCESS) The party manages to avoid loss of limb from this contraption as they continue but they are soon met face to face with a strange man. The man makes no noise as he looks down upon the group through his corvid mask, his entire body is hidden within his cloak as he suddenly launches himself at the party, (BEGIN BATTLE (PLAGUE DOCTOR KAILLON X1)) 
(SUCCESS) The plague doctor slips back from the party, the amulet within his grasp as he looks down at it, he turns wordlessly to the party and gestures for them to follow as he wades through the mud. 
(PART 4: KAILLON) Arriving at Kaillon's hut, the party watches as Kaillon rummages through the cupboards and takes out a strange item, he tells the party that he knows the purpose of their visit, and hands the gadget to the party. The object's purpose, as Kaillon explains it, is to forcefully extract an opponent's soul. (Upon killing an enemy the enemy is guaranteed to drop 1 soul) He bids the party to gather 50 souls so that he may study the disease further and promises a reward should they return quickly. 
(PART 5: COLLECT SOULS) (SUCCESS) The plague doctor snatches the device out of your hand and begins to inspect it, you can't see his face but you still get a feeling of minor discomfort emanating from the crow mask. He takes the amulet off his neck and throws it to the party as he turns to his instruments, returning with a map of Spira and DragonScale Island with 5 areas marked on it. He tells the party to go to these areas and appear before the spirit kings. The Sylph of WildWood, The Raijin of the Mountains of War and Dishonor, The Undyne of Tritonoch, Karduk of the Dragonscale Grotto, and The Salamander King of Lava Lizard Lake. If they are friendly, he says to request their aid. Otherwise, kill them and bring their souls before him. (QUEST COMPLETE)</v>
      </c>
      <c r="C88" s="49" t="str">
        <f>IFERROR(__xludf.DUMMYFUNCTION("""COMPUTED_VALUE"""),"Side")</f>
        <v>Side</v>
      </c>
      <c r="D88" s="49" t="str">
        <f>IFERROR(__xludf.DUMMYFUNCTION("""COMPUTED_VALUE"""),"Land of Spira")</f>
        <v>Land of Spira</v>
      </c>
      <c r="E88" s="49">
        <f>IFERROR(__xludf.DUMMYFUNCTION("""COMPUTED_VALUE"""),50.0)</f>
        <v>50</v>
      </c>
    </row>
    <row r="89">
      <c r="A89" s="49" t="str">
        <f>IFERROR(__xludf.DUMMYFUNCTION("""COMPUTED_VALUE"""),"The Spirit Queen of Winds")</f>
        <v>The Spirit Queen of Winds</v>
      </c>
      <c r="B89" s="49" t="str">
        <f>IFERROR(__xludf.DUMMYFUNCTION("""COMPUTED_VALUE"""),"The party, returning to WildWood, finds Sylph, Queen of The Nature Elementals rampaging through the town. Assuming this means that the infection has spread to her the party prepares themselves to face off against the spirit queen and capture her soul.")</f>
        <v>The party, returning to WildWood, finds Sylph, Queen of The Nature Elementals rampaging through the town. Assuming this means that the infection has spread to her the party prepares themselves to face off against the spirit queen and capture her soul.</v>
      </c>
      <c r="C89" s="49" t="str">
        <f>IFERROR(__xludf.DUMMYFUNCTION("""COMPUTED_VALUE"""),"Side")</f>
        <v>Side</v>
      </c>
      <c r="D89" s="49" t="str">
        <f>IFERROR(__xludf.DUMMYFUNCTION("""COMPUTED_VALUE"""),"Land of Spira")</f>
        <v>Land of Spira</v>
      </c>
      <c r="E89" s="49">
        <f>IFERROR(__xludf.DUMMYFUNCTION("""COMPUTED_VALUE"""),0.0)</f>
        <v>0</v>
      </c>
    </row>
    <row r="90">
      <c r="A90" s="49" t="str">
        <f>IFERROR(__xludf.DUMMYFUNCTION("""COMPUTED_VALUE"""),"The Spirit Queen of Waves")</f>
        <v>The Spirit Queen of Waves</v>
      </c>
      <c r="B90" s="49" t="str">
        <f>IFERROR(__xludf.DUMMYFUNCTION("""COMPUTED_VALUE"""),"Arriving in the submerged city of Tritonoch the party feels the pulsing of waves as Undyne assaults the city, attacking indiscriminately. They prepare themselves for a grueling battle against the Spirit queen.")</f>
        <v>Arriving in the submerged city of Tritonoch the party feels the pulsing of waves as Undyne assaults the city, attacking indiscriminately. They prepare themselves for a grueling battle against the Spirit queen.</v>
      </c>
      <c r="C90" s="49" t="str">
        <f>IFERROR(__xludf.DUMMYFUNCTION("""COMPUTED_VALUE"""),"Side")</f>
        <v>Side</v>
      </c>
      <c r="D90" s="49" t="str">
        <f>IFERROR(__xludf.DUMMYFUNCTION("""COMPUTED_VALUE"""),"Land of Spira")</f>
        <v>Land of Spira</v>
      </c>
      <c r="E90" s="49">
        <f>IFERROR(__xludf.DUMMYFUNCTION("""COMPUTED_VALUE"""),0.0)</f>
        <v>0</v>
      </c>
    </row>
    <row r="91">
      <c r="A91" s="49" t="str">
        <f>IFERROR(__xludf.DUMMYFUNCTION("""COMPUTED_VALUE"""),"The Spirit King of Storms")</f>
        <v>The Spirit King of Storms</v>
      </c>
      <c r="B91" s="49" t="str">
        <f>IFERROR(__xludf.DUMMYFUNCTION("""COMPUTED_VALUE"""),"A storm rages atop the magical and Majestic Mountains, at the center of this storm stands Raijin, his eyes dark. He turns to face the party as lighting pulses within him and he begins his assault on the party, maddened by the disease.")</f>
        <v>A storm rages atop the magical and Majestic Mountains, at the center of this storm stands Raijin, his eyes dark. He turns to face the party as lighting pulses within him and he begins his assault on the party, maddened by the disease.</v>
      </c>
      <c r="C91" s="49" t="str">
        <f>IFERROR(__xludf.DUMMYFUNCTION("""COMPUTED_VALUE"""),"Side")</f>
        <v>Side</v>
      </c>
      <c r="D91" s="49" t="str">
        <f>IFERROR(__xludf.DUMMYFUNCTION("""COMPUTED_VALUE"""),"Land of Spira")</f>
        <v>Land of Spira</v>
      </c>
      <c r="E91" s="49">
        <f>IFERROR(__xludf.DUMMYFUNCTION("""COMPUTED_VALUE"""),0.0)</f>
        <v>0</v>
      </c>
    </row>
    <row r="92">
      <c r="A92" s="49" t="str">
        <f>IFERROR(__xludf.DUMMYFUNCTION("""COMPUTED_VALUE"""),"The Spirit King of Inferno")</f>
        <v>The Spirit King of Inferno</v>
      </c>
      <c r="B92" s="49" t="str">
        <f>IFERROR(__xludf.DUMMYFUNCTION("""COMPUTED_VALUE"""),"The shamans cower in fear as the lava lake churns in rage, and a horrible shriek resounds from the center where the Salamander king once lay dormant. Fire and Brimstone spew as the party readies to claim the Salamander king's soul.")</f>
        <v>The shamans cower in fear as the lava lake churns in rage, and a horrible shriek resounds from the center where the Salamander king once lay dormant. Fire and Brimstone spew as the party readies to claim the Salamander king's soul.</v>
      </c>
      <c r="C92" s="49" t="str">
        <f>IFERROR(__xludf.DUMMYFUNCTION("""COMPUTED_VALUE"""),"Side")</f>
        <v>Side</v>
      </c>
      <c r="D92" s="49" t="str">
        <f>IFERROR(__xludf.DUMMYFUNCTION("""COMPUTED_VALUE"""),"Land of Spira")</f>
        <v>Land of Spira</v>
      </c>
      <c r="E92" s="49">
        <f>IFERROR(__xludf.DUMMYFUNCTION("""COMPUTED_VALUE"""),0.0)</f>
        <v>0</v>
      </c>
    </row>
    <row r="93">
      <c r="A93" s="49" t="str">
        <f>IFERROR(__xludf.DUMMYFUNCTION("""COMPUTED_VALUE"""),"The Spirit King of Stone")</f>
        <v>The Spirit King of Stone</v>
      </c>
      <c r="B93" s="49" t="str">
        <f>IFERROR(__xludf.DUMMYFUNCTION("""COMPUTED_VALUE"""),"The ground trembles as the giant stirs, it slams itself against the narrow walls of the grotto as if trying to escape but it's mindless rampage yields no results. Yet another spirit king in need of pacifying.")</f>
        <v>The ground trembles as the giant stirs, it slams itself against the narrow walls of the grotto as if trying to escape but it's mindless rampage yields no results. Yet another spirit king in need of pacifying.</v>
      </c>
      <c r="C93" s="49" t="str">
        <f>IFERROR(__xludf.DUMMYFUNCTION("""COMPUTED_VALUE"""),"Side")</f>
        <v>Side</v>
      </c>
      <c r="D93" s="49" t="str">
        <f>IFERROR(__xludf.DUMMYFUNCTION("""COMPUTED_VALUE"""),"Land of Spira")</f>
        <v>Land of Spira</v>
      </c>
      <c r="E93" s="49">
        <f>IFERROR(__xludf.DUMMYFUNCTION("""COMPUTED_VALUE"""),0.0)</f>
        <v>0</v>
      </c>
    </row>
    <row r="94">
      <c r="A94" s="49" t="str">
        <f>IFERROR(__xludf.DUMMYFUNCTION("""COMPUTED_VALUE"""),"Chair of Challenges")</f>
        <v>Chair of Challenges</v>
      </c>
      <c r="B94" s="49" t="str">
        <f>IFERROR(__xludf.DUMMYFUNCTION("""COMPUTED_VALUE"""),"While traveling, the party comes across a magnificently crafted chair in pristine condition. Upon being sat in, whoever sits in it is trapped within their own mind.
Within their own mind they are approached by a specter of their own weakness, intent on s"&amp;"itting in the chair forever. It's just too comfy while walking through this jungle is too scary and hard. As the specter closes in, the character must use their charisma to dissuade themselves from being trapped forever.")</f>
        <v>While traveling, the party comes across a magnificently crafted chair in pristine condition. Upon being sat in, whoever sits in it is trapped within their own mind.
Within their own mind they are approached by a specter of their own weakness, intent on sitting in the chair forever. It's just too comfy while walking through this jungle is too scary and hard. As the specter closes in, the character must use their charisma to dissuade themselves from being trapped forever.</v>
      </c>
      <c r="C94" s="49" t="str">
        <f>IFERROR(__xludf.DUMMYFUNCTION("""COMPUTED_VALUE"""),"Side")</f>
        <v>Side</v>
      </c>
      <c r="D94" s="49" t="str">
        <f>IFERROR(__xludf.DUMMYFUNCTION("""COMPUTED_VALUE"""),"Land of Spira, Jungle of Shadows")</f>
        <v>Land of Spira, Jungle of Shadows</v>
      </c>
      <c r="E94" s="49">
        <f>IFERROR(__xludf.DUMMYFUNCTION("""COMPUTED_VALUE"""),0.0)</f>
        <v>0</v>
      </c>
    </row>
    <row r="95">
      <c r="A95" s="49" t="str">
        <f>IFERROR(__xludf.DUMMYFUNCTION("""COMPUTED_VALUE"""),"The Spectral Side of Reality")</f>
        <v>The Spectral Side of Reality</v>
      </c>
      <c r="B95" s="49" t="str">
        <f>IFERROR(__xludf.DUMMYFUNCTION("""COMPUTED_VALUE"""),"As the souls of the 5 spirit kings converge via an ancient ritual the spirit realm opens before your eyes, splitting open the air. A land of extremes lay before you, the drowned land of water, the scorched wastes of fire, the windswept plains of nature, t"&amp;"he desolate; dry mesa of earth, the ravaged mountains of storm, and at the end of it all, a sickening, seething corruption which infects every corner. Now you must end this insanity, and kill its incarnation.")</f>
        <v>As the souls of the 5 spirit kings converge via an ancient ritual the spirit realm opens before your eyes, splitting open the air. A land of extremes lay before you, the drowned land of water, the scorched wastes of fire, the windswept plains of nature, the desolate; dry mesa of earth, the ravaged mountains of storm, and at the end of it all, a sickening, seething corruption which infects every corner. Now you must end this insanity, and kill its incarnation.</v>
      </c>
      <c r="C95" s="49" t="str">
        <f>IFERROR(__xludf.DUMMYFUNCTION("""COMPUTED_VALUE"""),"Side")</f>
        <v>Side</v>
      </c>
      <c r="D95" s="49" t="str">
        <f>IFERROR(__xludf.DUMMYFUNCTION("""COMPUTED_VALUE"""),"Land of Spira, WildWood")</f>
        <v>Land of Spira, WildWood</v>
      </c>
      <c r="E95" s="49">
        <f>IFERROR(__xludf.DUMMYFUNCTION("""COMPUTED_VALUE"""),0.0)</f>
        <v>0</v>
      </c>
    </row>
    <row r="96">
      <c r="A96" s="49" t="str">
        <f>IFERROR(__xludf.DUMMYFUNCTION("""COMPUTED_VALUE"""),"Ancient Mountains")</f>
        <v>Ancient Mountains</v>
      </c>
      <c r="B96" s="49" t="str">
        <f>IFERROR(__xludf.DUMMYFUNCTION("""COMPUTED_VALUE"""),"Within the Crystal King's Vault lay an ancient forge belonging to the blacksmith Hephaestus. Here he hammers away endlessly forging powerful weapons for the armies of Lord Dreadful. You've come to learn the location of his forge within his vault and have "&amp;"been tasked by the Crystal King himself to deal with this wretched smith once and for all.")</f>
        <v>Within the Crystal King's Vault lay an ancient forge belonging to the blacksmith Hephaestus. Here he hammers away endlessly forging powerful weapons for the armies of Lord Dreadful. You've come to learn the location of his forge within his vault and have been tasked by the Crystal King himself to deal with this wretched smith once and for all.</v>
      </c>
      <c r="C96" s="49" t="str">
        <f>IFERROR(__xludf.DUMMYFUNCTION("""COMPUTED_VALUE"""),"Side")</f>
        <v>Side</v>
      </c>
      <c r="D96" s="49" t="str">
        <f>IFERROR(__xludf.DUMMYFUNCTION("""COMPUTED_VALUE"""),"Land of Spira, Crystal Cave")</f>
        <v>Land of Spira, Crystal Cave</v>
      </c>
      <c r="E96" s="49">
        <f>IFERROR(__xludf.DUMMYFUNCTION("""COMPUTED_VALUE"""),0.0)</f>
        <v>0</v>
      </c>
    </row>
    <row r="97">
      <c r="A97" s="49" t="str">
        <f>IFERROR(__xludf.DUMMYFUNCTION("""COMPUTED_VALUE"""),"Attack on Ribbonton")</f>
        <v>Attack on Ribbonton</v>
      </c>
      <c r="B97" s="49" t="str">
        <f>IFERROR(__xludf.DUMMYFUNCTION("""COMPUTED_VALUE"""),"During the peak of your battles against the Amphibuki an offensive is plotted against the Village in the trees, the people are caught by surprise as the fires flare from all sides and amphibuki swarm threatening the lives of those who call this village th"&amp;"eir home. The Village elder asks for the assistance of the party to quell this sudden invasion.")</f>
        <v>During the peak of your battles against the Amphibuki an offensive is plotted against the Village in the trees, the people are caught by surprise as the fires flare from all sides and amphibuki swarm threatening the lives of those who call this village their home. The Village elder asks for the assistance of the party to quell this sudden invasion.</v>
      </c>
      <c r="C97" s="49" t="str">
        <f>IFERROR(__xludf.DUMMYFUNCTION("""COMPUTED_VALUE"""),"Side")</f>
        <v>Side</v>
      </c>
      <c r="D97" s="49" t="str">
        <f>IFERROR(__xludf.DUMMYFUNCTION("""COMPUTED_VALUE"""),"DragonScale Island, Ribbonton Ninja Village in the Trees")</f>
        <v>DragonScale Island, Ribbonton Ninja Village in the Trees</v>
      </c>
      <c r="E97" s="49">
        <f>IFERROR(__xludf.DUMMYFUNCTION("""COMPUTED_VALUE"""),0.0)</f>
        <v>0</v>
      </c>
    </row>
    <row r="98">
      <c r="A98" s="49" t="str">
        <f>IFERROR(__xludf.DUMMYFUNCTION("""COMPUTED_VALUE"""),"Proving Your Worth: Poisoning")</f>
        <v>Proving Your Worth: Poisoning</v>
      </c>
      <c r="B98" s="49" t="str">
        <f>IFERROR(__xludf.DUMMYFUNCTION("""COMPUTED_VALUE"""),"The Grand Sensei of Ribbonton, surprised by your relative ease in entering the two hidden villages has convened with senseis of all the ninja villages across to devise a set of trials for the party, they aim to test your mastery of the ninja values, whils"&amp;"t also aiding in their efforts to destroy the Amphibuki. The Poisonmaster of Ribbonton approaches the party with their first trial - poisoning an Amphibuki VIP in the Grand City of Dragonia.")</f>
        <v>The Grand Sensei of Ribbonton, surprised by your relative ease in entering the two hidden villages has convened with senseis of all the ninja villages across to devise a set of trials for the party, they aim to test your mastery of the ninja values, whilst also aiding in their efforts to destroy the Amphibuki. The Poisonmaster of Ribbonton approaches the party with their first trial - poisoning an Amphibuki VIP in the Grand City of Dragonia.</v>
      </c>
      <c r="C98" s="49" t="str">
        <f>IFERROR(__xludf.DUMMYFUNCTION("""COMPUTED_VALUE"""),"Side")</f>
        <v>Side</v>
      </c>
      <c r="D98" s="49" t="str">
        <f>IFERROR(__xludf.DUMMYFUNCTION("""COMPUTED_VALUE"""),"DragonScale Island, Ribbonton Ninja Village in the Trees")</f>
        <v>DragonScale Island, Ribbonton Ninja Village in the Trees</v>
      </c>
      <c r="E98" s="49">
        <f>IFERROR(__xludf.DUMMYFUNCTION("""COMPUTED_VALUE"""),0.0)</f>
        <v>0</v>
      </c>
    </row>
    <row r="99">
      <c r="A99" s="49" t="str">
        <f>IFERROR(__xludf.DUMMYFUNCTION("""COMPUTED_VALUE"""),"Proving Your Worth: Tracking")</f>
        <v>Proving Your Worth: Tracking</v>
      </c>
      <c r="B99" s="49" t="str">
        <f>IFERROR(__xludf.DUMMYFUNCTION("""COMPUTED_VALUE"""),"Your second trial leads you to the hidden village of Ribbonton where a group of ninja ambushers awaits your arrival with word of your next trial. This task shall test your abilities to mark a target, follow its trail, and go in for the kill. As a tracker "&amp;"should.")</f>
        <v>Your second trial leads you to the hidden village of Ribbonton where a group of ninja ambushers awaits your arrival with word of your next trial. This task shall test your abilities to mark a target, follow its trail, and go in for the kill. As a tracker should.</v>
      </c>
      <c r="C99" s="49" t="str">
        <f>IFERROR(__xludf.DUMMYFUNCTION("""COMPUTED_VALUE"""),"Side")</f>
        <v>Side</v>
      </c>
      <c r="D99" s="49" t="str">
        <f>IFERROR(__xludf.DUMMYFUNCTION("""COMPUTED_VALUE"""),"DragonScale, Fogweb Ninja Village in the Mist")</f>
        <v>DragonScale, Fogweb Ninja Village in the Mist</v>
      </c>
      <c r="E99" s="49">
        <f>IFERROR(__xludf.DUMMYFUNCTION("""COMPUTED_VALUE"""),0.0)</f>
        <v>0</v>
      </c>
    </row>
    <row r="100">
      <c r="A100" s="49" t="str">
        <f>IFERROR(__xludf.DUMMYFUNCTION("""COMPUTED_VALUE"""),"Proving Your Worth: Disguising")</f>
        <v>Proving Your Worth: Disguising</v>
      </c>
      <c r="B100" s="49" t="str">
        <f>IFERROR(__xludf.DUMMYFUNCTION("""COMPUTED_VALUE"""),"Arriving in Mistpeak you are greeted by the village's Ninja Master who offers you the third trial. The third trial, as he details it, is to successfully infiltrate an Amphibuki hideout and kidnap a group of Amphibuki Poison Masters.")</f>
        <v>Arriving in Mistpeak you are greeted by the village's Ninja Master who offers you the third trial. The third trial, as he details it, is to successfully infiltrate an Amphibuki hideout and kidnap a group of Amphibuki Poison Masters.</v>
      </c>
      <c r="C100" s="49" t="str">
        <f>IFERROR(__xludf.DUMMYFUNCTION("""COMPUTED_VALUE"""),"Side")</f>
        <v>Side</v>
      </c>
      <c r="D100" s="49" t="str">
        <f>IFERROR(__xludf.DUMMYFUNCTION("""COMPUTED_VALUE"""),"DragonScale, Mistpeak Ninja Village in the Mountains")</f>
        <v>DragonScale, Mistpeak Ninja Village in the Mountains</v>
      </c>
      <c r="E100" s="49">
        <f>IFERROR(__xludf.DUMMYFUNCTION("""COMPUTED_VALUE"""),0.0)</f>
        <v>0</v>
      </c>
    </row>
    <row r="101">
      <c r="A101" s="49" t="str">
        <f>IFERROR(__xludf.DUMMYFUNCTION("""COMPUTED_VALUE"""),"A Gift Between Lovers Side A")</f>
        <v>A Gift Between Lovers Side A</v>
      </c>
      <c r="B101" s="49" t="str">
        <f>IFERROR(__xludf.DUMMYFUNCTION("""COMPUTED_VALUE"""),"Players are asked for help from a man with a broken arm named Daniel, who needs boar hides to make leather armor for his girlfriend. When brought 6 hides, he'll take three days to make one for her and the player.")</f>
        <v>Players are asked for help from a man with a broken arm named Daniel, who needs boar hides to make leather armor for his girlfriend. When brought 6 hides, he'll take three days to make one for her and the player.</v>
      </c>
      <c r="C101" s="49" t="str">
        <f>IFERROR(__xludf.DUMMYFUNCTION("""COMPUTED_VALUE"""),"Side")</f>
        <v>Side</v>
      </c>
      <c r="D101" s="49" t="str">
        <f>IFERROR(__xludf.DUMMYFUNCTION("""COMPUTED_VALUE"""),"Land of Spira, Dryland Desert")</f>
        <v>Land of Spira, Dryland Desert</v>
      </c>
      <c r="E101" s="49">
        <f>IFERROR(__xludf.DUMMYFUNCTION("""COMPUTED_VALUE"""),6.0)</f>
        <v>6</v>
      </c>
    </row>
    <row r="102">
      <c r="A102" s="49" t="str">
        <f>IFERROR(__xludf.DUMMYFUNCTION("""COMPUTED_VALUE"""),"A Gift Between Lovers Side B")</f>
        <v>A Gift Between Lovers Side B</v>
      </c>
      <c r="B102" s="49" t="str">
        <f>IFERROR(__xludf.DUMMYFUNCTION("""COMPUTED_VALUE"""),"Elora, Daniel's girlfriend, wants help hunting a Desert Demon to make a necklace for him as a gift. After doing so, she meets the party back in town and thanks them.")</f>
        <v>Elora, Daniel's girlfriend, wants help hunting a Desert Demon to make a necklace for him as a gift. After doing so, she meets the party back in town and thanks them.</v>
      </c>
      <c r="C102" s="49" t="str">
        <f>IFERROR(__xludf.DUMMYFUNCTION("""COMPUTED_VALUE"""),"Side")</f>
        <v>Side</v>
      </c>
      <c r="D102" s="49" t="str">
        <f>IFERROR(__xludf.DUMMYFUNCTION("""COMPUTED_VALUE"""),"Land of Spira, Dryland Desert")</f>
        <v>Land of Spira, Dryland Desert</v>
      </c>
      <c r="E102" s="49">
        <f>IFERROR(__xludf.DUMMYFUNCTION("""COMPUTED_VALUE"""),0.0)</f>
        <v>0</v>
      </c>
    </row>
    <row r="103">
      <c r="A103" s="49" t="str">
        <f>IFERROR(__xludf.DUMMYFUNCTION("""COMPUTED_VALUE"""),"A Gift Between Lovers Side Omega")</f>
        <v>A Gift Between Lovers Side Omega</v>
      </c>
      <c r="B103" s="49" t="str">
        <f>IFERROR(__xludf.DUMMYFUNCTION("""COMPUTED_VALUE"""),"The player is approached by an old woman, Elora's mother, who asks them to visit. Elora ordered an engagement ring, but it hasn't arrived, and they want the players to find out what's up. They find the delivery man in a ditch with a broken leg and help hi"&amp;"m to town. Afterwards, they're asked to attend the wedding in a week.")</f>
        <v>The player is approached by an old woman, Elora's mother, who asks them to visit. Elora ordered an engagement ring, but it hasn't arrived, and they want the players to find out what's up. They find the delivery man in a ditch with a broken leg and help him to town. Afterwards, they're asked to attend the wedding in a week.</v>
      </c>
      <c r="C103" s="49" t="str">
        <f>IFERROR(__xludf.DUMMYFUNCTION("""COMPUTED_VALUE"""),"Side")</f>
        <v>Side</v>
      </c>
      <c r="D103" s="49" t="str">
        <f>IFERROR(__xludf.DUMMYFUNCTION("""COMPUTED_VALUE"""),"Land of Spira, Dryland Desert")</f>
        <v>Land of Spira, Dryland Desert</v>
      </c>
      <c r="E103" s="49">
        <f>IFERROR(__xludf.DUMMYFUNCTION("""COMPUTED_VALUE"""),0.0)</f>
        <v>0</v>
      </c>
    </row>
    <row r="104">
      <c r="A104" s="49" t="str">
        <f>IFERROR(__xludf.DUMMYFUNCTION("""COMPUTED_VALUE"""),"Fool's Gold")</f>
        <v>Fool's Gold</v>
      </c>
      <c r="B104" s="49" t="str">
        <f>IFERROR(__xludf.DUMMYFUNCTION("""COMPUTED_VALUE"""),"A young prospective rider is in a huff after being sold a ""gold dragon egg"" that was just a dragon egg painted gold, and wants the player's assistance in tracking down the shady salesman who sold it.")</f>
        <v>A young prospective rider is in a huff after being sold a "gold dragon egg" that was just a dragon egg painted gold, and wants the player's assistance in tracking down the shady salesman who sold it.</v>
      </c>
      <c r="C104" s="49" t="str">
        <f>IFERROR(__xludf.DUMMYFUNCTION("""COMPUTED_VALUE"""),"Side")</f>
        <v>Side</v>
      </c>
      <c r="D104" s="49" t="str">
        <f>IFERROR(__xludf.DUMMYFUNCTION("""COMPUTED_VALUE"""),"Dragonscale Island, The Grand City of Dragonia")</f>
        <v>Dragonscale Island, The Grand City of Dragonia</v>
      </c>
      <c r="E104" s="49">
        <f>IFERROR(__xludf.DUMMYFUNCTION("""COMPUTED_VALUE"""),0.0)</f>
        <v>0</v>
      </c>
    </row>
    <row r="105">
      <c r="A105" s="49" t="str">
        <f>IFERROR(__xludf.DUMMYFUNCTION("""COMPUTED_VALUE"""),"Tip The Scales")</f>
        <v>Tip The Scales</v>
      </c>
      <c r="B105" s="49" t="str">
        <f>IFERROR(__xludf.DUMMYFUNCTION("""COMPUTED_VALUE"""),"A shopkeeper seeks to make some dragonscale equipment, but is low on scales. They ask the player to collect some scales for them.")</f>
        <v>A shopkeeper seeks to make some dragonscale equipment, but is low on scales. They ask the player to collect some scales for them.</v>
      </c>
      <c r="C105" s="49" t="str">
        <f>IFERROR(__xludf.DUMMYFUNCTION("""COMPUTED_VALUE"""),"Side")</f>
        <v>Side</v>
      </c>
      <c r="D105" s="49" t="str">
        <f>IFERROR(__xludf.DUMMYFUNCTION("""COMPUTED_VALUE"""),"Dragonscale Island, The Grand City of Dragonia")</f>
        <v>Dragonscale Island, The Grand City of Dragonia</v>
      </c>
      <c r="E105" s="49">
        <f>IFERROR(__xludf.DUMMYFUNCTION("""COMPUTED_VALUE"""),50.0)</f>
        <v>50</v>
      </c>
    </row>
    <row r="106">
      <c r="A106" s="49" t="str">
        <f>IFERROR(__xludf.DUMMYFUNCTION("""COMPUTED_VALUE"""),"Shadows in the Marsh")</f>
        <v>Shadows in the Marsh</v>
      </c>
      <c r="B106" s="49" t="str">
        <f>IFERROR(__xludf.DUMMYFUNCTION("""COMPUTED_VALUE"""),"Reports of mysterious cult activity have cast a shadow over the once-tranquil Swampville. The town guards, alarmed by the unsettling sightings, implore the party to investigate the cult's activities and put an end to their dark machinations. As the party "&amp;"delves into the swamp's murky depths, they will unravel the secrets of a sinister cult that threatens the safety of Swampville.")</f>
        <v>Reports of mysterious cult activity have cast a shadow over the once-tranquil Swampville. The town guards, alarmed by the unsettling sightings, implore the party to investigate the cult's activities and put an end to their dark machinations. As the party delves into the swamp's murky depths, they will unravel the secrets of a sinister cult that threatens the safety of Swampville.</v>
      </c>
      <c r="C106" s="49" t="str">
        <f>IFERROR(__xludf.DUMMYFUNCTION("""COMPUTED_VALUE"""),"Side")</f>
        <v>Side</v>
      </c>
      <c r="D106" s="49" t="str">
        <f>IFERROR(__xludf.DUMMYFUNCTION("""COMPUTED_VALUE"""),"Land of Spira, Swampville")</f>
        <v>Land of Spira, Swampville</v>
      </c>
      <c r="E106" s="49">
        <f>IFERROR(__xludf.DUMMYFUNCTION("""COMPUTED_VALUE"""),5.0)</f>
        <v>5</v>
      </c>
    </row>
    <row r="107">
      <c r="A107" s="49" t="str">
        <f>IFERROR(__xludf.DUMMYFUNCTION("""COMPUTED_VALUE"""),"Sands of Devastation")</f>
        <v>Sands of Devastation</v>
      </c>
      <c r="B107" s="49" t="str">
        <f>IFERROR(__xludf.DUMMYFUNCTION("""COMPUTED_VALUE"""),"A menacing outbreak of Sandworms has wreaked havoc upon the once-thriving city of Desert Island. The enormous creatures have burrowed into the heart of the city, causing widespread destruction and panic. The town guards urgently seek the party's assistanc"&amp;"e to quell the Sandworm threat and bring peace back to Desert Island. The task is formidable — defeat ten monstrous Sandworms to ensure the safety of the city.")</f>
        <v>A menacing outbreak of Sandworms has wreaked havoc upon the once-thriving city of Desert Island. The enormous creatures have burrowed into the heart of the city, causing widespread destruction and panic. The town guards urgently seek the party's assistance to quell the Sandworm threat and bring peace back to Desert Island. The task is formidable — defeat ten monstrous Sandworms to ensure the safety of the city.</v>
      </c>
      <c r="C107" s="49" t="str">
        <f>IFERROR(__xludf.DUMMYFUNCTION("""COMPUTED_VALUE"""),"Side")</f>
        <v>Side</v>
      </c>
      <c r="D107" s="49" t="str">
        <f>IFERROR(__xludf.DUMMYFUNCTION("""COMPUTED_VALUE"""),"Land of Spira, Desert Island")</f>
        <v>Land of Spira, Desert Island</v>
      </c>
      <c r="E107" s="49">
        <f>IFERROR(__xludf.DUMMYFUNCTION("""COMPUTED_VALUE"""),5.0)</f>
        <v>5</v>
      </c>
    </row>
    <row r="108">
      <c r="A108" s="49"/>
      <c r="B108" s="49"/>
      <c r="C108" s="49"/>
      <c r="D108" s="49"/>
      <c r="E108" s="49"/>
    </row>
    <row r="109">
      <c r="A109" s="49"/>
      <c r="B109" s="49"/>
      <c r="C109" s="49"/>
      <c r="D109" s="49"/>
      <c r="E109" s="49"/>
    </row>
    <row r="110">
      <c r="A110" s="49"/>
      <c r="B110" s="49"/>
      <c r="C110" s="49"/>
      <c r="D110" s="49"/>
      <c r="E110" s="49"/>
    </row>
    <row r="111">
      <c r="A111" s="49"/>
      <c r="B111" s="49"/>
      <c r="C111" s="49"/>
      <c r="D111" s="49"/>
      <c r="E111" s="49"/>
    </row>
    <row r="112">
      <c r="A112" s="49"/>
      <c r="B112" s="49"/>
      <c r="C112" s="49"/>
      <c r="D112" s="49"/>
      <c r="E112" s="49"/>
    </row>
    <row r="113">
      <c r="A113" s="49"/>
      <c r="B113" s="49"/>
      <c r="C113" s="49"/>
      <c r="D113" s="49"/>
      <c r="E113" s="49"/>
    </row>
    <row r="114">
      <c r="A114" s="49"/>
      <c r="B114" s="49"/>
      <c r="C114" s="49"/>
      <c r="D114" s="49"/>
      <c r="E114" s="49"/>
    </row>
    <row r="115">
      <c r="A115" s="49"/>
      <c r="B115" s="49"/>
      <c r="C115" s="49"/>
      <c r="D115" s="49"/>
      <c r="E115" s="49"/>
    </row>
    <row r="116">
      <c r="A116" s="49"/>
      <c r="B116" s="49"/>
      <c r="C116" s="49"/>
      <c r="D116" s="49"/>
      <c r="E116" s="49"/>
    </row>
    <row r="117">
      <c r="A117" s="49"/>
      <c r="B117" s="49"/>
      <c r="C117" s="49"/>
      <c r="D117" s="49"/>
      <c r="E117" s="49"/>
    </row>
    <row r="118">
      <c r="A118" s="49"/>
      <c r="B118" s="49"/>
      <c r="C118" s="49"/>
      <c r="D118" s="49"/>
      <c r="E118" s="49"/>
    </row>
    <row r="119">
      <c r="A119" s="49"/>
      <c r="B119" s="49"/>
      <c r="C119" s="49"/>
      <c r="D119" s="49"/>
      <c r="E119" s="49"/>
    </row>
    <row r="120">
      <c r="A120" s="49"/>
      <c r="B120" s="49"/>
      <c r="C120" s="49"/>
      <c r="D120" s="49"/>
      <c r="E120" s="49"/>
    </row>
    <row r="121">
      <c r="A121" s="49"/>
      <c r="B121" s="49"/>
      <c r="C121" s="49"/>
      <c r="D121" s="49"/>
      <c r="E121" s="49"/>
    </row>
    <row r="122">
      <c r="A122" s="49"/>
      <c r="B122" s="49"/>
      <c r="C122" s="49"/>
      <c r="D122" s="49"/>
      <c r="E122" s="49"/>
    </row>
    <row r="123">
      <c r="A123" s="49"/>
      <c r="B123" s="49"/>
      <c r="C123" s="49"/>
      <c r="D123" s="49"/>
      <c r="E123" s="49"/>
    </row>
    <row r="124">
      <c r="A124" s="49"/>
      <c r="B124" s="49"/>
      <c r="C124" s="49"/>
      <c r="D124" s="49"/>
      <c r="E124" s="49"/>
    </row>
    <row r="125">
      <c r="A125" s="49"/>
      <c r="B125" s="49"/>
      <c r="C125" s="49"/>
      <c r="D125" s="49"/>
      <c r="E125" s="49"/>
    </row>
    <row r="126">
      <c r="A126" s="49"/>
      <c r="B126" s="49"/>
      <c r="C126" s="49"/>
      <c r="D126" s="49"/>
      <c r="E126" s="49"/>
    </row>
    <row r="127">
      <c r="A127" s="49"/>
      <c r="B127" s="49"/>
      <c r="C127" s="49"/>
      <c r="D127" s="49"/>
      <c r="E127" s="49"/>
    </row>
    <row r="128">
      <c r="A128" s="49"/>
      <c r="B128" s="49"/>
      <c r="C128" s="49"/>
      <c r="D128" s="49"/>
      <c r="E128" s="49"/>
    </row>
    <row r="129">
      <c r="A129" s="49"/>
      <c r="B129" s="49"/>
      <c r="C129" s="49"/>
      <c r="D129" s="49"/>
      <c r="E129" s="49"/>
    </row>
    <row r="130">
      <c r="A130" s="49"/>
      <c r="B130" s="49"/>
      <c r="C130" s="49"/>
      <c r="D130" s="49"/>
      <c r="E130" s="49"/>
    </row>
    <row r="131">
      <c r="A131" s="49"/>
      <c r="B131" s="49"/>
      <c r="C131" s="49"/>
      <c r="D131" s="49"/>
      <c r="E131" s="49"/>
    </row>
    <row r="132">
      <c r="A132" s="49"/>
      <c r="B132" s="49"/>
      <c r="C132" s="49"/>
      <c r="D132" s="49"/>
      <c r="E132" s="49"/>
    </row>
    <row r="133">
      <c r="A133" s="49"/>
      <c r="B133" s="49"/>
      <c r="C133" s="49"/>
      <c r="D133" s="49"/>
      <c r="E133" s="49"/>
    </row>
    <row r="134">
      <c r="A134" s="49"/>
      <c r="B134" s="49"/>
      <c r="C134" s="49"/>
      <c r="D134" s="49"/>
      <c r="E134" s="49"/>
    </row>
    <row r="135">
      <c r="A135" s="49"/>
      <c r="B135" s="49"/>
      <c r="C135" s="49"/>
      <c r="D135" s="49"/>
      <c r="E135" s="49"/>
    </row>
    <row r="136">
      <c r="A136" s="49"/>
      <c r="B136" s="49"/>
      <c r="C136" s="49"/>
      <c r="D136" s="49"/>
      <c r="E136" s="49"/>
    </row>
    <row r="137">
      <c r="A137" s="49"/>
      <c r="B137" s="49"/>
      <c r="C137" s="49"/>
      <c r="D137" s="49"/>
      <c r="E137" s="49"/>
    </row>
    <row r="138">
      <c r="A138" s="49"/>
      <c r="B138" s="49"/>
      <c r="C138" s="49"/>
      <c r="D138" s="49"/>
      <c r="E138" s="49"/>
    </row>
    <row r="139">
      <c r="A139" s="49"/>
      <c r="B139" s="49"/>
      <c r="C139" s="49"/>
      <c r="D139" s="49"/>
      <c r="E139" s="49"/>
    </row>
    <row r="140">
      <c r="A140" s="49"/>
      <c r="B140" s="49"/>
      <c r="C140" s="49"/>
      <c r="D140" s="49"/>
      <c r="E140" s="49"/>
    </row>
    <row r="141">
      <c r="A141" s="49"/>
      <c r="B141" s="49"/>
      <c r="C141" s="49"/>
      <c r="D141" s="49"/>
      <c r="E141" s="49"/>
    </row>
    <row r="142">
      <c r="A142" s="49"/>
      <c r="B142" s="49"/>
      <c r="C142" s="49"/>
      <c r="D142" s="49"/>
      <c r="E142" s="49"/>
    </row>
    <row r="143">
      <c r="A143" s="49"/>
      <c r="B143" s="49"/>
      <c r="C143" s="49"/>
      <c r="D143" s="49"/>
      <c r="E143" s="49"/>
    </row>
    <row r="144">
      <c r="A144" s="49"/>
      <c r="B144" s="49"/>
      <c r="C144" s="49"/>
      <c r="D144" s="49"/>
      <c r="E144" s="49"/>
    </row>
    <row r="145">
      <c r="A145" s="49"/>
      <c r="B145" s="49"/>
      <c r="C145" s="49"/>
      <c r="D145" s="49"/>
      <c r="E145" s="49"/>
    </row>
    <row r="146">
      <c r="A146" s="49"/>
      <c r="B146" s="49"/>
      <c r="C146" s="49"/>
      <c r="D146" s="49"/>
      <c r="E146" s="49"/>
    </row>
    <row r="147">
      <c r="A147" s="49"/>
      <c r="B147" s="49"/>
      <c r="C147" s="49"/>
      <c r="D147" s="49"/>
      <c r="E147" s="49"/>
    </row>
    <row r="148">
      <c r="A148" s="49"/>
      <c r="B148" s="49"/>
      <c r="C148" s="49"/>
      <c r="D148" s="49"/>
      <c r="E148" s="49"/>
    </row>
    <row r="149">
      <c r="A149" s="49"/>
      <c r="B149" s="49"/>
      <c r="C149" s="49"/>
      <c r="D149" s="49"/>
      <c r="E149" s="49"/>
    </row>
    <row r="150">
      <c r="A150" s="49"/>
      <c r="B150" s="49"/>
      <c r="C150" s="49"/>
      <c r="D150" s="49"/>
      <c r="E150" s="49"/>
    </row>
    <row r="151">
      <c r="A151" s="49"/>
      <c r="B151" s="49"/>
      <c r="C151" s="49"/>
      <c r="D151" s="49"/>
      <c r="E151" s="49"/>
    </row>
    <row r="152">
      <c r="A152" s="49"/>
      <c r="B152" s="49"/>
      <c r="C152" s="49"/>
      <c r="D152" s="49"/>
      <c r="E152" s="49"/>
    </row>
    <row r="153">
      <c r="A153" s="49"/>
      <c r="B153" s="49"/>
      <c r="C153" s="49"/>
      <c r="D153" s="49"/>
      <c r="E153" s="49"/>
    </row>
    <row r="154">
      <c r="A154" s="49"/>
      <c r="B154" s="49"/>
      <c r="C154" s="49"/>
      <c r="D154" s="49"/>
      <c r="E154" s="49"/>
    </row>
    <row r="155">
      <c r="A155" s="49"/>
      <c r="B155" s="49"/>
      <c r="C155" s="49"/>
      <c r="D155" s="49"/>
      <c r="E155" s="49"/>
    </row>
    <row r="156">
      <c r="A156" s="49"/>
      <c r="B156" s="49"/>
      <c r="C156" s="49"/>
      <c r="D156" s="49"/>
      <c r="E156" s="49"/>
    </row>
    <row r="157">
      <c r="A157" s="49"/>
      <c r="B157" s="49"/>
      <c r="C157" s="49"/>
      <c r="D157" s="49"/>
      <c r="E157" s="49"/>
    </row>
    <row r="158">
      <c r="A158" s="49"/>
      <c r="B158" s="49"/>
      <c r="C158" s="49"/>
      <c r="D158" s="49"/>
      <c r="E158" s="49"/>
    </row>
    <row r="159">
      <c r="A159" s="49"/>
      <c r="B159" s="49"/>
      <c r="C159" s="49"/>
      <c r="D159" s="49"/>
      <c r="E159" s="49"/>
    </row>
    <row r="160">
      <c r="A160" s="49"/>
      <c r="B160" s="49"/>
      <c r="C160" s="49"/>
      <c r="D160" s="49"/>
      <c r="E160" s="49"/>
    </row>
    <row r="161">
      <c r="A161" s="49"/>
      <c r="B161" s="49"/>
      <c r="C161" s="49"/>
      <c r="D161" s="49"/>
      <c r="E161" s="49"/>
    </row>
    <row r="162">
      <c r="A162" s="49"/>
      <c r="B162" s="49"/>
      <c r="C162" s="49"/>
      <c r="D162" s="49"/>
      <c r="E162" s="49"/>
    </row>
    <row r="163">
      <c r="A163" s="49"/>
      <c r="B163" s="49"/>
      <c r="C163" s="49"/>
      <c r="D163" s="49"/>
      <c r="E163" s="49"/>
    </row>
    <row r="164">
      <c r="A164" s="49"/>
      <c r="B164" s="49"/>
      <c r="C164" s="49"/>
      <c r="D164" s="49"/>
      <c r="E164" s="49"/>
    </row>
    <row r="165">
      <c r="A165" s="49"/>
      <c r="B165" s="49"/>
      <c r="C165" s="49"/>
      <c r="D165" s="49"/>
      <c r="E165" s="49"/>
    </row>
    <row r="166">
      <c r="A166" s="49"/>
      <c r="B166" s="49"/>
      <c r="C166" s="49"/>
      <c r="D166" s="49"/>
      <c r="E166" s="49"/>
    </row>
    <row r="167">
      <c r="A167" s="49"/>
      <c r="B167" s="49"/>
      <c r="C167" s="49"/>
      <c r="D167" s="49"/>
      <c r="E167" s="49"/>
    </row>
    <row r="168">
      <c r="A168" s="49"/>
      <c r="B168" s="49"/>
      <c r="C168" s="49"/>
      <c r="D168" s="49"/>
      <c r="E168" s="49"/>
    </row>
    <row r="169">
      <c r="A169" s="49"/>
      <c r="B169" s="49"/>
      <c r="C169" s="49"/>
      <c r="D169" s="49"/>
      <c r="E169" s="49"/>
    </row>
    <row r="170">
      <c r="A170" s="49"/>
      <c r="B170" s="49"/>
      <c r="C170" s="49"/>
      <c r="D170" s="49"/>
      <c r="E170" s="49"/>
    </row>
    <row r="171">
      <c r="A171" s="49"/>
      <c r="B171" s="49"/>
      <c r="C171" s="49"/>
      <c r="D171" s="49"/>
      <c r="E171" s="49"/>
    </row>
    <row r="172">
      <c r="A172" s="49"/>
      <c r="B172" s="49"/>
      <c r="C172" s="49"/>
      <c r="D172" s="49"/>
      <c r="E172" s="49"/>
    </row>
    <row r="173">
      <c r="A173" s="49"/>
      <c r="B173" s="49"/>
      <c r="C173" s="49"/>
      <c r="D173" s="49"/>
      <c r="E173" s="49"/>
    </row>
    <row r="174">
      <c r="A174" s="49"/>
      <c r="B174" s="49"/>
      <c r="C174" s="49"/>
      <c r="D174" s="49"/>
      <c r="E174" s="49"/>
    </row>
    <row r="175">
      <c r="A175" s="49"/>
      <c r="B175" s="49"/>
      <c r="C175" s="49"/>
      <c r="D175" s="49"/>
      <c r="E175" s="49"/>
    </row>
    <row r="176">
      <c r="A176" s="49"/>
      <c r="B176" s="49"/>
      <c r="C176" s="49"/>
      <c r="D176" s="49"/>
      <c r="E176" s="49"/>
    </row>
    <row r="177">
      <c r="A177" s="49"/>
      <c r="B177" s="49"/>
      <c r="C177" s="49"/>
      <c r="D177" s="49"/>
      <c r="E177" s="49"/>
    </row>
    <row r="178">
      <c r="A178" s="49"/>
      <c r="B178" s="49"/>
      <c r="C178" s="49"/>
      <c r="D178" s="49"/>
      <c r="E178" s="49"/>
    </row>
    <row r="179">
      <c r="A179" s="49"/>
      <c r="B179" s="49"/>
      <c r="C179" s="49"/>
      <c r="D179" s="49"/>
      <c r="E179" s="49"/>
    </row>
    <row r="180">
      <c r="A180" s="49"/>
      <c r="B180" s="49"/>
      <c r="C180" s="49"/>
      <c r="D180" s="49"/>
      <c r="E180" s="49"/>
    </row>
    <row r="181">
      <c r="A181" s="49"/>
      <c r="B181" s="49"/>
      <c r="C181" s="49"/>
      <c r="D181" s="49"/>
      <c r="E181" s="49"/>
    </row>
    <row r="182">
      <c r="A182" s="49"/>
      <c r="B182" s="49"/>
      <c r="C182" s="49"/>
      <c r="D182" s="49"/>
      <c r="E182" s="49"/>
    </row>
    <row r="183">
      <c r="A183" s="49"/>
      <c r="B183" s="49"/>
      <c r="C183" s="49"/>
      <c r="D183" s="49"/>
      <c r="E183" s="49"/>
    </row>
    <row r="184">
      <c r="A184" s="49"/>
      <c r="B184" s="49"/>
      <c r="C184" s="49"/>
      <c r="D184" s="49"/>
      <c r="E184" s="49"/>
    </row>
    <row r="185">
      <c r="A185" s="49"/>
      <c r="B185" s="49"/>
      <c r="C185" s="49"/>
      <c r="D185" s="49"/>
      <c r="E185" s="49"/>
    </row>
    <row r="186">
      <c r="A186" s="49"/>
      <c r="B186" s="49"/>
      <c r="C186" s="49"/>
      <c r="D186" s="49"/>
      <c r="E186" s="49"/>
    </row>
    <row r="187">
      <c r="A187" s="49"/>
      <c r="B187" s="49"/>
      <c r="C187" s="49"/>
      <c r="D187" s="49"/>
      <c r="E187" s="49"/>
    </row>
    <row r="188">
      <c r="A188" s="49"/>
      <c r="B188" s="49"/>
      <c r="C188" s="49"/>
      <c r="D188" s="49"/>
      <c r="E188" s="49"/>
    </row>
    <row r="189">
      <c r="A189" s="49"/>
      <c r="B189" s="49"/>
      <c r="C189" s="49"/>
      <c r="D189" s="49"/>
      <c r="E189" s="49"/>
    </row>
    <row r="190">
      <c r="A190" s="49"/>
      <c r="B190" s="49"/>
      <c r="C190" s="49"/>
      <c r="D190" s="49"/>
      <c r="E190" s="49"/>
    </row>
    <row r="191">
      <c r="A191" s="49"/>
      <c r="B191" s="49"/>
      <c r="C191" s="49"/>
      <c r="D191" s="49"/>
      <c r="E191" s="49"/>
    </row>
    <row r="192">
      <c r="A192" s="49"/>
      <c r="B192" s="49"/>
      <c r="C192" s="49"/>
      <c r="D192" s="49"/>
      <c r="E192" s="49"/>
    </row>
    <row r="193">
      <c r="A193" s="49"/>
      <c r="B193" s="49"/>
      <c r="C193" s="49"/>
      <c r="D193" s="49"/>
      <c r="E193" s="49"/>
    </row>
    <row r="194">
      <c r="A194" s="49"/>
      <c r="B194" s="49"/>
      <c r="C194" s="49"/>
      <c r="D194" s="49"/>
      <c r="E194" s="49"/>
    </row>
    <row r="195">
      <c r="A195" s="49"/>
      <c r="B195" s="49"/>
      <c r="C195" s="49"/>
      <c r="D195" s="49"/>
      <c r="E195" s="49"/>
    </row>
    <row r="196">
      <c r="A196" s="49"/>
      <c r="B196" s="49"/>
      <c r="C196" s="49"/>
      <c r="D196" s="49"/>
      <c r="E196" s="49"/>
    </row>
    <row r="197">
      <c r="A197" s="49"/>
      <c r="B197" s="49"/>
      <c r="C197" s="49"/>
      <c r="D197" s="49"/>
      <c r="E197" s="49"/>
    </row>
    <row r="198">
      <c r="A198" s="49"/>
      <c r="B198" s="49"/>
      <c r="C198" s="49"/>
      <c r="D198" s="49"/>
      <c r="E198" s="49"/>
    </row>
    <row r="199">
      <c r="A199" s="49"/>
      <c r="B199" s="49"/>
      <c r="C199" s="49"/>
      <c r="D199" s="49"/>
      <c r="E199" s="49"/>
    </row>
    <row r="200">
      <c r="A200" s="49"/>
      <c r="B200" s="49"/>
      <c r="C200" s="49"/>
      <c r="D200" s="49"/>
      <c r="E200" s="49"/>
    </row>
    <row r="201">
      <c r="A201" s="49"/>
      <c r="B201" s="49"/>
      <c r="C201" s="49"/>
      <c r="D201" s="49"/>
      <c r="E201" s="49"/>
    </row>
    <row r="202">
      <c r="A202" s="49"/>
      <c r="B202" s="49"/>
      <c r="C202" s="49"/>
      <c r="D202" s="49"/>
      <c r="E202" s="49"/>
    </row>
    <row r="203">
      <c r="A203" s="49"/>
      <c r="B203" s="49"/>
      <c r="C203" s="49"/>
      <c r="D203" s="49"/>
      <c r="E203" s="49"/>
    </row>
    <row r="204">
      <c r="A204" s="49"/>
      <c r="B204" s="49"/>
      <c r="C204" s="49"/>
      <c r="D204" s="49"/>
      <c r="E204" s="49"/>
    </row>
    <row r="205">
      <c r="A205" s="49"/>
      <c r="B205" s="49"/>
      <c r="C205" s="49"/>
      <c r="D205" s="49"/>
      <c r="E205" s="49"/>
    </row>
    <row r="206">
      <c r="A206" s="49"/>
      <c r="B206" s="49"/>
      <c r="C206" s="49"/>
      <c r="D206" s="49"/>
      <c r="E206" s="49"/>
    </row>
    <row r="207">
      <c r="A207" s="49"/>
      <c r="B207" s="49"/>
      <c r="C207" s="49"/>
      <c r="D207" s="49"/>
      <c r="E207" s="49"/>
    </row>
    <row r="208">
      <c r="A208" s="49"/>
      <c r="B208" s="49"/>
      <c r="C208" s="49"/>
      <c r="D208" s="49"/>
      <c r="E208" s="49"/>
    </row>
    <row r="209">
      <c r="A209" s="49"/>
      <c r="B209" s="49"/>
      <c r="C209" s="49"/>
      <c r="D209" s="49"/>
      <c r="E209" s="49"/>
    </row>
    <row r="210">
      <c r="A210" s="49"/>
      <c r="B210" s="49"/>
      <c r="C210" s="49"/>
      <c r="D210" s="49"/>
      <c r="E210" s="49"/>
    </row>
    <row r="211">
      <c r="A211" s="49"/>
      <c r="B211" s="49"/>
      <c r="C211" s="49"/>
      <c r="D211" s="49"/>
      <c r="E211" s="49"/>
    </row>
    <row r="212">
      <c r="A212" s="49"/>
      <c r="B212" s="49"/>
      <c r="C212" s="49"/>
      <c r="D212" s="49"/>
      <c r="E212" s="49"/>
    </row>
    <row r="213">
      <c r="A213" s="49"/>
      <c r="B213" s="49"/>
      <c r="C213" s="49"/>
      <c r="D213" s="49"/>
      <c r="E213" s="49"/>
    </row>
    <row r="214">
      <c r="A214" s="49"/>
      <c r="B214" s="49"/>
      <c r="C214" s="49"/>
      <c r="D214" s="49"/>
      <c r="E214" s="49"/>
    </row>
    <row r="215">
      <c r="A215" s="49"/>
      <c r="B215" s="49"/>
      <c r="C215" s="49"/>
      <c r="D215" s="49"/>
      <c r="E215" s="49"/>
    </row>
    <row r="216">
      <c r="A216" s="49"/>
      <c r="B216" s="49"/>
      <c r="C216" s="49"/>
      <c r="D216" s="49"/>
      <c r="E216" s="49"/>
    </row>
    <row r="217">
      <c r="A217" s="49"/>
      <c r="B217" s="49"/>
      <c r="C217" s="49"/>
      <c r="D217" s="49"/>
      <c r="E217" s="49"/>
    </row>
    <row r="218">
      <c r="A218" s="49"/>
      <c r="B218" s="49"/>
      <c r="C218" s="49"/>
      <c r="D218" s="49"/>
      <c r="E218" s="49"/>
    </row>
    <row r="219">
      <c r="A219" s="49"/>
      <c r="B219" s="49"/>
      <c r="C219" s="49"/>
      <c r="D219" s="49"/>
      <c r="E219" s="49"/>
    </row>
    <row r="220">
      <c r="A220" s="49"/>
      <c r="B220" s="49"/>
      <c r="C220" s="49"/>
      <c r="D220" s="49"/>
      <c r="E220" s="49"/>
    </row>
    <row r="221">
      <c r="A221" s="49"/>
      <c r="B221" s="49"/>
      <c r="C221" s="49"/>
      <c r="D221" s="49"/>
      <c r="E221" s="49"/>
    </row>
    <row r="222">
      <c r="A222" s="49"/>
      <c r="B222" s="49"/>
      <c r="C222" s="49"/>
      <c r="D222" s="49"/>
      <c r="E222" s="49"/>
    </row>
    <row r="223">
      <c r="A223" s="49"/>
      <c r="B223" s="49"/>
      <c r="C223" s="49"/>
      <c r="D223" s="49"/>
      <c r="E223" s="49"/>
    </row>
    <row r="224">
      <c r="A224" s="49"/>
      <c r="B224" s="49"/>
      <c r="C224" s="49"/>
      <c r="D224" s="49"/>
      <c r="E224" s="49"/>
    </row>
    <row r="225">
      <c r="A225" s="49"/>
      <c r="B225" s="49"/>
      <c r="C225" s="49"/>
      <c r="D225" s="49"/>
      <c r="E225" s="49"/>
    </row>
    <row r="226">
      <c r="A226" s="49"/>
      <c r="B226" s="49"/>
      <c r="C226" s="49"/>
      <c r="D226" s="49"/>
      <c r="E226" s="49"/>
    </row>
    <row r="227">
      <c r="A227" s="49"/>
      <c r="B227" s="49"/>
      <c r="C227" s="49"/>
      <c r="D227" s="49"/>
      <c r="E227" s="49"/>
    </row>
    <row r="228">
      <c r="A228" s="49"/>
      <c r="B228" s="49"/>
      <c r="C228" s="49"/>
      <c r="D228" s="49"/>
      <c r="E228" s="49"/>
    </row>
    <row r="229">
      <c r="A229" s="49"/>
      <c r="B229" s="49"/>
      <c r="C229" s="49"/>
      <c r="D229" s="49"/>
      <c r="E229" s="49"/>
    </row>
    <row r="230">
      <c r="A230" s="49"/>
      <c r="B230" s="49"/>
      <c r="C230" s="49"/>
      <c r="D230" s="49"/>
      <c r="E230" s="49"/>
    </row>
    <row r="231">
      <c r="A231" s="49"/>
      <c r="B231" s="49"/>
      <c r="C231" s="49"/>
      <c r="D231" s="49"/>
      <c r="E231" s="49"/>
    </row>
    <row r="232">
      <c r="A232" s="49"/>
      <c r="B232" s="49"/>
      <c r="C232" s="49"/>
      <c r="D232" s="49"/>
      <c r="E232" s="49"/>
    </row>
    <row r="233">
      <c r="A233" s="49"/>
      <c r="B233" s="49"/>
      <c r="C233" s="49"/>
      <c r="D233" s="49"/>
      <c r="E233" s="49"/>
    </row>
    <row r="234">
      <c r="A234" s="49"/>
      <c r="B234" s="49"/>
      <c r="C234" s="49"/>
      <c r="D234" s="49"/>
      <c r="E234" s="49"/>
    </row>
    <row r="235">
      <c r="A235" s="49"/>
      <c r="B235" s="49"/>
      <c r="C235" s="49"/>
      <c r="D235" s="49"/>
      <c r="E235" s="49"/>
    </row>
    <row r="236">
      <c r="A236" s="49"/>
      <c r="B236" s="49"/>
      <c r="C236" s="49"/>
      <c r="D236" s="49"/>
      <c r="E236" s="49"/>
    </row>
    <row r="237">
      <c r="A237" s="49"/>
      <c r="B237" s="49"/>
      <c r="C237" s="49"/>
      <c r="D237" s="49"/>
      <c r="E237" s="49"/>
    </row>
    <row r="238">
      <c r="A238" s="49"/>
      <c r="B238" s="49"/>
      <c r="C238" s="49"/>
      <c r="D238" s="49"/>
      <c r="E238" s="49"/>
    </row>
    <row r="239">
      <c r="A239" s="49"/>
      <c r="B239" s="49"/>
      <c r="C239" s="49"/>
      <c r="D239" s="49"/>
      <c r="E239" s="49"/>
    </row>
    <row r="240">
      <c r="A240" s="49"/>
      <c r="B240" s="49"/>
      <c r="C240" s="49"/>
      <c r="D240" s="49"/>
      <c r="E240" s="49"/>
    </row>
    <row r="241">
      <c r="A241" s="49"/>
      <c r="B241" s="49"/>
      <c r="C241" s="49"/>
      <c r="D241" s="49"/>
      <c r="E241" s="49"/>
    </row>
    <row r="242">
      <c r="A242" s="49"/>
      <c r="B242" s="49"/>
      <c r="C242" s="49"/>
      <c r="D242" s="49"/>
      <c r="E242" s="49"/>
    </row>
    <row r="243">
      <c r="A243" s="49"/>
      <c r="B243" s="49"/>
      <c r="C243" s="49"/>
      <c r="D243" s="49"/>
      <c r="E243" s="49"/>
    </row>
    <row r="244">
      <c r="A244" s="49"/>
      <c r="B244" s="49"/>
      <c r="C244" s="49"/>
      <c r="D244" s="49"/>
      <c r="E244" s="49"/>
    </row>
    <row r="245">
      <c r="A245" s="49"/>
      <c r="B245" s="49"/>
      <c r="C245" s="49"/>
      <c r="D245" s="49"/>
      <c r="E245" s="49"/>
    </row>
    <row r="246">
      <c r="A246" s="49"/>
      <c r="B246" s="49"/>
      <c r="C246" s="49"/>
      <c r="D246" s="49"/>
      <c r="E246" s="49"/>
    </row>
    <row r="247">
      <c r="A247" s="49"/>
      <c r="B247" s="49"/>
      <c r="C247" s="49"/>
      <c r="D247" s="49"/>
      <c r="E247" s="49"/>
    </row>
    <row r="248">
      <c r="A248" s="49"/>
      <c r="B248" s="49"/>
      <c r="C248" s="49"/>
      <c r="D248" s="49"/>
      <c r="E248" s="49"/>
    </row>
    <row r="249">
      <c r="A249" s="49"/>
      <c r="B249" s="49"/>
      <c r="C249" s="49"/>
      <c r="D249" s="49"/>
      <c r="E249" s="49"/>
    </row>
    <row r="250">
      <c r="A250" s="49"/>
      <c r="B250" s="49"/>
      <c r="C250" s="49"/>
      <c r="D250" s="49"/>
      <c r="E250" s="49"/>
    </row>
    <row r="251">
      <c r="A251" s="49"/>
      <c r="B251" s="49"/>
      <c r="C251" s="49"/>
      <c r="D251" s="49"/>
      <c r="E251" s="49"/>
    </row>
    <row r="252">
      <c r="A252" s="49"/>
      <c r="B252" s="49"/>
      <c r="C252" s="49"/>
      <c r="D252" s="49"/>
      <c r="E252" s="49"/>
    </row>
    <row r="253">
      <c r="A253" s="49"/>
      <c r="B253" s="49"/>
      <c r="C253" s="49"/>
      <c r="D253" s="49"/>
      <c r="E253" s="49"/>
    </row>
    <row r="254">
      <c r="A254" s="49"/>
      <c r="B254" s="49"/>
      <c r="C254" s="49"/>
      <c r="D254" s="49"/>
      <c r="E254" s="49"/>
    </row>
    <row r="255">
      <c r="A255" s="49"/>
      <c r="B255" s="49"/>
      <c r="C255" s="49"/>
      <c r="D255" s="49"/>
      <c r="E255" s="49"/>
    </row>
    <row r="256">
      <c r="A256" s="49"/>
      <c r="B256" s="49"/>
      <c r="C256" s="49"/>
      <c r="D256" s="49"/>
      <c r="E256" s="49"/>
    </row>
    <row r="257">
      <c r="A257" s="49"/>
      <c r="B257" s="49"/>
      <c r="C257" s="49"/>
      <c r="D257" s="49"/>
      <c r="E257" s="49"/>
    </row>
    <row r="258">
      <c r="A258" s="49"/>
      <c r="B258" s="49"/>
      <c r="C258" s="49"/>
      <c r="D258" s="49"/>
      <c r="E258" s="49"/>
    </row>
    <row r="259">
      <c r="A259" s="49"/>
      <c r="B259" s="49"/>
      <c r="C259" s="49"/>
      <c r="D259" s="49"/>
      <c r="E259" s="49"/>
    </row>
    <row r="260">
      <c r="A260" s="49"/>
      <c r="B260" s="49"/>
      <c r="C260" s="49"/>
      <c r="D260" s="49"/>
      <c r="E260" s="49"/>
    </row>
    <row r="261">
      <c r="A261" s="49"/>
      <c r="B261" s="49"/>
      <c r="C261" s="49"/>
      <c r="D261" s="49"/>
      <c r="E261" s="49"/>
    </row>
    <row r="262">
      <c r="A262" s="49"/>
      <c r="B262" s="49"/>
      <c r="C262" s="49"/>
      <c r="D262" s="49"/>
      <c r="E262" s="49"/>
    </row>
    <row r="263">
      <c r="A263" s="49"/>
      <c r="B263" s="49"/>
      <c r="C263" s="49"/>
      <c r="D263" s="49"/>
      <c r="E263" s="49"/>
    </row>
    <row r="264">
      <c r="A264" s="49"/>
      <c r="B264" s="49"/>
      <c r="C264" s="49"/>
      <c r="D264" s="49"/>
      <c r="E264" s="49"/>
    </row>
    <row r="265">
      <c r="A265" s="49"/>
      <c r="B265" s="49"/>
      <c r="C265" s="49"/>
      <c r="D265" s="49"/>
      <c r="E265" s="49"/>
    </row>
    <row r="266">
      <c r="A266" s="49"/>
      <c r="B266" s="49"/>
      <c r="C266" s="49"/>
      <c r="D266" s="49"/>
      <c r="E266" s="49"/>
    </row>
    <row r="267">
      <c r="A267" s="49"/>
      <c r="B267" s="49"/>
      <c r="C267" s="49"/>
      <c r="D267" s="49"/>
      <c r="E267" s="49"/>
    </row>
    <row r="268">
      <c r="A268" s="49"/>
      <c r="B268" s="49"/>
      <c r="C268" s="49"/>
      <c r="D268" s="49"/>
      <c r="E268" s="49"/>
    </row>
    <row r="269">
      <c r="A269" s="49"/>
      <c r="B269" s="49"/>
      <c r="C269" s="49"/>
      <c r="D269" s="49"/>
      <c r="E269" s="49"/>
    </row>
    <row r="270">
      <c r="A270" s="49"/>
      <c r="B270" s="49"/>
      <c r="C270" s="49"/>
      <c r="D270" s="49"/>
      <c r="E270" s="49"/>
    </row>
    <row r="271">
      <c r="A271" s="49"/>
      <c r="B271" s="49"/>
      <c r="C271" s="49"/>
      <c r="D271" s="49"/>
      <c r="E271" s="49"/>
    </row>
    <row r="272">
      <c r="A272" s="49"/>
      <c r="B272" s="49"/>
      <c r="C272" s="49"/>
      <c r="D272" s="49"/>
      <c r="E272" s="49"/>
    </row>
    <row r="273">
      <c r="A273" s="49"/>
      <c r="B273" s="49"/>
      <c r="C273" s="49"/>
      <c r="D273" s="49"/>
      <c r="E273" s="49"/>
    </row>
    <row r="274">
      <c r="A274" s="49"/>
      <c r="B274" s="49"/>
      <c r="C274" s="49"/>
      <c r="D274" s="49"/>
      <c r="E274" s="49"/>
    </row>
    <row r="275">
      <c r="A275" s="49"/>
      <c r="B275" s="49"/>
      <c r="C275" s="49"/>
      <c r="D275" s="49"/>
      <c r="E275" s="49"/>
    </row>
    <row r="276">
      <c r="A276" s="49"/>
      <c r="B276" s="49"/>
      <c r="C276" s="49"/>
      <c r="D276" s="49"/>
      <c r="E276" s="49"/>
    </row>
    <row r="277">
      <c r="A277" s="49"/>
      <c r="B277" s="49"/>
      <c r="C277" s="49"/>
      <c r="D277" s="49"/>
      <c r="E277" s="49"/>
    </row>
    <row r="278">
      <c r="A278" s="49"/>
      <c r="B278" s="49"/>
      <c r="C278" s="49"/>
      <c r="D278" s="49"/>
      <c r="E278" s="49"/>
    </row>
    <row r="279">
      <c r="A279" s="49"/>
      <c r="B279" s="49"/>
      <c r="C279" s="49"/>
      <c r="D279" s="49"/>
      <c r="E279" s="49"/>
    </row>
    <row r="280">
      <c r="A280" s="49"/>
      <c r="B280" s="49"/>
      <c r="C280" s="49"/>
      <c r="D280" s="49"/>
      <c r="E280" s="49"/>
    </row>
    <row r="281">
      <c r="A281" s="49"/>
      <c r="B281" s="49"/>
      <c r="C281" s="49"/>
      <c r="D281" s="49"/>
      <c r="E281" s="49"/>
    </row>
    <row r="282">
      <c r="A282" s="49"/>
      <c r="B282" s="49"/>
      <c r="C282" s="49"/>
      <c r="D282" s="49"/>
      <c r="E282" s="49"/>
    </row>
    <row r="283">
      <c r="A283" s="49"/>
      <c r="B283" s="49"/>
      <c r="C283" s="49"/>
      <c r="D283" s="49"/>
      <c r="E283" s="49"/>
    </row>
    <row r="284">
      <c r="A284" s="49"/>
      <c r="B284" s="49"/>
      <c r="C284" s="49"/>
      <c r="D284" s="49"/>
      <c r="E284" s="49"/>
    </row>
    <row r="285">
      <c r="A285" s="49"/>
      <c r="B285" s="49"/>
      <c r="C285" s="49"/>
      <c r="D285" s="49"/>
      <c r="E285" s="49"/>
    </row>
    <row r="286">
      <c r="A286" s="49"/>
      <c r="B286" s="49"/>
      <c r="C286" s="49"/>
      <c r="D286" s="49"/>
      <c r="E286" s="49"/>
    </row>
    <row r="287">
      <c r="A287" s="49"/>
      <c r="B287" s="49"/>
      <c r="C287" s="49"/>
      <c r="D287" s="49"/>
      <c r="E287" s="49"/>
    </row>
    <row r="288">
      <c r="A288" s="49"/>
      <c r="B288" s="49"/>
      <c r="C288" s="49"/>
      <c r="D288" s="49"/>
      <c r="E288" s="49"/>
    </row>
    <row r="289">
      <c r="A289" s="49"/>
      <c r="B289" s="49"/>
      <c r="C289" s="49"/>
      <c r="D289" s="49"/>
      <c r="E289" s="49"/>
    </row>
    <row r="290">
      <c r="A290" s="49"/>
      <c r="B290" s="49"/>
      <c r="C290" s="49"/>
      <c r="D290" s="49"/>
      <c r="E290" s="49"/>
    </row>
    <row r="291">
      <c r="A291" s="49"/>
      <c r="B291" s="49"/>
      <c r="C291" s="49"/>
      <c r="D291" s="49"/>
      <c r="E291" s="49"/>
    </row>
    <row r="292">
      <c r="A292" s="49"/>
      <c r="B292" s="49"/>
      <c r="C292" s="49"/>
      <c r="D292" s="49"/>
      <c r="E292" s="49"/>
    </row>
    <row r="293">
      <c r="A293" s="49"/>
      <c r="B293" s="49"/>
      <c r="C293" s="49"/>
      <c r="D293" s="49"/>
      <c r="E293" s="49"/>
    </row>
    <row r="294">
      <c r="A294" s="49"/>
      <c r="B294" s="49"/>
      <c r="C294" s="49"/>
      <c r="D294" s="49"/>
      <c r="E294" s="49"/>
    </row>
    <row r="295">
      <c r="A295" s="49"/>
      <c r="B295" s="49"/>
      <c r="C295" s="49"/>
      <c r="D295" s="49"/>
      <c r="E295" s="49"/>
    </row>
    <row r="296">
      <c r="A296" s="49"/>
      <c r="B296" s="49"/>
      <c r="C296" s="49"/>
      <c r="D296" s="49"/>
      <c r="E296" s="49"/>
    </row>
    <row r="297">
      <c r="A297" s="49"/>
      <c r="B297" s="49"/>
      <c r="C297" s="49"/>
      <c r="D297" s="49"/>
      <c r="E297" s="49"/>
    </row>
    <row r="298">
      <c r="A298" s="49"/>
      <c r="B298" s="49"/>
      <c r="C298" s="49"/>
      <c r="D298" s="49"/>
      <c r="E298" s="49"/>
    </row>
    <row r="299">
      <c r="A299" s="49"/>
      <c r="B299" s="49"/>
      <c r="C299" s="49"/>
      <c r="D299" s="49"/>
      <c r="E299" s="49"/>
    </row>
    <row r="300">
      <c r="A300" s="49"/>
      <c r="B300" s="49"/>
      <c r="C300" s="49"/>
      <c r="D300" s="49"/>
      <c r="E300" s="49"/>
    </row>
    <row r="301">
      <c r="A301" s="49"/>
      <c r="B301" s="49"/>
      <c r="C301" s="49"/>
      <c r="D301" s="49"/>
      <c r="E301" s="49"/>
    </row>
    <row r="302">
      <c r="A302" s="49"/>
      <c r="B302" s="49"/>
      <c r="C302" s="49"/>
      <c r="D302" s="49"/>
      <c r="E302" s="49"/>
    </row>
    <row r="303">
      <c r="A303" s="49"/>
      <c r="B303" s="49"/>
      <c r="C303" s="49"/>
      <c r="D303" s="49"/>
      <c r="E303" s="49"/>
    </row>
    <row r="304">
      <c r="A304" s="49"/>
      <c r="B304" s="49"/>
      <c r="C304" s="49"/>
      <c r="D304" s="49"/>
      <c r="E304" s="49"/>
    </row>
    <row r="305">
      <c r="A305" s="49"/>
      <c r="B305" s="49"/>
      <c r="C305" s="49"/>
      <c r="D305" s="49"/>
      <c r="E305" s="49"/>
    </row>
    <row r="306">
      <c r="A306" s="49"/>
      <c r="B306" s="49"/>
      <c r="C306" s="49"/>
      <c r="D306" s="49"/>
      <c r="E306" s="49"/>
    </row>
    <row r="307">
      <c r="A307" s="49"/>
      <c r="B307" s="49"/>
      <c r="C307" s="49"/>
      <c r="D307" s="49"/>
      <c r="E307" s="49"/>
    </row>
    <row r="308">
      <c r="A308" s="49"/>
      <c r="B308" s="49"/>
      <c r="C308" s="49"/>
      <c r="D308" s="49"/>
      <c r="E308" s="49"/>
    </row>
    <row r="309">
      <c r="A309" s="49"/>
      <c r="B309" s="49"/>
      <c r="C309" s="49"/>
      <c r="D309" s="49"/>
      <c r="E309" s="49"/>
    </row>
    <row r="310">
      <c r="A310" s="49"/>
      <c r="B310" s="49"/>
      <c r="C310" s="49"/>
      <c r="D310" s="49"/>
      <c r="E310" s="49"/>
    </row>
    <row r="311">
      <c r="A311" s="49"/>
      <c r="B311" s="49"/>
      <c r="C311" s="49"/>
      <c r="D311" s="49"/>
      <c r="E311" s="49"/>
    </row>
    <row r="312">
      <c r="A312" s="49"/>
      <c r="B312" s="49"/>
      <c r="C312" s="49"/>
      <c r="D312" s="49"/>
      <c r="E312" s="49"/>
    </row>
    <row r="313">
      <c r="A313" s="49"/>
      <c r="B313" s="49"/>
      <c r="C313" s="49"/>
      <c r="D313" s="49"/>
      <c r="E313" s="49"/>
    </row>
    <row r="314">
      <c r="A314" s="49"/>
      <c r="B314" s="49"/>
      <c r="C314" s="49"/>
      <c r="D314" s="49"/>
      <c r="E314" s="49"/>
    </row>
    <row r="315">
      <c r="A315" s="49"/>
      <c r="B315" s="49"/>
      <c r="C315" s="49"/>
      <c r="D315" s="49"/>
      <c r="E315" s="49"/>
    </row>
    <row r="316">
      <c r="A316" s="49"/>
      <c r="B316" s="49"/>
      <c r="C316" s="49"/>
      <c r="D316" s="49"/>
      <c r="E316" s="49"/>
    </row>
    <row r="317">
      <c r="A317" s="49"/>
      <c r="B317" s="49"/>
      <c r="C317" s="49"/>
      <c r="D317" s="49"/>
      <c r="E317" s="49"/>
    </row>
    <row r="318">
      <c r="A318" s="49"/>
      <c r="B318" s="49"/>
      <c r="C318" s="49"/>
      <c r="D318" s="49"/>
      <c r="E318" s="49"/>
    </row>
    <row r="319">
      <c r="A319" s="49"/>
      <c r="B319" s="49"/>
      <c r="C319" s="49"/>
      <c r="D319" s="49"/>
      <c r="E319" s="49"/>
    </row>
    <row r="320">
      <c r="A320" s="49"/>
      <c r="B320" s="49"/>
      <c r="C320" s="49"/>
      <c r="D320" s="49"/>
      <c r="E320" s="49"/>
    </row>
    <row r="321">
      <c r="A321" s="49"/>
      <c r="B321" s="49"/>
      <c r="C321" s="49"/>
      <c r="D321" s="49"/>
      <c r="E321" s="49"/>
    </row>
    <row r="322">
      <c r="A322" s="49"/>
      <c r="B322" s="49"/>
      <c r="C322" s="49"/>
      <c r="D322" s="49"/>
      <c r="E322" s="49"/>
    </row>
    <row r="323">
      <c r="A323" s="49"/>
      <c r="B323" s="49"/>
      <c r="C323" s="49"/>
      <c r="D323" s="49"/>
      <c r="E323" s="49"/>
    </row>
    <row r="324">
      <c r="A324" s="49"/>
      <c r="B324" s="49"/>
      <c r="C324" s="49"/>
      <c r="D324" s="49"/>
      <c r="E324" s="49"/>
    </row>
    <row r="325">
      <c r="A325" s="49"/>
      <c r="B325" s="49"/>
      <c r="C325" s="49"/>
      <c r="D325" s="49"/>
      <c r="E325" s="49"/>
    </row>
    <row r="326">
      <c r="A326" s="49"/>
      <c r="B326" s="49"/>
      <c r="C326" s="49"/>
      <c r="D326" s="49"/>
      <c r="E326" s="49"/>
    </row>
    <row r="327">
      <c r="A327" s="49"/>
      <c r="B327" s="49"/>
      <c r="C327" s="49"/>
      <c r="D327" s="49"/>
      <c r="E327" s="49"/>
    </row>
    <row r="328">
      <c r="A328" s="49"/>
      <c r="B328" s="49"/>
      <c r="C328" s="49"/>
      <c r="D328" s="49"/>
      <c r="E328" s="49"/>
    </row>
    <row r="329">
      <c r="A329" s="49"/>
      <c r="B329" s="49"/>
      <c r="C329" s="49"/>
      <c r="D329" s="49"/>
      <c r="E329" s="49"/>
    </row>
    <row r="330">
      <c r="A330" s="49"/>
      <c r="B330" s="49"/>
      <c r="C330" s="49"/>
      <c r="D330" s="49"/>
      <c r="E330" s="49"/>
    </row>
    <row r="331">
      <c r="A331" s="49"/>
      <c r="B331" s="49"/>
      <c r="C331" s="49"/>
      <c r="D331" s="49"/>
      <c r="E331" s="49"/>
    </row>
    <row r="332">
      <c r="A332" s="49"/>
      <c r="B332" s="49"/>
      <c r="C332" s="49"/>
      <c r="D332" s="49"/>
      <c r="E332" s="49"/>
    </row>
    <row r="333">
      <c r="A333" s="49"/>
      <c r="B333" s="49"/>
      <c r="C333" s="49"/>
      <c r="D333" s="49"/>
      <c r="E333" s="49"/>
    </row>
    <row r="334">
      <c r="A334" s="49"/>
      <c r="B334" s="49"/>
      <c r="C334" s="49"/>
      <c r="D334" s="49"/>
      <c r="E334" s="49"/>
    </row>
    <row r="335">
      <c r="A335" s="49"/>
      <c r="B335" s="49"/>
      <c r="C335" s="49"/>
      <c r="D335" s="49"/>
      <c r="E335" s="49"/>
    </row>
    <row r="336">
      <c r="A336" s="49"/>
      <c r="B336" s="49"/>
      <c r="C336" s="49"/>
      <c r="D336" s="49"/>
      <c r="E336" s="49"/>
    </row>
    <row r="337">
      <c r="A337" s="49"/>
      <c r="B337" s="49"/>
      <c r="C337" s="49"/>
      <c r="D337" s="49"/>
      <c r="E337" s="49"/>
    </row>
    <row r="338">
      <c r="A338" s="49"/>
      <c r="B338" s="49"/>
      <c r="C338" s="49"/>
      <c r="D338" s="49"/>
      <c r="E338" s="49"/>
    </row>
    <row r="339">
      <c r="A339" s="49"/>
      <c r="B339" s="49"/>
      <c r="C339" s="49"/>
      <c r="D339" s="49"/>
      <c r="E339" s="49"/>
    </row>
    <row r="340">
      <c r="A340" s="49"/>
      <c r="B340" s="49"/>
      <c r="C340" s="49"/>
      <c r="D340" s="49"/>
      <c r="E340" s="49"/>
    </row>
    <row r="341">
      <c r="A341" s="49"/>
      <c r="B341" s="49"/>
      <c r="C341" s="49"/>
      <c r="D341" s="49"/>
      <c r="E341" s="49"/>
    </row>
    <row r="342">
      <c r="A342" s="49"/>
      <c r="B342" s="49"/>
      <c r="C342" s="49"/>
      <c r="D342" s="49"/>
      <c r="E342" s="49"/>
    </row>
    <row r="343">
      <c r="A343" s="49"/>
      <c r="B343" s="49"/>
      <c r="C343" s="49"/>
      <c r="D343" s="49"/>
      <c r="E343" s="49"/>
    </row>
    <row r="344">
      <c r="A344" s="49"/>
      <c r="B344" s="49"/>
      <c r="C344" s="49"/>
      <c r="D344" s="49"/>
      <c r="E344" s="49"/>
    </row>
    <row r="345">
      <c r="A345" s="49"/>
      <c r="B345" s="49"/>
      <c r="C345" s="49"/>
      <c r="D345" s="49"/>
      <c r="E345" s="49"/>
    </row>
    <row r="346">
      <c r="A346" s="49"/>
      <c r="B346" s="49"/>
      <c r="C346" s="49"/>
      <c r="D346" s="49"/>
      <c r="E346" s="49"/>
    </row>
    <row r="347">
      <c r="A347" s="49"/>
      <c r="B347" s="49"/>
      <c r="C347" s="49"/>
      <c r="D347" s="49"/>
      <c r="E347" s="49"/>
    </row>
    <row r="348">
      <c r="A348" s="49"/>
      <c r="B348" s="49"/>
      <c r="C348" s="49"/>
      <c r="D348" s="49"/>
      <c r="E348" s="49"/>
    </row>
    <row r="349">
      <c r="A349" s="49"/>
      <c r="B349" s="49"/>
      <c r="C349" s="49"/>
      <c r="D349" s="49"/>
      <c r="E349" s="49"/>
    </row>
    <row r="350">
      <c r="A350" s="49"/>
      <c r="B350" s="49"/>
      <c r="C350" s="49"/>
      <c r="D350" s="49"/>
      <c r="E350" s="49"/>
    </row>
    <row r="351">
      <c r="A351" s="49"/>
      <c r="B351" s="49"/>
      <c r="C351" s="49"/>
      <c r="D351" s="49"/>
      <c r="E351" s="49"/>
    </row>
    <row r="352">
      <c r="A352" s="49"/>
      <c r="B352" s="49"/>
      <c r="C352" s="49"/>
      <c r="D352" s="49"/>
      <c r="E352" s="49"/>
    </row>
    <row r="353">
      <c r="A353" s="49"/>
      <c r="B353" s="49"/>
      <c r="C353" s="49"/>
      <c r="D353" s="49"/>
      <c r="E353" s="49"/>
    </row>
    <row r="354">
      <c r="A354" s="49"/>
      <c r="B354" s="49"/>
      <c r="C354" s="49"/>
      <c r="D354" s="49"/>
      <c r="E354" s="49"/>
    </row>
    <row r="355">
      <c r="A355" s="49"/>
      <c r="B355" s="49"/>
      <c r="C355" s="49"/>
      <c r="D355" s="49"/>
      <c r="E355" s="49"/>
    </row>
    <row r="356">
      <c r="A356" s="49"/>
      <c r="B356" s="49"/>
      <c r="C356" s="49"/>
      <c r="D356" s="49"/>
      <c r="E356" s="49"/>
    </row>
    <row r="357">
      <c r="A357" s="49"/>
      <c r="B357" s="49"/>
      <c r="C357" s="49"/>
      <c r="D357" s="49"/>
      <c r="E357" s="49"/>
    </row>
    <row r="358">
      <c r="A358" s="49"/>
      <c r="B358" s="49"/>
      <c r="C358" s="49"/>
      <c r="D358" s="49"/>
      <c r="E358" s="49"/>
    </row>
    <row r="359">
      <c r="A359" s="49"/>
      <c r="B359" s="49"/>
      <c r="C359" s="49"/>
      <c r="D359" s="49"/>
      <c r="E359" s="49"/>
    </row>
    <row r="360">
      <c r="A360" s="49"/>
      <c r="B360" s="49"/>
      <c r="C360" s="49"/>
      <c r="D360" s="49"/>
      <c r="E360" s="49"/>
    </row>
    <row r="361">
      <c r="A361" s="49"/>
      <c r="B361" s="49"/>
      <c r="C361" s="49"/>
      <c r="D361" s="49"/>
      <c r="E361" s="49"/>
    </row>
    <row r="362">
      <c r="A362" s="49"/>
      <c r="B362" s="49"/>
      <c r="C362" s="49"/>
      <c r="D362" s="49"/>
      <c r="E362" s="49"/>
    </row>
    <row r="363">
      <c r="A363" s="49"/>
      <c r="B363" s="49"/>
      <c r="C363" s="49"/>
      <c r="D363" s="49"/>
      <c r="E363" s="49"/>
    </row>
    <row r="364">
      <c r="A364" s="49"/>
      <c r="B364" s="49"/>
      <c r="C364" s="49"/>
      <c r="D364" s="49"/>
      <c r="E364" s="49"/>
    </row>
    <row r="365">
      <c r="A365" s="49"/>
      <c r="B365" s="49"/>
      <c r="C365" s="49"/>
      <c r="D365" s="49"/>
      <c r="E365" s="49"/>
    </row>
    <row r="366">
      <c r="A366" s="49"/>
      <c r="B366" s="49"/>
      <c r="C366" s="49"/>
      <c r="D366" s="49"/>
      <c r="E366" s="49"/>
    </row>
    <row r="367">
      <c r="A367" s="49"/>
      <c r="B367" s="49"/>
      <c r="C367" s="49"/>
      <c r="D367" s="49"/>
      <c r="E367" s="49"/>
    </row>
    <row r="368">
      <c r="A368" s="49"/>
      <c r="B368" s="49"/>
      <c r="C368" s="49"/>
      <c r="D368" s="49"/>
      <c r="E368" s="49"/>
    </row>
    <row r="369">
      <c r="A369" s="49"/>
      <c r="B369" s="49"/>
      <c r="C369" s="49"/>
      <c r="D369" s="49"/>
      <c r="E369" s="49"/>
    </row>
    <row r="370">
      <c r="A370" s="49"/>
      <c r="B370" s="49"/>
      <c r="C370" s="49"/>
      <c r="D370" s="49"/>
      <c r="E370" s="49"/>
    </row>
    <row r="371">
      <c r="A371" s="49"/>
      <c r="B371" s="49"/>
      <c r="C371" s="49"/>
      <c r="D371" s="49"/>
      <c r="E371" s="49"/>
    </row>
    <row r="372">
      <c r="A372" s="49"/>
      <c r="B372" s="49"/>
      <c r="C372" s="49"/>
      <c r="D372" s="49"/>
      <c r="E372" s="49"/>
    </row>
    <row r="373">
      <c r="A373" s="49"/>
      <c r="B373" s="49"/>
      <c r="C373" s="49"/>
      <c r="D373" s="49"/>
      <c r="E373" s="49"/>
    </row>
    <row r="374">
      <c r="A374" s="49"/>
      <c r="B374" s="49"/>
      <c r="C374" s="49"/>
      <c r="D374" s="49"/>
      <c r="E374" s="49"/>
    </row>
    <row r="375">
      <c r="A375" s="49"/>
      <c r="B375" s="49"/>
      <c r="C375" s="49"/>
      <c r="D375" s="49"/>
      <c r="E375" s="49"/>
    </row>
    <row r="376">
      <c r="A376" s="49"/>
      <c r="B376" s="49"/>
      <c r="C376" s="49"/>
      <c r="D376" s="49"/>
      <c r="E376" s="49"/>
    </row>
    <row r="377">
      <c r="A377" s="49"/>
      <c r="B377" s="49"/>
      <c r="C377" s="49"/>
      <c r="D377" s="49"/>
      <c r="E377" s="49"/>
    </row>
    <row r="378">
      <c r="A378" s="49"/>
      <c r="B378" s="49"/>
      <c r="C378" s="49"/>
      <c r="D378" s="49"/>
      <c r="E378" s="49"/>
    </row>
    <row r="379">
      <c r="A379" s="49"/>
      <c r="B379" s="49"/>
      <c r="C379" s="49"/>
      <c r="D379" s="49"/>
      <c r="E379" s="49"/>
    </row>
    <row r="380">
      <c r="A380" s="49"/>
      <c r="B380" s="49"/>
      <c r="C380" s="49"/>
      <c r="D380" s="49"/>
      <c r="E380" s="49"/>
    </row>
    <row r="381">
      <c r="A381" s="49"/>
      <c r="B381" s="49"/>
      <c r="C381" s="49"/>
      <c r="D381" s="49"/>
      <c r="E381" s="49"/>
    </row>
    <row r="382">
      <c r="A382" s="49"/>
      <c r="B382" s="49"/>
      <c r="C382" s="49"/>
      <c r="D382" s="49"/>
      <c r="E382" s="49"/>
    </row>
    <row r="383">
      <c r="A383" s="49"/>
      <c r="B383" s="49"/>
      <c r="C383" s="49"/>
      <c r="D383" s="49"/>
      <c r="E383" s="49"/>
    </row>
    <row r="384">
      <c r="A384" s="49"/>
      <c r="B384" s="49"/>
      <c r="C384" s="49"/>
      <c r="D384" s="49"/>
      <c r="E384" s="49"/>
    </row>
    <row r="385">
      <c r="A385" s="49"/>
      <c r="B385" s="49"/>
      <c r="C385" s="49"/>
      <c r="D385" s="49"/>
      <c r="E385" s="49"/>
    </row>
    <row r="386">
      <c r="A386" s="49"/>
      <c r="B386" s="49"/>
      <c r="C386" s="49"/>
      <c r="D386" s="49"/>
      <c r="E386" s="49"/>
    </row>
    <row r="387">
      <c r="A387" s="49"/>
      <c r="B387" s="49"/>
      <c r="C387" s="49"/>
      <c r="D387" s="49"/>
      <c r="E387" s="49"/>
    </row>
    <row r="388">
      <c r="A388" s="49"/>
      <c r="B388" s="49"/>
      <c r="C388" s="49"/>
      <c r="D388" s="49"/>
      <c r="E388" s="49"/>
    </row>
    <row r="389">
      <c r="A389" s="49"/>
      <c r="B389" s="49"/>
      <c r="C389" s="49"/>
      <c r="D389" s="49"/>
      <c r="E389" s="49"/>
    </row>
    <row r="390">
      <c r="A390" s="49"/>
      <c r="B390" s="49"/>
      <c r="C390" s="49"/>
      <c r="D390" s="49"/>
      <c r="E390" s="49"/>
    </row>
    <row r="391">
      <c r="A391" s="49"/>
      <c r="B391" s="49"/>
      <c r="C391" s="49"/>
      <c r="D391" s="49"/>
      <c r="E391" s="49"/>
    </row>
    <row r="392">
      <c r="A392" s="49"/>
      <c r="B392" s="49"/>
      <c r="C392" s="49"/>
      <c r="D392" s="49"/>
      <c r="E392" s="49"/>
    </row>
    <row r="393">
      <c r="A393" s="49"/>
      <c r="B393" s="49"/>
      <c r="C393" s="49"/>
      <c r="D393" s="49"/>
      <c r="E393" s="49"/>
    </row>
    <row r="394">
      <c r="A394" s="49"/>
      <c r="B394" s="49"/>
      <c r="C394" s="49"/>
      <c r="D394" s="49"/>
      <c r="E394" s="49"/>
    </row>
    <row r="395">
      <c r="A395" s="49"/>
      <c r="B395" s="49"/>
      <c r="C395" s="49"/>
      <c r="D395" s="49"/>
      <c r="E395" s="49"/>
    </row>
    <row r="396">
      <c r="A396" s="49"/>
      <c r="B396" s="49"/>
      <c r="C396" s="49"/>
      <c r="D396" s="49"/>
      <c r="E396" s="49"/>
    </row>
    <row r="397">
      <c r="A397" s="49"/>
      <c r="B397" s="49"/>
      <c r="C397" s="49"/>
      <c r="D397" s="49"/>
      <c r="E397" s="49"/>
    </row>
    <row r="398">
      <c r="A398" s="49"/>
      <c r="B398" s="49"/>
      <c r="C398" s="49"/>
      <c r="D398" s="49"/>
      <c r="E398" s="49"/>
    </row>
    <row r="399">
      <c r="A399" s="49"/>
      <c r="B399" s="49"/>
      <c r="C399" s="49"/>
      <c r="D399" s="49"/>
      <c r="E399" s="49"/>
    </row>
    <row r="400">
      <c r="A400" s="49"/>
      <c r="B400" s="49"/>
      <c r="C400" s="49"/>
      <c r="D400" s="49"/>
      <c r="E400" s="49"/>
    </row>
    <row r="401">
      <c r="A401" s="49"/>
      <c r="B401" s="49"/>
      <c r="C401" s="49"/>
      <c r="D401" s="49"/>
      <c r="E401" s="49"/>
    </row>
    <row r="402">
      <c r="A402" s="49"/>
      <c r="B402" s="49"/>
      <c r="C402" s="49"/>
      <c r="D402" s="49"/>
      <c r="E402" s="49"/>
    </row>
    <row r="403">
      <c r="A403" s="49"/>
      <c r="B403" s="49"/>
      <c r="C403" s="49"/>
      <c r="D403" s="49"/>
      <c r="E403" s="49"/>
    </row>
    <row r="404">
      <c r="A404" s="49"/>
      <c r="B404" s="49"/>
      <c r="C404" s="49"/>
      <c r="D404" s="49"/>
      <c r="E404" s="49"/>
    </row>
    <row r="405">
      <c r="A405" s="49"/>
      <c r="B405" s="49"/>
      <c r="C405" s="49"/>
      <c r="D405" s="49"/>
      <c r="E405" s="49"/>
    </row>
    <row r="406">
      <c r="A406" s="49"/>
      <c r="B406" s="49"/>
      <c r="C406" s="49"/>
      <c r="D406" s="49"/>
      <c r="E406" s="49"/>
    </row>
    <row r="407">
      <c r="A407" s="49"/>
      <c r="B407" s="49"/>
      <c r="C407" s="49"/>
      <c r="D407" s="49"/>
      <c r="E407" s="49"/>
    </row>
    <row r="408">
      <c r="A408" s="49"/>
      <c r="B408" s="49"/>
      <c r="C408" s="49"/>
      <c r="D408" s="49"/>
      <c r="E408" s="49"/>
    </row>
    <row r="409">
      <c r="A409" s="49"/>
      <c r="B409" s="49"/>
      <c r="C409" s="49"/>
      <c r="D409" s="49"/>
      <c r="E409" s="49"/>
    </row>
    <row r="410">
      <c r="A410" s="49"/>
      <c r="B410" s="49"/>
      <c r="C410" s="49"/>
      <c r="D410" s="49"/>
      <c r="E410" s="49"/>
    </row>
    <row r="411">
      <c r="A411" s="49"/>
      <c r="B411" s="49"/>
      <c r="C411" s="49"/>
      <c r="D411" s="49"/>
      <c r="E411" s="49"/>
    </row>
    <row r="412">
      <c r="A412" s="49"/>
      <c r="B412" s="49"/>
      <c r="C412" s="49"/>
      <c r="D412" s="49"/>
      <c r="E412" s="49"/>
    </row>
    <row r="413">
      <c r="A413" s="49"/>
      <c r="B413" s="49"/>
      <c r="C413" s="49"/>
      <c r="D413" s="49"/>
      <c r="E413" s="49"/>
    </row>
    <row r="414">
      <c r="A414" s="49"/>
      <c r="B414" s="49"/>
      <c r="C414" s="49"/>
      <c r="D414" s="49"/>
      <c r="E414" s="49"/>
    </row>
    <row r="415">
      <c r="A415" s="49"/>
      <c r="B415" s="49"/>
      <c r="C415" s="49"/>
      <c r="D415" s="49"/>
      <c r="E415" s="49"/>
    </row>
    <row r="416">
      <c r="A416" s="49"/>
      <c r="B416" s="49"/>
      <c r="C416" s="49"/>
      <c r="D416" s="49"/>
      <c r="E416" s="49"/>
    </row>
    <row r="417">
      <c r="A417" s="49"/>
      <c r="B417" s="49"/>
      <c r="C417" s="49"/>
      <c r="D417" s="49"/>
      <c r="E417" s="49"/>
    </row>
    <row r="418">
      <c r="A418" s="49"/>
      <c r="B418" s="49"/>
      <c r="C418" s="49"/>
      <c r="D418" s="49"/>
      <c r="E418" s="49"/>
    </row>
    <row r="419">
      <c r="A419" s="49"/>
      <c r="B419" s="49"/>
      <c r="C419" s="49"/>
      <c r="D419" s="49"/>
      <c r="E419" s="49"/>
    </row>
    <row r="420">
      <c r="A420" s="49"/>
      <c r="B420" s="49"/>
      <c r="C420" s="49"/>
      <c r="D420" s="49"/>
      <c r="E420" s="49"/>
    </row>
    <row r="421">
      <c r="A421" s="49"/>
      <c r="B421" s="49"/>
      <c r="C421" s="49"/>
      <c r="D421" s="49"/>
      <c r="E421" s="49"/>
    </row>
    <row r="422">
      <c r="A422" s="49"/>
      <c r="B422" s="49"/>
      <c r="C422" s="49"/>
      <c r="D422" s="49"/>
      <c r="E422" s="49"/>
    </row>
    <row r="423">
      <c r="A423" s="49"/>
      <c r="B423" s="49"/>
      <c r="C423" s="49"/>
      <c r="D423" s="49"/>
      <c r="E423" s="49"/>
    </row>
    <row r="424">
      <c r="A424" s="49"/>
      <c r="B424" s="49"/>
      <c r="C424" s="49"/>
      <c r="D424" s="49"/>
      <c r="E424" s="49"/>
    </row>
    <row r="425">
      <c r="A425" s="49"/>
      <c r="B425" s="49"/>
      <c r="C425" s="49"/>
      <c r="D425" s="49"/>
      <c r="E425" s="49"/>
    </row>
    <row r="426">
      <c r="A426" s="49"/>
      <c r="B426" s="49"/>
      <c r="C426" s="49"/>
      <c r="D426" s="49"/>
      <c r="E426" s="49"/>
    </row>
    <row r="427">
      <c r="A427" s="49"/>
      <c r="B427" s="49"/>
      <c r="C427" s="49"/>
      <c r="D427" s="49"/>
      <c r="E427" s="49"/>
    </row>
    <row r="428">
      <c r="A428" s="49"/>
      <c r="B428" s="49"/>
      <c r="C428" s="49"/>
      <c r="D428" s="49"/>
      <c r="E428" s="49"/>
    </row>
    <row r="429">
      <c r="A429" s="49"/>
      <c r="B429" s="49"/>
      <c r="C429" s="49"/>
      <c r="D429" s="49"/>
      <c r="E429" s="49"/>
    </row>
    <row r="430">
      <c r="A430" s="49"/>
      <c r="B430" s="49"/>
      <c r="C430" s="49"/>
      <c r="D430" s="49"/>
      <c r="E430" s="49"/>
    </row>
    <row r="431">
      <c r="A431" s="49"/>
      <c r="B431" s="49"/>
      <c r="C431" s="49"/>
      <c r="D431" s="49"/>
      <c r="E431" s="49"/>
    </row>
    <row r="432">
      <c r="A432" s="49"/>
      <c r="B432" s="49"/>
      <c r="C432" s="49"/>
      <c r="D432" s="49"/>
      <c r="E432" s="49"/>
    </row>
    <row r="433">
      <c r="A433" s="49"/>
      <c r="B433" s="49"/>
      <c r="C433" s="49"/>
      <c r="D433" s="49"/>
      <c r="E433" s="49"/>
    </row>
    <row r="434">
      <c r="A434" s="49"/>
      <c r="B434" s="49"/>
      <c r="C434" s="49"/>
      <c r="D434" s="49"/>
      <c r="E434" s="49"/>
    </row>
    <row r="435">
      <c r="A435" s="49"/>
      <c r="B435" s="49"/>
      <c r="C435" s="49"/>
      <c r="D435" s="49"/>
      <c r="E435" s="49"/>
    </row>
    <row r="436">
      <c r="A436" s="49"/>
      <c r="B436" s="49"/>
      <c r="C436" s="49"/>
      <c r="D436" s="49"/>
      <c r="E436" s="49"/>
    </row>
    <row r="437">
      <c r="A437" s="49"/>
      <c r="B437" s="49"/>
      <c r="C437" s="49"/>
      <c r="D437" s="49"/>
      <c r="E437" s="49"/>
    </row>
    <row r="438">
      <c r="A438" s="49"/>
      <c r="B438" s="49"/>
      <c r="C438" s="49"/>
      <c r="D438" s="49"/>
      <c r="E438" s="49"/>
    </row>
    <row r="439">
      <c r="A439" s="49"/>
      <c r="B439" s="49"/>
      <c r="C439" s="49"/>
      <c r="D439" s="49"/>
      <c r="E439" s="49"/>
    </row>
    <row r="440">
      <c r="A440" s="49"/>
      <c r="B440" s="49"/>
      <c r="C440" s="49"/>
      <c r="D440" s="49"/>
      <c r="E440" s="49"/>
    </row>
    <row r="441">
      <c r="A441" s="49"/>
      <c r="B441" s="49"/>
      <c r="C441" s="49"/>
      <c r="D441" s="49"/>
      <c r="E441" s="49"/>
    </row>
    <row r="442">
      <c r="A442" s="49"/>
      <c r="B442" s="49"/>
      <c r="C442" s="49"/>
      <c r="D442" s="49"/>
      <c r="E442" s="49"/>
    </row>
    <row r="443">
      <c r="A443" s="49"/>
      <c r="B443" s="49"/>
      <c r="C443" s="49"/>
      <c r="D443" s="49"/>
      <c r="E443" s="49"/>
    </row>
    <row r="444">
      <c r="A444" s="49"/>
      <c r="B444" s="49"/>
      <c r="C444" s="49"/>
      <c r="D444" s="49"/>
      <c r="E444" s="49"/>
    </row>
    <row r="445">
      <c r="A445" s="49"/>
      <c r="B445" s="49"/>
      <c r="C445" s="49"/>
      <c r="D445" s="49"/>
      <c r="E445" s="49"/>
    </row>
    <row r="446">
      <c r="A446" s="49"/>
      <c r="B446" s="49"/>
      <c r="C446" s="49"/>
      <c r="D446" s="49"/>
      <c r="E446" s="49"/>
    </row>
    <row r="447">
      <c r="A447" s="49"/>
      <c r="B447" s="49"/>
      <c r="C447" s="49"/>
      <c r="D447" s="49"/>
      <c r="E447" s="49"/>
    </row>
    <row r="448">
      <c r="A448" s="49"/>
      <c r="B448" s="49"/>
      <c r="C448" s="49"/>
      <c r="D448" s="49"/>
      <c r="E448" s="49"/>
    </row>
    <row r="449">
      <c r="A449" s="49"/>
      <c r="B449" s="49"/>
      <c r="C449" s="49"/>
      <c r="D449" s="49"/>
      <c r="E449" s="49"/>
    </row>
    <row r="450">
      <c r="A450" s="49"/>
      <c r="B450" s="49"/>
      <c r="C450" s="49"/>
      <c r="D450" s="49"/>
      <c r="E450" s="49"/>
    </row>
    <row r="451">
      <c r="A451" s="49"/>
      <c r="B451" s="49"/>
      <c r="C451" s="49"/>
      <c r="D451" s="49"/>
      <c r="E451" s="49"/>
    </row>
    <row r="452">
      <c r="A452" s="49"/>
      <c r="B452" s="49"/>
      <c r="C452" s="49"/>
      <c r="D452" s="49"/>
      <c r="E452" s="49"/>
    </row>
    <row r="453">
      <c r="A453" s="49"/>
      <c r="B453" s="49"/>
      <c r="C453" s="49"/>
      <c r="D453" s="49"/>
      <c r="E453" s="49"/>
    </row>
    <row r="454">
      <c r="A454" s="49"/>
      <c r="B454" s="49"/>
      <c r="C454" s="49"/>
      <c r="D454" s="49"/>
      <c r="E454" s="49"/>
    </row>
    <row r="455">
      <c r="A455" s="49"/>
      <c r="B455" s="49"/>
      <c r="C455" s="49"/>
      <c r="D455" s="49"/>
      <c r="E455" s="49"/>
    </row>
    <row r="456">
      <c r="A456" s="49"/>
      <c r="B456" s="49"/>
      <c r="C456" s="49"/>
      <c r="D456" s="49"/>
      <c r="E456" s="49"/>
    </row>
    <row r="457">
      <c r="A457" s="49"/>
      <c r="B457" s="49"/>
      <c r="C457" s="49"/>
      <c r="D457" s="49"/>
      <c r="E457" s="49"/>
    </row>
    <row r="458">
      <c r="A458" s="49"/>
      <c r="B458" s="49"/>
      <c r="C458" s="49"/>
      <c r="D458" s="49"/>
      <c r="E458" s="49"/>
    </row>
    <row r="459">
      <c r="A459" s="49"/>
      <c r="B459" s="49"/>
      <c r="C459" s="49"/>
      <c r="D459" s="49"/>
      <c r="E459" s="49"/>
    </row>
    <row r="460">
      <c r="A460" s="49"/>
      <c r="B460" s="49"/>
      <c r="C460" s="49"/>
      <c r="D460" s="49"/>
      <c r="E460" s="49"/>
    </row>
    <row r="461">
      <c r="A461" s="49"/>
      <c r="B461" s="49"/>
      <c r="C461" s="49"/>
      <c r="D461" s="49"/>
      <c r="E461" s="49"/>
    </row>
    <row r="462">
      <c r="A462" s="49"/>
      <c r="B462" s="49"/>
      <c r="C462" s="49"/>
      <c r="D462" s="49"/>
      <c r="E462" s="49"/>
    </row>
    <row r="463">
      <c r="A463" s="49"/>
      <c r="B463" s="49"/>
      <c r="C463" s="49"/>
      <c r="D463" s="49"/>
      <c r="E463" s="49"/>
    </row>
    <row r="464">
      <c r="A464" s="49"/>
      <c r="B464" s="49"/>
      <c r="C464" s="49"/>
      <c r="D464" s="49"/>
      <c r="E464" s="49"/>
    </row>
    <row r="465">
      <c r="A465" s="49"/>
      <c r="B465" s="49"/>
      <c r="C465" s="49"/>
      <c r="D465" s="49"/>
      <c r="E465" s="49"/>
    </row>
    <row r="466">
      <c r="A466" s="49"/>
      <c r="B466" s="49"/>
      <c r="C466" s="49"/>
      <c r="D466" s="49"/>
      <c r="E466" s="49"/>
    </row>
    <row r="467">
      <c r="A467" s="49"/>
      <c r="B467" s="49"/>
      <c r="C467" s="49"/>
      <c r="D467" s="49"/>
      <c r="E467" s="49"/>
    </row>
    <row r="468">
      <c r="A468" s="49"/>
      <c r="B468" s="49"/>
      <c r="C468" s="49"/>
      <c r="D468" s="49"/>
      <c r="E468" s="49"/>
    </row>
    <row r="469">
      <c r="A469" s="49"/>
      <c r="B469" s="49"/>
      <c r="C469" s="49"/>
      <c r="D469" s="49"/>
      <c r="E469" s="49"/>
    </row>
    <row r="470">
      <c r="A470" s="49"/>
      <c r="B470" s="49"/>
      <c r="C470" s="49"/>
      <c r="D470" s="49"/>
      <c r="E470" s="49"/>
    </row>
    <row r="471">
      <c r="A471" s="49"/>
      <c r="B471" s="49"/>
      <c r="C471" s="49"/>
      <c r="D471" s="49"/>
      <c r="E471" s="49"/>
    </row>
    <row r="472">
      <c r="A472" s="49"/>
      <c r="B472" s="49"/>
      <c r="C472" s="49"/>
      <c r="D472" s="49"/>
      <c r="E472" s="49"/>
    </row>
    <row r="473">
      <c r="A473" s="49"/>
      <c r="B473" s="49"/>
      <c r="C473" s="49"/>
      <c r="D473" s="49"/>
      <c r="E473" s="49"/>
    </row>
    <row r="474">
      <c r="A474" s="49"/>
      <c r="B474" s="49"/>
      <c r="C474" s="49"/>
      <c r="D474" s="49"/>
      <c r="E474" s="49"/>
    </row>
    <row r="475">
      <c r="A475" s="49"/>
      <c r="B475" s="49"/>
      <c r="C475" s="49"/>
      <c r="D475" s="49"/>
      <c r="E475" s="49"/>
    </row>
    <row r="476">
      <c r="A476" s="49"/>
      <c r="B476" s="49"/>
      <c r="C476" s="49"/>
      <c r="D476" s="49"/>
      <c r="E476" s="49"/>
    </row>
    <row r="477">
      <c r="A477" s="49"/>
      <c r="B477" s="49"/>
      <c r="C477" s="49"/>
      <c r="D477" s="49"/>
      <c r="E477" s="49"/>
    </row>
    <row r="478">
      <c r="A478" s="49"/>
      <c r="B478" s="49"/>
      <c r="C478" s="49"/>
      <c r="D478" s="49"/>
      <c r="E478" s="49"/>
    </row>
    <row r="479">
      <c r="A479" s="49"/>
      <c r="B479" s="49"/>
      <c r="C479" s="49"/>
      <c r="D479" s="49"/>
      <c r="E479" s="49"/>
    </row>
    <row r="480">
      <c r="A480" s="49"/>
      <c r="B480" s="49"/>
      <c r="C480" s="49"/>
      <c r="D480" s="49"/>
      <c r="E480" s="49"/>
    </row>
    <row r="481">
      <c r="A481" s="49"/>
      <c r="B481" s="49"/>
      <c r="C481" s="49"/>
      <c r="D481" s="49"/>
      <c r="E481" s="49"/>
    </row>
    <row r="482">
      <c r="A482" s="49"/>
      <c r="B482" s="49"/>
      <c r="C482" s="49"/>
      <c r="D482" s="49"/>
      <c r="E482" s="49"/>
    </row>
    <row r="483">
      <c r="A483" s="49"/>
      <c r="B483" s="49"/>
      <c r="C483" s="49"/>
      <c r="D483" s="49"/>
      <c r="E483" s="49"/>
    </row>
    <row r="484">
      <c r="A484" s="49"/>
      <c r="B484" s="49"/>
      <c r="C484" s="49"/>
      <c r="D484" s="49"/>
      <c r="E484" s="49"/>
    </row>
    <row r="485">
      <c r="A485" s="49"/>
      <c r="B485" s="49"/>
      <c r="C485" s="49"/>
      <c r="D485" s="49"/>
      <c r="E485" s="49"/>
    </row>
    <row r="486">
      <c r="A486" s="49"/>
      <c r="B486" s="49"/>
      <c r="C486" s="49"/>
      <c r="D486" s="49"/>
      <c r="E486" s="49"/>
    </row>
    <row r="487">
      <c r="A487" s="49"/>
      <c r="B487" s="49"/>
      <c r="C487" s="49"/>
      <c r="D487" s="49"/>
      <c r="E487" s="49"/>
    </row>
    <row r="488">
      <c r="A488" s="49"/>
      <c r="B488" s="49"/>
      <c r="C488" s="49"/>
      <c r="D488" s="49"/>
      <c r="E488" s="49"/>
    </row>
    <row r="489">
      <c r="A489" s="49"/>
      <c r="B489" s="49"/>
      <c r="C489" s="49"/>
      <c r="D489" s="49"/>
      <c r="E489" s="49"/>
    </row>
    <row r="490">
      <c r="A490" s="49"/>
      <c r="B490" s="49"/>
      <c r="C490" s="49"/>
      <c r="D490" s="49"/>
      <c r="E490" s="49"/>
    </row>
    <row r="491">
      <c r="A491" s="49"/>
      <c r="B491" s="49"/>
      <c r="C491" s="49"/>
      <c r="D491" s="49"/>
      <c r="E491" s="49"/>
    </row>
    <row r="492">
      <c r="A492" s="49"/>
      <c r="B492" s="49"/>
      <c r="C492" s="49"/>
      <c r="D492" s="49"/>
      <c r="E492" s="49"/>
    </row>
    <row r="493">
      <c r="A493" s="49"/>
      <c r="B493" s="49"/>
      <c r="C493" s="49"/>
      <c r="D493" s="49"/>
      <c r="E493" s="49"/>
    </row>
    <row r="494">
      <c r="A494" s="49"/>
      <c r="B494" s="49"/>
      <c r="C494" s="49"/>
      <c r="D494" s="49"/>
      <c r="E494" s="49"/>
    </row>
    <row r="495">
      <c r="A495" s="49"/>
      <c r="B495" s="49"/>
      <c r="C495" s="49"/>
      <c r="D495" s="49"/>
      <c r="E495" s="49"/>
    </row>
    <row r="496">
      <c r="A496" s="49"/>
      <c r="B496" s="49"/>
      <c r="C496" s="49"/>
      <c r="D496" s="49"/>
      <c r="E496" s="49"/>
    </row>
    <row r="497">
      <c r="A497" s="49"/>
      <c r="B497" s="49"/>
      <c r="C497" s="49"/>
      <c r="D497" s="49"/>
      <c r="E497" s="49"/>
    </row>
    <row r="498">
      <c r="A498" s="49"/>
      <c r="B498" s="49"/>
      <c r="C498" s="49"/>
      <c r="D498" s="49"/>
      <c r="E498" s="49"/>
    </row>
    <row r="499">
      <c r="A499" s="49"/>
      <c r="B499" s="49"/>
      <c r="C499" s="49"/>
      <c r="D499" s="49"/>
      <c r="E499" s="49"/>
    </row>
    <row r="500">
      <c r="A500" s="49"/>
      <c r="B500" s="49"/>
      <c r="C500" s="49"/>
      <c r="D500" s="49"/>
      <c r="E500" s="49"/>
    </row>
    <row r="501">
      <c r="A501" s="49"/>
      <c r="B501" s="49"/>
      <c r="C501" s="49"/>
      <c r="D501" s="49"/>
      <c r="E501" s="49"/>
    </row>
    <row r="502">
      <c r="A502" s="49"/>
      <c r="B502" s="49"/>
      <c r="C502" s="49"/>
      <c r="D502" s="49"/>
      <c r="E502" s="49"/>
    </row>
    <row r="503">
      <c r="A503" s="49"/>
      <c r="B503" s="49"/>
      <c r="C503" s="49"/>
      <c r="D503" s="49"/>
      <c r="E503" s="49"/>
    </row>
    <row r="504">
      <c r="A504" s="49"/>
      <c r="B504" s="49"/>
      <c r="C504" s="49"/>
      <c r="D504" s="49"/>
      <c r="E504" s="49"/>
    </row>
    <row r="505">
      <c r="A505" s="49"/>
      <c r="B505" s="49"/>
      <c r="C505" s="49"/>
      <c r="D505" s="49"/>
      <c r="E505" s="49"/>
    </row>
    <row r="506">
      <c r="A506" s="49"/>
      <c r="B506" s="49"/>
      <c r="C506" s="49"/>
      <c r="D506" s="49"/>
      <c r="E506" s="49"/>
    </row>
    <row r="507">
      <c r="A507" s="49"/>
      <c r="B507" s="49"/>
      <c r="C507" s="49"/>
      <c r="D507" s="49"/>
      <c r="E507" s="49"/>
    </row>
    <row r="508">
      <c r="A508" s="49"/>
      <c r="B508" s="49"/>
      <c r="C508" s="49"/>
      <c r="D508" s="49"/>
      <c r="E508" s="49"/>
    </row>
    <row r="509">
      <c r="A509" s="49"/>
      <c r="B509" s="49"/>
      <c r="C509" s="49"/>
      <c r="D509" s="49"/>
      <c r="E509" s="49"/>
    </row>
    <row r="510">
      <c r="A510" s="49"/>
      <c r="B510" s="49"/>
      <c r="C510" s="49"/>
      <c r="D510" s="49"/>
      <c r="E510" s="49"/>
    </row>
    <row r="511">
      <c r="A511" s="49"/>
      <c r="B511" s="49"/>
      <c r="C511" s="49"/>
      <c r="D511" s="49"/>
      <c r="E511" s="49"/>
    </row>
    <row r="512">
      <c r="A512" s="49"/>
      <c r="B512" s="49"/>
      <c r="C512" s="49"/>
      <c r="D512" s="49"/>
      <c r="E512" s="49"/>
    </row>
    <row r="513">
      <c r="A513" s="49"/>
      <c r="B513" s="49"/>
      <c r="C513" s="49"/>
      <c r="D513" s="49"/>
      <c r="E513" s="49"/>
    </row>
    <row r="514">
      <c r="A514" s="49"/>
      <c r="B514" s="49"/>
      <c r="C514" s="49"/>
      <c r="D514" s="49"/>
      <c r="E514" s="49"/>
    </row>
    <row r="515">
      <c r="A515" s="49"/>
      <c r="B515" s="49"/>
      <c r="C515" s="49"/>
      <c r="D515" s="49"/>
      <c r="E515" s="49"/>
    </row>
    <row r="516">
      <c r="A516" s="49"/>
      <c r="B516" s="49"/>
      <c r="C516" s="49"/>
      <c r="D516" s="49"/>
      <c r="E516" s="49"/>
    </row>
    <row r="517">
      <c r="A517" s="49"/>
      <c r="B517" s="49"/>
      <c r="C517" s="49"/>
      <c r="D517" s="49"/>
      <c r="E517" s="49"/>
    </row>
    <row r="518">
      <c r="A518" s="49"/>
      <c r="B518" s="49"/>
      <c r="C518" s="49"/>
      <c r="D518" s="49"/>
      <c r="E518" s="49"/>
    </row>
    <row r="519">
      <c r="A519" s="49"/>
      <c r="B519" s="49"/>
      <c r="C519" s="49"/>
      <c r="D519" s="49"/>
      <c r="E519" s="49"/>
    </row>
    <row r="520">
      <c r="A520" s="49"/>
      <c r="B520" s="49"/>
      <c r="C520" s="49"/>
      <c r="D520" s="49"/>
      <c r="E520" s="49"/>
    </row>
    <row r="521">
      <c r="A521" s="49"/>
      <c r="B521" s="49"/>
      <c r="C521" s="49"/>
      <c r="D521" s="49"/>
      <c r="E521" s="49"/>
    </row>
    <row r="522">
      <c r="A522" s="49"/>
      <c r="B522" s="49"/>
      <c r="C522" s="49"/>
      <c r="D522" s="49"/>
      <c r="E522" s="49"/>
    </row>
    <row r="523">
      <c r="A523" s="49"/>
      <c r="B523" s="49"/>
      <c r="C523" s="49"/>
      <c r="D523" s="49"/>
      <c r="E523" s="49"/>
    </row>
    <row r="524">
      <c r="A524" s="49"/>
      <c r="B524" s="49"/>
      <c r="C524" s="49"/>
      <c r="D524" s="49"/>
      <c r="E524" s="49"/>
    </row>
    <row r="525">
      <c r="A525" s="49"/>
      <c r="B525" s="49"/>
      <c r="C525" s="49"/>
      <c r="D525" s="49"/>
      <c r="E525" s="49"/>
    </row>
    <row r="526">
      <c r="A526" s="49"/>
      <c r="B526" s="49"/>
      <c r="C526" s="49"/>
      <c r="D526" s="49"/>
      <c r="E526" s="49"/>
    </row>
    <row r="527">
      <c r="A527" s="49"/>
      <c r="B527" s="49"/>
      <c r="C527" s="49"/>
      <c r="D527" s="49"/>
      <c r="E527" s="49"/>
    </row>
    <row r="528">
      <c r="A528" s="49"/>
      <c r="B528" s="49"/>
      <c r="C528" s="49"/>
      <c r="D528" s="49"/>
      <c r="E528" s="49"/>
    </row>
    <row r="529">
      <c r="A529" s="49"/>
      <c r="B529" s="49"/>
      <c r="C529" s="49"/>
      <c r="D529" s="49"/>
      <c r="E529" s="49"/>
    </row>
    <row r="530">
      <c r="A530" s="49"/>
      <c r="B530" s="49"/>
      <c r="C530" s="49"/>
      <c r="D530" s="49"/>
      <c r="E530" s="49"/>
    </row>
    <row r="531">
      <c r="A531" s="49"/>
      <c r="B531" s="49"/>
      <c r="C531" s="49"/>
      <c r="D531" s="49"/>
      <c r="E531" s="49"/>
    </row>
    <row r="532">
      <c r="A532" s="49"/>
      <c r="B532" s="49"/>
      <c r="C532" s="49"/>
      <c r="D532" s="49"/>
      <c r="E532" s="49"/>
    </row>
    <row r="533">
      <c r="A533" s="49"/>
      <c r="B533" s="49"/>
      <c r="C533" s="49"/>
      <c r="D533" s="49"/>
      <c r="E533" s="49"/>
    </row>
    <row r="534">
      <c r="A534" s="49"/>
      <c r="B534" s="49"/>
      <c r="C534" s="49"/>
      <c r="D534" s="49"/>
      <c r="E534" s="49"/>
    </row>
    <row r="535">
      <c r="A535" s="49"/>
      <c r="B535" s="49"/>
      <c r="C535" s="49"/>
      <c r="D535" s="49"/>
      <c r="E535" s="49"/>
    </row>
    <row r="536">
      <c r="A536" s="49"/>
      <c r="B536" s="49"/>
      <c r="C536" s="49"/>
      <c r="D536" s="49"/>
      <c r="E536" s="49"/>
    </row>
    <row r="537">
      <c r="A537" s="49"/>
      <c r="B537" s="49"/>
      <c r="C537" s="49"/>
      <c r="D537" s="49"/>
      <c r="E537" s="49"/>
    </row>
    <row r="538">
      <c r="A538" s="49"/>
      <c r="B538" s="49"/>
      <c r="C538" s="49"/>
      <c r="D538" s="49"/>
      <c r="E538" s="49"/>
    </row>
    <row r="539">
      <c r="A539" s="49"/>
      <c r="B539" s="49"/>
      <c r="C539" s="49"/>
      <c r="D539" s="49"/>
      <c r="E539" s="49"/>
    </row>
    <row r="540">
      <c r="A540" s="49"/>
      <c r="B540" s="49"/>
      <c r="C540" s="49"/>
      <c r="D540" s="49"/>
      <c r="E540" s="49"/>
    </row>
    <row r="541">
      <c r="A541" s="49"/>
      <c r="B541" s="49"/>
      <c r="C541" s="49"/>
      <c r="D541" s="49"/>
      <c r="E541" s="49"/>
    </row>
    <row r="542">
      <c r="A542" s="49"/>
      <c r="B542" s="49"/>
      <c r="C542" s="49"/>
      <c r="D542" s="49"/>
      <c r="E542" s="49"/>
    </row>
    <row r="543">
      <c r="A543" s="49"/>
      <c r="B543" s="49"/>
      <c r="C543" s="49"/>
      <c r="D543" s="49"/>
      <c r="E543" s="49"/>
    </row>
    <row r="544">
      <c r="A544" s="49"/>
      <c r="B544" s="49"/>
      <c r="C544" s="49"/>
      <c r="D544" s="49"/>
      <c r="E544" s="49"/>
    </row>
    <row r="545">
      <c r="A545" s="49"/>
      <c r="B545" s="49"/>
      <c r="C545" s="49"/>
      <c r="D545" s="49"/>
      <c r="E545" s="49"/>
    </row>
    <row r="546">
      <c r="A546" s="49"/>
      <c r="B546" s="49"/>
      <c r="C546" s="49"/>
      <c r="D546" s="49"/>
      <c r="E546" s="49"/>
    </row>
    <row r="547">
      <c r="A547" s="49"/>
      <c r="B547" s="49"/>
      <c r="C547" s="49"/>
      <c r="D547" s="49"/>
      <c r="E547" s="49"/>
    </row>
    <row r="548">
      <c r="A548" s="49"/>
      <c r="B548" s="49"/>
      <c r="C548" s="49"/>
      <c r="D548" s="49"/>
      <c r="E548" s="49"/>
    </row>
    <row r="549">
      <c r="A549" s="49"/>
      <c r="B549" s="49"/>
      <c r="C549" s="49"/>
      <c r="D549" s="49"/>
      <c r="E549" s="49"/>
    </row>
    <row r="550">
      <c r="A550" s="49"/>
      <c r="B550" s="49"/>
      <c r="C550" s="49"/>
      <c r="D550" s="49"/>
      <c r="E550" s="49"/>
    </row>
    <row r="551">
      <c r="A551" s="49"/>
      <c r="B551" s="49"/>
      <c r="C551" s="49"/>
      <c r="D551" s="49"/>
      <c r="E551" s="49"/>
    </row>
    <row r="552">
      <c r="A552" s="49"/>
      <c r="B552" s="49"/>
      <c r="C552" s="49"/>
      <c r="D552" s="49"/>
      <c r="E552" s="49"/>
    </row>
    <row r="553">
      <c r="A553" s="49"/>
      <c r="B553" s="49"/>
      <c r="C553" s="49"/>
      <c r="D553" s="49"/>
      <c r="E553" s="49"/>
    </row>
    <row r="554">
      <c r="A554" s="49"/>
      <c r="B554" s="49"/>
      <c r="C554" s="49"/>
      <c r="D554" s="49"/>
      <c r="E554" s="49"/>
    </row>
    <row r="555">
      <c r="A555" s="49"/>
      <c r="B555" s="49"/>
      <c r="C555" s="49"/>
      <c r="D555" s="49"/>
      <c r="E555" s="49"/>
    </row>
    <row r="556">
      <c r="A556" s="49"/>
      <c r="B556" s="49"/>
      <c r="C556" s="49"/>
      <c r="D556" s="49"/>
      <c r="E556" s="49"/>
    </row>
    <row r="557">
      <c r="A557" s="49"/>
      <c r="B557" s="49"/>
      <c r="C557" s="49"/>
      <c r="D557" s="49"/>
      <c r="E557" s="49"/>
    </row>
    <row r="558">
      <c r="A558" s="49"/>
      <c r="B558" s="49"/>
      <c r="C558" s="49"/>
      <c r="D558" s="49"/>
      <c r="E558" s="49"/>
    </row>
    <row r="559">
      <c r="A559" s="49"/>
      <c r="B559" s="49"/>
      <c r="C559" s="49"/>
      <c r="D559" s="49"/>
      <c r="E559" s="49"/>
    </row>
    <row r="560">
      <c r="A560" s="49"/>
      <c r="B560" s="49"/>
      <c r="C560" s="49"/>
      <c r="D560" s="49"/>
      <c r="E560" s="49"/>
    </row>
    <row r="561">
      <c r="A561" s="49"/>
      <c r="B561" s="49"/>
      <c r="C561" s="49"/>
      <c r="D561" s="49"/>
      <c r="E561" s="49"/>
    </row>
    <row r="562">
      <c r="A562" s="49"/>
      <c r="B562" s="49"/>
      <c r="C562" s="49"/>
      <c r="D562" s="49"/>
      <c r="E562" s="49"/>
    </row>
    <row r="563">
      <c r="A563" s="49"/>
      <c r="B563" s="49"/>
      <c r="C563" s="49"/>
      <c r="D563" s="49"/>
      <c r="E563" s="49"/>
    </row>
    <row r="564">
      <c r="A564" s="49"/>
      <c r="B564" s="49"/>
      <c r="C564" s="49"/>
      <c r="D564" s="49"/>
      <c r="E564" s="49"/>
    </row>
    <row r="565">
      <c r="A565" s="49"/>
      <c r="B565" s="49"/>
      <c r="C565" s="49"/>
      <c r="D565" s="49"/>
      <c r="E565" s="49"/>
    </row>
    <row r="566">
      <c r="A566" s="49"/>
      <c r="B566" s="49"/>
      <c r="C566" s="49"/>
      <c r="D566" s="49"/>
      <c r="E566" s="49"/>
    </row>
    <row r="567">
      <c r="A567" s="49"/>
      <c r="B567" s="49"/>
      <c r="C567" s="49"/>
      <c r="D567" s="49"/>
      <c r="E567" s="49"/>
    </row>
    <row r="568">
      <c r="A568" s="49"/>
      <c r="B568" s="49"/>
      <c r="C568" s="49"/>
      <c r="D568" s="49"/>
      <c r="E568" s="49"/>
    </row>
    <row r="569">
      <c r="A569" s="49"/>
      <c r="B569" s="49"/>
      <c r="C569" s="49"/>
      <c r="D569" s="49"/>
      <c r="E569" s="49"/>
    </row>
    <row r="570">
      <c r="A570" s="49"/>
      <c r="B570" s="49"/>
      <c r="C570" s="49"/>
      <c r="D570" s="49"/>
      <c r="E570" s="49"/>
    </row>
    <row r="571">
      <c r="A571" s="49"/>
      <c r="B571" s="49"/>
      <c r="C571" s="49"/>
      <c r="D571" s="49"/>
      <c r="E571" s="49"/>
    </row>
    <row r="572">
      <c r="A572" s="49"/>
      <c r="B572" s="49"/>
      <c r="C572" s="49"/>
      <c r="D572" s="49"/>
      <c r="E572" s="49"/>
    </row>
    <row r="573">
      <c r="A573" s="49"/>
      <c r="B573" s="49"/>
      <c r="C573" s="49"/>
      <c r="D573" s="49"/>
      <c r="E573" s="49"/>
    </row>
    <row r="574">
      <c r="A574" s="49"/>
      <c r="B574" s="49"/>
      <c r="C574" s="49"/>
      <c r="D574" s="49"/>
      <c r="E574" s="49"/>
    </row>
    <row r="575">
      <c r="A575" s="49"/>
      <c r="B575" s="49"/>
      <c r="C575" s="49"/>
      <c r="D575" s="49"/>
      <c r="E575" s="49"/>
    </row>
    <row r="576">
      <c r="A576" s="49"/>
      <c r="B576" s="49"/>
      <c r="C576" s="49"/>
      <c r="D576" s="49"/>
      <c r="E576" s="49"/>
    </row>
    <row r="577">
      <c r="A577" s="49"/>
      <c r="B577" s="49"/>
      <c r="C577" s="49"/>
      <c r="D577" s="49"/>
      <c r="E577" s="49"/>
    </row>
    <row r="578">
      <c r="A578" s="49"/>
      <c r="B578" s="49"/>
      <c r="C578" s="49"/>
      <c r="D578" s="49"/>
      <c r="E578" s="49"/>
    </row>
    <row r="579">
      <c r="A579" s="49"/>
      <c r="B579" s="49"/>
      <c r="C579" s="49"/>
      <c r="D579" s="49"/>
      <c r="E579" s="49"/>
    </row>
    <row r="580">
      <c r="A580" s="49"/>
      <c r="B580" s="49"/>
      <c r="C580" s="49"/>
      <c r="D580" s="49"/>
      <c r="E580" s="49"/>
    </row>
    <row r="581">
      <c r="A581" s="49"/>
      <c r="B581" s="49"/>
      <c r="C581" s="49"/>
      <c r="D581" s="49"/>
      <c r="E581" s="49"/>
    </row>
    <row r="582">
      <c r="A582" s="49"/>
      <c r="B582" s="49"/>
      <c r="C582" s="49"/>
      <c r="D582" s="49"/>
      <c r="E582" s="49"/>
    </row>
    <row r="583">
      <c r="A583" s="49"/>
      <c r="B583" s="49"/>
      <c r="C583" s="49"/>
      <c r="D583" s="49"/>
      <c r="E583" s="49"/>
    </row>
    <row r="584">
      <c r="A584" s="49"/>
      <c r="B584" s="49"/>
      <c r="C584" s="49"/>
      <c r="D584" s="49"/>
      <c r="E584" s="49"/>
    </row>
    <row r="585">
      <c r="A585" s="49"/>
      <c r="B585" s="49"/>
      <c r="C585" s="49"/>
      <c r="D585" s="49"/>
      <c r="E585" s="49"/>
    </row>
    <row r="586">
      <c r="A586" s="49"/>
      <c r="B586" s="49"/>
      <c r="C586" s="49"/>
      <c r="D586" s="49"/>
      <c r="E586" s="49"/>
    </row>
    <row r="587">
      <c r="A587" s="49"/>
      <c r="B587" s="49"/>
      <c r="C587" s="49"/>
      <c r="D587" s="49"/>
      <c r="E587" s="49"/>
    </row>
    <row r="588">
      <c r="A588" s="49"/>
      <c r="B588" s="49"/>
      <c r="C588" s="49"/>
      <c r="D588" s="49"/>
      <c r="E588" s="49"/>
    </row>
    <row r="589">
      <c r="A589" s="49"/>
      <c r="B589" s="49"/>
      <c r="C589" s="49"/>
      <c r="D589" s="49"/>
      <c r="E589" s="49"/>
    </row>
    <row r="590">
      <c r="A590" s="49"/>
      <c r="B590" s="49"/>
      <c r="C590" s="49"/>
      <c r="D590" s="49"/>
      <c r="E590" s="49"/>
    </row>
    <row r="591">
      <c r="A591" s="49"/>
      <c r="B591" s="49"/>
      <c r="C591" s="49"/>
      <c r="D591" s="49"/>
      <c r="E591" s="49"/>
    </row>
    <row r="592">
      <c r="A592" s="49"/>
      <c r="B592" s="49"/>
      <c r="C592" s="49"/>
      <c r="D592" s="49"/>
      <c r="E592" s="49"/>
    </row>
    <row r="593">
      <c r="A593" s="49"/>
      <c r="B593" s="49"/>
      <c r="C593" s="49"/>
      <c r="D593" s="49"/>
      <c r="E593" s="49"/>
    </row>
    <row r="594">
      <c r="A594" s="49"/>
      <c r="B594" s="49"/>
      <c r="C594" s="49"/>
      <c r="D594" s="49"/>
      <c r="E594" s="49"/>
    </row>
    <row r="595">
      <c r="A595" s="49"/>
      <c r="B595" s="49"/>
      <c r="C595" s="49"/>
      <c r="D595" s="49"/>
      <c r="E595" s="49"/>
    </row>
    <row r="596">
      <c r="A596" s="49"/>
      <c r="B596" s="49"/>
      <c r="C596" s="49"/>
      <c r="D596" s="49"/>
      <c r="E596" s="49"/>
    </row>
    <row r="597">
      <c r="A597" s="49"/>
      <c r="B597" s="49"/>
      <c r="C597" s="49"/>
      <c r="D597" s="49"/>
      <c r="E597" s="49"/>
    </row>
    <row r="598">
      <c r="A598" s="49"/>
      <c r="B598" s="49"/>
      <c r="C598" s="49"/>
      <c r="D598" s="49"/>
      <c r="E598" s="49"/>
    </row>
    <row r="599">
      <c r="A599" s="49"/>
      <c r="B599" s="49"/>
      <c r="C599" s="49"/>
      <c r="D599" s="49"/>
      <c r="E599" s="49"/>
    </row>
    <row r="600">
      <c r="A600" s="49"/>
      <c r="B600" s="49"/>
      <c r="C600" s="49"/>
      <c r="D600" s="49"/>
      <c r="E600" s="49"/>
    </row>
    <row r="601">
      <c r="A601" s="49"/>
      <c r="B601" s="49"/>
      <c r="C601" s="49"/>
      <c r="D601" s="49"/>
      <c r="E601" s="49"/>
    </row>
    <row r="602">
      <c r="A602" s="49"/>
      <c r="B602" s="49"/>
      <c r="C602" s="49"/>
      <c r="D602" s="49"/>
      <c r="E602" s="49"/>
    </row>
    <row r="603">
      <c r="A603" s="49"/>
      <c r="B603" s="49"/>
      <c r="C603" s="49"/>
      <c r="D603" s="49"/>
      <c r="E603" s="49"/>
    </row>
    <row r="604">
      <c r="A604" s="49"/>
      <c r="B604" s="49"/>
      <c r="C604" s="49"/>
      <c r="D604" s="49"/>
      <c r="E604" s="49"/>
    </row>
    <row r="605">
      <c r="A605" s="49"/>
      <c r="B605" s="49"/>
      <c r="C605" s="49"/>
      <c r="D605" s="49"/>
      <c r="E605" s="49"/>
    </row>
    <row r="606">
      <c r="A606" s="49"/>
      <c r="B606" s="49"/>
      <c r="C606" s="49"/>
      <c r="D606" s="49"/>
      <c r="E606" s="49"/>
    </row>
    <row r="607">
      <c r="A607" s="49"/>
      <c r="B607" s="49"/>
      <c r="C607" s="49"/>
      <c r="D607" s="49"/>
      <c r="E607" s="49"/>
    </row>
    <row r="608">
      <c r="A608" s="49"/>
      <c r="B608" s="49"/>
      <c r="C608" s="49"/>
      <c r="D608" s="49"/>
      <c r="E608" s="49"/>
    </row>
    <row r="609">
      <c r="A609" s="49"/>
      <c r="B609" s="49"/>
      <c r="C609" s="49"/>
      <c r="D609" s="49"/>
      <c r="E609" s="49"/>
    </row>
    <row r="610">
      <c r="A610" s="49"/>
      <c r="B610" s="49"/>
      <c r="C610" s="49"/>
      <c r="D610" s="49"/>
      <c r="E610" s="49"/>
    </row>
    <row r="611">
      <c r="A611" s="49"/>
      <c r="B611" s="49"/>
      <c r="C611" s="49"/>
      <c r="D611" s="49"/>
      <c r="E611" s="49"/>
    </row>
    <row r="612">
      <c r="A612" s="49"/>
      <c r="B612" s="49"/>
      <c r="C612" s="49"/>
      <c r="D612" s="49"/>
      <c r="E612" s="49"/>
    </row>
    <row r="613">
      <c r="A613" s="49"/>
      <c r="B613" s="49"/>
      <c r="C613" s="49"/>
      <c r="D613" s="49"/>
      <c r="E613" s="49"/>
    </row>
    <row r="614">
      <c r="A614" s="49"/>
      <c r="B614" s="49"/>
      <c r="C614" s="49"/>
      <c r="D614" s="49"/>
      <c r="E614" s="49"/>
    </row>
    <row r="615">
      <c r="A615" s="49"/>
      <c r="B615" s="49"/>
      <c r="C615" s="49"/>
      <c r="D615" s="49"/>
      <c r="E615" s="49"/>
    </row>
    <row r="616">
      <c r="A616" s="49"/>
      <c r="B616" s="49"/>
      <c r="C616" s="49"/>
      <c r="D616" s="49"/>
      <c r="E616" s="49"/>
    </row>
    <row r="617">
      <c r="A617" s="49"/>
      <c r="B617" s="49"/>
      <c r="C617" s="49"/>
      <c r="D617" s="49"/>
      <c r="E617" s="49"/>
    </row>
    <row r="618">
      <c r="A618" s="49"/>
      <c r="B618" s="49"/>
      <c r="C618" s="49"/>
      <c r="D618" s="49"/>
      <c r="E618" s="49"/>
    </row>
    <row r="619">
      <c r="A619" s="49"/>
      <c r="B619" s="49"/>
      <c r="C619" s="49"/>
      <c r="D619" s="49"/>
      <c r="E619" s="49"/>
    </row>
    <row r="620">
      <c r="A620" s="49"/>
      <c r="B620" s="49"/>
      <c r="C620" s="49"/>
      <c r="D620" s="49"/>
      <c r="E620" s="49"/>
    </row>
    <row r="621">
      <c r="A621" s="49"/>
      <c r="B621" s="49"/>
      <c r="C621" s="49"/>
      <c r="D621" s="49"/>
      <c r="E621" s="49"/>
    </row>
    <row r="622">
      <c r="A622" s="49"/>
      <c r="B622" s="49"/>
      <c r="C622" s="49"/>
      <c r="D622" s="49"/>
      <c r="E622" s="49"/>
    </row>
    <row r="623">
      <c r="A623" s="49"/>
      <c r="B623" s="49"/>
      <c r="C623" s="49"/>
      <c r="D623" s="49"/>
      <c r="E623" s="49"/>
    </row>
    <row r="624">
      <c r="A624" s="49"/>
      <c r="B624" s="49"/>
      <c r="C624" s="49"/>
      <c r="D624" s="49"/>
      <c r="E624" s="49"/>
    </row>
    <row r="625">
      <c r="A625" s="49"/>
      <c r="B625" s="49"/>
      <c r="C625" s="49"/>
      <c r="D625" s="49"/>
      <c r="E625" s="49"/>
    </row>
    <row r="626">
      <c r="A626" s="49"/>
      <c r="B626" s="49"/>
      <c r="C626" s="49"/>
      <c r="D626" s="49"/>
      <c r="E626" s="49"/>
    </row>
    <row r="627">
      <c r="A627" s="49"/>
      <c r="B627" s="49"/>
      <c r="C627" s="49"/>
      <c r="D627" s="49"/>
      <c r="E627" s="49"/>
    </row>
    <row r="628">
      <c r="A628" s="49"/>
      <c r="B628" s="49"/>
      <c r="C628" s="49"/>
      <c r="D628" s="49"/>
      <c r="E628" s="49"/>
    </row>
    <row r="629">
      <c r="A629" s="49"/>
      <c r="B629" s="49"/>
      <c r="C629" s="49"/>
      <c r="D629" s="49"/>
      <c r="E629" s="49"/>
    </row>
    <row r="630">
      <c r="A630" s="49"/>
      <c r="B630" s="49"/>
      <c r="C630" s="49"/>
      <c r="D630" s="49"/>
      <c r="E630" s="49"/>
    </row>
    <row r="631">
      <c r="A631" s="49"/>
      <c r="B631" s="49"/>
      <c r="C631" s="49"/>
      <c r="D631" s="49"/>
      <c r="E631" s="49"/>
    </row>
    <row r="632">
      <c r="A632" s="49"/>
      <c r="B632" s="49"/>
      <c r="C632" s="49"/>
      <c r="D632" s="49"/>
      <c r="E632" s="49"/>
    </row>
    <row r="633">
      <c r="A633" s="49"/>
      <c r="B633" s="49"/>
      <c r="C633" s="49"/>
      <c r="D633" s="49"/>
      <c r="E633" s="49"/>
    </row>
    <row r="634">
      <c r="A634" s="49"/>
      <c r="B634" s="49"/>
      <c r="C634" s="49"/>
      <c r="D634" s="49"/>
      <c r="E634" s="49"/>
    </row>
    <row r="635">
      <c r="A635" s="49"/>
      <c r="B635" s="49"/>
      <c r="C635" s="49"/>
      <c r="D635" s="49"/>
      <c r="E635" s="49"/>
    </row>
    <row r="636">
      <c r="A636" s="49"/>
      <c r="B636" s="49"/>
      <c r="C636" s="49"/>
      <c r="D636" s="49"/>
      <c r="E636" s="49"/>
    </row>
    <row r="637">
      <c r="A637" s="49"/>
      <c r="B637" s="49"/>
      <c r="C637" s="49"/>
      <c r="D637" s="49"/>
      <c r="E637" s="49"/>
    </row>
    <row r="638">
      <c r="A638" s="49"/>
      <c r="B638" s="49"/>
      <c r="C638" s="49"/>
      <c r="D638" s="49"/>
      <c r="E638" s="49"/>
    </row>
    <row r="639">
      <c r="A639" s="49"/>
      <c r="B639" s="49"/>
      <c r="C639" s="49"/>
      <c r="D639" s="49"/>
      <c r="E639" s="49"/>
    </row>
    <row r="640">
      <c r="A640" s="49"/>
      <c r="B640" s="49"/>
      <c r="C640" s="49"/>
      <c r="D640" s="49"/>
      <c r="E640" s="49"/>
    </row>
    <row r="641">
      <c r="A641" s="49"/>
      <c r="B641" s="49"/>
      <c r="C641" s="49"/>
      <c r="D641" s="49"/>
      <c r="E641" s="49"/>
    </row>
    <row r="642">
      <c r="A642" s="49"/>
      <c r="B642" s="49"/>
      <c r="C642" s="49"/>
      <c r="D642" s="49"/>
      <c r="E642" s="49"/>
    </row>
    <row r="643">
      <c r="A643" s="49"/>
      <c r="B643" s="49"/>
      <c r="C643" s="49"/>
      <c r="D643" s="49"/>
      <c r="E643" s="49"/>
    </row>
    <row r="644">
      <c r="A644" s="49"/>
      <c r="B644" s="49"/>
      <c r="C644" s="49"/>
      <c r="D644" s="49"/>
      <c r="E644" s="49"/>
    </row>
    <row r="645">
      <c r="A645" s="49"/>
      <c r="B645" s="49"/>
      <c r="C645" s="49"/>
      <c r="D645" s="49"/>
      <c r="E645" s="49"/>
    </row>
    <row r="646">
      <c r="A646" s="49"/>
      <c r="B646" s="49"/>
      <c r="C646" s="49"/>
      <c r="D646" s="49"/>
      <c r="E646" s="49"/>
    </row>
    <row r="647">
      <c r="A647" s="49"/>
      <c r="B647" s="49"/>
      <c r="C647" s="49"/>
      <c r="D647" s="49"/>
      <c r="E647" s="49"/>
    </row>
    <row r="648">
      <c r="A648" s="49"/>
      <c r="B648" s="49"/>
      <c r="C648" s="49"/>
      <c r="D648" s="49"/>
      <c r="E648" s="49"/>
    </row>
    <row r="649">
      <c r="A649" s="49"/>
      <c r="B649" s="49"/>
      <c r="C649" s="49"/>
      <c r="D649" s="49"/>
      <c r="E649" s="49"/>
    </row>
    <row r="650">
      <c r="A650" s="49"/>
      <c r="B650" s="49"/>
      <c r="C650" s="49"/>
      <c r="D650" s="49"/>
      <c r="E650" s="49"/>
    </row>
    <row r="651">
      <c r="A651" s="49"/>
      <c r="B651" s="49"/>
      <c r="C651" s="49"/>
      <c r="D651" s="49"/>
      <c r="E651" s="49"/>
    </row>
    <row r="652">
      <c r="A652" s="49"/>
      <c r="B652" s="49"/>
      <c r="C652" s="49"/>
      <c r="D652" s="49"/>
      <c r="E652" s="49"/>
    </row>
    <row r="653">
      <c r="A653" s="49"/>
      <c r="B653" s="49"/>
      <c r="C653" s="49"/>
      <c r="D653" s="49"/>
      <c r="E653" s="49"/>
    </row>
    <row r="654">
      <c r="A654" s="49"/>
      <c r="B654" s="49"/>
      <c r="C654" s="49"/>
      <c r="D654" s="49"/>
      <c r="E654" s="49"/>
    </row>
    <row r="655">
      <c r="A655" s="49"/>
      <c r="B655" s="49"/>
      <c r="C655" s="49"/>
      <c r="D655" s="49"/>
      <c r="E655" s="49"/>
    </row>
    <row r="656">
      <c r="A656" s="49"/>
      <c r="B656" s="49"/>
      <c r="C656" s="49"/>
      <c r="D656" s="49"/>
      <c r="E656" s="49"/>
    </row>
    <row r="657">
      <c r="A657" s="49"/>
      <c r="B657" s="49"/>
      <c r="C657" s="49"/>
      <c r="D657" s="49"/>
      <c r="E657" s="49"/>
    </row>
    <row r="658">
      <c r="A658" s="49"/>
      <c r="B658" s="49"/>
      <c r="C658" s="49"/>
      <c r="D658" s="49"/>
      <c r="E658" s="49"/>
    </row>
    <row r="659">
      <c r="A659" s="49"/>
      <c r="B659" s="49"/>
      <c r="C659" s="49"/>
      <c r="D659" s="49"/>
      <c r="E659" s="49"/>
    </row>
    <row r="660">
      <c r="A660" s="49"/>
      <c r="B660" s="49"/>
      <c r="C660" s="49"/>
      <c r="D660" s="49"/>
      <c r="E660" s="49"/>
    </row>
    <row r="661">
      <c r="A661" s="49"/>
      <c r="B661" s="49"/>
      <c r="C661" s="49"/>
      <c r="D661" s="49"/>
      <c r="E661" s="49"/>
    </row>
    <row r="662">
      <c r="A662" s="49"/>
      <c r="B662" s="49"/>
      <c r="C662" s="49"/>
      <c r="D662" s="49"/>
      <c r="E662" s="49"/>
    </row>
    <row r="663">
      <c r="A663" s="49"/>
      <c r="B663" s="49"/>
      <c r="C663" s="49"/>
      <c r="D663" s="49"/>
      <c r="E663" s="49"/>
    </row>
    <row r="664">
      <c r="A664" s="49"/>
      <c r="B664" s="49"/>
      <c r="C664" s="49"/>
      <c r="D664" s="49"/>
      <c r="E664" s="49"/>
    </row>
    <row r="665">
      <c r="A665" s="49"/>
      <c r="B665" s="49"/>
      <c r="C665" s="49"/>
      <c r="D665" s="49"/>
      <c r="E665" s="49"/>
    </row>
    <row r="666">
      <c r="A666" s="49"/>
      <c r="B666" s="49"/>
      <c r="C666" s="49"/>
      <c r="D666" s="49"/>
      <c r="E666" s="49"/>
    </row>
    <row r="667">
      <c r="A667" s="49"/>
      <c r="B667" s="49"/>
      <c r="C667" s="49"/>
      <c r="D667" s="49"/>
      <c r="E667" s="49"/>
    </row>
    <row r="668">
      <c r="A668" s="49"/>
      <c r="B668" s="49"/>
      <c r="C668" s="49"/>
      <c r="D668" s="49"/>
      <c r="E668" s="49"/>
    </row>
    <row r="669">
      <c r="A669" s="49"/>
      <c r="B669" s="49"/>
      <c r="C669" s="49"/>
      <c r="D669" s="49"/>
      <c r="E669" s="49"/>
    </row>
    <row r="670">
      <c r="A670" s="49"/>
      <c r="B670" s="49"/>
      <c r="C670" s="49"/>
      <c r="D670" s="49"/>
      <c r="E670" s="49"/>
    </row>
    <row r="671">
      <c r="A671" s="49"/>
      <c r="B671" s="49"/>
      <c r="C671" s="49"/>
      <c r="D671" s="49"/>
      <c r="E671" s="49"/>
    </row>
    <row r="672">
      <c r="A672" s="49"/>
      <c r="B672" s="49"/>
      <c r="C672" s="49"/>
      <c r="D672" s="49"/>
      <c r="E672" s="49"/>
    </row>
    <row r="673">
      <c r="A673" s="49"/>
      <c r="B673" s="49"/>
      <c r="C673" s="49"/>
      <c r="D673" s="49"/>
      <c r="E673" s="49"/>
    </row>
    <row r="674">
      <c r="A674" s="49"/>
      <c r="B674" s="49"/>
      <c r="C674" s="49"/>
      <c r="D674" s="49"/>
      <c r="E674" s="49"/>
    </row>
    <row r="675">
      <c r="A675" s="49"/>
      <c r="B675" s="49"/>
      <c r="C675" s="49"/>
      <c r="D675" s="49"/>
      <c r="E675" s="49"/>
    </row>
    <row r="676">
      <c r="A676" s="49"/>
      <c r="B676" s="49"/>
      <c r="C676" s="49"/>
      <c r="D676" s="49"/>
      <c r="E676" s="49"/>
    </row>
    <row r="677">
      <c r="A677" s="49"/>
      <c r="B677" s="49"/>
      <c r="C677" s="49"/>
      <c r="D677" s="49"/>
      <c r="E677" s="49"/>
    </row>
    <row r="678">
      <c r="A678" s="49"/>
      <c r="B678" s="49"/>
      <c r="C678" s="49"/>
      <c r="D678" s="49"/>
      <c r="E678" s="49"/>
    </row>
    <row r="679">
      <c r="A679" s="49"/>
      <c r="B679" s="49"/>
      <c r="C679" s="49"/>
      <c r="D679" s="49"/>
      <c r="E679" s="49"/>
    </row>
    <row r="680">
      <c r="A680" s="49"/>
      <c r="B680" s="49"/>
      <c r="C680" s="49"/>
      <c r="D680" s="49"/>
      <c r="E680" s="49"/>
    </row>
    <row r="681">
      <c r="A681" s="49"/>
      <c r="B681" s="49"/>
      <c r="C681" s="49"/>
      <c r="D681" s="49"/>
      <c r="E681" s="49"/>
    </row>
    <row r="682">
      <c r="A682" s="49"/>
      <c r="B682" s="49"/>
      <c r="C682" s="49"/>
      <c r="D682" s="49"/>
      <c r="E682" s="49"/>
    </row>
    <row r="683">
      <c r="A683" s="49"/>
      <c r="B683" s="49"/>
      <c r="C683" s="49"/>
      <c r="D683" s="49"/>
      <c r="E683" s="49"/>
    </row>
    <row r="684">
      <c r="A684" s="49"/>
      <c r="B684" s="49"/>
      <c r="C684" s="49"/>
      <c r="D684" s="49"/>
      <c r="E684" s="49"/>
    </row>
    <row r="685">
      <c r="A685" s="49"/>
      <c r="B685" s="49"/>
      <c r="C685" s="49"/>
      <c r="D685" s="49"/>
      <c r="E685" s="49"/>
    </row>
    <row r="686">
      <c r="A686" s="49"/>
      <c r="B686" s="49"/>
      <c r="C686" s="49"/>
      <c r="D686" s="49"/>
      <c r="E686" s="49"/>
    </row>
    <row r="687">
      <c r="A687" s="49"/>
      <c r="B687" s="49"/>
      <c r="C687" s="49"/>
      <c r="D687" s="49"/>
      <c r="E687" s="49"/>
    </row>
    <row r="688">
      <c r="A688" s="49"/>
      <c r="B688" s="49"/>
      <c r="C688" s="49"/>
      <c r="D688" s="49"/>
      <c r="E688" s="49"/>
    </row>
    <row r="689">
      <c r="A689" s="49"/>
      <c r="B689" s="49"/>
      <c r="C689" s="49"/>
      <c r="D689" s="49"/>
      <c r="E689" s="49"/>
    </row>
    <row r="690">
      <c r="A690" s="49"/>
      <c r="B690" s="49"/>
      <c r="C690" s="49"/>
      <c r="D690" s="49"/>
      <c r="E690" s="49"/>
    </row>
    <row r="691">
      <c r="A691" s="49"/>
      <c r="B691" s="49"/>
      <c r="C691" s="49"/>
      <c r="D691" s="49"/>
      <c r="E691" s="49"/>
    </row>
    <row r="692">
      <c r="A692" s="49"/>
      <c r="B692" s="49"/>
      <c r="C692" s="49"/>
      <c r="D692" s="49"/>
      <c r="E692" s="49"/>
    </row>
    <row r="693">
      <c r="A693" s="49"/>
      <c r="B693" s="49"/>
      <c r="C693" s="49"/>
      <c r="D693" s="49"/>
      <c r="E693" s="49"/>
    </row>
    <row r="694">
      <c r="A694" s="49"/>
      <c r="B694" s="49"/>
      <c r="C694" s="49"/>
      <c r="D694" s="49"/>
      <c r="E694" s="49"/>
    </row>
    <row r="695">
      <c r="A695" s="49"/>
      <c r="B695" s="49"/>
      <c r="C695" s="49"/>
      <c r="D695" s="49"/>
      <c r="E695" s="49"/>
    </row>
    <row r="696">
      <c r="A696" s="49"/>
      <c r="B696" s="49"/>
      <c r="C696" s="49"/>
      <c r="D696" s="49"/>
      <c r="E696" s="49"/>
    </row>
    <row r="697">
      <c r="A697" s="49"/>
      <c r="B697" s="49"/>
      <c r="C697" s="49"/>
      <c r="D697" s="49"/>
      <c r="E697" s="49"/>
    </row>
    <row r="698">
      <c r="A698" s="49"/>
      <c r="B698" s="49"/>
      <c r="C698" s="49"/>
      <c r="D698" s="49"/>
      <c r="E698" s="49"/>
    </row>
    <row r="699">
      <c r="A699" s="49"/>
      <c r="B699" s="49"/>
      <c r="C699" s="49"/>
      <c r="D699" s="49"/>
      <c r="E699" s="49"/>
    </row>
    <row r="700">
      <c r="A700" s="49"/>
      <c r="B700" s="49"/>
      <c r="C700" s="49"/>
      <c r="D700" s="49"/>
      <c r="E700" s="49"/>
    </row>
    <row r="701">
      <c r="A701" s="49"/>
      <c r="B701" s="49"/>
      <c r="C701" s="49"/>
      <c r="D701" s="49"/>
      <c r="E701" s="49"/>
    </row>
    <row r="702">
      <c r="A702" s="49"/>
      <c r="B702" s="49"/>
      <c r="C702" s="49"/>
      <c r="D702" s="49"/>
      <c r="E702" s="49"/>
    </row>
    <row r="703">
      <c r="A703" s="49"/>
      <c r="B703" s="49"/>
      <c r="C703" s="49"/>
      <c r="D703" s="49"/>
      <c r="E703" s="49"/>
    </row>
    <row r="704">
      <c r="A704" s="49"/>
      <c r="B704" s="49"/>
      <c r="C704" s="49"/>
      <c r="D704" s="49"/>
      <c r="E704" s="49"/>
    </row>
    <row r="705">
      <c r="A705" s="49"/>
      <c r="B705" s="49"/>
      <c r="C705" s="49"/>
      <c r="D705" s="49"/>
      <c r="E705" s="49"/>
    </row>
    <row r="706">
      <c r="A706" s="49"/>
      <c r="B706" s="49"/>
      <c r="C706" s="49"/>
      <c r="D706" s="49"/>
      <c r="E706" s="49"/>
    </row>
    <row r="707">
      <c r="A707" s="49"/>
      <c r="B707" s="49"/>
      <c r="C707" s="49"/>
      <c r="D707" s="49"/>
      <c r="E707" s="49"/>
    </row>
    <row r="708">
      <c r="A708" s="49"/>
      <c r="B708" s="49"/>
      <c r="C708" s="49"/>
      <c r="D708" s="49"/>
      <c r="E708" s="49"/>
    </row>
    <row r="709">
      <c r="A709" s="49"/>
      <c r="B709" s="49"/>
      <c r="C709" s="49"/>
      <c r="D709" s="49"/>
      <c r="E709" s="49"/>
    </row>
    <row r="710">
      <c r="A710" s="49"/>
      <c r="B710" s="49"/>
      <c r="C710" s="49"/>
      <c r="D710" s="49"/>
      <c r="E710" s="49"/>
    </row>
    <row r="711">
      <c r="A711" s="49"/>
      <c r="B711" s="49"/>
      <c r="C711" s="49"/>
      <c r="D711" s="49"/>
      <c r="E711" s="49"/>
    </row>
    <row r="712">
      <c r="A712" s="49"/>
      <c r="B712" s="49"/>
      <c r="C712" s="49"/>
      <c r="D712" s="49"/>
      <c r="E712" s="49"/>
    </row>
    <row r="713">
      <c r="A713" s="49"/>
      <c r="B713" s="49"/>
      <c r="C713" s="49"/>
      <c r="D713" s="49"/>
      <c r="E713" s="49"/>
    </row>
    <row r="714">
      <c r="A714" s="49"/>
      <c r="B714" s="49"/>
      <c r="C714" s="49"/>
      <c r="D714" s="49"/>
      <c r="E714" s="49"/>
    </row>
    <row r="715">
      <c r="A715" s="49"/>
      <c r="B715" s="49"/>
      <c r="C715" s="49"/>
      <c r="D715" s="49"/>
      <c r="E715" s="49"/>
    </row>
    <row r="716">
      <c r="A716" s="49"/>
      <c r="B716" s="49"/>
      <c r="C716" s="49"/>
      <c r="D716" s="49"/>
      <c r="E716" s="49"/>
    </row>
    <row r="717">
      <c r="A717" s="49"/>
      <c r="B717" s="49"/>
      <c r="C717" s="49"/>
      <c r="D717" s="49"/>
      <c r="E717" s="49"/>
    </row>
    <row r="718">
      <c r="A718" s="49"/>
      <c r="B718" s="49"/>
      <c r="C718" s="49"/>
      <c r="D718" s="49"/>
      <c r="E718" s="49"/>
    </row>
    <row r="719">
      <c r="A719" s="49"/>
      <c r="B719" s="49"/>
      <c r="C719" s="49"/>
      <c r="D719" s="49"/>
      <c r="E719" s="49"/>
    </row>
    <row r="720">
      <c r="A720" s="49"/>
      <c r="B720" s="49"/>
      <c r="C720" s="49"/>
      <c r="D720" s="49"/>
      <c r="E720" s="49"/>
    </row>
    <row r="721">
      <c r="A721" s="49"/>
      <c r="B721" s="49"/>
      <c r="C721" s="49"/>
      <c r="D721" s="49"/>
      <c r="E721" s="49"/>
    </row>
    <row r="722">
      <c r="A722" s="49"/>
      <c r="B722" s="49"/>
      <c r="C722" s="49"/>
      <c r="D722" s="49"/>
      <c r="E722" s="49"/>
    </row>
    <row r="723">
      <c r="A723" s="49"/>
      <c r="B723" s="49"/>
      <c r="C723" s="49"/>
      <c r="D723" s="49"/>
      <c r="E723" s="49"/>
    </row>
    <row r="724">
      <c r="A724" s="49"/>
      <c r="B724" s="49"/>
      <c r="C724" s="49"/>
      <c r="D724" s="49"/>
      <c r="E724" s="49"/>
    </row>
    <row r="725">
      <c r="A725" s="49"/>
      <c r="B725" s="49"/>
      <c r="C725" s="49"/>
      <c r="D725" s="49"/>
      <c r="E725" s="49"/>
    </row>
    <row r="726">
      <c r="A726" s="49"/>
      <c r="B726" s="49"/>
      <c r="C726" s="49"/>
      <c r="D726" s="49"/>
      <c r="E726" s="49"/>
    </row>
    <row r="727">
      <c r="A727" s="49"/>
      <c r="B727" s="49"/>
      <c r="C727" s="49"/>
      <c r="D727" s="49"/>
      <c r="E727" s="49"/>
    </row>
    <row r="728">
      <c r="A728" s="49"/>
      <c r="B728" s="49"/>
      <c r="C728" s="49"/>
      <c r="D728" s="49"/>
      <c r="E728" s="49"/>
    </row>
    <row r="729">
      <c r="A729" s="49"/>
      <c r="B729" s="49"/>
      <c r="C729" s="49"/>
      <c r="D729" s="49"/>
      <c r="E729" s="49"/>
    </row>
    <row r="730">
      <c r="A730" s="49"/>
      <c r="B730" s="49"/>
      <c r="C730" s="49"/>
      <c r="D730" s="49"/>
      <c r="E730" s="49"/>
    </row>
    <row r="731">
      <c r="A731" s="49"/>
      <c r="B731" s="49"/>
      <c r="C731" s="49"/>
      <c r="D731" s="49"/>
      <c r="E731" s="49"/>
    </row>
    <row r="732">
      <c r="A732" s="49"/>
      <c r="B732" s="49"/>
      <c r="C732" s="49"/>
      <c r="D732" s="49"/>
      <c r="E732" s="49"/>
    </row>
    <row r="733">
      <c r="A733" s="49"/>
      <c r="B733" s="49"/>
      <c r="C733" s="49"/>
      <c r="D733" s="49"/>
      <c r="E733" s="49"/>
    </row>
    <row r="734">
      <c r="A734" s="49"/>
      <c r="B734" s="49"/>
      <c r="C734" s="49"/>
      <c r="D734" s="49"/>
      <c r="E734" s="49"/>
    </row>
    <row r="735">
      <c r="A735" s="49"/>
      <c r="B735" s="49"/>
      <c r="C735" s="49"/>
      <c r="D735" s="49"/>
      <c r="E735" s="49"/>
    </row>
    <row r="736">
      <c r="A736" s="49"/>
      <c r="B736" s="49"/>
      <c r="C736" s="49"/>
      <c r="D736" s="49"/>
      <c r="E736" s="49"/>
    </row>
    <row r="737">
      <c r="A737" s="49"/>
      <c r="B737" s="49"/>
      <c r="C737" s="49"/>
      <c r="D737" s="49"/>
      <c r="E737" s="49"/>
    </row>
    <row r="738">
      <c r="A738" s="49"/>
      <c r="B738" s="49"/>
      <c r="C738" s="49"/>
      <c r="D738" s="49"/>
      <c r="E738" s="49"/>
    </row>
    <row r="739">
      <c r="A739" s="49"/>
      <c r="B739" s="49"/>
      <c r="C739" s="49"/>
      <c r="D739" s="49"/>
      <c r="E739" s="49"/>
    </row>
    <row r="740">
      <c r="A740" s="49"/>
      <c r="B740" s="49"/>
      <c r="C740" s="49"/>
      <c r="D740" s="49"/>
      <c r="E740" s="49"/>
    </row>
    <row r="741">
      <c r="A741" s="49"/>
      <c r="B741" s="49"/>
      <c r="C741" s="49"/>
      <c r="D741" s="49"/>
      <c r="E741" s="49"/>
    </row>
    <row r="742">
      <c r="A742" s="49"/>
      <c r="B742" s="49"/>
      <c r="C742" s="49"/>
      <c r="D742" s="49"/>
      <c r="E742" s="49"/>
    </row>
    <row r="743">
      <c r="A743" s="49"/>
      <c r="B743" s="49"/>
      <c r="C743" s="49"/>
      <c r="D743" s="49"/>
      <c r="E743" s="49"/>
    </row>
    <row r="744">
      <c r="A744" s="49"/>
      <c r="B744" s="49"/>
      <c r="C744" s="49"/>
      <c r="D744" s="49"/>
      <c r="E744" s="49"/>
    </row>
    <row r="745">
      <c r="A745" s="49"/>
      <c r="B745" s="49"/>
      <c r="C745" s="49"/>
      <c r="D745" s="49"/>
      <c r="E745" s="49"/>
    </row>
    <row r="746">
      <c r="A746" s="49"/>
      <c r="B746" s="49"/>
      <c r="C746" s="49"/>
      <c r="D746" s="49"/>
      <c r="E746" s="49"/>
    </row>
    <row r="747">
      <c r="A747" s="49"/>
      <c r="B747" s="49"/>
      <c r="C747" s="49"/>
      <c r="D747" s="49"/>
      <c r="E747" s="49"/>
    </row>
    <row r="748">
      <c r="A748" s="49"/>
      <c r="B748" s="49"/>
      <c r="C748" s="49"/>
      <c r="D748" s="49"/>
      <c r="E748" s="49"/>
    </row>
    <row r="749">
      <c r="A749" s="49"/>
      <c r="B749" s="49"/>
      <c r="C749" s="49"/>
      <c r="D749" s="49"/>
      <c r="E749" s="49"/>
    </row>
    <row r="750">
      <c r="A750" s="49"/>
      <c r="B750" s="49"/>
      <c r="C750" s="49"/>
      <c r="D750" s="49"/>
      <c r="E750" s="49"/>
    </row>
    <row r="751">
      <c r="A751" s="49"/>
      <c r="B751" s="49"/>
      <c r="C751" s="49"/>
      <c r="D751" s="49"/>
      <c r="E751" s="49"/>
    </row>
    <row r="752">
      <c r="A752" s="49"/>
      <c r="B752" s="49"/>
      <c r="C752" s="49"/>
      <c r="D752" s="49"/>
      <c r="E752" s="49"/>
    </row>
    <row r="753">
      <c r="A753" s="49"/>
      <c r="B753" s="49"/>
      <c r="C753" s="49"/>
      <c r="D753" s="49"/>
      <c r="E753" s="49"/>
    </row>
    <row r="754">
      <c r="A754" s="49"/>
      <c r="B754" s="49"/>
      <c r="C754" s="49"/>
      <c r="D754" s="49"/>
      <c r="E754" s="49"/>
    </row>
    <row r="755">
      <c r="A755" s="49"/>
      <c r="B755" s="49"/>
      <c r="C755" s="49"/>
      <c r="D755" s="49"/>
      <c r="E755" s="49"/>
    </row>
    <row r="756">
      <c r="A756" s="49"/>
      <c r="B756" s="49"/>
      <c r="C756" s="49"/>
      <c r="D756" s="49"/>
      <c r="E756" s="49"/>
    </row>
    <row r="757">
      <c r="A757" s="49"/>
      <c r="B757" s="49"/>
      <c r="C757" s="49"/>
      <c r="D757" s="49"/>
      <c r="E757" s="49"/>
    </row>
    <row r="758">
      <c r="A758" s="49"/>
      <c r="B758" s="49"/>
      <c r="C758" s="49"/>
      <c r="D758" s="49"/>
      <c r="E758" s="49"/>
    </row>
    <row r="759">
      <c r="A759" s="49"/>
      <c r="B759" s="49"/>
      <c r="C759" s="49"/>
      <c r="D759" s="49"/>
      <c r="E759" s="49"/>
    </row>
    <row r="760">
      <c r="A760" s="49"/>
      <c r="B760" s="49"/>
      <c r="C760" s="49"/>
      <c r="D760" s="49"/>
      <c r="E760" s="49"/>
    </row>
    <row r="761">
      <c r="A761" s="49"/>
      <c r="B761" s="49"/>
      <c r="C761" s="49"/>
      <c r="D761" s="49"/>
      <c r="E761" s="49"/>
    </row>
    <row r="762">
      <c r="A762" s="49"/>
      <c r="B762" s="49"/>
      <c r="C762" s="49"/>
      <c r="D762" s="49"/>
      <c r="E762" s="49"/>
    </row>
    <row r="763">
      <c r="A763" s="49"/>
      <c r="B763" s="49"/>
      <c r="C763" s="49"/>
      <c r="D763" s="49"/>
      <c r="E763" s="49"/>
    </row>
    <row r="764">
      <c r="A764" s="49"/>
      <c r="B764" s="49"/>
      <c r="C764" s="49"/>
      <c r="D764" s="49"/>
      <c r="E764" s="49"/>
    </row>
    <row r="765">
      <c r="A765" s="49"/>
      <c r="B765" s="49"/>
      <c r="C765" s="49"/>
      <c r="D765" s="49"/>
      <c r="E765" s="49"/>
    </row>
    <row r="766">
      <c r="A766" s="49"/>
      <c r="B766" s="49"/>
      <c r="C766" s="49"/>
      <c r="D766" s="49"/>
      <c r="E766" s="49"/>
    </row>
    <row r="767">
      <c r="A767" s="49"/>
      <c r="B767" s="49"/>
      <c r="C767" s="49"/>
      <c r="D767" s="49"/>
      <c r="E767" s="49"/>
    </row>
    <row r="768">
      <c r="A768" s="49"/>
      <c r="B768" s="49"/>
      <c r="C768" s="49"/>
      <c r="D768" s="49"/>
      <c r="E768" s="49"/>
    </row>
    <row r="769">
      <c r="A769" s="49"/>
      <c r="B769" s="49"/>
      <c r="C769" s="49"/>
      <c r="D769" s="49"/>
      <c r="E769" s="49"/>
    </row>
    <row r="770">
      <c r="A770" s="49"/>
      <c r="B770" s="49"/>
      <c r="C770" s="49"/>
      <c r="D770" s="49"/>
      <c r="E770" s="49"/>
    </row>
    <row r="771">
      <c r="A771" s="49"/>
      <c r="B771" s="49"/>
      <c r="C771" s="49"/>
      <c r="D771" s="49"/>
      <c r="E771" s="49"/>
    </row>
    <row r="772">
      <c r="A772" s="49"/>
      <c r="B772" s="49"/>
      <c r="C772" s="49"/>
      <c r="D772" s="49"/>
      <c r="E772" s="49"/>
    </row>
    <row r="773">
      <c r="A773" s="49"/>
      <c r="B773" s="49"/>
      <c r="C773" s="49"/>
      <c r="D773" s="49"/>
      <c r="E773" s="49"/>
    </row>
    <row r="774">
      <c r="A774" s="49"/>
      <c r="B774" s="49"/>
      <c r="C774" s="49"/>
      <c r="D774" s="49"/>
      <c r="E774" s="49"/>
    </row>
    <row r="775">
      <c r="A775" s="49"/>
      <c r="B775" s="49"/>
      <c r="C775" s="49"/>
      <c r="D775" s="49"/>
      <c r="E775" s="49"/>
    </row>
    <row r="776">
      <c r="A776" s="49"/>
      <c r="B776" s="49"/>
      <c r="C776" s="49"/>
      <c r="D776" s="49"/>
      <c r="E776" s="49"/>
    </row>
    <row r="777">
      <c r="A777" s="49"/>
      <c r="B777" s="49"/>
      <c r="C777" s="49"/>
      <c r="D777" s="49"/>
      <c r="E777" s="49"/>
    </row>
    <row r="778">
      <c r="A778" s="49"/>
      <c r="B778" s="49"/>
      <c r="C778" s="49"/>
      <c r="D778" s="49"/>
      <c r="E778" s="49"/>
    </row>
    <row r="779">
      <c r="A779" s="49"/>
      <c r="B779" s="49"/>
      <c r="C779" s="49"/>
      <c r="D779" s="49"/>
      <c r="E779" s="49"/>
    </row>
    <row r="780">
      <c r="A780" s="49"/>
      <c r="B780" s="49"/>
      <c r="C780" s="49"/>
      <c r="D780" s="49"/>
      <c r="E780" s="49"/>
    </row>
    <row r="781">
      <c r="A781" s="49"/>
      <c r="B781" s="49"/>
      <c r="C781" s="49"/>
      <c r="D781" s="49"/>
      <c r="E781" s="49"/>
    </row>
    <row r="782">
      <c r="A782" s="49"/>
      <c r="B782" s="49"/>
      <c r="C782" s="49"/>
      <c r="D782" s="49"/>
      <c r="E782" s="49"/>
    </row>
    <row r="783">
      <c r="A783" s="49"/>
      <c r="B783" s="49"/>
      <c r="C783" s="49"/>
      <c r="D783" s="49"/>
      <c r="E783" s="49"/>
    </row>
    <row r="784">
      <c r="A784" s="49"/>
      <c r="B784" s="49"/>
      <c r="C784" s="49"/>
      <c r="D784" s="49"/>
      <c r="E784" s="49"/>
    </row>
    <row r="785">
      <c r="A785" s="49"/>
      <c r="B785" s="49"/>
      <c r="C785" s="49"/>
      <c r="D785" s="49"/>
      <c r="E785" s="49"/>
    </row>
    <row r="786">
      <c r="A786" s="49"/>
      <c r="B786" s="49"/>
      <c r="C786" s="49"/>
      <c r="D786" s="49"/>
      <c r="E786" s="49"/>
    </row>
    <row r="787">
      <c r="A787" s="49"/>
      <c r="B787" s="49"/>
      <c r="C787" s="49"/>
      <c r="D787" s="49"/>
      <c r="E787" s="49"/>
    </row>
    <row r="788">
      <c r="A788" s="49"/>
      <c r="B788" s="49"/>
      <c r="C788" s="49"/>
      <c r="D788" s="49"/>
      <c r="E788" s="49"/>
    </row>
    <row r="789">
      <c r="A789" s="49"/>
      <c r="B789" s="49"/>
      <c r="C789" s="49"/>
      <c r="D789" s="49"/>
      <c r="E789" s="49"/>
    </row>
    <row r="790">
      <c r="A790" s="49"/>
      <c r="B790" s="49"/>
      <c r="C790" s="49"/>
      <c r="D790" s="49"/>
      <c r="E790" s="49"/>
    </row>
    <row r="791">
      <c r="A791" s="49"/>
      <c r="B791" s="49"/>
      <c r="C791" s="49"/>
      <c r="D791" s="49"/>
      <c r="E791" s="49"/>
    </row>
    <row r="792">
      <c r="A792" s="49"/>
      <c r="B792" s="49"/>
      <c r="C792" s="49"/>
      <c r="D792" s="49"/>
      <c r="E792" s="49"/>
    </row>
    <row r="793">
      <c r="A793" s="49"/>
      <c r="B793" s="49"/>
      <c r="C793" s="49"/>
      <c r="D793" s="49"/>
      <c r="E793" s="49"/>
    </row>
    <row r="794">
      <c r="A794" s="49"/>
      <c r="B794" s="49"/>
      <c r="C794" s="49"/>
      <c r="D794" s="49"/>
      <c r="E794" s="49"/>
    </row>
    <row r="795">
      <c r="A795" s="49"/>
      <c r="B795" s="49"/>
      <c r="C795" s="49"/>
      <c r="D795" s="49"/>
      <c r="E795" s="49"/>
    </row>
    <row r="796">
      <c r="A796" s="49"/>
      <c r="B796" s="49"/>
      <c r="C796" s="49"/>
      <c r="D796" s="49"/>
      <c r="E796" s="49"/>
    </row>
    <row r="797">
      <c r="A797" s="49"/>
      <c r="B797" s="49"/>
      <c r="C797" s="49"/>
      <c r="D797" s="49"/>
      <c r="E797" s="49"/>
    </row>
    <row r="798">
      <c r="A798" s="49"/>
      <c r="B798" s="49"/>
      <c r="C798" s="49"/>
      <c r="D798" s="49"/>
      <c r="E798" s="49"/>
    </row>
    <row r="799">
      <c r="A799" s="49"/>
      <c r="B799" s="49"/>
      <c r="C799" s="49"/>
      <c r="D799" s="49"/>
      <c r="E799" s="49"/>
    </row>
    <row r="800">
      <c r="A800" s="49"/>
      <c r="B800" s="49"/>
      <c r="C800" s="49"/>
      <c r="D800" s="49"/>
      <c r="E800" s="49"/>
    </row>
    <row r="801">
      <c r="A801" s="49"/>
      <c r="B801" s="49"/>
      <c r="C801" s="49"/>
      <c r="D801" s="49"/>
      <c r="E801" s="49"/>
    </row>
    <row r="802">
      <c r="A802" s="49"/>
      <c r="B802" s="49"/>
      <c r="C802" s="49"/>
      <c r="D802" s="49"/>
      <c r="E802" s="49"/>
    </row>
    <row r="803">
      <c r="A803" s="49"/>
      <c r="B803" s="49"/>
      <c r="C803" s="49"/>
      <c r="D803" s="49"/>
      <c r="E803" s="49"/>
    </row>
    <row r="804">
      <c r="A804" s="49"/>
      <c r="B804" s="49"/>
      <c r="C804" s="49"/>
      <c r="D804" s="49"/>
      <c r="E804" s="49"/>
    </row>
    <row r="805">
      <c r="A805" s="49"/>
      <c r="B805" s="49"/>
      <c r="C805" s="49"/>
      <c r="D805" s="49"/>
      <c r="E805" s="49"/>
    </row>
    <row r="806">
      <c r="A806" s="49"/>
      <c r="B806" s="49"/>
      <c r="C806" s="49"/>
      <c r="D806" s="49"/>
      <c r="E806" s="49"/>
    </row>
    <row r="807">
      <c r="A807" s="49"/>
      <c r="B807" s="49"/>
      <c r="C807" s="49"/>
      <c r="D807" s="49"/>
      <c r="E807" s="49"/>
    </row>
    <row r="808">
      <c r="A808" s="49"/>
      <c r="B808" s="49"/>
      <c r="C808" s="49"/>
      <c r="D808" s="49"/>
      <c r="E808" s="49"/>
    </row>
    <row r="809">
      <c r="A809" s="49"/>
      <c r="B809" s="49"/>
      <c r="C809" s="49"/>
      <c r="D809" s="49"/>
      <c r="E809" s="49"/>
    </row>
    <row r="810">
      <c r="A810" s="49"/>
      <c r="B810" s="49"/>
      <c r="C810" s="49"/>
      <c r="D810" s="49"/>
      <c r="E810" s="49"/>
    </row>
    <row r="811">
      <c r="A811" s="49"/>
      <c r="B811" s="49"/>
      <c r="C811" s="49"/>
      <c r="D811" s="49"/>
      <c r="E811" s="49"/>
    </row>
    <row r="812">
      <c r="A812" s="49"/>
      <c r="B812" s="49"/>
      <c r="C812" s="49"/>
      <c r="D812" s="49"/>
      <c r="E812" s="49"/>
    </row>
    <row r="813">
      <c r="A813" s="49"/>
      <c r="B813" s="49"/>
      <c r="C813" s="49"/>
      <c r="D813" s="49"/>
      <c r="E813" s="49"/>
    </row>
    <row r="814">
      <c r="A814" s="49"/>
      <c r="B814" s="49"/>
      <c r="C814" s="49"/>
      <c r="D814" s="49"/>
      <c r="E814" s="49"/>
    </row>
    <row r="815">
      <c r="A815" s="49"/>
      <c r="B815" s="49"/>
      <c r="C815" s="49"/>
      <c r="D815" s="49"/>
      <c r="E815" s="49"/>
    </row>
    <row r="816">
      <c r="A816" s="49"/>
      <c r="B816" s="49"/>
      <c r="C816" s="49"/>
      <c r="D816" s="49"/>
      <c r="E816" s="49"/>
    </row>
    <row r="817">
      <c r="A817" s="49"/>
      <c r="B817" s="49"/>
      <c r="C817" s="49"/>
      <c r="D817" s="49"/>
      <c r="E817" s="49"/>
    </row>
    <row r="818">
      <c r="A818" s="49"/>
      <c r="B818" s="49"/>
      <c r="C818" s="49"/>
      <c r="D818" s="49"/>
      <c r="E818" s="49"/>
    </row>
    <row r="819">
      <c r="A819" s="49"/>
      <c r="B819" s="49"/>
      <c r="C819" s="49"/>
      <c r="D819" s="49"/>
      <c r="E819" s="49"/>
    </row>
    <row r="820">
      <c r="A820" s="49"/>
      <c r="B820" s="49"/>
      <c r="C820" s="49"/>
      <c r="D820" s="49"/>
      <c r="E820" s="49"/>
    </row>
    <row r="821">
      <c r="A821" s="49"/>
      <c r="B821" s="49"/>
      <c r="C821" s="49"/>
      <c r="D821" s="49"/>
      <c r="E821" s="49"/>
    </row>
    <row r="822">
      <c r="A822" s="49"/>
      <c r="B822" s="49"/>
      <c r="C822" s="49"/>
      <c r="D822" s="49"/>
      <c r="E822" s="49"/>
    </row>
    <row r="823">
      <c r="A823" s="49"/>
      <c r="B823" s="49"/>
      <c r="C823" s="49"/>
      <c r="D823" s="49"/>
      <c r="E823" s="49"/>
    </row>
    <row r="824">
      <c r="A824" s="49"/>
      <c r="B824" s="49"/>
      <c r="C824" s="49"/>
      <c r="D824" s="49"/>
      <c r="E824" s="49"/>
    </row>
    <row r="825">
      <c r="A825" s="49"/>
      <c r="B825" s="49"/>
      <c r="C825" s="49"/>
      <c r="D825" s="49"/>
      <c r="E825" s="49"/>
    </row>
    <row r="826">
      <c r="A826" s="49"/>
      <c r="B826" s="49"/>
      <c r="C826" s="49"/>
      <c r="D826" s="49"/>
      <c r="E826" s="49"/>
    </row>
    <row r="827">
      <c r="A827" s="49"/>
      <c r="B827" s="49"/>
      <c r="C827" s="49"/>
      <c r="D827" s="49"/>
      <c r="E827" s="49"/>
    </row>
    <row r="828">
      <c r="A828" s="49"/>
      <c r="B828" s="49"/>
      <c r="C828" s="49"/>
      <c r="D828" s="49"/>
      <c r="E828" s="49"/>
    </row>
    <row r="829">
      <c r="A829" s="49"/>
      <c r="B829" s="49"/>
      <c r="C829" s="49"/>
      <c r="D829" s="49"/>
      <c r="E829" s="49"/>
    </row>
    <row r="830">
      <c r="A830" s="49"/>
      <c r="B830" s="49"/>
      <c r="C830" s="49"/>
      <c r="D830" s="49"/>
      <c r="E830" s="49"/>
    </row>
    <row r="831">
      <c r="A831" s="49"/>
      <c r="B831" s="49"/>
      <c r="C831" s="49"/>
      <c r="D831" s="49"/>
      <c r="E831" s="49"/>
    </row>
    <row r="832">
      <c r="A832" s="49"/>
      <c r="B832" s="49"/>
      <c r="C832" s="49"/>
      <c r="D832" s="49"/>
      <c r="E832" s="49"/>
    </row>
    <row r="833">
      <c r="A833" s="49"/>
      <c r="B833" s="49"/>
      <c r="C833" s="49"/>
      <c r="D833" s="49"/>
      <c r="E833" s="49"/>
    </row>
    <row r="834">
      <c r="A834" s="49"/>
      <c r="B834" s="49"/>
      <c r="C834" s="49"/>
      <c r="D834" s="49"/>
      <c r="E834" s="49"/>
    </row>
    <row r="835">
      <c r="A835" s="49"/>
      <c r="B835" s="49"/>
      <c r="C835" s="49"/>
      <c r="D835" s="49"/>
      <c r="E835" s="49"/>
    </row>
    <row r="836">
      <c r="A836" s="49"/>
      <c r="B836" s="49"/>
      <c r="C836" s="49"/>
      <c r="D836" s="49"/>
      <c r="E836" s="49"/>
    </row>
    <row r="837">
      <c r="A837" s="49"/>
      <c r="B837" s="49"/>
      <c r="C837" s="49"/>
      <c r="D837" s="49"/>
      <c r="E837" s="49"/>
    </row>
    <row r="838">
      <c r="A838" s="49"/>
      <c r="B838" s="49"/>
      <c r="C838" s="49"/>
      <c r="D838" s="49"/>
      <c r="E838" s="49"/>
    </row>
    <row r="839">
      <c r="A839" s="49"/>
      <c r="B839" s="49"/>
      <c r="C839" s="49"/>
      <c r="D839" s="49"/>
      <c r="E839" s="49"/>
    </row>
    <row r="840">
      <c r="A840" s="49"/>
      <c r="B840" s="49"/>
      <c r="C840" s="49"/>
      <c r="D840" s="49"/>
      <c r="E840" s="49"/>
    </row>
    <row r="841">
      <c r="A841" s="49"/>
      <c r="B841" s="49"/>
      <c r="C841" s="49"/>
      <c r="D841" s="49"/>
      <c r="E841" s="49"/>
    </row>
    <row r="842">
      <c r="A842" s="49"/>
      <c r="B842" s="49"/>
      <c r="C842" s="49"/>
      <c r="D842" s="49"/>
      <c r="E842" s="49"/>
    </row>
    <row r="843">
      <c r="A843" s="49"/>
      <c r="B843" s="49"/>
      <c r="C843" s="49"/>
      <c r="D843" s="49"/>
      <c r="E843" s="49"/>
    </row>
    <row r="844">
      <c r="A844" s="49"/>
      <c r="B844" s="49"/>
      <c r="C844" s="49"/>
      <c r="D844" s="49"/>
      <c r="E844" s="49"/>
    </row>
    <row r="845">
      <c r="A845" s="49"/>
      <c r="B845" s="49"/>
      <c r="C845" s="49"/>
      <c r="D845" s="49"/>
      <c r="E845" s="49"/>
    </row>
    <row r="846">
      <c r="A846" s="49"/>
      <c r="B846" s="49"/>
      <c r="C846" s="49"/>
      <c r="D846" s="49"/>
      <c r="E846" s="49"/>
    </row>
    <row r="847">
      <c r="A847" s="49"/>
      <c r="B847" s="49"/>
      <c r="C847" s="49"/>
      <c r="D847" s="49"/>
      <c r="E847" s="49"/>
    </row>
    <row r="848">
      <c r="A848" s="49"/>
      <c r="B848" s="49"/>
      <c r="C848" s="49"/>
      <c r="D848" s="49"/>
      <c r="E848" s="49"/>
    </row>
    <row r="849">
      <c r="A849" s="49"/>
      <c r="B849" s="49"/>
      <c r="C849" s="49"/>
      <c r="D849" s="49"/>
      <c r="E849" s="49"/>
    </row>
    <row r="850">
      <c r="A850" s="49"/>
      <c r="B850" s="49"/>
      <c r="C850" s="49"/>
      <c r="D850" s="49"/>
      <c r="E850" s="49"/>
    </row>
    <row r="851">
      <c r="A851" s="49"/>
      <c r="B851" s="49"/>
      <c r="C851" s="49"/>
      <c r="D851" s="49"/>
      <c r="E851" s="49"/>
    </row>
    <row r="852">
      <c r="A852" s="49"/>
      <c r="B852" s="49"/>
      <c r="C852" s="49"/>
      <c r="D852" s="49"/>
      <c r="E852" s="49"/>
    </row>
    <row r="853">
      <c r="A853" s="49"/>
      <c r="B853" s="49"/>
      <c r="C853" s="49"/>
      <c r="D853" s="49"/>
      <c r="E853" s="49"/>
    </row>
    <row r="854">
      <c r="A854" s="49"/>
      <c r="B854" s="49"/>
      <c r="C854" s="49"/>
      <c r="D854" s="49"/>
      <c r="E854" s="49"/>
    </row>
    <row r="855">
      <c r="A855" s="49"/>
      <c r="B855" s="49"/>
      <c r="C855" s="49"/>
      <c r="D855" s="49"/>
      <c r="E855" s="49"/>
    </row>
    <row r="856">
      <c r="A856" s="49"/>
      <c r="B856" s="49"/>
      <c r="C856" s="49"/>
      <c r="D856" s="49"/>
      <c r="E856" s="49"/>
    </row>
    <row r="857">
      <c r="A857" s="49"/>
      <c r="B857" s="49"/>
      <c r="C857" s="49"/>
      <c r="D857" s="49"/>
      <c r="E857" s="49"/>
    </row>
    <row r="858">
      <c r="A858" s="49"/>
      <c r="B858" s="49"/>
      <c r="C858" s="49"/>
      <c r="D858" s="49"/>
      <c r="E858" s="49"/>
    </row>
    <row r="859">
      <c r="A859" s="49"/>
      <c r="B859" s="49"/>
      <c r="C859" s="49"/>
      <c r="D859" s="49"/>
      <c r="E859" s="49"/>
    </row>
    <row r="860">
      <c r="A860" s="49"/>
      <c r="B860" s="49"/>
      <c r="C860" s="49"/>
      <c r="D860" s="49"/>
      <c r="E860" s="49"/>
    </row>
    <row r="861">
      <c r="A861" s="49"/>
      <c r="B861" s="49"/>
      <c r="C861" s="49"/>
      <c r="D861" s="49"/>
      <c r="E861" s="49"/>
    </row>
    <row r="862">
      <c r="A862" s="49"/>
      <c r="B862" s="49"/>
      <c r="C862" s="49"/>
      <c r="D862" s="49"/>
      <c r="E862" s="49"/>
    </row>
    <row r="863">
      <c r="A863" s="49"/>
      <c r="B863" s="49"/>
      <c r="C863" s="49"/>
      <c r="D863" s="49"/>
      <c r="E863" s="49"/>
    </row>
    <row r="864">
      <c r="A864" s="49"/>
      <c r="B864" s="49"/>
      <c r="C864" s="49"/>
      <c r="D864" s="49"/>
      <c r="E864" s="49"/>
    </row>
    <row r="865">
      <c r="A865" s="49"/>
      <c r="B865" s="49"/>
      <c r="C865" s="49"/>
      <c r="D865" s="49"/>
      <c r="E865" s="49"/>
    </row>
    <row r="866">
      <c r="A866" s="49"/>
      <c r="B866" s="49"/>
      <c r="C866" s="49"/>
      <c r="D866" s="49"/>
      <c r="E866" s="49"/>
    </row>
    <row r="867">
      <c r="A867" s="49"/>
      <c r="B867" s="49"/>
      <c r="C867" s="49"/>
      <c r="D867" s="49"/>
      <c r="E867" s="49"/>
    </row>
    <row r="868">
      <c r="A868" s="49"/>
      <c r="B868" s="49"/>
      <c r="C868" s="49"/>
      <c r="D868" s="49"/>
      <c r="E868" s="49"/>
    </row>
    <row r="869">
      <c r="A869" s="49"/>
      <c r="B869" s="49"/>
      <c r="C869" s="49"/>
      <c r="D869" s="49"/>
      <c r="E869" s="49"/>
    </row>
    <row r="870">
      <c r="A870" s="49"/>
      <c r="B870" s="49"/>
      <c r="C870" s="49"/>
      <c r="D870" s="49"/>
      <c r="E870" s="49"/>
    </row>
    <row r="871">
      <c r="A871" s="49"/>
      <c r="B871" s="49"/>
      <c r="C871" s="49"/>
      <c r="D871" s="49"/>
      <c r="E871" s="49"/>
    </row>
    <row r="872">
      <c r="A872" s="49"/>
      <c r="B872" s="49"/>
      <c r="C872" s="49"/>
      <c r="D872" s="49"/>
      <c r="E872" s="49"/>
    </row>
    <row r="873">
      <c r="A873" s="49"/>
      <c r="B873" s="49"/>
      <c r="C873" s="49"/>
      <c r="D873" s="49"/>
      <c r="E873" s="49"/>
    </row>
    <row r="874">
      <c r="A874" s="49"/>
      <c r="B874" s="49"/>
      <c r="C874" s="49"/>
      <c r="D874" s="49"/>
      <c r="E874" s="49"/>
    </row>
    <row r="875">
      <c r="A875" s="49"/>
      <c r="B875" s="49"/>
      <c r="C875" s="49"/>
      <c r="D875" s="49"/>
      <c r="E875" s="49"/>
    </row>
    <row r="876">
      <c r="A876" s="49"/>
      <c r="B876" s="49"/>
      <c r="C876" s="49"/>
      <c r="D876" s="49"/>
      <c r="E876" s="49"/>
    </row>
    <row r="877">
      <c r="A877" s="49"/>
      <c r="B877" s="49"/>
      <c r="C877" s="49"/>
      <c r="D877" s="49"/>
      <c r="E877" s="49"/>
    </row>
    <row r="878">
      <c r="A878" s="49"/>
      <c r="B878" s="49"/>
      <c r="C878" s="49"/>
      <c r="D878" s="49"/>
      <c r="E878" s="49"/>
    </row>
    <row r="879">
      <c r="A879" s="49"/>
      <c r="B879" s="49"/>
      <c r="C879" s="49"/>
      <c r="D879" s="49"/>
      <c r="E879" s="49"/>
    </row>
    <row r="880">
      <c r="A880" s="49"/>
      <c r="B880" s="49"/>
      <c r="C880" s="49"/>
      <c r="D880" s="49"/>
      <c r="E880" s="49"/>
    </row>
    <row r="881">
      <c r="A881" s="49"/>
      <c r="B881" s="49"/>
      <c r="C881" s="49"/>
      <c r="D881" s="49"/>
      <c r="E881" s="49"/>
    </row>
    <row r="882">
      <c r="A882" s="49"/>
      <c r="B882" s="49"/>
      <c r="C882" s="49"/>
      <c r="D882" s="49"/>
      <c r="E882" s="49"/>
    </row>
    <row r="883">
      <c r="A883" s="49"/>
      <c r="B883" s="49"/>
      <c r="C883" s="49"/>
      <c r="D883" s="49"/>
      <c r="E883" s="49"/>
    </row>
    <row r="884">
      <c r="A884" s="49"/>
      <c r="B884" s="49"/>
      <c r="C884" s="49"/>
      <c r="D884" s="49"/>
      <c r="E884" s="49"/>
    </row>
    <row r="885">
      <c r="A885" s="49"/>
      <c r="B885" s="49"/>
      <c r="C885" s="49"/>
      <c r="D885" s="49"/>
      <c r="E885" s="49"/>
    </row>
    <row r="886">
      <c r="A886" s="49"/>
      <c r="B886" s="49"/>
      <c r="C886" s="49"/>
      <c r="D886" s="49"/>
      <c r="E886" s="49"/>
    </row>
    <row r="887">
      <c r="A887" s="49"/>
      <c r="B887" s="49"/>
      <c r="C887" s="49"/>
      <c r="D887" s="49"/>
      <c r="E887" s="49"/>
    </row>
    <row r="888">
      <c r="A888" s="49"/>
      <c r="B888" s="49"/>
      <c r="C888" s="49"/>
      <c r="D888" s="49"/>
      <c r="E888" s="49"/>
    </row>
    <row r="889">
      <c r="A889" s="49"/>
      <c r="B889" s="49"/>
      <c r="C889" s="49"/>
      <c r="D889" s="49"/>
      <c r="E889" s="49"/>
    </row>
    <row r="890">
      <c r="A890" s="49"/>
      <c r="B890" s="49"/>
      <c r="C890" s="49"/>
      <c r="D890" s="49"/>
      <c r="E890" s="49"/>
    </row>
    <row r="891">
      <c r="A891" s="49"/>
      <c r="B891" s="49"/>
      <c r="C891" s="49"/>
      <c r="D891" s="49"/>
      <c r="E891" s="49"/>
    </row>
    <row r="892">
      <c r="A892" s="49"/>
      <c r="B892" s="49"/>
      <c r="C892" s="49"/>
      <c r="D892" s="49"/>
      <c r="E892" s="49"/>
    </row>
    <row r="893">
      <c r="A893" s="49"/>
      <c r="B893" s="49"/>
      <c r="C893" s="49"/>
      <c r="D893" s="49"/>
      <c r="E893" s="49"/>
    </row>
    <row r="894">
      <c r="A894" s="49"/>
      <c r="B894" s="49"/>
      <c r="C894" s="49"/>
      <c r="D894" s="49"/>
      <c r="E894" s="49"/>
    </row>
    <row r="895">
      <c r="A895" s="49"/>
      <c r="B895" s="49"/>
      <c r="C895" s="49"/>
      <c r="D895" s="49"/>
      <c r="E895" s="49"/>
    </row>
    <row r="896">
      <c r="A896" s="49"/>
      <c r="B896" s="49"/>
      <c r="C896" s="49"/>
      <c r="D896" s="49"/>
      <c r="E896" s="49"/>
    </row>
    <row r="897">
      <c r="A897" s="49"/>
      <c r="B897" s="49"/>
      <c r="C897" s="49"/>
      <c r="D897" s="49"/>
      <c r="E897" s="49"/>
    </row>
    <row r="898">
      <c r="A898" s="49"/>
      <c r="B898" s="49"/>
      <c r="C898" s="49"/>
      <c r="D898" s="49"/>
      <c r="E898" s="49"/>
    </row>
    <row r="899">
      <c r="A899" s="49"/>
      <c r="B899" s="49"/>
      <c r="C899" s="49"/>
      <c r="D899" s="49"/>
      <c r="E899" s="49"/>
    </row>
    <row r="900">
      <c r="A900" s="49"/>
      <c r="B900" s="49"/>
      <c r="C900" s="49"/>
      <c r="D900" s="49"/>
      <c r="E900" s="49"/>
    </row>
    <row r="901">
      <c r="A901" s="49"/>
      <c r="B901" s="49"/>
      <c r="C901" s="49"/>
      <c r="D901" s="49"/>
      <c r="E901" s="49"/>
    </row>
    <row r="902">
      <c r="A902" s="49"/>
      <c r="B902" s="49"/>
      <c r="C902" s="49"/>
      <c r="D902" s="49"/>
      <c r="E902" s="49"/>
    </row>
    <row r="903">
      <c r="A903" s="49"/>
      <c r="B903" s="49"/>
      <c r="C903" s="49"/>
      <c r="D903" s="49"/>
      <c r="E903" s="49"/>
    </row>
    <row r="904">
      <c r="A904" s="49"/>
      <c r="B904" s="49"/>
      <c r="C904" s="49"/>
      <c r="D904" s="49"/>
      <c r="E904" s="49"/>
    </row>
    <row r="905">
      <c r="A905" s="49"/>
      <c r="B905" s="49"/>
      <c r="C905" s="49"/>
      <c r="D905" s="49"/>
      <c r="E905" s="49"/>
    </row>
    <row r="906">
      <c r="A906" s="49"/>
      <c r="B906" s="49"/>
      <c r="C906" s="49"/>
      <c r="D906" s="49"/>
      <c r="E906" s="49"/>
    </row>
    <row r="907">
      <c r="A907" s="49"/>
      <c r="B907" s="49"/>
      <c r="C907" s="49"/>
      <c r="D907" s="49"/>
      <c r="E907" s="49"/>
    </row>
    <row r="908">
      <c r="A908" s="49"/>
      <c r="B908" s="49"/>
      <c r="C908" s="49"/>
      <c r="D908" s="49"/>
      <c r="E908" s="49"/>
    </row>
    <row r="909">
      <c r="A909" s="49"/>
      <c r="B909" s="49"/>
      <c r="C909" s="49"/>
      <c r="D909" s="49"/>
      <c r="E909" s="49"/>
    </row>
    <row r="910">
      <c r="A910" s="49"/>
      <c r="B910" s="49"/>
      <c r="C910" s="49"/>
      <c r="D910" s="49"/>
      <c r="E910" s="49"/>
    </row>
    <row r="911">
      <c r="A911" s="49"/>
      <c r="B911" s="49"/>
      <c r="C911" s="49"/>
      <c r="D911" s="49"/>
      <c r="E911" s="49"/>
    </row>
    <row r="912">
      <c r="A912" s="49"/>
      <c r="B912" s="49"/>
      <c r="C912" s="49"/>
      <c r="D912" s="49"/>
      <c r="E912" s="49"/>
    </row>
    <row r="913">
      <c r="A913" s="49"/>
      <c r="B913" s="49"/>
      <c r="C913" s="49"/>
      <c r="D913" s="49"/>
      <c r="E913" s="49"/>
    </row>
    <row r="914">
      <c r="A914" s="49"/>
      <c r="B914" s="49"/>
      <c r="C914" s="49"/>
      <c r="D914" s="49"/>
      <c r="E914" s="49"/>
    </row>
    <row r="915">
      <c r="A915" s="49"/>
      <c r="B915" s="49"/>
      <c r="C915" s="49"/>
      <c r="D915" s="49"/>
      <c r="E915" s="49"/>
    </row>
    <row r="916">
      <c r="A916" s="49"/>
      <c r="B916" s="49"/>
      <c r="C916" s="49"/>
      <c r="D916" s="49"/>
      <c r="E916" s="49"/>
    </row>
    <row r="917">
      <c r="A917" s="49"/>
      <c r="B917" s="49"/>
      <c r="C917" s="49"/>
      <c r="D917" s="49"/>
      <c r="E917" s="49"/>
    </row>
    <row r="918">
      <c r="A918" s="49"/>
      <c r="B918" s="49"/>
      <c r="C918" s="49"/>
      <c r="D918" s="49"/>
      <c r="E918" s="49"/>
    </row>
    <row r="919">
      <c r="A919" s="49"/>
      <c r="B919" s="49"/>
      <c r="C919" s="49"/>
      <c r="D919" s="49"/>
      <c r="E919" s="49"/>
    </row>
    <row r="920">
      <c r="A920" s="49"/>
      <c r="B920" s="49"/>
      <c r="C920" s="49"/>
      <c r="D920" s="49"/>
      <c r="E920" s="49"/>
    </row>
    <row r="921">
      <c r="A921" s="49"/>
      <c r="B921" s="49"/>
      <c r="C921" s="49"/>
      <c r="D921" s="49"/>
      <c r="E921" s="49"/>
    </row>
    <row r="922">
      <c r="A922" s="49"/>
      <c r="B922" s="49"/>
      <c r="C922" s="49"/>
      <c r="D922" s="49"/>
      <c r="E922" s="49"/>
    </row>
    <row r="923">
      <c r="A923" s="49"/>
      <c r="B923" s="49"/>
      <c r="C923" s="49"/>
      <c r="D923" s="49"/>
      <c r="E923" s="49"/>
    </row>
    <row r="924">
      <c r="A924" s="49"/>
      <c r="B924" s="49"/>
      <c r="C924" s="49"/>
      <c r="D924" s="49"/>
      <c r="E924" s="49"/>
    </row>
    <row r="925">
      <c r="A925" s="49"/>
      <c r="B925" s="49"/>
      <c r="C925" s="49"/>
      <c r="D925" s="49"/>
      <c r="E925" s="49"/>
    </row>
    <row r="926">
      <c r="A926" s="49"/>
      <c r="B926" s="49"/>
      <c r="C926" s="49"/>
      <c r="D926" s="49"/>
      <c r="E926" s="49"/>
    </row>
    <row r="927">
      <c r="A927" s="49"/>
      <c r="B927" s="49"/>
      <c r="C927" s="49"/>
      <c r="D927" s="49"/>
      <c r="E927" s="49"/>
    </row>
    <row r="928">
      <c r="A928" s="49"/>
      <c r="B928" s="49"/>
      <c r="C928" s="49"/>
      <c r="D928" s="49"/>
      <c r="E928" s="49"/>
    </row>
    <row r="929">
      <c r="A929" s="49"/>
      <c r="B929" s="49"/>
      <c r="C929" s="49"/>
      <c r="D929" s="49"/>
      <c r="E929" s="49"/>
    </row>
    <row r="930">
      <c r="A930" s="49"/>
      <c r="B930" s="49"/>
      <c r="C930" s="49"/>
      <c r="D930" s="49"/>
      <c r="E930" s="49"/>
    </row>
    <row r="931">
      <c r="A931" s="49"/>
      <c r="B931" s="49"/>
      <c r="C931" s="49"/>
      <c r="D931" s="49"/>
      <c r="E931" s="49"/>
    </row>
    <row r="932">
      <c r="A932" s="49"/>
      <c r="B932" s="49"/>
      <c r="C932" s="49"/>
      <c r="D932" s="49"/>
      <c r="E932" s="49"/>
    </row>
    <row r="933">
      <c r="A933" s="49"/>
      <c r="B933" s="49"/>
      <c r="C933" s="49"/>
      <c r="D933" s="49"/>
      <c r="E933" s="49"/>
    </row>
    <row r="934">
      <c r="A934" s="49"/>
      <c r="B934" s="49"/>
      <c r="C934" s="49"/>
      <c r="D934" s="49"/>
      <c r="E934" s="49"/>
    </row>
    <row r="935">
      <c r="A935" s="49"/>
      <c r="B935" s="49"/>
      <c r="C935" s="49"/>
      <c r="D935" s="49"/>
      <c r="E935" s="49"/>
    </row>
    <row r="936">
      <c r="A936" s="49"/>
      <c r="B936" s="49"/>
      <c r="C936" s="49"/>
      <c r="D936" s="49"/>
      <c r="E936" s="49"/>
    </row>
    <row r="937">
      <c r="A937" s="49"/>
      <c r="B937" s="49"/>
      <c r="C937" s="49"/>
      <c r="D937" s="49"/>
      <c r="E937" s="49"/>
    </row>
    <row r="938">
      <c r="A938" s="49"/>
      <c r="B938" s="49"/>
      <c r="C938" s="49"/>
      <c r="D938" s="49"/>
      <c r="E938" s="49"/>
    </row>
    <row r="939">
      <c r="A939" s="49"/>
      <c r="B939" s="49"/>
      <c r="C939" s="49"/>
      <c r="D939" s="49"/>
      <c r="E939" s="49"/>
    </row>
    <row r="940">
      <c r="A940" s="49"/>
      <c r="B940" s="49"/>
      <c r="C940" s="49"/>
      <c r="D940" s="49"/>
      <c r="E940" s="49"/>
    </row>
    <row r="941">
      <c r="A941" s="49"/>
      <c r="B941" s="49"/>
      <c r="C941" s="49"/>
      <c r="D941" s="49"/>
      <c r="E941" s="49"/>
    </row>
    <row r="942">
      <c r="A942" s="49"/>
      <c r="B942" s="49"/>
      <c r="C942" s="49"/>
      <c r="D942" s="49"/>
      <c r="E942" s="49"/>
    </row>
    <row r="943">
      <c r="A943" s="49"/>
      <c r="B943" s="49"/>
      <c r="C943" s="49"/>
      <c r="D943" s="49"/>
      <c r="E943" s="49"/>
    </row>
    <row r="944">
      <c r="A944" s="49"/>
      <c r="B944" s="49"/>
      <c r="C944" s="49"/>
      <c r="D944" s="49"/>
      <c r="E944" s="49"/>
    </row>
    <row r="945">
      <c r="A945" s="49"/>
      <c r="B945" s="49"/>
      <c r="C945" s="49"/>
      <c r="D945" s="49"/>
      <c r="E945" s="49"/>
    </row>
    <row r="946">
      <c r="A946" s="49"/>
      <c r="B946" s="49"/>
      <c r="C946" s="49"/>
      <c r="D946" s="49"/>
      <c r="E946" s="49"/>
    </row>
    <row r="947">
      <c r="A947" s="49"/>
      <c r="B947" s="49"/>
      <c r="C947" s="49"/>
      <c r="D947" s="49"/>
      <c r="E947" s="49"/>
    </row>
    <row r="948">
      <c r="A948" s="49"/>
      <c r="B948" s="49"/>
      <c r="C948" s="49"/>
      <c r="D948" s="49"/>
      <c r="E948" s="49"/>
    </row>
    <row r="949">
      <c r="A949" s="49"/>
      <c r="B949" s="49"/>
      <c r="C949" s="49"/>
      <c r="D949" s="49"/>
      <c r="E949" s="49"/>
    </row>
    <row r="950">
      <c r="A950" s="49"/>
      <c r="B950" s="49"/>
      <c r="C950" s="49"/>
      <c r="D950" s="49"/>
      <c r="E950" s="49"/>
    </row>
    <row r="951">
      <c r="A951" s="49"/>
      <c r="B951" s="49"/>
      <c r="C951" s="49"/>
      <c r="D951" s="49"/>
      <c r="E951" s="49"/>
    </row>
    <row r="952">
      <c r="A952" s="49"/>
      <c r="B952" s="49"/>
      <c r="C952" s="49"/>
      <c r="D952" s="49"/>
      <c r="E952" s="49"/>
    </row>
    <row r="953">
      <c r="A953" s="49"/>
      <c r="B953" s="49"/>
      <c r="C953" s="49"/>
      <c r="D953" s="49"/>
      <c r="E953" s="49"/>
    </row>
    <row r="954">
      <c r="A954" s="49"/>
      <c r="B954" s="49"/>
      <c r="C954" s="49"/>
      <c r="D954" s="49"/>
      <c r="E954" s="49"/>
    </row>
    <row r="955">
      <c r="A955" s="49"/>
      <c r="B955" s="49"/>
      <c r="C955" s="49"/>
      <c r="D955" s="49"/>
      <c r="E955" s="49"/>
    </row>
    <row r="956">
      <c r="A956" s="49"/>
      <c r="B956" s="49"/>
      <c r="C956" s="49"/>
      <c r="D956" s="49"/>
      <c r="E956" s="49"/>
    </row>
    <row r="957">
      <c r="A957" s="49"/>
      <c r="B957" s="49"/>
      <c r="C957" s="49"/>
      <c r="D957" s="49"/>
      <c r="E957" s="49"/>
    </row>
    <row r="958">
      <c r="A958" s="49"/>
      <c r="B958" s="49"/>
      <c r="C958" s="49"/>
      <c r="D958" s="49"/>
      <c r="E958" s="49"/>
    </row>
    <row r="959">
      <c r="A959" s="49"/>
      <c r="B959" s="49"/>
      <c r="C959" s="49"/>
      <c r="D959" s="49"/>
      <c r="E959" s="49"/>
    </row>
    <row r="960">
      <c r="A960" s="49"/>
      <c r="B960" s="49"/>
      <c r="C960" s="49"/>
      <c r="D960" s="49"/>
      <c r="E960" s="49"/>
    </row>
    <row r="961">
      <c r="A961" s="49"/>
      <c r="B961" s="49"/>
      <c r="C961" s="49"/>
      <c r="D961" s="49"/>
      <c r="E961" s="49"/>
    </row>
    <row r="962">
      <c r="A962" s="49"/>
      <c r="B962" s="49"/>
      <c r="C962" s="49"/>
      <c r="D962" s="49"/>
      <c r="E962" s="49"/>
    </row>
    <row r="963">
      <c r="A963" s="49"/>
      <c r="B963" s="49"/>
      <c r="C963" s="49"/>
      <c r="D963" s="49"/>
      <c r="E963" s="49"/>
    </row>
    <row r="964">
      <c r="A964" s="49"/>
      <c r="B964" s="49"/>
      <c r="C964" s="49"/>
      <c r="D964" s="49"/>
      <c r="E964" s="49"/>
    </row>
    <row r="965">
      <c r="A965" s="49"/>
      <c r="B965" s="49"/>
      <c r="C965" s="49"/>
      <c r="D965" s="49"/>
      <c r="E965" s="49"/>
    </row>
    <row r="966">
      <c r="A966" s="49"/>
      <c r="B966" s="49"/>
      <c r="C966" s="49"/>
      <c r="D966" s="49"/>
      <c r="E966" s="49"/>
    </row>
    <row r="967">
      <c r="A967" s="49"/>
      <c r="B967" s="49"/>
      <c r="C967" s="49"/>
      <c r="D967" s="49"/>
      <c r="E967" s="49"/>
    </row>
    <row r="968">
      <c r="A968" s="49"/>
      <c r="B968" s="49"/>
      <c r="C968" s="49"/>
      <c r="D968" s="49"/>
      <c r="E968" s="49"/>
    </row>
    <row r="969">
      <c r="A969" s="49"/>
      <c r="B969" s="49"/>
      <c r="C969" s="49"/>
      <c r="D969" s="49"/>
      <c r="E969" s="49"/>
    </row>
    <row r="970">
      <c r="A970" s="49"/>
      <c r="B970" s="49"/>
      <c r="C970" s="49"/>
      <c r="D970" s="49"/>
      <c r="E970" s="49"/>
    </row>
    <row r="971">
      <c r="A971" s="49"/>
      <c r="B971" s="49"/>
      <c r="C971" s="49"/>
      <c r="D971" s="49"/>
      <c r="E971" s="49"/>
    </row>
    <row r="972">
      <c r="A972" s="49"/>
      <c r="B972" s="49"/>
      <c r="C972" s="49"/>
      <c r="D972" s="49"/>
      <c r="E972" s="49"/>
    </row>
    <row r="973">
      <c r="A973" s="49"/>
      <c r="B973" s="49"/>
      <c r="C973" s="49"/>
      <c r="D973" s="49"/>
      <c r="E973" s="49"/>
    </row>
    <row r="974">
      <c r="A974" s="49"/>
      <c r="B974" s="49"/>
      <c r="C974" s="49"/>
      <c r="D974" s="49"/>
      <c r="E974" s="49"/>
    </row>
    <row r="975">
      <c r="A975" s="49"/>
      <c r="B975" s="49"/>
      <c r="C975" s="49"/>
      <c r="D975" s="49"/>
      <c r="E975" s="49"/>
    </row>
    <row r="976">
      <c r="A976" s="49"/>
      <c r="B976" s="49"/>
      <c r="C976" s="49"/>
      <c r="D976" s="49"/>
      <c r="E976" s="49"/>
    </row>
    <row r="977">
      <c r="A977" s="49"/>
      <c r="B977" s="49"/>
      <c r="C977" s="49"/>
      <c r="D977" s="49"/>
      <c r="E977" s="49"/>
    </row>
    <row r="978">
      <c r="A978" s="49"/>
      <c r="B978" s="49"/>
      <c r="C978" s="49"/>
      <c r="D978" s="49"/>
      <c r="E978" s="49"/>
    </row>
    <row r="979">
      <c r="A979" s="49"/>
      <c r="B979" s="49"/>
      <c r="C979" s="49"/>
      <c r="D979" s="49"/>
      <c r="E979" s="49"/>
    </row>
    <row r="980">
      <c r="A980" s="49"/>
      <c r="B980" s="49"/>
      <c r="C980" s="49"/>
      <c r="D980" s="49"/>
      <c r="E980" s="49"/>
    </row>
    <row r="981">
      <c r="A981" s="49"/>
      <c r="B981" s="49"/>
      <c r="C981" s="49"/>
      <c r="D981" s="49"/>
      <c r="E981" s="49"/>
    </row>
    <row r="982">
      <c r="A982" s="49"/>
      <c r="B982" s="49"/>
      <c r="C982" s="49"/>
      <c r="D982" s="49"/>
      <c r="E982" s="49"/>
    </row>
    <row r="983">
      <c r="A983" s="49"/>
      <c r="B983" s="49"/>
      <c r="C983" s="49"/>
      <c r="D983" s="49"/>
      <c r="E983" s="49"/>
    </row>
    <row r="984">
      <c r="A984" s="49"/>
      <c r="B984" s="49"/>
      <c r="C984" s="49"/>
      <c r="D984" s="49"/>
      <c r="E984" s="49"/>
    </row>
    <row r="985">
      <c r="A985" s="49"/>
      <c r="B985" s="49"/>
      <c r="C985" s="49"/>
      <c r="D985" s="49"/>
      <c r="E985" s="49"/>
    </row>
    <row r="986">
      <c r="A986" s="49"/>
      <c r="B986" s="49"/>
      <c r="C986" s="49"/>
      <c r="D986" s="49"/>
      <c r="E986" s="49"/>
    </row>
    <row r="987">
      <c r="A987" s="49"/>
      <c r="B987" s="49"/>
      <c r="C987" s="49"/>
      <c r="D987" s="49"/>
      <c r="E987" s="49"/>
    </row>
    <row r="988">
      <c r="A988" s="49"/>
      <c r="B988" s="49"/>
      <c r="C988" s="49"/>
      <c r="D988" s="49"/>
      <c r="E988" s="49"/>
    </row>
    <row r="989">
      <c r="A989" s="49"/>
      <c r="B989" s="49"/>
      <c r="C989" s="49"/>
      <c r="D989" s="49"/>
      <c r="E989" s="49"/>
    </row>
    <row r="990">
      <c r="A990" s="49"/>
      <c r="B990" s="49"/>
      <c r="C990" s="49"/>
      <c r="D990" s="49"/>
      <c r="E990" s="49"/>
    </row>
    <row r="991">
      <c r="A991" s="49"/>
      <c r="B991" s="49"/>
      <c r="C991" s="49"/>
      <c r="D991" s="49"/>
      <c r="E991" s="49"/>
    </row>
    <row r="992">
      <c r="A992" s="49"/>
      <c r="B992" s="49"/>
      <c r="C992" s="49"/>
      <c r="D992" s="49"/>
      <c r="E992" s="49"/>
    </row>
    <row r="993">
      <c r="A993" s="49"/>
      <c r="B993" s="49"/>
      <c r="C993" s="49"/>
      <c r="D993" s="49"/>
      <c r="E993" s="49"/>
    </row>
    <row r="994">
      <c r="A994" s="49"/>
      <c r="B994" s="49"/>
      <c r="C994" s="49"/>
      <c r="D994" s="49"/>
      <c r="E994" s="49"/>
    </row>
    <row r="995">
      <c r="A995" s="49"/>
      <c r="B995" s="49"/>
      <c r="C995" s="49"/>
      <c r="D995" s="49"/>
      <c r="E995" s="49"/>
    </row>
    <row r="996">
      <c r="A996" s="49"/>
      <c r="B996" s="49"/>
      <c r="C996" s="49"/>
      <c r="D996" s="49"/>
      <c r="E996" s="49"/>
    </row>
    <row r="997">
      <c r="A997" s="49"/>
      <c r="B997" s="49"/>
      <c r="C997" s="49"/>
      <c r="D997" s="49"/>
      <c r="E997" s="49"/>
    </row>
    <row r="998">
      <c r="A998" s="49"/>
      <c r="B998" s="49"/>
      <c r="C998" s="49"/>
      <c r="D998" s="49"/>
      <c r="E998" s="49"/>
    </row>
    <row r="999">
      <c r="A999" s="49"/>
      <c r="B999" s="49"/>
      <c r="C999" s="49"/>
      <c r="D999" s="49"/>
      <c r="E999" s="49"/>
    </row>
    <row r="1000">
      <c r="A1000" s="49"/>
      <c r="B1000" s="49"/>
      <c r="C1000" s="49"/>
      <c r="D1000" s="49"/>
      <c r="E1000" s="49"/>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110.5"/>
    <col customWidth="1" min="3" max="3" width="21.5"/>
    <col customWidth="1" min="4" max="4" width="23.25"/>
    <col customWidth="1" min="5" max="5" width="37.88"/>
  </cols>
  <sheetData>
    <row r="1">
      <c r="A1" s="99" t="str">
        <f>IFERROR(__xludf.DUMMYFUNCTION("IMPORTRANGE(""https://docs.google.com/spreadsheets/d/""&amp;Config!B1,""Factions!A:AX"")"),"Faction")</f>
        <v>Faction</v>
      </c>
      <c r="B1" s="99" t="str">
        <f>IFERROR(__xludf.DUMMYFUNCTION("""COMPUTED_VALUE"""),"Faction Description")</f>
        <v>Faction Description</v>
      </c>
      <c r="C1" s="99" t="str">
        <f>IFERROR(__xludf.DUMMYFUNCTION("""COMPUTED_VALUE"""),"Faction Ability 1")</f>
        <v>Faction Ability 1</v>
      </c>
      <c r="D1" s="99" t="str">
        <f>IFERROR(__xludf.DUMMYFUNCTION("""COMPUTED_VALUE"""),"Ability Description 1")</f>
        <v>Ability Description 1</v>
      </c>
      <c r="E1" s="99" t="str">
        <f>IFERROR(__xludf.DUMMYFUNCTION("""COMPUTED_VALUE"""),"Faction Ability 2")</f>
        <v>Faction Ability 2</v>
      </c>
      <c r="F1" s="49" t="str">
        <f>IFERROR(__xludf.DUMMYFUNCTION("""COMPUTED_VALUE"""),"Ability Description 2")</f>
        <v>Ability Description 2</v>
      </c>
      <c r="G1" s="49" t="str">
        <f>IFERROR(__xludf.DUMMYFUNCTION("""COMPUTED_VALUE"""),"Faction Ability 3")</f>
        <v>Faction Ability 3</v>
      </c>
      <c r="H1" s="49" t="str">
        <f>IFERROR(__xludf.DUMMYFUNCTION("""COMPUTED_VALUE"""),"Ability Description 3")</f>
        <v>Ability Description 3</v>
      </c>
      <c r="I1" s="49" t="str">
        <f>IFERROR(__xludf.DUMMYFUNCTION("""COMPUTED_VALUE"""),"Lawful Good")</f>
        <v>Lawful Good</v>
      </c>
      <c r="J1" s="49" t="str">
        <f>IFERROR(__xludf.DUMMYFUNCTION("""COMPUTED_VALUE"""),"Neutral Good")</f>
        <v>Neutral Good</v>
      </c>
      <c r="K1" s="49" t="str">
        <f>IFERROR(__xludf.DUMMYFUNCTION("""COMPUTED_VALUE"""),"Chaotic Good")</f>
        <v>Chaotic Good</v>
      </c>
      <c r="L1" s="49" t="str">
        <f>IFERROR(__xludf.DUMMYFUNCTION("""COMPUTED_VALUE"""),"Lawful Neutral")</f>
        <v>Lawful Neutral</v>
      </c>
      <c r="M1" s="49" t="str">
        <f>IFERROR(__xludf.DUMMYFUNCTION("""COMPUTED_VALUE"""),"True Neutral")</f>
        <v>True Neutral</v>
      </c>
      <c r="N1" s="49" t="str">
        <f>IFERROR(__xludf.DUMMYFUNCTION("""COMPUTED_VALUE"""),"Chaotic Neutral")</f>
        <v>Chaotic Neutral</v>
      </c>
      <c r="O1" s="49" t="str">
        <f>IFERROR(__xludf.DUMMYFUNCTION("""COMPUTED_VALUE"""),"Lawful Evil")</f>
        <v>Lawful Evil</v>
      </c>
      <c r="P1" s="49" t="str">
        <f>IFERROR(__xludf.DUMMYFUNCTION("""COMPUTED_VALUE"""),"Neutral Evil")</f>
        <v>Neutral Evil</v>
      </c>
      <c r="Q1" s="49" t="str">
        <f>IFERROR(__xludf.DUMMYFUNCTION("""COMPUTED_VALUE"""),"Chaotic Evil")</f>
        <v>Chaotic Evil</v>
      </c>
      <c r="R1" s="49"/>
      <c r="S1" s="49"/>
      <c r="T1" s="49"/>
      <c r="U1" s="49"/>
      <c r="V1" s="49"/>
      <c r="W1" s="49"/>
      <c r="X1" s="49"/>
      <c r="Y1" s="49"/>
      <c r="Z1" s="49"/>
    </row>
    <row r="2">
      <c r="A2" s="121" t="str">
        <f>IFERROR(__xludf.DUMMYFUNCTION("""COMPUTED_VALUE"""),"The Heroes of Spira")</f>
        <v>The Heroes of Spira</v>
      </c>
      <c r="B2" s="122" t="str">
        <f>IFERROR(__xludf.DUMMYFUNCTION("""COMPUTED_VALUE"""),"The Heroes of Spira are a renowned and revered faction within The Land of Spira. Comprising a diverse group of individuals from different walks of life, they have united under a common cause: to protect the realm, its inhabitants, and its mystical treasur"&amp;"es from the sinister ambitions of Lord Dreadful and his malevolent forces.
These heroes are characterized by their unwavering dedication to justice, selflessness, and a deep-seated commitment to the betterment of their land. They have earned their reputa"&amp;"tion through countless acts of bravery and valor, often risking their lives to confront dangerous creatures, thwart nefarious plots, and safeguard the realm's most cherished relics.
The Heroes of Spira consist of a wide range of members, including warrio"&amp;"rs, mages, scholars, and adventurers. Each member brings a unique set of skills and knowledge to the faction, making them a formidable force against any threat. Their camaraderie and unity are the driving forces behind their continued success in facing th"&amp;"e challenges that plague The Land of Spira.
In times of crisis, the heroes come together to strategize, share intelligence, and embark on daring quests to uphold the values of honor and righteousness. They are the beacon of hope for the realm's citizens,"&amp;" symbolizing the potential for good even in the face of overwhelming darkness.")</f>
        <v>The Heroes of Spira are a renowned and revered faction within The Land of Spira. Comprising a diverse group of individuals from different walks of life, they have united under a common cause: to protect the realm, its inhabitants, and its mystical treasures from the sinister ambitions of Lord Dreadful and his malevolent forces.
These heroes are characterized by their unwavering dedication to justice, selflessness, and a deep-seated commitment to the betterment of their land. They have earned their reputation through countless acts of bravery and valor, often risking their lives to confront dangerous creatures, thwart nefarious plots, and safeguard the realm's most cherished relics.
The Heroes of Spira consist of a wide range of members, including warriors, mages, scholars, and adventurers. Each member brings a unique set of skills and knowledge to the faction, making them a formidable force against any threat. Their camaraderie and unity are the driving forces behind their continued success in facing the challenges that plague The Land of Spira.
In times of crisis, the heroes come together to strategize, share intelligence, and embark on daring quests to uphold the values of honor and righteousness. They are the beacon of hope for the realm's citizens, symbolizing the potential for good even in the face of overwhelming darkness.</v>
      </c>
      <c r="C2" s="121" t="str">
        <f>IFERROR(__xludf.DUMMYFUNCTION("""COMPUTED_VALUE"""),"Extra Treasure")</f>
        <v>Extra Treasure</v>
      </c>
      <c r="D2" s="123" t="str">
        <f>IFERROR(__xludf.DUMMYFUNCTION("""COMPUTED_VALUE"""),"When rolling for loot Double what you get from your first roll for Mob loot.")</f>
        <v>When rolling for loot Double what you get from your first roll for Mob loot.</v>
      </c>
      <c r="E2" s="123" t="str">
        <f>IFERROR(__xludf.DUMMYFUNCTION("""COMPUTED_VALUE"""),"Hidden Treasure")</f>
        <v>Hidden Treasure</v>
      </c>
      <c r="F2" s="49" t="str">
        <f>IFERROR(__xludf.DUMMYFUNCTION("""COMPUTED_VALUE"""),"At the end of a battle, If a mob does not drop loot you get 50,000G.")</f>
        <v>At the end of a battle, If a mob does not drop loot you get 50,000G.</v>
      </c>
      <c r="G2" s="49" t="str">
        <f>IFERROR(__xludf.DUMMYFUNCTION("""COMPUTED_VALUE"""),"Burried Treasure")</f>
        <v>Burried Treasure</v>
      </c>
      <c r="H2" s="49" t="str">
        <f>IFERROR(__xludf.DUMMYFUNCTION("""COMPUTED_VALUE"""),"10% Chance of finding a Tier 1 Treasure Chest during any good day of travel. Unaffected by bonuses.")</f>
        <v>10% Chance of finding a Tier 1 Treasure Chest during any good day of travel. Unaffected by bonuses.</v>
      </c>
      <c r="I2" s="49" t="b">
        <f>IFERROR(__xludf.DUMMYFUNCTION("""COMPUTED_VALUE"""),TRUE)</f>
        <v>1</v>
      </c>
      <c r="J2" s="49" t="b">
        <f>IFERROR(__xludf.DUMMYFUNCTION("""COMPUTED_VALUE"""),TRUE)</f>
        <v>1</v>
      </c>
      <c r="K2" s="49" t="b">
        <f>IFERROR(__xludf.DUMMYFUNCTION("""COMPUTED_VALUE"""),TRUE)</f>
        <v>1</v>
      </c>
      <c r="L2" s="49" t="b">
        <f>IFERROR(__xludf.DUMMYFUNCTION("""COMPUTED_VALUE"""),TRUE)</f>
        <v>1</v>
      </c>
      <c r="M2" s="49" t="b">
        <f>IFERROR(__xludf.DUMMYFUNCTION("""COMPUTED_VALUE"""),TRUE)</f>
        <v>1</v>
      </c>
      <c r="N2" s="49" t="b">
        <f>IFERROR(__xludf.DUMMYFUNCTION("""COMPUTED_VALUE"""),TRUE)</f>
        <v>1</v>
      </c>
      <c r="O2" s="49" t="b">
        <f>IFERROR(__xludf.DUMMYFUNCTION("""COMPUTED_VALUE"""),TRUE)</f>
        <v>1</v>
      </c>
      <c r="P2" s="49" t="b">
        <f>IFERROR(__xludf.DUMMYFUNCTION("""COMPUTED_VALUE"""),TRUE)</f>
        <v>1</v>
      </c>
      <c r="Q2" s="49" t="b">
        <f>IFERROR(__xludf.DUMMYFUNCTION("""COMPUTED_VALUE"""),TRUE)</f>
        <v>1</v>
      </c>
      <c r="R2" s="49"/>
      <c r="S2" s="49"/>
      <c r="T2" s="49"/>
      <c r="U2" s="49"/>
      <c r="V2" s="49"/>
      <c r="W2" s="49"/>
      <c r="X2" s="49"/>
      <c r="Y2" s="49"/>
      <c r="Z2" s="49"/>
    </row>
    <row r="3">
      <c r="A3" s="121" t="str">
        <f>IFERROR(__xludf.DUMMYFUNCTION("""COMPUTED_VALUE"""),"The Cult of Dreadful")</f>
        <v>The Cult of Dreadful</v>
      </c>
      <c r="B3" s="122" t="str">
        <f>IFERROR(__xludf.DUMMYFUNCTION("""COMPUTED_VALUE"""),"The Cult of Dreadful is a secretive and malevolent faction that has long been a dark shadow cast upon The Land of Spira. Its members are fanatical devotees of Lord Dreadful, an enigmatic and sinister figure with ambitions that threaten the peace and stabi"&amp;"lity of the realm.
This cult's activities are shrouded in secrecy, and its membership is composed of individuals from various backgrounds, all drawn together by their unwavering loyalty to Lord Dreadful and their commitment to carrying out his nefarious "&amp;"plans. The Cult of Dreadful is known for its insidious rituals, forbidden magic, and ruthless tactics, all of which are used to further the agenda of their enigmatic leader.
One of the cult's primary objectives is to acquire and harness the power of anci"&amp;"ent artifacts and mystical relics scattered throughout The Land of Spira. These artifacts are believed to grant unimaginable power, and the cult seeks to use them to aid Lord Dreadful in his quest for dominance. The cult's members are willing to go to gre"&amp;"at lengths, including sabotage, espionage, and even violence, to achieve their malevolent goals.
Their actions have not gone unnoticed, and they are widely feared and reviled throughout the land. The Cult of Dreadful operates in the shadows, making it di"&amp;"fficult for law enforcement and other factions to track and combat their activities effectively.")</f>
        <v>The Cult of Dreadful is a secretive and malevolent faction that has long been a dark shadow cast upon The Land of Spira. Its members are fanatical devotees of Lord Dreadful, an enigmatic and sinister figure with ambitions that threaten the peace and stability of the realm.
This cult's activities are shrouded in secrecy, and its membership is composed of individuals from various backgrounds, all drawn together by their unwavering loyalty to Lord Dreadful and their commitment to carrying out his nefarious plans. The Cult of Dreadful is known for its insidious rituals, forbidden magic, and ruthless tactics, all of which are used to further the agenda of their enigmatic leader.
One of the cult's primary objectives is to acquire and harness the power of ancient artifacts and mystical relics scattered throughout The Land of Spira. These artifacts are believed to grant unimaginable power, and the cult seeks to use them to aid Lord Dreadful in his quest for dominance. The cult's members are willing to go to great lengths, including sabotage, espionage, and even violence, to achieve their malevolent goals.
Their actions have not gone unnoticed, and they are widely feared and reviled throughout the land. The Cult of Dreadful operates in the shadows, making it difficult for law enforcement and other factions to track and combat their activities effectively.</v>
      </c>
      <c r="C3" s="121" t="str">
        <f>IFERROR(__xludf.DUMMYFUNCTION("""COMPUTED_VALUE"""),"Lesser Pain")</f>
        <v>Lesser Pain</v>
      </c>
      <c r="D3" s="123" t="str">
        <f>IFERROR(__xludf.DUMMYFUNCTION("""COMPUTED_VALUE"""),"Half the HP costs for Blood Spells, and Half the SP costs for Dark, Chaos, and Voodoo Spells.")</f>
        <v>Half the HP costs for Blood Spells, and Half the SP costs for Dark, Chaos, and Voodoo Spells.</v>
      </c>
      <c r="E3" s="123" t="str">
        <f>IFERROR(__xludf.DUMMYFUNCTION("""COMPUTED_VALUE"""),"Lord Dreadful's Offering")</f>
        <v>Lord Dreadful's Offering</v>
      </c>
      <c r="F3" s="49" t="str">
        <f>IFERROR(__xludf.DUMMYFUNCTION("""COMPUTED_VALUE"""),"If you were to take damage that would kill you, you will have a 20% chance to direct that damage to a random party member or enemy insead but your current HP will be set to 1.")</f>
        <v>If you were to take damage that would kill you, you will have a 20% chance to direct that damage to a random party member or enemy insead but your current HP will be set to 1.</v>
      </c>
      <c r="G3" s="49" t="str">
        <f>IFERROR(__xludf.DUMMYFUNCTION("""COMPUTED_VALUE"""),"Lord Dreadful's Madness")</f>
        <v>Lord Dreadful's Madness</v>
      </c>
      <c r="H3" s="49" t="str">
        <f>IFERROR(__xludf.DUMMYFUNCTION("""COMPUTED_VALUE"""),"Allows you to roll 2d20 when using an item with a random effect sheet.")</f>
        <v>Allows you to roll 2d20 when using an item with a random effect sheet.</v>
      </c>
      <c r="I3" s="49" t="b">
        <f>IFERROR(__xludf.DUMMYFUNCTION("""COMPUTED_VALUE"""),TRUE)</f>
        <v>1</v>
      </c>
      <c r="J3" s="49" t="b">
        <f>IFERROR(__xludf.DUMMYFUNCTION("""COMPUTED_VALUE"""),TRUE)</f>
        <v>1</v>
      </c>
      <c r="K3" s="49" t="b">
        <f>IFERROR(__xludf.DUMMYFUNCTION("""COMPUTED_VALUE"""),TRUE)</f>
        <v>1</v>
      </c>
      <c r="L3" s="49" t="b">
        <f>IFERROR(__xludf.DUMMYFUNCTION("""COMPUTED_VALUE"""),TRUE)</f>
        <v>1</v>
      </c>
      <c r="M3" s="49" t="b">
        <f>IFERROR(__xludf.DUMMYFUNCTION("""COMPUTED_VALUE"""),TRUE)</f>
        <v>1</v>
      </c>
      <c r="N3" s="49" t="b">
        <f>IFERROR(__xludf.DUMMYFUNCTION("""COMPUTED_VALUE"""),TRUE)</f>
        <v>1</v>
      </c>
      <c r="O3" s="49" t="b">
        <f>IFERROR(__xludf.DUMMYFUNCTION("""COMPUTED_VALUE"""),TRUE)</f>
        <v>1</v>
      </c>
      <c r="P3" s="49" t="b">
        <f>IFERROR(__xludf.DUMMYFUNCTION("""COMPUTED_VALUE"""),TRUE)</f>
        <v>1</v>
      </c>
      <c r="Q3" s="49" t="b">
        <f>IFERROR(__xludf.DUMMYFUNCTION("""COMPUTED_VALUE"""),TRUE)</f>
        <v>1</v>
      </c>
      <c r="R3" s="49"/>
      <c r="S3" s="49"/>
      <c r="T3" s="49"/>
      <c r="U3" s="49"/>
      <c r="V3" s="49"/>
      <c r="W3" s="49"/>
      <c r="X3" s="49"/>
      <c r="Y3" s="49"/>
      <c r="Z3" s="49"/>
    </row>
    <row r="4">
      <c r="A4" s="121" t="str">
        <f>IFERROR(__xludf.DUMMYFUNCTION("""COMPUTED_VALUE"""),"The Storm Shamans")</f>
        <v>The Storm Shamans</v>
      </c>
      <c r="B4" s="122" t="str">
        <f>IFERROR(__xludf.DUMMYFUNCTION("""COMPUTED_VALUE"""),"The Storm Shamans are a revered and ancient faction within The Land of Spira, closely associated with the elemental powers of the sky and the domain of Zeus, the Thunder God. This faction is comprised of skilled and knowledgeable individuals who have dedi"&amp;"cated their lives to the study and mastery of the atmospheric and electrical forces that Zeus, the divine figure of thunder and lightning, represents.
Members of The Storm Shamans are highly regarded as keepers of sacred knowledge and wielders of tremend"&amp;"ous power. They are well-versed in the secrets of meteorology, atmospheric manipulation, and the harnessing of electricity as both a destructive and protective force. Their abilities allow them to conjure lightning, control weather patterns, and protect t"&amp;"he land from the devastation of violent storms.
The Storm Shamans are also known for their connection to the divine realm and their ability to communicate with and seek the blessings of Zeus. Their rituals often involve intricate ceremonies, invoking the"&amp;" Thunder God's favor to bring rain in times of drought or to shield the land from the wrath of thunderstorms. In times of great need, they have been called upon to use their powers to defend the realm from supernatural threats and natural disasters.
The "&amp;"faction's members come from diverse backgrounds and may include mages, druids, scholars, and weather experts. They undergo rigorous training and initiations to harness their abilities and deepen their connection to the elemental forces that Zeus governs.
"&amp;"
The Storm Shamans are not only guardians of the realm's skies but also its protectors, ensuring that the forces of nature remain in balance and harmony. Their presence is a source of solace and hope for the realm's inhabitants, as they can call upon the "&amp;"Storm Shamans to shield them from natural calamities and provide guidance in times of meteorological distress.")</f>
        <v>The Storm Shamans are a revered and ancient faction within The Land of Spira, closely associated with the elemental powers of the sky and the domain of Zeus, the Thunder God. This faction is comprised of skilled and knowledgeable individuals who have dedicated their lives to the study and mastery of the atmospheric and electrical forces that Zeus, the divine figure of thunder and lightning, represents.
Members of The Storm Shamans are highly regarded as keepers of sacred knowledge and wielders of tremendous power. They are well-versed in the secrets of meteorology, atmospheric manipulation, and the harnessing of electricity as both a destructive and protective force. Their abilities allow them to conjure lightning, control weather patterns, and protect the land from the devastation of violent storms.
The Storm Shamans are also known for their connection to the divine realm and their ability to communicate with and seek the blessings of Zeus. Their rituals often involve intricate ceremonies, invoking the Thunder God's favor to bring rain in times of drought or to shield the land from the wrath of thunderstorms. In times of great need, they have been called upon to use their powers to defend the realm from supernatural threats and natural disasters.
The faction's members come from diverse backgrounds and may include mages, druids, scholars, and weather experts. They undergo rigorous training and initiations to harness their abilities and deepen their connection to the elemental forces that Zeus governs.
The Storm Shamans are not only guardians of the realm's skies but also its protectors, ensuring that the forces of nature remain in balance and harmony. Their presence is a source of solace and hope for the realm's inhabitants, as they can call upon the Storm Shamans to shield them from natural calamities and provide guidance in times of meteorological distress.</v>
      </c>
      <c r="C4" s="121" t="str">
        <f>IFERROR(__xludf.DUMMYFUNCTION("""COMPUTED_VALUE"""),"Storming Vengeance ")</f>
        <v>Storming Vengeance </v>
      </c>
      <c r="D4" s="123" t="str">
        <f>IFERROR(__xludf.DUMMYFUNCTION("""COMPUTED_VALUE"""),"+5 evasion and mobility if the weather is stormy.")</f>
        <v>+5 evasion and mobility if the weather is stormy.</v>
      </c>
      <c r="E4" s="123" t="str">
        <f>IFERROR(__xludf.DUMMYFUNCTION("""COMPUTED_VALUE"""),"Storming Vengeance II")</f>
        <v>Storming Vengeance II</v>
      </c>
      <c r="F4" s="49" t="str">
        <f>IFERROR(__xludf.DUMMYFUNCTION("""COMPUTED_VALUE"""),"X2 additional Storm damage for the user.")</f>
        <v>X2 additional Storm damage for the user.</v>
      </c>
      <c r="G4" s="49" t="str">
        <f>IFERROR(__xludf.DUMMYFUNCTION("""COMPUTED_VALUE"""),"Storming Vengeance III")</f>
        <v>Storming Vengeance III</v>
      </c>
      <c r="H4" s="49" t="str">
        <f>IFERROR(__xludf.DUMMYFUNCTION("""COMPUTED_VALUE"""),"All Storm Related Attacks have a 20% chance to stun the target(s) they hit for 3 rounds.")</f>
        <v>All Storm Related Attacks have a 20% chance to stun the target(s) they hit for 3 rounds.</v>
      </c>
      <c r="I4" s="49" t="b">
        <f>IFERROR(__xludf.DUMMYFUNCTION("""COMPUTED_VALUE"""),TRUE)</f>
        <v>1</v>
      </c>
      <c r="J4" s="49" t="b">
        <f>IFERROR(__xludf.DUMMYFUNCTION("""COMPUTED_VALUE"""),TRUE)</f>
        <v>1</v>
      </c>
      <c r="K4" s="49" t="b">
        <f>IFERROR(__xludf.DUMMYFUNCTION("""COMPUTED_VALUE"""),TRUE)</f>
        <v>1</v>
      </c>
      <c r="L4" s="49" t="b">
        <f>IFERROR(__xludf.DUMMYFUNCTION("""COMPUTED_VALUE"""),TRUE)</f>
        <v>1</v>
      </c>
      <c r="M4" s="49" t="b">
        <f>IFERROR(__xludf.DUMMYFUNCTION("""COMPUTED_VALUE"""),TRUE)</f>
        <v>1</v>
      </c>
      <c r="N4" s="49" t="b">
        <f>IFERROR(__xludf.DUMMYFUNCTION("""COMPUTED_VALUE"""),TRUE)</f>
        <v>1</v>
      </c>
      <c r="O4" s="49" t="b">
        <f>IFERROR(__xludf.DUMMYFUNCTION("""COMPUTED_VALUE"""),TRUE)</f>
        <v>1</v>
      </c>
      <c r="P4" s="49" t="b">
        <f>IFERROR(__xludf.DUMMYFUNCTION("""COMPUTED_VALUE"""),TRUE)</f>
        <v>1</v>
      </c>
      <c r="Q4" s="49" t="b">
        <f>IFERROR(__xludf.DUMMYFUNCTION("""COMPUTED_VALUE"""),TRUE)</f>
        <v>1</v>
      </c>
      <c r="R4" s="49"/>
      <c r="S4" s="49"/>
      <c r="T4" s="49"/>
      <c r="U4" s="49"/>
      <c r="V4" s="49"/>
      <c r="W4" s="49"/>
      <c r="X4" s="49"/>
      <c r="Y4" s="49"/>
      <c r="Z4" s="49"/>
    </row>
    <row r="5">
      <c r="A5" s="121" t="str">
        <f>IFERROR(__xludf.DUMMYFUNCTION("""COMPUTED_VALUE"""),"The Graceful Defenders")</f>
        <v>The Graceful Defenders</v>
      </c>
      <c r="B5" s="122" t="str">
        <f>IFERROR(__xludf.DUMMYFUNCTION("""COMPUTED_VALUE"""),"The Graceful Defenders are an esteemed faction deeply rooted in the principles of defense and the reverence of Gaia, the Goddess of Earth. Their mission revolves around safeguarding the realms, the environment, and all life that inhabits it from external "&amp;"threats, be they supernatural, magical, or mortal in nature.
Members of The Graceful Defenders are warriors, guardians, and protectors, united by their unwavering commitment to the security and preservation of the land. Their training encompasses a blend"&amp;" of martial skills, mystical prowess, and a profound connection to the earth itself. These defenders have a unique ability to harness the power of the earth, manipulating the very terrain beneath them to enhance their protective capabilities.
The faction"&amp;" is composed of a diverse group of individuals, including knights, elementalists, geomancers, and druidic guardians. Their shared belief in the sanctity of the earth, its resources, and its inhabitants unites them as a formidable force.
The Graceful Defe"&amp;"nders are often called upon in times of crisis, whether it be defending villages from marauding foes, repelling dark forces seeking to exploit the earth's power, or shielding the land from destructive magical incursions. Their unique abilities allow them "&amp;"to fortify regions, create protective barriers, and summon the earth's might to repel aggressors.")</f>
        <v>The Graceful Defenders are an esteemed faction deeply rooted in the principles of defense and the reverence of Gaia, the Goddess of Earth. Their mission revolves around safeguarding the realms, the environment, and all life that inhabits it from external threats, be they supernatural, magical, or mortal in nature.
Members of The Graceful Defenders are warriors, guardians, and protectors, united by their unwavering commitment to the security and preservation of the land. Their training encompasses a blend of martial skills, mystical prowess, and a profound connection to the earth itself. These defenders have a unique ability to harness the power of the earth, manipulating the very terrain beneath them to enhance their protective capabilities.
The faction is composed of a diverse group of individuals, including knights, elementalists, geomancers, and druidic guardians. Their shared belief in the sanctity of the earth, its resources, and its inhabitants unites them as a formidable force.
The Graceful Defenders are often called upon in times of crisis, whether it be defending villages from marauding foes, repelling dark forces seeking to exploit the earth's power, or shielding the land from destructive magical incursions. Their unique abilities allow them to fortify regions, create protective barriers, and summon the earth's might to repel aggressors.</v>
      </c>
      <c r="C5" s="121" t="str">
        <f>IFERROR(__xludf.DUMMYFUNCTION("""COMPUTED_VALUE"""),"Defending Bond")</f>
        <v>Defending Bond</v>
      </c>
      <c r="D5" s="123" t="str">
        <f>IFERROR(__xludf.DUMMYFUNCTION("""COMPUTED_VALUE"""),"At the beginning of battle, Choose 1 target, Their defense becomes equal to yours until the end of battle. Fail/Succeed. Unaffected by bonuses.")</f>
        <v>At the beginning of battle, Choose 1 target, Their defense becomes equal to yours until the end of battle. Fail/Succeed. Unaffected by bonuses.</v>
      </c>
      <c r="E5" s="123" t="str">
        <f>IFERROR(__xludf.DUMMYFUNCTION("""COMPUTED_VALUE"""),"Wall of Fortification")</f>
        <v>Wall of Fortification</v>
      </c>
      <c r="F5" s="49" t="str">
        <f>IFERROR(__xludf.DUMMYFUNCTION("""COMPUTED_VALUE"""),"You can defend against unblockable attacks.")</f>
        <v>You can defend against unblockable attacks.</v>
      </c>
      <c r="G5" s="49" t="str">
        <f>IFERROR(__xludf.DUMMYFUNCTION("""COMPUTED_VALUE"""),"Wall of Fortification II")</f>
        <v>Wall of Fortification II</v>
      </c>
      <c r="H5" s="49" t="str">
        <f>IFERROR(__xludf.DUMMYFUNCTION("""COMPUTED_VALUE"""),"Your defense will still be applied against undefendable attacks.")</f>
        <v>Your defense will still be applied against undefendable attacks.</v>
      </c>
      <c r="I5" s="49" t="b">
        <f>IFERROR(__xludf.DUMMYFUNCTION("""COMPUTED_VALUE"""),TRUE)</f>
        <v>1</v>
      </c>
      <c r="J5" s="49" t="b">
        <f>IFERROR(__xludf.DUMMYFUNCTION("""COMPUTED_VALUE"""),TRUE)</f>
        <v>1</v>
      </c>
      <c r="K5" s="49" t="b">
        <f>IFERROR(__xludf.DUMMYFUNCTION("""COMPUTED_VALUE"""),TRUE)</f>
        <v>1</v>
      </c>
      <c r="L5" s="49" t="b">
        <f>IFERROR(__xludf.DUMMYFUNCTION("""COMPUTED_VALUE"""),TRUE)</f>
        <v>1</v>
      </c>
      <c r="M5" s="49" t="b">
        <f>IFERROR(__xludf.DUMMYFUNCTION("""COMPUTED_VALUE"""),TRUE)</f>
        <v>1</v>
      </c>
      <c r="N5" s="49" t="b">
        <f>IFERROR(__xludf.DUMMYFUNCTION("""COMPUTED_VALUE"""),TRUE)</f>
        <v>1</v>
      </c>
      <c r="O5" s="49" t="b">
        <f>IFERROR(__xludf.DUMMYFUNCTION("""COMPUTED_VALUE"""),TRUE)</f>
        <v>1</v>
      </c>
      <c r="P5" s="49" t="b">
        <f>IFERROR(__xludf.DUMMYFUNCTION("""COMPUTED_VALUE"""),TRUE)</f>
        <v>1</v>
      </c>
      <c r="Q5" s="49" t="b">
        <f>IFERROR(__xludf.DUMMYFUNCTION("""COMPUTED_VALUE"""),TRUE)</f>
        <v>1</v>
      </c>
      <c r="R5" s="49"/>
      <c r="S5" s="49"/>
      <c r="T5" s="49"/>
      <c r="U5" s="49"/>
      <c r="V5" s="49"/>
      <c r="W5" s="49"/>
      <c r="X5" s="49"/>
      <c r="Y5" s="49"/>
      <c r="Z5" s="49"/>
    </row>
    <row r="6">
      <c r="A6" s="121" t="str">
        <f>IFERROR(__xludf.DUMMYFUNCTION("""COMPUTED_VALUE"""),"The Guardians of The Forge")</f>
        <v>The Guardians of The Forge</v>
      </c>
      <c r="B6" s="122" t="str">
        <f>IFERROR(__xludf.DUMMYFUNCTION("""COMPUTED_VALUE"""),"The Guardians of The Forge are an esteemed and dedicated faction within The Land of Spira, inspired by the craftsmanship, ingenuity, and boundless creativity of Hephaestus, the God of the Forge. This faction comprises individuals who have harnessed the ar"&amp;"t of forging and metallurgy to serve as defenders, creators, and protectors of the realm.
Members of The Guardians of The Forge are revered for their unparalleled skills in metallurgy, blacksmithing, engineering, and the creation of powerful and enchante"&amp;"d artifacts. They have chosen to devote their lives to harnessing the potential of metal and fire, crafting tools, weapons, and armor that not only serve as instruments of defense but also symbolize the artistry and innovation of Hephaestus himself.
The "&amp;"faction is a diverse blend of artisans, blacksmiths, engineers, and inventors, all united by their shared reverence for the forging arts and their unwavering commitment to the protection of The Land of Spira. Each member is a master in their own right, ca"&amp;"pable of manipulating the raw elements of the earth to forge exceptional weapons and artifacts that can be wielded in defense of the realm.
The Guardians of The Forge have made it their mission to not only create mighty weapons and armor but also to main"&amp;"tain a vast repository of ancient knowledge about the enchanted properties of various metals, materials, and mystical alloys. They use this knowledge to forge defenses against formidable adversaries and supernatural threats that may threaten the realm.
I"&amp;"n times of crisis, The Guardians of The Forge are called upon to create powerful tools, armor, and weapons, forging a line of defense to repel the forces that seek to disrupt the peace of the land. They are known for their ingenuity in crafting siege engi"&amp;"nes and powerful devices, as well as their readiness to equip armies and adventurers with the means to face the challenges that lie ahead.")</f>
        <v>The Guardians of The Forge are an esteemed and dedicated faction within The Land of Spira, inspired by the craftsmanship, ingenuity, and boundless creativity of Hephaestus, the God of the Forge. This faction comprises individuals who have harnessed the art of forging and metallurgy to serve as defenders, creators, and protectors of the realm.
Members of The Guardians of The Forge are revered for their unparalleled skills in metallurgy, blacksmithing, engineering, and the creation of powerful and enchanted artifacts. They have chosen to devote their lives to harnessing the potential of metal and fire, crafting tools, weapons, and armor that not only serve as instruments of defense but also symbolize the artistry and innovation of Hephaestus himself.
The faction is a diverse blend of artisans, blacksmiths, engineers, and inventors, all united by their shared reverence for the forging arts and their unwavering commitment to the protection of The Land of Spira. Each member is a master in their own right, capable of manipulating the raw elements of the earth to forge exceptional weapons and artifacts that can be wielded in defense of the realm.
The Guardians of The Forge have made it their mission to not only create mighty weapons and armor but also to maintain a vast repository of ancient knowledge about the enchanted properties of various metals, materials, and mystical alloys. They use this knowledge to forge defenses against formidable adversaries and supernatural threats that may threaten the realm.
In times of crisis, The Guardians of The Forge are called upon to create powerful tools, armor, and weapons, forging a line of defense to repel the forces that seek to disrupt the peace of the land. They are known for their ingenuity in crafting siege engines and powerful devices, as well as their readiness to equip armies and adventurers with the means to face the challenges that lie ahead.</v>
      </c>
      <c r="C6" s="121" t="str">
        <f>IFERROR(__xludf.DUMMYFUNCTION("""COMPUTED_VALUE"""),"Burning Might")</f>
        <v>Burning Might</v>
      </c>
      <c r="D6" s="123" t="str">
        <f>IFERROR(__xludf.DUMMYFUNCTION("""COMPUTED_VALUE"""),"Burn damage dealt to enemies is doubled.")</f>
        <v>Burn damage dealt to enemies is doubled.</v>
      </c>
      <c r="E6" s="123" t="str">
        <f>IFERROR(__xludf.DUMMYFUNCTION("""COMPUTED_VALUE"""),"Forged in Fire.")</f>
        <v>Forged in Fire.</v>
      </c>
      <c r="F6" s="49" t="str">
        <f>IFERROR(__xludf.DUMMYFUNCTION("""COMPUTED_VALUE"""),"Forged weapons deal an additional X2 damage.")</f>
        <v>Forged weapons deal an additional X2 damage.</v>
      </c>
      <c r="G6" s="49" t="str">
        <f>IFERROR(__xludf.DUMMYFUNCTION("""COMPUTED_VALUE"""),"Unbreaking Steel")</f>
        <v>Unbreaking Steel</v>
      </c>
      <c r="H6" s="49" t="str">
        <f>IFERROR(__xludf.DUMMYFUNCTION("""COMPUTED_VALUE"""),"The first time you attempt a forge roll that fails it does not fail once per forge.")</f>
        <v>The first time you attempt a forge roll that fails it does not fail once per forge.</v>
      </c>
      <c r="I6" s="49" t="b">
        <f>IFERROR(__xludf.DUMMYFUNCTION("""COMPUTED_VALUE"""),TRUE)</f>
        <v>1</v>
      </c>
      <c r="J6" s="49" t="b">
        <f>IFERROR(__xludf.DUMMYFUNCTION("""COMPUTED_VALUE"""),TRUE)</f>
        <v>1</v>
      </c>
      <c r="K6" s="49" t="b">
        <f>IFERROR(__xludf.DUMMYFUNCTION("""COMPUTED_VALUE"""),TRUE)</f>
        <v>1</v>
      </c>
      <c r="L6" s="49" t="b">
        <f>IFERROR(__xludf.DUMMYFUNCTION("""COMPUTED_VALUE"""),TRUE)</f>
        <v>1</v>
      </c>
      <c r="M6" s="49" t="b">
        <f>IFERROR(__xludf.DUMMYFUNCTION("""COMPUTED_VALUE"""),TRUE)</f>
        <v>1</v>
      </c>
      <c r="N6" s="49" t="b">
        <f>IFERROR(__xludf.DUMMYFUNCTION("""COMPUTED_VALUE"""),TRUE)</f>
        <v>1</v>
      </c>
      <c r="O6" s="49" t="b">
        <f>IFERROR(__xludf.DUMMYFUNCTION("""COMPUTED_VALUE"""),TRUE)</f>
        <v>1</v>
      </c>
      <c r="P6" s="49" t="b">
        <f>IFERROR(__xludf.DUMMYFUNCTION("""COMPUTED_VALUE"""),TRUE)</f>
        <v>1</v>
      </c>
      <c r="Q6" s="49" t="b">
        <f>IFERROR(__xludf.DUMMYFUNCTION("""COMPUTED_VALUE"""),TRUE)</f>
        <v>1</v>
      </c>
      <c r="R6" s="49"/>
      <c r="S6" s="49"/>
      <c r="T6" s="49"/>
      <c r="U6" s="49"/>
      <c r="V6" s="49"/>
      <c r="W6" s="49"/>
      <c r="X6" s="49"/>
      <c r="Y6" s="49"/>
      <c r="Z6" s="49"/>
    </row>
    <row r="7">
      <c r="A7" s="121" t="str">
        <f>IFERROR(__xludf.DUMMYFUNCTION("""COMPUTED_VALUE"""),"The Soul Shepherds")</f>
        <v>The Soul Shepherds</v>
      </c>
      <c r="B7" s="122" t="str">
        <f>IFERROR(__xludf.DUMMYFUNCTION("""COMPUTED_VALUE"""),"The Soul Shepherds are a mysterious and enigmatic faction within The Land of Spira, deeply influenced by the realm of Hades, the God of the Underworld. Their primary mission is to guide and protect the souls of the departed as they journey through the rea"&amp;"lms beyond life, and to maintain the balance between the living and the deceased.
Members of The Soul Shepherds are unique individuals who have forged a connection with the spiritual realm. They have dedicated themselves to the solemn task of ensuring th"&amp;"at souls reach their final resting place and that the boundaries between the living and the afterlife remain intact. These shepherds possess the rare ability to communicate with and influence the spirits of the deceased.
The faction includes an eclectic "&amp;"group of individuals, such as mediums, necromancers, spiritual guides, and healers. Each member has a deep understanding of the spiritual and metaphysical aspects of life and death, and they use this knowledge to help souls find peace and resolve lingerin"&amp;"g issues from their past life.
The Soul Shepherds are responsible for conducting rituals, ceremonies, and rites to honor the deceased and assist in their transition to the afterlife. They also safeguard the realm from restless spirits and malevolent enti"&amp;"ties that may seek to disrupt the balance between life and death.
In times of spiritual crises, The Soul Shepherds are summoned to investigate paranormal phenomena, communicate with ghosts, and aid in exorcisms. They also provide comfort and solace to th"&amp;"e living who seek closure with their departed loved ones.")</f>
        <v>The Soul Shepherds are a mysterious and enigmatic faction within The Land of Spira, deeply influenced by the realm of Hades, the God of the Underworld. Their primary mission is to guide and protect the souls of the departed as they journey through the realms beyond life, and to maintain the balance between the living and the deceased.
Members of The Soul Shepherds are unique individuals who have forged a connection with the spiritual realm. They have dedicated themselves to the solemn task of ensuring that souls reach their final resting place and that the boundaries between the living and the afterlife remain intact. These shepherds possess the rare ability to communicate with and influence the spirits of the deceased.
The faction includes an eclectic group of individuals, such as mediums, necromancers, spiritual guides, and healers. Each member has a deep understanding of the spiritual and metaphysical aspects of life and death, and they use this knowledge to help souls find peace and resolve lingering issues from their past life.
The Soul Shepherds are responsible for conducting rituals, ceremonies, and rites to honor the deceased and assist in their transition to the afterlife. They also safeguard the realm from restless spirits and malevolent entities that may seek to disrupt the balance between life and death.
In times of spiritual crises, The Soul Shepherds are summoned to investigate paranormal phenomena, communicate with ghosts, and aid in exorcisms. They also provide comfort and solace to the living who seek closure with their departed loved ones.</v>
      </c>
      <c r="C7" s="121" t="str">
        <f>IFERROR(__xludf.DUMMYFUNCTION("""COMPUTED_VALUE"""),"Soul Harvest")</f>
        <v>Soul Harvest</v>
      </c>
      <c r="D7" s="123" t="str">
        <f>IFERROR(__xludf.DUMMYFUNCTION("""COMPUTED_VALUE"""),"When rolling for loot and you get a soul, you get 2 of that same soul.")</f>
        <v>When rolling for loot and you get a soul, you get 2 of that same soul.</v>
      </c>
      <c r="E7" s="123" t="str">
        <f>IFERROR(__xludf.DUMMYFUNCTION("""COMPUTED_VALUE"""),"Soul Harvest II")</f>
        <v>Soul Harvest II</v>
      </c>
      <c r="F7" s="49" t="str">
        <f>IFERROR(__xludf.DUMMYFUNCTION("""COMPUTED_VALUE"""),"Guaranteed an extra soul each battle if the enemy drops a soul.")</f>
        <v>Guaranteed an extra soul each battle if the enemy drops a soul.</v>
      </c>
      <c r="G7" s="49" t="str">
        <f>IFERROR(__xludf.DUMMYFUNCTION("""COMPUTED_VALUE"""),"Scythe Mastery ")</f>
        <v>Scythe Mastery </v>
      </c>
      <c r="H7" s="49" t="str">
        <f>IFERROR(__xludf.DUMMYFUNCTION("""COMPUTED_VALUE"""),"When hitting an enemy with a scythe they are inflicted with Soulburn 100")</f>
        <v>When hitting an enemy with a scythe they are inflicted with Soulburn 100</v>
      </c>
      <c r="I7" s="49" t="b">
        <f>IFERROR(__xludf.DUMMYFUNCTION("""COMPUTED_VALUE"""),TRUE)</f>
        <v>1</v>
      </c>
      <c r="J7" s="49" t="b">
        <f>IFERROR(__xludf.DUMMYFUNCTION("""COMPUTED_VALUE"""),TRUE)</f>
        <v>1</v>
      </c>
      <c r="K7" s="49" t="b">
        <f>IFERROR(__xludf.DUMMYFUNCTION("""COMPUTED_VALUE"""),TRUE)</f>
        <v>1</v>
      </c>
      <c r="L7" s="49" t="b">
        <f>IFERROR(__xludf.DUMMYFUNCTION("""COMPUTED_VALUE"""),TRUE)</f>
        <v>1</v>
      </c>
      <c r="M7" s="49" t="b">
        <f>IFERROR(__xludf.DUMMYFUNCTION("""COMPUTED_VALUE"""),TRUE)</f>
        <v>1</v>
      </c>
      <c r="N7" s="49" t="b">
        <f>IFERROR(__xludf.DUMMYFUNCTION("""COMPUTED_VALUE"""),TRUE)</f>
        <v>1</v>
      </c>
      <c r="O7" s="49" t="b">
        <f>IFERROR(__xludf.DUMMYFUNCTION("""COMPUTED_VALUE"""),TRUE)</f>
        <v>1</v>
      </c>
      <c r="P7" s="49" t="b">
        <f>IFERROR(__xludf.DUMMYFUNCTION("""COMPUTED_VALUE"""),TRUE)</f>
        <v>1</v>
      </c>
      <c r="Q7" s="49" t="b">
        <f>IFERROR(__xludf.DUMMYFUNCTION("""COMPUTED_VALUE"""),TRUE)</f>
        <v>1</v>
      </c>
      <c r="R7" s="49"/>
      <c r="S7" s="49"/>
      <c r="T7" s="49"/>
      <c r="U7" s="49"/>
      <c r="V7" s="49"/>
      <c r="W7" s="49"/>
      <c r="X7" s="49"/>
      <c r="Y7" s="49"/>
      <c r="Z7" s="49"/>
    </row>
    <row r="8">
      <c r="A8" s="121" t="str">
        <f>IFERROR(__xludf.DUMMYFUNCTION("""COMPUTED_VALUE"""),"The Judges of Abstara")</f>
        <v>The Judges of Abstara</v>
      </c>
      <c r="B8" s="122" t="str">
        <f>IFERROR(__xludf.DUMMYFUNCTION("""COMPUTED_VALUE"""),"The Judges of Abstara are a formidable and shadowy faction within The Land of Spira, influenced by the archetype of Satan but aligned with a strict code of Lawful Evil. In a world that often struggles to maintain order and balance, they have chosen to emb"&amp;"race their interpretation of Satan as a symbol of authority, ambition, and discipline, and they employ these principles to shape the realm in their image.
Members of The Judges of Abstara are characterized by their unwavering commitment to order, discipl"&amp;"ine, and the pursuit of power. They view themselves as the rightful rulers of The Land of Spira, and they are unapologetic in their use of manipulation, cunning, and authority to maintain control.
The faction is composed of a hierarchy of individuals, in"&amp;"cluding judges, enforcers, strategists, and those who seek to expand their influence. They share a common belief in their right to rule and dominate the realm through careful planning and calculated actions.
The Judges of Abstara focus their efforts on c"&amp;"onsolidating power, controlling resources, and establishing a rigid hierarchy. They are known for their strict adherence to laws and codes, which they use to legitimize their authority and further their ambitions.
In times of challenge, The Judges of Abs"&amp;"tara act as both rulers and enforcers, maintaining a strict regime that imposes order and quashes dissent. They are known for their discipline, their efficient control of resources, and their unwavering commitment to their vision of a perfectly ordered re"&amp;"alm.")</f>
        <v>The Judges of Abstara are a formidable and shadowy faction within The Land of Spira, influenced by the archetype of Satan but aligned with a strict code of Lawful Evil. In a world that often struggles to maintain order and balance, they have chosen to embrace their interpretation of Satan as a symbol of authority, ambition, and discipline, and they employ these principles to shape the realm in their image.
Members of The Judges of Abstara are characterized by their unwavering commitment to order, discipline, and the pursuit of power. They view themselves as the rightful rulers of The Land of Spira, and they are unapologetic in their use of manipulation, cunning, and authority to maintain control.
The faction is composed of a hierarchy of individuals, including judges, enforcers, strategists, and those who seek to expand their influence. They share a common belief in their right to rule and dominate the realm through careful planning and calculated actions.
The Judges of Abstara focus their efforts on consolidating power, controlling resources, and establishing a rigid hierarchy. They are known for their strict adherence to laws and codes, which they use to legitimize their authority and further their ambitions.
In times of challenge, The Judges of Abstara act as both rulers and enforcers, maintaining a strict regime that imposes order and quashes dissent. They are known for their discipline, their efficient control of resources, and their unwavering commitment to their vision of a perfectly ordered realm.</v>
      </c>
      <c r="C8" s="121" t="str">
        <f>IFERROR(__xludf.DUMMYFUNCTION("""COMPUTED_VALUE"""),"Threatening Stare")</f>
        <v>Threatening Stare</v>
      </c>
      <c r="D8" s="123" t="str">
        <f>IFERROR(__xludf.DUMMYFUNCTION("""COMPUTED_VALUE"""),"+5 permanent Intimidation.")</f>
        <v>+5 permanent Intimidation.</v>
      </c>
      <c r="E8" s="123" t="str">
        <f>IFERROR(__xludf.DUMMYFUNCTION("""COMPUTED_VALUE"""),"Blood Plague")</f>
        <v>Blood Plague</v>
      </c>
      <c r="F8" s="49" t="str">
        <f>IFERROR(__xludf.DUMMYFUNCTION("""COMPUTED_VALUE"""),"All Weapons now deal Bleeding X per round where X is equal to your attack stat.")</f>
        <v>All Weapons now deal Bleeding X per round where X is equal to your attack stat.</v>
      </c>
      <c r="G8" s="49" t="str">
        <f>IFERROR(__xludf.DUMMYFUNCTION("""COMPUTED_VALUE"""),"Unwavering Authority")</f>
        <v>Unwavering Authority</v>
      </c>
      <c r="H8" s="49" t="str">
        <f>IFERROR(__xludf.DUMMYFUNCTION("""COMPUTED_VALUE"""),"20% chance of not having to battle a non corrupt guard. Unaffected by bonuses.")</f>
        <v>20% chance of not having to battle a non corrupt guard. Unaffected by bonuses.</v>
      </c>
      <c r="I8" s="49" t="b">
        <f>IFERROR(__xludf.DUMMYFUNCTION("""COMPUTED_VALUE"""),TRUE)</f>
        <v>1</v>
      </c>
      <c r="J8" s="49" t="b">
        <f>IFERROR(__xludf.DUMMYFUNCTION("""COMPUTED_VALUE"""),TRUE)</f>
        <v>1</v>
      </c>
      <c r="K8" s="49" t="b">
        <f>IFERROR(__xludf.DUMMYFUNCTION("""COMPUTED_VALUE"""),TRUE)</f>
        <v>1</v>
      </c>
      <c r="L8" s="49" t="b">
        <f>IFERROR(__xludf.DUMMYFUNCTION("""COMPUTED_VALUE"""),TRUE)</f>
        <v>1</v>
      </c>
      <c r="M8" s="49" t="b">
        <f>IFERROR(__xludf.DUMMYFUNCTION("""COMPUTED_VALUE"""),TRUE)</f>
        <v>1</v>
      </c>
      <c r="N8" s="49" t="b">
        <f>IFERROR(__xludf.DUMMYFUNCTION("""COMPUTED_VALUE"""),TRUE)</f>
        <v>1</v>
      </c>
      <c r="O8" s="49" t="b">
        <f>IFERROR(__xludf.DUMMYFUNCTION("""COMPUTED_VALUE"""),TRUE)</f>
        <v>1</v>
      </c>
      <c r="P8" s="49" t="b">
        <f>IFERROR(__xludf.DUMMYFUNCTION("""COMPUTED_VALUE"""),TRUE)</f>
        <v>1</v>
      </c>
      <c r="Q8" s="49" t="b">
        <f>IFERROR(__xludf.DUMMYFUNCTION("""COMPUTED_VALUE"""),TRUE)</f>
        <v>1</v>
      </c>
      <c r="R8" s="49"/>
      <c r="S8" s="49"/>
      <c r="T8" s="49"/>
      <c r="U8" s="49"/>
      <c r="V8" s="49"/>
      <c r="W8" s="49"/>
      <c r="X8" s="49"/>
      <c r="Y8" s="49"/>
      <c r="Z8" s="49"/>
    </row>
    <row r="9">
      <c r="A9" s="121" t="str">
        <f>IFERROR(__xludf.DUMMYFUNCTION("""COMPUTED_VALUE"""),"The Gods of The Sea")</f>
        <v>The Gods of The Sea</v>
      </c>
      <c r="B9" s="122" t="str">
        <f>IFERROR(__xludf.DUMMYFUNCTION("""COMPUTED_VALUE"""),"The Gods of The Sea are a revered and ancient faction within The Land of Spira, deeply influenced by the mythological figures Neptune and Poseidon. This faction is composed of individuals who have chosen to dedicate their lives to the protection, explorat"&amp;"ion, and stewardship of the vast and mysterious oceans that cradle the realm.
Members of The Gods of The Sea are known for their intimate connection with the aquatic world and their unwavering commitment to the preservation of the oceans. They are skille"&amp;"d seafarers, navigators, and explorers who possess a deep understanding of maritime ecosystems, the creatures that inhabit them, and the spiritual aspects of the sea.
The faction comprises a diverse group of individuals, including sailors, marine biologi"&amp;"sts, navigators, and water mages. They share a common reverence for the power, beauty, and enigmatic depths of the ocean and dedicate their efforts to ensuring the seas remain a vital part of The Land of Spira.
The Gods of The Sea actively engage in seaf"&amp;"aring exploration, marine research, and the protection of marine life. They are known for their efforts to combat pollution, illegal fishing, and the conservation of endangered species, as well as their commitment to understanding the spiritual and magica"&amp;"l aspects of the seas.
This faction conducts rituals and ceremonies in honor of Neptune and Poseidon, seeking their blessings to ensure safe voyages, bountiful catches, and the overall harmony of the oceans. Their sacred knowledge includes an understandi"&amp;"ng of ocean currents, weather patterns, and the natural cycles that govern the seas.
The Gods of The Sea also serve as protectors, acting as guardians against maritime threats, ensuring safe passage for travelers and protecting coastal communities from n"&amp;"atural disasters. They are skilled at shipbuilding, navigation, and harnessing the power of water and weather.")</f>
        <v>The Gods of The Sea are a revered and ancient faction within The Land of Spira, deeply influenced by the mythological figures Neptune and Poseidon. This faction is composed of individuals who have chosen to dedicate their lives to the protection, exploration, and stewardship of the vast and mysterious oceans that cradle the realm.
Members of The Gods of The Sea are known for their intimate connection with the aquatic world and their unwavering commitment to the preservation of the oceans. They are skilled seafarers, navigators, and explorers who possess a deep understanding of maritime ecosystems, the creatures that inhabit them, and the spiritual aspects of the sea.
The faction comprises a diverse group of individuals, including sailors, marine biologists, navigators, and water mages. They share a common reverence for the power, beauty, and enigmatic depths of the ocean and dedicate their efforts to ensuring the seas remain a vital part of The Land of Spira.
The Gods of The Sea actively engage in seafaring exploration, marine research, and the protection of marine life. They are known for their efforts to combat pollution, illegal fishing, and the conservation of endangered species, as well as their commitment to understanding the spiritual and magical aspects of the seas.
This faction conducts rituals and ceremonies in honor of Neptune and Poseidon, seeking their blessings to ensure safe voyages, bountiful catches, and the overall harmony of the oceans. Their sacred knowledge includes an understanding of ocean currents, weather patterns, and the natural cycles that govern the seas.
The Gods of The Sea also serve as protectors, acting as guardians against maritime threats, ensuring safe passage for travelers and protecting coastal communities from natural disasters. They are skilled at shipbuilding, navigation, and harnessing the power of water and weather.</v>
      </c>
      <c r="C9" s="121" t="str">
        <f>IFERROR(__xludf.DUMMYFUNCTION("""COMPUTED_VALUE"""),"Healing Fountain")</f>
        <v>Healing Fountain</v>
      </c>
      <c r="D9" s="123" t="str">
        <f>IFERROR(__xludf.DUMMYFUNCTION("""COMPUTED_VALUE"""),"When dealing water damage to an enemy, Your HP and SP will be restored equal to 0.5% of the damage dealt ")</f>
        <v>When dealing water damage to an enemy, Your HP and SP will be restored equal to 0.5% of the damage dealt </v>
      </c>
      <c r="E9" s="123" t="str">
        <f>IFERROR(__xludf.DUMMYFUNCTION("""COMPUTED_VALUE"""),"Aquatic Destruction")</f>
        <v>Aquatic Destruction</v>
      </c>
      <c r="F9" s="49" t="str">
        <f>IFERROR(__xludf.DUMMYFUNCTION("""COMPUTED_VALUE"""),"X2 additional Water damage ")</f>
        <v>X2 additional Water damage </v>
      </c>
      <c r="G9" s="49" t="str">
        <f>IFERROR(__xludf.DUMMYFUNCTION("""COMPUTED_VALUE"""),"Call of The Kraken")</f>
        <v>Call of The Kraken</v>
      </c>
      <c r="H9" s="49" t="str">
        <f>IFERROR(__xludf.DUMMYFUNCTION("""COMPUTED_VALUE"""),"When using a Rank 9 Water Spell their will be a 5% chance to call upon the Kraken to aid you in battle.")</f>
        <v>When using a Rank 9 Water Spell their will be a 5% chance to call upon the Kraken to aid you in battle.</v>
      </c>
      <c r="I9" s="49" t="b">
        <f>IFERROR(__xludf.DUMMYFUNCTION("""COMPUTED_VALUE"""),TRUE)</f>
        <v>1</v>
      </c>
      <c r="J9" s="49" t="b">
        <f>IFERROR(__xludf.DUMMYFUNCTION("""COMPUTED_VALUE"""),TRUE)</f>
        <v>1</v>
      </c>
      <c r="K9" s="49" t="b">
        <f>IFERROR(__xludf.DUMMYFUNCTION("""COMPUTED_VALUE"""),TRUE)</f>
        <v>1</v>
      </c>
      <c r="L9" s="49" t="b">
        <f>IFERROR(__xludf.DUMMYFUNCTION("""COMPUTED_VALUE"""),TRUE)</f>
        <v>1</v>
      </c>
      <c r="M9" s="49" t="b">
        <f>IFERROR(__xludf.DUMMYFUNCTION("""COMPUTED_VALUE"""),TRUE)</f>
        <v>1</v>
      </c>
      <c r="N9" s="49" t="b">
        <f>IFERROR(__xludf.DUMMYFUNCTION("""COMPUTED_VALUE"""),TRUE)</f>
        <v>1</v>
      </c>
      <c r="O9" s="49" t="b">
        <f>IFERROR(__xludf.DUMMYFUNCTION("""COMPUTED_VALUE"""),TRUE)</f>
        <v>1</v>
      </c>
      <c r="P9" s="49" t="b">
        <f>IFERROR(__xludf.DUMMYFUNCTION("""COMPUTED_VALUE"""),TRUE)</f>
        <v>1</v>
      </c>
      <c r="Q9" s="49" t="b">
        <f>IFERROR(__xludf.DUMMYFUNCTION("""COMPUTED_VALUE"""),TRUE)</f>
        <v>1</v>
      </c>
      <c r="R9" s="49"/>
      <c r="S9" s="49"/>
      <c r="T9" s="49"/>
      <c r="U9" s="49"/>
      <c r="V9" s="49"/>
      <c r="W9" s="49"/>
      <c r="X9" s="49"/>
      <c r="Y9" s="49"/>
      <c r="Z9" s="49"/>
    </row>
    <row r="10">
      <c r="A10" s="121" t="str">
        <f>IFERROR(__xludf.DUMMYFUNCTION("""COMPUTED_VALUE"""),"The God's Quiver")</f>
        <v>The God's Quiver</v>
      </c>
      <c r="B10" s="122" t="str">
        <f>IFERROR(__xludf.DUMMYFUNCTION("""COMPUTED_VALUE"""),"The Guardians of Nature are a revered and ecologically-minded faction within The Land of Spira, deeply influenced by the ancient goddess Aranyani, the Goddess of the Forest. This faction is composed of individuals who have chosen to dedicate their lives t"&amp;"o the protection, preservation, and harmony of the natural world, encompassing not only the forests but also the entire spectrum of the environment.
Members of The Guardians of Nature are known for their intimate connection with the forests and the wild,"&amp;" and their unwavering commitment to the well-being of the realm's ecosystems. They are naturalists, botanists, foresters, and guardians of the land who possess a deep understanding of the delicate balance of nature.
The faction is a diverse and harmoniou"&amp;"s group, including druids, herbalists, rangers, and nature mages. They share a common reverence for the goddess Aranyani and her teachings, advocating for the responsible stewardship of the land, the conservation of wildlife, and the preservation of natur"&amp;"al habitats.
The Guardians of Nature actively engage in reforestation efforts, wildlife protection, and the restoration of ecosystems. They are known for their initiatives to combat deforestation, habitat destruction, and the conservation of endangered s"&amp;"pecies. They have an innate understanding of plant and animal life, using their knowledge to ensure the harmony of the natural world.
This faction conducts rituals and ceremonies in honor of Aranyani, seeking her blessings to maintain the delicate balanc"&amp;"e of nature, heal the land, and protect the wild. Their sacred knowledge includes an understanding of the lifecycles, plant medicines, and the secrets of the forest.
The Guardians of Nature serve as protectors and stewards of the natural world, acting as"&amp;" defenders against ecological threats, preventing exploitation, and aiding in the reparation of damaged lands. They are also known for their skills in tracking, camouflage, and the ability to commune with animals.")</f>
        <v>The Guardians of Nature are a revered and ecologically-minded faction within The Land of Spira, deeply influenced by the ancient goddess Aranyani, the Goddess of the Forest. This faction is composed of individuals who have chosen to dedicate their lives to the protection, preservation, and harmony of the natural world, encompassing not only the forests but also the entire spectrum of the environment.
Members of The Guardians of Nature are known for their intimate connection with the forests and the wild, and their unwavering commitment to the well-being of the realm's ecosystems. They are naturalists, botanists, foresters, and guardians of the land who possess a deep understanding of the delicate balance of nature.
The faction is a diverse and harmonious group, including druids, herbalists, rangers, and nature mages. They share a common reverence for the goddess Aranyani and her teachings, advocating for the responsible stewardship of the land, the conservation of wildlife, and the preservation of natural habitats.
The Guardians of Nature actively engage in reforestation efforts, wildlife protection, and the restoration of ecosystems. They are known for their initiatives to combat deforestation, habitat destruction, and the conservation of endangered species. They have an innate understanding of plant and animal life, using their knowledge to ensure the harmony of the natural world.
This faction conducts rituals and ceremonies in honor of Aranyani, seeking her blessings to maintain the delicate balance of nature, heal the land, and protect the wild. Their sacred knowledge includes an understanding of the lifecycles, plant medicines, and the secrets of the forest.
The Guardians of Nature serve as protectors and stewards of the natural world, acting as defenders against ecological threats, preventing exploitation, and aiding in the reparation of damaged lands. They are also known for their skills in tracking, camouflage, and the ability to commune with animals.</v>
      </c>
      <c r="C10" s="121" t="str">
        <f>IFERROR(__xludf.DUMMYFUNCTION("""COMPUTED_VALUE"""),"Natures Blessing")</f>
        <v>Natures Blessing</v>
      </c>
      <c r="D10" s="123" t="str">
        <f>IFERROR(__xludf.DUMMYFUNCTION("""COMPUTED_VALUE"""),"When dealing nature damage to an enemy, Your HP and SP will be restored equal to half of the damage dealt ")</f>
        <v>When dealing nature damage to an enemy, Your HP and SP will be restored equal to half of the damage dealt </v>
      </c>
      <c r="E10" s="123" t="str">
        <f>IFERROR(__xludf.DUMMYFUNCTION("""COMPUTED_VALUE"""),"Natures Helping Hand")</f>
        <v>Natures Helping Hand</v>
      </c>
      <c r="F10" s="49" t="str">
        <f>IFERROR(__xludf.DUMMYFUNCTION("""COMPUTED_VALUE"""),"You gain Truesight 1 at the beginning of battle if the battle is in a Forest, Jungle, or Swamp. ")</f>
        <v>You gain Truesight 1 at the beginning of battle if the battle is in a Forest, Jungle, or Swamp. </v>
      </c>
      <c r="G10" s="49" t="str">
        <f>IFERROR(__xludf.DUMMYFUNCTION("""COMPUTED_VALUE"""),"Natures Guide")</f>
        <v>Natures Guide</v>
      </c>
      <c r="H10" s="49" t="str">
        <f>IFERROR(__xludf.DUMMYFUNCTION("""COMPUTED_VALUE"""),"You will never fail to find herbs. If you don't find one keep rolling until you do.")</f>
        <v>You will never fail to find herbs. If you don't find one keep rolling until you do.</v>
      </c>
      <c r="I10" s="49" t="b">
        <f>IFERROR(__xludf.DUMMYFUNCTION("""COMPUTED_VALUE"""),TRUE)</f>
        <v>1</v>
      </c>
      <c r="J10" s="49" t="b">
        <f>IFERROR(__xludf.DUMMYFUNCTION("""COMPUTED_VALUE"""),TRUE)</f>
        <v>1</v>
      </c>
      <c r="K10" s="49" t="b">
        <f>IFERROR(__xludf.DUMMYFUNCTION("""COMPUTED_VALUE"""),TRUE)</f>
        <v>1</v>
      </c>
      <c r="L10" s="49" t="b">
        <f>IFERROR(__xludf.DUMMYFUNCTION("""COMPUTED_VALUE"""),TRUE)</f>
        <v>1</v>
      </c>
      <c r="M10" s="49" t="b">
        <f>IFERROR(__xludf.DUMMYFUNCTION("""COMPUTED_VALUE"""),TRUE)</f>
        <v>1</v>
      </c>
      <c r="N10" s="49" t="b">
        <f>IFERROR(__xludf.DUMMYFUNCTION("""COMPUTED_VALUE"""),TRUE)</f>
        <v>1</v>
      </c>
      <c r="O10" s="49" t="b">
        <f>IFERROR(__xludf.DUMMYFUNCTION("""COMPUTED_VALUE"""),TRUE)</f>
        <v>1</v>
      </c>
      <c r="P10" s="49" t="b">
        <f>IFERROR(__xludf.DUMMYFUNCTION("""COMPUTED_VALUE"""),TRUE)</f>
        <v>1</v>
      </c>
      <c r="Q10" s="49" t="b">
        <f>IFERROR(__xludf.DUMMYFUNCTION("""COMPUTED_VALUE"""),TRUE)</f>
        <v>1</v>
      </c>
      <c r="R10" s="49"/>
      <c r="S10" s="49"/>
      <c r="T10" s="49"/>
      <c r="U10" s="49"/>
      <c r="V10" s="49"/>
      <c r="W10" s="49"/>
      <c r="X10" s="49"/>
      <c r="Y10" s="49"/>
      <c r="Z10" s="49"/>
    </row>
    <row r="11">
      <c r="A11" s="121" t="str">
        <f>IFERROR(__xludf.DUMMYFUNCTION("""COMPUTED_VALUE"""),"The Exiled Ones")</f>
        <v>The Exiled Ones</v>
      </c>
      <c r="B11" s="122" t="str">
        <f>IFERROR(__xludf.DUMMYFUNCTION("""COMPUTED_VALUE"""),"The Exiled Ones are a mysterious and enigmatic faction within The Land of Spira, deeply influenced by the mythic figure known as The Keeper of the Banished. This faction is composed of individuals who have embraced their roles as outcasts, pariahs, and ex"&amp;"iles from society, forging their own path on the fringes of the realm.
Members of The Exiled Ones are marked by their resilience, resourcefulness, and the weight of their past transgressions or unique life circumstances. They have chosen to live beyond t"&amp;"he boundaries of conventional society and have become adept at surviving in the most challenging and unforgiving environments.
The faction consists of a diverse group of individuals, including rogues, wanderers, solitary mages, and those who have been ca"&amp;"st out of mainstream society. Their shared belief is in the freedom of living on their own terms, unburdened by the constraints of tradition or authority.
The Exiled Ones actively engage in nomadic lifestyles, scavenging, and the forging of new communiti"&amp;"es in isolated regions. They are known for their skills in survival, unconventional problem-solving, and adapting to the ever-changing and often perilous circumstances of their existence.")</f>
        <v>The Exiled Ones are a mysterious and enigmatic faction within The Land of Spira, deeply influenced by the mythic figure known as The Keeper of the Banished. This faction is composed of individuals who have embraced their roles as outcasts, pariahs, and exiles from society, forging their own path on the fringes of the realm.
Members of The Exiled Ones are marked by their resilience, resourcefulness, and the weight of their past transgressions or unique life circumstances. They have chosen to live beyond the boundaries of conventional society and have become adept at surviving in the most challenging and unforgiving environments.
The faction consists of a diverse group of individuals, including rogues, wanderers, solitary mages, and those who have been cast out of mainstream society. Their shared belief is in the freedom of living on their own terms, unburdened by the constraints of tradition or authority.
The Exiled Ones actively engage in nomadic lifestyles, scavenging, and the forging of new communities in isolated regions. They are known for their skills in survival, unconventional problem-solving, and adapting to the ever-changing and often perilous circumstances of their existence.</v>
      </c>
      <c r="C11" s="121" t="str">
        <f>IFERROR(__xludf.DUMMYFUNCTION("""COMPUTED_VALUE"""),"Panic")</f>
        <v>Panic</v>
      </c>
      <c r="D11" s="123" t="str">
        <f>IFERROR(__xludf.DUMMYFUNCTION("""COMPUTED_VALUE"""),"When adventuring alone or partaking in a party with 3 or less party members, your fleeing rolls are doubled.")</f>
        <v>When adventuring alone or partaking in a party with 3 or less party members, your fleeing rolls are doubled.</v>
      </c>
      <c r="E11" s="123" t="str">
        <f>IFERROR(__xludf.DUMMYFUNCTION("""COMPUTED_VALUE"""),"Isolation")</f>
        <v>Isolation</v>
      </c>
      <c r="F11" s="49" t="str">
        <f>IFERROR(__xludf.DUMMYFUNCTION("""COMPUTED_VALUE"""),"25% chance to seperate yourself from the party in battle creating a second battle against the same enemies, Fail/Succeed. Unaffected by bonuses.")</f>
        <v>25% chance to seperate yourself from the party in battle creating a second battle against the same enemies, Fail/Succeed. Unaffected by bonuses.</v>
      </c>
      <c r="G11" s="49" t="str">
        <f>IFERROR(__xludf.DUMMYFUNCTION("""COMPUTED_VALUE"""),"Exile")</f>
        <v>Exile</v>
      </c>
      <c r="H11" s="49" t="str">
        <f>IFERROR(__xludf.DUMMYFUNCTION("""COMPUTED_VALUE"""),"20% chance of all enemies being banished if you are the only party member in battle or alive (Unaffected by bonuses), or if you are the only party member in battle or alive you can flee without fail.")</f>
        <v>20% chance of all enemies being banished if you are the only party member in battle or alive (Unaffected by bonuses), or if you are the only party member in battle or alive you can flee without fail.</v>
      </c>
      <c r="I11" s="49" t="b">
        <f>IFERROR(__xludf.DUMMYFUNCTION("""COMPUTED_VALUE"""),TRUE)</f>
        <v>1</v>
      </c>
      <c r="J11" s="49" t="b">
        <f>IFERROR(__xludf.DUMMYFUNCTION("""COMPUTED_VALUE"""),TRUE)</f>
        <v>1</v>
      </c>
      <c r="K11" s="49" t="b">
        <f>IFERROR(__xludf.DUMMYFUNCTION("""COMPUTED_VALUE"""),TRUE)</f>
        <v>1</v>
      </c>
      <c r="L11" s="49" t="b">
        <f>IFERROR(__xludf.DUMMYFUNCTION("""COMPUTED_VALUE"""),TRUE)</f>
        <v>1</v>
      </c>
      <c r="M11" s="49" t="b">
        <f>IFERROR(__xludf.DUMMYFUNCTION("""COMPUTED_VALUE"""),TRUE)</f>
        <v>1</v>
      </c>
      <c r="N11" s="49" t="b">
        <f>IFERROR(__xludf.DUMMYFUNCTION("""COMPUTED_VALUE"""),TRUE)</f>
        <v>1</v>
      </c>
      <c r="O11" s="49" t="b">
        <f>IFERROR(__xludf.DUMMYFUNCTION("""COMPUTED_VALUE"""),TRUE)</f>
        <v>1</v>
      </c>
      <c r="P11" s="49" t="b">
        <f>IFERROR(__xludf.DUMMYFUNCTION("""COMPUTED_VALUE"""),TRUE)</f>
        <v>1</v>
      </c>
      <c r="Q11" s="49" t="b">
        <f>IFERROR(__xludf.DUMMYFUNCTION("""COMPUTED_VALUE"""),TRUE)</f>
        <v>1</v>
      </c>
      <c r="R11" s="49"/>
      <c r="S11" s="49"/>
      <c r="T11" s="49"/>
      <c r="U11" s="49"/>
      <c r="V11" s="49"/>
      <c r="W11" s="49"/>
      <c r="X11" s="49"/>
      <c r="Y11" s="49"/>
      <c r="Z11" s="49"/>
    </row>
    <row r="12">
      <c r="A12" s="121" t="str">
        <f>IFERROR(__xludf.DUMMYFUNCTION("""COMPUTED_VALUE"""),"The Astrologist's")</f>
        <v>The Astrologist's</v>
      </c>
      <c r="B12" s="122" t="str">
        <f>IFERROR(__xludf.DUMMYFUNCTION("""COMPUTED_VALUE"""),"The Astrologers are a revered and enigmatic faction within The Land of Spira, deeply influenced by the ancient and mythical Dragon Deity, Astralis, the Bearer of Branches and Creator of the Universe. This faction is composed of individuals who have chosen"&amp;" to dedicate their lives to the study of the cosmos, the pursuit of cosmic knowledge, and the understanding of the intricate web that connects all existence.
Members of The Astrologers are known for their deep reverence for the celestial, and their unwav"&amp;"ering commitment to unraveling the mysteries of the universe. They are stargazers, astronomers, cosmologists, and seekers of the profound cosmic truths that shape the destiny of the realm.
The faction encompasses a diverse and contemplative group of indi"&amp;"viduals, including star mages, celestial scholars, and those who delve into the secrets of the night sky. They share a common devotion to the study of celestial bodies, the cosmic cycles, and the belief that the cosmos holds the key to understanding the p"&amp;"ast, present, and future.
The Astrologers actively engage in the observation of celestial phenomena, the deciphering of cosmic patterns, and the exploration of the divine influence of the stars on the realm. They are known for their skills in celestial n"&amp;"avigation, prophecy, and the interpretation of celestial omens.
This faction conducts rituals and ceremonies that pay homage to Astralis, the ancient Dragon Deity, seeking divine insight and guidance from the celestial realms. Their sacred knowledge enco"&amp;"mpasses the principles of astrology, the mysteries of cosmic forces, and the interconnectedness of all things in the universe.
The Astrologers are not only scholars and observers but also interpreters of destiny. They are consulted for their wisdom in gu"&amp;"iding individuals and communities, predicting celestial events, and offering insights into the great cosmic design.")</f>
        <v>The Astrologers are a revered and enigmatic faction within The Land of Spira, deeply influenced by the ancient and mythical Dragon Deity, Astralis, the Bearer of Branches and Creator of the Universe. This faction is composed of individuals who have chosen to dedicate their lives to the study of the cosmos, the pursuit of cosmic knowledge, and the understanding of the intricate web that connects all existence.
Members of The Astrologers are known for their deep reverence for the celestial, and their unwavering commitment to unraveling the mysteries of the universe. They are stargazers, astronomers, cosmologists, and seekers of the profound cosmic truths that shape the destiny of the realm.
The faction encompasses a diverse and contemplative group of individuals, including star mages, celestial scholars, and those who delve into the secrets of the night sky. They share a common devotion to the study of celestial bodies, the cosmic cycles, and the belief that the cosmos holds the key to understanding the past, present, and future.
The Astrologers actively engage in the observation of celestial phenomena, the deciphering of cosmic patterns, and the exploration of the divine influence of the stars on the realm. They are known for their skills in celestial navigation, prophecy, and the interpretation of celestial omens.
This faction conducts rituals and ceremonies that pay homage to Astralis, the ancient Dragon Deity, seeking divine insight and guidance from the celestial realms. Their sacred knowledge encompasses the principles of astrology, the mysteries of cosmic forces, and the interconnectedness of all things in the universe.
The Astrologers are not only scholars and observers but also interpreters of destiny. They are consulted for their wisdom in guiding individuals and communities, predicting celestial events, and offering insights into the great cosmic design.</v>
      </c>
      <c r="C12" s="121" t="str">
        <f>IFERROR(__xludf.DUMMYFUNCTION("""COMPUTED_VALUE"""),"The Universe of Spira")</f>
        <v>The Universe of Spira</v>
      </c>
      <c r="D12" s="123" t="str">
        <f>IFERROR(__xludf.DUMMYFUNCTION("""COMPUTED_VALUE"""),"Astral Spell/Power Attacks will also deal X Celestial damage where X is equal to your accuracy.")</f>
        <v>Astral Spell/Power Attacks will also deal X Celestial damage where X is equal to your accuracy.</v>
      </c>
      <c r="E12" s="123" t="str">
        <f>IFERROR(__xludf.DUMMYFUNCTION("""COMPUTED_VALUE"""),"Shooting Star")</f>
        <v>Shooting Star</v>
      </c>
      <c r="F12" s="49" t="str">
        <f>IFERROR(__xludf.DUMMYFUNCTION("""COMPUTED_VALUE"""),"When traveling on a 50+ day journey roll a d20. 1-5 You find d20 Star Pieces,   6-10 Switch the time of day at any point in the journey without waiting once, 11-15 +5 to your rolls for the next 3 battles during this journey, 16-20 deduct up to 5 bad days "&amp;"of travel this journey.")</f>
        <v>When traveling on a 50+ day journey roll a d20. 1-5 You find d20 Star Pieces,   6-10 Switch the time of day at any point in the journey without waiting once, 11-15 +5 to your rolls for the next 3 battles during this journey, 16-20 deduct up to 5 bad days of travel this journey.</v>
      </c>
      <c r="G12" s="49" t="str">
        <f>IFERROR(__xludf.DUMMYFUNCTION("""COMPUTED_VALUE"""),"Lucky Rainbow")</f>
        <v>Lucky Rainbow</v>
      </c>
      <c r="H12" s="49" t="str">
        <f>IFERROR(__xludf.DUMMYFUNCTION("""COMPUTED_VALUE"""),"If you successfully complete a 50+ day journey without dying or deducting any bad days you can deduct 10 bad days of travel from the next journey.")</f>
        <v>If you successfully complete a 50+ day journey without dying or deducting any bad days you can deduct 10 bad days of travel from the next journey.</v>
      </c>
      <c r="I12" s="49" t="b">
        <f>IFERROR(__xludf.DUMMYFUNCTION("""COMPUTED_VALUE"""),TRUE)</f>
        <v>1</v>
      </c>
      <c r="J12" s="49" t="b">
        <f>IFERROR(__xludf.DUMMYFUNCTION("""COMPUTED_VALUE"""),TRUE)</f>
        <v>1</v>
      </c>
      <c r="K12" s="49" t="b">
        <f>IFERROR(__xludf.DUMMYFUNCTION("""COMPUTED_VALUE"""),TRUE)</f>
        <v>1</v>
      </c>
      <c r="L12" s="49" t="b">
        <f>IFERROR(__xludf.DUMMYFUNCTION("""COMPUTED_VALUE"""),TRUE)</f>
        <v>1</v>
      </c>
      <c r="M12" s="49" t="b">
        <f>IFERROR(__xludf.DUMMYFUNCTION("""COMPUTED_VALUE"""),TRUE)</f>
        <v>1</v>
      </c>
      <c r="N12" s="49" t="b">
        <f>IFERROR(__xludf.DUMMYFUNCTION("""COMPUTED_VALUE"""),TRUE)</f>
        <v>1</v>
      </c>
      <c r="O12" s="49" t="b">
        <f>IFERROR(__xludf.DUMMYFUNCTION("""COMPUTED_VALUE"""),TRUE)</f>
        <v>1</v>
      </c>
      <c r="P12" s="49" t="b">
        <f>IFERROR(__xludf.DUMMYFUNCTION("""COMPUTED_VALUE"""),TRUE)</f>
        <v>1</v>
      </c>
      <c r="Q12" s="49" t="b">
        <f>IFERROR(__xludf.DUMMYFUNCTION("""COMPUTED_VALUE"""),TRUE)</f>
        <v>1</v>
      </c>
      <c r="R12" s="49"/>
      <c r="S12" s="49"/>
      <c r="T12" s="49"/>
      <c r="U12" s="49"/>
      <c r="V12" s="49"/>
      <c r="W12" s="49"/>
      <c r="X12" s="49"/>
      <c r="Y12" s="49"/>
      <c r="Z12" s="49"/>
    </row>
    <row r="13">
      <c r="A13" s="121" t="str">
        <f>IFERROR(__xludf.DUMMYFUNCTION("""COMPUTED_VALUE"""),"The Choir of Dionysus")</f>
        <v>The Choir of Dionysus</v>
      </c>
      <c r="B13" s="122" t="str">
        <f>IFERROR(__xludf.DUMMYFUNCTION("""COMPUTED_VALUE"""),"The Choir of Dionysus is a lively and exuberant faction within The Land of Spira, deeply influenced by the festive and celebratory spirit of Dionysus, the God of the Party. This faction is composed of individuals who have embraced the revelry, music, and "&amp;"merrymaking that are central to their lives as bards and entertainers.
Members of The Choir of Dionysus are known for their passion for music, storytelling, and the joy of communal celebrations. They are bards, minstrels, troubadours, and artists who hav"&amp;"e chosen to dedicate their lives to spreading cheer and enchantment throughout the realm.
The faction is a diverse and artistic group, including musicians, actors, jesters, and performers who share a common belief in the power of art and music to uplift "&amp;"spirits and bring people together in celebration.
The Choir of Dionysus actively engages in performing arts, creating lively festivals, and organizing grand feasts and parties. They are known for their skills in music, dance, oratory, and their ability t"&amp;"o inspire euphoria and enchantment among those who experience their performances.
This faction conducts lively and vibrant celebrations, inviting all to join in the festivities. They seek to infuse every aspect of life with joy, whether through grand spe"&amp;"ctacles, impromptu gatherings, or spontaneous parades.")</f>
        <v>The Choir of Dionysus is a lively and exuberant faction within The Land of Spira, deeply influenced by the festive and celebratory spirit of Dionysus, the God of the Party. This faction is composed of individuals who have embraced the revelry, music, and merrymaking that are central to their lives as bards and entertainers.
Members of The Choir of Dionysus are known for their passion for music, storytelling, and the joy of communal celebrations. They are bards, minstrels, troubadours, and artists who have chosen to dedicate their lives to spreading cheer and enchantment throughout the realm.
The faction is a diverse and artistic group, including musicians, actors, jesters, and performers who share a common belief in the power of art and music to uplift spirits and bring people together in celebration.
The Choir of Dionysus actively engages in performing arts, creating lively festivals, and organizing grand feasts and parties. They are known for their skills in music, dance, oratory, and their ability to inspire euphoria and enchantment among those who experience their performances.
This faction conducts lively and vibrant celebrations, inviting all to join in the festivities. They seek to infuse every aspect of life with joy, whether through grand spectacles, impromptu gatherings, or spontaneous parades.</v>
      </c>
      <c r="C13" s="121" t="str">
        <f>IFERROR(__xludf.DUMMYFUNCTION("""COMPUTED_VALUE"""),"Preaching to the Choir")</f>
        <v>Preaching to the Choir</v>
      </c>
      <c r="D13" s="123" t="str">
        <f>IFERROR(__xludf.DUMMYFUNCTION("""COMPUTED_VALUE"""),"Buffs targetting an ally or self are guaranteed to succeed")</f>
        <v>Buffs targetting an ally or self are guaranteed to succeed</v>
      </c>
      <c r="E13" s="123" t="str">
        <f>IFERROR(__xludf.DUMMYFUNCTION("""COMPUTED_VALUE"""),"Beguiling Charm")</f>
        <v>Beguiling Charm</v>
      </c>
      <c r="F13" s="49" t="str">
        <f>IFERROR(__xludf.DUMMYFUNCTION("""COMPUTED_VALUE"""),"+5 Charisma")</f>
        <v>+5 Charisma</v>
      </c>
      <c r="G13" s="49" t="str">
        <f>IFERROR(__xludf.DUMMYFUNCTION("""COMPUTED_VALUE"""),"Ravaging Performance")</f>
        <v>Ravaging Performance</v>
      </c>
      <c r="H13" s="49" t="str">
        <f>IFERROR(__xludf.DUMMYFUNCTION("""COMPUTED_VALUE"""),"Acoustic Attacks do an additional X4 Damage, and will have a 15% chance to inflict any enemy hit with Disoriented 5")</f>
        <v>Acoustic Attacks do an additional X4 Damage, and will have a 15% chance to inflict any enemy hit with Disoriented 5</v>
      </c>
      <c r="I13" s="49" t="b">
        <f>IFERROR(__xludf.DUMMYFUNCTION("""COMPUTED_VALUE"""),TRUE)</f>
        <v>1</v>
      </c>
      <c r="J13" s="49" t="b">
        <f>IFERROR(__xludf.DUMMYFUNCTION("""COMPUTED_VALUE"""),TRUE)</f>
        <v>1</v>
      </c>
      <c r="K13" s="49" t="b">
        <f>IFERROR(__xludf.DUMMYFUNCTION("""COMPUTED_VALUE"""),TRUE)</f>
        <v>1</v>
      </c>
      <c r="L13" s="49" t="b">
        <f>IFERROR(__xludf.DUMMYFUNCTION("""COMPUTED_VALUE"""),TRUE)</f>
        <v>1</v>
      </c>
      <c r="M13" s="49" t="b">
        <f>IFERROR(__xludf.DUMMYFUNCTION("""COMPUTED_VALUE"""),TRUE)</f>
        <v>1</v>
      </c>
      <c r="N13" s="49" t="b">
        <f>IFERROR(__xludf.DUMMYFUNCTION("""COMPUTED_VALUE"""),TRUE)</f>
        <v>1</v>
      </c>
      <c r="O13" s="49" t="b">
        <f>IFERROR(__xludf.DUMMYFUNCTION("""COMPUTED_VALUE"""),TRUE)</f>
        <v>1</v>
      </c>
      <c r="P13" s="49" t="b">
        <f>IFERROR(__xludf.DUMMYFUNCTION("""COMPUTED_VALUE"""),TRUE)</f>
        <v>1</v>
      </c>
      <c r="Q13" s="49" t="b">
        <f>IFERROR(__xludf.DUMMYFUNCTION("""COMPUTED_VALUE"""),TRUE)</f>
        <v>1</v>
      </c>
      <c r="R13" s="49"/>
      <c r="S13" s="49"/>
      <c r="T13" s="49"/>
      <c r="U13" s="49"/>
      <c r="V13" s="49"/>
      <c r="W13" s="49"/>
      <c r="X13" s="49"/>
      <c r="Y13" s="49"/>
      <c r="Z13" s="49"/>
    </row>
    <row r="14">
      <c r="A14" s="121" t="str">
        <f>IFERROR(__xludf.DUMMYFUNCTION("""COMPUTED_VALUE"""),"The Abbott's")</f>
        <v>The Abbott's</v>
      </c>
      <c r="B14" s="122" t="str">
        <f>IFERROR(__xludf.DUMMYFUNCTION("""COMPUTED_VALUE"""),"The Abbott's are a venerable and disciplined faction within The Land of Spira, deeply influenced by the wisdom and teachings of Elder Monk Kenyu. This faction is composed of individuals who have chosen to dedicate their lives to the pursuit of spiritual e"&amp;"nlightenment, inner peace, and the cultivation of harmony in both themselves and the realm.
Members of The Abbott's are known for their unwavering commitment to self-discipline, mindfulness, and their deep connection with the spiritual world. They are mo"&amp;"nks, ascetics, scholars, and seekers who have chosen to follow the path of inner reflection and enlightenment.
The faction encompasses a diverse and contemplative group of individuals, including meditation masters, scholars of ancient wisdom, and those w"&amp;"ho seek to understand the inner workings of the human spirit. They share a common reverence for Elder Monk Kenyu's teachings, advocating for spiritual growth, self-discovery, and the achievement of inner peace.
The Abbott's actively engage in meditative "&amp;"practices, the study of ancient texts, and the quest for a deeper understanding of the inner self. They are known for their skills in meditation, martial arts, and their ability to bring tranquility to the chaotic world around them.
This faction conducts"&amp;" rituals and ceremonies that pay homage to Elder Monk Kenyu and the teachings of inner peace and harmony. Their sacred knowledge encompasses the wisdom of the ages, the art of mindfulness, and the pursuit of enlightenment.
The Abbott's are not only pract"&amp;"itioners but also mentors, guiding others on the path of inner reflection and spiritual growth. They are sought after for their wisdom and their ability to bring calm and clarity to those who seek their counsel.")</f>
        <v>The Abbott's are a venerable and disciplined faction within The Land of Spira, deeply influenced by the wisdom and teachings of Elder Monk Kenyu. This faction is composed of individuals who have chosen to dedicate their lives to the pursuit of spiritual enlightenment, inner peace, and the cultivation of harmony in both themselves and the realm.
Members of The Abbott's are known for their unwavering commitment to self-discipline, mindfulness, and their deep connection with the spiritual world. They are monks, ascetics, scholars, and seekers who have chosen to follow the path of inner reflection and enlightenment.
The faction encompasses a diverse and contemplative group of individuals, including meditation masters, scholars of ancient wisdom, and those who seek to understand the inner workings of the human spirit. They share a common reverence for Elder Monk Kenyu's teachings, advocating for spiritual growth, self-discovery, and the achievement of inner peace.
The Abbott's actively engage in meditative practices, the study of ancient texts, and the quest for a deeper understanding of the inner self. They are known for their skills in meditation, martial arts, and their ability to bring tranquility to the chaotic world around them.
This faction conducts rituals and ceremonies that pay homage to Elder Monk Kenyu and the teachings of inner peace and harmony. Their sacred knowledge encompasses the wisdom of the ages, the art of mindfulness, and the pursuit of enlightenment.
The Abbott's are not only practitioners but also mentors, guiding others on the path of inner reflection and spiritual growth. They are sought after for their wisdom and their ability to bring calm and clarity to those who seek their counsel.</v>
      </c>
      <c r="C14" s="121" t="str">
        <f>IFERROR(__xludf.DUMMYFUNCTION("""COMPUTED_VALUE"""),"Elemental Chi")</f>
        <v>Elemental Chi</v>
      </c>
      <c r="D14" s="123" t="str">
        <f>IFERROR(__xludf.DUMMYFUNCTION("""COMPUTED_VALUE"""),"Take half damage from Fire, Water, Storm, Earth, and Nature.")</f>
        <v>Take half damage from Fire, Water, Storm, Earth, and Nature.</v>
      </c>
      <c r="E14" s="123" t="str">
        <f>IFERROR(__xludf.DUMMYFUNCTION("""COMPUTED_VALUE"""),"Peaceful Mind")</f>
        <v>Peaceful Mind</v>
      </c>
      <c r="F14" s="49" t="str">
        <f>IFERROR(__xludf.DUMMYFUNCTION("""COMPUTED_VALUE"""),"10% Chance of preventing a corrupt guard from engaging the party in battle.")</f>
        <v>10% Chance of preventing a corrupt guard from engaging the party in battle.</v>
      </c>
      <c r="G14" s="49" t="str">
        <f>IFERROR(__xludf.DUMMYFUNCTION("""COMPUTED_VALUE"""),"Peacekeeper")</f>
        <v>Peacekeeper</v>
      </c>
      <c r="H14" s="49" t="str">
        <f>IFERROR(__xludf.DUMMYFUNCTION("""COMPUTED_VALUE"""),"25% chance of preventing party member from engaging each other in battle, stealing from each other, intimidating each other, or inconviencing each other in any way.")</f>
        <v>25% chance of preventing party member from engaging each other in battle, stealing from each other, intimidating each other, or inconviencing each other in any way.</v>
      </c>
      <c r="I14" s="49" t="b">
        <f>IFERROR(__xludf.DUMMYFUNCTION("""COMPUTED_VALUE"""),TRUE)</f>
        <v>1</v>
      </c>
      <c r="J14" s="49" t="b">
        <f>IFERROR(__xludf.DUMMYFUNCTION("""COMPUTED_VALUE"""),TRUE)</f>
        <v>1</v>
      </c>
      <c r="K14" s="49" t="b">
        <f>IFERROR(__xludf.DUMMYFUNCTION("""COMPUTED_VALUE"""),TRUE)</f>
        <v>1</v>
      </c>
      <c r="L14" s="49" t="b">
        <f>IFERROR(__xludf.DUMMYFUNCTION("""COMPUTED_VALUE"""),TRUE)</f>
        <v>1</v>
      </c>
      <c r="M14" s="49" t="b">
        <f>IFERROR(__xludf.DUMMYFUNCTION("""COMPUTED_VALUE"""),TRUE)</f>
        <v>1</v>
      </c>
      <c r="N14" s="49" t="b">
        <f>IFERROR(__xludf.DUMMYFUNCTION("""COMPUTED_VALUE"""),TRUE)</f>
        <v>1</v>
      </c>
      <c r="O14" s="49" t="b">
        <f>IFERROR(__xludf.DUMMYFUNCTION("""COMPUTED_VALUE"""),TRUE)</f>
        <v>1</v>
      </c>
      <c r="P14" s="49" t="b">
        <f>IFERROR(__xludf.DUMMYFUNCTION("""COMPUTED_VALUE"""),TRUE)</f>
        <v>1</v>
      </c>
      <c r="Q14" s="49" t="b">
        <f>IFERROR(__xludf.DUMMYFUNCTION("""COMPUTED_VALUE"""),TRUE)</f>
        <v>1</v>
      </c>
      <c r="R14" s="49"/>
      <c r="S14" s="49"/>
      <c r="T14" s="49"/>
      <c r="U14" s="49"/>
      <c r="V14" s="49"/>
      <c r="W14" s="49"/>
      <c r="X14" s="49"/>
      <c r="Y14" s="49"/>
      <c r="Z14" s="49"/>
    </row>
    <row r="15">
      <c r="A15" s="121" t="str">
        <f>IFERROR(__xludf.DUMMYFUNCTION("""COMPUTED_VALUE"""),"Harbingers of The Voidwoken")</f>
        <v>Harbingers of The Voidwoken</v>
      </c>
      <c r="B15" s="122" t="str">
        <f>IFERROR(__xludf.DUMMYFUNCTION("""COMPUTED_VALUE"""),"The Harbingers are people who stand on neither side of Spira's conflict, instead forming their own order more akin to a group of mercenaries than that of paladins. This Neutrality has lead to conflicts with many different factions and yet no one shuns the"&amp;" group simply due to how valuable an ally they are when their bloodlust is turned in the right directions.
The Harbingers value strength and spirit over all else accepting anyone with a will to fight, and tendency towards chaos, no matter their backgroun"&amp;"d. This lust for strength instills them with an unwaivering loyalty for those who they see as equals. 
The Harbingers, while technically under the Voidbeast Bahamunt acts independantly in most matters seeing as their patron is sealed in the fucking void."&amp;" Also since Bahamut is an ironically large advocate for personal freedom, that didn't get him far now did it? 
The worship methods of the Harbingers is rather different compared to many others in that they show their piety through regular combat, hosting"&amp;" events in the many arenas across Spira which are open to all. ")</f>
        <v>The Harbingers are people who stand on neither side of Spira's conflict, instead forming their own order more akin to a group of mercenaries than that of paladins. This Neutrality has lead to conflicts with many different factions and yet no one shuns the group simply due to how valuable an ally they are when their bloodlust is turned in the right directions.
The Harbingers value strength and spirit over all else accepting anyone with a will to fight, and tendency towards chaos, no matter their background. This lust for strength instills them with an unwaivering loyalty for those who they see as equals. 
The Harbingers, while technically under the Voidbeast Bahamunt acts independantly in most matters seeing as their patron is sealed in the fucking void. Also since Bahamut is an ironically large advocate for personal freedom, that didn't get him far now did it? 
The worship methods of the Harbingers is rather different compared to many others in that they show their piety through regular combat, hosting events in the many arenas across Spira which are open to all. </v>
      </c>
      <c r="C15" s="121" t="str">
        <f>IFERROR(__xludf.DUMMYFUNCTION("""COMPUTED_VALUE"""),"Harbinger's Bloodlust")</f>
        <v>Harbinger's Bloodlust</v>
      </c>
      <c r="D15" s="123" t="str">
        <f>IFERROR(__xludf.DUMMYFUNCTION("""COMPUTED_VALUE"""),"When attacking an enemy with a Natural, Claw, or Guantlet attack you deplete their mana equal to 5% of damage dealt. 
")</f>
        <v>When attacking an enemy with a Natural, Claw, or Guantlet attack you deplete their mana equal to 5% of damage dealt. 
</v>
      </c>
      <c r="E15" s="123" t="str">
        <f>IFERROR(__xludf.DUMMYFUNCTION("""COMPUTED_VALUE"""),"Harbinger's Fervor")</f>
        <v>Harbinger's Fervor</v>
      </c>
      <c r="F15" s="49" t="str">
        <f>IFERROR(__xludf.DUMMYFUNCTION("""COMPUTED_VALUE"""),"X2 additional Natural, Claw, and Guantlet damage.")</f>
        <v>X2 additional Natural, Claw, and Guantlet damage.</v>
      </c>
      <c r="G15" s="49" t="str">
        <f>IFERROR(__xludf.DUMMYFUNCTION("""COMPUTED_VALUE"""),"Harbinger's Honor")</f>
        <v>Harbinger's Honor</v>
      </c>
      <c r="H15" s="49" t="str">
        <f>IFERROR(__xludf.DUMMYFUNCTION("""COMPUTED_VALUE"""),"When fighting any boss enemy deal X4 damage for the first 3 rounds of battle.")</f>
        <v>When fighting any boss enemy deal X4 damage for the first 3 rounds of battle.</v>
      </c>
      <c r="I15" s="49" t="b">
        <f>IFERROR(__xludf.DUMMYFUNCTION("""COMPUTED_VALUE"""),TRUE)</f>
        <v>1</v>
      </c>
      <c r="J15" s="49" t="b">
        <f>IFERROR(__xludf.DUMMYFUNCTION("""COMPUTED_VALUE"""),TRUE)</f>
        <v>1</v>
      </c>
      <c r="K15" s="49" t="b">
        <f>IFERROR(__xludf.DUMMYFUNCTION("""COMPUTED_VALUE"""),TRUE)</f>
        <v>1</v>
      </c>
      <c r="L15" s="49" t="b">
        <f>IFERROR(__xludf.DUMMYFUNCTION("""COMPUTED_VALUE"""),TRUE)</f>
        <v>1</v>
      </c>
      <c r="M15" s="49" t="b">
        <f>IFERROR(__xludf.DUMMYFUNCTION("""COMPUTED_VALUE"""),TRUE)</f>
        <v>1</v>
      </c>
      <c r="N15" s="49" t="b">
        <f>IFERROR(__xludf.DUMMYFUNCTION("""COMPUTED_VALUE"""),TRUE)</f>
        <v>1</v>
      </c>
      <c r="O15" s="49" t="b">
        <f>IFERROR(__xludf.DUMMYFUNCTION("""COMPUTED_VALUE"""),TRUE)</f>
        <v>1</v>
      </c>
      <c r="P15" s="49" t="b">
        <f>IFERROR(__xludf.DUMMYFUNCTION("""COMPUTED_VALUE"""),TRUE)</f>
        <v>1</v>
      </c>
      <c r="Q15" s="49" t="b">
        <f>IFERROR(__xludf.DUMMYFUNCTION("""COMPUTED_VALUE"""),TRUE)</f>
        <v>1</v>
      </c>
      <c r="R15" s="49"/>
      <c r="S15" s="49"/>
      <c r="T15" s="49"/>
      <c r="U15" s="49"/>
      <c r="V15" s="49"/>
      <c r="W15" s="49"/>
      <c r="X15" s="49"/>
      <c r="Y15" s="49"/>
      <c r="Z15" s="49"/>
    </row>
    <row r="16">
      <c r="A16" s="121"/>
      <c r="B16" s="121"/>
      <c r="C16" s="121"/>
      <c r="D16" s="121"/>
      <c r="E16" s="121"/>
      <c r="F16" s="49"/>
      <c r="G16" s="49"/>
      <c r="H16" s="49"/>
      <c r="I16" s="49"/>
      <c r="J16" s="49"/>
      <c r="K16" s="49"/>
      <c r="L16" s="49"/>
      <c r="M16" s="49"/>
      <c r="N16" s="49"/>
      <c r="O16" s="49"/>
      <c r="P16" s="49"/>
      <c r="Q16" s="49"/>
      <c r="R16" s="49"/>
      <c r="S16" s="49"/>
      <c r="T16" s="49"/>
      <c r="U16" s="49"/>
      <c r="V16" s="49"/>
      <c r="W16" s="49"/>
      <c r="X16" s="49"/>
      <c r="Y16" s="49"/>
      <c r="Z16" s="49"/>
    </row>
    <row r="17">
      <c r="A17" s="121"/>
      <c r="B17" s="121"/>
      <c r="C17" s="121"/>
      <c r="D17" s="121"/>
      <c r="E17" s="121"/>
      <c r="F17" s="49"/>
      <c r="G17" s="49"/>
      <c r="H17" s="49"/>
      <c r="I17" s="49"/>
      <c r="J17" s="49"/>
      <c r="K17" s="49"/>
      <c r="L17" s="49"/>
      <c r="M17" s="49"/>
      <c r="N17" s="49"/>
      <c r="O17" s="49"/>
      <c r="P17" s="49"/>
      <c r="Q17" s="49"/>
      <c r="R17" s="49"/>
      <c r="S17" s="49"/>
      <c r="T17" s="49"/>
      <c r="U17" s="49"/>
      <c r="V17" s="49"/>
      <c r="W17" s="49"/>
      <c r="X17" s="49"/>
      <c r="Y17" s="49"/>
      <c r="Z17" s="49"/>
    </row>
    <row r="18">
      <c r="A18" s="121"/>
      <c r="B18" s="121"/>
      <c r="C18" s="121"/>
      <c r="D18" s="121"/>
      <c r="E18" s="121"/>
      <c r="F18" s="49"/>
      <c r="G18" s="49"/>
      <c r="H18" s="49"/>
      <c r="I18" s="49"/>
      <c r="J18" s="49"/>
      <c r="K18" s="49"/>
      <c r="L18" s="49"/>
      <c r="M18" s="49"/>
      <c r="N18" s="49"/>
      <c r="O18" s="49"/>
      <c r="P18" s="49"/>
      <c r="Q18" s="49"/>
      <c r="R18" s="49"/>
      <c r="S18" s="49"/>
      <c r="T18" s="49"/>
      <c r="U18" s="49"/>
      <c r="V18" s="49"/>
      <c r="W18" s="49"/>
      <c r="X18" s="49"/>
      <c r="Y18" s="49"/>
      <c r="Z18" s="49"/>
    </row>
    <row r="19">
      <c r="A19" s="121"/>
      <c r="B19" s="121"/>
      <c r="C19" s="121"/>
      <c r="D19" s="121"/>
      <c r="E19" s="121"/>
      <c r="F19" s="49"/>
      <c r="G19" s="49"/>
      <c r="H19" s="49"/>
      <c r="I19" s="49"/>
      <c r="J19" s="49"/>
      <c r="K19" s="49"/>
      <c r="L19" s="49"/>
      <c r="M19" s="49"/>
      <c r="N19" s="49"/>
      <c r="O19" s="49"/>
      <c r="P19" s="49"/>
      <c r="Q19" s="49"/>
      <c r="R19" s="49"/>
      <c r="S19" s="49"/>
      <c r="T19" s="49"/>
      <c r="U19" s="49"/>
      <c r="V19" s="49"/>
      <c r="W19" s="49"/>
      <c r="X19" s="49"/>
      <c r="Y19" s="49"/>
      <c r="Z19" s="49"/>
    </row>
    <row r="20">
      <c r="A20" s="121"/>
      <c r="B20" s="121"/>
      <c r="C20" s="121"/>
      <c r="D20" s="121"/>
      <c r="E20" s="121"/>
      <c r="F20" s="49"/>
      <c r="G20" s="49"/>
      <c r="H20" s="49"/>
      <c r="I20" s="49"/>
      <c r="J20" s="49"/>
      <c r="K20" s="49"/>
      <c r="L20" s="49"/>
      <c r="M20" s="49"/>
      <c r="N20" s="49"/>
      <c r="O20" s="49"/>
      <c r="P20" s="49"/>
      <c r="Q20" s="49"/>
      <c r="R20" s="49"/>
      <c r="S20" s="49"/>
      <c r="T20" s="49"/>
      <c r="U20" s="49"/>
      <c r="V20" s="49"/>
      <c r="W20" s="49"/>
      <c r="X20" s="49"/>
      <c r="Y20" s="49"/>
      <c r="Z20" s="49"/>
    </row>
    <row r="21">
      <c r="A21" s="121"/>
      <c r="B21" s="121"/>
      <c r="C21" s="121"/>
      <c r="D21" s="121"/>
      <c r="E21" s="121"/>
      <c r="F21" s="49"/>
      <c r="G21" s="49"/>
      <c r="H21" s="49"/>
      <c r="I21" s="49"/>
      <c r="J21" s="49"/>
      <c r="K21" s="49"/>
      <c r="L21" s="49"/>
      <c r="M21" s="49"/>
      <c r="N21" s="49"/>
      <c r="O21" s="49"/>
      <c r="P21" s="49"/>
      <c r="Q21" s="49"/>
      <c r="R21" s="49"/>
      <c r="S21" s="49"/>
      <c r="T21" s="49"/>
      <c r="U21" s="49"/>
      <c r="V21" s="49"/>
      <c r="W21" s="49"/>
      <c r="X21" s="49"/>
      <c r="Y21" s="49"/>
      <c r="Z21" s="49"/>
    </row>
    <row r="22">
      <c r="A22" s="121"/>
      <c r="B22" s="121"/>
      <c r="C22" s="121"/>
      <c r="D22" s="121"/>
      <c r="E22" s="121"/>
      <c r="F22" s="49"/>
      <c r="G22" s="49"/>
      <c r="H22" s="49"/>
      <c r="I22" s="49"/>
      <c r="J22" s="49"/>
      <c r="K22" s="49"/>
      <c r="L22" s="49"/>
      <c r="M22" s="49"/>
      <c r="N22" s="49"/>
      <c r="O22" s="49"/>
      <c r="P22" s="49"/>
      <c r="Q22" s="49"/>
      <c r="R22" s="49"/>
      <c r="S22" s="49"/>
      <c r="T22" s="49"/>
      <c r="U22" s="49"/>
      <c r="V22" s="49"/>
      <c r="W22" s="49"/>
      <c r="X22" s="49"/>
      <c r="Y22" s="49"/>
      <c r="Z22" s="49"/>
    </row>
    <row r="23">
      <c r="A23" s="49"/>
      <c r="B23" s="49"/>
      <c r="C23" s="49"/>
      <c r="D23" s="49"/>
      <c r="E23" s="49"/>
      <c r="F23" s="49"/>
      <c r="G23" s="49"/>
      <c r="H23" s="49"/>
      <c r="I23" s="49"/>
      <c r="J23" s="49"/>
      <c r="K23" s="49"/>
      <c r="L23" s="49"/>
      <c r="M23" s="49"/>
      <c r="N23" s="49"/>
      <c r="O23" s="49"/>
      <c r="P23" s="49"/>
      <c r="Q23" s="49"/>
      <c r="R23" s="49"/>
      <c r="S23" s="49"/>
      <c r="T23" s="49"/>
      <c r="U23" s="49"/>
      <c r="V23" s="49"/>
      <c r="W23" s="49"/>
      <c r="X23" s="49"/>
      <c r="Y23" s="49"/>
      <c r="Z23" s="49"/>
    </row>
    <row r="24">
      <c r="A24" s="49"/>
      <c r="B24" s="49"/>
      <c r="C24" s="49"/>
      <c r="D24" s="49"/>
      <c r="E24" s="49"/>
      <c r="F24" s="49"/>
      <c r="G24" s="49"/>
      <c r="H24" s="49"/>
      <c r="I24" s="49"/>
      <c r="J24" s="49"/>
      <c r="K24" s="49"/>
      <c r="L24" s="49"/>
      <c r="M24" s="49"/>
      <c r="N24" s="49"/>
      <c r="O24" s="49"/>
      <c r="P24" s="49"/>
      <c r="Q24" s="49"/>
      <c r="R24" s="49"/>
      <c r="S24" s="49"/>
      <c r="T24" s="49"/>
      <c r="U24" s="49"/>
      <c r="V24" s="49"/>
      <c r="W24" s="49"/>
      <c r="X24" s="49"/>
      <c r="Y24" s="49"/>
      <c r="Z24" s="49"/>
    </row>
    <row r="25">
      <c r="A25" s="49"/>
      <c r="B25" s="49"/>
      <c r="C25" s="49"/>
      <c r="D25" s="49"/>
      <c r="E25" s="49"/>
      <c r="F25" s="49"/>
      <c r="G25" s="49"/>
      <c r="H25" s="49"/>
      <c r="I25" s="49"/>
      <c r="J25" s="49"/>
      <c r="K25" s="49"/>
      <c r="L25" s="49"/>
      <c r="M25" s="49"/>
      <c r="N25" s="49"/>
      <c r="O25" s="49"/>
      <c r="P25" s="49"/>
      <c r="Q25" s="49"/>
      <c r="R25" s="49"/>
      <c r="S25" s="49"/>
      <c r="T25" s="49"/>
      <c r="U25" s="49"/>
      <c r="V25" s="49"/>
      <c r="W25" s="49"/>
      <c r="X25" s="49"/>
      <c r="Y25" s="49"/>
      <c r="Z25" s="49"/>
    </row>
    <row r="26">
      <c r="A26" s="49"/>
      <c r="B26" s="49"/>
      <c r="C26" s="49"/>
      <c r="D26" s="49"/>
      <c r="E26" s="49"/>
      <c r="F26" s="49"/>
      <c r="G26" s="49"/>
      <c r="H26" s="49"/>
      <c r="I26" s="49"/>
      <c r="J26" s="49"/>
      <c r="K26" s="49"/>
      <c r="L26" s="49"/>
      <c r="M26" s="49"/>
      <c r="N26" s="49"/>
      <c r="O26" s="49"/>
      <c r="P26" s="49"/>
      <c r="Q26" s="49"/>
      <c r="R26" s="49"/>
      <c r="S26" s="49"/>
      <c r="T26" s="49"/>
      <c r="U26" s="49"/>
      <c r="V26" s="49"/>
      <c r="W26" s="49"/>
      <c r="X26" s="49"/>
      <c r="Y26" s="49"/>
      <c r="Z26" s="49"/>
    </row>
    <row r="27">
      <c r="A27" s="49"/>
      <c r="B27" s="49"/>
      <c r="C27" s="49"/>
      <c r="D27" s="49"/>
      <c r="E27" s="49"/>
      <c r="F27" s="49"/>
      <c r="G27" s="49"/>
      <c r="H27" s="49"/>
      <c r="I27" s="49"/>
      <c r="J27" s="49"/>
      <c r="K27" s="49"/>
      <c r="L27" s="49"/>
      <c r="M27" s="49"/>
      <c r="N27" s="49"/>
      <c r="O27" s="49"/>
      <c r="P27" s="49"/>
      <c r="Q27" s="49"/>
      <c r="R27" s="49"/>
      <c r="S27" s="49"/>
      <c r="T27" s="49"/>
      <c r="U27" s="49"/>
      <c r="V27" s="49"/>
      <c r="W27" s="49"/>
      <c r="X27" s="49"/>
      <c r="Y27" s="49"/>
      <c r="Z27" s="49"/>
    </row>
    <row r="28">
      <c r="A28" s="49"/>
      <c r="B28" s="49"/>
      <c r="C28" s="49"/>
      <c r="D28" s="49"/>
      <c r="E28" s="49"/>
      <c r="F28" s="49"/>
      <c r="G28" s="49"/>
      <c r="H28" s="49"/>
      <c r="I28" s="49"/>
      <c r="J28" s="49"/>
      <c r="K28" s="49"/>
      <c r="L28" s="49"/>
      <c r="M28" s="49"/>
      <c r="N28" s="49"/>
      <c r="O28" s="49"/>
      <c r="P28" s="49"/>
      <c r="Q28" s="49"/>
      <c r="R28" s="49"/>
      <c r="S28" s="49"/>
      <c r="T28" s="49"/>
      <c r="U28" s="49"/>
      <c r="V28" s="49"/>
      <c r="W28" s="49"/>
      <c r="X28" s="49"/>
      <c r="Y28" s="49"/>
      <c r="Z28" s="49"/>
    </row>
    <row r="29">
      <c r="A29" s="49"/>
      <c r="B29" s="49"/>
      <c r="C29" s="49"/>
      <c r="D29" s="49"/>
      <c r="E29" s="49"/>
      <c r="F29" s="49"/>
      <c r="G29" s="49"/>
      <c r="H29" s="49"/>
      <c r="I29" s="49"/>
      <c r="J29" s="49"/>
      <c r="K29" s="49"/>
      <c r="L29" s="49"/>
      <c r="M29" s="49"/>
      <c r="N29" s="49"/>
      <c r="O29" s="49"/>
      <c r="P29" s="49"/>
      <c r="Q29" s="49"/>
      <c r="R29" s="49"/>
      <c r="S29" s="49"/>
      <c r="T29" s="49"/>
      <c r="U29" s="49"/>
      <c r="V29" s="49"/>
      <c r="W29" s="49"/>
      <c r="X29" s="49"/>
      <c r="Y29" s="49"/>
      <c r="Z29" s="49"/>
    </row>
    <row r="30">
      <c r="A30" s="49"/>
      <c r="B30" s="49"/>
      <c r="C30" s="49"/>
      <c r="D30" s="49"/>
      <c r="E30" s="49"/>
      <c r="F30" s="49"/>
      <c r="G30" s="49"/>
      <c r="H30" s="49"/>
      <c r="I30" s="49"/>
      <c r="J30" s="49"/>
      <c r="K30" s="49"/>
      <c r="L30" s="49"/>
      <c r="M30" s="49"/>
      <c r="N30" s="49"/>
      <c r="O30" s="49"/>
      <c r="P30" s="49"/>
      <c r="Q30" s="49"/>
      <c r="R30" s="49"/>
      <c r="S30" s="49"/>
      <c r="T30" s="49"/>
      <c r="U30" s="49"/>
      <c r="V30" s="49"/>
      <c r="W30" s="49"/>
      <c r="X30" s="49"/>
      <c r="Y30" s="49"/>
      <c r="Z30" s="49"/>
    </row>
    <row r="31">
      <c r="A31" s="49"/>
      <c r="B31" s="49"/>
      <c r="C31" s="49"/>
      <c r="D31" s="49"/>
      <c r="E31" s="49"/>
      <c r="F31" s="49"/>
      <c r="G31" s="49"/>
      <c r="H31" s="49"/>
      <c r="I31" s="49"/>
      <c r="J31" s="49"/>
      <c r="K31" s="49"/>
      <c r="L31" s="49"/>
      <c r="M31" s="49"/>
      <c r="N31" s="49"/>
      <c r="O31" s="49"/>
      <c r="P31" s="49"/>
      <c r="Q31" s="49"/>
      <c r="R31" s="49"/>
      <c r="S31" s="49"/>
      <c r="T31" s="49"/>
      <c r="U31" s="49"/>
      <c r="V31" s="49"/>
      <c r="W31" s="49"/>
      <c r="X31" s="49"/>
      <c r="Y31" s="49"/>
      <c r="Z31" s="49"/>
    </row>
    <row r="32">
      <c r="A32" s="49"/>
      <c r="B32" s="49"/>
      <c r="C32" s="49"/>
      <c r="D32" s="49"/>
      <c r="E32" s="49"/>
      <c r="F32" s="49"/>
      <c r="G32" s="49"/>
      <c r="H32" s="49"/>
      <c r="I32" s="49"/>
      <c r="J32" s="49"/>
      <c r="K32" s="49"/>
      <c r="L32" s="49"/>
      <c r="M32" s="49"/>
      <c r="N32" s="49"/>
      <c r="O32" s="49"/>
      <c r="P32" s="49"/>
      <c r="Q32" s="49"/>
      <c r="R32" s="49"/>
      <c r="S32" s="49"/>
      <c r="T32" s="49"/>
      <c r="U32" s="49"/>
      <c r="V32" s="49"/>
      <c r="W32" s="49"/>
      <c r="X32" s="49"/>
      <c r="Y32" s="49"/>
      <c r="Z32" s="49"/>
    </row>
    <row r="33">
      <c r="A33" s="49"/>
      <c r="B33" s="49"/>
      <c r="C33" s="49"/>
      <c r="D33" s="49"/>
      <c r="E33" s="49"/>
      <c r="F33" s="49"/>
      <c r="G33" s="49"/>
      <c r="H33" s="49"/>
      <c r="I33" s="49"/>
      <c r="J33" s="49"/>
      <c r="K33" s="49"/>
      <c r="L33" s="49"/>
      <c r="M33" s="49"/>
      <c r="N33" s="49"/>
      <c r="O33" s="49"/>
      <c r="P33" s="49"/>
      <c r="Q33" s="49"/>
      <c r="R33" s="49"/>
      <c r="S33" s="49"/>
      <c r="T33" s="49"/>
      <c r="U33" s="49"/>
      <c r="V33" s="49"/>
      <c r="W33" s="49"/>
      <c r="X33" s="49"/>
      <c r="Y33" s="49"/>
      <c r="Z33" s="49"/>
    </row>
    <row r="34">
      <c r="A34" s="49"/>
      <c r="B34" s="49"/>
      <c r="C34" s="49"/>
      <c r="D34" s="49"/>
      <c r="E34" s="49"/>
      <c r="F34" s="49"/>
      <c r="G34" s="49"/>
      <c r="H34" s="49"/>
      <c r="I34" s="49"/>
      <c r="J34" s="49"/>
      <c r="K34" s="49"/>
      <c r="L34" s="49"/>
      <c r="M34" s="49"/>
      <c r="N34" s="49"/>
      <c r="O34" s="49"/>
      <c r="P34" s="49"/>
      <c r="Q34" s="49"/>
      <c r="R34" s="49"/>
      <c r="S34" s="49"/>
      <c r="T34" s="49"/>
      <c r="U34" s="49"/>
      <c r="V34" s="49"/>
      <c r="W34" s="49"/>
      <c r="X34" s="49"/>
      <c r="Y34" s="49"/>
      <c r="Z34" s="49"/>
    </row>
    <row r="35">
      <c r="A35" s="49"/>
      <c r="B35" s="49"/>
      <c r="C35" s="49"/>
      <c r="D35" s="49"/>
      <c r="E35" s="49"/>
      <c r="F35" s="49"/>
      <c r="G35" s="49"/>
      <c r="H35" s="49"/>
      <c r="I35" s="49"/>
      <c r="J35" s="49"/>
      <c r="K35" s="49"/>
      <c r="L35" s="49"/>
      <c r="M35" s="49"/>
      <c r="N35" s="49"/>
      <c r="O35" s="49"/>
      <c r="P35" s="49"/>
      <c r="Q35" s="49"/>
      <c r="R35" s="49"/>
      <c r="S35" s="49"/>
      <c r="T35" s="49"/>
      <c r="U35" s="49"/>
      <c r="V35" s="49"/>
      <c r="W35" s="49"/>
      <c r="X35" s="49"/>
      <c r="Y35" s="49"/>
      <c r="Z35" s="49"/>
    </row>
    <row r="36">
      <c r="A36" s="49"/>
      <c r="B36" s="49"/>
      <c r="C36" s="49"/>
      <c r="D36" s="49"/>
      <c r="E36" s="49"/>
      <c r="F36" s="49"/>
      <c r="G36" s="49"/>
      <c r="H36" s="49"/>
      <c r="I36" s="49"/>
      <c r="J36" s="49"/>
      <c r="K36" s="49"/>
      <c r="L36" s="49"/>
      <c r="M36" s="49"/>
      <c r="N36" s="49"/>
      <c r="O36" s="49"/>
      <c r="P36" s="49"/>
      <c r="Q36" s="49"/>
      <c r="R36" s="49"/>
      <c r="S36" s="49"/>
      <c r="T36" s="49"/>
      <c r="U36" s="49"/>
      <c r="V36" s="49"/>
      <c r="W36" s="49"/>
      <c r="X36" s="49"/>
      <c r="Y36" s="49"/>
      <c r="Z36" s="49"/>
    </row>
    <row r="37">
      <c r="A37" s="49"/>
      <c r="B37" s="49"/>
      <c r="C37" s="49"/>
      <c r="D37" s="49"/>
      <c r="E37" s="49"/>
      <c r="F37" s="49"/>
      <c r="G37" s="49"/>
      <c r="H37" s="49"/>
      <c r="I37" s="49"/>
      <c r="J37" s="49"/>
      <c r="K37" s="49"/>
      <c r="L37" s="49"/>
      <c r="M37" s="49"/>
      <c r="N37" s="49"/>
      <c r="O37" s="49"/>
      <c r="P37" s="49"/>
      <c r="Q37" s="49"/>
      <c r="R37" s="49"/>
      <c r="S37" s="49"/>
      <c r="T37" s="49"/>
      <c r="U37" s="49"/>
      <c r="V37" s="49"/>
      <c r="W37" s="49"/>
      <c r="X37" s="49"/>
      <c r="Y37" s="49"/>
      <c r="Z37" s="49"/>
    </row>
    <row r="38">
      <c r="A38" s="49"/>
      <c r="B38" s="49"/>
      <c r="C38" s="49"/>
      <c r="D38" s="49"/>
      <c r="E38" s="49"/>
      <c r="F38" s="49"/>
      <c r="G38" s="49"/>
      <c r="H38" s="49"/>
      <c r="I38" s="49"/>
      <c r="J38" s="49"/>
      <c r="K38" s="49"/>
      <c r="L38" s="49"/>
      <c r="M38" s="49"/>
      <c r="N38" s="49"/>
      <c r="O38" s="49"/>
      <c r="P38" s="49"/>
      <c r="Q38" s="49"/>
      <c r="R38" s="49"/>
      <c r="S38" s="49"/>
      <c r="T38" s="49"/>
      <c r="U38" s="49"/>
      <c r="V38" s="49"/>
      <c r="W38" s="49"/>
      <c r="X38" s="49"/>
      <c r="Y38" s="49"/>
      <c r="Z38" s="49"/>
    </row>
    <row r="39">
      <c r="A39" s="49"/>
      <c r="B39" s="49"/>
      <c r="C39" s="49"/>
      <c r="D39" s="49"/>
      <c r="E39" s="49"/>
      <c r="F39" s="49"/>
      <c r="G39" s="49"/>
      <c r="H39" s="49"/>
      <c r="I39" s="49"/>
      <c r="J39" s="49"/>
      <c r="K39" s="49"/>
      <c r="L39" s="49"/>
      <c r="M39" s="49"/>
      <c r="N39" s="49"/>
      <c r="O39" s="49"/>
      <c r="P39" s="49"/>
      <c r="Q39" s="49"/>
      <c r="R39" s="49"/>
      <c r="S39" s="49"/>
      <c r="T39" s="49"/>
      <c r="U39" s="49"/>
      <c r="V39" s="49"/>
      <c r="W39" s="49"/>
      <c r="X39" s="49"/>
      <c r="Y39" s="49"/>
      <c r="Z39" s="49"/>
    </row>
    <row r="40">
      <c r="A40" s="49"/>
      <c r="B40" s="49"/>
      <c r="C40" s="49"/>
      <c r="D40" s="49"/>
      <c r="E40" s="49"/>
      <c r="F40" s="49"/>
      <c r="G40" s="49"/>
      <c r="H40" s="49"/>
      <c r="I40" s="49"/>
      <c r="J40" s="49"/>
      <c r="K40" s="49"/>
      <c r="L40" s="49"/>
      <c r="M40" s="49"/>
      <c r="N40" s="49"/>
      <c r="O40" s="49"/>
      <c r="P40" s="49"/>
      <c r="Q40" s="49"/>
      <c r="R40" s="49"/>
      <c r="S40" s="49"/>
      <c r="T40" s="49"/>
      <c r="U40" s="49"/>
      <c r="V40" s="49"/>
      <c r="W40" s="49"/>
      <c r="X40" s="49"/>
      <c r="Y40" s="49"/>
      <c r="Z40" s="49"/>
    </row>
    <row r="41">
      <c r="A41" s="49"/>
      <c r="B41" s="49"/>
      <c r="C41" s="49"/>
      <c r="D41" s="49"/>
      <c r="E41" s="49"/>
      <c r="F41" s="49"/>
      <c r="G41" s="49"/>
      <c r="H41" s="49"/>
      <c r="I41" s="49"/>
      <c r="J41" s="49"/>
      <c r="K41" s="49"/>
      <c r="L41" s="49"/>
      <c r="M41" s="49"/>
      <c r="N41" s="49"/>
      <c r="O41" s="49"/>
      <c r="P41" s="49"/>
      <c r="Q41" s="49"/>
      <c r="R41" s="49"/>
      <c r="S41" s="49"/>
      <c r="T41" s="49"/>
      <c r="U41" s="49"/>
      <c r="V41" s="49"/>
      <c r="W41" s="49"/>
      <c r="X41" s="49"/>
      <c r="Y41" s="49"/>
      <c r="Z41" s="49"/>
    </row>
    <row r="42">
      <c r="A42" s="49"/>
      <c r="B42" s="49"/>
      <c r="C42" s="49"/>
      <c r="D42" s="49"/>
      <c r="E42" s="49"/>
      <c r="F42" s="49"/>
      <c r="G42" s="49"/>
      <c r="H42" s="49"/>
      <c r="I42" s="49"/>
      <c r="J42" s="49"/>
      <c r="K42" s="49"/>
      <c r="L42" s="49"/>
      <c r="M42" s="49"/>
      <c r="N42" s="49"/>
      <c r="O42" s="49"/>
      <c r="P42" s="49"/>
      <c r="Q42" s="49"/>
      <c r="R42" s="49"/>
      <c r="S42" s="49"/>
      <c r="T42" s="49"/>
      <c r="U42" s="49"/>
      <c r="V42" s="49"/>
      <c r="W42" s="49"/>
      <c r="X42" s="49"/>
      <c r="Y42" s="49"/>
      <c r="Z42" s="49"/>
    </row>
    <row r="43">
      <c r="A43" s="49"/>
      <c r="B43" s="49"/>
      <c r="C43" s="49"/>
      <c r="D43" s="49"/>
      <c r="E43" s="49"/>
      <c r="F43" s="49"/>
      <c r="G43" s="49"/>
      <c r="H43" s="49"/>
      <c r="I43" s="49"/>
      <c r="J43" s="49"/>
      <c r="K43" s="49"/>
      <c r="L43" s="49"/>
      <c r="M43" s="49"/>
      <c r="N43" s="49"/>
      <c r="O43" s="49"/>
      <c r="P43" s="49"/>
      <c r="Q43" s="49"/>
      <c r="R43" s="49"/>
      <c r="S43" s="49"/>
      <c r="T43" s="49"/>
      <c r="U43" s="49"/>
      <c r="V43" s="49"/>
      <c r="W43" s="49"/>
      <c r="X43" s="49"/>
      <c r="Y43" s="49"/>
      <c r="Z43" s="49"/>
    </row>
    <row r="44">
      <c r="A44" s="49"/>
      <c r="B44" s="49"/>
      <c r="C44" s="49"/>
      <c r="D44" s="49"/>
      <c r="E44" s="49"/>
      <c r="F44" s="49"/>
      <c r="G44" s="49"/>
      <c r="H44" s="49"/>
      <c r="I44" s="49"/>
      <c r="J44" s="49"/>
      <c r="K44" s="49"/>
      <c r="L44" s="49"/>
      <c r="M44" s="49"/>
      <c r="N44" s="49"/>
      <c r="O44" s="49"/>
      <c r="P44" s="49"/>
      <c r="Q44" s="49"/>
      <c r="R44" s="49"/>
      <c r="S44" s="49"/>
      <c r="T44" s="49"/>
      <c r="U44" s="49"/>
      <c r="V44" s="49"/>
      <c r="W44" s="49"/>
      <c r="X44" s="49"/>
      <c r="Y44" s="49"/>
      <c r="Z44" s="49"/>
    </row>
    <row r="45">
      <c r="A45" s="49"/>
      <c r="B45" s="49"/>
      <c r="C45" s="49"/>
      <c r="D45" s="49"/>
      <c r="E45" s="49"/>
      <c r="F45" s="49"/>
      <c r="G45" s="49"/>
      <c r="H45" s="49"/>
      <c r="I45" s="49"/>
      <c r="J45" s="49"/>
      <c r="K45" s="49"/>
      <c r="L45" s="49"/>
      <c r="M45" s="49"/>
      <c r="N45" s="49"/>
      <c r="O45" s="49"/>
      <c r="P45" s="49"/>
      <c r="Q45" s="49"/>
      <c r="R45" s="49"/>
      <c r="S45" s="49"/>
      <c r="T45" s="49"/>
      <c r="U45" s="49"/>
      <c r="V45" s="49"/>
      <c r="W45" s="49"/>
      <c r="X45" s="49"/>
      <c r="Y45" s="49"/>
      <c r="Z45" s="49"/>
    </row>
    <row r="46">
      <c r="A46" s="49"/>
      <c r="B46" s="49"/>
      <c r="C46" s="49"/>
      <c r="D46" s="49"/>
      <c r="E46" s="49"/>
      <c r="F46" s="49"/>
      <c r="G46" s="49"/>
      <c r="H46" s="49"/>
      <c r="I46" s="49"/>
      <c r="J46" s="49"/>
      <c r="K46" s="49"/>
      <c r="L46" s="49"/>
      <c r="M46" s="49"/>
      <c r="N46" s="49"/>
      <c r="O46" s="49"/>
      <c r="P46" s="49"/>
      <c r="Q46" s="49"/>
      <c r="R46" s="49"/>
      <c r="S46" s="49"/>
      <c r="T46" s="49"/>
      <c r="U46" s="49"/>
      <c r="V46" s="49"/>
      <c r="W46" s="49"/>
      <c r="X46" s="49"/>
      <c r="Y46" s="49"/>
      <c r="Z46" s="49"/>
    </row>
    <row r="47">
      <c r="A47" s="49"/>
      <c r="B47" s="49"/>
      <c r="C47" s="49"/>
      <c r="D47" s="49"/>
      <c r="E47" s="49"/>
      <c r="F47" s="49"/>
      <c r="G47" s="49"/>
      <c r="H47" s="49"/>
      <c r="I47" s="49"/>
      <c r="J47" s="49"/>
      <c r="K47" s="49"/>
      <c r="L47" s="49"/>
      <c r="M47" s="49"/>
      <c r="N47" s="49"/>
      <c r="O47" s="49"/>
      <c r="P47" s="49"/>
      <c r="Q47" s="49"/>
      <c r="R47" s="49"/>
      <c r="S47" s="49"/>
      <c r="T47" s="49"/>
      <c r="U47" s="49"/>
      <c r="V47" s="49"/>
      <c r="W47" s="49"/>
      <c r="X47" s="49"/>
      <c r="Y47" s="49"/>
      <c r="Z47" s="49"/>
    </row>
    <row r="48">
      <c r="A48" s="49"/>
      <c r="B48" s="49"/>
      <c r="C48" s="49"/>
      <c r="D48" s="49"/>
      <c r="E48" s="49"/>
      <c r="F48" s="49"/>
      <c r="G48" s="49"/>
      <c r="H48" s="49"/>
      <c r="I48" s="49"/>
      <c r="J48" s="49"/>
      <c r="K48" s="49"/>
      <c r="L48" s="49"/>
      <c r="M48" s="49"/>
      <c r="N48" s="49"/>
      <c r="O48" s="49"/>
      <c r="P48" s="49"/>
      <c r="Q48" s="49"/>
      <c r="R48" s="49"/>
      <c r="S48" s="49"/>
      <c r="T48" s="49"/>
      <c r="U48" s="49"/>
      <c r="V48" s="49"/>
      <c r="W48" s="49"/>
      <c r="X48" s="49"/>
      <c r="Y48" s="49"/>
      <c r="Z48" s="49"/>
    </row>
    <row r="49">
      <c r="A49" s="49"/>
      <c r="B49" s="49"/>
      <c r="C49" s="49"/>
      <c r="D49" s="49"/>
      <c r="E49" s="49"/>
      <c r="F49" s="49"/>
      <c r="G49" s="49"/>
      <c r="H49" s="49"/>
      <c r="I49" s="49"/>
      <c r="J49" s="49"/>
      <c r="K49" s="49"/>
      <c r="L49" s="49"/>
      <c r="M49" s="49"/>
      <c r="N49" s="49"/>
      <c r="O49" s="49"/>
      <c r="P49" s="49"/>
      <c r="Q49" s="49"/>
      <c r="R49" s="49"/>
      <c r="S49" s="49"/>
      <c r="T49" s="49"/>
      <c r="U49" s="49"/>
      <c r="V49" s="49"/>
      <c r="W49" s="49"/>
      <c r="X49" s="49"/>
      <c r="Y49" s="49"/>
      <c r="Z49" s="49"/>
    </row>
    <row r="50">
      <c r="A50" s="49"/>
      <c r="B50" s="49"/>
      <c r="C50" s="49"/>
      <c r="D50" s="49"/>
      <c r="E50" s="49"/>
      <c r="F50" s="49"/>
      <c r="G50" s="49"/>
      <c r="H50" s="49"/>
      <c r="I50" s="49"/>
      <c r="J50" s="49"/>
      <c r="K50" s="49"/>
      <c r="L50" s="49"/>
      <c r="M50" s="49"/>
      <c r="N50" s="49"/>
      <c r="O50" s="49"/>
      <c r="P50" s="49"/>
      <c r="Q50" s="49"/>
      <c r="R50" s="49"/>
      <c r="S50" s="49"/>
      <c r="T50" s="49"/>
      <c r="U50" s="49"/>
      <c r="V50" s="49"/>
      <c r="W50" s="49"/>
      <c r="X50" s="49"/>
      <c r="Y50" s="49"/>
      <c r="Z50" s="49"/>
    </row>
    <row r="51">
      <c r="A51" s="49"/>
      <c r="B51" s="49"/>
      <c r="C51" s="49"/>
      <c r="D51" s="49"/>
      <c r="E51" s="49"/>
      <c r="F51" s="49"/>
      <c r="G51" s="49"/>
      <c r="H51" s="49"/>
      <c r="I51" s="49"/>
      <c r="J51" s="49"/>
      <c r="K51" s="49"/>
      <c r="L51" s="49"/>
      <c r="M51" s="49"/>
      <c r="N51" s="49"/>
      <c r="O51" s="49"/>
      <c r="P51" s="49"/>
      <c r="Q51" s="49"/>
      <c r="R51" s="49"/>
      <c r="S51" s="49"/>
      <c r="T51" s="49"/>
      <c r="U51" s="49"/>
      <c r="V51" s="49"/>
      <c r="W51" s="49"/>
      <c r="X51" s="49"/>
      <c r="Y51" s="49"/>
      <c r="Z51" s="49"/>
    </row>
    <row r="52">
      <c r="A52" s="49"/>
      <c r="B52" s="49"/>
      <c r="C52" s="49"/>
      <c r="D52" s="49"/>
      <c r="E52" s="49"/>
      <c r="F52" s="49"/>
      <c r="G52" s="49"/>
      <c r="H52" s="49"/>
      <c r="I52" s="49"/>
      <c r="J52" s="49"/>
      <c r="K52" s="49"/>
      <c r="L52" s="49"/>
      <c r="M52" s="49"/>
      <c r="N52" s="49"/>
      <c r="O52" s="49"/>
      <c r="P52" s="49"/>
      <c r="Q52" s="49"/>
      <c r="R52" s="49"/>
      <c r="S52" s="49"/>
      <c r="T52" s="49"/>
      <c r="U52" s="49"/>
      <c r="V52" s="49"/>
      <c r="W52" s="49"/>
      <c r="X52" s="49"/>
      <c r="Y52" s="49"/>
      <c r="Z52" s="49"/>
    </row>
    <row r="53">
      <c r="A53" s="49"/>
      <c r="B53" s="49"/>
      <c r="C53" s="49"/>
      <c r="D53" s="49"/>
      <c r="E53" s="49"/>
      <c r="F53" s="49"/>
      <c r="G53" s="49"/>
      <c r="H53" s="49"/>
      <c r="I53" s="49"/>
      <c r="J53" s="49"/>
      <c r="K53" s="49"/>
      <c r="L53" s="49"/>
      <c r="M53" s="49"/>
      <c r="N53" s="49"/>
      <c r="O53" s="49"/>
      <c r="P53" s="49"/>
      <c r="Q53" s="49"/>
      <c r="R53" s="49"/>
      <c r="S53" s="49"/>
      <c r="T53" s="49"/>
      <c r="U53" s="49"/>
      <c r="V53" s="49"/>
      <c r="W53" s="49"/>
      <c r="X53" s="49"/>
      <c r="Y53" s="49"/>
      <c r="Z53" s="49"/>
    </row>
    <row r="54">
      <c r="A54" s="49"/>
      <c r="B54" s="49"/>
      <c r="C54" s="49"/>
      <c r="D54" s="49"/>
      <c r="E54" s="49"/>
      <c r="F54" s="49"/>
      <c r="G54" s="49"/>
      <c r="H54" s="49"/>
      <c r="I54" s="49"/>
      <c r="J54" s="49"/>
      <c r="K54" s="49"/>
      <c r="L54" s="49"/>
      <c r="M54" s="49"/>
      <c r="N54" s="49"/>
      <c r="O54" s="49"/>
      <c r="P54" s="49"/>
      <c r="Q54" s="49"/>
      <c r="R54" s="49"/>
      <c r="S54" s="49"/>
      <c r="T54" s="49"/>
      <c r="U54" s="49"/>
      <c r="V54" s="49"/>
      <c r="W54" s="49"/>
      <c r="X54" s="49"/>
      <c r="Y54" s="49"/>
      <c r="Z54" s="49"/>
    </row>
    <row r="55">
      <c r="A55" s="49"/>
      <c r="B55" s="49"/>
      <c r="C55" s="49"/>
      <c r="D55" s="49"/>
      <c r="E55" s="49"/>
      <c r="F55" s="49"/>
      <c r="G55" s="49"/>
      <c r="H55" s="49"/>
      <c r="I55" s="49"/>
      <c r="J55" s="49"/>
      <c r="K55" s="49"/>
      <c r="L55" s="49"/>
      <c r="M55" s="49"/>
      <c r="N55" s="49"/>
      <c r="O55" s="49"/>
      <c r="P55" s="49"/>
      <c r="Q55" s="49"/>
      <c r="R55" s="49"/>
      <c r="S55" s="49"/>
      <c r="T55" s="49"/>
      <c r="U55" s="49"/>
      <c r="V55" s="49"/>
      <c r="W55" s="49"/>
      <c r="X55" s="49"/>
      <c r="Y55" s="49"/>
      <c r="Z55" s="49"/>
    </row>
    <row r="56">
      <c r="A56" s="49"/>
      <c r="B56" s="49"/>
      <c r="C56" s="49"/>
      <c r="D56" s="49"/>
      <c r="E56" s="49"/>
      <c r="F56" s="49"/>
      <c r="G56" s="49"/>
      <c r="H56" s="49"/>
      <c r="I56" s="49"/>
      <c r="J56" s="49"/>
      <c r="K56" s="49"/>
      <c r="L56" s="49"/>
      <c r="M56" s="49"/>
      <c r="N56" s="49"/>
      <c r="O56" s="49"/>
      <c r="P56" s="49"/>
      <c r="Q56" s="49"/>
      <c r="R56" s="49"/>
      <c r="S56" s="49"/>
      <c r="T56" s="49"/>
      <c r="U56" s="49"/>
      <c r="V56" s="49"/>
      <c r="W56" s="49"/>
      <c r="X56" s="49"/>
      <c r="Y56" s="49"/>
      <c r="Z56" s="49"/>
    </row>
    <row r="57">
      <c r="A57" s="49"/>
      <c r="B57" s="49"/>
      <c r="C57" s="49"/>
      <c r="D57" s="49"/>
      <c r="E57" s="49"/>
      <c r="F57" s="49"/>
      <c r="G57" s="49"/>
      <c r="H57" s="49"/>
      <c r="I57" s="49"/>
      <c r="J57" s="49"/>
      <c r="K57" s="49"/>
      <c r="L57" s="49"/>
      <c r="M57" s="49"/>
      <c r="N57" s="49"/>
      <c r="O57" s="49"/>
      <c r="P57" s="49"/>
      <c r="Q57" s="49"/>
      <c r="R57" s="49"/>
      <c r="S57" s="49"/>
      <c r="T57" s="49"/>
      <c r="U57" s="49"/>
      <c r="V57" s="49"/>
      <c r="W57" s="49"/>
      <c r="X57" s="49"/>
      <c r="Y57" s="49"/>
      <c r="Z57" s="49"/>
    </row>
    <row r="58">
      <c r="A58" s="49"/>
      <c r="B58" s="49"/>
      <c r="C58" s="49"/>
      <c r="D58" s="49"/>
      <c r="E58" s="49"/>
      <c r="F58" s="49"/>
      <c r="G58" s="49"/>
      <c r="H58" s="49"/>
      <c r="I58" s="49"/>
      <c r="J58" s="49"/>
      <c r="K58" s="49"/>
      <c r="L58" s="49"/>
      <c r="M58" s="49"/>
      <c r="N58" s="49"/>
      <c r="O58" s="49"/>
      <c r="P58" s="49"/>
      <c r="Q58" s="49"/>
      <c r="R58" s="49"/>
      <c r="S58" s="49"/>
      <c r="T58" s="49"/>
      <c r="U58" s="49"/>
      <c r="V58" s="49"/>
      <c r="W58" s="49"/>
      <c r="X58" s="49"/>
      <c r="Y58" s="49"/>
      <c r="Z58" s="49"/>
    </row>
    <row r="59">
      <c r="A59" s="49"/>
      <c r="B59" s="49"/>
      <c r="C59" s="49"/>
      <c r="D59" s="49"/>
      <c r="E59" s="49"/>
      <c r="F59" s="49"/>
      <c r="G59" s="49"/>
      <c r="H59" s="49"/>
      <c r="I59" s="49"/>
      <c r="J59" s="49"/>
      <c r="K59" s="49"/>
      <c r="L59" s="49"/>
      <c r="M59" s="49"/>
      <c r="N59" s="49"/>
      <c r="O59" s="49"/>
      <c r="P59" s="49"/>
      <c r="Q59" s="49"/>
      <c r="R59" s="49"/>
      <c r="S59" s="49"/>
      <c r="T59" s="49"/>
      <c r="U59" s="49"/>
      <c r="V59" s="49"/>
      <c r="W59" s="49"/>
      <c r="X59" s="49"/>
      <c r="Y59" s="49"/>
      <c r="Z59" s="49"/>
    </row>
    <row r="60">
      <c r="A60" s="49"/>
      <c r="B60" s="49"/>
      <c r="C60" s="49"/>
      <c r="D60" s="49"/>
      <c r="E60" s="49"/>
      <c r="F60" s="49"/>
      <c r="G60" s="49"/>
      <c r="H60" s="49"/>
      <c r="I60" s="49"/>
      <c r="J60" s="49"/>
      <c r="K60" s="49"/>
      <c r="L60" s="49"/>
      <c r="M60" s="49"/>
      <c r="N60" s="49"/>
      <c r="O60" s="49"/>
      <c r="P60" s="49"/>
      <c r="Q60" s="49"/>
      <c r="R60" s="49"/>
      <c r="S60" s="49"/>
      <c r="T60" s="49"/>
      <c r="U60" s="49"/>
      <c r="V60" s="49"/>
      <c r="W60" s="49"/>
      <c r="X60" s="49"/>
      <c r="Y60" s="49"/>
      <c r="Z60" s="49"/>
    </row>
    <row r="61">
      <c r="A61" s="49"/>
      <c r="B61" s="49"/>
      <c r="C61" s="49"/>
      <c r="D61" s="49"/>
      <c r="E61" s="49"/>
      <c r="F61" s="49"/>
      <c r="G61" s="49"/>
      <c r="H61" s="49"/>
      <c r="I61" s="49"/>
      <c r="J61" s="49"/>
      <c r="K61" s="49"/>
      <c r="L61" s="49"/>
      <c r="M61" s="49"/>
      <c r="N61" s="49"/>
      <c r="O61" s="49"/>
      <c r="P61" s="49"/>
      <c r="Q61" s="49"/>
      <c r="R61" s="49"/>
      <c r="S61" s="49"/>
      <c r="T61" s="49"/>
      <c r="U61" s="49"/>
      <c r="V61" s="49"/>
      <c r="W61" s="49"/>
      <c r="X61" s="49"/>
      <c r="Y61" s="49"/>
      <c r="Z61" s="49"/>
    </row>
    <row r="62">
      <c r="A62" s="49"/>
      <c r="B62" s="49"/>
      <c r="C62" s="49"/>
      <c r="D62" s="49"/>
      <c r="E62" s="49"/>
      <c r="F62" s="49"/>
      <c r="G62" s="49"/>
      <c r="H62" s="49"/>
      <c r="I62" s="49"/>
      <c r="J62" s="49"/>
      <c r="K62" s="49"/>
      <c r="L62" s="49"/>
      <c r="M62" s="49"/>
      <c r="N62" s="49"/>
      <c r="O62" s="49"/>
      <c r="P62" s="49"/>
      <c r="Q62" s="49"/>
      <c r="R62" s="49"/>
      <c r="S62" s="49"/>
      <c r="T62" s="49"/>
      <c r="U62" s="49"/>
      <c r="V62" s="49"/>
      <c r="W62" s="49"/>
      <c r="X62" s="49"/>
      <c r="Y62" s="49"/>
      <c r="Z62" s="49"/>
    </row>
    <row r="63">
      <c r="A63" s="49"/>
      <c r="B63" s="49"/>
      <c r="C63" s="49"/>
      <c r="D63" s="49"/>
      <c r="E63" s="49"/>
      <c r="F63" s="49"/>
      <c r="G63" s="49"/>
      <c r="H63" s="49"/>
      <c r="I63" s="49"/>
      <c r="J63" s="49"/>
      <c r="K63" s="49"/>
      <c r="L63" s="49"/>
      <c r="M63" s="49"/>
      <c r="N63" s="49"/>
      <c r="O63" s="49"/>
      <c r="P63" s="49"/>
      <c r="Q63" s="49"/>
      <c r="R63" s="49"/>
      <c r="S63" s="49"/>
      <c r="T63" s="49"/>
      <c r="U63" s="49"/>
      <c r="V63" s="49"/>
      <c r="W63" s="49"/>
      <c r="X63" s="49"/>
      <c r="Y63" s="49"/>
      <c r="Z63" s="49"/>
    </row>
    <row r="64">
      <c r="A64" s="49"/>
      <c r="B64" s="49"/>
      <c r="C64" s="49"/>
      <c r="D64" s="49"/>
      <c r="E64" s="49"/>
      <c r="F64" s="49"/>
      <c r="G64" s="49"/>
      <c r="H64" s="49"/>
      <c r="I64" s="49"/>
      <c r="J64" s="49"/>
      <c r="K64" s="49"/>
      <c r="L64" s="49"/>
      <c r="M64" s="49"/>
      <c r="N64" s="49"/>
      <c r="O64" s="49"/>
      <c r="P64" s="49"/>
      <c r="Q64" s="49"/>
      <c r="R64" s="49"/>
      <c r="S64" s="49"/>
      <c r="T64" s="49"/>
      <c r="U64" s="49"/>
      <c r="V64" s="49"/>
      <c r="W64" s="49"/>
      <c r="X64" s="49"/>
      <c r="Y64" s="49"/>
      <c r="Z64" s="49"/>
    </row>
    <row r="65">
      <c r="A65" s="49"/>
      <c r="B65" s="49"/>
      <c r="C65" s="49"/>
      <c r="D65" s="49"/>
      <c r="E65" s="49"/>
      <c r="F65" s="49"/>
      <c r="G65" s="49"/>
      <c r="H65" s="49"/>
      <c r="I65" s="49"/>
      <c r="J65" s="49"/>
      <c r="K65" s="49"/>
      <c r="L65" s="49"/>
      <c r="M65" s="49"/>
      <c r="N65" s="49"/>
      <c r="O65" s="49"/>
      <c r="P65" s="49"/>
      <c r="Q65" s="49"/>
      <c r="R65" s="49"/>
      <c r="S65" s="49"/>
      <c r="T65" s="49"/>
      <c r="U65" s="49"/>
      <c r="V65" s="49"/>
      <c r="W65" s="49"/>
      <c r="X65" s="49"/>
      <c r="Y65" s="49"/>
      <c r="Z65" s="49"/>
    </row>
    <row r="66">
      <c r="A66" s="49"/>
      <c r="B66" s="49"/>
      <c r="C66" s="49"/>
      <c r="D66" s="49"/>
      <c r="E66" s="49"/>
      <c r="F66" s="49"/>
      <c r="G66" s="49"/>
      <c r="H66" s="49"/>
      <c r="I66" s="49"/>
      <c r="J66" s="49"/>
      <c r="K66" s="49"/>
      <c r="L66" s="49"/>
      <c r="M66" s="49"/>
      <c r="N66" s="49"/>
      <c r="O66" s="49"/>
      <c r="P66" s="49"/>
      <c r="Q66" s="49"/>
      <c r="R66" s="49"/>
      <c r="S66" s="49"/>
      <c r="T66" s="49"/>
      <c r="U66" s="49"/>
      <c r="V66" s="49"/>
      <c r="W66" s="49"/>
      <c r="X66" s="49"/>
      <c r="Y66" s="49"/>
      <c r="Z66" s="49"/>
    </row>
    <row r="67">
      <c r="A67" s="49"/>
      <c r="B67" s="49"/>
      <c r="C67" s="49"/>
      <c r="D67" s="49"/>
      <c r="E67" s="49"/>
      <c r="F67" s="49"/>
      <c r="G67" s="49"/>
      <c r="H67" s="49"/>
      <c r="I67" s="49"/>
      <c r="J67" s="49"/>
      <c r="K67" s="49"/>
      <c r="L67" s="49"/>
      <c r="M67" s="49"/>
      <c r="N67" s="49"/>
      <c r="O67" s="49"/>
      <c r="P67" s="49"/>
      <c r="Q67" s="49"/>
      <c r="R67" s="49"/>
      <c r="S67" s="49"/>
      <c r="T67" s="49"/>
      <c r="U67" s="49"/>
      <c r="V67" s="49"/>
      <c r="W67" s="49"/>
      <c r="X67" s="49"/>
      <c r="Y67" s="49"/>
      <c r="Z67" s="49"/>
    </row>
    <row r="68">
      <c r="A68" s="49"/>
      <c r="B68" s="49"/>
      <c r="C68" s="49"/>
      <c r="D68" s="49"/>
      <c r="E68" s="49"/>
      <c r="F68" s="49"/>
      <c r="G68" s="49"/>
      <c r="H68" s="49"/>
      <c r="I68" s="49"/>
      <c r="J68" s="49"/>
      <c r="K68" s="49"/>
      <c r="L68" s="49"/>
      <c r="M68" s="49"/>
      <c r="N68" s="49"/>
      <c r="O68" s="49"/>
      <c r="P68" s="49"/>
      <c r="Q68" s="49"/>
      <c r="R68" s="49"/>
      <c r="S68" s="49"/>
      <c r="T68" s="49"/>
      <c r="U68" s="49"/>
      <c r="V68" s="49"/>
      <c r="W68" s="49"/>
      <c r="X68" s="49"/>
      <c r="Y68" s="49"/>
      <c r="Z68" s="49"/>
    </row>
    <row r="69">
      <c r="A69" s="49"/>
      <c r="B69" s="49"/>
      <c r="C69" s="49"/>
      <c r="D69" s="49"/>
      <c r="E69" s="49"/>
      <c r="F69" s="49"/>
      <c r="G69" s="49"/>
      <c r="H69" s="49"/>
      <c r="I69" s="49"/>
      <c r="J69" s="49"/>
      <c r="K69" s="49"/>
      <c r="L69" s="49"/>
      <c r="M69" s="49"/>
      <c r="N69" s="49"/>
      <c r="O69" s="49"/>
      <c r="P69" s="49"/>
      <c r="Q69" s="49"/>
      <c r="R69" s="49"/>
      <c r="S69" s="49"/>
      <c r="T69" s="49"/>
      <c r="U69" s="49"/>
      <c r="V69" s="49"/>
      <c r="W69" s="49"/>
      <c r="X69" s="49"/>
      <c r="Y69" s="49"/>
      <c r="Z69" s="49"/>
    </row>
    <row r="70">
      <c r="A70" s="49"/>
      <c r="B70" s="49"/>
      <c r="C70" s="49"/>
      <c r="D70" s="49"/>
      <c r="E70" s="49"/>
      <c r="F70" s="49"/>
      <c r="G70" s="49"/>
      <c r="H70" s="49"/>
      <c r="I70" s="49"/>
      <c r="J70" s="49"/>
      <c r="K70" s="49"/>
      <c r="L70" s="49"/>
      <c r="M70" s="49"/>
      <c r="N70" s="49"/>
      <c r="O70" s="49"/>
      <c r="P70" s="49"/>
      <c r="Q70" s="49"/>
      <c r="R70" s="49"/>
      <c r="S70" s="49"/>
      <c r="T70" s="49"/>
      <c r="U70" s="49"/>
      <c r="V70" s="49"/>
      <c r="W70" s="49"/>
      <c r="X70" s="49"/>
      <c r="Y70" s="49"/>
      <c r="Z70" s="49"/>
    </row>
    <row r="71">
      <c r="A71" s="49"/>
      <c r="B71" s="49"/>
      <c r="C71" s="49"/>
      <c r="D71" s="49"/>
      <c r="E71" s="49"/>
      <c r="F71" s="49"/>
      <c r="G71" s="49"/>
      <c r="H71" s="49"/>
      <c r="I71" s="49"/>
      <c r="J71" s="49"/>
      <c r="K71" s="49"/>
      <c r="L71" s="49"/>
      <c r="M71" s="49"/>
      <c r="N71" s="49"/>
      <c r="O71" s="49"/>
      <c r="P71" s="49"/>
      <c r="Q71" s="49"/>
      <c r="R71" s="49"/>
      <c r="S71" s="49"/>
      <c r="T71" s="49"/>
      <c r="U71" s="49"/>
      <c r="V71" s="49"/>
      <c r="W71" s="49"/>
      <c r="X71" s="49"/>
      <c r="Y71" s="49"/>
      <c r="Z71" s="49"/>
    </row>
    <row r="72">
      <c r="A72" s="49"/>
      <c r="B72" s="49"/>
      <c r="C72" s="49"/>
      <c r="D72" s="49"/>
      <c r="E72" s="49"/>
      <c r="F72" s="49"/>
      <c r="G72" s="49"/>
      <c r="H72" s="49"/>
      <c r="I72" s="49"/>
      <c r="J72" s="49"/>
      <c r="K72" s="49"/>
      <c r="L72" s="49"/>
      <c r="M72" s="49"/>
      <c r="N72" s="49"/>
      <c r="O72" s="49"/>
      <c r="P72" s="49"/>
      <c r="Q72" s="49"/>
      <c r="R72" s="49"/>
      <c r="S72" s="49"/>
      <c r="T72" s="49"/>
      <c r="U72" s="49"/>
      <c r="V72" s="49"/>
      <c r="W72" s="49"/>
      <c r="X72" s="49"/>
      <c r="Y72" s="49"/>
      <c r="Z72" s="49"/>
    </row>
    <row r="73">
      <c r="A73" s="49"/>
      <c r="B73" s="49"/>
      <c r="C73" s="49"/>
      <c r="D73" s="49"/>
      <c r="E73" s="49"/>
      <c r="F73" s="49"/>
      <c r="G73" s="49"/>
      <c r="H73" s="49"/>
      <c r="I73" s="49"/>
      <c r="J73" s="49"/>
      <c r="K73" s="49"/>
      <c r="L73" s="49"/>
      <c r="M73" s="49"/>
      <c r="N73" s="49"/>
      <c r="O73" s="49"/>
      <c r="P73" s="49"/>
      <c r="Q73" s="49"/>
      <c r="R73" s="49"/>
      <c r="S73" s="49"/>
      <c r="T73" s="49"/>
      <c r="U73" s="49"/>
      <c r="V73" s="49"/>
      <c r="W73" s="49"/>
      <c r="X73" s="49"/>
      <c r="Y73" s="49"/>
      <c r="Z73" s="49"/>
    </row>
    <row r="74">
      <c r="A74" s="49"/>
      <c r="B74" s="49"/>
      <c r="C74" s="49"/>
      <c r="D74" s="49"/>
      <c r="E74" s="49"/>
      <c r="F74" s="49"/>
      <c r="G74" s="49"/>
      <c r="H74" s="49"/>
      <c r="I74" s="49"/>
      <c r="J74" s="49"/>
      <c r="K74" s="49"/>
      <c r="L74" s="49"/>
      <c r="M74" s="49"/>
      <c r="N74" s="49"/>
      <c r="O74" s="49"/>
      <c r="P74" s="49"/>
      <c r="Q74" s="49"/>
      <c r="R74" s="49"/>
      <c r="S74" s="49"/>
      <c r="T74" s="49"/>
      <c r="U74" s="49"/>
      <c r="V74" s="49"/>
      <c r="W74" s="49"/>
      <c r="X74" s="49"/>
      <c r="Y74" s="49"/>
      <c r="Z74" s="49"/>
    </row>
    <row r="75">
      <c r="A75" s="49"/>
      <c r="B75" s="49"/>
      <c r="C75" s="49"/>
      <c r="D75" s="49"/>
      <c r="E75" s="49"/>
      <c r="F75" s="49"/>
      <c r="G75" s="49"/>
      <c r="H75" s="49"/>
      <c r="I75" s="49"/>
      <c r="J75" s="49"/>
      <c r="K75" s="49"/>
      <c r="L75" s="49"/>
      <c r="M75" s="49"/>
      <c r="N75" s="49"/>
      <c r="O75" s="49"/>
      <c r="P75" s="49"/>
      <c r="Q75" s="49"/>
      <c r="R75" s="49"/>
      <c r="S75" s="49"/>
      <c r="T75" s="49"/>
      <c r="U75" s="49"/>
      <c r="V75" s="49"/>
      <c r="W75" s="49"/>
      <c r="X75" s="49"/>
      <c r="Y75" s="49"/>
      <c r="Z75" s="49"/>
    </row>
    <row r="76">
      <c r="A76" s="49"/>
      <c r="B76" s="49"/>
      <c r="C76" s="49"/>
      <c r="D76" s="49"/>
      <c r="E76" s="49"/>
      <c r="F76" s="49"/>
      <c r="G76" s="49"/>
      <c r="H76" s="49"/>
      <c r="I76" s="49"/>
      <c r="J76" s="49"/>
      <c r="K76" s="49"/>
      <c r="L76" s="49"/>
      <c r="M76" s="49"/>
      <c r="N76" s="49"/>
      <c r="O76" s="49"/>
      <c r="P76" s="49"/>
      <c r="Q76" s="49"/>
      <c r="R76" s="49"/>
      <c r="S76" s="49"/>
      <c r="T76" s="49"/>
      <c r="U76" s="49"/>
      <c r="V76" s="49"/>
      <c r="W76" s="49"/>
      <c r="X76" s="49"/>
      <c r="Y76" s="49"/>
      <c r="Z76" s="49"/>
    </row>
    <row r="77">
      <c r="A77" s="49"/>
      <c r="B77" s="49"/>
      <c r="C77" s="49"/>
      <c r="D77" s="49"/>
      <c r="E77" s="49"/>
      <c r="F77" s="49"/>
      <c r="G77" s="49"/>
      <c r="H77" s="49"/>
      <c r="I77" s="49"/>
      <c r="J77" s="49"/>
      <c r="K77" s="49"/>
      <c r="L77" s="49"/>
      <c r="M77" s="49"/>
      <c r="N77" s="49"/>
      <c r="O77" s="49"/>
      <c r="P77" s="49"/>
      <c r="Q77" s="49"/>
      <c r="R77" s="49"/>
      <c r="S77" s="49"/>
      <c r="T77" s="49"/>
      <c r="U77" s="49"/>
      <c r="V77" s="49"/>
      <c r="W77" s="49"/>
      <c r="X77" s="49"/>
      <c r="Y77" s="49"/>
      <c r="Z77" s="49"/>
    </row>
    <row r="78">
      <c r="A78" s="49"/>
      <c r="B78" s="49"/>
      <c r="C78" s="49"/>
      <c r="D78" s="49"/>
      <c r="E78" s="49"/>
      <c r="F78" s="49"/>
      <c r="G78" s="49"/>
      <c r="H78" s="49"/>
      <c r="I78" s="49"/>
      <c r="J78" s="49"/>
      <c r="K78" s="49"/>
      <c r="L78" s="49"/>
      <c r="M78" s="49"/>
      <c r="N78" s="49"/>
      <c r="O78" s="49"/>
      <c r="P78" s="49"/>
      <c r="Q78" s="49"/>
      <c r="R78" s="49"/>
      <c r="S78" s="49"/>
      <c r="T78" s="49"/>
      <c r="U78" s="49"/>
      <c r="V78" s="49"/>
      <c r="W78" s="49"/>
      <c r="X78" s="49"/>
      <c r="Y78" s="49"/>
      <c r="Z78" s="49"/>
    </row>
    <row r="79">
      <c r="A79" s="49"/>
      <c r="B79" s="49"/>
      <c r="C79" s="49"/>
      <c r="D79" s="49"/>
      <c r="E79" s="49"/>
      <c r="F79" s="49"/>
      <c r="G79" s="49"/>
      <c r="H79" s="49"/>
      <c r="I79" s="49"/>
      <c r="J79" s="49"/>
      <c r="K79" s="49"/>
      <c r="L79" s="49"/>
      <c r="M79" s="49"/>
      <c r="N79" s="49"/>
      <c r="O79" s="49"/>
      <c r="P79" s="49"/>
      <c r="Q79" s="49"/>
      <c r="R79" s="49"/>
      <c r="S79" s="49"/>
      <c r="T79" s="49"/>
      <c r="U79" s="49"/>
      <c r="V79" s="49"/>
      <c r="W79" s="49"/>
      <c r="X79" s="49"/>
      <c r="Y79" s="49"/>
      <c r="Z79" s="49"/>
    </row>
    <row r="80">
      <c r="A80" s="49"/>
      <c r="B80" s="49"/>
      <c r="C80" s="49"/>
      <c r="D80" s="49"/>
      <c r="E80" s="49"/>
      <c r="F80" s="49"/>
      <c r="G80" s="49"/>
      <c r="H80" s="49"/>
      <c r="I80" s="49"/>
      <c r="J80" s="49"/>
      <c r="K80" s="49"/>
      <c r="L80" s="49"/>
      <c r="M80" s="49"/>
      <c r="N80" s="49"/>
      <c r="O80" s="49"/>
      <c r="P80" s="49"/>
      <c r="Q80" s="49"/>
      <c r="R80" s="49"/>
      <c r="S80" s="49"/>
      <c r="T80" s="49"/>
      <c r="U80" s="49"/>
      <c r="V80" s="49"/>
      <c r="W80" s="49"/>
      <c r="X80" s="49"/>
      <c r="Y80" s="49"/>
      <c r="Z80" s="49"/>
    </row>
    <row r="81">
      <c r="A81" s="49"/>
      <c r="B81" s="49"/>
      <c r="C81" s="49"/>
      <c r="D81" s="49"/>
      <c r="E81" s="49"/>
      <c r="F81" s="49"/>
      <c r="G81" s="49"/>
      <c r="H81" s="49"/>
      <c r="I81" s="49"/>
      <c r="J81" s="49"/>
      <c r="K81" s="49"/>
      <c r="L81" s="49"/>
      <c r="M81" s="49"/>
      <c r="N81" s="49"/>
      <c r="O81" s="49"/>
      <c r="P81" s="49"/>
      <c r="Q81" s="49"/>
      <c r="R81" s="49"/>
      <c r="S81" s="49"/>
      <c r="T81" s="49"/>
      <c r="U81" s="49"/>
      <c r="V81" s="49"/>
      <c r="W81" s="49"/>
      <c r="X81" s="49"/>
      <c r="Y81" s="49"/>
      <c r="Z81" s="49"/>
    </row>
    <row r="82">
      <c r="A82" s="49"/>
      <c r="B82" s="49"/>
      <c r="C82" s="49"/>
      <c r="D82" s="49"/>
      <c r="E82" s="49"/>
      <c r="F82" s="49"/>
      <c r="G82" s="49"/>
      <c r="H82" s="49"/>
      <c r="I82" s="49"/>
      <c r="J82" s="49"/>
      <c r="K82" s="49"/>
      <c r="L82" s="49"/>
      <c r="M82" s="49"/>
      <c r="N82" s="49"/>
      <c r="O82" s="49"/>
      <c r="P82" s="49"/>
      <c r="Q82" s="49"/>
      <c r="R82" s="49"/>
      <c r="S82" s="49"/>
      <c r="T82" s="49"/>
      <c r="U82" s="49"/>
      <c r="V82" s="49"/>
      <c r="W82" s="49"/>
      <c r="X82" s="49"/>
      <c r="Y82" s="49"/>
      <c r="Z82" s="49"/>
    </row>
    <row r="83">
      <c r="A83" s="49"/>
      <c r="B83" s="49"/>
      <c r="C83" s="49"/>
      <c r="D83" s="49"/>
      <c r="E83" s="49"/>
      <c r="F83" s="49"/>
      <c r="G83" s="49"/>
      <c r="H83" s="49"/>
      <c r="I83" s="49"/>
      <c r="J83" s="49"/>
      <c r="K83" s="49"/>
      <c r="L83" s="49"/>
      <c r="M83" s="49"/>
      <c r="N83" s="49"/>
      <c r="O83" s="49"/>
      <c r="P83" s="49"/>
      <c r="Q83" s="49"/>
      <c r="R83" s="49"/>
      <c r="S83" s="49"/>
      <c r="T83" s="49"/>
      <c r="U83" s="49"/>
      <c r="V83" s="49"/>
      <c r="W83" s="49"/>
      <c r="X83" s="49"/>
      <c r="Y83" s="49"/>
      <c r="Z83" s="49"/>
    </row>
    <row r="84">
      <c r="A84" s="49"/>
      <c r="B84" s="49"/>
      <c r="C84" s="49"/>
      <c r="D84" s="49"/>
      <c r="E84" s="49"/>
      <c r="F84" s="49"/>
      <c r="G84" s="49"/>
      <c r="H84" s="49"/>
      <c r="I84" s="49"/>
      <c r="J84" s="49"/>
      <c r="K84" s="49"/>
      <c r="L84" s="49"/>
      <c r="M84" s="49"/>
      <c r="N84" s="49"/>
      <c r="O84" s="49"/>
      <c r="P84" s="49"/>
      <c r="Q84" s="49"/>
      <c r="R84" s="49"/>
      <c r="S84" s="49"/>
      <c r="T84" s="49"/>
      <c r="U84" s="49"/>
      <c r="V84" s="49"/>
      <c r="W84" s="49"/>
      <c r="X84" s="49"/>
      <c r="Y84" s="49"/>
      <c r="Z84" s="49"/>
    </row>
    <row r="85">
      <c r="A85" s="49"/>
      <c r="B85" s="49"/>
      <c r="C85" s="49"/>
      <c r="D85" s="49"/>
      <c r="E85" s="49"/>
      <c r="F85" s="49"/>
      <c r="G85" s="49"/>
      <c r="H85" s="49"/>
      <c r="I85" s="49"/>
      <c r="J85" s="49"/>
      <c r="K85" s="49"/>
      <c r="L85" s="49"/>
      <c r="M85" s="49"/>
      <c r="N85" s="49"/>
      <c r="O85" s="49"/>
      <c r="P85" s="49"/>
      <c r="Q85" s="49"/>
      <c r="R85" s="49"/>
      <c r="S85" s="49"/>
      <c r="T85" s="49"/>
      <c r="U85" s="49"/>
      <c r="V85" s="49"/>
      <c r="W85" s="49"/>
      <c r="X85" s="49"/>
      <c r="Y85" s="49"/>
      <c r="Z85" s="49"/>
    </row>
    <row r="86">
      <c r="A86" s="49"/>
      <c r="B86" s="49"/>
      <c r="C86" s="49"/>
      <c r="D86" s="49"/>
      <c r="E86" s="49"/>
      <c r="F86" s="49"/>
      <c r="G86" s="49"/>
      <c r="H86" s="49"/>
      <c r="I86" s="49"/>
      <c r="J86" s="49"/>
      <c r="K86" s="49"/>
      <c r="L86" s="49"/>
      <c r="M86" s="49"/>
      <c r="N86" s="49"/>
      <c r="O86" s="49"/>
      <c r="P86" s="49"/>
      <c r="Q86" s="49"/>
      <c r="R86" s="49"/>
      <c r="S86" s="49"/>
      <c r="T86" s="49"/>
      <c r="U86" s="49"/>
      <c r="V86" s="49"/>
      <c r="W86" s="49"/>
      <c r="X86" s="49"/>
      <c r="Y86" s="49"/>
      <c r="Z86" s="49"/>
    </row>
    <row r="87">
      <c r="A87" s="49"/>
      <c r="B87" s="49"/>
      <c r="C87" s="49"/>
      <c r="D87" s="49"/>
      <c r="E87" s="49"/>
      <c r="F87" s="49"/>
      <c r="G87" s="49"/>
      <c r="H87" s="49"/>
      <c r="I87" s="49"/>
      <c r="J87" s="49"/>
      <c r="K87" s="49"/>
      <c r="L87" s="49"/>
      <c r="M87" s="49"/>
      <c r="N87" s="49"/>
      <c r="O87" s="49"/>
      <c r="P87" s="49"/>
      <c r="Q87" s="49"/>
      <c r="R87" s="49"/>
      <c r="S87" s="49"/>
      <c r="T87" s="49"/>
      <c r="U87" s="49"/>
      <c r="V87" s="49"/>
      <c r="W87" s="49"/>
      <c r="X87" s="49"/>
      <c r="Y87" s="49"/>
      <c r="Z87" s="49"/>
    </row>
    <row r="88">
      <c r="A88" s="49"/>
      <c r="B88" s="49"/>
      <c r="C88" s="49"/>
      <c r="D88" s="49"/>
      <c r="E88" s="49"/>
      <c r="F88" s="49"/>
      <c r="G88" s="49"/>
      <c r="H88" s="49"/>
      <c r="I88" s="49"/>
      <c r="J88" s="49"/>
      <c r="K88" s="49"/>
      <c r="L88" s="49"/>
      <c r="M88" s="49"/>
      <c r="N88" s="49"/>
      <c r="O88" s="49"/>
      <c r="P88" s="49"/>
      <c r="Q88" s="49"/>
      <c r="R88" s="49"/>
      <c r="S88" s="49"/>
      <c r="T88" s="49"/>
      <c r="U88" s="49"/>
      <c r="V88" s="49"/>
      <c r="W88" s="49"/>
      <c r="X88" s="49"/>
      <c r="Y88" s="49"/>
      <c r="Z88" s="49"/>
    </row>
    <row r="89">
      <c r="A89" s="49"/>
      <c r="B89" s="49"/>
      <c r="C89" s="49"/>
      <c r="D89" s="49"/>
      <c r="E89" s="49"/>
      <c r="F89" s="49"/>
      <c r="G89" s="49"/>
      <c r="H89" s="49"/>
      <c r="I89" s="49"/>
      <c r="J89" s="49"/>
      <c r="K89" s="49"/>
      <c r="L89" s="49"/>
      <c r="M89" s="49"/>
      <c r="N89" s="49"/>
      <c r="O89" s="49"/>
      <c r="P89" s="49"/>
      <c r="Q89" s="49"/>
      <c r="R89" s="49"/>
      <c r="S89" s="49"/>
      <c r="T89" s="49"/>
      <c r="U89" s="49"/>
      <c r="V89" s="49"/>
      <c r="W89" s="49"/>
      <c r="X89" s="49"/>
      <c r="Y89" s="49"/>
      <c r="Z89" s="49"/>
    </row>
    <row r="90">
      <c r="A90" s="49"/>
      <c r="B90" s="49"/>
      <c r="C90" s="49"/>
      <c r="D90" s="49"/>
      <c r="E90" s="49"/>
      <c r="F90" s="49"/>
      <c r="G90" s="49"/>
      <c r="H90" s="49"/>
      <c r="I90" s="49"/>
      <c r="J90" s="49"/>
      <c r="K90" s="49"/>
      <c r="L90" s="49"/>
      <c r="M90" s="49"/>
      <c r="N90" s="49"/>
      <c r="O90" s="49"/>
      <c r="P90" s="49"/>
      <c r="Q90" s="49"/>
      <c r="R90" s="49"/>
      <c r="S90" s="49"/>
      <c r="T90" s="49"/>
      <c r="U90" s="49"/>
      <c r="V90" s="49"/>
      <c r="W90" s="49"/>
      <c r="X90" s="49"/>
      <c r="Y90" s="49"/>
      <c r="Z90" s="49"/>
    </row>
    <row r="91">
      <c r="A91" s="49"/>
      <c r="B91" s="49"/>
      <c r="C91" s="49"/>
      <c r="D91" s="49"/>
      <c r="E91" s="49"/>
      <c r="F91" s="49"/>
      <c r="G91" s="49"/>
      <c r="H91" s="49"/>
      <c r="I91" s="49"/>
      <c r="J91" s="49"/>
      <c r="K91" s="49"/>
      <c r="L91" s="49"/>
      <c r="M91" s="49"/>
      <c r="N91" s="49"/>
      <c r="O91" s="49"/>
      <c r="P91" s="49"/>
      <c r="Q91" s="49"/>
      <c r="R91" s="49"/>
      <c r="S91" s="49"/>
      <c r="T91" s="49"/>
      <c r="U91" s="49"/>
      <c r="V91" s="49"/>
      <c r="W91" s="49"/>
      <c r="X91" s="49"/>
      <c r="Y91" s="49"/>
      <c r="Z91" s="49"/>
    </row>
    <row r="92">
      <c r="A92" s="49"/>
      <c r="B92" s="49"/>
      <c r="C92" s="49"/>
      <c r="D92" s="49"/>
      <c r="E92" s="49"/>
      <c r="F92" s="49"/>
      <c r="G92" s="49"/>
      <c r="H92" s="49"/>
      <c r="I92" s="49"/>
      <c r="J92" s="49"/>
      <c r="K92" s="49"/>
      <c r="L92" s="49"/>
      <c r="M92" s="49"/>
      <c r="N92" s="49"/>
      <c r="O92" s="49"/>
      <c r="P92" s="49"/>
      <c r="Q92" s="49"/>
      <c r="R92" s="49"/>
      <c r="S92" s="49"/>
      <c r="T92" s="49"/>
      <c r="U92" s="49"/>
      <c r="V92" s="49"/>
      <c r="W92" s="49"/>
      <c r="X92" s="49"/>
      <c r="Y92" s="49"/>
      <c r="Z92" s="49"/>
    </row>
    <row r="93">
      <c r="A93" s="49"/>
      <c r="B93" s="49"/>
      <c r="C93" s="49"/>
      <c r="D93" s="49"/>
      <c r="E93" s="49"/>
      <c r="F93" s="49"/>
      <c r="G93" s="49"/>
      <c r="H93" s="49"/>
      <c r="I93" s="49"/>
      <c r="J93" s="49"/>
      <c r="K93" s="49"/>
      <c r="L93" s="49"/>
      <c r="M93" s="49"/>
      <c r="N93" s="49"/>
      <c r="O93" s="49"/>
      <c r="P93" s="49"/>
      <c r="Q93" s="49"/>
      <c r="R93" s="49"/>
      <c r="S93" s="49"/>
      <c r="T93" s="49"/>
      <c r="U93" s="49"/>
      <c r="V93" s="49"/>
      <c r="W93" s="49"/>
      <c r="X93" s="49"/>
      <c r="Y93" s="49"/>
      <c r="Z93" s="49"/>
    </row>
    <row r="94">
      <c r="A94" s="49"/>
      <c r="B94" s="49"/>
      <c r="C94" s="49"/>
      <c r="D94" s="49"/>
      <c r="E94" s="49"/>
      <c r="F94" s="49"/>
      <c r="G94" s="49"/>
      <c r="H94" s="49"/>
      <c r="I94" s="49"/>
      <c r="J94" s="49"/>
      <c r="K94" s="49"/>
      <c r="L94" s="49"/>
      <c r="M94" s="49"/>
      <c r="N94" s="49"/>
      <c r="O94" s="49"/>
      <c r="P94" s="49"/>
      <c r="Q94" s="49"/>
      <c r="R94" s="49"/>
      <c r="S94" s="49"/>
      <c r="T94" s="49"/>
      <c r="U94" s="49"/>
      <c r="V94" s="49"/>
      <c r="W94" s="49"/>
      <c r="X94" s="49"/>
      <c r="Y94" s="49"/>
      <c r="Z94" s="49"/>
    </row>
    <row r="95">
      <c r="A95" s="49"/>
      <c r="B95" s="49"/>
      <c r="C95" s="49"/>
      <c r="D95" s="49"/>
      <c r="E95" s="49"/>
      <c r="F95" s="49"/>
      <c r="G95" s="49"/>
      <c r="H95" s="49"/>
      <c r="I95" s="49"/>
      <c r="J95" s="49"/>
      <c r="K95" s="49"/>
      <c r="L95" s="49"/>
      <c r="M95" s="49"/>
      <c r="N95" s="49"/>
      <c r="O95" s="49"/>
      <c r="P95" s="49"/>
      <c r="Q95" s="49"/>
      <c r="R95" s="49"/>
      <c r="S95" s="49"/>
      <c r="T95" s="49"/>
      <c r="U95" s="49"/>
      <c r="V95" s="49"/>
      <c r="W95" s="49"/>
      <c r="X95" s="49"/>
      <c r="Y95" s="49"/>
      <c r="Z95" s="49"/>
    </row>
    <row r="96">
      <c r="A96" s="49"/>
      <c r="B96" s="49"/>
      <c r="C96" s="49"/>
      <c r="D96" s="49"/>
      <c r="E96" s="49"/>
      <c r="F96" s="49"/>
      <c r="G96" s="49"/>
      <c r="H96" s="49"/>
      <c r="I96" s="49"/>
      <c r="J96" s="49"/>
      <c r="K96" s="49"/>
      <c r="L96" s="49"/>
      <c r="M96" s="49"/>
      <c r="N96" s="49"/>
      <c r="O96" s="49"/>
      <c r="P96" s="49"/>
      <c r="Q96" s="49"/>
      <c r="R96" s="49"/>
      <c r="S96" s="49"/>
      <c r="T96" s="49"/>
      <c r="U96" s="49"/>
      <c r="V96" s="49"/>
      <c r="W96" s="49"/>
      <c r="X96" s="49"/>
      <c r="Y96" s="49"/>
      <c r="Z96" s="49"/>
    </row>
    <row r="97">
      <c r="A97" s="49"/>
      <c r="B97" s="49"/>
      <c r="C97" s="49"/>
      <c r="D97" s="49"/>
      <c r="E97" s="49"/>
      <c r="F97" s="49"/>
      <c r="G97" s="49"/>
      <c r="H97" s="49"/>
      <c r="I97" s="49"/>
      <c r="J97" s="49"/>
      <c r="K97" s="49"/>
      <c r="L97" s="49"/>
      <c r="M97" s="49"/>
      <c r="N97" s="49"/>
      <c r="O97" s="49"/>
      <c r="P97" s="49"/>
      <c r="Q97" s="49"/>
      <c r="R97" s="49"/>
      <c r="S97" s="49"/>
      <c r="T97" s="49"/>
      <c r="U97" s="49"/>
      <c r="V97" s="49"/>
      <c r="W97" s="49"/>
      <c r="X97" s="49"/>
      <c r="Y97" s="49"/>
      <c r="Z97" s="49"/>
    </row>
    <row r="98">
      <c r="A98" s="49"/>
      <c r="B98" s="49"/>
      <c r="C98" s="49"/>
      <c r="D98" s="49"/>
      <c r="E98" s="49"/>
      <c r="F98" s="49"/>
      <c r="G98" s="49"/>
      <c r="H98" s="49"/>
      <c r="I98" s="49"/>
      <c r="J98" s="49"/>
      <c r="K98" s="49"/>
      <c r="L98" s="49"/>
      <c r="M98" s="49"/>
      <c r="N98" s="49"/>
      <c r="O98" s="49"/>
      <c r="P98" s="49"/>
      <c r="Q98" s="49"/>
      <c r="R98" s="49"/>
      <c r="S98" s="49"/>
      <c r="T98" s="49"/>
      <c r="U98" s="49"/>
      <c r="V98" s="49"/>
      <c r="W98" s="49"/>
      <c r="X98" s="49"/>
      <c r="Y98" s="49"/>
      <c r="Z98" s="49"/>
    </row>
    <row r="99">
      <c r="A99" s="49"/>
      <c r="B99" s="49"/>
      <c r="C99" s="49"/>
      <c r="D99" s="49"/>
      <c r="E99" s="49"/>
      <c r="F99" s="49"/>
      <c r="G99" s="49"/>
      <c r="H99" s="49"/>
      <c r="I99" s="49"/>
      <c r="J99" s="49"/>
      <c r="K99" s="49"/>
      <c r="L99" s="49"/>
      <c r="M99" s="49"/>
      <c r="N99" s="49"/>
      <c r="O99" s="49"/>
      <c r="P99" s="49"/>
      <c r="Q99" s="49"/>
      <c r="R99" s="49"/>
      <c r="S99" s="49"/>
      <c r="T99" s="49"/>
      <c r="U99" s="49"/>
      <c r="V99" s="49"/>
      <c r="W99" s="49"/>
      <c r="X99" s="49"/>
      <c r="Y99" s="49"/>
      <c r="Z99" s="49"/>
    </row>
    <row r="100">
      <c r="A100" s="49"/>
      <c r="B100" s="49"/>
      <c r="C100" s="49"/>
      <c r="D100" s="49"/>
      <c r="E100" s="49"/>
      <c r="F100" s="49"/>
      <c r="G100" s="49"/>
      <c r="H100" s="49"/>
      <c r="I100" s="49"/>
      <c r="J100" s="49"/>
      <c r="K100" s="49"/>
      <c r="L100" s="49"/>
      <c r="M100" s="49"/>
      <c r="N100" s="49"/>
      <c r="O100" s="49"/>
      <c r="P100" s="49"/>
      <c r="Q100" s="49"/>
      <c r="R100" s="49"/>
      <c r="S100" s="49"/>
      <c r="T100" s="49"/>
      <c r="U100" s="49"/>
      <c r="V100" s="49"/>
      <c r="W100" s="49"/>
      <c r="X100" s="49"/>
      <c r="Y100" s="49"/>
      <c r="Z100" s="49"/>
    </row>
    <row r="101">
      <c r="A101" s="49"/>
      <c r="B101" s="49"/>
      <c r="C101" s="49"/>
      <c r="D101" s="49"/>
      <c r="E101" s="49"/>
      <c r="F101" s="49"/>
      <c r="G101" s="49"/>
      <c r="H101" s="49"/>
      <c r="I101" s="49"/>
      <c r="J101" s="49"/>
      <c r="K101" s="49"/>
      <c r="L101" s="49"/>
      <c r="M101" s="49"/>
      <c r="N101" s="49"/>
      <c r="O101" s="49"/>
      <c r="P101" s="49"/>
      <c r="Q101" s="49"/>
      <c r="R101" s="49"/>
      <c r="S101" s="49"/>
      <c r="T101" s="49"/>
      <c r="U101" s="49"/>
      <c r="V101" s="49"/>
      <c r="W101" s="49"/>
      <c r="X101" s="49"/>
      <c r="Y101" s="49"/>
      <c r="Z101" s="49"/>
    </row>
    <row r="102">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sheetData>
  <conditionalFormatting sqref="E2:M1000">
    <cfRule type="cellIs" dxfId="1" priority="1" operator="equal">
      <formula>"TRUE"</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9" t="str">
        <f>IFERROR(__xludf.DUMMYFUNCTION("IMPORTRANGE(""https://docs.google.com/spreadsheets/d/""&amp;Config!B1,""Curses!A:AX"")"),"Name")</f>
        <v>Name</v>
      </c>
      <c r="B1" s="99" t="str">
        <f>IFERROR(__xludf.DUMMYFUNCTION("""COMPUTED_VALUE"""),"Description")</f>
        <v>Description</v>
      </c>
      <c r="C1" s="99" t="str">
        <f>IFERROR(__xludf.DUMMYFUNCTION("""COMPUTED_VALUE"""),"Permanent")</f>
        <v>Permanent</v>
      </c>
      <c r="D1" s="99" t="str">
        <f>IFERROR(__xludf.DUMMYFUNCTION("""COMPUTED_VALUE"""),"SemiPermanent ")</f>
        <v>SemiPermanent </v>
      </c>
      <c r="E1" s="99" t="str">
        <f>IFERROR(__xludf.DUMMYFUNCTION("""COMPUTED_VALUE"""),"Temp")</f>
        <v>Temp</v>
      </c>
      <c r="F1" s="99" t="str">
        <f>IFERROR(__xludf.DUMMYFUNCTION("""COMPUTED_VALUE"""),"Days of Effect")</f>
        <v>Days of Effect</v>
      </c>
      <c r="G1" s="99" t="str">
        <f>IFERROR(__xludf.DUMMYFUNCTION("""COMPUTED_VALUE"""),"Cure")</f>
        <v>Cure</v>
      </c>
      <c r="H1" s="49"/>
      <c r="I1" s="49"/>
      <c r="J1" s="49"/>
      <c r="K1" s="49"/>
      <c r="L1" s="49"/>
      <c r="M1" s="49"/>
      <c r="N1" s="49"/>
      <c r="O1" s="49"/>
      <c r="P1" s="49"/>
      <c r="Q1" s="49"/>
      <c r="R1" s="49"/>
      <c r="S1" s="49"/>
      <c r="T1" s="49"/>
      <c r="U1" s="49"/>
      <c r="V1" s="49"/>
      <c r="W1" s="49"/>
      <c r="X1" s="49"/>
    </row>
    <row r="2">
      <c r="A2" s="49" t="str">
        <f>IFERROR(__xludf.DUMMYFUNCTION("""COMPUTED_VALUE"""),"The Greed in Me")</f>
        <v>The Greed in Me</v>
      </c>
      <c r="B2" s="50" t="str">
        <f>IFERROR(__xludf.DUMMYFUNCTION("""COMPUTED_VALUE"""),"Half the ammount of gilders you recieve for 5 days of travel. ")</f>
        <v>Half the ammount of gilders you recieve for 5 days of travel. </v>
      </c>
      <c r="C2" s="49" t="b">
        <f>IFERROR(__xludf.DUMMYFUNCTION("""COMPUTED_VALUE"""),FALSE)</f>
        <v>0</v>
      </c>
      <c r="D2" s="49" t="b">
        <f>IFERROR(__xludf.DUMMYFUNCTION("""COMPUTED_VALUE"""),FALSE)</f>
        <v>0</v>
      </c>
      <c r="E2" s="49" t="b">
        <f>IFERROR(__xludf.DUMMYFUNCTION("""COMPUTED_VALUE"""),TRUE)</f>
        <v>1</v>
      </c>
      <c r="F2" s="49">
        <f>IFERROR(__xludf.DUMMYFUNCTION("""COMPUTED_VALUE"""),5.0)</f>
        <v>5</v>
      </c>
      <c r="G2" s="49" t="str">
        <f>IFERROR(__xludf.DUMMYFUNCTION("""COMPUTED_VALUE"""),"Traveling/Curse Antidote")</f>
        <v>Traveling/Curse Antidote</v>
      </c>
      <c r="H2" s="49"/>
      <c r="I2" s="49"/>
      <c r="J2" s="49"/>
      <c r="K2" s="49"/>
      <c r="L2" s="49"/>
      <c r="M2" s="49"/>
      <c r="N2" s="49"/>
      <c r="O2" s="49"/>
      <c r="P2" s="49"/>
      <c r="Q2" s="49"/>
      <c r="R2" s="49"/>
      <c r="S2" s="49"/>
      <c r="T2" s="49"/>
      <c r="U2" s="49"/>
      <c r="V2" s="49"/>
      <c r="W2" s="49"/>
      <c r="X2" s="49"/>
    </row>
    <row r="3">
      <c r="A3" s="49" t="str">
        <f>IFERROR(__xludf.DUMMYFUNCTION("""COMPUTED_VALUE"""),"Roll of The Odds")</f>
        <v>Roll of The Odds</v>
      </c>
      <c r="B3" s="50" t="str">
        <f>IFERROR(__xludf.DUMMYFUNCTION("""COMPUTED_VALUE"""),"if you roll an even number on a d20 it becomes the next lowest odd number for 50 days of travel.")</f>
        <v>if you roll an even number on a d20 it becomes the next lowest odd number for 50 days of travel.</v>
      </c>
      <c r="C3" s="49" t="b">
        <f>IFERROR(__xludf.DUMMYFUNCTION("""COMPUTED_VALUE"""),FALSE)</f>
        <v>0</v>
      </c>
      <c r="D3" s="49" t="b">
        <f>IFERROR(__xludf.DUMMYFUNCTION("""COMPUTED_VALUE"""),FALSE)</f>
        <v>0</v>
      </c>
      <c r="E3" s="49" t="b">
        <f>IFERROR(__xludf.DUMMYFUNCTION("""COMPUTED_VALUE"""),TRUE)</f>
        <v>1</v>
      </c>
      <c r="F3" s="49">
        <f>IFERROR(__xludf.DUMMYFUNCTION("""COMPUTED_VALUE"""),50.0)</f>
        <v>50</v>
      </c>
      <c r="G3" s="49" t="str">
        <f>IFERROR(__xludf.DUMMYFUNCTION("""COMPUTED_VALUE"""),"Traveling/Curse Antidote")</f>
        <v>Traveling/Curse Antidote</v>
      </c>
      <c r="H3" s="49"/>
      <c r="I3" s="49"/>
      <c r="J3" s="49"/>
      <c r="K3" s="49"/>
      <c r="L3" s="49"/>
      <c r="M3" s="49"/>
      <c r="N3" s="49"/>
      <c r="O3" s="49"/>
      <c r="P3" s="49"/>
      <c r="Q3" s="49"/>
      <c r="R3" s="49"/>
      <c r="S3" s="49"/>
      <c r="T3" s="49"/>
      <c r="U3" s="49"/>
      <c r="V3" s="49"/>
      <c r="W3" s="49"/>
      <c r="X3" s="49"/>
    </row>
    <row r="4">
      <c r="A4" s="49" t="str">
        <f>IFERROR(__xludf.DUMMYFUNCTION("""COMPUTED_VALUE"""),"Dying Hunger")</f>
        <v>Dying Hunger</v>
      </c>
      <c r="B4" s="50" t="str">
        <f>IFERROR(__xludf.DUMMYFUNCTION("""COMPUTED_VALUE"""),"Deduct an additional 100 from hunger thirst and energy for 20 days of travel.")</f>
        <v>Deduct an additional 100 from hunger thirst and energy for 20 days of travel.</v>
      </c>
      <c r="C4" s="49" t="b">
        <f>IFERROR(__xludf.DUMMYFUNCTION("""COMPUTED_VALUE"""),FALSE)</f>
        <v>0</v>
      </c>
      <c r="D4" s="49" t="b">
        <f>IFERROR(__xludf.DUMMYFUNCTION("""COMPUTED_VALUE"""),FALSE)</f>
        <v>0</v>
      </c>
      <c r="E4" s="49" t="b">
        <f>IFERROR(__xludf.DUMMYFUNCTION("""COMPUTED_VALUE"""),FALSE)</f>
        <v>0</v>
      </c>
      <c r="F4" s="49">
        <f>IFERROR(__xludf.DUMMYFUNCTION("""COMPUTED_VALUE"""),20.0)</f>
        <v>20</v>
      </c>
      <c r="G4" s="49" t="str">
        <f>IFERROR(__xludf.DUMMYFUNCTION("""COMPUTED_VALUE"""),"Traveling/Curse Antidote")</f>
        <v>Traveling/Curse Antidote</v>
      </c>
      <c r="H4" s="49"/>
      <c r="I4" s="49"/>
      <c r="J4" s="49"/>
      <c r="K4" s="49"/>
      <c r="L4" s="49"/>
      <c r="M4" s="49"/>
      <c r="N4" s="49"/>
      <c r="O4" s="49"/>
      <c r="P4" s="49"/>
      <c r="Q4" s="49"/>
      <c r="R4" s="49"/>
      <c r="S4" s="49"/>
      <c r="T4" s="49"/>
      <c r="U4" s="49"/>
      <c r="V4" s="49"/>
      <c r="W4" s="49"/>
      <c r="X4" s="49"/>
    </row>
    <row r="5">
      <c r="A5" s="49" t="str">
        <f>IFERROR(__xludf.DUMMYFUNCTION("""COMPUTED_VALUE"""),"Guards Curse")</f>
        <v>Guards Curse</v>
      </c>
      <c r="B5" s="50" t="str">
        <f>IFERROR(__xludf.DUMMYFUNCTION("""COMPUTED_VALUE"""),"Anytime you enter an area with guards they will have a 50% chance to engage you in battle.")</f>
        <v>Anytime you enter an area with guards they will have a 50% chance to engage you in battle.</v>
      </c>
      <c r="C5" s="49" t="b">
        <f>IFERROR(__xludf.DUMMYFUNCTION("""COMPUTED_VALUE"""),FALSE)</f>
        <v>0</v>
      </c>
      <c r="D5" s="49" t="b">
        <f>IFERROR(__xludf.DUMMYFUNCTION("""COMPUTED_VALUE"""),TRUE)</f>
        <v>1</v>
      </c>
      <c r="E5" s="49" t="b">
        <f>IFERROR(__xludf.DUMMYFUNCTION("""COMPUTED_VALUE"""),FALSE)</f>
        <v>0</v>
      </c>
      <c r="F5" s="49">
        <f>IFERROR(__xludf.DUMMYFUNCTION("""COMPUTED_VALUE"""),0.0)</f>
        <v>0</v>
      </c>
      <c r="G5" s="49" t="str">
        <f>IFERROR(__xludf.DUMMYFUNCTION("""COMPUTED_VALUE"""),"Curse Antidote")</f>
        <v>Curse Antidote</v>
      </c>
      <c r="H5" s="49"/>
      <c r="I5" s="49"/>
      <c r="J5" s="49"/>
      <c r="K5" s="49"/>
      <c r="L5" s="49"/>
      <c r="M5" s="49"/>
      <c r="N5" s="49"/>
      <c r="O5" s="49"/>
      <c r="P5" s="49"/>
      <c r="Q5" s="49"/>
      <c r="R5" s="49"/>
      <c r="S5" s="49"/>
      <c r="T5" s="49"/>
      <c r="U5" s="49"/>
      <c r="V5" s="49"/>
      <c r="W5" s="49"/>
      <c r="X5" s="49"/>
    </row>
    <row r="6">
      <c r="A6" s="49" t="str">
        <f>IFERROR(__xludf.DUMMYFUNCTION("""COMPUTED_VALUE"""),"Curse of The World Tree")</f>
        <v>Curse of The World Tree</v>
      </c>
      <c r="B6" s="50" t="str">
        <f>IFERROR(__xludf.DUMMYFUNCTION("""COMPUTED_VALUE"""),"Prevents you from going to the world tree for 100 days of travel.")</f>
        <v>Prevents you from going to the world tree for 100 days of travel.</v>
      </c>
      <c r="C6" s="49" t="b">
        <f>IFERROR(__xludf.DUMMYFUNCTION("""COMPUTED_VALUE"""),FALSE)</f>
        <v>0</v>
      </c>
      <c r="D6" s="49" t="b">
        <f>IFERROR(__xludf.DUMMYFUNCTION("""COMPUTED_VALUE"""),FALSE)</f>
        <v>0</v>
      </c>
      <c r="E6" s="49" t="b">
        <f>IFERROR(__xludf.DUMMYFUNCTION("""COMPUTED_VALUE"""),TRUE)</f>
        <v>1</v>
      </c>
      <c r="F6" s="49">
        <f>IFERROR(__xludf.DUMMYFUNCTION("""COMPUTED_VALUE"""),100.0)</f>
        <v>100</v>
      </c>
      <c r="G6" s="49" t="str">
        <f>IFERROR(__xludf.DUMMYFUNCTION("""COMPUTED_VALUE"""),"Traveling/Curse Antidote")</f>
        <v>Traveling/Curse Antidote</v>
      </c>
      <c r="H6" s="49"/>
      <c r="I6" s="49"/>
      <c r="J6" s="49"/>
      <c r="K6" s="49"/>
      <c r="L6" s="49"/>
      <c r="M6" s="49"/>
      <c r="N6" s="49"/>
      <c r="O6" s="49"/>
      <c r="P6" s="49"/>
      <c r="Q6" s="49"/>
      <c r="R6" s="49"/>
      <c r="S6" s="49"/>
      <c r="T6" s="49"/>
      <c r="U6" s="49"/>
      <c r="V6" s="49"/>
      <c r="W6" s="49"/>
      <c r="X6" s="49"/>
    </row>
    <row r="7">
      <c r="A7" s="49" t="str">
        <f>IFERROR(__xludf.DUMMYFUNCTION("""COMPUTED_VALUE"""),"Curse of Dying")</f>
        <v>Curse of Dying</v>
      </c>
      <c r="B7" s="50" t="str">
        <f>IFERROR(__xludf.DUMMYFUNCTION("""COMPUTED_VALUE"""),"You permananently die after 100 days of travel.")</f>
        <v>You permananently die after 100 days of travel.</v>
      </c>
      <c r="C7" s="49" t="b">
        <f>IFERROR(__xludf.DUMMYFUNCTION("""COMPUTED_VALUE"""),TRUE)</f>
        <v>1</v>
      </c>
      <c r="D7" s="49" t="b">
        <f>IFERROR(__xludf.DUMMYFUNCTION("""COMPUTED_VALUE"""),FALSE)</f>
        <v>0</v>
      </c>
      <c r="E7" s="49" t="b">
        <f>IFERROR(__xludf.DUMMYFUNCTION("""COMPUTED_VALUE"""),FALSE)</f>
        <v>0</v>
      </c>
      <c r="F7" s="49">
        <f>IFERROR(__xludf.DUMMYFUNCTION("""COMPUTED_VALUE"""),100.0)</f>
        <v>100</v>
      </c>
      <c r="G7" s="49" t="str">
        <f>IFERROR(__xludf.DUMMYFUNCTION("""COMPUTED_VALUE"""),"None")</f>
        <v>None</v>
      </c>
      <c r="H7" s="49"/>
      <c r="I7" s="49"/>
      <c r="J7" s="49"/>
      <c r="K7" s="49"/>
      <c r="L7" s="49"/>
      <c r="M7" s="49"/>
      <c r="N7" s="49"/>
      <c r="O7" s="49"/>
      <c r="P7" s="49"/>
      <c r="Q7" s="49"/>
      <c r="R7" s="49"/>
      <c r="S7" s="49"/>
      <c r="T7" s="49"/>
      <c r="U7" s="49"/>
      <c r="V7" s="49"/>
      <c r="W7" s="49"/>
      <c r="X7" s="49"/>
    </row>
    <row r="8">
      <c r="A8" s="49" t="str">
        <f>IFERROR(__xludf.DUMMYFUNCTION("""COMPUTED_VALUE"""),"Curse of The Samurai")</f>
        <v>Curse of The Samurai</v>
      </c>
      <c r="B8" s="50" t="str">
        <f>IFERROR(__xludf.DUMMYFUNCTION("""COMPUTED_VALUE"""),"Binds the target to the area they are in making it so they cannot leave it.")</f>
        <v>Binds the target to the area they are in making it so they cannot leave it.</v>
      </c>
      <c r="C8" s="49" t="b">
        <f>IFERROR(__xludf.DUMMYFUNCTION("""COMPUTED_VALUE"""),FALSE)</f>
        <v>0</v>
      </c>
      <c r="D8" s="49" t="b">
        <f>IFERROR(__xludf.DUMMYFUNCTION("""COMPUTED_VALUE"""),TRUE)</f>
        <v>1</v>
      </c>
      <c r="E8" s="49" t="b">
        <f>IFERROR(__xludf.DUMMYFUNCTION("""COMPUTED_VALUE"""),FALSE)</f>
        <v>0</v>
      </c>
      <c r="F8" s="49">
        <f>IFERROR(__xludf.DUMMYFUNCTION("""COMPUTED_VALUE"""),0.0)</f>
        <v>0</v>
      </c>
      <c r="G8" s="49" t="str">
        <f>IFERROR(__xludf.DUMMYFUNCTION("""COMPUTED_VALUE"""),"Curse Antidote")</f>
        <v>Curse Antidote</v>
      </c>
      <c r="H8" s="49"/>
      <c r="I8" s="49"/>
      <c r="J8" s="49"/>
      <c r="K8" s="49"/>
      <c r="L8" s="49"/>
      <c r="M8" s="49"/>
      <c r="N8" s="49"/>
      <c r="O8" s="49"/>
      <c r="P8" s="49"/>
      <c r="Q8" s="49"/>
      <c r="R8" s="49"/>
      <c r="S8" s="49"/>
      <c r="T8" s="49"/>
      <c r="U8" s="49"/>
      <c r="V8" s="49"/>
      <c r="W8" s="49"/>
      <c r="X8" s="49"/>
    </row>
    <row r="9">
      <c r="A9" s="49" t="str">
        <f>IFERROR(__xludf.DUMMYFUNCTION("""COMPUTED_VALUE"""),"Curse of Heatmore")</f>
        <v>Curse of Heatmore</v>
      </c>
      <c r="B9" s="50" t="str">
        <f>IFERROR(__xludf.DUMMYFUNCTION("""COMPUTED_VALUE"""),"Players affected by this curse will take 500 fire damage p/r every battle they are in. Cannot resist or be immune to.")</f>
        <v>Players affected by this curse will take 500 fire damage p/r every battle they are in. Cannot resist or be immune to.</v>
      </c>
      <c r="C9" s="49" t="b">
        <f>IFERROR(__xludf.DUMMYFUNCTION("""COMPUTED_VALUE"""),FALSE)</f>
        <v>0</v>
      </c>
      <c r="D9" s="49" t="b">
        <f>IFERROR(__xludf.DUMMYFUNCTION("""COMPUTED_VALUE"""),TRUE)</f>
        <v>1</v>
      </c>
      <c r="E9" s="49" t="b">
        <f>IFERROR(__xludf.DUMMYFUNCTION("""COMPUTED_VALUE"""),FALSE)</f>
        <v>0</v>
      </c>
      <c r="F9" s="49">
        <f>IFERROR(__xludf.DUMMYFUNCTION("""COMPUTED_VALUE"""),0.0)</f>
        <v>0</v>
      </c>
      <c r="G9" s="49" t="str">
        <f>IFERROR(__xludf.DUMMYFUNCTION("""COMPUTED_VALUE"""),"Curse Antidote")</f>
        <v>Curse Antidote</v>
      </c>
      <c r="H9" s="49"/>
      <c r="I9" s="49"/>
      <c r="J9" s="49"/>
      <c r="K9" s="49"/>
      <c r="L9" s="49"/>
      <c r="M9" s="49"/>
      <c r="N9" s="49"/>
      <c r="O9" s="49"/>
      <c r="P9" s="49"/>
      <c r="Q9" s="49"/>
      <c r="R9" s="49"/>
      <c r="S9" s="49"/>
      <c r="T9" s="49"/>
      <c r="U9" s="49"/>
      <c r="V9" s="49"/>
      <c r="W9" s="49"/>
      <c r="X9" s="49"/>
    </row>
    <row r="10">
      <c r="A10" s="49" t="str">
        <f>IFERROR(__xludf.DUMMYFUNCTION("""COMPUTED_VALUE"""),"Frozen Curse")</f>
        <v>Frozen Curse</v>
      </c>
      <c r="B10" s="50" t="str">
        <f>IFERROR(__xludf.DUMMYFUNCTION("""COMPUTED_VALUE"""),"A curse that is said to freeze you permanantly if you step on the wrong path of ice, Causes permanant death.")</f>
        <v>A curse that is said to freeze you permanantly if you step on the wrong path of ice, Causes permanant death.</v>
      </c>
      <c r="C10" s="49" t="b">
        <f>IFERROR(__xludf.DUMMYFUNCTION("""COMPUTED_VALUE"""),TRUE)</f>
        <v>1</v>
      </c>
      <c r="D10" s="49" t="b">
        <f>IFERROR(__xludf.DUMMYFUNCTION("""COMPUTED_VALUE"""),FALSE)</f>
        <v>0</v>
      </c>
      <c r="E10" s="49" t="b">
        <f>IFERROR(__xludf.DUMMYFUNCTION("""COMPUTED_VALUE"""),FALSE)</f>
        <v>0</v>
      </c>
      <c r="F10" s="49">
        <f>IFERROR(__xludf.DUMMYFUNCTION("""COMPUTED_VALUE"""),0.0)</f>
        <v>0</v>
      </c>
      <c r="G10" s="49" t="str">
        <f>IFERROR(__xludf.DUMMYFUNCTION("""COMPUTED_VALUE"""),"None")</f>
        <v>None</v>
      </c>
      <c r="H10" s="49"/>
      <c r="I10" s="49"/>
      <c r="J10" s="49"/>
      <c r="K10" s="49"/>
      <c r="L10" s="49"/>
      <c r="M10" s="49"/>
      <c r="N10" s="49"/>
      <c r="O10" s="49"/>
      <c r="P10" s="49"/>
      <c r="Q10" s="49"/>
      <c r="R10" s="49"/>
      <c r="S10" s="49"/>
      <c r="T10" s="49"/>
      <c r="U10" s="49"/>
      <c r="V10" s="49"/>
      <c r="W10" s="49"/>
      <c r="X10" s="49"/>
    </row>
    <row r="11">
      <c r="A11" s="49" t="str">
        <f>IFERROR(__xludf.DUMMYFUNCTION("""COMPUTED_VALUE"""),"Curse of Greed")</f>
        <v>Curse of Greed</v>
      </c>
      <c r="B11" s="50" t="str">
        <f>IFERROR(__xludf.DUMMYFUNCTION("""COMPUTED_VALUE"""),"All shop prices and town services will cost 75% more, You will lose 75% of the gilders rewarded to you from quests and loot drops.")</f>
        <v>All shop prices and town services will cost 75% more, You will lose 75% of the gilders rewarded to you from quests and loot drops.</v>
      </c>
      <c r="C11" s="49" t="b">
        <f>IFERROR(__xludf.DUMMYFUNCTION("""COMPUTED_VALUE"""),TRUE)</f>
        <v>1</v>
      </c>
      <c r="D11" s="49" t="b">
        <f>IFERROR(__xludf.DUMMYFUNCTION("""COMPUTED_VALUE"""),FALSE)</f>
        <v>0</v>
      </c>
      <c r="E11" s="49" t="b">
        <f>IFERROR(__xludf.DUMMYFUNCTION("""COMPUTED_VALUE"""),FALSE)</f>
        <v>0</v>
      </c>
      <c r="F11" s="49">
        <f>IFERROR(__xludf.DUMMYFUNCTION("""COMPUTED_VALUE"""),0.0)</f>
        <v>0</v>
      </c>
      <c r="G11" s="49" t="str">
        <f>IFERROR(__xludf.DUMMYFUNCTION("""COMPUTED_VALUE"""),"None")</f>
        <v>None</v>
      </c>
      <c r="H11" s="49"/>
      <c r="I11" s="49"/>
      <c r="J11" s="49"/>
      <c r="K11" s="49"/>
      <c r="L11" s="49"/>
      <c r="M11" s="49"/>
      <c r="N11" s="49"/>
      <c r="O11" s="49"/>
      <c r="P11" s="49"/>
      <c r="Q11" s="49"/>
      <c r="R11" s="49"/>
      <c r="S11" s="49"/>
      <c r="T11" s="49"/>
      <c r="U11" s="49"/>
      <c r="V11" s="49"/>
      <c r="W11" s="49"/>
      <c r="X11" s="49"/>
    </row>
    <row r="12">
      <c r="A12" s="49" t="str">
        <f>IFERROR(__xludf.DUMMYFUNCTION("""COMPUTED_VALUE"""),"Curse of The Ancestral Blood")</f>
        <v>Curse of The Ancestral Blood</v>
      </c>
      <c r="B12" s="50" t="str">
        <f>IFERROR(__xludf.DUMMYFUNCTION("""COMPUTED_VALUE"""),"The call of the cursed blade screams within your mind urging you to slice the throats of your comrades and enemies. 
At the start of your turn in battle you must roll 1d20 1-10 you enter a berserk state gaining Rampage 1 
11-20 you remain in control of y"&amp;"our character.")</f>
        <v>The call of the cursed blade screams within your mind urging you to slice the throats of your comrades and enemies. 
At the start of your turn in battle you must roll 1d20 1-10 you enter a berserk state gaining Rampage 1 
11-20 you remain in control of your character.</v>
      </c>
      <c r="C12" s="49" t="b">
        <f>IFERROR(__xludf.DUMMYFUNCTION("""COMPUTED_VALUE"""),FALSE)</f>
        <v>0</v>
      </c>
      <c r="D12" s="49" t="b">
        <f>IFERROR(__xludf.DUMMYFUNCTION("""COMPUTED_VALUE"""),TRUE)</f>
        <v>1</v>
      </c>
      <c r="E12" s="49" t="b">
        <f>IFERROR(__xludf.DUMMYFUNCTION("""COMPUTED_VALUE"""),FALSE)</f>
        <v>0</v>
      </c>
      <c r="F12" s="49">
        <f>IFERROR(__xludf.DUMMYFUNCTION("""COMPUTED_VALUE"""),0.0)</f>
        <v>0</v>
      </c>
      <c r="G12" s="49" t="str">
        <f>IFERROR(__xludf.DUMMYFUNCTION("""COMPUTED_VALUE"""),"Completeing the Quest: ""Cleansing the Blade Formed In Blood""")</f>
        <v>Completeing the Quest: "Cleansing the Blade Formed In Blood"</v>
      </c>
      <c r="H12" s="49"/>
      <c r="I12" s="49"/>
      <c r="J12" s="49"/>
      <c r="K12" s="49"/>
      <c r="L12" s="49"/>
      <c r="M12" s="49"/>
      <c r="N12" s="49"/>
      <c r="O12" s="49"/>
      <c r="P12" s="49"/>
      <c r="Q12" s="49"/>
      <c r="R12" s="49"/>
      <c r="S12" s="49"/>
      <c r="T12" s="49"/>
      <c r="U12" s="49"/>
      <c r="V12" s="49"/>
      <c r="W12" s="49"/>
      <c r="X12" s="49"/>
    </row>
    <row r="13">
      <c r="A13" s="49" t="str">
        <f>IFERROR(__xludf.DUMMYFUNCTION("""COMPUTED_VALUE"""),"Shadowbind Curse")</f>
        <v>Shadowbind Curse</v>
      </c>
      <c r="B13" s="50" t="str">
        <f>IFERROR(__xludf.DUMMYFUNCTION("""COMPUTED_VALUE"""),"Those afflicted by the Shadowbind Curse find that their shadows detach from them, taking on a life of their own. These shadow entities act independently, sometimes revealing secrets or even working against their host's intentions.
When affected by this c"&amp;"urse their will be a 25% chance during each battle a clone of your character will be created that will be allied with the enemies of the party.")</f>
        <v>Those afflicted by the Shadowbind Curse find that their shadows detach from them, taking on a life of their own. These shadow entities act independently, sometimes revealing secrets or even working against their host's intentions.
When affected by this curse their will be a 25% chance during each battle a clone of your character will be created that will be allied with the enemies of the party.</v>
      </c>
      <c r="C13" s="49" t="b">
        <f>IFERROR(__xludf.DUMMYFUNCTION("""COMPUTED_VALUE"""),FALSE)</f>
        <v>0</v>
      </c>
      <c r="D13" s="49" t="b">
        <f>IFERROR(__xludf.DUMMYFUNCTION("""COMPUTED_VALUE"""),TRUE)</f>
        <v>1</v>
      </c>
      <c r="E13" s="49" t="b">
        <f>IFERROR(__xludf.DUMMYFUNCTION("""COMPUTED_VALUE"""),FALSE)</f>
        <v>0</v>
      </c>
      <c r="F13" s="49">
        <f>IFERROR(__xludf.DUMMYFUNCTION("""COMPUTED_VALUE"""),0.0)</f>
        <v>0</v>
      </c>
      <c r="G13" s="49" t="str">
        <f>IFERROR(__xludf.DUMMYFUNCTION("""COMPUTED_VALUE"""),"Curse Antidote")</f>
        <v>Curse Antidote</v>
      </c>
      <c r="H13" s="49"/>
      <c r="I13" s="49"/>
      <c r="J13" s="49"/>
      <c r="K13" s="49"/>
      <c r="L13" s="49"/>
      <c r="M13" s="49"/>
      <c r="N13" s="49"/>
      <c r="O13" s="49"/>
      <c r="P13" s="49"/>
      <c r="Q13" s="49"/>
      <c r="R13" s="49"/>
      <c r="S13" s="49"/>
      <c r="T13" s="49"/>
      <c r="U13" s="49"/>
      <c r="V13" s="49"/>
      <c r="W13" s="49"/>
      <c r="X13" s="49"/>
    </row>
    <row r="14">
      <c r="A14" s="49" t="str">
        <f>IFERROR(__xludf.DUMMYFUNCTION("""COMPUTED_VALUE"""),"Eternal Eclipse")</f>
        <v>Eternal Eclipse</v>
      </c>
      <c r="B14" s="50" t="str">
        <f>IFERROR(__xludf.DUMMYFUNCTION("""COMPUTED_VALUE"""),"The cursed individual is shrouded in perpetual darkness, as if living under a never-ending solar eclipse. The absence of natural light hinders perception, making it difficult for the cursed to navigate or interact with the world.
When affected by this cu"&amp;"rse you will act under the effect of Blindness ∞")</f>
        <v>The cursed individual is shrouded in perpetual darkness, as if living under a never-ending solar eclipse. The absence of natural light hinders perception, making it difficult for the cursed to navigate or interact with the world.
When affected by this curse you will act under the effect of Blindness ∞</v>
      </c>
      <c r="C14" s="49" t="b">
        <f>IFERROR(__xludf.DUMMYFUNCTION("""COMPUTED_VALUE"""),FALSE)</f>
        <v>0</v>
      </c>
      <c r="D14" s="49" t="b">
        <f>IFERROR(__xludf.DUMMYFUNCTION("""COMPUTED_VALUE"""),TRUE)</f>
        <v>1</v>
      </c>
      <c r="E14" s="49" t="b">
        <f>IFERROR(__xludf.DUMMYFUNCTION("""COMPUTED_VALUE"""),FALSE)</f>
        <v>0</v>
      </c>
      <c r="F14" s="49">
        <f>IFERROR(__xludf.DUMMYFUNCTION("""COMPUTED_VALUE"""),0.0)</f>
        <v>0</v>
      </c>
      <c r="G14" s="49" t="str">
        <f>IFERROR(__xludf.DUMMYFUNCTION("""COMPUTED_VALUE"""),"Curse Antidote")</f>
        <v>Curse Antidote</v>
      </c>
      <c r="H14" s="49"/>
      <c r="I14" s="49"/>
      <c r="J14" s="49"/>
      <c r="K14" s="49"/>
      <c r="L14" s="49"/>
      <c r="M14" s="49"/>
      <c r="N14" s="49"/>
      <c r="O14" s="49"/>
      <c r="P14" s="49"/>
      <c r="Q14" s="49"/>
      <c r="R14" s="49"/>
      <c r="S14" s="49"/>
      <c r="T14" s="49"/>
      <c r="U14" s="49"/>
      <c r="V14" s="49"/>
      <c r="W14" s="49"/>
      <c r="X14" s="49"/>
    </row>
    <row r="15">
      <c r="A15" s="49" t="str">
        <f>IFERROR(__xludf.DUMMYFUNCTION("""COMPUTED_VALUE"""),"Mute Echo")</f>
        <v>Mute Echo</v>
      </c>
      <c r="B15" s="50" t="str">
        <f>IFERROR(__xludf.DUMMYFUNCTION("""COMPUTED_VALUE"""),"This curse steals the voice of its victim. Attempts to speak result in only faint echoes, making communication challenging. Breaking the curse may involve retrieving a stolen voice from a mysterious entity.
When affected by this curse you will deduct 10 "&amp;"from your d20 rolls.")</f>
        <v>This curse steals the voice of its victim. Attempts to speak result in only faint echoes, making communication challenging. Breaking the curse may involve retrieving a stolen voice from a mysterious entity.
When affected by this curse you will deduct 10 from your d20 rolls.</v>
      </c>
      <c r="C15" s="49" t="b">
        <f>IFERROR(__xludf.DUMMYFUNCTION("""COMPUTED_VALUE"""),FALSE)</f>
        <v>0</v>
      </c>
      <c r="D15" s="49" t="b">
        <f>IFERROR(__xludf.DUMMYFUNCTION("""COMPUTED_VALUE"""),TRUE)</f>
        <v>1</v>
      </c>
      <c r="E15" s="49" t="b">
        <f>IFERROR(__xludf.DUMMYFUNCTION("""COMPUTED_VALUE"""),FALSE)</f>
        <v>0</v>
      </c>
      <c r="F15" s="49">
        <f>IFERROR(__xludf.DUMMYFUNCTION("""COMPUTED_VALUE"""),0.0)</f>
        <v>0</v>
      </c>
      <c r="G15" s="49" t="str">
        <f>IFERROR(__xludf.DUMMYFUNCTION("""COMPUTED_VALUE"""),"A Quest")</f>
        <v>A Quest</v>
      </c>
      <c r="H15" s="49"/>
      <c r="I15" s="49"/>
      <c r="J15" s="49"/>
      <c r="K15" s="49"/>
      <c r="L15" s="49"/>
      <c r="M15" s="49"/>
      <c r="N15" s="49"/>
      <c r="O15" s="49"/>
      <c r="P15" s="49"/>
      <c r="Q15" s="49"/>
      <c r="R15" s="49"/>
      <c r="S15" s="49"/>
      <c r="T15" s="49"/>
      <c r="U15" s="49"/>
      <c r="V15" s="49"/>
      <c r="W15" s="49"/>
      <c r="X15" s="49"/>
    </row>
    <row r="16">
      <c r="A16" s="49" t="str">
        <f>IFERROR(__xludf.DUMMYFUNCTION("""COMPUTED_VALUE"""),"Iron Veins")</f>
        <v>Iron Veins</v>
      </c>
      <c r="B16" s="50" t="str">
        <f>IFERROR(__xludf.DUMMYFUNCTION("""COMPUTED_VALUE"""),"The cursed person's blood turns to molten iron, causing excruciating pain with every heartbeat. The metallic blood can be weaponized, but the curse prevents the afflicted from benefiting from this transformation.
Deal X2 additional damage but 1% of the d"&amp;"amage you deal is drained from your HP and SP.")</f>
        <v>The cursed person's blood turns to molten iron, causing excruciating pain with every heartbeat. The metallic blood can be weaponized, but the curse prevents the afflicted from benefiting from this transformation.
Deal X2 additional damage but 1% of the damage you deal is drained from your HP and SP.</v>
      </c>
      <c r="C16" s="49" t="b">
        <f>IFERROR(__xludf.DUMMYFUNCTION("""COMPUTED_VALUE"""),FALSE)</f>
        <v>0</v>
      </c>
      <c r="D16" s="49" t="b">
        <f>IFERROR(__xludf.DUMMYFUNCTION("""COMPUTED_VALUE"""),FALSE)</f>
        <v>0</v>
      </c>
      <c r="E16" s="49" t="b">
        <f>IFERROR(__xludf.DUMMYFUNCTION("""COMPUTED_VALUE"""),TRUE)</f>
        <v>1</v>
      </c>
      <c r="F16" s="49">
        <f>IFERROR(__xludf.DUMMYFUNCTION("""COMPUTED_VALUE"""),20.0)</f>
        <v>20</v>
      </c>
      <c r="G16" s="49" t="str">
        <f>IFERROR(__xludf.DUMMYFUNCTION("""COMPUTED_VALUE"""),"Traveling/Curse Antidote")</f>
        <v>Traveling/Curse Antidote</v>
      </c>
      <c r="H16" s="49"/>
      <c r="I16" s="49"/>
      <c r="J16" s="49"/>
      <c r="K16" s="49"/>
      <c r="L16" s="49"/>
      <c r="M16" s="49"/>
      <c r="N16" s="49"/>
      <c r="O16" s="49"/>
      <c r="P16" s="49"/>
      <c r="Q16" s="49"/>
      <c r="R16" s="49"/>
      <c r="S16" s="49"/>
      <c r="T16" s="49"/>
      <c r="U16" s="49"/>
      <c r="V16" s="49"/>
      <c r="W16" s="49"/>
      <c r="X16" s="49"/>
    </row>
    <row r="17">
      <c r="A17" s="49" t="str">
        <f>IFERROR(__xludf.DUMMYFUNCTION("""COMPUTED_VALUE"""),"Hollow Sight")</f>
        <v>Hollow Sight</v>
      </c>
      <c r="B17" s="50" t="str">
        <f>IFERROR(__xludf.DUMMYFUNCTION("""COMPUTED_VALUE"""),"Vision becomes distorted, and the cursed see the world as if through a shifting, ever-changing kaleidoscope. This curse makes navigation and combat extremely challenging, as reality becomes an unpredictable mosaic.
When affected by this curse you will ac"&amp;"t under the effect of Blindness ∞")</f>
        <v>Vision becomes distorted, and the cursed see the world as if through a shifting, ever-changing kaleidoscope. This curse makes navigation and combat extremely challenging, as reality becomes an unpredictable mosaic.
When affected by this curse you will act under the effect of Blindness ∞</v>
      </c>
      <c r="C17" s="49" t="b">
        <f>IFERROR(__xludf.DUMMYFUNCTION("""COMPUTED_VALUE"""),FALSE)</f>
        <v>0</v>
      </c>
      <c r="D17" s="49" t="b">
        <f>IFERROR(__xludf.DUMMYFUNCTION("""COMPUTED_VALUE"""),FALSE)</f>
        <v>0</v>
      </c>
      <c r="E17" s="49" t="b">
        <f>IFERROR(__xludf.DUMMYFUNCTION("""COMPUTED_VALUE"""),TRUE)</f>
        <v>1</v>
      </c>
      <c r="F17" s="49">
        <f>IFERROR(__xludf.DUMMYFUNCTION("""COMPUTED_VALUE"""),20.0)</f>
        <v>20</v>
      </c>
      <c r="G17" s="49" t="str">
        <f>IFERROR(__xludf.DUMMYFUNCTION("""COMPUTED_VALUE"""),"Traveling/Curse Antidote")</f>
        <v>Traveling/Curse Antidote</v>
      </c>
      <c r="H17" s="49"/>
      <c r="I17" s="49"/>
      <c r="J17" s="49"/>
      <c r="K17" s="49"/>
      <c r="L17" s="49"/>
      <c r="M17" s="49"/>
      <c r="N17" s="49"/>
      <c r="O17" s="49"/>
      <c r="P17" s="49"/>
      <c r="Q17" s="49"/>
      <c r="R17" s="49"/>
      <c r="S17" s="49"/>
      <c r="T17" s="49"/>
      <c r="U17" s="49"/>
      <c r="V17" s="49"/>
      <c r="W17" s="49"/>
      <c r="X17" s="49"/>
    </row>
    <row r="18">
      <c r="A18" s="49" t="str">
        <f>IFERROR(__xludf.DUMMYFUNCTION("""COMPUTED_VALUE"""),"Frostbound Heart")</f>
        <v>Frostbound Heart</v>
      </c>
      <c r="B18" s="50" t="str">
        <f>IFERROR(__xludf.DUMMYFUNCTION("""COMPUTED_VALUE"""),"The cursed individual's heart turns to ice, spreading a numbing cold throughout their body. While this grants resistance to fire, it also makes them susceptible to freezing temperatures and slows their movements.
When affected by this curse you will gain"&amp;" X2 Fire resistance but you will act under the effect of Slowness ∞ and have a 25% chance to freeze during each of your turns in battle.")</f>
        <v>The cursed individual's heart turns to ice, spreading a numbing cold throughout their body. While this grants resistance to fire, it also makes them susceptible to freezing temperatures and slows their movements.
When affected by this curse you will gain X2 Fire resistance but you will act under the effect of Slowness ∞ and have a 25% chance to freeze during each of your turns in battle.</v>
      </c>
      <c r="C18" s="49" t="b">
        <f>IFERROR(__xludf.DUMMYFUNCTION("""COMPUTED_VALUE"""),FALSE)</f>
        <v>0</v>
      </c>
      <c r="D18" s="49" t="b">
        <f>IFERROR(__xludf.DUMMYFUNCTION("""COMPUTED_VALUE"""),TRUE)</f>
        <v>1</v>
      </c>
      <c r="E18" s="49" t="b">
        <f>IFERROR(__xludf.DUMMYFUNCTION("""COMPUTED_VALUE"""),FALSE)</f>
        <v>0</v>
      </c>
      <c r="F18" s="49">
        <f>IFERROR(__xludf.DUMMYFUNCTION("""COMPUTED_VALUE"""),0.0)</f>
        <v>0</v>
      </c>
      <c r="G18" s="49" t="str">
        <f>IFERROR(__xludf.DUMMYFUNCTION("""COMPUTED_VALUE"""),"Curse Antidote")</f>
        <v>Curse Antidote</v>
      </c>
      <c r="H18" s="49"/>
      <c r="I18" s="49"/>
      <c r="J18" s="49"/>
      <c r="K18" s="49"/>
      <c r="L18" s="49"/>
      <c r="M18" s="49"/>
      <c r="N18" s="49"/>
      <c r="O18" s="49"/>
      <c r="P18" s="49"/>
      <c r="Q18" s="49"/>
      <c r="R18" s="49"/>
      <c r="S18" s="49"/>
      <c r="T18" s="49"/>
      <c r="U18" s="49"/>
      <c r="V18" s="49"/>
      <c r="W18" s="49"/>
      <c r="X18" s="49"/>
    </row>
    <row r="19">
      <c r="A19" s="49" t="str">
        <f>IFERROR(__xludf.DUMMYFUNCTION("""COMPUTED_VALUE"""),"Thorns of Betrayal")</f>
        <v>Thorns of Betrayal</v>
      </c>
      <c r="B19" s="50" t="str">
        <f>IFERROR(__xludf.DUMMYFUNCTION("""COMPUTED_VALUE"""),"A curse that causes anyone who forms a close bond with the afflicted to suffer pain and injury. The thorns metaphorically grow between the cursed individual and their allies, causing harm whenever trust is established.
When affected by this curse anyone "&amp;"who buffs you will lose Half their HP and SP.")</f>
        <v>A curse that causes anyone who forms a close bond with the afflicted to suffer pain and injury. The thorns metaphorically grow between the cursed individual and their allies, causing harm whenever trust is established.
When affected by this curse anyone who buffs you will lose Half their HP and SP.</v>
      </c>
      <c r="C19" s="49" t="b">
        <f>IFERROR(__xludf.DUMMYFUNCTION("""COMPUTED_VALUE"""),FALSE)</f>
        <v>0</v>
      </c>
      <c r="D19" s="49" t="b">
        <f>IFERROR(__xludf.DUMMYFUNCTION("""COMPUTED_VALUE"""),TRUE)</f>
        <v>1</v>
      </c>
      <c r="E19" s="49" t="b">
        <f>IFERROR(__xludf.DUMMYFUNCTION("""COMPUTED_VALUE"""),FALSE)</f>
        <v>0</v>
      </c>
      <c r="F19" s="49">
        <f>IFERROR(__xludf.DUMMYFUNCTION("""COMPUTED_VALUE"""),0.0)</f>
        <v>0</v>
      </c>
      <c r="G19" s="49" t="str">
        <f>IFERROR(__xludf.DUMMYFUNCTION("""COMPUTED_VALUE"""),"Curse Antidote")</f>
        <v>Curse Antidote</v>
      </c>
      <c r="H19" s="49"/>
      <c r="I19" s="49"/>
      <c r="J19" s="49"/>
      <c r="K19" s="49"/>
      <c r="L19" s="49"/>
      <c r="M19" s="49"/>
      <c r="N19" s="49"/>
      <c r="O19" s="49"/>
      <c r="P19" s="49"/>
      <c r="Q19" s="49"/>
      <c r="R19" s="49"/>
      <c r="S19" s="49"/>
      <c r="T19" s="49"/>
      <c r="U19" s="49"/>
      <c r="V19" s="49"/>
      <c r="W19" s="49"/>
      <c r="X19" s="49"/>
    </row>
    <row r="20">
      <c r="A20" s="49" t="str">
        <f>IFERROR(__xludf.DUMMYFUNCTION("""COMPUTED_VALUE"""),"Veil of Amnesia")</f>
        <v>Veil of Amnesia</v>
      </c>
      <c r="B20" s="50" t="str">
        <f>IFERROR(__xludf.DUMMYFUNCTION("""COMPUTED_VALUE"""),"The cursed person forgets their past, losing memories as if veiled by a mystical fog. Breaking the curse requires piecing together fragments of the forgotten past, scattered in hidden locations.
When affected by this curse you will have a period of time "&amp;"before you character recieves permanent death.")</f>
        <v>The cursed person forgets their past, losing memories as if veiled by a mystical fog. Breaking the curse requires piecing together fragments of the forgotten past, scattered in hidden locations.
When affected by this curse you will have a period of time before you character recieves permanent death.</v>
      </c>
      <c r="C20" s="49" t="b">
        <f>IFERROR(__xludf.DUMMYFUNCTION("""COMPUTED_VALUE"""),FALSE)</f>
        <v>0</v>
      </c>
      <c r="D20" s="49" t="b">
        <f>IFERROR(__xludf.DUMMYFUNCTION("""COMPUTED_VALUE"""),TRUE)</f>
        <v>1</v>
      </c>
      <c r="E20" s="49" t="b">
        <f>IFERROR(__xludf.DUMMYFUNCTION("""COMPUTED_VALUE"""),FALSE)</f>
        <v>0</v>
      </c>
      <c r="F20" s="49">
        <f>IFERROR(__xludf.DUMMYFUNCTION("""COMPUTED_VALUE"""),0.0)</f>
        <v>0</v>
      </c>
      <c r="G20" s="49" t="str">
        <f>IFERROR(__xludf.DUMMYFUNCTION("""COMPUTED_VALUE"""),"A Quest")</f>
        <v>A Quest</v>
      </c>
      <c r="H20" s="49"/>
      <c r="I20" s="49"/>
      <c r="J20" s="49"/>
      <c r="K20" s="49"/>
      <c r="L20" s="49"/>
      <c r="M20" s="49"/>
      <c r="N20" s="49"/>
      <c r="O20" s="49"/>
      <c r="P20" s="49"/>
      <c r="Q20" s="49"/>
      <c r="R20" s="49"/>
      <c r="S20" s="49"/>
      <c r="T20" s="49"/>
      <c r="U20" s="49"/>
      <c r="V20" s="49"/>
      <c r="W20" s="49"/>
      <c r="X20" s="49"/>
    </row>
    <row r="21">
      <c r="A21" s="49" t="str">
        <f>IFERROR(__xludf.DUMMYFUNCTION("""COMPUTED_VALUE"""),"Warping Reflection")</f>
        <v>Warping Reflection</v>
      </c>
      <c r="B21" s="50" t="str">
        <f>IFERROR(__xludf.DUMMYFUNCTION("""COMPUTED_VALUE"""),"Mirrors and reflective surfaces distort the cursed individual's appearance, projecting monstrous or grotesque images. The curse instills fear in those who see the distorted reflection, leading to social isolation.
When affected by this curse your intimid"&amp;"ation and charisma are halved.")</f>
        <v>Mirrors and reflective surfaces distort the cursed individual's appearance, projecting monstrous or grotesque images. The curse instills fear in those who see the distorted reflection, leading to social isolation.
When affected by this curse your intimidation and charisma are halved.</v>
      </c>
      <c r="C21" s="49" t="b">
        <f>IFERROR(__xludf.DUMMYFUNCTION("""COMPUTED_VALUE"""),FALSE)</f>
        <v>0</v>
      </c>
      <c r="D21" s="49" t="b">
        <f>IFERROR(__xludf.DUMMYFUNCTION("""COMPUTED_VALUE"""),TRUE)</f>
        <v>1</v>
      </c>
      <c r="E21" s="49" t="b">
        <f>IFERROR(__xludf.DUMMYFUNCTION("""COMPUTED_VALUE"""),FALSE)</f>
        <v>0</v>
      </c>
      <c r="F21" s="49">
        <f>IFERROR(__xludf.DUMMYFUNCTION("""COMPUTED_VALUE"""),0.0)</f>
        <v>0</v>
      </c>
      <c r="G21" s="49" t="str">
        <f>IFERROR(__xludf.DUMMYFUNCTION("""COMPUTED_VALUE"""),"Curse Antidote")</f>
        <v>Curse Antidote</v>
      </c>
      <c r="H21" s="49"/>
      <c r="I21" s="49"/>
      <c r="J21" s="49"/>
      <c r="K21" s="49"/>
      <c r="L21" s="49"/>
      <c r="M21" s="49"/>
      <c r="N21" s="49"/>
      <c r="O21" s="49"/>
      <c r="P21" s="49"/>
      <c r="Q21" s="49"/>
      <c r="R21" s="49"/>
      <c r="S21" s="49"/>
      <c r="T21" s="49"/>
      <c r="U21" s="49"/>
      <c r="V21" s="49"/>
      <c r="W21" s="49"/>
      <c r="X21" s="49"/>
    </row>
    <row r="22">
      <c r="A22" s="49" t="str">
        <f>IFERROR(__xludf.DUMMYFUNCTION("""COMPUTED_VALUE"""),"Vorpal Silence")</f>
        <v>Vorpal Silence</v>
      </c>
      <c r="B22" s="50" t="str">
        <f>IFERROR(__xludf.DUMMYFUNCTION("""COMPUTED_VALUE"""),"The cursed individual emits a zone of absolute silence, extinguishing all sound within a radius. This eerie quiet can be disorienting and isolating, making it challenging for the afflicted to communicate or coordinate with others.
When affected by this c"&amp;"urse you will deduct 5 from your d20 rolls.")</f>
        <v>The cursed individual emits a zone of absolute silence, extinguishing all sound within a radius. This eerie quiet can be disorienting and isolating, making it challenging for the afflicted to communicate or coordinate with others.
When affected by this curse you will deduct 5 from your d20 rolls.</v>
      </c>
      <c r="C22" s="49" t="b">
        <f>IFERROR(__xludf.DUMMYFUNCTION("""COMPUTED_VALUE"""),FALSE)</f>
        <v>0</v>
      </c>
      <c r="D22" s="49" t="b">
        <f>IFERROR(__xludf.DUMMYFUNCTION("""COMPUTED_VALUE"""),FALSE)</f>
        <v>0</v>
      </c>
      <c r="E22" s="49" t="b">
        <f>IFERROR(__xludf.DUMMYFUNCTION("""COMPUTED_VALUE"""),TRUE)</f>
        <v>1</v>
      </c>
      <c r="F22" s="49">
        <f>IFERROR(__xludf.DUMMYFUNCTION("""COMPUTED_VALUE"""),10.0)</f>
        <v>10</v>
      </c>
      <c r="G22" s="49" t="str">
        <f>IFERROR(__xludf.DUMMYFUNCTION("""COMPUTED_VALUE"""),"Traveling/Curse Antidote")</f>
        <v>Traveling/Curse Antidote</v>
      </c>
      <c r="H22" s="49"/>
      <c r="I22" s="49"/>
      <c r="J22" s="49"/>
      <c r="K22" s="49"/>
      <c r="L22" s="49"/>
      <c r="M22" s="49"/>
      <c r="N22" s="49"/>
      <c r="O22" s="49"/>
      <c r="P22" s="49"/>
      <c r="Q22" s="49"/>
      <c r="R22" s="49"/>
      <c r="S22" s="49"/>
      <c r="T22" s="49"/>
      <c r="U22" s="49"/>
      <c r="V22" s="49"/>
      <c r="W22" s="49"/>
      <c r="X22" s="49"/>
    </row>
    <row r="23">
      <c r="A23" s="49" t="str">
        <f>IFERROR(__xludf.DUMMYFUNCTION("""COMPUTED_VALUE"""),"Ancient Frost Grand Mages Curse")</f>
        <v>Ancient Frost Grand Mages Curse</v>
      </c>
      <c r="B23" s="50" t="str">
        <f>IFERROR(__xludf.DUMMYFUNCTION("""COMPUTED_VALUE"""),"A freezing curse on the target binding them to the area they are currently in, which they now cannot leave.")</f>
        <v>A freezing curse on the target binding them to the area they are currently in, which they now cannot leave.</v>
      </c>
      <c r="C23" s="49" t="b">
        <f>IFERROR(__xludf.DUMMYFUNCTION("""COMPUTED_VALUE"""),FALSE)</f>
        <v>0</v>
      </c>
      <c r="D23" s="49" t="b">
        <f>IFERROR(__xludf.DUMMYFUNCTION("""COMPUTED_VALUE"""),TRUE)</f>
        <v>1</v>
      </c>
      <c r="E23" s="49" t="b">
        <f>IFERROR(__xludf.DUMMYFUNCTION("""COMPUTED_VALUE"""),FALSE)</f>
        <v>0</v>
      </c>
      <c r="F23" s="49">
        <f>IFERROR(__xludf.DUMMYFUNCTION("""COMPUTED_VALUE"""),0.0)</f>
        <v>0</v>
      </c>
      <c r="G23" s="49" t="str">
        <f>IFERROR(__xludf.DUMMYFUNCTION("""COMPUTED_VALUE"""),"Curse Antidote")</f>
        <v>Curse Antidote</v>
      </c>
      <c r="H23" s="49"/>
      <c r="I23" s="49"/>
      <c r="J23" s="49"/>
      <c r="K23" s="49"/>
      <c r="L23" s="49"/>
      <c r="M23" s="49"/>
      <c r="N23" s="49"/>
      <c r="O23" s="49"/>
      <c r="P23" s="49"/>
      <c r="Q23" s="49"/>
      <c r="R23" s="49"/>
      <c r="S23" s="49"/>
      <c r="T23" s="49"/>
      <c r="U23" s="49"/>
      <c r="V23" s="49"/>
      <c r="W23" s="49"/>
      <c r="X23" s="49"/>
    </row>
    <row r="24">
      <c r="A24" s="49"/>
      <c r="B24" s="50"/>
      <c r="C24" s="49" t="b">
        <f>IFERROR(__xludf.DUMMYFUNCTION("""COMPUTED_VALUE"""),FALSE)</f>
        <v>0</v>
      </c>
      <c r="D24" s="49" t="b">
        <f>IFERROR(__xludf.DUMMYFUNCTION("""COMPUTED_VALUE"""),FALSE)</f>
        <v>0</v>
      </c>
      <c r="E24" s="49" t="b">
        <f>IFERROR(__xludf.DUMMYFUNCTION("""COMPUTED_VALUE"""),FALSE)</f>
        <v>0</v>
      </c>
      <c r="F24" s="49"/>
      <c r="G24" s="49"/>
      <c r="H24" s="49"/>
      <c r="I24" s="49"/>
      <c r="J24" s="49"/>
      <c r="K24" s="49"/>
      <c r="L24" s="49"/>
      <c r="M24" s="49"/>
      <c r="N24" s="49"/>
      <c r="O24" s="49"/>
      <c r="P24" s="49"/>
      <c r="Q24" s="49"/>
      <c r="R24" s="49"/>
      <c r="S24" s="49"/>
      <c r="T24" s="49"/>
      <c r="U24" s="49"/>
      <c r="V24" s="49"/>
      <c r="W24" s="49"/>
      <c r="X24" s="49"/>
    </row>
    <row r="25">
      <c r="A25" s="49"/>
      <c r="B25" s="50"/>
      <c r="C25" s="49" t="b">
        <f>IFERROR(__xludf.DUMMYFUNCTION("""COMPUTED_VALUE"""),FALSE)</f>
        <v>0</v>
      </c>
      <c r="D25" s="49" t="b">
        <f>IFERROR(__xludf.DUMMYFUNCTION("""COMPUTED_VALUE"""),FALSE)</f>
        <v>0</v>
      </c>
      <c r="E25" s="49" t="b">
        <f>IFERROR(__xludf.DUMMYFUNCTION("""COMPUTED_VALUE"""),FALSE)</f>
        <v>0</v>
      </c>
      <c r="F25" s="49"/>
      <c r="G25" s="49"/>
      <c r="H25" s="49"/>
      <c r="I25" s="49"/>
      <c r="J25" s="49"/>
      <c r="K25" s="49"/>
      <c r="L25" s="49"/>
      <c r="M25" s="49"/>
      <c r="N25" s="49"/>
      <c r="O25" s="49"/>
      <c r="P25" s="49"/>
      <c r="Q25" s="49"/>
      <c r="R25" s="49"/>
      <c r="S25" s="49"/>
      <c r="T25" s="49"/>
      <c r="U25" s="49"/>
      <c r="V25" s="49"/>
      <c r="W25" s="49"/>
      <c r="X25" s="49"/>
    </row>
    <row r="26">
      <c r="A26" s="49"/>
      <c r="B26" s="50"/>
      <c r="C26" s="49" t="b">
        <f>IFERROR(__xludf.DUMMYFUNCTION("""COMPUTED_VALUE"""),FALSE)</f>
        <v>0</v>
      </c>
      <c r="D26" s="49" t="b">
        <f>IFERROR(__xludf.DUMMYFUNCTION("""COMPUTED_VALUE"""),FALSE)</f>
        <v>0</v>
      </c>
      <c r="E26" s="49" t="b">
        <f>IFERROR(__xludf.DUMMYFUNCTION("""COMPUTED_VALUE"""),FALSE)</f>
        <v>0</v>
      </c>
      <c r="F26" s="49"/>
      <c r="G26" s="49"/>
      <c r="H26" s="49"/>
      <c r="I26" s="49"/>
      <c r="J26" s="49"/>
      <c r="K26" s="49"/>
      <c r="L26" s="49"/>
      <c r="M26" s="49"/>
      <c r="N26" s="49"/>
      <c r="O26" s="49"/>
      <c r="P26" s="49"/>
      <c r="Q26" s="49"/>
      <c r="R26" s="49"/>
      <c r="S26" s="49"/>
      <c r="T26" s="49"/>
      <c r="U26" s="49"/>
      <c r="V26" s="49"/>
      <c r="W26" s="49"/>
      <c r="X26" s="49"/>
    </row>
    <row r="27">
      <c r="A27" s="49"/>
      <c r="B27" s="50"/>
      <c r="C27" s="49" t="b">
        <f>IFERROR(__xludf.DUMMYFUNCTION("""COMPUTED_VALUE"""),FALSE)</f>
        <v>0</v>
      </c>
      <c r="D27" s="49" t="b">
        <f>IFERROR(__xludf.DUMMYFUNCTION("""COMPUTED_VALUE"""),FALSE)</f>
        <v>0</v>
      </c>
      <c r="E27" s="49" t="b">
        <f>IFERROR(__xludf.DUMMYFUNCTION("""COMPUTED_VALUE"""),FALSE)</f>
        <v>0</v>
      </c>
      <c r="F27" s="49"/>
      <c r="G27" s="49"/>
      <c r="H27" s="49"/>
      <c r="I27" s="49"/>
      <c r="J27" s="49"/>
      <c r="K27" s="49"/>
      <c r="L27" s="49"/>
      <c r="M27" s="49"/>
      <c r="N27" s="49"/>
      <c r="O27" s="49"/>
      <c r="P27" s="49"/>
      <c r="Q27" s="49"/>
      <c r="R27" s="49"/>
      <c r="S27" s="49"/>
      <c r="T27" s="49"/>
      <c r="U27" s="49"/>
      <c r="V27" s="49"/>
      <c r="W27" s="49"/>
      <c r="X27" s="49"/>
    </row>
    <row r="28">
      <c r="A28" s="49"/>
      <c r="B28" s="50"/>
      <c r="C28" s="49" t="b">
        <f>IFERROR(__xludf.DUMMYFUNCTION("""COMPUTED_VALUE"""),FALSE)</f>
        <v>0</v>
      </c>
      <c r="D28" s="49" t="b">
        <f>IFERROR(__xludf.DUMMYFUNCTION("""COMPUTED_VALUE"""),FALSE)</f>
        <v>0</v>
      </c>
      <c r="E28" s="49" t="b">
        <f>IFERROR(__xludf.DUMMYFUNCTION("""COMPUTED_VALUE"""),FALSE)</f>
        <v>0</v>
      </c>
      <c r="F28" s="49"/>
      <c r="G28" s="49"/>
      <c r="H28" s="49"/>
      <c r="I28" s="49"/>
      <c r="J28" s="49"/>
      <c r="K28" s="49"/>
      <c r="L28" s="49"/>
      <c r="M28" s="49"/>
      <c r="N28" s="49"/>
      <c r="O28" s="49"/>
      <c r="P28" s="49"/>
      <c r="Q28" s="49"/>
      <c r="R28" s="49"/>
      <c r="S28" s="49"/>
      <c r="T28" s="49"/>
      <c r="U28" s="49"/>
      <c r="V28" s="49"/>
      <c r="W28" s="49"/>
      <c r="X28" s="49"/>
    </row>
    <row r="29">
      <c r="A29" s="49"/>
      <c r="B29" s="50"/>
      <c r="C29" s="49" t="b">
        <f>IFERROR(__xludf.DUMMYFUNCTION("""COMPUTED_VALUE"""),FALSE)</f>
        <v>0</v>
      </c>
      <c r="D29" s="49" t="b">
        <f>IFERROR(__xludf.DUMMYFUNCTION("""COMPUTED_VALUE"""),FALSE)</f>
        <v>0</v>
      </c>
      <c r="E29" s="49" t="b">
        <f>IFERROR(__xludf.DUMMYFUNCTION("""COMPUTED_VALUE"""),FALSE)</f>
        <v>0</v>
      </c>
      <c r="F29" s="49"/>
      <c r="G29" s="49"/>
      <c r="H29" s="49"/>
      <c r="I29" s="49"/>
      <c r="J29" s="49"/>
      <c r="K29" s="49"/>
      <c r="L29" s="49"/>
      <c r="M29" s="49"/>
      <c r="N29" s="49"/>
      <c r="O29" s="49"/>
      <c r="P29" s="49"/>
      <c r="Q29" s="49"/>
      <c r="R29" s="49"/>
      <c r="S29" s="49"/>
      <c r="T29" s="49"/>
      <c r="U29" s="49"/>
      <c r="V29" s="49"/>
      <c r="W29" s="49"/>
      <c r="X29" s="49"/>
    </row>
    <row r="30">
      <c r="A30" s="49"/>
      <c r="B30" s="50"/>
      <c r="C30" s="49" t="b">
        <f>IFERROR(__xludf.DUMMYFUNCTION("""COMPUTED_VALUE"""),FALSE)</f>
        <v>0</v>
      </c>
      <c r="D30" s="49" t="b">
        <f>IFERROR(__xludf.DUMMYFUNCTION("""COMPUTED_VALUE"""),FALSE)</f>
        <v>0</v>
      </c>
      <c r="E30" s="49" t="b">
        <f>IFERROR(__xludf.DUMMYFUNCTION("""COMPUTED_VALUE"""),FALSE)</f>
        <v>0</v>
      </c>
      <c r="F30" s="49"/>
      <c r="G30" s="49"/>
      <c r="H30" s="49"/>
      <c r="I30" s="49"/>
      <c r="J30" s="49"/>
      <c r="K30" s="49"/>
      <c r="L30" s="49"/>
      <c r="M30" s="49"/>
      <c r="N30" s="49"/>
      <c r="O30" s="49"/>
      <c r="P30" s="49"/>
      <c r="Q30" s="49"/>
      <c r="R30" s="49"/>
      <c r="S30" s="49"/>
      <c r="T30" s="49"/>
      <c r="U30" s="49"/>
      <c r="V30" s="49"/>
      <c r="W30" s="49"/>
      <c r="X30" s="49"/>
    </row>
    <row r="31">
      <c r="A31" s="49"/>
      <c r="B31" s="49"/>
      <c r="C31" s="49"/>
      <c r="D31" s="49"/>
      <c r="E31" s="49"/>
      <c r="F31" s="49"/>
      <c r="G31" s="49"/>
      <c r="H31" s="49"/>
      <c r="I31" s="49"/>
      <c r="J31" s="49"/>
      <c r="K31" s="49"/>
      <c r="L31" s="49"/>
      <c r="M31" s="49"/>
      <c r="N31" s="49"/>
      <c r="O31" s="49"/>
      <c r="P31" s="49"/>
      <c r="Q31" s="49"/>
      <c r="R31" s="49"/>
      <c r="S31" s="49"/>
      <c r="T31" s="49"/>
      <c r="U31" s="49"/>
      <c r="V31" s="49"/>
      <c r="W31" s="49"/>
      <c r="X31" s="49"/>
    </row>
    <row r="32">
      <c r="A32" s="49"/>
      <c r="B32" s="49"/>
      <c r="C32" s="49"/>
      <c r="D32" s="49"/>
      <c r="E32" s="49"/>
      <c r="F32" s="49"/>
      <c r="G32" s="49"/>
      <c r="H32" s="49"/>
      <c r="I32" s="49"/>
      <c r="J32" s="49"/>
      <c r="K32" s="49"/>
      <c r="L32" s="49"/>
      <c r="M32" s="49"/>
      <c r="N32" s="49"/>
      <c r="O32" s="49"/>
      <c r="P32" s="49"/>
      <c r="Q32" s="49"/>
      <c r="R32" s="49"/>
      <c r="S32" s="49"/>
      <c r="T32" s="49"/>
      <c r="U32" s="49"/>
      <c r="V32" s="49"/>
      <c r="W32" s="49"/>
      <c r="X32" s="49"/>
    </row>
    <row r="33">
      <c r="A33" s="49"/>
      <c r="B33" s="49"/>
      <c r="C33" s="49"/>
      <c r="D33" s="49"/>
      <c r="E33" s="49"/>
      <c r="F33" s="49"/>
      <c r="G33" s="49"/>
      <c r="H33" s="49"/>
      <c r="I33" s="49"/>
      <c r="J33" s="49"/>
      <c r="K33" s="49"/>
      <c r="L33" s="49"/>
      <c r="M33" s="49"/>
      <c r="N33" s="49"/>
      <c r="O33" s="49"/>
      <c r="P33" s="49"/>
      <c r="Q33" s="49"/>
      <c r="R33" s="49"/>
      <c r="S33" s="49"/>
      <c r="T33" s="49"/>
      <c r="U33" s="49"/>
      <c r="V33" s="49"/>
      <c r="W33" s="49"/>
      <c r="X33" s="49"/>
    </row>
    <row r="34">
      <c r="A34" s="49"/>
      <c r="B34" s="49"/>
      <c r="C34" s="49"/>
      <c r="D34" s="49"/>
      <c r="E34" s="49"/>
      <c r="F34" s="49"/>
      <c r="G34" s="49"/>
      <c r="H34" s="49"/>
      <c r="I34" s="49"/>
      <c r="J34" s="49"/>
      <c r="K34" s="49"/>
      <c r="L34" s="49"/>
      <c r="M34" s="49"/>
      <c r="N34" s="49"/>
      <c r="O34" s="49"/>
      <c r="P34" s="49"/>
      <c r="Q34" s="49"/>
      <c r="R34" s="49"/>
      <c r="S34" s="49"/>
      <c r="T34" s="49"/>
      <c r="U34" s="49"/>
      <c r="V34" s="49"/>
      <c r="W34" s="49"/>
      <c r="X34" s="49"/>
    </row>
    <row r="35">
      <c r="A35" s="49"/>
      <c r="B35" s="49"/>
      <c r="C35" s="49"/>
      <c r="D35" s="49"/>
      <c r="E35" s="49"/>
      <c r="F35" s="49"/>
      <c r="G35" s="49"/>
      <c r="H35" s="49"/>
      <c r="I35" s="49"/>
      <c r="J35" s="49"/>
      <c r="K35" s="49"/>
      <c r="L35" s="49"/>
      <c r="M35" s="49"/>
      <c r="N35" s="49"/>
      <c r="O35" s="49"/>
      <c r="P35" s="49"/>
      <c r="Q35" s="49"/>
      <c r="R35" s="49"/>
      <c r="S35" s="49"/>
      <c r="T35" s="49"/>
      <c r="U35" s="49"/>
      <c r="V35" s="49"/>
      <c r="W35" s="49"/>
      <c r="X35" s="49"/>
    </row>
    <row r="36">
      <c r="A36" s="49"/>
      <c r="B36" s="49"/>
      <c r="C36" s="49"/>
      <c r="D36" s="49"/>
      <c r="E36" s="49"/>
      <c r="F36" s="49"/>
      <c r="G36" s="49"/>
      <c r="H36" s="49"/>
      <c r="I36" s="49"/>
      <c r="J36" s="49"/>
      <c r="K36" s="49"/>
      <c r="L36" s="49"/>
      <c r="M36" s="49"/>
      <c r="N36" s="49"/>
      <c r="O36" s="49"/>
      <c r="P36" s="49"/>
      <c r="Q36" s="49"/>
      <c r="R36" s="49"/>
      <c r="S36" s="49"/>
      <c r="T36" s="49"/>
      <c r="U36" s="49"/>
      <c r="V36" s="49"/>
      <c r="W36" s="49"/>
      <c r="X36" s="49"/>
    </row>
    <row r="37">
      <c r="A37" s="49"/>
      <c r="B37" s="49"/>
      <c r="C37" s="49"/>
      <c r="D37" s="49"/>
      <c r="E37" s="49"/>
      <c r="F37" s="49"/>
      <c r="G37" s="49"/>
      <c r="H37" s="49"/>
      <c r="I37" s="49"/>
      <c r="J37" s="49"/>
      <c r="K37" s="49"/>
      <c r="L37" s="49"/>
      <c r="M37" s="49"/>
      <c r="N37" s="49"/>
      <c r="O37" s="49"/>
      <c r="P37" s="49"/>
      <c r="Q37" s="49"/>
      <c r="R37" s="49"/>
      <c r="S37" s="49"/>
      <c r="T37" s="49"/>
      <c r="U37" s="49"/>
      <c r="V37" s="49"/>
      <c r="W37" s="49"/>
      <c r="X37" s="49"/>
    </row>
    <row r="38">
      <c r="A38" s="49"/>
      <c r="B38" s="49"/>
      <c r="C38" s="49"/>
      <c r="D38" s="49"/>
      <c r="E38" s="49"/>
      <c r="F38" s="49"/>
      <c r="G38" s="49"/>
      <c r="H38" s="49"/>
      <c r="I38" s="49"/>
      <c r="J38" s="49"/>
      <c r="K38" s="49"/>
      <c r="L38" s="49"/>
      <c r="M38" s="49"/>
      <c r="N38" s="49"/>
      <c r="O38" s="49"/>
      <c r="P38" s="49"/>
      <c r="Q38" s="49"/>
      <c r="R38" s="49"/>
      <c r="S38" s="49"/>
      <c r="T38" s="49"/>
      <c r="U38" s="49"/>
      <c r="V38" s="49"/>
      <c r="W38" s="49"/>
      <c r="X38" s="49"/>
    </row>
    <row r="39">
      <c r="A39" s="49"/>
      <c r="B39" s="49"/>
      <c r="C39" s="49"/>
      <c r="D39" s="49"/>
      <c r="E39" s="49"/>
      <c r="F39" s="49"/>
      <c r="G39" s="49"/>
      <c r="H39" s="49"/>
      <c r="I39" s="49"/>
      <c r="J39" s="49"/>
      <c r="K39" s="49"/>
      <c r="L39" s="49"/>
      <c r="M39" s="49"/>
      <c r="N39" s="49"/>
      <c r="O39" s="49"/>
      <c r="P39" s="49"/>
      <c r="Q39" s="49"/>
      <c r="R39" s="49"/>
      <c r="S39" s="49"/>
      <c r="T39" s="49"/>
      <c r="U39" s="49"/>
      <c r="V39" s="49"/>
      <c r="W39" s="49"/>
      <c r="X39" s="49"/>
    </row>
    <row r="40">
      <c r="A40" s="49"/>
      <c r="B40" s="49"/>
      <c r="C40" s="49"/>
      <c r="D40" s="49"/>
      <c r="E40" s="49"/>
      <c r="F40" s="49"/>
      <c r="G40" s="49"/>
      <c r="H40" s="49"/>
      <c r="I40" s="49"/>
      <c r="J40" s="49"/>
      <c r="K40" s="49"/>
      <c r="L40" s="49"/>
      <c r="M40" s="49"/>
      <c r="N40" s="49"/>
      <c r="O40" s="49"/>
      <c r="P40" s="49"/>
      <c r="Q40" s="49"/>
      <c r="R40" s="49"/>
      <c r="S40" s="49"/>
      <c r="T40" s="49"/>
      <c r="U40" s="49"/>
      <c r="V40" s="49"/>
      <c r="W40" s="49"/>
      <c r="X40" s="49"/>
    </row>
    <row r="41">
      <c r="A41" s="49"/>
      <c r="B41" s="49"/>
      <c r="C41" s="49"/>
      <c r="D41" s="49"/>
      <c r="E41" s="49"/>
      <c r="F41" s="49"/>
      <c r="G41" s="49"/>
      <c r="H41" s="49"/>
      <c r="I41" s="49"/>
      <c r="J41" s="49"/>
      <c r="K41" s="49"/>
      <c r="L41" s="49"/>
      <c r="M41" s="49"/>
      <c r="N41" s="49"/>
      <c r="O41" s="49"/>
      <c r="P41" s="49"/>
      <c r="Q41" s="49"/>
      <c r="R41" s="49"/>
      <c r="S41" s="49"/>
      <c r="T41" s="49"/>
      <c r="U41" s="49"/>
      <c r="V41" s="49"/>
      <c r="W41" s="49"/>
      <c r="X41" s="49"/>
    </row>
    <row r="42">
      <c r="A42" s="49"/>
      <c r="B42" s="49"/>
      <c r="C42" s="49"/>
      <c r="D42" s="49"/>
      <c r="E42" s="49"/>
      <c r="F42" s="49"/>
      <c r="G42" s="49"/>
      <c r="H42" s="49"/>
      <c r="I42" s="49"/>
      <c r="J42" s="49"/>
      <c r="K42" s="49"/>
      <c r="L42" s="49"/>
      <c r="M42" s="49"/>
      <c r="N42" s="49"/>
      <c r="O42" s="49"/>
      <c r="P42" s="49"/>
      <c r="Q42" s="49"/>
      <c r="R42" s="49"/>
      <c r="S42" s="49"/>
      <c r="T42" s="49"/>
      <c r="U42" s="49"/>
      <c r="V42" s="49"/>
      <c r="W42" s="49"/>
      <c r="X42" s="49"/>
    </row>
    <row r="43">
      <c r="A43" s="49"/>
      <c r="B43" s="49"/>
      <c r="C43" s="49"/>
      <c r="D43" s="49"/>
      <c r="E43" s="49"/>
      <c r="F43" s="49"/>
      <c r="G43" s="49"/>
      <c r="H43" s="49"/>
      <c r="I43" s="49"/>
      <c r="J43" s="49"/>
      <c r="K43" s="49"/>
      <c r="L43" s="49"/>
      <c r="M43" s="49"/>
      <c r="N43" s="49"/>
      <c r="O43" s="49"/>
      <c r="P43" s="49"/>
      <c r="Q43" s="49"/>
      <c r="R43" s="49"/>
      <c r="S43" s="49"/>
      <c r="T43" s="49"/>
      <c r="U43" s="49"/>
      <c r="V43" s="49"/>
      <c r="W43" s="49"/>
      <c r="X43" s="49"/>
    </row>
    <row r="44">
      <c r="A44" s="49"/>
      <c r="B44" s="49"/>
      <c r="C44" s="49"/>
      <c r="D44" s="49"/>
      <c r="E44" s="49"/>
      <c r="F44" s="49"/>
      <c r="G44" s="49"/>
      <c r="H44" s="49"/>
      <c r="I44" s="49"/>
      <c r="J44" s="49"/>
      <c r="K44" s="49"/>
      <c r="L44" s="49"/>
      <c r="M44" s="49"/>
      <c r="N44" s="49"/>
      <c r="O44" s="49"/>
      <c r="P44" s="49"/>
      <c r="Q44" s="49"/>
      <c r="R44" s="49"/>
      <c r="S44" s="49"/>
      <c r="T44" s="49"/>
      <c r="U44" s="49"/>
      <c r="V44" s="49"/>
      <c r="W44" s="49"/>
      <c r="X44" s="49"/>
    </row>
    <row r="45">
      <c r="A45" s="49"/>
      <c r="B45" s="49"/>
      <c r="C45" s="49"/>
      <c r="D45" s="49"/>
      <c r="E45" s="49"/>
      <c r="F45" s="49"/>
      <c r="G45" s="49"/>
      <c r="H45" s="49"/>
      <c r="I45" s="49"/>
      <c r="J45" s="49"/>
      <c r="K45" s="49"/>
      <c r="L45" s="49"/>
      <c r="M45" s="49"/>
      <c r="N45" s="49"/>
      <c r="O45" s="49"/>
      <c r="P45" s="49"/>
      <c r="Q45" s="49"/>
      <c r="R45" s="49"/>
      <c r="S45" s="49"/>
      <c r="T45" s="49"/>
      <c r="U45" s="49"/>
      <c r="V45" s="49"/>
      <c r="W45" s="49"/>
      <c r="X45" s="49"/>
    </row>
    <row r="46">
      <c r="A46" s="49"/>
      <c r="B46" s="49"/>
      <c r="C46" s="49"/>
      <c r="D46" s="49"/>
      <c r="E46" s="49"/>
      <c r="F46" s="49"/>
      <c r="G46" s="49"/>
      <c r="H46" s="49"/>
      <c r="I46" s="49"/>
      <c r="J46" s="49"/>
      <c r="K46" s="49"/>
      <c r="L46" s="49"/>
      <c r="M46" s="49"/>
      <c r="N46" s="49"/>
      <c r="O46" s="49"/>
      <c r="P46" s="49"/>
      <c r="Q46" s="49"/>
      <c r="R46" s="49"/>
      <c r="S46" s="49"/>
      <c r="T46" s="49"/>
      <c r="U46" s="49"/>
      <c r="V46" s="49"/>
      <c r="W46" s="49"/>
      <c r="X46" s="49"/>
    </row>
    <row r="47">
      <c r="A47" s="49"/>
      <c r="B47" s="49"/>
      <c r="C47" s="49"/>
      <c r="D47" s="49"/>
      <c r="E47" s="49"/>
      <c r="F47" s="49"/>
      <c r="G47" s="49"/>
      <c r="H47" s="49"/>
      <c r="I47" s="49"/>
      <c r="J47" s="49"/>
      <c r="K47" s="49"/>
      <c r="L47" s="49"/>
      <c r="M47" s="49"/>
      <c r="N47" s="49"/>
      <c r="O47" s="49"/>
      <c r="P47" s="49"/>
      <c r="Q47" s="49"/>
      <c r="R47" s="49"/>
      <c r="S47" s="49"/>
      <c r="T47" s="49"/>
      <c r="U47" s="49"/>
      <c r="V47" s="49"/>
      <c r="W47" s="49"/>
      <c r="X47" s="49"/>
    </row>
    <row r="48">
      <c r="A48" s="49"/>
      <c r="B48" s="49"/>
      <c r="C48" s="49"/>
      <c r="D48" s="49"/>
      <c r="E48" s="49"/>
      <c r="F48" s="49"/>
      <c r="G48" s="49"/>
      <c r="H48" s="49"/>
      <c r="I48" s="49"/>
      <c r="J48" s="49"/>
      <c r="K48" s="49"/>
      <c r="L48" s="49"/>
      <c r="M48" s="49"/>
      <c r="N48" s="49"/>
      <c r="O48" s="49"/>
      <c r="P48" s="49"/>
      <c r="Q48" s="49"/>
      <c r="R48" s="49"/>
      <c r="S48" s="49"/>
      <c r="T48" s="49"/>
      <c r="U48" s="49"/>
      <c r="V48" s="49"/>
      <c r="W48" s="49"/>
      <c r="X48" s="49"/>
    </row>
    <row r="49">
      <c r="A49" s="49"/>
      <c r="B49" s="49"/>
      <c r="C49" s="49"/>
      <c r="D49" s="49"/>
      <c r="E49" s="49"/>
      <c r="F49" s="49"/>
      <c r="G49" s="49"/>
      <c r="H49" s="49"/>
      <c r="I49" s="49"/>
      <c r="J49" s="49"/>
      <c r="K49" s="49"/>
      <c r="L49" s="49"/>
      <c r="M49" s="49"/>
      <c r="N49" s="49"/>
      <c r="O49" s="49"/>
      <c r="P49" s="49"/>
      <c r="Q49" s="49"/>
      <c r="R49" s="49"/>
      <c r="S49" s="49"/>
      <c r="T49" s="49"/>
      <c r="U49" s="49"/>
      <c r="V49" s="49"/>
      <c r="W49" s="49"/>
      <c r="X49" s="49"/>
    </row>
    <row r="50">
      <c r="A50" s="49"/>
      <c r="B50" s="49"/>
      <c r="C50" s="49"/>
      <c r="D50" s="49"/>
      <c r="E50" s="49"/>
      <c r="F50" s="49"/>
      <c r="G50" s="49"/>
      <c r="H50" s="49"/>
      <c r="I50" s="49"/>
      <c r="J50" s="49"/>
      <c r="K50" s="49"/>
      <c r="L50" s="49"/>
      <c r="M50" s="49"/>
      <c r="N50" s="49"/>
      <c r="O50" s="49"/>
      <c r="P50" s="49"/>
      <c r="Q50" s="49"/>
      <c r="R50" s="49"/>
      <c r="S50" s="49"/>
      <c r="T50" s="49"/>
      <c r="U50" s="49"/>
      <c r="V50" s="49"/>
      <c r="W50" s="49"/>
      <c r="X50" s="49"/>
    </row>
    <row r="51">
      <c r="A51" s="49"/>
      <c r="B51" s="49"/>
      <c r="C51" s="49"/>
      <c r="D51" s="49"/>
      <c r="E51" s="49"/>
      <c r="F51" s="49"/>
      <c r="G51" s="49"/>
      <c r="H51" s="49"/>
      <c r="I51" s="49"/>
      <c r="J51" s="49"/>
      <c r="K51" s="49"/>
      <c r="L51" s="49"/>
      <c r="M51" s="49"/>
      <c r="N51" s="49"/>
      <c r="O51" s="49"/>
      <c r="P51" s="49"/>
      <c r="Q51" s="49"/>
      <c r="R51" s="49"/>
      <c r="S51" s="49"/>
      <c r="T51" s="49"/>
      <c r="U51" s="49"/>
      <c r="V51" s="49"/>
      <c r="W51" s="49"/>
      <c r="X51" s="49"/>
    </row>
    <row r="52">
      <c r="A52" s="49"/>
      <c r="B52" s="49"/>
      <c r="C52" s="49"/>
      <c r="D52" s="49"/>
      <c r="E52" s="49"/>
      <c r="F52" s="49"/>
      <c r="G52" s="49"/>
      <c r="H52" s="49"/>
      <c r="I52" s="49"/>
      <c r="J52" s="49"/>
      <c r="K52" s="49"/>
      <c r="L52" s="49"/>
      <c r="M52" s="49"/>
      <c r="N52" s="49"/>
      <c r="O52" s="49"/>
      <c r="P52" s="49"/>
      <c r="Q52" s="49"/>
      <c r="R52" s="49"/>
      <c r="S52" s="49"/>
      <c r="T52" s="49"/>
      <c r="U52" s="49"/>
      <c r="V52" s="49"/>
      <c r="W52" s="49"/>
      <c r="X52" s="49"/>
    </row>
    <row r="53">
      <c r="A53" s="49"/>
      <c r="B53" s="49"/>
      <c r="C53" s="49"/>
      <c r="D53" s="49"/>
      <c r="E53" s="49"/>
      <c r="F53" s="49"/>
      <c r="G53" s="49"/>
      <c r="H53" s="49"/>
      <c r="I53" s="49"/>
      <c r="J53" s="49"/>
      <c r="K53" s="49"/>
      <c r="L53" s="49"/>
      <c r="M53" s="49"/>
      <c r="N53" s="49"/>
      <c r="O53" s="49"/>
      <c r="P53" s="49"/>
      <c r="Q53" s="49"/>
      <c r="R53" s="49"/>
      <c r="S53" s="49"/>
      <c r="T53" s="49"/>
      <c r="U53" s="49"/>
      <c r="V53" s="49"/>
      <c r="W53" s="49"/>
      <c r="X53" s="49"/>
    </row>
    <row r="54">
      <c r="A54" s="49"/>
      <c r="B54" s="49"/>
      <c r="C54" s="49"/>
      <c r="D54" s="49"/>
      <c r="E54" s="49"/>
      <c r="F54" s="49"/>
      <c r="G54" s="49"/>
      <c r="H54" s="49"/>
      <c r="I54" s="49"/>
      <c r="J54" s="49"/>
      <c r="K54" s="49"/>
      <c r="L54" s="49"/>
      <c r="M54" s="49"/>
      <c r="N54" s="49"/>
      <c r="O54" s="49"/>
      <c r="P54" s="49"/>
      <c r="Q54" s="49"/>
      <c r="R54" s="49"/>
      <c r="S54" s="49"/>
      <c r="T54" s="49"/>
      <c r="U54" s="49"/>
      <c r="V54" s="49"/>
      <c r="W54" s="49"/>
      <c r="X54" s="49"/>
    </row>
    <row r="55">
      <c r="A55" s="49"/>
      <c r="B55" s="49"/>
      <c r="C55" s="49"/>
      <c r="D55" s="49"/>
      <c r="E55" s="49"/>
      <c r="F55" s="49"/>
      <c r="G55" s="49"/>
      <c r="H55" s="49"/>
      <c r="I55" s="49"/>
      <c r="J55" s="49"/>
      <c r="K55" s="49"/>
      <c r="L55" s="49"/>
      <c r="M55" s="49"/>
      <c r="N55" s="49"/>
      <c r="O55" s="49"/>
      <c r="P55" s="49"/>
      <c r="Q55" s="49"/>
      <c r="R55" s="49"/>
      <c r="S55" s="49"/>
      <c r="T55" s="49"/>
      <c r="U55" s="49"/>
      <c r="V55" s="49"/>
      <c r="W55" s="49"/>
      <c r="X55" s="49"/>
    </row>
    <row r="56">
      <c r="A56" s="49"/>
      <c r="B56" s="49"/>
      <c r="C56" s="49"/>
      <c r="D56" s="49"/>
      <c r="E56" s="49"/>
      <c r="F56" s="49"/>
      <c r="G56" s="49"/>
      <c r="H56" s="49"/>
      <c r="I56" s="49"/>
      <c r="J56" s="49"/>
      <c r="K56" s="49"/>
      <c r="L56" s="49"/>
      <c r="M56" s="49"/>
      <c r="N56" s="49"/>
      <c r="O56" s="49"/>
      <c r="P56" s="49"/>
      <c r="Q56" s="49"/>
      <c r="R56" s="49"/>
      <c r="S56" s="49"/>
      <c r="T56" s="49"/>
      <c r="U56" s="49"/>
      <c r="V56" s="49"/>
      <c r="W56" s="49"/>
      <c r="X56" s="49"/>
    </row>
    <row r="57">
      <c r="A57" s="49"/>
      <c r="B57" s="49"/>
      <c r="C57" s="49"/>
      <c r="D57" s="49"/>
      <c r="E57" s="49"/>
      <c r="F57" s="49"/>
      <c r="G57" s="49"/>
      <c r="H57" s="49"/>
      <c r="I57" s="49"/>
      <c r="J57" s="49"/>
      <c r="K57" s="49"/>
      <c r="L57" s="49"/>
      <c r="M57" s="49"/>
      <c r="N57" s="49"/>
      <c r="O57" s="49"/>
      <c r="P57" s="49"/>
      <c r="Q57" s="49"/>
      <c r="R57" s="49"/>
      <c r="S57" s="49"/>
      <c r="T57" s="49"/>
      <c r="U57" s="49"/>
      <c r="V57" s="49"/>
      <c r="W57" s="49"/>
      <c r="X57" s="49"/>
    </row>
    <row r="58">
      <c r="A58" s="49"/>
      <c r="B58" s="49"/>
      <c r="C58" s="49"/>
      <c r="D58" s="49"/>
      <c r="E58" s="49"/>
      <c r="F58" s="49"/>
      <c r="G58" s="49"/>
      <c r="H58" s="49"/>
      <c r="I58" s="49"/>
      <c r="J58" s="49"/>
      <c r="K58" s="49"/>
      <c r="L58" s="49"/>
      <c r="M58" s="49"/>
      <c r="N58" s="49"/>
      <c r="O58" s="49"/>
      <c r="P58" s="49"/>
      <c r="Q58" s="49"/>
      <c r="R58" s="49"/>
      <c r="S58" s="49"/>
      <c r="T58" s="49"/>
      <c r="U58" s="49"/>
      <c r="V58" s="49"/>
      <c r="W58" s="49"/>
      <c r="X58" s="49"/>
    </row>
    <row r="59">
      <c r="A59" s="49"/>
      <c r="B59" s="49"/>
      <c r="C59" s="49"/>
      <c r="D59" s="49"/>
      <c r="E59" s="49"/>
      <c r="F59" s="49"/>
      <c r="G59" s="49"/>
      <c r="H59" s="49"/>
      <c r="I59" s="49"/>
      <c r="J59" s="49"/>
      <c r="K59" s="49"/>
      <c r="L59" s="49"/>
      <c r="M59" s="49"/>
      <c r="N59" s="49"/>
      <c r="O59" s="49"/>
      <c r="P59" s="49"/>
      <c r="Q59" s="49"/>
      <c r="R59" s="49"/>
      <c r="S59" s="49"/>
      <c r="T59" s="49"/>
      <c r="U59" s="49"/>
      <c r="V59" s="49"/>
      <c r="W59" s="49"/>
      <c r="X59" s="49"/>
    </row>
    <row r="60">
      <c r="A60" s="49"/>
      <c r="B60" s="49"/>
      <c r="C60" s="49"/>
      <c r="D60" s="49"/>
      <c r="E60" s="49"/>
      <c r="F60" s="49"/>
      <c r="G60" s="49"/>
      <c r="H60" s="49"/>
      <c r="I60" s="49"/>
      <c r="J60" s="49"/>
      <c r="K60" s="49"/>
      <c r="L60" s="49"/>
      <c r="M60" s="49"/>
      <c r="N60" s="49"/>
      <c r="O60" s="49"/>
      <c r="P60" s="49"/>
      <c r="Q60" s="49"/>
      <c r="R60" s="49"/>
      <c r="S60" s="49"/>
      <c r="T60" s="49"/>
      <c r="U60" s="49"/>
      <c r="V60" s="49"/>
      <c r="W60" s="49"/>
      <c r="X60" s="49"/>
    </row>
    <row r="61">
      <c r="A61" s="49"/>
      <c r="B61" s="49"/>
      <c r="C61" s="49"/>
      <c r="D61" s="49"/>
      <c r="E61" s="49"/>
      <c r="F61" s="49"/>
      <c r="G61" s="49"/>
      <c r="H61" s="49"/>
      <c r="I61" s="49"/>
      <c r="J61" s="49"/>
      <c r="K61" s="49"/>
      <c r="L61" s="49"/>
      <c r="M61" s="49"/>
      <c r="N61" s="49"/>
      <c r="O61" s="49"/>
      <c r="P61" s="49"/>
      <c r="Q61" s="49"/>
      <c r="R61" s="49"/>
      <c r="S61" s="49"/>
      <c r="T61" s="49"/>
      <c r="U61" s="49"/>
      <c r="V61" s="49"/>
      <c r="W61" s="49"/>
      <c r="X61" s="49"/>
    </row>
    <row r="62">
      <c r="A62" s="49"/>
      <c r="B62" s="49"/>
      <c r="C62" s="49"/>
      <c r="D62" s="49"/>
      <c r="E62" s="49"/>
      <c r="F62" s="49"/>
      <c r="G62" s="49"/>
      <c r="H62" s="49"/>
      <c r="I62" s="49"/>
      <c r="J62" s="49"/>
      <c r="K62" s="49"/>
      <c r="L62" s="49"/>
      <c r="M62" s="49"/>
      <c r="N62" s="49"/>
      <c r="O62" s="49"/>
      <c r="P62" s="49"/>
      <c r="Q62" s="49"/>
      <c r="R62" s="49"/>
      <c r="S62" s="49"/>
      <c r="T62" s="49"/>
      <c r="U62" s="49"/>
      <c r="V62" s="49"/>
      <c r="W62" s="49"/>
      <c r="X62" s="49"/>
    </row>
    <row r="63">
      <c r="A63" s="49"/>
      <c r="B63" s="49"/>
      <c r="C63" s="49"/>
      <c r="D63" s="49"/>
      <c r="E63" s="49"/>
      <c r="F63" s="49"/>
      <c r="G63" s="49"/>
      <c r="H63" s="49"/>
      <c r="I63" s="49"/>
      <c r="J63" s="49"/>
      <c r="K63" s="49"/>
      <c r="L63" s="49"/>
      <c r="M63" s="49"/>
      <c r="N63" s="49"/>
      <c r="O63" s="49"/>
      <c r="P63" s="49"/>
      <c r="Q63" s="49"/>
      <c r="R63" s="49"/>
      <c r="S63" s="49"/>
      <c r="T63" s="49"/>
      <c r="U63" s="49"/>
      <c r="V63" s="49"/>
      <c r="W63" s="49"/>
      <c r="X63" s="49"/>
    </row>
    <row r="64">
      <c r="A64" s="49"/>
      <c r="B64" s="49"/>
      <c r="C64" s="49"/>
      <c r="D64" s="49"/>
      <c r="E64" s="49"/>
      <c r="F64" s="49"/>
      <c r="G64" s="49"/>
      <c r="H64" s="49"/>
      <c r="I64" s="49"/>
      <c r="J64" s="49"/>
      <c r="K64" s="49"/>
      <c r="L64" s="49"/>
      <c r="M64" s="49"/>
      <c r="N64" s="49"/>
      <c r="O64" s="49"/>
      <c r="P64" s="49"/>
      <c r="Q64" s="49"/>
      <c r="R64" s="49"/>
      <c r="S64" s="49"/>
      <c r="T64" s="49"/>
      <c r="U64" s="49"/>
      <c r="V64" s="49"/>
      <c r="W64" s="49"/>
      <c r="X64" s="49"/>
    </row>
    <row r="65">
      <c r="A65" s="49"/>
      <c r="B65" s="49"/>
      <c r="C65" s="49"/>
      <c r="D65" s="49"/>
      <c r="E65" s="49"/>
      <c r="F65" s="49"/>
      <c r="G65" s="49"/>
      <c r="H65" s="49"/>
      <c r="I65" s="49"/>
      <c r="J65" s="49"/>
      <c r="K65" s="49"/>
      <c r="L65" s="49"/>
      <c r="M65" s="49"/>
      <c r="N65" s="49"/>
      <c r="O65" s="49"/>
      <c r="P65" s="49"/>
      <c r="Q65" s="49"/>
      <c r="R65" s="49"/>
      <c r="S65" s="49"/>
      <c r="T65" s="49"/>
      <c r="U65" s="49"/>
      <c r="V65" s="49"/>
      <c r="W65" s="49"/>
      <c r="X65" s="49"/>
    </row>
    <row r="66">
      <c r="A66" s="49"/>
      <c r="B66" s="49"/>
      <c r="C66" s="49"/>
      <c r="D66" s="49"/>
      <c r="E66" s="49"/>
      <c r="F66" s="49"/>
      <c r="G66" s="49"/>
      <c r="H66" s="49"/>
      <c r="I66" s="49"/>
      <c r="J66" s="49"/>
      <c r="K66" s="49"/>
      <c r="L66" s="49"/>
      <c r="M66" s="49"/>
      <c r="N66" s="49"/>
      <c r="O66" s="49"/>
      <c r="P66" s="49"/>
      <c r="Q66" s="49"/>
      <c r="R66" s="49"/>
      <c r="S66" s="49"/>
      <c r="T66" s="49"/>
      <c r="U66" s="49"/>
      <c r="V66" s="49"/>
      <c r="W66" s="49"/>
      <c r="X66" s="49"/>
    </row>
    <row r="67">
      <c r="A67" s="49"/>
      <c r="B67" s="49"/>
      <c r="C67" s="49"/>
      <c r="D67" s="49"/>
      <c r="E67" s="49"/>
      <c r="F67" s="49"/>
      <c r="G67" s="49"/>
      <c r="H67" s="49"/>
      <c r="I67" s="49"/>
      <c r="J67" s="49"/>
      <c r="K67" s="49"/>
      <c r="L67" s="49"/>
      <c r="M67" s="49"/>
      <c r="N67" s="49"/>
      <c r="O67" s="49"/>
      <c r="P67" s="49"/>
      <c r="Q67" s="49"/>
      <c r="R67" s="49"/>
      <c r="S67" s="49"/>
      <c r="T67" s="49"/>
      <c r="U67" s="49"/>
      <c r="V67" s="49"/>
      <c r="W67" s="49"/>
      <c r="X67" s="49"/>
    </row>
    <row r="68">
      <c r="A68" s="49"/>
      <c r="B68" s="49"/>
      <c r="C68" s="49"/>
      <c r="D68" s="49"/>
      <c r="E68" s="49"/>
      <c r="F68" s="49"/>
      <c r="G68" s="49"/>
      <c r="H68" s="49"/>
      <c r="I68" s="49"/>
      <c r="J68" s="49"/>
      <c r="K68" s="49"/>
      <c r="L68" s="49"/>
      <c r="M68" s="49"/>
      <c r="N68" s="49"/>
      <c r="O68" s="49"/>
      <c r="P68" s="49"/>
      <c r="Q68" s="49"/>
      <c r="R68" s="49"/>
      <c r="S68" s="49"/>
      <c r="T68" s="49"/>
      <c r="U68" s="49"/>
      <c r="V68" s="49"/>
      <c r="W68" s="49"/>
      <c r="X68" s="49"/>
    </row>
    <row r="69">
      <c r="A69" s="49"/>
      <c r="B69" s="49"/>
      <c r="C69" s="49"/>
      <c r="D69" s="49"/>
      <c r="E69" s="49"/>
      <c r="F69" s="49"/>
      <c r="G69" s="49"/>
      <c r="H69" s="49"/>
      <c r="I69" s="49"/>
      <c r="J69" s="49"/>
      <c r="K69" s="49"/>
      <c r="L69" s="49"/>
      <c r="M69" s="49"/>
      <c r="N69" s="49"/>
      <c r="O69" s="49"/>
      <c r="P69" s="49"/>
      <c r="Q69" s="49"/>
      <c r="R69" s="49"/>
      <c r="S69" s="49"/>
      <c r="T69" s="49"/>
      <c r="U69" s="49"/>
      <c r="V69" s="49"/>
      <c r="W69" s="49"/>
      <c r="X69" s="49"/>
    </row>
    <row r="70">
      <c r="A70" s="49"/>
      <c r="B70" s="49"/>
      <c r="C70" s="49"/>
      <c r="D70" s="49"/>
      <c r="E70" s="49"/>
      <c r="F70" s="49"/>
      <c r="G70" s="49"/>
      <c r="H70" s="49"/>
      <c r="I70" s="49"/>
      <c r="J70" s="49"/>
      <c r="K70" s="49"/>
      <c r="L70" s="49"/>
      <c r="M70" s="49"/>
      <c r="N70" s="49"/>
      <c r="O70" s="49"/>
      <c r="P70" s="49"/>
      <c r="Q70" s="49"/>
      <c r="R70" s="49"/>
      <c r="S70" s="49"/>
      <c r="T70" s="49"/>
      <c r="U70" s="49"/>
      <c r="V70" s="49"/>
      <c r="W70" s="49"/>
      <c r="X70" s="49"/>
    </row>
    <row r="71">
      <c r="A71" s="49"/>
      <c r="B71" s="49"/>
      <c r="C71" s="49"/>
      <c r="D71" s="49"/>
      <c r="E71" s="49"/>
      <c r="F71" s="49"/>
      <c r="G71" s="49"/>
      <c r="H71" s="49"/>
      <c r="I71" s="49"/>
      <c r="J71" s="49"/>
      <c r="K71" s="49"/>
      <c r="L71" s="49"/>
      <c r="M71" s="49"/>
      <c r="N71" s="49"/>
      <c r="O71" s="49"/>
      <c r="P71" s="49"/>
      <c r="Q71" s="49"/>
      <c r="R71" s="49"/>
      <c r="S71" s="49"/>
      <c r="T71" s="49"/>
      <c r="U71" s="49"/>
      <c r="V71" s="49"/>
      <c r="W71" s="49"/>
      <c r="X71" s="49"/>
    </row>
    <row r="72">
      <c r="A72" s="49"/>
      <c r="B72" s="49"/>
      <c r="C72" s="49"/>
      <c r="D72" s="49"/>
      <c r="E72" s="49"/>
      <c r="F72" s="49"/>
      <c r="G72" s="49"/>
      <c r="H72" s="49"/>
      <c r="I72" s="49"/>
      <c r="J72" s="49"/>
      <c r="K72" s="49"/>
      <c r="L72" s="49"/>
      <c r="M72" s="49"/>
      <c r="N72" s="49"/>
      <c r="O72" s="49"/>
      <c r="P72" s="49"/>
      <c r="Q72" s="49"/>
      <c r="R72" s="49"/>
      <c r="S72" s="49"/>
      <c r="T72" s="49"/>
      <c r="U72" s="49"/>
      <c r="V72" s="49"/>
      <c r="W72" s="49"/>
      <c r="X72" s="49"/>
    </row>
    <row r="73">
      <c r="A73" s="49"/>
      <c r="B73" s="49"/>
      <c r="C73" s="49"/>
      <c r="D73" s="49"/>
      <c r="E73" s="49"/>
      <c r="F73" s="49"/>
      <c r="G73" s="49"/>
      <c r="H73" s="49"/>
      <c r="I73" s="49"/>
      <c r="J73" s="49"/>
      <c r="K73" s="49"/>
      <c r="L73" s="49"/>
      <c r="M73" s="49"/>
      <c r="N73" s="49"/>
      <c r="O73" s="49"/>
      <c r="P73" s="49"/>
      <c r="Q73" s="49"/>
      <c r="R73" s="49"/>
      <c r="S73" s="49"/>
      <c r="T73" s="49"/>
      <c r="U73" s="49"/>
      <c r="V73" s="49"/>
      <c r="W73" s="49"/>
      <c r="X73" s="49"/>
    </row>
    <row r="74">
      <c r="A74" s="49"/>
      <c r="B74" s="49"/>
      <c r="C74" s="49"/>
      <c r="D74" s="49"/>
      <c r="E74" s="49"/>
      <c r="F74" s="49"/>
      <c r="G74" s="49"/>
      <c r="H74" s="49"/>
      <c r="I74" s="49"/>
      <c r="J74" s="49"/>
      <c r="K74" s="49"/>
      <c r="L74" s="49"/>
      <c r="M74" s="49"/>
      <c r="N74" s="49"/>
      <c r="O74" s="49"/>
      <c r="P74" s="49"/>
      <c r="Q74" s="49"/>
      <c r="R74" s="49"/>
      <c r="S74" s="49"/>
      <c r="T74" s="49"/>
      <c r="U74" s="49"/>
      <c r="V74" s="49"/>
      <c r="W74" s="49"/>
      <c r="X74" s="49"/>
    </row>
    <row r="75">
      <c r="A75" s="49"/>
      <c r="B75" s="49"/>
      <c r="C75" s="49"/>
      <c r="D75" s="49"/>
      <c r="E75" s="49"/>
      <c r="F75" s="49"/>
      <c r="G75" s="49"/>
      <c r="H75" s="49"/>
      <c r="I75" s="49"/>
      <c r="J75" s="49"/>
      <c r="K75" s="49"/>
      <c r="L75" s="49"/>
      <c r="M75" s="49"/>
      <c r="N75" s="49"/>
      <c r="O75" s="49"/>
      <c r="P75" s="49"/>
      <c r="Q75" s="49"/>
      <c r="R75" s="49"/>
      <c r="S75" s="49"/>
      <c r="T75" s="49"/>
      <c r="U75" s="49"/>
      <c r="V75" s="49"/>
      <c r="W75" s="49"/>
      <c r="X75" s="49"/>
    </row>
    <row r="76">
      <c r="A76" s="49"/>
      <c r="B76" s="49"/>
      <c r="C76" s="49"/>
      <c r="D76" s="49"/>
      <c r="E76" s="49"/>
      <c r="F76" s="49"/>
      <c r="G76" s="49"/>
      <c r="H76" s="49"/>
      <c r="I76" s="49"/>
      <c r="J76" s="49"/>
      <c r="K76" s="49"/>
      <c r="L76" s="49"/>
      <c r="M76" s="49"/>
      <c r="N76" s="49"/>
      <c r="O76" s="49"/>
      <c r="P76" s="49"/>
      <c r="Q76" s="49"/>
      <c r="R76" s="49"/>
      <c r="S76" s="49"/>
      <c r="T76" s="49"/>
      <c r="U76" s="49"/>
      <c r="V76" s="49"/>
      <c r="W76" s="49"/>
      <c r="X76" s="49"/>
    </row>
    <row r="77">
      <c r="A77" s="49"/>
      <c r="B77" s="49"/>
      <c r="C77" s="49"/>
      <c r="D77" s="49"/>
      <c r="E77" s="49"/>
      <c r="F77" s="49"/>
      <c r="G77" s="49"/>
      <c r="H77" s="49"/>
      <c r="I77" s="49"/>
      <c r="J77" s="49"/>
      <c r="K77" s="49"/>
      <c r="L77" s="49"/>
      <c r="M77" s="49"/>
      <c r="N77" s="49"/>
      <c r="O77" s="49"/>
      <c r="P77" s="49"/>
      <c r="Q77" s="49"/>
      <c r="R77" s="49"/>
      <c r="S77" s="49"/>
      <c r="T77" s="49"/>
      <c r="U77" s="49"/>
      <c r="V77" s="49"/>
      <c r="W77" s="49"/>
      <c r="X77" s="49"/>
    </row>
    <row r="78">
      <c r="A78" s="49"/>
      <c r="B78" s="49"/>
      <c r="C78" s="49"/>
      <c r="D78" s="49"/>
      <c r="E78" s="49"/>
      <c r="F78" s="49"/>
      <c r="G78" s="49"/>
      <c r="H78" s="49"/>
      <c r="I78" s="49"/>
      <c r="J78" s="49"/>
      <c r="K78" s="49"/>
      <c r="L78" s="49"/>
      <c r="M78" s="49"/>
      <c r="N78" s="49"/>
      <c r="O78" s="49"/>
      <c r="P78" s="49"/>
      <c r="Q78" s="49"/>
      <c r="R78" s="49"/>
      <c r="S78" s="49"/>
      <c r="T78" s="49"/>
      <c r="U78" s="49"/>
      <c r="V78" s="49"/>
      <c r="W78" s="49"/>
      <c r="X78" s="49"/>
    </row>
    <row r="79">
      <c r="A79" s="49"/>
      <c r="B79" s="49"/>
      <c r="C79" s="49"/>
      <c r="D79" s="49"/>
      <c r="E79" s="49"/>
      <c r="F79" s="49"/>
      <c r="G79" s="49"/>
      <c r="H79" s="49"/>
      <c r="I79" s="49"/>
      <c r="J79" s="49"/>
      <c r="K79" s="49"/>
      <c r="L79" s="49"/>
      <c r="M79" s="49"/>
      <c r="N79" s="49"/>
      <c r="O79" s="49"/>
      <c r="P79" s="49"/>
      <c r="Q79" s="49"/>
      <c r="R79" s="49"/>
      <c r="S79" s="49"/>
      <c r="T79" s="49"/>
      <c r="U79" s="49"/>
      <c r="V79" s="49"/>
      <c r="W79" s="49"/>
      <c r="X79" s="49"/>
    </row>
    <row r="80">
      <c r="A80" s="49"/>
      <c r="B80" s="49"/>
      <c r="C80" s="49"/>
      <c r="D80" s="49"/>
      <c r="E80" s="49"/>
      <c r="F80" s="49"/>
      <c r="G80" s="49"/>
      <c r="H80" s="49"/>
      <c r="I80" s="49"/>
      <c r="J80" s="49"/>
      <c r="K80" s="49"/>
      <c r="L80" s="49"/>
      <c r="M80" s="49"/>
      <c r="N80" s="49"/>
      <c r="O80" s="49"/>
      <c r="P80" s="49"/>
      <c r="Q80" s="49"/>
      <c r="R80" s="49"/>
      <c r="S80" s="49"/>
      <c r="T80" s="49"/>
      <c r="U80" s="49"/>
      <c r="V80" s="49"/>
      <c r="W80" s="49"/>
      <c r="X80" s="49"/>
    </row>
    <row r="81">
      <c r="A81" s="49"/>
      <c r="B81" s="49"/>
      <c r="C81" s="49"/>
      <c r="D81" s="49"/>
      <c r="E81" s="49"/>
      <c r="F81" s="49"/>
      <c r="G81" s="49"/>
      <c r="H81" s="49"/>
      <c r="I81" s="49"/>
      <c r="J81" s="49"/>
      <c r="K81" s="49"/>
      <c r="L81" s="49"/>
      <c r="M81" s="49"/>
      <c r="N81" s="49"/>
      <c r="O81" s="49"/>
      <c r="P81" s="49"/>
      <c r="Q81" s="49"/>
      <c r="R81" s="49"/>
      <c r="S81" s="49"/>
      <c r="T81" s="49"/>
      <c r="U81" s="49"/>
      <c r="V81" s="49"/>
      <c r="W81" s="49"/>
      <c r="X81" s="49"/>
    </row>
    <row r="82">
      <c r="A82" s="49"/>
      <c r="B82" s="49"/>
      <c r="C82" s="49"/>
      <c r="D82" s="49"/>
      <c r="E82" s="49"/>
      <c r="F82" s="49"/>
      <c r="G82" s="49"/>
      <c r="H82" s="49"/>
      <c r="I82" s="49"/>
      <c r="J82" s="49"/>
      <c r="K82" s="49"/>
      <c r="L82" s="49"/>
      <c r="M82" s="49"/>
      <c r="N82" s="49"/>
      <c r="O82" s="49"/>
      <c r="P82" s="49"/>
      <c r="Q82" s="49"/>
      <c r="R82" s="49"/>
      <c r="S82" s="49"/>
      <c r="T82" s="49"/>
      <c r="U82" s="49"/>
      <c r="V82" s="49"/>
      <c r="W82" s="49"/>
      <c r="X82" s="49"/>
    </row>
    <row r="83">
      <c r="A83" s="49"/>
      <c r="B83" s="49"/>
      <c r="C83" s="49"/>
      <c r="D83" s="49"/>
      <c r="E83" s="49"/>
      <c r="F83" s="49"/>
      <c r="G83" s="49"/>
      <c r="H83" s="49"/>
      <c r="I83" s="49"/>
      <c r="J83" s="49"/>
      <c r="K83" s="49"/>
      <c r="L83" s="49"/>
      <c r="M83" s="49"/>
      <c r="N83" s="49"/>
      <c r="O83" s="49"/>
      <c r="P83" s="49"/>
      <c r="Q83" s="49"/>
      <c r="R83" s="49"/>
      <c r="S83" s="49"/>
      <c r="T83" s="49"/>
      <c r="U83" s="49"/>
      <c r="V83" s="49"/>
      <c r="W83" s="49"/>
      <c r="X83" s="49"/>
    </row>
    <row r="84">
      <c r="A84" s="49"/>
      <c r="B84" s="49"/>
      <c r="C84" s="49"/>
      <c r="D84" s="49"/>
      <c r="E84" s="49"/>
      <c r="F84" s="49"/>
      <c r="G84" s="49"/>
      <c r="H84" s="49"/>
      <c r="I84" s="49"/>
      <c r="J84" s="49"/>
      <c r="K84" s="49"/>
      <c r="L84" s="49"/>
      <c r="M84" s="49"/>
      <c r="N84" s="49"/>
      <c r="O84" s="49"/>
      <c r="P84" s="49"/>
      <c r="Q84" s="49"/>
      <c r="R84" s="49"/>
      <c r="S84" s="49"/>
      <c r="T84" s="49"/>
      <c r="U84" s="49"/>
      <c r="V84" s="49"/>
      <c r="W84" s="49"/>
      <c r="X84" s="49"/>
    </row>
    <row r="85">
      <c r="A85" s="49"/>
      <c r="B85" s="49"/>
      <c r="C85" s="49"/>
      <c r="D85" s="49"/>
      <c r="E85" s="49"/>
      <c r="F85" s="49"/>
      <c r="G85" s="49"/>
      <c r="H85" s="49"/>
      <c r="I85" s="49"/>
      <c r="J85" s="49"/>
      <c r="K85" s="49"/>
      <c r="L85" s="49"/>
      <c r="M85" s="49"/>
      <c r="N85" s="49"/>
      <c r="O85" s="49"/>
      <c r="P85" s="49"/>
      <c r="Q85" s="49"/>
      <c r="R85" s="49"/>
      <c r="S85" s="49"/>
      <c r="T85" s="49"/>
      <c r="U85" s="49"/>
      <c r="V85" s="49"/>
      <c r="W85" s="49"/>
      <c r="X85" s="49"/>
    </row>
    <row r="86">
      <c r="A86" s="49"/>
      <c r="B86" s="49"/>
      <c r="C86" s="49"/>
      <c r="D86" s="49"/>
      <c r="E86" s="49"/>
      <c r="F86" s="49"/>
      <c r="G86" s="49"/>
      <c r="H86" s="49"/>
      <c r="I86" s="49"/>
      <c r="J86" s="49"/>
      <c r="K86" s="49"/>
      <c r="L86" s="49"/>
      <c r="M86" s="49"/>
      <c r="N86" s="49"/>
      <c r="O86" s="49"/>
      <c r="P86" s="49"/>
      <c r="Q86" s="49"/>
      <c r="R86" s="49"/>
      <c r="S86" s="49"/>
      <c r="T86" s="49"/>
      <c r="U86" s="49"/>
      <c r="V86" s="49"/>
      <c r="W86" s="49"/>
      <c r="X86" s="49"/>
    </row>
    <row r="87">
      <c r="A87" s="49"/>
      <c r="B87" s="49"/>
      <c r="C87" s="49"/>
      <c r="D87" s="49"/>
      <c r="E87" s="49"/>
      <c r="F87" s="49"/>
      <c r="G87" s="49"/>
      <c r="H87" s="49"/>
      <c r="I87" s="49"/>
      <c r="J87" s="49"/>
      <c r="K87" s="49"/>
      <c r="L87" s="49"/>
      <c r="M87" s="49"/>
      <c r="N87" s="49"/>
      <c r="O87" s="49"/>
      <c r="P87" s="49"/>
      <c r="Q87" s="49"/>
      <c r="R87" s="49"/>
      <c r="S87" s="49"/>
      <c r="T87" s="49"/>
      <c r="U87" s="49"/>
      <c r="V87" s="49"/>
      <c r="W87" s="49"/>
      <c r="X87" s="49"/>
    </row>
    <row r="88">
      <c r="A88" s="49"/>
      <c r="B88" s="49"/>
      <c r="C88" s="49"/>
      <c r="D88" s="49"/>
      <c r="E88" s="49"/>
      <c r="F88" s="49"/>
      <c r="G88" s="49"/>
      <c r="H88" s="49"/>
      <c r="I88" s="49"/>
      <c r="J88" s="49"/>
      <c r="K88" s="49"/>
      <c r="L88" s="49"/>
      <c r="M88" s="49"/>
      <c r="N88" s="49"/>
      <c r="O88" s="49"/>
      <c r="P88" s="49"/>
      <c r="Q88" s="49"/>
      <c r="R88" s="49"/>
      <c r="S88" s="49"/>
      <c r="T88" s="49"/>
      <c r="U88" s="49"/>
      <c r="V88" s="49"/>
      <c r="W88" s="49"/>
      <c r="X88" s="49"/>
    </row>
    <row r="89">
      <c r="A89" s="49"/>
      <c r="B89" s="49"/>
      <c r="C89" s="49"/>
      <c r="D89" s="49"/>
      <c r="E89" s="49"/>
      <c r="F89" s="49"/>
      <c r="G89" s="49"/>
      <c r="H89" s="49"/>
      <c r="I89" s="49"/>
      <c r="J89" s="49"/>
      <c r="K89" s="49"/>
      <c r="L89" s="49"/>
      <c r="M89" s="49"/>
      <c r="N89" s="49"/>
      <c r="O89" s="49"/>
      <c r="P89" s="49"/>
      <c r="Q89" s="49"/>
      <c r="R89" s="49"/>
      <c r="S89" s="49"/>
      <c r="T89" s="49"/>
      <c r="U89" s="49"/>
      <c r="V89" s="49"/>
      <c r="W89" s="49"/>
      <c r="X89" s="49"/>
    </row>
    <row r="90">
      <c r="A90" s="49"/>
      <c r="B90" s="49"/>
      <c r="C90" s="49"/>
      <c r="D90" s="49"/>
      <c r="E90" s="49"/>
      <c r="F90" s="49"/>
      <c r="G90" s="49"/>
      <c r="H90" s="49"/>
      <c r="I90" s="49"/>
      <c r="J90" s="49"/>
      <c r="K90" s="49"/>
      <c r="L90" s="49"/>
      <c r="M90" s="49"/>
      <c r="N90" s="49"/>
      <c r="O90" s="49"/>
      <c r="P90" s="49"/>
      <c r="Q90" s="49"/>
      <c r="R90" s="49"/>
      <c r="S90" s="49"/>
      <c r="T90" s="49"/>
      <c r="U90" s="49"/>
      <c r="V90" s="49"/>
      <c r="W90" s="49"/>
      <c r="X90" s="49"/>
    </row>
    <row r="91">
      <c r="A91" s="49"/>
      <c r="B91" s="49"/>
      <c r="C91" s="49"/>
      <c r="D91" s="49"/>
      <c r="E91" s="49"/>
      <c r="F91" s="49"/>
      <c r="G91" s="49"/>
      <c r="H91" s="49"/>
      <c r="I91" s="49"/>
      <c r="J91" s="49"/>
      <c r="K91" s="49"/>
      <c r="L91" s="49"/>
      <c r="M91" s="49"/>
      <c r="N91" s="49"/>
      <c r="O91" s="49"/>
      <c r="P91" s="49"/>
      <c r="Q91" s="49"/>
      <c r="R91" s="49"/>
      <c r="S91" s="49"/>
      <c r="T91" s="49"/>
      <c r="U91" s="49"/>
      <c r="V91" s="49"/>
      <c r="W91" s="49"/>
      <c r="X91" s="49"/>
    </row>
    <row r="92">
      <c r="A92" s="49"/>
      <c r="B92" s="49"/>
      <c r="C92" s="49"/>
      <c r="D92" s="49"/>
      <c r="E92" s="49"/>
      <c r="F92" s="49"/>
      <c r="G92" s="49"/>
      <c r="H92" s="49"/>
      <c r="I92" s="49"/>
      <c r="J92" s="49"/>
      <c r="K92" s="49"/>
      <c r="L92" s="49"/>
      <c r="M92" s="49"/>
      <c r="N92" s="49"/>
      <c r="O92" s="49"/>
      <c r="P92" s="49"/>
      <c r="Q92" s="49"/>
      <c r="R92" s="49"/>
      <c r="S92" s="49"/>
      <c r="T92" s="49"/>
      <c r="U92" s="49"/>
      <c r="V92" s="49"/>
      <c r="W92" s="49"/>
      <c r="X92" s="49"/>
    </row>
    <row r="93">
      <c r="A93" s="49"/>
      <c r="B93" s="49"/>
      <c r="C93" s="49"/>
      <c r="D93" s="49"/>
      <c r="E93" s="49"/>
      <c r="F93" s="49"/>
      <c r="G93" s="49"/>
      <c r="H93" s="49"/>
      <c r="I93" s="49"/>
      <c r="J93" s="49"/>
      <c r="K93" s="49"/>
      <c r="L93" s="49"/>
      <c r="M93" s="49"/>
      <c r="N93" s="49"/>
      <c r="O93" s="49"/>
      <c r="P93" s="49"/>
      <c r="Q93" s="49"/>
      <c r="R93" s="49"/>
      <c r="S93" s="49"/>
      <c r="T93" s="49"/>
      <c r="U93" s="49"/>
      <c r="V93" s="49"/>
      <c r="W93" s="49"/>
      <c r="X93" s="49"/>
    </row>
    <row r="94">
      <c r="A94" s="49"/>
      <c r="B94" s="49"/>
      <c r="C94" s="49"/>
      <c r="D94" s="49"/>
      <c r="E94" s="49"/>
      <c r="F94" s="49"/>
      <c r="G94" s="49"/>
      <c r="H94" s="49"/>
      <c r="I94" s="49"/>
      <c r="J94" s="49"/>
      <c r="K94" s="49"/>
      <c r="L94" s="49"/>
      <c r="M94" s="49"/>
      <c r="N94" s="49"/>
      <c r="O94" s="49"/>
      <c r="P94" s="49"/>
      <c r="Q94" s="49"/>
      <c r="R94" s="49"/>
      <c r="S94" s="49"/>
      <c r="T94" s="49"/>
      <c r="U94" s="49"/>
      <c r="V94" s="49"/>
      <c r="W94" s="49"/>
      <c r="X94" s="49"/>
    </row>
    <row r="95">
      <c r="A95" s="49"/>
      <c r="B95" s="49"/>
      <c r="C95" s="49"/>
      <c r="D95" s="49"/>
      <c r="E95" s="49"/>
      <c r="F95" s="49"/>
      <c r="G95" s="49"/>
      <c r="H95" s="49"/>
      <c r="I95" s="49"/>
      <c r="J95" s="49"/>
      <c r="K95" s="49"/>
      <c r="L95" s="49"/>
      <c r="M95" s="49"/>
      <c r="N95" s="49"/>
      <c r="O95" s="49"/>
      <c r="P95" s="49"/>
      <c r="Q95" s="49"/>
      <c r="R95" s="49"/>
      <c r="S95" s="49"/>
      <c r="T95" s="49"/>
      <c r="U95" s="49"/>
      <c r="V95" s="49"/>
      <c r="W95" s="49"/>
      <c r="X95" s="49"/>
    </row>
    <row r="96">
      <c r="A96" s="49"/>
      <c r="B96" s="49"/>
      <c r="C96" s="49"/>
      <c r="D96" s="49"/>
      <c r="E96" s="49"/>
      <c r="F96" s="49"/>
      <c r="G96" s="49"/>
      <c r="H96" s="49"/>
      <c r="I96" s="49"/>
      <c r="J96" s="49"/>
      <c r="K96" s="49"/>
      <c r="L96" s="49"/>
      <c r="M96" s="49"/>
      <c r="N96" s="49"/>
      <c r="O96" s="49"/>
      <c r="P96" s="49"/>
      <c r="Q96" s="49"/>
      <c r="R96" s="49"/>
      <c r="S96" s="49"/>
      <c r="T96" s="49"/>
      <c r="U96" s="49"/>
      <c r="V96" s="49"/>
      <c r="W96" s="49"/>
      <c r="X96" s="49"/>
    </row>
    <row r="97">
      <c r="A97" s="49"/>
      <c r="B97" s="49"/>
      <c r="C97" s="49"/>
      <c r="D97" s="49"/>
      <c r="E97" s="49"/>
      <c r="F97" s="49"/>
      <c r="G97" s="49"/>
      <c r="H97" s="49"/>
      <c r="I97" s="49"/>
      <c r="J97" s="49"/>
      <c r="K97" s="49"/>
      <c r="L97" s="49"/>
      <c r="M97" s="49"/>
      <c r="N97" s="49"/>
      <c r="O97" s="49"/>
      <c r="P97" s="49"/>
      <c r="Q97" s="49"/>
      <c r="R97" s="49"/>
      <c r="S97" s="49"/>
      <c r="T97" s="49"/>
      <c r="U97" s="49"/>
      <c r="V97" s="49"/>
      <c r="W97" s="49"/>
      <c r="X97" s="49"/>
    </row>
    <row r="98">
      <c r="A98" s="49"/>
      <c r="B98" s="49"/>
      <c r="C98" s="49"/>
      <c r="D98" s="49"/>
      <c r="E98" s="49"/>
      <c r="F98" s="49"/>
      <c r="G98" s="49"/>
      <c r="H98" s="49"/>
      <c r="I98" s="49"/>
      <c r="J98" s="49"/>
      <c r="K98" s="49"/>
      <c r="L98" s="49"/>
      <c r="M98" s="49"/>
      <c r="N98" s="49"/>
      <c r="O98" s="49"/>
      <c r="P98" s="49"/>
      <c r="Q98" s="49"/>
      <c r="R98" s="49"/>
      <c r="S98" s="49"/>
      <c r="T98" s="49"/>
      <c r="U98" s="49"/>
      <c r="V98" s="49"/>
      <c r="W98" s="49"/>
      <c r="X98" s="49"/>
    </row>
    <row r="99">
      <c r="A99" s="49"/>
      <c r="B99" s="49"/>
      <c r="C99" s="49"/>
      <c r="D99" s="49"/>
      <c r="E99" s="49"/>
      <c r="F99" s="49"/>
      <c r="G99" s="49"/>
      <c r="H99" s="49"/>
      <c r="I99" s="49"/>
      <c r="J99" s="49"/>
      <c r="K99" s="49"/>
      <c r="L99" s="49"/>
      <c r="M99" s="49"/>
      <c r="N99" s="49"/>
      <c r="O99" s="49"/>
      <c r="P99" s="49"/>
      <c r="Q99" s="49"/>
      <c r="R99" s="49"/>
      <c r="S99" s="49"/>
      <c r="T99" s="49"/>
      <c r="U99" s="49"/>
      <c r="V99" s="49"/>
      <c r="W99" s="49"/>
      <c r="X99" s="49"/>
    </row>
    <row r="100">
      <c r="A100" s="49"/>
      <c r="B100" s="49"/>
      <c r="C100" s="49"/>
      <c r="D100" s="49"/>
      <c r="E100" s="49"/>
      <c r="F100" s="49"/>
      <c r="G100" s="49"/>
      <c r="H100" s="49"/>
      <c r="I100" s="49"/>
      <c r="J100" s="49"/>
      <c r="K100" s="49"/>
      <c r="L100" s="49"/>
      <c r="M100" s="49"/>
      <c r="N100" s="49"/>
      <c r="O100" s="49"/>
      <c r="P100" s="49"/>
      <c r="Q100" s="49"/>
      <c r="R100" s="49"/>
      <c r="S100" s="49"/>
      <c r="T100" s="49"/>
      <c r="U100" s="49"/>
      <c r="V100" s="49"/>
      <c r="W100" s="49"/>
      <c r="X100" s="49"/>
    </row>
    <row r="101">
      <c r="A101" s="49"/>
      <c r="B101" s="49"/>
      <c r="C101" s="49"/>
      <c r="D101" s="49"/>
      <c r="E101" s="49"/>
      <c r="F101" s="49"/>
      <c r="G101" s="49"/>
      <c r="H101" s="49"/>
      <c r="I101" s="49"/>
      <c r="J101" s="49"/>
      <c r="K101" s="49"/>
      <c r="L101" s="49"/>
      <c r="M101" s="49"/>
      <c r="N101" s="49"/>
      <c r="O101" s="49"/>
      <c r="P101" s="49"/>
      <c r="Q101" s="49"/>
      <c r="R101" s="49"/>
      <c r="S101" s="49"/>
      <c r="T101" s="49"/>
      <c r="U101" s="49"/>
      <c r="V101" s="49"/>
      <c r="W101" s="49"/>
      <c r="X101" s="49"/>
    </row>
    <row r="102">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row>
    <row r="103">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row>
    <row r="104">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row>
    <row r="10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row>
    <row r="106">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row>
    <row r="107">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row>
    <row r="108">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row>
    <row r="109">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row>
    <row r="110">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row>
    <row r="111">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row>
    <row r="112">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row>
    <row r="113">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row>
    <row r="114">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row>
    <row r="11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row>
    <row r="116">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row>
    <row r="117">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row>
    <row r="118">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row>
    <row r="119">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row>
    <row r="120">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row>
    <row r="121">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row>
    <row r="122">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row>
    <row r="123">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row>
    <row r="124">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row>
    <row r="1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row>
    <row r="126">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row>
    <row r="127">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row>
    <row r="128">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row>
    <row r="129">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row>
    <row r="130">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row>
    <row r="131">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row>
    <row r="132">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row>
    <row r="133">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row>
    <row r="134">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row>
    <row r="13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row>
    <row r="136">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row>
    <row r="137">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row>
    <row r="138">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row>
    <row r="139">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row>
    <row r="140">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row>
    <row r="141">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row>
    <row r="142">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row>
    <row r="143">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row>
    <row r="144">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row>
    <row r="14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row>
    <row r="146">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row>
    <row r="147">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row>
    <row r="148">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row>
    <row r="149">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row>
    <row r="150">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row>
    <row r="151">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row>
    <row r="152">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row>
    <row r="153">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row>
    <row r="154">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row>
    <row r="15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row>
    <row r="156">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row>
    <row r="157">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row>
    <row r="158">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row>
    <row r="159">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row>
    <row r="160">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row>
    <row r="161">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row>
    <row r="162">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row>
    <row r="163">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row>
    <row r="164">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row>
    <row r="16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row>
    <row r="166">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row>
    <row r="167">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row>
    <row r="168">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row>
    <row r="169">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row>
    <row r="170">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row>
    <row r="171">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row>
    <row r="172">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row>
    <row r="173">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row>
    <row r="174">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row>
    <row r="17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row>
    <row r="176">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row>
    <row r="177">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row>
    <row r="178">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row>
    <row r="179">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row>
    <row r="180">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row>
    <row r="181">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row>
    <row r="182">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row>
    <row r="183">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row>
    <row r="184">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row>
    <row r="18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row>
    <row r="186">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row>
    <row r="187">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row>
    <row r="188">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row>
    <row r="189">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row>
    <row r="190">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row>
    <row r="191">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row>
    <row r="192">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row>
    <row r="193">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row>
    <row r="194">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row>
    <row r="19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row>
    <row r="196">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row>
    <row r="197">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row>
    <row r="198">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row>
    <row r="199">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row>
    <row r="200">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row>
    <row r="201">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row>
    <row r="202">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row>
    <row r="203">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row>
    <row r="204">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row>
    <row r="20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row>
    <row r="206">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row>
    <row r="207">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row>
    <row r="208">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row>
    <row r="209">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row>
    <row r="210">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row>
    <row r="211">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row>
    <row r="212">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row>
    <row r="213">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row>
    <row r="214">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row>
    <row r="21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row>
    <row r="216">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row>
    <row r="217">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row>
    <row r="218">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row>
    <row r="219">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row>
    <row r="220">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row>
    <row r="221">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row>
    <row r="222">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row>
    <row r="223">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row>
    <row r="224">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row>
    <row r="2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row>
    <row r="226">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row>
    <row r="227">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row>
    <row r="228">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row>
    <row r="229">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row>
    <row r="230">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row>
    <row r="231">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row>
    <row r="232">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row>
    <row r="233">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row>
    <row r="234">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row>
    <row r="23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row>
    <row r="236">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row>
    <row r="237">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row>
    <row r="238">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row>
    <row r="239">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row>
    <row r="240">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row>
    <row r="241">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row>
    <row r="242">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row>
    <row r="243">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row>
    <row r="244">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row>
    <row r="24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row>
    <row r="246">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row>
    <row r="247">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row>
    <row r="248">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row>
    <row r="249">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row>
    <row r="250">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row>
    <row r="251">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row>
    <row r="252">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row>
    <row r="253">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row>
    <row r="254">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row>
    <row r="25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row>
    <row r="256">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row>
    <row r="257">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row>
    <row r="258">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row>
    <row r="259">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row>
    <row r="260">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row>
    <row r="261">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row>
    <row r="262">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row>
    <row r="263">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row>
    <row r="264">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row>
    <row r="26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row>
    <row r="266">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row>
    <row r="267">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row>
    <row r="268">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row>
    <row r="269">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row>
    <row r="270">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row>
    <row r="271">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row>
    <row r="272">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row>
    <row r="273">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row>
    <row r="274">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row>
    <row r="27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row>
    <row r="276">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row>
    <row r="277">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row>
    <row r="278">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row>
    <row r="279">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row>
    <row r="280">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row>
    <row r="281">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row>
    <row r="282">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row>
    <row r="283">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row>
    <row r="284">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row>
    <row r="28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row>
    <row r="286">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row>
    <row r="287">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row>
    <row r="288">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row>
    <row r="289">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row>
    <row r="290">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row>
    <row r="291">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row>
    <row r="292">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row>
    <row r="293">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row>
    <row r="294">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row>
    <row r="29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row>
    <row r="296">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row>
    <row r="297">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row>
    <row r="298">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row>
    <row r="299">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row>
    <row r="300">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row>
    <row r="301">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row>
    <row r="302">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row>
    <row r="303">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row>
    <row r="304">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row>
    <row r="30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row>
    <row r="306">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row>
    <row r="307">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row>
    <row r="308">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row>
    <row r="309">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row>
    <row r="310">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row>
    <row r="311">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row>
    <row r="312">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row>
    <row r="313">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row>
    <row r="314">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row>
    <row r="31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row>
    <row r="316">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row>
    <row r="317">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row>
    <row r="318">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row>
    <row r="319">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row>
    <row r="320">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row>
    <row r="321">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row>
    <row r="322">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row>
    <row r="323">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row>
    <row r="324">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row>
    <row r="3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row>
    <row r="326">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row>
    <row r="327">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row>
    <row r="328">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row>
    <row r="329">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row>
    <row r="330">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row>
    <row r="331">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row>
    <row r="332">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row>
    <row r="333">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row>
    <row r="334">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row>
    <row r="33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row>
    <row r="336">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row>
    <row r="337">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row>
    <row r="338">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row>
    <row r="339">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row>
    <row r="340">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row>
    <row r="341">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row>
    <row r="342">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row>
    <row r="343">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row>
    <row r="344">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row>
    <row r="34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row>
    <row r="346">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row>
    <row r="347">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row>
    <row r="348">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row>
    <row r="349">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row>
    <row r="350">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row>
    <row r="351">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row>
    <row r="352">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row>
    <row r="353">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row>
    <row r="354">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row>
    <row r="35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row>
    <row r="356">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row>
    <row r="357">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row>
    <row r="358">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row>
    <row r="359">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row>
    <row r="360">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row>
    <row r="361">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row>
    <row r="362">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row>
    <row r="363">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row>
    <row r="364">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row>
    <row r="36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row>
    <row r="366">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row>
    <row r="367">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row>
    <row r="368">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row>
    <row r="369">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row>
    <row r="370">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row>
    <row r="371">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row>
    <row r="372">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row>
    <row r="373">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row>
    <row r="374">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row>
    <row r="37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row>
    <row r="376">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row>
    <row r="377">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row>
    <row r="378">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row>
    <row r="379">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row>
    <row r="380">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row>
    <row r="381">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row>
    <row r="382">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row>
    <row r="383">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row>
    <row r="384">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row>
    <row r="38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row>
    <row r="386">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row>
    <row r="387">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row>
    <row r="388">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row>
    <row r="389">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row>
    <row r="390">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row>
    <row r="391">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row>
    <row r="392">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row>
    <row r="393">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row>
    <row r="394">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row>
    <row r="39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row>
    <row r="396">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row>
    <row r="397">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row>
    <row r="398">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row>
    <row r="399">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row>
    <row r="400">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row>
    <row r="401">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row>
    <row r="402">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row>
    <row r="403">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row>
    <row r="404">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row>
    <row r="40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row>
    <row r="406">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row>
    <row r="407">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row>
    <row r="408">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row>
    <row r="409">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row>
    <row r="410">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row>
    <row r="411">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row>
    <row r="412">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row>
    <row r="413">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row>
    <row r="414">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row>
    <row r="41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row>
    <row r="416">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row>
    <row r="417">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row>
    <row r="418">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row>
    <row r="419">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row>
    <row r="420">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row>
    <row r="421">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row>
    <row r="422">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row>
    <row r="423">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row>
    <row r="424">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row>
    <row r="4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row>
    <row r="426">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row>
    <row r="427">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row>
    <row r="428">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row>
    <row r="429">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row>
    <row r="430">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row>
    <row r="431">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row>
    <row r="432">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row>
    <row r="433">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row>
    <row r="434">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row>
    <row r="4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row>
    <row r="436">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row>
    <row r="437">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row>
    <row r="438">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row>
    <row r="439">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row>
    <row r="440">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row>
    <row r="441">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row>
    <row r="442">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row>
    <row r="443">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row>
    <row r="444">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row>
    <row r="44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row>
    <row r="446">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row>
    <row r="447">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row>
    <row r="448">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row>
    <row r="449">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row>
    <row r="450">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row>
    <row r="451">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row>
    <row r="452">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row>
    <row r="453">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row>
    <row r="454">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row>
    <row r="45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row>
    <row r="456">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row>
    <row r="457">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row>
    <row r="458">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row>
    <row r="459">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row>
    <row r="460">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row>
    <row r="461">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row>
    <row r="462">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row>
    <row r="463">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row>
    <row r="464">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row>
    <row r="46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row>
    <row r="466">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row>
    <row r="467">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row>
    <row r="468">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row>
    <row r="469">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row>
    <row r="470">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row>
    <row r="471">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row>
    <row r="472">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row>
    <row r="473">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row>
    <row r="474">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row>
    <row r="47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row>
    <row r="476">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row>
    <row r="477">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row>
    <row r="478">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row>
    <row r="479">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row>
    <row r="480">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row>
    <row r="481">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row>
    <row r="482">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row>
    <row r="483">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row>
    <row r="484">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row>
    <row r="48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row>
    <row r="486">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row>
    <row r="487">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row>
    <row r="488">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row>
    <row r="489">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row>
    <row r="490">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row>
    <row r="491">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row>
    <row r="492">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row>
    <row r="493">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row>
    <row r="494">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row>
    <row r="49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row>
    <row r="496">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row>
    <row r="497">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row>
    <row r="498">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row>
    <row r="499">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row>
    <row r="500">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row>
    <row r="501">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row>
    <row r="502">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row>
    <row r="503">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row>
    <row r="504">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row>
    <row r="50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row>
    <row r="506">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row>
    <row r="507">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row>
    <row r="508">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row>
    <row r="509">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row>
    <row r="510">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row>
    <row r="511">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row>
    <row r="512">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row>
    <row r="513">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row>
    <row r="514">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row>
    <row r="51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row>
    <row r="516">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row>
    <row r="517">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row>
    <row r="518">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row>
    <row r="519">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row>
    <row r="520">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row>
    <row r="521">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row>
    <row r="522">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row>
    <row r="523">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row>
    <row r="524">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row>
    <row r="5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row>
    <row r="526">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row>
    <row r="527">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row>
    <row r="528">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row>
    <row r="529">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row>
    <row r="530">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row>
    <row r="531">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row>
    <row r="532">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row>
    <row r="533">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row>
    <row r="534">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row>
    <row r="5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row>
    <row r="536">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row>
    <row r="537">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row>
    <row r="538">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row>
    <row r="539">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row>
    <row r="540">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row>
    <row r="541">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row>
    <row r="542">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row>
    <row r="543">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row>
    <row r="544">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row>
    <row r="54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row>
    <row r="546">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row>
    <row r="547">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row>
    <row r="548">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row>
    <row r="549">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row>
    <row r="550">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row>
    <row r="551">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row>
    <row r="552">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row>
    <row r="553">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row>
    <row r="554">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row>
    <row r="55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row>
    <row r="556">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row>
    <row r="557">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row>
    <row r="558">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row>
    <row r="559">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row>
    <row r="560">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row>
    <row r="561">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row>
    <row r="562">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row>
    <row r="563">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row>
    <row r="564">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row>
    <row r="56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row>
    <row r="566">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row>
    <row r="567">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row>
    <row r="568">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row>
    <row r="569">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row>
    <row r="570">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row>
    <row r="571">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row>
    <row r="572">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row>
    <row r="573">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row>
    <row r="574">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row>
    <row r="57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row>
    <row r="576">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row>
    <row r="577">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row>
    <row r="578">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row>
    <row r="579">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row>
    <row r="580">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row>
    <row r="581">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row>
    <row r="582">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row>
    <row r="583">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row>
    <row r="584">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row>
    <row r="58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row>
    <row r="586">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row>
    <row r="587">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row>
    <row r="588">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row>
    <row r="589">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row>
    <row r="590">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row>
    <row r="591">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row>
    <row r="592">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row>
    <row r="593">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row>
    <row r="594">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row>
    <row r="59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row>
    <row r="596">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row>
    <row r="597">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row>
    <row r="598">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row>
    <row r="599">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row>
    <row r="600">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row>
    <row r="601">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row>
    <row r="602">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row>
    <row r="603">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row>
    <row r="604">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row>
    <row r="60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row>
    <row r="606">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row>
    <row r="607">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row>
    <row r="608">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row>
    <row r="609">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row>
    <row r="610">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row>
    <row r="611">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row>
    <row r="612">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row>
    <row r="613">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row>
    <row r="614">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row>
    <row r="61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row>
    <row r="616">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row>
    <row r="617">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row>
    <row r="618">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row>
    <row r="619">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row>
    <row r="620">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row>
    <row r="621">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row>
    <row r="622">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row>
    <row r="623">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row>
    <row r="624">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row>
    <row r="6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row>
    <row r="626">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row>
    <row r="627">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row>
    <row r="628">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row>
    <row r="629">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row>
    <row r="630">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row>
    <row r="631">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row>
    <row r="632">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row>
    <row r="633">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row>
    <row r="634">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row>
    <row r="6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row>
    <row r="636">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row>
    <row r="637">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row>
    <row r="638">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row>
    <row r="639">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row>
    <row r="640">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row>
    <row r="641">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row>
    <row r="642">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row>
    <row r="643">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row>
    <row r="644">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row>
    <row r="64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row>
    <row r="646">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row>
    <row r="647">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row>
    <row r="648">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row>
    <row r="649">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row>
    <row r="650">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row>
    <row r="651">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row>
    <row r="652">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row>
    <row r="653">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row>
    <row r="654">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row>
    <row r="65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row>
    <row r="656">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row>
    <row r="657">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row>
    <row r="658">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row>
    <row r="659">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row>
    <row r="660">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row>
    <row r="661">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row>
    <row r="662">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row>
    <row r="663">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row>
    <row r="664">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row>
    <row r="66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row>
    <row r="666">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row>
    <row r="667">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row>
    <row r="668">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row>
    <row r="669">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row>
    <row r="670">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row>
    <row r="671">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row>
    <row r="672">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row>
    <row r="673">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row>
    <row r="674">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row>
    <row r="67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row>
    <row r="676">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row>
    <row r="677">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row>
    <row r="678">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row>
    <row r="679">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row>
    <row r="680">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row>
    <row r="681">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row>
    <row r="682">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row>
    <row r="683">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row>
    <row r="684">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row>
    <row r="68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row>
    <row r="686">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row>
    <row r="687">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row>
    <row r="688">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row>
    <row r="689">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row>
    <row r="690">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row>
    <row r="691">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row>
    <row r="692">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row>
    <row r="693">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row>
    <row r="694">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row>
    <row r="69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row>
    <row r="696">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row>
    <row r="697">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row>
    <row r="698">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row>
    <row r="699">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row>
    <row r="700">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row>
    <row r="701">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row>
    <row r="702">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row>
    <row r="703">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row>
    <row r="704">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row>
    <row r="70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row>
    <row r="706">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row>
    <row r="707">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row>
    <row r="708">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row>
    <row r="709">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row>
    <row r="710">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row>
    <row r="711">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row>
    <row r="712">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row>
    <row r="713">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row>
    <row r="714">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row>
    <row r="71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row>
    <row r="716">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row>
    <row r="717">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row>
    <row r="718">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row>
    <row r="719">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row>
    <row r="720">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row>
    <row r="721">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row>
    <row r="722">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row>
    <row r="723">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row>
    <row r="724">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row>
    <row r="7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row>
    <row r="726">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row>
    <row r="727">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row>
    <row r="728">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row>
    <row r="729">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row>
    <row r="730">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row>
    <row r="731">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row>
    <row r="732">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row>
    <row r="733">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row>
    <row r="734">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row>
    <row r="7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row>
    <row r="736">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row>
    <row r="737">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row>
    <row r="738">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row>
    <row r="739">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row>
    <row r="740">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row>
    <row r="741">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row>
    <row r="742">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row>
    <row r="743">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row>
    <row r="744">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row>
    <row r="74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row>
    <row r="746">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row>
    <row r="747">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row>
    <row r="748">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row>
    <row r="749">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row>
    <row r="750">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row>
    <row r="751">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row>
    <row r="752">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row>
    <row r="753">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row>
    <row r="754">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row>
    <row r="75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row>
    <row r="756">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row>
    <row r="757">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row>
    <row r="758">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row>
    <row r="759">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row>
    <row r="760">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row>
    <row r="761">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row>
    <row r="762">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row>
    <row r="763">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row>
    <row r="764">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row>
    <row r="76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row>
    <row r="766">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row>
    <row r="767">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row>
    <row r="768">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row>
    <row r="769">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row>
    <row r="770">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row>
    <row r="771">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row>
    <row r="772">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row>
    <row r="773">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row>
    <row r="774">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row>
    <row r="77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row>
    <row r="776">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row>
    <row r="777">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row>
    <row r="778">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row>
    <row r="779">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row>
    <row r="780">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row>
    <row r="781">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row>
    <row r="782">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row>
    <row r="783">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row>
    <row r="784">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row>
    <row r="78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row>
    <row r="786">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row>
    <row r="787">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row>
    <row r="788">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row>
    <row r="789">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row>
    <row r="790">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row>
    <row r="791">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row>
    <row r="792">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row>
    <row r="793">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row>
    <row r="794">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row>
    <row r="79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row>
    <row r="796">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row>
    <row r="797">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row>
    <row r="798">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row>
    <row r="799">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row>
    <row r="800">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row>
    <row r="801">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row>
    <row r="802">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row>
    <row r="803">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row>
    <row r="804">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row>
    <row r="80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row>
    <row r="806">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row>
    <row r="807">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row>
    <row r="808">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row>
    <row r="809">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row>
    <row r="810">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row>
    <row r="811">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row>
    <row r="812">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row>
    <row r="813">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row>
    <row r="814">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row>
    <row r="81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row>
    <row r="816">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row>
    <row r="817">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row>
    <row r="818">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row>
    <row r="819">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row>
    <row r="820">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row>
    <row r="821">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row>
    <row r="822">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row>
    <row r="823">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row>
    <row r="824">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row>
    <row r="8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row>
    <row r="826">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row>
    <row r="827">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row>
    <row r="828">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row>
    <row r="829">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row>
    <row r="830">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row>
    <row r="831">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row>
    <row r="832">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row>
    <row r="833">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row>
    <row r="834">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row>
    <row r="8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row>
    <row r="836">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row>
    <row r="837">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row>
    <row r="838">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row>
    <row r="839">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row>
    <row r="840">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row>
    <row r="841">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row>
    <row r="842">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row>
    <row r="843">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row>
    <row r="844">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row>
    <row r="84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row>
    <row r="846">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row>
    <row r="847">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row>
    <row r="848">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row>
    <row r="849">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row>
    <row r="850">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row>
    <row r="851">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row>
    <row r="852">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row>
    <row r="853">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row>
    <row r="854">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row>
    <row r="85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row>
    <row r="856">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row>
    <row r="857">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row>
    <row r="858">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row>
    <row r="859">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row>
    <row r="860">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row>
    <row r="861">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row>
    <row r="862">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row>
    <row r="863">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row>
    <row r="864">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row>
    <row r="86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row>
    <row r="866">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row>
    <row r="867">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row>
    <row r="868">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row>
    <row r="869">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row>
    <row r="870">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row>
    <row r="871">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row>
    <row r="872">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row>
    <row r="873">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row>
    <row r="874">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row>
    <row r="87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row>
    <row r="876">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row>
    <row r="877">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row>
    <row r="878">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row>
    <row r="879">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row>
    <row r="880">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row>
    <row r="881">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row>
    <row r="882">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row>
    <row r="883">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row>
    <row r="884">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row>
    <row r="88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row>
    <row r="886">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row>
    <row r="887">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row>
    <row r="888">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row>
    <row r="889">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row>
    <row r="890">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row>
    <row r="891">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row>
    <row r="892">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row>
    <row r="893">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row>
    <row r="894">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row>
    <row r="89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row>
    <row r="896">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row>
    <row r="897">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row>
    <row r="898">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row>
    <row r="899">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row>
    <row r="900">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row>
    <row r="901">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row>
    <row r="902">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row>
    <row r="903">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row>
    <row r="904">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row>
    <row r="90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row>
    <row r="906">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row>
    <row r="907">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row>
    <row r="908">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row>
    <row r="909">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row>
    <row r="910">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row>
    <row r="911">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row>
    <row r="912">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row>
    <row r="913">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row>
    <row r="914">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row>
    <row r="91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row>
    <row r="916">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row>
    <row r="917">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row>
    <row r="918">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row>
    <row r="919">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row>
    <row r="920">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row>
    <row r="921">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row>
    <row r="922">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row>
    <row r="923">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row>
    <row r="924">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row>
    <row r="9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row>
    <row r="926">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row>
    <row r="927">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row>
    <row r="928">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row>
    <row r="929">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row>
    <row r="930">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row>
    <row r="931">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row>
    <row r="932">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row>
    <row r="933">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row>
    <row r="934">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row>
    <row r="9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row>
    <row r="936">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row>
    <row r="937">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row>
    <row r="938">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row>
    <row r="939">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row>
    <row r="940">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row>
    <row r="941">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row>
    <row r="942">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row>
    <row r="943">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row>
    <row r="944">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row>
    <row r="94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row>
    <row r="946">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row>
    <row r="947">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row>
    <row r="948">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row>
    <row r="949">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row>
    <row r="950">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row>
    <row r="951">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row>
    <row r="952">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row>
    <row r="953">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row>
    <row r="954">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row>
    <row r="95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row>
    <row r="956">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row>
    <row r="957">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row>
    <row r="958">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row>
    <row r="959">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row>
    <row r="960">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row>
    <row r="961">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row>
    <row r="962">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row>
    <row r="963">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row>
    <row r="964">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row>
    <row r="96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row>
    <row r="966">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row>
    <row r="967">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row>
    <row r="968">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row>
    <row r="969">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row>
    <row r="970">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row>
    <row r="971">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row>
    <row r="972">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row>
    <row r="973">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row>
    <row r="974">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row>
    <row r="97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row>
    <row r="976">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row>
    <row r="977">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row>
    <row r="978">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row>
    <row r="979">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row>
    <row r="980">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row>
    <row r="981">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row>
    <row r="982">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row>
    <row r="983">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row>
    <row r="984">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row>
    <row r="98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row>
    <row r="986">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row>
    <row r="987">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row>
    <row r="988">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row>
    <row r="989">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row>
    <row r="990">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row>
    <row r="991">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row>
    <row r="992">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row>
    <row r="993">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row>
    <row r="994">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row>
    <row r="99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row>
    <row r="996">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row>
    <row r="997">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row>
    <row r="998">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row>
    <row r="999">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row>
    <row r="1000">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9" t="str">
        <f>IFERROR(__xludf.DUMMYFUNCTION("IMPORTRANGE(""https://docs.google.com/spreadsheets/d/""&amp;Config!B1,""Diseases!A:AX"")"),"Name")</f>
        <v>Name</v>
      </c>
      <c r="B1" s="99" t="str">
        <f>IFERROR(__xludf.DUMMYFUNCTION("""COMPUTED_VALUE"""),"Description")</f>
        <v>Description</v>
      </c>
      <c r="C1" s="99" t="str">
        <f>IFERROR(__xludf.DUMMYFUNCTION("""COMPUTED_VALUE"""),"Permanent")</f>
        <v>Permanent</v>
      </c>
      <c r="D1" s="99" t="str">
        <f>IFERROR(__xludf.DUMMYFUNCTION("""COMPUTED_VALUE"""),"SemiPermanent ")</f>
        <v>SemiPermanent </v>
      </c>
      <c r="E1" s="99" t="str">
        <f>IFERROR(__xludf.DUMMYFUNCTION("""COMPUTED_VALUE"""),"Temp")</f>
        <v>Temp</v>
      </c>
      <c r="F1" s="99" t="str">
        <f>IFERROR(__xludf.DUMMYFUNCTION("""COMPUTED_VALUE"""),"Days of Effect")</f>
        <v>Days of Effect</v>
      </c>
      <c r="G1" s="99" t="str">
        <f>IFERROR(__xludf.DUMMYFUNCTION("""COMPUTED_VALUE"""),"Cure")</f>
        <v>Cure</v>
      </c>
      <c r="H1" s="49"/>
      <c r="I1" s="49"/>
      <c r="J1" s="49"/>
      <c r="K1" s="49"/>
      <c r="L1" s="49"/>
      <c r="M1" s="49"/>
      <c r="N1" s="49"/>
      <c r="O1" s="49"/>
      <c r="P1" s="49"/>
      <c r="Q1" s="49"/>
      <c r="R1" s="49"/>
      <c r="S1" s="49"/>
      <c r="T1" s="49"/>
      <c r="U1" s="49"/>
      <c r="V1" s="49"/>
      <c r="W1" s="49"/>
      <c r="X1" s="49"/>
    </row>
    <row r="2">
      <c r="A2" s="49" t="str">
        <f>IFERROR(__xludf.DUMMYFUNCTION("""COMPUTED_VALUE"""),"Common Cold")</f>
        <v>Common Cold</v>
      </c>
      <c r="B2" s="50" t="str">
        <f>IFERROR(__xludf.DUMMYFUNCTION("""COMPUTED_VALUE"""),"cough cough.")</f>
        <v>cough cough.</v>
      </c>
      <c r="C2" s="49" t="b">
        <f>IFERROR(__xludf.DUMMYFUNCTION("""COMPUTED_VALUE"""),FALSE)</f>
        <v>0</v>
      </c>
      <c r="D2" s="49" t="b">
        <f>IFERROR(__xludf.DUMMYFUNCTION("""COMPUTED_VALUE"""),FALSE)</f>
        <v>0</v>
      </c>
      <c r="E2" s="49" t="b">
        <f>IFERROR(__xludf.DUMMYFUNCTION("""COMPUTED_VALUE"""),TRUE)</f>
        <v>1</v>
      </c>
      <c r="F2" s="49">
        <f>IFERROR(__xludf.DUMMYFUNCTION("""COMPUTED_VALUE"""),3.0)</f>
        <v>3</v>
      </c>
      <c r="G2" s="49" t="str">
        <f>IFERROR(__xludf.DUMMYFUNCTION("""COMPUTED_VALUE"""),"Bed Rest")</f>
        <v>Bed Rest</v>
      </c>
      <c r="H2" s="49"/>
      <c r="I2" s="49"/>
      <c r="J2" s="49"/>
      <c r="K2" s="49"/>
      <c r="L2" s="49"/>
      <c r="M2" s="49"/>
      <c r="N2" s="49"/>
      <c r="O2" s="49"/>
      <c r="P2" s="49"/>
      <c r="Q2" s="49"/>
      <c r="R2" s="49"/>
      <c r="S2" s="49"/>
      <c r="T2" s="49"/>
      <c r="U2" s="49"/>
      <c r="V2" s="49"/>
      <c r="W2" s="49"/>
      <c r="X2" s="49"/>
    </row>
    <row r="3">
      <c r="A3" s="49" t="str">
        <f>IFERROR(__xludf.DUMMYFUNCTION("""COMPUTED_VALUE"""),"Mindweb Parasitism")</f>
        <v>Mindweb Parasitism</v>
      </c>
      <c r="B3" s="50" t="str">
        <f>IFERROR(__xludf.DUMMYFUNCTION("""COMPUTED_VALUE"""),"A parasitic organism infiltrates the minds of the infected, creating a shared consciousness known as the Mindweb. Those connected experience each other's thoughts and emotions, leading to a loss of individuality. 
When you die anyone in the party with th"&amp;"is same disease will lose their next turn
Each party member not infected by this disease will have a 10% chance of becoming infected during each battle/day of travel.")</f>
        <v>A parasitic organism infiltrates the minds of the infected, creating a shared consciousness known as the Mindweb. Those connected experience each other's thoughts and emotions, leading to a loss of individuality. 
When you die anyone in the party with this same disease will lose their next turn
Each party member not infected by this disease will have a 10% chance of becoming infected during each battle/day of travel.</v>
      </c>
      <c r="C3" s="49" t="b">
        <f>IFERROR(__xludf.DUMMYFUNCTION("""COMPUTED_VALUE"""),FALSE)</f>
        <v>0</v>
      </c>
      <c r="D3" s="49" t="b">
        <f>IFERROR(__xludf.DUMMYFUNCTION("""COMPUTED_VALUE"""),TRUE)</f>
        <v>1</v>
      </c>
      <c r="E3" s="49" t="b">
        <f>IFERROR(__xludf.DUMMYFUNCTION("""COMPUTED_VALUE"""),FALSE)</f>
        <v>0</v>
      </c>
      <c r="F3" s="49">
        <f>IFERROR(__xludf.DUMMYFUNCTION("""COMPUTED_VALUE"""),0.0)</f>
        <v>0</v>
      </c>
      <c r="G3" s="49" t="str">
        <f>IFERROR(__xludf.DUMMYFUNCTION("""COMPUTED_VALUE"""),"Disease Antidote")</f>
        <v>Disease Antidote</v>
      </c>
      <c r="H3" s="49"/>
      <c r="I3" s="49"/>
      <c r="J3" s="49"/>
      <c r="K3" s="49"/>
      <c r="L3" s="49"/>
      <c r="M3" s="49"/>
      <c r="N3" s="49"/>
      <c r="O3" s="49"/>
      <c r="P3" s="49"/>
      <c r="Q3" s="49"/>
      <c r="R3" s="49"/>
      <c r="S3" s="49"/>
      <c r="T3" s="49"/>
      <c r="U3" s="49"/>
      <c r="V3" s="49"/>
      <c r="W3" s="49"/>
      <c r="X3" s="49"/>
    </row>
    <row r="4">
      <c r="A4" s="49" t="str">
        <f>IFERROR(__xludf.DUMMYFUNCTION("""COMPUTED_VALUE"""),"Luminescent Flux")</f>
        <v>Luminescent Flux</v>
      </c>
      <c r="B4" s="50" t="str">
        <f>IFERROR(__xludf.DUMMYFUNCTION("""COMPUTED_VALUE"""),"This mysterious disease causes the skin of the infected to emit a soft, ethereal glow. As the disease progresses, the glow intensifies, attracting creatures and making it difficult for the afflicted to hide.
When affected by this disease an additional 2 "&amp;"mobs will join any battle.")</f>
        <v>This mysterious disease causes the skin of the infected to emit a soft, ethereal glow. As the disease progresses, the glow intensifies, attracting creatures and making it difficult for the afflicted to hide.
When affected by this disease an additional 2 mobs will join any battle.</v>
      </c>
      <c r="C4" s="49" t="b">
        <f>IFERROR(__xludf.DUMMYFUNCTION("""COMPUTED_VALUE"""),FALSE)</f>
        <v>0</v>
      </c>
      <c r="D4" s="49" t="b">
        <f>IFERROR(__xludf.DUMMYFUNCTION("""COMPUTED_VALUE"""),TRUE)</f>
        <v>1</v>
      </c>
      <c r="E4" s="49" t="b">
        <f>IFERROR(__xludf.DUMMYFUNCTION("""COMPUTED_VALUE"""),FALSE)</f>
        <v>0</v>
      </c>
      <c r="F4" s="49">
        <f>IFERROR(__xludf.DUMMYFUNCTION("""COMPUTED_VALUE"""),0.0)</f>
        <v>0</v>
      </c>
      <c r="G4" s="49" t="str">
        <f>IFERROR(__xludf.DUMMYFUNCTION("""COMPUTED_VALUE"""),"Disease Antidote")</f>
        <v>Disease Antidote</v>
      </c>
      <c r="H4" s="49"/>
      <c r="I4" s="49"/>
      <c r="J4" s="49"/>
      <c r="K4" s="49"/>
      <c r="L4" s="49"/>
      <c r="M4" s="49"/>
      <c r="N4" s="49"/>
      <c r="O4" s="49"/>
      <c r="P4" s="49"/>
      <c r="Q4" s="49"/>
      <c r="R4" s="49"/>
      <c r="S4" s="49"/>
      <c r="T4" s="49"/>
      <c r="U4" s="49"/>
      <c r="V4" s="49"/>
      <c r="W4" s="49"/>
      <c r="X4" s="49"/>
    </row>
    <row r="5">
      <c r="A5" s="49" t="str">
        <f>IFERROR(__xludf.DUMMYFUNCTION("""COMPUTED_VALUE"""),"Whispering Rot")</f>
        <v>Whispering Rot</v>
      </c>
      <c r="B5" s="50" t="str">
        <f>IFERROR(__xludf.DUMMYFUNCTION("""COMPUTED_VALUE"""),"Victims of the Whispering Rot hear unsettling whispers that only they can hear. The whispers grow louder and more malicious over time, driving the infected to madness. Those in close proximity may also begin to hear the disturbing voices. 
You will act u"&amp;"nder the effects of Rampage while affected by this disease. 
Each party member not infected by this disease will have a 10% chance of becoming infected during each battle/day of travel.")</f>
        <v>Victims of the Whispering Rot hear unsettling whispers that only they can hear. The whispers grow louder and more malicious over time, driving the infected to madness. Those in close proximity may also begin to hear the disturbing voices. 
You will act under the effects of Rampage while affected by this disease. 
Each party member not infected by this disease will have a 10% chance of becoming infected during each battle/day of travel.</v>
      </c>
      <c r="C5" s="49" t="b">
        <f>IFERROR(__xludf.DUMMYFUNCTION("""COMPUTED_VALUE"""),FALSE)</f>
        <v>0</v>
      </c>
      <c r="D5" s="49" t="b">
        <f>IFERROR(__xludf.DUMMYFUNCTION("""COMPUTED_VALUE"""),FALSE)</f>
        <v>0</v>
      </c>
      <c r="E5" s="49" t="b">
        <f>IFERROR(__xludf.DUMMYFUNCTION("""COMPUTED_VALUE"""),TRUE)</f>
        <v>1</v>
      </c>
      <c r="F5" s="49">
        <f>IFERROR(__xludf.DUMMYFUNCTION("""COMPUTED_VALUE"""),20.0)</f>
        <v>20</v>
      </c>
      <c r="G5" s="49" t="str">
        <f>IFERROR(__xludf.DUMMYFUNCTION("""COMPUTED_VALUE"""),"Traveling/Disease Antidote")</f>
        <v>Traveling/Disease Antidote</v>
      </c>
      <c r="H5" s="49"/>
      <c r="I5" s="49"/>
      <c r="J5" s="49"/>
      <c r="K5" s="49"/>
      <c r="L5" s="49"/>
      <c r="M5" s="49"/>
      <c r="N5" s="49"/>
      <c r="O5" s="49"/>
      <c r="P5" s="49"/>
      <c r="Q5" s="49"/>
      <c r="R5" s="49"/>
      <c r="S5" s="49"/>
      <c r="T5" s="49"/>
      <c r="U5" s="49"/>
      <c r="V5" s="49"/>
      <c r="W5" s="49"/>
      <c r="X5" s="49"/>
    </row>
    <row r="6">
      <c r="A6" s="49" t="str">
        <f>IFERROR(__xludf.DUMMYFUNCTION("""COMPUTED_VALUE"""),"Veilshade Fever")</f>
        <v>Veilshade Fever</v>
      </c>
      <c r="B6" s="50" t="str">
        <f>IFERROR(__xludf.DUMMYFUNCTION("""COMPUTED_VALUE"""),"Infected individuals experience vivid hallucinations of an otherworldly realm. As the fever worsens, these visions become more tangible, with creatures from the alternate dimension crossing over into reality. 
When affected by this disease you will have "&amp;"a 50% chance to target anyone at random with a power/attack.")</f>
        <v>Infected individuals experience vivid hallucinations of an otherworldly realm. As the fever worsens, these visions become more tangible, with creatures from the alternate dimension crossing over into reality. 
When affected by this disease you will have a 50% chance to target anyone at random with a power/attack.</v>
      </c>
      <c r="C6" s="49" t="b">
        <f>IFERROR(__xludf.DUMMYFUNCTION("""COMPUTED_VALUE"""),FALSE)</f>
        <v>0</v>
      </c>
      <c r="D6" s="49" t="b">
        <f>IFERROR(__xludf.DUMMYFUNCTION("""COMPUTED_VALUE"""),FALSE)</f>
        <v>0</v>
      </c>
      <c r="E6" s="49" t="b">
        <f>IFERROR(__xludf.DUMMYFUNCTION("""COMPUTED_VALUE"""),TRUE)</f>
        <v>1</v>
      </c>
      <c r="F6" s="49">
        <f>IFERROR(__xludf.DUMMYFUNCTION("""COMPUTED_VALUE"""),20.0)</f>
        <v>20</v>
      </c>
      <c r="G6" s="49" t="str">
        <f>IFERROR(__xludf.DUMMYFUNCTION("""COMPUTED_VALUE"""),"Traveling/Disease Antidote")</f>
        <v>Traveling/Disease Antidote</v>
      </c>
      <c r="H6" s="49"/>
      <c r="I6" s="49"/>
      <c r="J6" s="49"/>
      <c r="K6" s="49"/>
      <c r="L6" s="49"/>
      <c r="M6" s="49"/>
      <c r="N6" s="49"/>
      <c r="O6" s="49"/>
      <c r="P6" s="49"/>
      <c r="Q6" s="49"/>
      <c r="R6" s="49"/>
      <c r="S6" s="49"/>
      <c r="T6" s="49"/>
      <c r="U6" s="49"/>
      <c r="V6" s="49"/>
      <c r="W6" s="49"/>
      <c r="X6" s="49"/>
    </row>
    <row r="7">
      <c r="A7" s="49" t="str">
        <f>IFERROR(__xludf.DUMMYFUNCTION("""COMPUTED_VALUE"""),"Ephemeral Petrification")</f>
        <v>Ephemeral Petrification</v>
      </c>
      <c r="B7" s="50" t="str">
        <f>IFERROR(__xludf.DUMMYFUNCTION("""COMPUTED_VALUE"""),"Victims slowly turn to stone, starting from their extremities and working inward. 
When affected by this disease you will have a 25% chance to lose your turn during each of your turns each battle")</f>
        <v>Victims slowly turn to stone, starting from their extremities and working inward. 
When affected by this disease you will have a 25% chance to lose your turn during each of your turns each battle</v>
      </c>
      <c r="C7" s="49" t="b">
        <f>IFERROR(__xludf.DUMMYFUNCTION("""COMPUTED_VALUE"""),FALSE)</f>
        <v>0</v>
      </c>
      <c r="D7" s="49" t="b">
        <f>IFERROR(__xludf.DUMMYFUNCTION("""COMPUTED_VALUE"""),FALSE)</f>
        <v>0</v>
      </c>
      <c r="E7" s="49" t="b">
        <f>IFERROR(__xludf.DUMMYFUNCTION("""COMPUTED_VALUE"""),TRUE)</f>
        <v>1</v>
      </c>
      <c r="F7" s="49">
        <f>IFERROR(__xludf.DUMMYFUNCTION("""COMPUTED_VALUE"""),20.0)</f>
        <v>20</v>
      </c>
      <c r="G7" s="49" t="str">
        <f>IFERROR(__xludf.DUMMYFUNCTION("""COMPUTED_VALUE"""),"Traveling/Disease Antidote")</f>
        <v>Traveling/Disease Antidote</v>
      </c>
      <c r="H7" s="49"/>
      <c r="I7" s="49"/>
      <c r="J7" s="49"/>
      <c r="K7" s="49"/>
      <c r="L7" s="49"/>
      <c r="M7" s="49"/>
      <c r="N7" s="49"/>
      <c r="O7" s="49"/>
      <c r="P7" s="49"/>
      <c r="Q7" s="49"/>
      <c r="R7" s="49"/>
      <c r="S7" s="49"/>
      <c r="T7" s="49"/>
      <c r="U7" s="49"/>
      <c r="V7" s="49"/>
      <c r="W7" s="49"/>
      <c r="X7" s="49"/>
    </row>
    <row r="8">
      <c r="A8" s="49" t="str">
        <f>IFERROR(__xludf.DUMMYFUNCTION("""COMPUTED_VALUE"""),"Spectral Withering")</f>
        <v>Spectral Withering</v>
      </c>
      <c r="B8" s="50" t="str">
        <f>IFERROR(__xludf.DUMMYFUNCTION("""COMPUTED_VALUE"""),"The infected phase in and out of the material plane, making them partially incorporeal. This spectral existence causes physical decay, as their bodies struggle to maintain a solid form.
When affected by this disease you will be under the effects of Incor"&amp;"poreal ∞
If this disease is not cured by the end of it's effect you will gain the Undead Ability permanently.")</f>
        <v>The infected phase in and out of the material plane, making them partially incorporeal. This spectral existence causes physical decay, as their bodies struggle to maintain a solid form.
When affected by this disease you will be under the effects of Incorporeal ∞
If this disease is not cured by the end of it's effect you will gain the Undead Ability permanently.</v>
      </c>
      <c r="C8" s="49" t="b">
        <f>IFERROR(__xludf.DUMMYFUNCTION("""COMPUTED_VALUE"""),FALSE)</f>
        <v>0</v>
      </c>
      <c r="D8" s="49" t="b">
        <f>IFERROR(__xludf.DUMMYFUNCTION("""COMPUTED_VALUE"""),FALSE)</f>
        <v>0</v>
      </c>
      <c r="E8" s="49" t="b">
        <f>IFERROR(__xludf.DUMMYFUNCTION("""COMPUTED_VALUE"""),TRUE)</f>
        <v>1</v>
      </c>
      <c r="F8" s="49">
        <f>IFERROR(__xludf.DUMMYFUNCTION("""COMPUTED_VALUE"""),50.0)</f>
        <v>50</v>
      </c>
      <c r="G8" s="49" t="str">
        <f>IFERROR(__xludf.DUMMYFUNCTION("""COMPUTED_VALUE"""),"Traveling/Disease Antidote")</f>
        <v>Traveling/Disease Antidote</v>
      </c>
      <c r="H8" s="49"/>
      <c r="I8" s="49"/>
      <c r="J8" s="49"/>
      <c r="K8" s="49"/>
      <c r="L8" s="49"/>
      <c r="M8" s="49"/>
      <c r="N8" s="49"/>
      <c r="O8" s="49"/>
      <c r="P8" s="49"/>
      <c r="Q8" s="49"/>
      <c r="R8" s="49"/>
      <c r="S8" s="49"/>
      <c r="T8" s="49"/>
      <c r="U8" s="49"/>
      <c r="V8" s="49"/>
      <c r="W8" s="49"/>
      <c r="X8" s="49"/>
    </row>
    <row r="9">
      <c r="A9" s="49" t="str">
        <f>IFERROR(__xludf.DUMMYFUNCTION("""COMPUTED_VALUE"""),"Blazing Plague")</f>
        <v>Blazing Plague</v>
      </c>
      <c r="B9" s="50" t="str">
        <f>IFERROR(__xludf.DUMMYFUNCTION("""COMPUTED_VALUE"""),"A feverish sickness that causes the infected to burst into flames periodically. The flames do not harm the individual but can ignite nearby objects. The disease is highly contagious through contact with the burning embers.
Anyone affected by this disease"&amp;" cannot be immune to Fire and will take X2 additional Fire damage.
40% chance to infect a random party member during each day of travel. ")</f>
        <v>A feverish sickness that causes the infected to burst into flames periodically. The flames do not harm the individual but can ignite nearby objects. The disease is highly contagious through contact with the burning embers.
Anyone affected by this disease cannot be immune to Fire and will take X2 additional Fire damage.
40% chance to infect a random party member during each day of travel. </v>
      </c>
      <c r="C9" s="49" t="b">
        <f>IFERROR(__xludf.DUMMYFUNCTION("""COMPUTED_VALUE"""),FALSE)</f>
        <v>0</v>
      </c>
      <c r="D9" s="49" t="b">
        <f>IFERROR(__xludf.DUMMYFUNCTION("""COMPUTED_VALUE"""),FALSE)</f>
        <v>0</v>
      </c>
      <c r="E9" s="49" t="b">
        <f>IFERROR(__xludf.DUMMYFUNCTION("""COMPUTED_VALUE"""),TRUE)</f>
        <v>1</v>
      </c>
      <c r="F9" s="49">
        <f>IFERROR(__xludf.DUMMYFUNCTION("""COMPUTED_VALUE"""),40.0)</f>
        <v>40</v>
      </c>
      <c r="G9" s="49" t="str">
        <f>IFERROR(__xludf.DUMMYFUNCTION("""COMPUTED_VALUE"""),"Traveling/Disease Antidote")</f>
        <v>Traveling/Disease Antidote</v>
      </c>
      <c r="H9" s="49"/>
      <c r="I9" s="49"/>
      <c r="J9" s="49"/>
      <c r="K9" s="49"/>
      <c r="L9" s="49"/>
      <c r="M9" s="49"/>
      <c r="N9" s="49"/>
      <c r="O9" s="49"/>
      <c r="P9" s="49"/>
      <c r="Q9" s="49"/>
      <c r="R9" s="49"/>
      <c r="S9" s="49"/>
      <c r="T9" s="49"/>
      <c r="U9" s="49"/>
      <c r="V9" s="49"/>
      <c r="W9" s="49"/>
      <c r="X9" s="49"/>
    </row>
    <row r="10">
      <c r="A10" s="49" t="str">
        <f>IFERROR(__xludf.DUMMYFUNCTION("""COMPUTED_VALUE"""),"Abyssal Resonance")</f>
        <v>Abyssal Resonance</v>
      </c>
      <c r="B10" s="50" t="str">
        <f>IFERROR(__xludf.DUMMYFUNCTION("""COMPUTED_VALUE"""),"The infected carry an otherworldly aura that attracts malevolent entities from the abyss. These entities seek to possess or consume the infected, leading to dangerous encounters with demonic forces.
25% chance an undead mob will engage you in battle duri"&amp;"ng each day of travel whether or not the day is good or bad.")</f>
        <v>The infected carry an otherworldly aura that attracts malevolent entities from the abyss. These entities seek to possess or consume the infected, leading to dangerous encounters with demonic forces.
25% chance an undead mob will engage you in battle during each day of travel whether or not the day is good or bad.</v>
      </c>
      <c r="C10" s="49" t="b">
        <f>IFERROR(__xludf.DUMMYFUNCTION("""COMPUTED_VALUE"""),FALSE)</f>
        <v>0</v>
      </c>
      <c r="D10" s="49" t="b">
        <f>IFERROR(__xludf.DUMMYFUNCTION("""COMPUTED_VALUE"""),TRUE)</f>
        <v>1</v>
      </c>
      <c r="E10" s="49" t="b">
        <f>IFERROR(__xludf.DUMMYFUNCTION("""COMPUTED_VALUE"""),FALSE)</f>
        <v>0</v>
      </c>
      <c r="F10" s="49">
        <f>IFERROR(__xludf.DUMMYFUNCTION("""COMPUTED_VALUE"""),0.0)</f>
        <v>0</v>
      </c>
      <c r="G10" s="49" t="str">
        <f>IFERROR(__xludf.DUMMYFUNCTION("""COMPUTED_VALUE"""),"Disease Antidote")</f>
        <v>Disease Antidote</v>
      </c>
      <c r="H10" s="49"/>
      <c r="I10" s="49"/>
      <c r="J10" s="49"/>
      <c r="K10" s="49"/>
      <c r="L10" s="49"/>
      <c r="M10" s="49"/>
      <c r="N10" s="49"/>
      <c r="O10" s="49"/>
      <c r="P10" s="49"/>
      <c r="Q10" s="49"/>
      <c r="R10" s="49"/>
      <c r="S10" s="49"/>
      <c r="T10" s="49"/>
      <c r="U10" s="49"/>
      <c r="V10" s="49"/>
      <c r="W10" s="49"/>
      <c r="X10" s="49"/>
    </row>
    <row r="11">
      <c r="A11" s="49" t="str">
        <f>IFERROR(__xludf.DUMMYFUNCTION("""COMPUTED_VALUE"""),"Draconic Venomflux")</f>
        <v>Draconic Venomflux</v>
      </c>
      <c r="B11" s="50" t="str">
        <f>IFERROR(__xludf.DUMMYFUNCTION("""COMPUTED_VALUE"""),"The disease manifests in various stages, starting with subtle symptoms such as mild fever and disorientation.
Victims experience the development of venomous lesions on their skin, resembling the scales of a dragon. The venom within these scales can be tr"&amp;"ansmitted through touch, leading to the infection of others. In its advanced stages, Draconic Venomflux can induce hallucinations, making the line between reality and illusion blurred for the afflicted.
This desease spreads to anyone that buffs you.
25%"&amp;" chance you attack a random party member on each of your turns during battle.")</f>
        <v>The disease manifests in various stages, starting with subtle symptoms such as mild fever and disorientation.
Victims experience the development of venomous lesions on their skin, resembling the scales of a dragon. The venom within these scales can be transmitted through touch, leading to the infection of others. In its advanced stages, Draconic Venomflux can induce hallucinations, making the line between reality and illusion blurred for the afflicted.
This desease spreads to anyone that buffs you.
25% chance you attack a random party member on each of your turns during battle.</v>
      </c>
      <c r="C11" s="49" t="b">
        <f>IFERROR(__xludf.DUMMYFUNCTION("""COMPUTED_VALUE"""),FALSE)</f>
        <v>0</v>
      </c>
      <c r="D11" s="49" t="b">
        <f>IFERROR(__xludf.DUMMYFUNCTION("""COMPUTED_VALUE"""),TRUE)</f>
        <v>1</v>
      </c>
      <c r="E11" s="49" t="b">
        <f>IFERROR(__xludf.DUMMYFUNCTION("""COMPUTED_VALUE"""),FALSE)</f>
        <v>0</v>
      </c>
      <c r="F11" s="49">
        <f>IFERROR(__xludf.DUMMYFUNCTION("""COMPUTED_VALUE"""),0.0)</f>
        <v>0</v>
      </c>
      <c r="G11" s="49" t="str">
        <f>IFERROR(__xludf.DUMMYFUNCTION("""COMPUTED_VALUE"""),"Disease Antidote")</f>
        <v>Disease Antidote</v>
      </c>
      <c r="H11" s="49"/>
      <c r="I11" s="49"/>
      <c r="J11" s="49"/>
      <c r="K11" s="49"/>
      <c r="L11" s="49"/>
      <c r="M11" s="49"/>
      <c r="N11" s="49"/>
      <c r="O11" s="49"/>
      <c r="P11" s="49"/>
      <c r="Q11" s="49"/>
      <c r="R11" s="49"/>
      <c r="S11" s="49"/>
      <c r="T11" s="49"/>
      <c r="U11" s="49"/>
      <c r="V11" s="49"/>
      <c r="W11" s="49"/>
      <c r="X11" s="49"/>
    </row>
    <row r="12">
      <c r="A12" s="49"/>
      <c r="B12" s="50"/>
      <c r="C12" s="49"/>
      <c r="D12" s="49"/>
      <c r="E12" s="49"/>
      <c r="F12" s="49"/>
      <c r="G12" s="49"/>
      <c r="H12" s="49"/>
      <c r="I12" s="49"/>
      <c r="J12" s="49"/>
      <c r="K12" s="49"/>
      <c r="L12" s="49"/>
      <c r="M12" s="49"/>
      <c r="N12" s="49"/>
      <c r="O12" s="49"/>
      <c r="P12" s="49"/>
      <c r="Q12" s="49"/>
      <c r="R12" s="49"/>
      <c r="S12" s="49"/>
      <c r="T12" s="49"/>
      <c r="U12" s="49"/>
      <c r="V12" s="49"/>
      <c r="W12" s="49"/>
      <c r="X12" s="49"/>
    </row>
    <row r="13">
      <c r="A13" s="49"/>
      <c r="B13" s="50"/>
      <c r="C13" s="49" t="b">
        <f>IFERROR(__xludf.DUMMYFUNCTION("""COMPUTED_VALUE"""),FALSE)</f>
        <v>0</v>
      </c>
      <c r="D13" s="49" t="b">
        <f>IFERROR(__xludf.DUMMYFUNCTION("""COMPUTED_VALUE"""),FALSE)</f>
        <v>0</v>
      </c>
      <c r="E13" s="49" t="b">
        <f>IFERROR(__xludf.DUMMYFUNCTION("""COMPUTED_VALUE"""),FALSE)</f>
        <v>0</v>
      </c>
      <c r="F13" s="49"/>
      <c r="G13" s="49"/>
      <c r="H13" s="49"/>
      <c r="I13" s="49"/>
      <c r="J13" s="49"/>
      <c r="K13" s="49"/>
      <c r="L13" s="49"/>
      <c r="M13" s="49"/>
      <c r="N13" s="49"/>
      <c r="O13" s="49"/>
      <c r="P13" s="49"/>
      <c r="Q13" s="49"/>
      <c r="R13" s="49"/>
      <c r="S13" s="49"/>
      <c r="T13" s="49"/>
      <c r="U13" s="49"/>
      <c r="V13" s="49"/>
      <c r="W13" s="49"/>
      <c r="X13" s="49"/>
    </row>
    <row r="14">
      <c r="A14" s="49"/>
      <c r="B14" s="50"/>
      <c r="C14" s="49" t="b">
        <f>IFERROR(__xludf.DUMMYFUNCTION("""COMPUTED_VALUE"""),FALSE)</f>
        <v>0</v>
      </c>
      <c r="D14" s="49" t="b">
        <f>IFERROR(__xludf.DUMMYFUNCTION("""COMPUTED_VALUE"""),FALSE)</f>
        <v>0</v>
      </c>
      <c r="E14" s="49" t="b">
        <f>IFERROR(__xludf.DUMMYFUNCTION("""COMPUTED_VALUE"""),FALSE)</f>
        <v>0</v>
      </c>
      <c r="F14" s="49"/>
      <c r="G14" s="49"/>
      <c r="H14" s="49"/>
      <c r="I14" s="49"/>
      <c r="J14" s="49"/>
      <c r="K14" s="49"/>
      <c r="L14" s="49"/>
      <c r="M14" s="49"/>
      <c r="N14" s="49"/>
      <c r="O14" s="49"/>
      <c r="P14" s="49"/>
      <c r="Q14" s="49"/>
      <c r="R14" s="49"/>
      <c r="S14" s="49"/>
      <c r="T14" s="49"/>
      <c r="U14" s="49"/>
      <c r="V14" s="49"/>
      <c r="W14" s="49"/>
      <c r="X14" s="49"/>
    </row>
    <row r="15">
      <c r="A15" s="49"/>
      <c r="B15" s="50"/>
      <c r="C15" s="49" t="b">
        <f>IFERROR(__xludf.DUMMYFUNCTION("""COMPUTED_VALUE"""),FALSE)</f>
        <v>0</v>
      </c>
      <c r="D15" s="49" t="b">
        <f>IFERROR(__xludf.DUMMYFUNCTION("""COMPUTED_VALUE"""),FALSE)</f>
        <v>0</v>
      </c>
      <c r="E15" s="49" t="b">
        <f>IFERROR(__xludf.DUMMYFUNCTION("""COMPUTED_VALUE"""),FALSE)</f>
        <v>0</v>
      </c>
      <c r="F15" s="49"/>
      <c r="G15" s="49"/>
      <c r="H15" s="49"/>
      <c r="I15" s="49"/>
      <c r="J15" s="49"/>
      <c r="K15" s="49"/>
      <c r="L15" s="49"/>
      <c r="M15" s="49"/>
      <c r="N15" s="49"/>
      <c r="O15" s="49"/>
      <c r="P15" s="49"/>
      <c r="Q15" s="49"/>
      <c r="R15" s="49"/>
      <c r="S15" s="49"/>
      <c r="T15" s="49"/>
      <c r="U15" s="49"/>
      <c r="V15" s="49"/>
      <c r="W15" s="49"/>
      <c r="X15" s="49"/>
    </row>
    <row r="16">
      <c r="A16" s="49"/>
      <c r="B16" s="50"/>
      <c r="C16" s="49" t="b">
        <f>IFERROR(__xludf.DUMMYFUNCTION("""COMPUTED_VALUE"""),FALSE)</f>
        <v>0</v>
      </c>
      <c r="D16" s="49" t="b">
        <f>IFERROR(__xludf.DUMMYFUNCTION("""COMPUTED_VALUE"""),FALSE)</f>
        <v>0</v>
      </c>
      <c r="E16" s="49" t="b">
        <f>IFERROR(__xludf.DUMMYFUNCTION("""COMPUTED_VALUE"""),FALSE)</f>
        <v>0</v>
      </c>
      <c r="F16" s="49"/>
      <c r="G16" s="49"/>
      <c r="H16" s="49"/>
      <c r="I16" s="49"/>
      <c r="J16" s="49"/>
      <c r="K16" s="49"/>
      <c r="L16" s="49"/>
      <c r="M16" s="49"/>
      <c r="N16" s="49"/>
      <c r="O16" s="49"/>
      <c r="P16" s="49"/>
      <c r="Q16" s="49"/>
      <c r="R16" s="49"/>
      <c r="S16" s="49"/>
      <c r="T16" s="49"/>
      <c r="U16" s="49"/>
      <c r="V16" s="49"/>
      <c r="W16" s="49"/>
      <c r="X16" s="49"/>
    </row>
    <row r="17">
      <c r="A17" s="49"/>
      <c r="B17" s="50"/>
      <c r="C17" s="49" t="b">
        <f>IFERROR(__xludf.DUMMYFUNCTION("""COMPUTED_VALUE"""),FALSE)</f>
        <v>0</v>
      </c>
      <c r="D17" s="49" t="b">
        <f>IFERROR(__xludf.DUMMYFUNCTION("""COMPUTED_VALUE"""),FALSE)</f>
        <v>0</v>
      </c>
      <c r="E17" s="49" t="b">
        <f>IFERROR(__xludf.DUMMYFUNCTION("""COMPUTED_VALUE"""),FALSE)</f>
        <v>0</v>
      </c>
      <c r="F17" s="49"/>
      <c r="G17" s="49"/>
      <c r="H17" s="49"/>
      <c r="I17" s="49"/>
      <c r="J17" s="49"/>
      <c r="K17" s="49"/>
      <c r="L17" s="49"/>
      <c r="M17" s="49"/>
      <c r="N17" s="49"/>
      <c r="O17" s="49"/>
      <c r="P17" s="49"/>
      <c r="Q17" s="49"/>
      <c r="R17" s="49"/>
      <c r="S17" s="49"/>
      <c r="T17" s="49"/>
      <c r="U17" s="49"/>
      <c r="V17" s="49"/>
      <c r="W17" s="49"/>
      <c r="X17" s="49"/>
    </row>
    <row r="18">
      <c r="A18" s="49"/>
      <c r="B18" s="50"/>
      <c r="C18" s="49" t="b">
        <f>IFERROR(__xludf.DUMMYFUNCTION("""COMPUTED_VALUE"""),FALSE)</f>
        <v>0</v>
      </c>
      <c r="D18" s="49" t="b">
        <f>IFERROR(__xludf.DUMMYFUNCTION("""COMPUTED_VALUE"""),FALSE)</f>
        <v>0</v>
      </c>
      <c r="E18" s="49" t="b">
        <f>IFERROR(__xludf.DUMMYFUNCTION("""COMPUTED_VALUE"""),FALSE)</f>
        <v>0</v>
      </c>
      <c r="F18" s="49"/>
      <c r="G18" s="49"/>
      <c r="H18" s="49"/>
      <c r="I18" s="49"/>
      <c r="J18" s="49"/>
      <c r="K18" s="49"/>
      <c r="L18" s="49"/>
      <c r="M18" s="49"/>
      <c r="N18" s="49"/>
      <c r="O18" s="49"/>
      <c r="P18" s="49"/>
      <c r="Q18" s="49"/>
      <c r="R18" s="49"/>
      <c r="S18" s="49"/>
      <c r="T18" s="49"/>
      <c r="U18" s="49"/>
      <c r="V18" s="49"/>
      <c r="W18" s="49"/>
      <c r="X18" s="49"/>
    </row>
    <row r="19">
      <c r="A19" s="49"/>
      <c r="B19" s="50"/>
      <c r="C19" s="49" t="b">
        <f>IFERROR(__xludf.DUMMYFUNCTION("""COMPUTED_VALUE"""),FALSE)</f>
        <v>0</v>
      </c>
      <c r="D19" s="49" t="b">
        <f>IFERROR(__xludf.DUMMYFUNCTION("""COMPUTED_VALUE"""),FALSE)</f>
        <v>0</v>
      </c>
      <c r="E19" s="49" t="b">
        <f>IFERROR(__xludf.DUMMYFUNCTION("""COMPUTED_VALUE"""),FALSE)</f>
        <v>0</v>
      </c>
      <c r="F19" s="49"/>
      <c r="G19" s="49"/>
      <c r="H19" s="49"/>
      <c r="I19" s="49"/>
      <c r="J19" s="49"/>
      <c r="K19" s="49"/>
      <c r="L19" s="49"/>
      <c r="M19" s="49"/>
      <c r="N19" s="49"/>
      <c r="O19" s="49"/>
      <c r="P19" s="49"/>
      <c r="Q19" s="49"/>
      <c r="R19" s="49"/>
      <c r="S19" s="49"/>
      <c r="T19" s="49"/>
      <c r="U19" s="49"/>
      <c r="V19" s="49"/>
      <c r="W19" s="49"/>
      <c r="X19" s="49"/>
    </row>
    <row r="20">
      <c r="A20" s="49"/>
      <c r="B20" s="50"/>
      <c r="C20" s="49" t="b">
        <f>IFERROR(__xludf.DUMMYFUNCTION("""COMPUTED_VALUE"""),FALSE)</f>
        <v>0</v>
      </c>
      <c r="D20" s="49" t="b">
        <f>IFERROR(__xludf.DUMMYFUNCTION("""COMPUTED_VALUE"""),FALSE)</f>
        <v>0</v>
      </c>
      <c r="E20" s="49" t="b">
        <f>IFERROR(__xludf.DUMMYFUNCTION("""COMPUTED_VALUE"""),FALSE)</f>
        <v>0</v>
      </c>
      <c r="F20" s="49"/>
      <c r="G20" s="49"/>
      <c r="H20" s="49"/>
      <c r="I20" s="49"/>
      <c r="J20" s="49"/>
      <c r="K20" s="49"/>
      <c r="L20" s="49"/>
      <c r="M20" s="49"/>
      <c r="N20" s="49"/>
      <c r="O20" s="49"/>
      <c r="P20" s="49"/>
      <c r="Q20" s="49"/>
      <c r="R20" s="49"/>
      <c r="S20" s="49"/>
      <c r="T20" s="49"/>
      <c r="U20" s="49"/>
      <c r="V20" s="49"/>
      <c r="W20" s="49"/>
      <c r="X20" s="49"/>
    </row>
    <row r="21">
      <c r="A21" s="49"/>
      <c r="B21" s="50"/>
      <c r="C21" s="49" t="b">
        <f>IFERROR(__xludf.DUMMYFUNCTION("""COMPUTED_VALUE"""),FALSE)</f>
        <v>0</v>
      </c>
      <c r="D21" s="49" t="b">
        <f>IFERROR(__xludf.DUMMYFUNCTION("""COMPUTED_VALUE"""),FALSE)</f>
        <v>0</v>
      </c>
      <c r="E21" s="49" t="b">
        <f>IFERROR(__xludf.DUMMYFUNCTION("""COMPUTED_VALUE"""),FALSE)</f>
        <v>0</v>
      </c>
      <c r="F21" s="49"/>
      <c r="G21" s="49"/>
      <c r="H21" s="49"/>
      <c r="I21" s="49"/>
      <c r="J21" s="49"/>
      <c r="K21" s="49"/>
      <c r="L21" s="49"/>
      <c r="M21" s="49"/>
      <c r="N21" s="49"/>
      <c r="O21" s="49"/>
      <c r="P21" s="49"/>
      <c r="Q21" s="49"/>
      <c r="R21" s="49"/>
      <c r="S21" s="49"/>
      <c r="T21" s="49"/>
      <c r="U21" s="49"/>
      <c r="V21" s="49"/>
      <c r="W21" s="49"/>
      <c r="X21" s="49"/>
    </row>
    <row r="22">
      <c r="A22" s="49"/>
      <c r="B22" s="50"/>
      <c r="C22" s="49" t="b">
        <f>IFERROR(__xludf.DUMMYFUNCTION("""COMPUTED_VALUE"""),FALSE)</f>
        <v>0</v>
      </c>
      <c r="D22" s="49" t="b">
        <f>IFERROR(__xludf.DUMMYFUNCTION("""COMPUTED_VALUE"""),FALSE)</f>
        <v>0</v>
      </c>
      <c r="E22" s="49" t="b">
        <f>IFERROR(__xludf.DUMMYFUNCTION("""COMPUTED_VALUE"""),FALSE)</f>
        <v>0</v>
      </c>
      <c r="F22" s="49"/>
      <c r="G22" s="49"/>
      <c r="H22" s="49"/>
      <c r="I22" s="49"/>
      <c r="J22" s="49"/>
      <c r="K22" s="49"/>
      <c r="L22" s="49"/>
      <c r="M22" s="49"/>
      <c r="N22" s="49"/>
      <c r="O22" s="49"/>
      <c r="P22" s="49"/>
      <c r="Q22" s="49"/>
      <c r="R22" s="49"/>
      <c r="S22" s="49"/>
      <c r="T22" s="49"/>
      <c r="U22" s="49"/>
      <c r="V22" s="49"/>
      <c r="W22" s="49"/>
      <c r="X22" s="49"/>
    </row>
    <row r="23">
      <c r="A23" s="49"/>
      <c r="B23" s="50"/>
      <c r="C23" s="49" t="b">
        <f>IFERROR(__xludf.DUMMYFUNCTION("""COMPUTED_VALUE"""),FALSE)</f>
        <v>0</v>
      </c>
      <c r="D23" s="49" t="b">
        <f>IFERROR(__xludf.DUMMYFUNCTION("""COMPUTED_VALUE"""),FALSE)</f>
        <v>0</v>
      </c>
      <c r="E23" s="49" t="b">
        <f>IFERROR(__xludf.DUMMYFUNCTION("""COMPUTED_VALUE"""),FALSE)</f>
        <v>0</v>
      </c>
      <c r="F23" s="49"/>
      <c r="G23" s="49"/>
      <c r="H23" s="49"/>
      <c r="I23" s="49"/>
      <c r="J23" s="49"/>
      <c r="K23" s="49"/>
      <c r="L23" s="49"/>
      <c r="M23" s="49"/>
      <c r="N23" s="49"/>
      <c r="O23" s="49"/>
      <c r="P23" s="49"/>
      <c r="Q23" s="49"/>
      <c r="R23" s="49"/>
      <c r="S23" s="49"/>
      <c r="T23" s="49"/>
      <c r="U23" s="49"/>
      <c r="V23" s="49"/>
      <c r="W23" s="49"/>
      <c r="X23" s="49"/>
    </row>
    <row r="24">
      <c r="A24" s="49"/>
      <c r="B24" s="50"/>
      <c r="C24" s="49" t="b">
        <f>IFERROR(__xludf.DUMMYFUNCTION("""COMPUTED_VALUE"""),FALSE)</f>
        <v>0</v>
      </c>
      <c r="D24" s="49" t="b">
        <f>IFERROR(__xludf.DUMMYFUNCTION("""COMPUTED_VALUE"""),FALSE)</f>
        <v>0</v>
      </c>
      <c r="E24" s="49" t="b">
        <f>IFERROR(__xludf.DUMMYFUNCTION("""COMPUTED_VALUE"""),FALSE)</f>
        <v>0</v>
      </c>
      <c r="F24" s="49"/>
      <c r="G24" s="49"/>
      <c r="H24" s="49"/>
      <c r="I24" s="49"/>
      <c r="J24" s="49"/>
      <c r="K24" s="49"/>
      <c r="L24" s="49"/>
      <c r="M24" s="49"/>
      <c r="N24" s="49"/>
      <c r="O24" s="49"/>
      <c r="P24" s="49"/>
      <c r="Q24" s="49"/>
      <c r="R24" s="49"/>
      <c r="S24" s="49"/>
      <c r="T24" s="49"/>
      <c r="U24" s="49"/>
      <c r="V24" s="49"/>
      <c r="W24" s="49"/>
      <c r="X24" s="49"/>
    </row>
    <row r="25">
      <c r="A25" s="49"/>
      <c r="B25" s="50"/>
      <c r="C25" s="49" t="b">
        <f>IFERROR(__xludf.DUMMYFUNCTION("""COMPUTED_VALUE"""),FALSE)</f>
        <v>0</v>
      </c>
      <c r="D25" s="49" t="b">
        <f>IFERROR(__xludf.DUMMYFUNCTION("""COMPUTED_VALUE"""),FALSE)</f>
        <v>0</v>
      </c>
      <c r="E25" s="49" t="b">
        <f>IFERROR(__xludf.DUMMYFUNCTION("""COMPUTED_VALUE"""),FALSE)</f>
        <v>0</v>
      </c>
      <c r="F25" s="49"/>
      <c r="G25" s="49"/>
      <c r="H25" s="49"/>
      <c r="I25" s="49"/>
      <c r="J25" s="49"/>
      <c r="K25" s="49"/>
      <c r="L25" s="49"/>
      <c r="M25" s="49"/>
      <c r="N25" s="49"/>
      <c r="O25" s="49"/>
      <c r="P25" s="49"/>
      <c r="Q25" s="49"/>
      <c r="R25" s="49"/>
      <c r="S25" s="49"/>
      <c r="T25" s="49"/>
      <c r="U25" s="49"/>
      <c r="V25" s="49"/>
      <c r="W25" s="49"/>
      <c r="X25" s="49"/>
    </row>
    <row r="26">
      <c r="A26" s="49"/>
      <c r="B26" s="50"/>
      <c r="C26" s="49" t="b">
        <f>IFERROR(__xludf.DUMMYFUNCTION("""COMPUTED_VALUE"""),FALSE)</f>
        <v>0</v>
      </c>
      <c r="D26" s="49" t="b">
        <f>IFERROR(__xludf.DUMMYFUNCTION("""COMPUTED_VALUE"""),FALSE)</f>
        <v>0</v>
      </c>
      <c r="E26" s="49" t="b">
        <f>IFERROR(__xludf.DUMMYFUNCTION("""COMPUTED_VALUE"""),FALSE)</f>
        <v>0</v>
      </c>
      <c r="F26" s="49"/>
      <c r="G26" s="49"/>
      <c r="H26" s="49"/>
      <c r="I26" s="49"/>
      <c r="J26" s="49"/>
      <c r="K26" s="49"/>
      <c r="L26" s="49"/>
      <c r="M26" s="49"/>
      <c r="N26" s="49"/>
      <c r="O26" s="49"/>
      <c r="P26" s="49"/>
      <c r="Q26" s="49"/>
      <c r="R26" s="49"/>
      <c r="S26" s="49"/>
      <c r="T26" s="49"/>
      <c r="U26" s="49"/>
      <c r="V26" s="49"/>
      <c r="W26" s="49"/>
      <c r="X26" s="49"/>
    </row>
    <row r="27">
      <c r="A27" s="49"/>
      <c r="B27" s="50"/>
      <c r="C27" s="49" t="b">
        <f>IFERROR(__xludf.DUMMYFUNCTION("""COMPUTED_VALUE"""),FALSE)</f>
        <v>0</v>
      </c>
      <c r="D27" s="49" t="b">
        <f>IFERROR(__xludf.DUMMYFUNCTION("""COMPUTED_VALUE"""),FALSE)</f>
        <v>0</v>
      </c>
      <c r="E27" s="49" t="b">
        <f>IFERROR(__xludf.DUMMYFUNCTION("""COMPUTED_VALUE"""),FALSE)</f>
        <v>0</v>
      </c>
      <c r="F27" s="49"/>
      <c r="G27" s="49"/>
      <c r="H27" s="49"/>
      <c r="I27" s="49"/>
      <c r="J27" s="49"/>
      <c r="K27" s="49"/>
      <c r="L27" s="49"/>
      <c r="M27" s="49"/>
      <c r="N27" s="49"/>
      <c r="O27" s="49"/>
      <c r="P27" s="49"/>
      <c r="Q27" s="49"/>
      <c r="R27" s="49"/>
      <c r="S27" s="49"/>
      <c r="T27" s="49"/>
      <c r="U27" s="49"/>
      <c r="V27" s="49"/>
      <c r="W27" s="49"/>
      <c r="X27" s="49"/>
    </row>
    <row r="28">
      <c r="A28" s="49"/>
      <c r="B28" s="50"/>
      <c r="C28" s="49" t="b">
        <f>IFERROR(__xludf.DUMMYFUNCTION("""COMPUTED_VALUE"""),FALSE)</f>
        <v>0</v>
      </c>
      <c r="D28" s="49" t="b">
        <f>IFERROR(__xludf.DUMMYFUNCTION("""COMPUTED_VALUE"""),FALSE)</f>
        <v>0</v>
      </c>
      <c r="E28" s="49" t="b">
        <f>IFERROR(__xludf.DUMMYFUNCTION("""COMPUTED_VALUE"""),FALSE)</f>
        <v>0</v>
      </c>
      <c r="F28" s="49"/>
      <c r="G28" s="49"/>
      <c r="H28" s="49"/>
      <c r="I28" s="49"/>
      <c r="J28" s="49"/>
      <c r="K28" s="49"/>
      <c r="L28" s="49"/>
      <c r="M28" s="49"/>
      <c r="N28" s="49"/>
      <c r="O28" s="49"/>
      <c r="P28" s="49"/>
      <c r="Q28" s="49"/>
      <c r="R28" s="49"/>
      <c r="S28" s="49"/>
      <c r="T28" s="49"/>
      <c r="U28" s="49"/>
      <c r="V28" s="49"/>
      <c r="W28" s="49"/>
      <c r="X28" s="49"/>
    </row>
    <row r="29">
      <c r="A29" s="49"/>
      <c r="B29" s="50"/>
      <c r="C29" s="49" t="b">
        <f>IFERROR(__xludf.DUMMYFUNCTION("""COMPUTED_VALUE"""),FALSE)</f>
        <v>0</v>
      </c>
      <c r="D29" s="49" t="b">
        <f>IFERROR(__xludf.DUMMYFUNCTION("""COMPUTED_VALUE"""),FALSE)</f>
        <v>0</v>
      </c>
      <c r="E29" s="49" t="b">
        <f>IFERROR(__xludf.DUMMYFUNCTION("""COMPUTED_VALUE"""),FALSE)</f>
        <v>0</v>
      </c>
      <c r="F29" s="49"/>
      <c r="G29" s="49"/>
      <c r="H29" s="49"/>
      <c r="I29" s="49"/>
      <c r="J29" s="49"/>
      <c r="K29" s="49"/>
      <c r="L29" s="49"/>
      <c r="M29" s="49"/>
      <c r="N29" s="49"/>
      <c r="O29" s="49"/>
      <c r="P29" s="49"/>
      <c r="Q29" s="49"/>
      <c r="R29" s="49"/>
      <c r="S29" s="49"/>
      <c r="T29" s="49"/>
      <c r="U29" s="49"/>
      <c r="V29" s="49"/>
      <c r="W29" s="49"/>
      <c r="X29" s="49"/>
    </row>
    <row r="30">
      <c r="A30" s="49"/>
      <c r="B30" s="50"/>
      <c r="C30" s="49" t="b">
        <f>IFERROR(__xludf.DUMMYFUNCTION("""COMPUTED_VALUE"""),FALSE)</f>
        <v>0</v>
      </c>
      <c r="D30" s="49" t="b">
        <f>IFERROR(__xludf.DUMMYFUNCTION("""COMPUTED_VALUE"""),FALSE)</f>
        <v>0</v>
      </c>
      <c r="E30" s="49" t="b">
        <f>IFERROR(__xludf.DUMMYFUNCTION("""COMPUTED_VALUE"""),FALSE)</f>
        <v>0</v>
      </c>
      <c r="F30" s="49"/>
      <c r="G30" s="49"/>
      <c r="H30" s="49"/>
      <c r="I30" s="49"/>
      <c r="J30" s="49"/>
      <c r="K30" s="49"/>
      <c r="L30" s="49"/>
      <c r="M30" s="49"/>
      <c r="N30" s="49"/>
      <c r="O30" s="49"/>
      <c r="P30" s="49"/>
      <c r="Q30" s="49"/>
      <c r="R30" s="49"/>
      <c r="S30" s="49"/>
      <c r="T30" s="49"/>
      <c r="U30" s="49"/>
      <c r="V30" s="49"/>
      <c r="W30" s="49"/>
      <c r="X30" s="49"/>
    </row>
    <row r="31">
      <c r="A31" s="49"/>
      <c r="B31" s="49"/>
      <c r="C31" s="49"/>
      <c r="D31" s="49"/>
      <c r="E31" s="49"/>
      <c r="F31" s="49"/>
      <c r="G31" s="49"/>
      <c r="H31" s="49"/>
      <c r="I31" s="49"/>
      <c r="J31" s="49"/>
      <c r="K31" s="49"/>
      <c r="L31" s="49"/>
      <c r="M31" s="49"/>
      <c r="N31" s="49"/>
      <c r="O31" s="49"/>
      <c r="P31" s="49"/>
      <c r="Q31" s="49"/>
      <c r="R31" s="49"/>
      <c r="S31" s="49"/>
      <c r="T31" s="49"/>
      <c r="U31" s="49"/>
      <c r="V31" s="49"/>
      <c r="W31" s="49"/>
      <c r="X31" s="49"/>
    </row>
    <row r="32">
      <c r="A32" s="49"/>
      <c r="B32" s="49"/>
      <c r="C32" s="49"/>
      <c r="D32" s="49"/>
      <c r="E32" s="49"/>
      <c r="F32" s="49"/>
      <c r="G32" s="49"/>
      <c r="H32" s="49"/>
      <c r="I32" s="49"/>
      <c r="J32" s="49"/>
      <c r="K32" s="49"/>
      <c r="L32" s="49"/>
      <c r="M32" s="49"/>
      <c r="N32" s="49"/>
      <c r="O32" s="49"/>
      <c r="P32" s="49"/>
      <c r="Q32" s="49"/>
      <c r="R32" s="49"/>
      <c r="S32" s="49"/>
      <c r="T32" s="49"/>
      <c r="U32" s="49"/>
      <c r="V32" s="49"/>
      <c r="W32" s="49"/>
      <c r="X32" s="49"/>
    </row>
    <row r="33">
      <c r="A33" s="49"/>
      <c r="B33" s="49"/>
      <c r="C33" s="49"/>
      <c r="D33" s="49"/>
      <c r="E33" s="49"/>
      <c r="F33" s="49"/>
      <c r="G33" s="49"/>
      <c r="H33" s="49"/>
      <c r="I33" s="49"/>
      <c r="J33" s="49"/>
      <c r="K33" s="49"/>
      <c r="L33" s="49"/>
      <c r="M33" s="49"/>
      <c r="N33" s="49"/>
      <c r="O33" s="49"/>
      <c r="P33" s="49"/>
      <c r="Q33" s="49"/>
      <c r="R33" s="49"/>
      <c r="S33" s="49"/>
      <c r="T33" s="49"/>
      <c r="U33" s="49"/>
      <c r="V33" s="49"/>
      <c r="W33" s="49"/>
      <c r="X33" s="49"/>
    </row>
    <row r="34">
      <c r="A34" s="49"/>
      <c r="B34" s="49"/>
      <c r="C34" s="49"/>
      <c r="D34" s="49"/>
      <c r="E34" s="49"/>
      <c r="F34" s="49"/>
      <c r="G34" s="49"/>
      <c r="H34" s="49"/>
      <c r="I34" s="49"/>
      <c r="J34" s="49"/>
      <c r="K34" s="49"/>
      <c r="L34" s="49"/>
      <c r="M34" s="49"/>
      <c r="N34" s="49"/>
      <c r="O34" s="49"/>
      <c r="P34" s="49"/>
      <c r="Q34" s="49"/>
      <c r="R34" s="49"/>
      <c r="S34" s="49"/>
      <c r="T34" s="49"/>
      <c r="U34" s="49"/>
      <c r="V34" s="49"/>
      <c r="W34" s="49"/>
      <c r="X34" s="49"/>
    </row>
    <row r="35">
      <c r="A35" s="49"/>
      <c r="B35" s="49"/>
      <c r="C35" s="49"/>
      <c r="D35" s="49"/>
      <c r="E35" s="49"/>
      <c r="F35" s="49"/>
      <c r="G35" s="49"/>
      <c r="H35" s="49"/>
      <c r="I35" s="49"/>
      <c r="J35" s="49"/>
      <c r="K35" s="49"/>
      <c r="L35" s="49"/>
      <c r="M35" s="49"/>
      <c r="N35" s="49"/>
      <c r="O35" s="49"/>
      <c r="P35" s="49"/>
      <c r="Q35" s="49"/>
      <c r="R35" s="49"/>
      <c r="S35" s="49"/>
      <c r="T35" s="49"/>
      <c r="U35" s="49"/>
      <c r="V35" s="49"/>
      <c r="W35" s="49"/>
      <c r="X35" s="49"/>
    </row>
    <row r="36">
      <c r="A36" s="49"/>
      <c r="B36" s="49"/>
      <c r="C36" s="49"/>
      <c r="D36" s="49"/>
      <c r="E36" s="49"/>
      <c r="F36" s="49"/>
      <c r="G36" s="49"/>
      <c r="H36" s="49"/>
      <c r="I36" s="49"/>
      <c r="J36" s="49"/>
      <c r="K36" s="49"/>
      <c r="L36" s="49"/>
      <c r="M36" s="49"/>
      <c r="N36" s="49"/>
      <c r="O36" s="49"/>
      <c r="P36" s="49"/>
      <c r="Q36" s="49"/>
      <c r="R36" s="49"/>
      <c r="S36" s="49"/>
      <c r="T36" s="49"/>
      <c r="U36" s="49"/>
      <c r="V36" s="49"/>
      <c r="W36" s="49"/>
      <c r="X36" s="49"/>
    </row>
    <row r="37">
      <c r="A37" s="49"/>
      <c r="B37" s="49"/>
      <c r="C37" s="49"/>
      <c r="D37" s="49"/>
      <c r="E37" s="49"/>
      <c r="F37" s="49"/>
      <c r="G37" s="49"/>
      <c r="H37" s="49"/>
      <c r="I37" s="49"/>
      <c r="J37" s="49"/>
      <c r="K37" s="49"/>
      <c r="L37" s="49"/>
      <c r="M37" s="49"/>
      <c r="N37" s="49"/>
      <c r="O37" s="49"/>
      <c r="P37" s="49"/>
      <c r="Q37" s="49"/>
      <c r="R37" s="49"/>
      <c r="S37" s="49"/>
      <c r="T37" s="49"/>
      <c r="U37" s="49"/>
      <c r="V37" s="49"/>
      <c r="W37" s="49"/>
      <c r="X37" s="49"/>
    </row>
    <row r="38">
      <c r="A38" s="49"/>
      <c r="B38" s="49"/>
      <c r="C38" s="49"/>
      <c r="D38" s="49"/>
      <c r="E38" s="49"/>
      <c r="F38" s="49"/>
      <c r="G38" s="49"/>
      <c r="H38" s="49"/>
      <c r="I38" s="49"/>
      <c r="J38" s="49"/>
      <c r="K38" s="49"/>
      <c r="L38" s="49"/>
      <c r="M38" s="49"/>
      <c r="N38" s="49"/>
      <c r="O38" s="49"/>
      <c r="P38" s="49"/>
      <c r="Q38" s="49"/>
      <c r="R38" s="49"/>
      <c r="S38" s="49"/>
      <c r="T38" s="49"/>
      <c r="U38" s="49"/>
      <c r="V38" s="49"/>
      <c r="W38" s="49"/>
      <c r="X38" s="49"/>
    </row>
    <row r="39">
      <c r="A39" s="49"/>
      <c r="B39" s="49"/>
      <c r="C39" s="49"/>
      <c r="D39" s="49"/>
      <c r="E39" s="49"/>
      <c r="F39" s="49"/>
      <c r="G39" s="49"/>
      <c r="H39" s="49"/>
      <c r="I39" s="49"/>
      <c r="J39" s="49"/>
      <c r="K39" s="49"/>
      <c r="L39" s="49"/>
      <c r="M39" s="49"/>
      <c r="N39" s="49"/>
      <c r="O39" s="49"/>
      <c r="P39" s="49"/>
      <c r="Q39" s="49"/>
      <c r="R39" s="49"/>
      <c r="S39" s="49"/>
      <c r="T39" s="49"/>
      <c r="U39" s="49"/>
      <c r="V39" s="49"/>
      <c r="W39" s="49"/>
      <c r="X39" s="49"/>
    </row>
    <row r="40">
      <c r="A40" s="49"/>
      <c r="B40" s="49"/>
      <c r="C40" s="49"/>
      <c r="D40" s="49"/>
      <c r="E40" s="49"/>
      <c r="F40" s="49"/>
      <c r="G40" s="49"/>
      <c r="H40" s="49"/>
      <c r="I40" s="49"/>
      <c r="J40" s="49"/>
      <c r="K40" s="49"/>
      <c r="L40" s="49"/>
      <c r="M40" s="49"/>
      <c r="N40" s="49"/>
      <c r="O40" s="49"/>
      <c r="P40" s="49"/>
      <c r="Q40" s="49"/>
      <c r="R40" s="49"/>
      <c r="S40" s="49"/>
      <c r="T40" s="49"/>
      <c r="U40" s="49"/>
      <c r="V40" s="49"/>
      <c r="W40" s="49"/>
      <c r="X40" s="49"/>
    </row>
    <row r="41">
      <c r="A41" s="49"/>
      <c r="B41" s="49"/>
      <c r="C41" s="49"/>
      <c r="D41" s="49"/>
      <c r="E41" s="49"/>
      <c r="F41" s="49"/>
      <c r="G41" s="49"/>
      <c r="H41" s="49"/>
      <c r="I41" s="49"/>
      <c r="J41" s="49"/>
      <c r="K41" s="49"/>
      <c r="L41" s="49"/>
      <c r="M41" s="49"/>
      <c r="N41" s="49"/>
      <c r="O41" s="49"/>
      <c r="P41" s="49"/>
      <c r="Q41" s="49"/>
      <c r="R41" s="49"/>
      <c r="S41" s="49"/>
      <c r="T41" s="49"/>
      <c r="U41" s="49"/>
      <c r="V41" s="49"/>
      <c r="W41" s="49"/>
      <c r="X41" s="49"/>
    </row>
    <row r="42">
      <c r="A42" s="49"/>
      <c r="B42" s="49"/>
      <c r="C42" s="49"/>
      <c r="D42" s="49"/>
      <c r="E42" s="49"/>
      <c r="F42" s="49"/>
      <c r="G42" s="49"/>
      <c r="H42" s="49"/>
      <c r="I42" s="49"/>
      <c r="J42" s="49"/>
      <c r="K42" s="49"/>
      <c r="L42" s="49"/>
      <c r="M42" s="49"/>
      <c r="N42" s="49"/>
      <c r="O42" s="49"/>
      <c r="P42" s="49"/>
      <c r="Q42" s="49"/>
      <c r="R42" s="49"/>
      <c r="S42" s="49"/>
      <c r="T42" s="49"/>
      <c r="U42" s="49"/>
      <c r="V42" s="49"/>
      <c r="W42" s="49"/>
      <c r="X42" s="49"/>
    </row>
    <row r="43">
      <c r="A43" s="49"/>
      <c r="B43" s="49"/>
      <c r="C43" s="49"/>
      <c r="D43" s="49"/>
      <c r="E43" s="49"/>
      <c r="F43" s="49"/>
      <c r="G43" s="49"/>
      <c r="H43" s="49"/>
      <c r="I43" s="49"/>
      <c r="J43" s="49"/>
      <c r="K43" s="49"/>
      <c r="L43" s="49"/>
      <c r="M43" s="49"/>
      <c r="N43" s="49"/>
      <c r="O43" s="49"/>
      <c r="P43" s="49"/>
      <c r="Q43" s="49"/>
      <c r="R43" s="49"/>
      <c r="S43" s="49"/>
      <c r="T43" s="49"/>
      <c r="U43" s="49"/>
      <c r="V43" s="49"/>
      <c r="W43" s="49"/>
      <c r="X43" s="49"/>
    </row>
    <row r="44">
      <c r="A44" s="49"/>
      <c r="B44" s="49"/>
      <c r="C44" s="49"/>
      <c r="D44" s="49"/>
      <c r="E44" s="49"/>
      <c r="F44" s="49"/>
      <c r="G44" s="49"/>
      <c r="H44" s="49"/>
      <c r="I44" s="49"/>
      <c r="J44" s="49"/>
      <c r="K44" s="49"/>
      <c r="L44" s="49"/>
      <c r="M44" s="49"/>
      <c r="N44" s="49"/>
      <c r="O44" s="49"/>
      <c r="P44" s="49"/>
      <c r="Q44" s="49"/>
      <c r="R44" s="49"/>
      <c r="S44" s="49"/>
      <c r="T44" s="49"/>
      <c r="U44" s="49"/>
      <c r="V44" s="49"/>
      <c r="W44" s="49"/>
      <c r="X44" s="49"/>
    </row>
    <row r="45">
      <c r="A45" s="49"/>
      <c r="B45" s="49"/>
      <c r="C45" s="49"/>
      <c r="D45" s="49"/>
      <c r="E45" s="49"/>
      <c r="F45" s="49"/>
      <c r="G45" s="49"/>
      <c r="H45" s="49"/>
      <c r="I45" s="49"/>
      <c r="J45" s="49"/>
      <c r="K45" s="49"/>
      <c r="L45" s="49"/>
      <c r="M45" s="49"/>
      <c r="N45" s="49"/>
      <c r="O45" s="49"/>
      <c r="P45" s="49"/>
      <c r="Q45" s="49"/>
      <c r="R45" s="49"/>
      <c r="S45" s="49"/>
      <c r="T45" s="49"/>
      <c r="U45" s="49"/>
      <c r="V45" s="49"/>
      <c r="W45" s="49"/>
      <c r="X45" s="49"/>
    </row>
    <row r="46">
      <c r="A46" s="49"/>
      <c r="B46" s="49"/>
      <c r="C46" s="49"/>
      <c r="D46" s="49"/>
      <c r="E46" s="49"/>
      <c r="F46" s="49"/>
      <c r="G46" s="49"/>
      <c r="H46" s="49"/>
      <c r="I46" s="49"/>
      <c r="J46" s="49"/>
      <c r="K46" s="49"/>
      <c r="L46" s="49"/>
      <c r="M46" s="49"/>
      <c r="N46" s="49"/>
      <c r="O46" s="49"/>
      <c r="P46" s="49"/>
      <c r="Q46" s="49"/>
      <c r="R46" s="49"/>
      <c r="S46" s="49"/>
      <c r="T46" s="49"/>
      <c r="U46" s="49"/>
      <c r="V46" s="49"/>
      <c r="W46" s="49"/>
      <c r="X46" s="49"/>
    </row>
    <row r="47">
      <c r="A47" s="49"/>
      <c r="B47" s="49"/>
      <c r="C47" s="49"/>
      <c r="D47" s="49"/>
      <c r="E47" s="49"/>
      <c r="F47" s="49"/>
      <c r="G47" s="49"/>
      <c r="H47" s="49"/>
      <c r="I47" s="49"/>
      <c r="J47" s="49"/>
      <c r="K47" s="49"/>
      <c r="L47" s="49"/>
      <c r="M47" s="49"/>
      <c r="N47" s="49"/>
      <c r="O47" s="49"/>
      <c r="P47" s="49"/>
      <c r="Q47" s="49"/>
      <c r="R47" s="49"/>
      <c r="S47" s="49"/>
      <c r="T47" s="49"/>
      <c r="U47" s="49"/>
      <c r="V47" s="49"/>
      <c r="W47" s="49"/>
      <c r="X47" s="49"/>
    </row>
    <row r="48">
      <c r="A48" s="49"/>
      <c r="B48" s="49"/>
      <c r="C48" s="49"/>
      <c r="D48" s="49"/>
      <c r="E48" s="49"/>
      <c r="F48" s="49"/>
      <c r="G48" s="49"/>
      <c r="H48" s="49"/>
      <c r="I48" s="49"/>
      <c r="J48" s="49"/>
      <c r="K48" s="49"/>
      <c r="L48" s="49"/>
      <c r="M48" s="49"/>
      <c r="N48" s="49"/>
      <c r="O48" s="49"/>
      <c r="P48" s="49"/>
      <c r="Q48" s="49"/>
      <c r="R48" s="49"/>
      <c r="S48" s="49"/>
      <c r="T48" s="49"/>
      <c r="U48" s="49"/>
      <c r="V48" s="49"/>
      <c r="W48" s="49"/>
      <c r="X48" s="49"/>
    </row>
    <row r="49">
      <c r="A49" s="49"/>
      <c r="B49" s="49"/>
      <c r="C49" s="49"/>
      <c r="D49" s="49"/>
      <c r="E49" s="49"/>
      <c r="F49" s="49"/>
      <c r="G49" s="49"/>
      <c r="H49" s="49"/>
      <c r="I49" s="49"/>
      <c r="J49" s="49"/>
      <c r="K49" s="49"/>
      <c r="L49" s="49"/>
      <c r="M49" s="49"/>
      <c r="N49" s="49"/>
      <c r="O49" s="49"/>
      <c r="P49" s="49"/>
      <c r="Q49" s="49"/>
      <c r="R49" s="49"/>
      <c r="S49" s="49"/>
      <c r="T49" s="49"/>
      <c r="U49" s="49"/>
      <c r="V49" s="49"/>
      <c r="W49" s="49"/>
      <c r="X49" s="49"/>
    </row>
    <row r="50">
      <c r="A50" s="49"/>
      <c r="B50" s="49"/>
      <c r="C50" s="49"/>
      <c r="D50" s="49"/>
      <c r="E50" s="49"/>
      <c r="F50" s="49"/>
      <c r="G50" s="49"/>
      <c r="H50" s="49"/>
      <c r="I50" s="49"/>
      <c r="J50" s="49"/>
      <c r="K50" s="49"/>
      <c r="L50" s="49"/>
      <c r="M50" s="49"/>
      <c r="N50" s="49"/>
      <c r="O50" s="49"/>
      <c r="P50" s="49"/>
      <c r="Q50" s="49"/>
      <c r="R50" s="49"/>
      <c r="S50" s="49"/>
      <c r="T50" s="49"/>
      <c r="U50" s="49"/>
      <c r="V50" s="49"/>
      <c r="W50" s="49"/>
      <c r="X50" s="49"/>
    </row>
    <row r="51">
      <c r="A51" s="49"/>
      <c r="B51" s="49"/>
      <c r="C51" s="49"/>
      <c r="D51" s="49"/>
      <c r="E51" s="49"/>
      <c r="F51" s="49"/>
      <c r="G51" s="49"/>
      <c r="H51" s="49"/>
      <c r="I51" s="49"/>
      <c r="J51" s="49"/>
      <c r="K51" s="49"/>
      <c r="L51" s="49"/>
      <c r="M51" s="49"/>
      <c r="N51" s="49"/>
      <c r="O51" s="49"/>
      <c r="P51" s="49"/>
      <c r="Q51" s="49"/>
      <c r="R51" s="49"/>
      <c r="S51" s="49"/>
      <c r="T51" s="49"/>
      <c r="U51" s="49"/>
      <c r="V51" s="49"/>
      <c r="W51" s="49"/>
      <c r="X51" s="49"/>
    </row>
    <row r="52">
      <c r="A52" s="49"/>
      <c r="B52" s="49"/>
      <c r="C52" s="49"/>
      <c r="D52" s="49"/>
      <c r="E52" s="49"/>
      <c r="F52" s="49"/>
      <c r="G52" s="49"/>
      <c r="H52" s="49"/>
      <c r="I52" s="49"/>
      <c r="J52" s="49"/>
      <c r="K52" s="49"/>
      <c r="L52" s="49"/>
      <c r="M52" s="49"/>
      <c r="N52" s="49"/>
      <c r="O52" s="49"/>
      <c r="P52" s="49"/>
      <c r="Q52" s="49"/>
      <c r="R52" s="49"/>
      <c r="S52" s="49"/>
      <c r="T52" s="49"/>
      <c r="U52" s="49"/>
      <c r="V52" s="49"/>
      <c r="W52" s="49"/>
      <c r="X52" s="49"/>
    </row>
    <row r="53">
      <c r="A53" s="49"/>
      <c r="B53" s="49"/>
      <c r="C53" s="49"/>
      <c r="D53" s="49"/>
      <c r="E53" s="49"/>
      <c r="F53" s="49"/>
      <c r="G53" s="49"/>
      <c r="H53" s="49"/>
      <c r="I53" s="49"/>
      <c r="J53" s="49"/>
      <c r="K53" s="49"/>
      <c r="L53" s="49"/>
      <c r="M53" s="49"/>
      <c r="N53" s="49"/>
      <c r="O53" s="49"/>
      <c r="P53" s="49"/>
      <c r="Q53" s="49"/>
      <c r="R53" s="49"/>
      <c r="S53" s="49"/>
      <c r="T53" s="49"/>
      <c r="U53" s="49"/>
      <c r="V53" s="49"/>
      <c r="W53" s="49"/>
      <c r="X53" s="49"/>
    </row>
    <row r="54">
      <c r="A54" s="49"/>
      <c r="B54" s="49"/>
      <c r="C54" s="49"/>
      <c r="D54" s="49"/>
      <c r="E54" s="49"/>
      <c r="F54" s="49"/>
      <c r="G54" s="49"/>
      <c r="H54" s="49"/>
      <c r="I54" s="49"/>
      <c r="J54" s="49"/>
      <c r="K54" s="49"/>
      <c r="L54" s="49"/>
      <c r="M54" s="49"/>
      <c r="N54" s="49"/>
      <c r="O54" s="49"/>
      <c r="P54" s="49"/>
      <c r="Q54" s="49"/>
      <c r="R54" s="49"/>
      <c r="S54" s="49"/>
      <c r="T54" s="49"/>
      <c r="U54" s="49"/>
      <c r="V54" s="49"/>
      <c r="W54" s="49"/>
      <c r="X54" s="49"/>
    </row>
    <row r="55">
      <c r="A55" s="49"/>
      <c r="B55" s="49"/>
      <c r="C55" s="49"/>
      <c r="D55" s="49"/>
      <c r="E55" s="49"/>
      <c r="F55" s="49"/>
      <c r="G55" s="49"/>
      <c r="H55" s="49"/>
      <c r="I55" s="49"/>
      <c r="J55" s="49"/>
      <c r="K55" s="49"/>
      <c r="L55" s="49"/>
      <c r="M55" s="49"/>
      <c r="N55" s="49"/>
      <c r="O55" s="49"/>
      <c r="P55" s="49"/>
      <c r="Q55" s="49"/>
      <c r="R55" s="49"/>
      <c r="S55" s="49"/>
      <c r="T55" s="49"/>
      <c r="U55" s="49"/>
      <c r="V55" s="49"/>
      <c r="W55" s="49"/>
      <c r="X55" s="49"/>
    </row>
    <row r="56">
      <c r="A56" s="49"/>
      <c r="B56" s="49"/>
      <c r="C56" s="49"/>
      <c r="D56" s="49"/>
      <c r="E56" s="49"/>
      <c r="F56" s="49"/>
      <c r="G56" s="49"/>
      <c r="H56" s="49"/>
      <c r="I56" s="49"/>
      <c r="J56" s="49"/>
      <c r="K56" s="49"/>
      <c r="L56" s="49"/>
      <c r="M56" s="49"/>
      <c r="N56" s="49"/>
      <c r="O56" s="49"/>
      <c r="P56" s="49"/>
      <c r="Q56" s="49"/>
      <c r="R56" s="49"/>
      <c r="S56" s="49"/>
      <c r="T56" s="49"/>
      <c r="U56" s="49"/>
      <c r="V56" s="49"/>
      <c r="W56" s="49"/>
      <c r="X56" s="49"/>
    </row>
    <row r="57">
      <c r="A57" s="49"/>
      <c r="B57" s="49"/>
      <c r="C57" s="49"/>
      <c r="D57" s="49"/>
      <c r="E57" s="49"/>
      <c r="F57" s="49"/>
      <c r="G57" s="49"/>
      <c r="H57" s="49"/>
      <c r="I57" s="49"/>
      <c r="J57" s="49"/>
      <c r="K57" s="49"/>
      <c r="L57" s="49"/>
      <c r="M57" s="49"/>
      <c r="N57" s="49"/>
      <c r="O57" s="49"/>
      <c r="P57" s="49"/>
      <c r="Q57" s="49"/>
      <c r="R57" s="49"/>
      <c r="S57" s="49"/>
      <c r="T57" s="49"/>
      <c r="U57" s="49"/>
      <c r="V57" s="49"/>
      <c r="W57" s="49"/>
      <c r="X57" s="49"/>
    </row>
    <row r="58">
      <c r="A58" s="49"/>
      <c r="B58" s="49"/>
      <c r="C58" s="49"/>
      <c r="D58" s="49"/>
      <c r="E58" s="49"/>
      <c r="F58" s="49"/>
      <c r="G58" s="49"/>
      <c r="H58" s="49"/>
      <c r="I58" s="49"/>
      <c r="J58" s="49"/>
      <c r="K58" s="49"/>
      <c r="L58" s="49"/>
      <c r="M58" s="49"/>
      <c r="N58" s="49"/>
      <c r="O58" s="49"/>
      <c r="P58" s="49"/>
      <c r="Q58" s="49"/>
      <c r="R58" s="49"/>
      <c r="S58" s="49"/>
      <c r="T58" s="49"/>
      <c r="U58" s="49"/>
      <c r="V58" s="49"/>
      <c r="W58" s="49"/>
      <c r="X58" s="49"/>
    </row>
    <row r="59">
      <c r="A59" s="49"/>
      <c r="B59" s="49"/>
      <c r="C59" s="49"/>
      <c r="D59" s="49"/>
      <c r="E59" s="49"/>
      <c r="F59" s="49"/>
      <c r="G59" s="49"/>
      <c r="H59" s="49"/>
      <c r="I59" s="49"/>
      <c r="J59" s="49"/>
      <c r="K59" s="49"/>
      <c r="L59" s="49"/>
      <c r="M59" s="49"/>
      <c r="N59" s="49"/>
      <c r="O59" s="49"/>
      <c r="P59" s="49"/>
      <c r="Q59" s="49"/>
      <c r="R59" s="49"/>
      <c r="S59" s="49"/>
      <c r="T59" s="49"/>
      <c r="U59" s="49"/>
      <c r="V59" s="49"/>
      <c r="W59" s="49"/>
      <c r="X59" s="49"/>
    </row>
    <row r="60">
      <c r="A60" s="49"/>
      <c r="B60" s="49"/>
      <c r="C60" s="49"/>
      <c r="D60" s="49"/>
      <c r="E60" s="49"/>
      <c r="F60" s="49"/>
      <c r="G60" s="49"/>
      <c r="H60" s="49"/>
      <c r="I60" s="49"/>
      <c r="J60" s="49"/>
      <c r="K60" s="49"/>
      <c r="L60" s="49"/>
      <c r="M60" s="49"/>
      <c r="N60" s="49"/>
      <c r="O60" s="49"/>
      <c r="P60" s="49"/>
      <c r="Q60" s="49"/>
      <c r="R60" s="49"/>
      <c r="S60" s="49"/>
      <c r="T60" s="49"/>
      <c r="U60" s="49"/>
      <c r="V60" s="49"/>
      <c r="W60" s="49"/>
      <c r="X60" s="49"/>
    </row>
    <row r="61">
      <c r="A61" s="49"/>
      <c r="B61" s="49"/>
      <c r="C61" s="49"/>
      <c r="D61" s="49"/>
      <c r="E61" s="49"/>
      <c r="F61" s="49"/>
      <c r="G61" s="49"/>
      <c r="H61" s="49"/>
      <c r="I61" s="49"/>
      <c r="J61" s="49"/>
      <c r="K61" s="49"/>
      <c r="L61" s="49"/>
      <c r="M61" s="49"/>
      <c r="N61" s="49"/>
      <c r="O61" s="49"/>
      <c r="P61" s="49"/>
      <c r="Q61" s="49"/>
      <c r="R61" s="49"/>
      <c r="S61" s="49"/>
      <c r="T61" s="49"/>
      <c r="U61" s="49"/>
      <c r="V61" s="49"/>
      <c r="W61" s="49"/>
      <c r="X61" s="49"/>
    </row>
    <row r="62">
      <c r="A62" s="49"/>
      <c r="B62" s="49"/>
      <c r="C62" s="49"/>
      <c r="D62" s="49"/>
      <c r="E62" s="49"/>
      <c r="F62" s="49"/>
      <c r="G62" s="49"/>
      <c r="H62" s="49"/>
      <c r="I62" s="49"/>
      <c r="J62" s="49"/>
      <c r="K62" s="49"/>
      <c r="L62" s="49"/>
      <c r="M62" s="49"/>
      <c r="N62" s="49"/>
      <c r="O62" s="49"/>
      <c r="P62" s="49"/>
      <c r="Q62" s="49"/>
      <c r="R62" s="49"/>
      <c r="S62" s="49"/>
      <c r="T62" s="49"/>
      <c r="U62" s="49"/>
      <c r="V62" s="49"/>
      <c r="W62" s="49"/>
      <c r="X62" s="49"/>
    </row>
    <row r="63">
      <c r="A63" s="49"/>
      <c r="B63" s="49"/>
      <c r="C63" s="49"/>
      <c r="D63" s="49"/>
      <c r="E63" s="49"/>
      <c r="F63" s="49"/>
      <c r="G63" s="49"/>
      <c r="H63" s="49"/>
      <c r="I63" s="49"/>
      <c r="J63" s="49"/>
      <c r="K63" s="49"/>
      <c r="L63" s="49"/>
      <c r="M63" s="49"/>
      <c r="N63" s="49"/>
      <c r="O63" s="49"/>
      <c r="P63" s="49"/>
      <c r="Q63" s="49"/>
      <c r="R63" s="49"/>
      <c r="S63" s="49"/>
      <c r="T63" s="49"/>
      <c r="U63" s="49"/>
      <c r="V63" s="49"/>
      <c r="W63" s="49"/>
      <c r="X63" s="49"/>
    </row>
    <row r="64">
      <c r="A64" s="49"/>
      <c r="B64" s="49"/>
      <c r="C64" s="49"/>
      <c r="D64" s="49"/>
      <c r="E64" s="49"/>
      <c r="F64" s="49"/>
      <c r="G64" s="49"/>
      <c r="H64" s="49"/>
      <c r="I64" s="49"/>
      <c r="J64" s="49"/>
      <c r="K64" s="49"/>
      <c r="L64" s="49"/>
      <c r="M64" s="49"/>
      <c r="N64" s="49"/>
      <c r="O64" s="49"/>
      <c r="P64" s="49"/>
      <c r="Q64" s="49"/>
      <c r="R64" s="49"/>
      <c r="S64" s="49"/>
      <c r="T64" s="49"/>
      <c r="U64" s="49"/>
      <c r="V64" s="49"/>
      <c r="W64" s="49"/>
      <c r="X64" s="49"/>
    </row>
    <row r="65">
      <c r="A65" s="49"/>
      <c r="B65" s="49"/>
      <c r="C65" s="49"/>
      <c r="D65" s="49"/>
      <c r="E65" s="49"/>
      <c r="F65" s="49"/>
      <c r="G65" s="49"/>
      <c r="H65" s="49"/>
      <c r="I65" s="49"/>
      <c r="J65" s="49"/>
      <c r="K65" s="49"/>
      <c r="L65" s="49"/>
      <c r="M65" s="49"/>
      <c r="N65" s="49"/>
      <c r="O65" s="49"/>
      <c r="P65" s="49"/>
      <c r="Q65" s="49"/>
      <c r="R65" s="49"/>
      <c r="S65" s="49"/>
      <c r="T65" s="49"/>
      <c r="U65" s="49"/>
      <c r="V65" s="49"/>
      <c r="W65" s="49"/>
      <c r="X65" s="49"/>
    </row>
    <row r="66">
      <c r="A66" s="49"/>
      <c r="B66" s="49"/>
      <c r="C66" s="49"/>
      <c r="D66" s="49"/>
      <c r="E66" s="49"/>
      <c r="F66" s="49"/>
      <c r="G66" s="49"/>
      <c r="H66" s="49"/>
      <c r="I66" s="49"/>
      <c r="J66" s="49"/>
      <c r="K66" s="49"/>
      <c r="L66" s="49"/>
      <c r="M66" s="49"/>
      <c r="N66" s="49"/>
      <c r="O66" s="49"/>
      <c r="P66" s="49"/>
      <c r="Q66" s="49"/>
      <c r="R66" s="49"/>
      <c r="S66" s="49"/>
      <c r="T66" s="49"/>
      <c r="U66" s="49"/>
      <c r="V66" s="49"/>
      <c r="W66" s="49"/>
      <c r="X66" s="49"/>
    </row>
    <row r="67">
      <c r="A67" s="49"/>
      <c r="B67" s="49"/>
      <c r="C67" s="49"/>
      <c r="D67" s="49"/>
      <c r="E67" s="49"/>
      <c r="F67" s="49"/>
      <c r="G67" s="49"/>
      <c r="H67" s="49"/>
      <c r="I67" s="49"/>
      <c r="J67" s="49"/>
      <c r="K67" s="49"/>
      <c r="L67" s="49"/>
      <c r="M67" s="49"/>
      <c r="N67" s="49"/>
      <c r="O67" s="49"/>
      <c r="P67" s="49"/>
      <c r="Q67" s="49"/>
      <c r="R67" s="49"/>
      <c r="S67" s="49"/>
      <c r="T67" s="49"/>
      <c r="U67" s="49"/>
      <c r="V67" s="49"/>
      <c r="W67" s="49"/>
      <c r="X67" s="49"/>
    </row>
    <row r="68">
      <c r="A68" s="49"/>
      <c r="B68" s="49"/>
      <c r="C68" s="49"/>
      <c r="D68" s="49"/>
      <c r="E68" s="49"/>
      <c r="F68" s="49"/>
      <c r="G68" s="49"/>
      <c r="H68" s="49"/>
      <c r="I68" s="49"/>
      <c r="J68" s="49"/>
      <c r="K68" s="49"/>
      <c r="L68" s="49"/>
      <c r="M68" s="49"/>
      <c r="N68" s="49"/>
      <c r="O68" s="49"/>
      <c r="P68" s="49"/>
      <c r="Q68" s="49"/>
      <c r="R68" s="49"/>
      <c r="S68" s="49"/>
      <c r="T68" s="49"/>
      <c r="U68" s="49"/>
      <c r="V68" s="49"/>
      <c r="W68" s="49"/>
      <c r="X68" s="49"/>
    </row>
    <row r="69">
      <c r="A69" s="49"/>
      <c r="B69" s="49"/>
      <c r="C69" s="49"/>
      <c r="D69" s="49"/>
      <c r="E69" s="49"/>
      <c r="F69" s="49"/>
      <c r="G69" s="49"/>
      <c r="H69" s="49"/>
      <c r="I69" s="49"/>
      <c r="J69" s="49"/>
      <c r="K69" s="49"/>
      <c r="L69" s="49"/>
      <c r="M69" s="49"/>
      <c r="N69" s="49"/>
      <c r="O69" s="49"/>
      <c r="P69" s="49"/>
      <c r="Q69" s="49"/>
      <c r="R69" s="49"/>
      <c r="S69" s="49"/>
      <c r="T69" s="49"/>
      <c r="U69" s="49"/>
      <c r="V69" s="49"/>
      <c r="W69" s="49"/>
      <c r="X69" s="49"/>
    </row>
    <row r="70">
      <c r="A70" s="49"/>
      <c r="B70" s="49"/>
      <c r="C70" s="49"/>
      <c r="D70" s="49"/>
      <c r="E70" s="49"/>
      <c r="F70" s="49"/>
      <c r="G70" s="49"/>
      <c r="H70" s="49"/>
      <c r="I70" s="49"/>
      <c r="J70" s="49"/>
      <c r="K70" s="49"/>
      <c r="L70" s="49"/>
      <c r="M70" s="49"/>
      <c r="N70" s="49"/>
      <c r="O70" s="49"/>
      <c r="P70" s="49"/>
      <c r="Q70" s="49"/>
      <c r="R70" s="49"/>
      <c r="S70" s="49"/>
      <c r="T70" s="49"/>
      <c r="U70" s="49"/>
      <c r="V70" s="49"/>
      <c r="W70" s="49"/>
      <c r="X70" s="49"/>
    </row>
    <row r="71">
      <c r="A71" s="49"/>
      <c r="B71" s="49"/>
      <c r="C71" s="49"/>
      <c r="D71" s="49"/>
      <c r="E71" s="49"/>
      <c r="F71" s="49"/>
      <c r="G71" s="49"/>
      <c r="H71" s="49"/>
      <c r="I71" s="49"/>
      <c r="J71" s="49"/>
      <c r="K71" s="49"/>
      <c r="L71" s="49"/>
      <c r="M71" s="49"/>
      <c r="N71" s="49"/>
      <c r="O71" s="49"/>
      <c r="P71" s="49"/>
      <c r="Q71" s="49"/>
      <c r="R71" s="49"/>
      <c r="S71" s="49"/>
      <c r="T71" s="49"/>
      <c r="U71" s="49"/>
      <c r="V71" s="49"/>
      <c r="W71" s="49"/>
      <c r="X71" s="49"/>
    </row>
    <row r="72">
      <c r="A72" s="49"/>
      <c r="B72" s="49"/>
      <c r="C72" s="49"/>
      <c r="D72" s="49"/>
      <c r="E72" s="49"/>
      <c r="F72" s="49"/>
      <c r="G72" s="49"/>
      <c r="H72" s="49"/>
      <c r="I72" s="49"/>
      <c r="J72" s="49"/>
      <c r="K72" s="49"/>
      <c r="L72" s="49"/>
      <c r="M72" s="49"/>
      <c r="N72" s="49"/>
      <c r="O72" s="49"/>
      <c r="P72" s="49"/>
      <c r="Q72" s="49"/>
      <c r="R72" s="49"/>
      <c r="S72" s="49"/>
      <c r="T72" s="49"/>
      <c r="U72" s="49"/>
      <c r="V72" s="49"/>
      <c r="W72" s="49"/>
      <c r="X72" s="49"/>
    </row>
    <row r="73">
      <c r="A73" s="49"/>
      <c r="B73" s="49"/>
      <c r="C73" s="49"/>
      <c r="D73" s="49"/>
      <c r="E73" s="49"/>
      <c r="F73" s="49"/>
      <c r="G73" s="49"/>
      <c r="H73" s="49"/>
      <c r="I73" s="49"/>
      <c r="J73" s="49"/>
      <c r="K73" s="49"/>
      <c r="L73" s="49"/>
      <c r="M73" s="49"/>
      <c r="N73" s="49"/>
      <c r="O73" s="49"/>
      <c r="P73" s="49"/>
      <c r="Q73" s="49"/>
      <c r="R73" s="49"/>
      <c r="S73" s="49"/>
      <c r="T73" s="49"/>
      <c r="U73" s="49"/>
      <c r="V73" s="49"/>
      <c r="W73" s="49"/>
      <c r="X73" s="49"/>
    </row>
    <row r="74">
      <c r="A74" s="49"/>
      <c r="B74" s="49"/>
      <c r="C74" s="49"/>
      <c r="D74" s="49"/>
      <c r="E74" s="49"/>
      <c r="F74" s="49"/>
      <c r="G74" s="49"/>
      <c r="H74" s="49"/>
      <c r="I74" s="49"/>
      <c r="J74" s="49"/>
      <c r="K74" s="49"/>
      <c r="L74" s="49"/>
      <c r="M74" s="49"/>
      <c r="N74" s="49"/>
      <c r="O74" s="49"/>
      <c r="P74" s="49"/>
      <c r="Q74" s="49"/>
      <c r="R74" s="49"/>
      <c r="S74" s="49"/>
      <c r="T74" s="49"/>
      <c r="U74" s="49"/>
      <c r="V74" s="49"/>
      <c r="W74" s="49"/>
      <c r="X74" s="49"/>
    </row>
    <row r="75">
      <c r="A75" s="49"/>
      <c r="B75" s="49"/>
      <c r="C75" s="49"/>
      <c r="D75" s="49"/>
      <c r="E75" s="49"/>
      <c r="F75" s="49"/>
      <c r="G75" s="49"/>
      <c r="H75" s="49"/>
      <c r="I75" s="49"/>
      <c r="J75" s="49"/>
      <c r="K75" s="49"/>
      <c r="L75" s="49"/>
      <c r="M75" s="49"/>
      <c r="N75" s="49"/>
      <c r="O75" s="49"/>
      <c r="P75" s="49"/>
      <c r="Q75" s="49"/>
      <c r="R75" s="49"/>
      <c r="S75" s="49"/>
      <c r="T75" s="49"/>
      <c r="U75" s="49"/>
      <c r="V75" s="49"/>
      <c r="W75" s="49"/>
      <c r="X75" s="49"/>
    </row>
    <row r="76">
      <c r="A76" s="49"/>
      <c r="B76" s="49"/>
      <c r="C76" s="49"/>
      <c r="D76" s="49"/>
      <c r="E76" s="49"/>
      <c r="F76" s="49"/>
      <c r="G76" s="49"/>
      <c r="H76" s="49"/>
      <c r="I76" s="49"/>
      <c r="J76" s="49"/>
      <c r="K76" s="49"/>
      <c r="L76" s="49"/>
      <c r="M76" s="49"/>
      <c r="N76" s="49"/>
      <c r="O76" s="49"/>
      <c r="P76" s="49"/>
      <c r="Q76" s="49"/>
      <c r="R76" s="49"/>
      <c r="S76" s="49"/>
      <c r="T76" s="49"/>
      <c r="U76" s="49"/>
      <c r="V76" s="49"/>
      <c r="W76" s="49"/>
      <c r="X76" s="49"/>
    </row>
    <row r="77">
      <c r="A77" s="49"/>
      <c r="B77" s="49"/>
      <c r="C77" s="49"/>
      <c r="D77" s="49"/>
      <c r="E77" s="49"/>
      <c r="F77" s="49"/>
      <c r="G77" s="49"/>
      <c r="H77" s="49"/>
      <c r="I77" s="49"/>
      <c r="J77" s="49"/>
      <c r="K77" s="49"/>
      <c r="L77" s="49"/>
      <c r="M77" s="49"/>
      <c r="N77" s="49"/>
      <c r="O77" s="49"/>
      <c r="P77" s="49"/>
      <c r="Q77" s="49"/>
      <c r="R77" s="49"/>
      <c r="S77" s="49"/>
      <c r="T77" s="49"/>
      <c r="U77" s="49"/>
      <c r="V77" s="49"/>
      <c r="W77" s="49"/>
      <c r="X77" s="49"/>
    </row>
    <row r="78">
      <c r="A78" s="49"/>
      <c r="B78" s="49"/>
      <c r="C78" s="49"/>
      <c r="D78" s="49"/>
      <c r="E78" s="49"/>
      <c r="F78" s="49"/>
      <c r="G78" s="49"/>
      <c r="H78" s="49"/>
      <c r="I78" s="49"/>
      <c r="J78" s="49"/>
      <c r="K78" s="49"/>
      <c r="L78" s="49"/>
      <c r="M78" s="49"/>
      <c r="N78" s="49"/>
      <c r="O78" s="49"/>
      <c r="P78" s="49"/>
      <c r="Q78" s="49"/>
      <c r="R78" s="49"/>
      <c r="S78" s="49"/>
      <c r="T78" s="49"/>
      <c r="U78" s="49"/>
      <c r="V78" s="49"/>
      <c r="W78" s="49"/>
      <c r="X78" s="49"/>
    </row>
    <row r="79">
      <c r="A79" s="49"/>
      <c r="B79" s="49"/>
      <c r="C79" s="49"/>
      <c r="D79" s="49"/>
      <c r="E79" s="49"/>
      <c r="F79" s="49"/>
      <c r="G79" s="49"/>
      <c r="H79" s="49"/>
      <c r="I79" s="49"/>
      <c r="J79" s="49"/>
      <c r="K79" s="49"/>
      <c r="L79" s="49"/>
      <c r="M79" s="49"/>
      <c r="N79" s="49"/>
      <c r="O79" s="49"/>
      <c r="P79" s="49"/>
      <c r="Q79" s="49"/>
      <c r="R79" s="49"/>
      <c r="S79" s="49"/>
      <c r="T79" s="49"/>
      <c r="U79" s="49"/>
      <c r="V79" s="49"/>
      <c r="W79" s="49"/>
      <c r="X79" s="49"/>
    </row>
    <row r="80">
      <c r="A80" s="49"/>
      <c r="B80" s="49"/>
      <c r="C80" s="49"/>
      <c r="D80" s="49"/>
      <c r="E80" s="49"/>
      <c r="F80" s="49"/>
      <c r="G80" s="49"/>
      <c r="H80" s="49"/>
      <c r="I80" s="49"/>
      <c r="J80" s="49"/>
      <c r="K80" s="49"/>
      <c r="L80" s="49"/>
      <c r="M80" s="49"/>
      <c r="N80" s="49"/>
      <c r="O80" s="49"/>
      <c r="P80" s="49"/>
      <c r="Q80" s="49"/>
      <c r="R80" s="49"/>
      <c r="S80" s="49"/>
      <c r="T80" s="49"/>
      <c r="U80" s="49"/>
      <c r="V80" s="49"/>
      <c r="W80" s="49"/>
      <c r="X80" s="49"/>
    </row>
    <row r="81">
      <c r="A81" s="49"/>
      <c r="B81" s="49"/>
      <c r="C81" s="49"/>
      <c r="D81" s="49"/>
      <c r="E81" s="49"/>
      <c r="F81" s="49"/>
      <c r="G81" s="49"/>
      <c r="H81" s="49"/>
      <c r="I81" s="49"/>
      <c r="J81" s="49"/>
      <c r="K81" s="49"/>
      <c r="L81" s="49"/>
      <c r="M81" s="49"/>
      <c r="N81" s="49"/>
      <c r="O81" s="49"/>
      <c r="P81" s="49"/>
      <c r="Q81" s="49"/>
      <c r="R81" s="49"/>
      <c r="S81" s="49"/>
      <c r="T81" s="49"/>
      <c r="U81" s="49"/>
      <c r="V81" s="49"/>
      <c r="W81" s="49"/>
      <c r="X81" s="49"/>
    </row>
    <row r="82">
      <c r="A82" s="49"/>
      <c r="B82" s="49"/>
      <c r="C82" s="49"/>
      <c r="D82" s="49"/>
      <c r="E82" s="49"/>
      <c r="F82" s="49"/>
      <c r="G82" s="49"/>
      <c r="H82" s="49"/>
      <c r="I82" s="49"/>
      <c r="J82" s="49"/>
      <c r="K82" s="49"/>
      <c r="L82" s="49"/>
      <c r="M82" s="49"/>
      <c r="N82" s="49"/>
      <c r="O82" s="49"/>
      <c r="P82" s="49"/>
      <c r="Q82" s="49"/>
      <c r="R82" s="49"/>
      <c r="S82" s="49"/>
      <c r="T82" s="49"/>
      <c r="U82" s="49"/>
      <c r="V82" s="49"/>
      <c r="W82" s="49"/>
      <c r="X82" s="49"/>
    </row>
    <row r="83">
      <c r="A83" s="49"/>
      <c r="B83" s="49"/>
      <c r="C83" s="49"/>
      <c r="D83" s="49"/>
      <c r="E83" s="49"/>
      <c r="F83" s="49"/>
      <c r="G83" s="49"/>
      <c r="H83" s="49"/>
      <c r="I83" s="49"/>
      <c r="J83" s="49"/>
      <c r="K83" s="49"/>
      <c r="L83" s="49"/>
      <c r="M83" s="49"/>
      <c r="N83" s="49"/>
      <c r="O83" s="49"/>
      <c r="P83" s="49"/>
      <c r="Q83" s="49"/>
      <c r="R83" s="49"/>
      <c r="S83" s="49"/>
      <c r="T83" s="49"/>
      <c r="U83" s="49"/>
      <c r="V83" s="49"/>
      <c r="W83" s="49"/>
      <c r="X83" s="49"/>
    </row>
    <row r="84">
      <c r="A84" s="49"/>
      <c r="B84" s="49"/>
      <c r="C84" s="49"/>
      <c r="D84" s="49"/>
      <c r="E84" s="49"/>
      <c r="F84" s="49"/>
      <c r="G84" s="49"/>
      <c r="H84" s="49"/>
      <c r="I84" s="49"/>
      <c r="J84" s="49"/>
      <c r="K84" s="49"/>
      <c r="L84" s="49"/>
      <c r="M84" s="49"/>
      <c r="N84" s="49"/>
      <c r="O84" s="49"/>
      <c r="P84" s="49"/>
      <c r="Q84" s="49"/>
      <c r="R84" s="49"/>
      <c r="S84" s="49"/>
      <c r="T84" s="49"/>
      <c r="U84" s="49"/>
      <c r="V84" s="49"/>
      <c r="W84" s="49"/>
      <c r="X84" s="49"/>
    </row>
    <row r="85">
      <c r="A85" s="49"/>
      <c r="B85" s="49"/>
      <c r="C85" s="49"/>
      <c r="D85" s="49"/>
      <c r="E85" s="49"/>
      <c r="F85" s="49"/>
      <c r="G85" s="49"/>
      <c r="H85" s="49"/>
      <c r="I85" s="49"/>
      <c r="J85" s="49"/>
      <c r="K85" s="49"/>
      <c r="L85" s="49"/>
      <c r="M85" s="49"/>
      <c r="N85" s="49"/>
      <c r="O85" s="49"/>
      <c r="P85" s="49"/>
      <c r="Q85" s="49"/>
      <c r="R85" s="49"/>
      <c r="S85" s="49"/>
      <c r="T85" s="49"/>
      <c r="U85" s="49"/>
      <c r="V85" s="49"/>
      <c r="W85" s="49"/>
      <c r="X85" s="49"/>
    </row>
    <row r="86">
      <c r="A86" s="49"/>
      <c r="B86" s="49"/>
      <c r="C86" s="49"/>
      <c r="D86" s="49"/>
      <c r="E86" s="49"/>
      <c r="F86" s="49"/>
      <c r="G86" s="49"/>
      <c r="H86" s="49"/>
      <c r="I86" s="49"/>
      <c r="J86" s="49"/>
      <c r="K86" s="49"/>
      <c r="L86" s="49"/>
      <c r="M86" s="49"/>
      <c r="N86" s="49"/>
      <c r="O86" s="49"/>
      <c r="P86" s="49"/>
      <c r="Q86" s="49"/>
      <c r="R86" s="49"/>
      <c r="S86" s="49"/>
      <c r="T86" s="49"/>
      <c r="U86" s="49"/>
      <c r="V86" s="49"/>
      <c r="W86" s="49"/>
      <c r="X86" s="49"/>
    </row>
    <row r="87">
      <c r="A87" s="49"/>
      <c r="B87" s="49"/>
      <c r="C87" s="49"/>
      <c r="D87" s="49"/>
      <c r="E87" s="49"/>
      <c r="F87" s="49"/>
      <c r="G87" s="49"/>
      <c r="H87" s="49"/>
      <c r="I87" s="49"/>
      <c r="J87" s="49"/>
      <c r="K87" s="49"/>
      <c r="L87" s="49"/>
      <c r="M87" s="49"/>
      <c r="N87" s="49"/>
      <c r="O87" s="49"/>
      <c r="P87" s="49"/>
      <c r="Q87" s="49"/>
      <c r="R87" s="49"/>
      <c r="S87" s="49"/>
      <c r="T87" s="49"/>
      <c r="U87" s="49"/>
      <c r="V87" s="49"/>
      <c r="W87" s="49"/>
      <c r="X87" s="49"/>
    </row>
    <row r="88">
      <c r="A88" s="49"/>
      <c r="B88" s="49"/>
      <c r="C88" s="49"/>
      <c r="D88" s="49"/>
      <c r="E88" s="49"/>
      <c r="F88" s="49"/>
      <c r="G88" s="49"/>
      <c r="H88" s="49"/>
      <c r="I88" s="49"/>
      <c r="J88" s="49"/>
      <c r="K88" s="49"/>
      <c r="L88" s="49"/>
      <c r="M88" s="49"/>
      <c r="N88" s="49"/>
      <c r="O88" s="49"/>
      <c r="P88" s="49"/>
      <c r="Q88" s="49"/>
      <c r="R88" s="49"/>
      <c r="S88" s="49"/>
      <c r="T88" s="49"/>
      <c r="U88" s="49"/>
      <c r="V88" s="49"/>
      <c r="W88" s="49"/>
      <c r="X88" s="49"/>
    </row>
    <row r="89">
      <c r="A89" s="49"/>
      <c r="B89" s="49"/>
      <c r="C89" s="49"/>
      <c r="D89" s="49"/>
      <c r="E89" s="49"/>
      <c r="F89" s="49"/>
      <c r="G89" s="49"/>
      <c r="H89" s="49"/>
      <c r="I89" s="49"/>
      <c r="J89" s="49"/>
      <c r="K89" s="49"/>
      <c r="L89" s="49"/>
      <c r="M89" s="49"/>
      <c r="N89" s="49"/>
      <c r="O89" s="49"/>
      <c r="P89" s="49"/>
      <c r="Q89" s="49"/>
      <c r="R89" s="49"/>
      <c r="S89" s="49"/>
      <c r="T89" s="49"/>
      <c r="U89" s="49"/>
      <c r="V89" s="49"/>
      <c r="W89" s="49"/>
      <c r="X89" s="49"/>
    </row>
    <row r="90">
      <c r="A90" s="49"/>
      <c r="B90" s="49"/>
      <c r="C90" s="49"/>
      <c r="D90" s="49"/>
      <c r="E90" s="49"/>
      <c r="F90" s="49"/>
      <c r="G90" s="49"/>
      <c r="H90" s="49"/>
      <c r="I90" s="49"/>
      <c r="J90" s="49"/>
      <c r="K90" s="49"/>
      <c r="L90" s="49"/>
      <c r="M90" s="49"/>
      <c r="N90" s="49"/>
      <c r="O90" s="49"/>
      <c r="P90" s="49"/>
      <c r="Q90" s="49"/>
      <c r="R90" s="49"/>
      <c r="S90" s="49"/>
      <c r="T90" s="49"/>
      <c r="U90" s="49"/>
      <c r="V90" s="49"/>
      <c r="W90" s="49"/>
      <c r="X90" s="49"/>
    </row>
    <row r="91">
      <c r="A91" s="49"/>
      <c r="B91" s="49"/>
      <c r="C91" s="49"/>
      <c r="D91" s="49"/>
      <c r="E91" s="49"/>
      <c r="F91" s="49"/>
      <c r="G91" s="49"/>
      <c r="H91" s="49"/>
      <c r="I91" s="49"/>
      <c r="J91" s="49"/>
      <c r="K91" s="49"/>
      <c r="L91" s="49"/>
      <c r="M91" s="49"/>
      <c r="N91" s="49"/>
      <c r="O91" s="49"/>
      <c r="P91" s="49"/>
      <c r="Q91" s="49"/>
      <c r="R91" s="49"/>
      <c r="S91" s="49"/>
      <c r="T91" s="49"/>
      <c r="U91" s="49"/>
      <c r="V91" s="49"/>
      <c r="W91" s="49"/>
      <c r="X91" s="49"/>
    </row>
    <row r="92">
      <c r="A92" s="49"/>
      <c r="B92" s="49"/>
      <c r="C92" s="49"/>
      <c r="D92" s="49"/>
      <c r="E92" s="49"/>
      <c r="F92" s="49"/>
      <c r="G92" s="49"/>
      <c r="H92" s="49"/>
      <c r="I92" s="49"/>
      <c r="J92" s="49"/>
      <c r="K92" s="49"/>
      <c r="L92" s="49"/>
      <c r="M92" s="49"/>
      <c r="N92" s="49"/>
      <c r="O92" s="49"/>
      <c r="P92" s="49"/>
      <c r="Q92" s="49"/>
      <c r="R92" s="49"/>
      <c r="S92" s="49"/>
      <c r="T92" s="49"/>
      <c r="U92" s="49"/>
      <c r="V92" s="49"/>
      <c r="W92" s="49"/>
      <c r="X92" s="49"/>
    </row>
    <row r="93">
      <c r="A93" s="49"/>
      <c r="B93" s="49"/>
      <c r="C93" s="49"/>
      <c r="D93" s="49"/>
      <c r="E93" s="49"/>
      <c r="F93" s="49"/>
      <c r="G93" s="49"/>
      <c r="H93" s="49"/>
      <c r="I93" s="49"/>
      <c r="J93" s="49"/>
      <c r="K93" s="49"/>
      <c r="L93" s="49"/>
      <c r="M93" s="49"/>
      <c r="N93" s="49"/>
      <c r="O93" s="49"/>
      <c r="P93" s="49"/>
      <c r="Q93" s="49"/>
      <c r="R93" s="49"/>
      <c r="S93" s="49"/>
      <c r="T93" s="49"/>
      <c r="U93" s="49"/>
      <c r="V93" s="49"/>
      <c r="W93" s="49"/>
      <c r="X93" s="49"/>
    </row>
    <row r="94">
      <c r="A94" s="49"/>
      <c r="B94" s="49"/>
      <c r="C94" s="49"/>
      <c r="D94" s="49"/>
      <c r="E94" s="49"/>
      <c r="F94" s="49"/>
      <c r="G94" s="49"/>
      <c r="H94" s="49"/>
      <c r="I94" s="49"/>
      <c r="J94" s="49"/>
      <c r="K94" s="49"/>
      <c r="L94" s="49"/>
      <c r="M94" s="49"/>
      <c r="N94" s="49"/>
      <c r="O94" s="49"/>
      <c r="P94" s="49"/>
      <c r="Q94" s="49"/>
      <c r="R94" s="49"/>
      <c r="S94" s="49"/>
      <c r="T94" s="49"/>
      <c r="U94" s="49"/>
      <c r="V94" s="49"/>
      <c r="W94" s="49"/>
      <c r="X94" s="49"/>
    </row>
    <row r="95">
      <c r="A95" s="49"/>
      <c r="B95" s="49"/>
      <c r="C95" s="49"/>
      <c r="D95" s="49"/>
      <c r="E95" s="49"/>
      <c r="F95" s="49"/>
      <c r="G95" s="49"/>
      <c r="H95" s="49"/>
      <c r="I95" s="49"/>
      <c r="J95" s="49"/>
      <c r="K95" s="49"/>
      <c r="L95" s="49"/>
      <c r="M95" s="49"/>
      <c r="N95" s="49"/>
      <c r="O95" s="49"/>
      <c r="P95" s="49"/>
      <c r="Q95" s="49"/>
      <c r="R95" s="49"/>
      <c r="S95" s="49"/>
      <c r="T95" s="49"/>
      <c r="U95" s="49"/>
      <c r="V95" s="49"/>
      <c r="W95" s="49"/>
      <c r="X95" s="49"/>
    </row>
    <row r="96">
      <c r="A96" s="49"/>
      <c r="B96" s="49"/>
      <c r="C96" s="49"/>
      <c r="D96" s="49"/>
      <c r="E96" s="49"/>
      <c r="F96" s="49"/>
      <c r="G96" s="49"/>
      <c r="H96" s="49"/>
      <c r="I96" s="49"/>
      <c r="J96" s="49"/>
      <c r="K96" s="49"/>
      <c r="L96" s="49"/>
      <c r="M96" s="49"/>
      <c r="N96" s="49"/>
      <c r="O96" s="49"/>
      <c r="P96" s="49"/>
      <c r="Q96" s="49"/>
      <c r="R96" s="49"/>
      <c r="S96" s="49"/>
      <c r="T96" s="49"/>
      <c r="U96" s="49"/>
      <c r="V96" s="49"/>
      <c r="W96" s="49"/>
      <c r="X96" s="49"/>
    </row>
    <row r="97">
      <c r="A97" s="49"/>
      <c r="B97" s="49"/>
      <c r="C97" s="49"/>
      <c r="D97" s="49"/>
      <c r="E97" s="49"/>
      <c r="F97" s="49"/>
      <c r="G97" s="49"/>
      <c r="H97" s="49"/>
      <c r="I97" s="49"/>
      <c r="J97" s="49"/>
      <c r="K97" s="49"/>
      <c r="L97" s="49"/>
      <c r="M97" s="49"/>
      <c r="N97" s="49"/>
      <c r="O97" s="49"/>
      <c r="P97" s="49"/>
      <c r="Q97" s="49"/>
      <c r="R97" s="49"/>
      <c r="S97" s="49"/>
      <c r="T97" s="49"/>
      <c r="U97" s="49"/>
      <c r="V97" s="49"/>
      <c r="W97" s="49"/>
      <c r="X97" s="49"/>
    </row>
    <row r="98">
      <c r="A98" s="49"/>
      <c r="B98" s="49"/>
      <c r="C98" s="49"/>
      <c r="D98" s="49"/>
      <c r="E98" s="49"/>
      <c r="F98" s="49"/>
      <c r="G98" s="49"/>
      <c r="H98" s="49"/>
      <c r="I98" s="49"/>
      <c r="J98" s="49"/>
      <c r="K98" s="49"/>
      <c r="L98" s="49"/>
      <c r="M98" s="49"/>
      <c r="N98" s="49"/>
      <c r="O98" s="49"/>
      <c r="P98" s="49"/>
      <c r="Q98" s="49"/>
      <c r="R98" s="49"/>
      <c r="S98" s="49"/>
      <c r="T98" s="49"/>
      <c r="U98" s="49"/>
      <c r="V98" s="49"/>
      <c r="W98" s="49"/>
      <c r="X98" s="49"/>
    </row>
    <row r="99">
      <c r="A99" s="49"/>
      <c r="B99" s="49"/>
      <c r="C99" s="49"/>
      <c r="D99" s="49"/>
      <c r="E99" s="49"/>
      <c r="F99" s="49"/>
      <c r="G99" s="49"/>
      <c r="H99" s="49"/>
      <c r="I99" s="49"/>
      <c r="J99" s="49"/>
      <c r="K99" s="49"/>
      <c r="L99" s="49"/>
      <c r="M99" s="49"/>
      <c r="N99" s="49"/>
      <c r="O99" s="49"/>
      <c r="P99" s="49"/>
      <c r="Q99" s="49"/>
      <c r="R99" s="49"/>
      <c r="S99" s="49"/>
      <c r="T99" s="49"/>
      <c r="U99" s="49"/>
      <c r="V99" s="49"/>
      <c r="W99" s="49"/>
      <c r="X99" s="49"/>
    </row>
    <row r="100">
      <c r="A100" s="49"/>
      <c r="B100" s="49"/>
      <c r="C100" s="49"/>
      <c r="D100" s="49"/>
      <c r="E100" s="49"/>
      <c r="F100" s="49"/>
      <c r="G100" s="49"/>
      <c r="H100" s="49"/>
      <c r="I100" s="49"/>
      <c r="J100" s="49"/>
      <c r="K100" s="49"/>
      <c r="L100" s="49"/>
      <c r="M100" s="49"/>
      <c r="N100" s="49"/>
      <c r="O100" s="49"/>
      <c r="P100" s="49"/>
      <c r="Q100" s="49"/>
      <c r="R100" s="49"/>
      <c r="S100" s="49"/>
      <c r="T100" s="49"/>
      <c r="U100" s="49"/>
      <c r="V100" s="49"/>
      <c r="W100" s="49"/>
      <c r="X100" s="49"/>
    </row>
    <row r="101">
      <c r="A101" s="49"/>
      <c r="B101" s="49"/>
      <c r="C101" s="49"/>
      <c r="D101" s="49"/>
      <c r="E101" s="49"/>
      <c r="F101" s="49"/>
      <c r="G101" s="49"/>
      <c r="H101" s="49"/>
      <c r="I101" s="49"/>
      <c r="J101" s="49"/>
      <c r="K101" s="49"/>
      <c r="L101" s="49"/>
      <c r="M101" s="49"/>
      <c r="N101" s="49"/>
      <c r="O101" s="49"/>
      <c r="P101" s="49"/>
      <c r="Q101" s="49"/>
      <c r="R101" s="49"/>
      <c r="S101" s="49"/>
      <c r="T101" s="49"/>
      <c r="U101" s="49"/>
      <c r="V101" s="49"/>
      <c r="W101" s="49"/>
      <c r="X101" s="49"/>
    </row>
    <row r="102">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row>
    <row r="103">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row>
    <row r="104">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row>
    <row r="10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row>
    <row r="106">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row>
    <row r="107">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row>
    <row r="108">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row>
    <row r="109">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row>
    <row r="110">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row>
    <row r="111">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row>
    <row r="112">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row>
    <row r="113">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row>
    <row r="114">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row>
    <row r="11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row>
    <row r="116">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row>
    <row r="117">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row>
    <row r="118">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row>
    <row r="119">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row>
    <row r="120">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row>
    <row r="121">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row>
    <row r="122">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row>
    <row r="123">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row>
    <row r="124">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row>
    <row r="1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row>
    <row r="126">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row>
    <row r="127">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row>
    <row r="128">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row>
    <row r="129">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row>
    <row r="130">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row>
    <row r="131">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row>
    <row r="132">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row>
    <row r="133">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row>
    <row r="134">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row>
    <row r="13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row>
    <row r="136">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row>
    <row r="137">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row>
    <row r="138">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row>
    <row r="139">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row>
    <row r="140">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row>
    <row r="141">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row>
    <row r="142">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row>
    <row r="143">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row>
    <row r="144">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row>
    <row r="14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row>
    <row r="146">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row>
    <row r="147">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row>
    <row r="148">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row>
    <row r="149">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row>
    <row r="150">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row>
    <row r="151">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row>
    <row r="152">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row>
    <row r="153">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row>
    <row r="154">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row>
    <row r="15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row>
    <row r="156">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row>
    <row r="157">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row>
    <row r="158">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row>
    <row r="159">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row>
    <row r="160">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row>
    <row r="161">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row>
    <row r="162">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row>
    <row r="163">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row>
    <row r="164">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row>
    <row r="16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row>
    <row r="166">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row>
    <row r="167">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row>
    <row r="168">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row>
    <row r="169">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row>
    <row r="170">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row>
    <row r="171">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row>
    <row r="172">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row>
    <row r="173">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row>
    <row r="174">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row>
    <row r="17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row>
    <row r="176">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row>
    <row r="177">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row>
    <row r="178">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row>
    <row r="179">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row>
    <row r="180">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row>
    <row r="181">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row>
    <row r="182">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row>
    <row r="183">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row>
    <row r="184">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row>
    <row r="18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row>
    <row r="186">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row>
    <row r="187">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row>
    <row r="188">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row>
    <row r="189">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row>
    <row r="190">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row>
    <row r="191">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row>
    <row r="192">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row>
    <row r="193">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row>
    <row r="194">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row>
    <row r="19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row>
    <row r="196">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row>
    <row r="197">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row>
    <row r="198">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row>
    <row r="199">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row>
    <row r="200">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row>
    <row r="201">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row>
    <row r="202">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row>
    <row r="203">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row>
    <row r="204">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row>
    <row r="20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row>
    <row r="206">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row>
    <row r="207">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row>
    <row r="208">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row>
    <row r="209">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row>
    <row r="210">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row>
    <row r="211">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row>
    <row r="212">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row>
    <row r="213">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row>
    <row r="214">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row>
    <row r="21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row>
    <row r="216">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row>
    <row r="217">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row>
    <row r="218">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row>
    <row r="219">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row>
    <row r="220">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row>
    <row r="221">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row>
    <row r="222">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row>
    <row r="223">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row>
    <row r="224">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row>
    <row r="2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row>
    <row r="226">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row>
    <row r="227">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row>
    <row r="228">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row>
    <row r="229">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row>
    <row r="230">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row>
    <row r="231">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row>
    <row r="232">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row>
    <row r="233">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row>
    <row r="234">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row>
    <row r="23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row>
    <row r="236">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row>
    <row r="237">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row>
    <row r="238">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row>
    <row r="239">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row>
    <row r="240">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row>
    <row r="241">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row>
    <row r="242">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row>
    <row r="243">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row>
    <row r="244">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row>
    <row r="24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row>
    <row r="246">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row>
    <row r="247">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row>
    <row r="248">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row>
    <row r="249">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row>
    <row r="250">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row>
    <row r="251">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row>
    <row r="252">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row>
    <row r="253">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row>
    <row r="254">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row>
    <row r="25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row>
    <row r="256">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row>
    <row r="257">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row>
    <row r="258">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row>
    <row r="259">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row>
    <row r="260">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row>
    <row r="261">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row>
    <row r="262">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row>
    <row r="263">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row>
    <row r="264">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row>
    <row r="26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row>
    <row r="266">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row>
    <row r="267">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row>
    <row r="268">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row>
    <row r="269">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row>
    <row r="270">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row>
    <row r="271">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row>
    <row r="272">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row>
    <row r="273">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row>
    <row r="274">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row>
    <row r="27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row>
    <row r="276">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row>
    <row r="277">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row>
    <row r="278">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row>
    <row r="279">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row>
    <row r="280">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row>
    <row r="281">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row>
    <row r="282">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row>
    <row r="283">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row>
    <row r="284">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row>
    <row r="28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row>
    <row r="286">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row>
    <row r="287">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row>
    <row r="288">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row>
    <row r="289">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row>
    <row r="290">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row>
    <row r="291">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row>
    <row r="292">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row>
    <row r="293">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row>
    <row r="294">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row>
    <row r="29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row>
    <row r="296">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row>
    <row r="297">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row>
    <row r="298">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row>
    <row r="299">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row>
    <row r="300">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row>
    <row r="301">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row>
    <row r="302">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row>
    <row r="303">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row>
    <row r="304">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row>
    <row r="30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row>
    <row r="306">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row>
    <row r="307">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row>
    <row r="308">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row>
    <row r="309">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row>
    <row r="310">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row>
    <row r="311">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row>
    <row r="312">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row>
    <row r="313">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row>
    <row r="314">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row>
    <row r="31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row>
    <row r="316">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row>
    <row r="317">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row>
    <row r="318">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row>
    <row r="319">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row>
    <row r="320">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row>
    <row r="321">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row>
    <row r="322">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row>
    <row r="323">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row>
    <row r="324">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row>
    <row r="3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row>
    <row r="326">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row>
    <row r="327">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row>
    <row r="328">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row>
    <row r="329">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row>
    <row r="330">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row>
    <row r="331">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row>
    <row r="332">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row>
    <row r="333">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row>
    <row r="334">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row>
    <row r="33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row>
    <row r="336">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row>
    <row r="337">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row>
    <row r="338">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row>
    <row r="339">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row>
    <row r="340">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row>
    <row r="341">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row>
    <row r="342">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row>
    <row r="343">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row>
    <row r="344">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row>
    <row r="34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row>
    <row r="346">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row>
    <row r="347">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row>
    <row r="348">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row>
    <row r="349">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row>
    <row r="350">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row>
    <row r="351">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row>
    <row r="352">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row>
    <row r="353">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row>
    <row r="354">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row>
    <row r="35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row>
    <row r="356">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row>
    <row r="357">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row>
    <row r="358">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row>
    <row r="359">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row>
    <row r="360">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row>
    <row r="361">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row>
    <row r="362">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row>
    <row r="363">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row>
    <row r="364">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row>
    <row r="36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row>
    <row r="366">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row>
    <row r="367">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row>
    <row r="368">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row>
    <row r="369">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row>
    <row r="370">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row>
    <row r="371">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row>
    <row r="372">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row>
    <row r="373">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row>
    <row r="374">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row>
    <row r="37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row>
    <row r="376">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row>
    <row r="377">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row>
    <row r="378">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row>
    <row r="379">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row>
    <row r="380">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row>
    <row r="381">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row>
    <row r="382">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row>
    <row r="383">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row>
    <row r="384">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row>
    <row r="38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row>
    <row r="386">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row>
    <row r="387">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row>
    <row r="388">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row>
    <row r="389">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row>
    <row r="390">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row>
    <row r="391">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row>
    <row r="392">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row>
    <row r="393">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row>
    <row r="394">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row>
    <row r="39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row>
    <row r="396">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row>
    <row r="397">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row>
    <row r="398">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row>
    <row r="399">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row>
    <row r="400">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row>
    <row r="401">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row>
    <row r="402">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row>
    <row r="403">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row>
    <row r="404">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row>
    <row r="40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row>
    <row r="406">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row>
    <row r="407">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row>
    <row r="408">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row>
    <row r="409">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row>
    <row r="410">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row>
    <row r="411">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row>
    <row r="412">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row>
    <row r="413">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row>
    <row r="414">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row>
    <row r="41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row>
    <row r="416">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row>
    <row r="417">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row>
    <row r="418">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row>
    <row r="419">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row>
    <row r="420">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row>
    <row r="421">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row>
    <row r="422">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row>
    <row r="423">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row>
    <row r="424">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row>
    <row r="4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row>
    <row r="426">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row>
    <row r="427">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row>
    <row r="428">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row>
    <row r="429">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row>
    <row r="430">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row>
    <row r="431">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row>
    <row r="432">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row>
    <row r="433">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row>
    <row r="434">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row>
    <row r="4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row>
    <row r="436">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row>
    <row r="437">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row>
    <row r="438">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row>
    <row r="439">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row>
    <row r="440">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row>
    <row r="441">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row>
    <row r="442">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row>
    <row r="443">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row>
    <row r="444">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row>
    <row r="44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row>
    <row r="446">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row>
    <row r="447">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row>
    <row r="448">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row>
    <row r="449">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row>
    <row r="450">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row>
    <row r="451">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row>
    <row r="452">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row>
    <row r="453">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row>
    <row r="454">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row>
    <row r="45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row>
    <row r="456">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row>
    <row r="457">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row>
    <row r="458">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row>
    <row r="459">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row>
    <row r="460">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row>
    <row r="461">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row>
    <row r="462">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row>
    <row r="463">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row>
    <row r="464">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row>
    <row r="46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row>
    <row r="466">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row>
    <row r="467">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row>
    <row r="468">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row>
    <row r="469">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row>
    <row r="470">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row>
    <row r="471">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row>
    <row r="472">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row>
    <row r="473">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row>
    <row r="474">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row>
    <row r="47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row>
    <row r="476">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row>
    <row r="477">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row>
    <row r="478">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row>
    <row r="479">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row>
    <row r="480">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row>
    <row r="481">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row>
    <row r="482">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row>
    <row r="483">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row>
    <row r="484">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row>
    <row r="48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row>
    <row r="486">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row>
    <row r="487">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row>
    <row r="488">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row>
    <row r="489">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row>
    <row r="490">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row>
    <row r="491">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row>
    <row r="492">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row>
    <row r="493">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row>
    <row r="494">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row>
    <row r="49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row>
    <row r="496">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row>
    <row r="497">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row>
    <row r="498">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row>
    <row r="499">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row>
    <row r="500">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row>
    <row r="501">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row>
    <row r="502">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row>
    <row r="503">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row>
    <row r="504">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row>
    <row r="50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row>
    <row r="506">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row>
    <row r="507">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row>
    <row r="508">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row>
    <row r="509">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row>
    <row r="510">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row>
    <row r="511">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row>
    <row r="512">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row>
    <row r="513">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row>
    <row r="514">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row>
    <row r="51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row>
    <row r="516">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row>
    <row r="517">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row>
    <row r="518">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row>
    <row r="519">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row>
    <row r="520">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row>
    <row r="521">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row>
    <row r="522">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row>
    <row r="523">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row>
    <row r="524">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row>
    <row r="5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row>
    <row r="526">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row>
    <row r="527">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row>
    <row r="528">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row>
    <row r="529">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row>
    <row r="530">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row>
    <row r="531">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row>
    <row r="532">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row>
    <row r="533">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row>
    <row r="534">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row>
    <row r="5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row>
    <row r="536">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row>
    <row r="537">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row>
    <row r="538">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row>
    <row r="539">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row>
    <row r="540">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row>
    <row r="541">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row>
    <row r="542">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row>
    <row r="543">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row>
    <row r="544">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row>
    <row r="54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row>
    <row r="546">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row>
    <row r="547">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row>
    <row r="548">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row>
    <row r="549">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row>
    <row r="550">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row>
    <row r="551">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row>
    <row r="552">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row>
    <row r="553">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row>
    <row r="554">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row>
    <row r="55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row>
    <row r="556">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row>
    <row r="557">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row>
    <row r="558">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row>
    <row r="559">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row>
    <row r="560">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row>
    <row r="561">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row>
    <row r="562">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row>
    <row r="563">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row>
    <row r="564">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row>
    <row r="56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row>
    <row r="566">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row>
    <row r="567">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row>
    <row r="568">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row>
    <row r="569">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row>
    <row r="570">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row>
    <row r="571">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row>
    <row r="572">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row>
    <row r="573">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row>
    <row r="574">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row>
    <row r="57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row>
    <row r="576">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row>
    <row r="577">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row>
    <row r="578">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row>
    <row r="579">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row>
    <row r="580">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row>
    <row r="581">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row>
    <row r="582">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row>
    <row r="583">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row>
    <row r="584">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row>
    <row r="58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row>
    <row r="586">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row>
    <row r="587">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row>
    <row r="588">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row>
    <row r="589">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row>
    <row r="590">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row>
    <row r="591">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row>
    <row r="592">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row>
    <row r="593">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row>
    <row r="594">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row>
    <row r="59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row>
    <row r="596">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row>
    <row r="597">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row>
    <row r="598">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row>
    <row r="599">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row>
    <row r="600">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row>
    <row r="601">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row>
    <row r="602">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row>
    <row r="603">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row>
    <row r="604">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row>
    <row r="60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row>
    <row r="606">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row>
    <row r="607">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row>
    <row r="608">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row>
    <row r="609">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row>
    <row r="610">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row>
    <row r="611">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row>
    <row r="612">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row>
    <row r="613">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row>
    <row r="614">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row>
    <row r="61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row>
    <row r="616">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row>
    <row r="617">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row>
    <row r="618">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row>
    <row r="619">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row>
    <row r="620">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row>
    <row r="621">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row>
    <row r="622">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row>
    <row r="623">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row>
    <row r="624">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row>
    <row r="6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row>
    <row r="626">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row>
    <row r="627">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row>
    <row r="628">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row>
    <row r="629">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row>
    <row r="630">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row>
    <row r="631">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row>
    <row r="632">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row>
    <row r="633">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row>
    <row r="634">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row>
    <row r="6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row>
    <row r="636">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row>
    <row r="637">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row>
    <row r="638">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row>
    <row r="639">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row>
    <row r="640">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row>
    <row r="641">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row>
    <row r="642">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row>
    <row r="643">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row>
    <row r="644">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row>
    <row r="64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row>
    <row r="646">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row>
    <row r="647">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row>
    <row r="648">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row>
    <row r="649">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row>
    <row r="650">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row>
    <row r="651">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row>
    <row r="652">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row>
    <row r="653">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row>
    <row r="654">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row>
    <row r="65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row>
    <row r="656">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row>
    <row r="657">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row>
    <row r="658">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row>
    <row r="659">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row>
    <row r="660">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row>
    <row r="661">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row>
    <row r="662">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row>
    <row r="663">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row>
    <row r="664">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row>
    <row r="66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row>
    <row r="666">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row>
    <row r="667">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row>
    <row r="668">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row>
    <row r="669">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row>
    <row r="670">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row>
    <row r="671">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row>
    <row r="672">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row>
    <row r="673">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row>
    <row r="674">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row>
    <row r="67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row>
    <row r="676">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row>
    <row r="677">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row>
    <row r="678">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row>
    <row r="679">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row>
    <row r="680">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row>
    <row r="681">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row>
    <row r="682">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row>
    <row r="683">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row>
    <row r="684">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row>
    <row r="68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row>
    <row r="686">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row>
    <row r="687">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row>
    <row r="688">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row>
    <row r="689">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row>
    <row r="690">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row>
    <row r="691">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row>
    <row r="692">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row>
    <row r="693">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row>
    <row r="694">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row>
    <row r="69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row>
    <row r="696">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row>
    <row r="697">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row>
    <row r="698">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row>
    <row r="699">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row>
    <row r="700">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row>
    <row r="701">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row>
    <row r="702">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row>
    <row r="703">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row>
    <row r="704">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row>
    <row r="70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row>
    <row r="706">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row>
    <row r="707">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row>
    <row r="708">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row>
    <row r="709">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row>
    <row r="710">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row>
    <row r="711">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row>
    <row r="712">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row>
    <row r="713">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row>
    <row r="714">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row>
    <row r="71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row>
    <row r="716">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row>
    <row r="717">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row>
    <row r="718">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row>
    <row r="719">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row>
    <row r="720">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row>
    <row r="721">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row>
    <row r="722">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row>
    <row r="723">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row>
    <row r="724">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row>
    <row r="7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row>
    <row r="726">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row>
    <row r="727">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row>
    <row r="728">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row>
    <row r="729">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row>
    <row r="730">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row>
    <row r="731">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row>
    <row r="732">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row>
    <row r="733">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row>
    <row r="734">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row>
    <row r="7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row>
    <row r="736">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row>
    <row r="737">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row>
    <row r="738">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row>
    <row r="739">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row>
    <row r="740">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row>
    <row r="741">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row>
    <row r="742">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row>
    <row r="743">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row>
    <row r="744">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row>
    <row r="74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row>
    <row r="746">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row>
    <row r="747">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row>
    <row r="748">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row>
    <row r="749">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row>
    <row r="750">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row>
    <row r="751">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row>
    <row r="752">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row>
    <row r="753">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row>
    <row r="754">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row>
    <row r="75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row>
    <row r="756">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row>
    <row r="757">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row>
    <row r="758">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row>
    <row r="759">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row>
    <row r="760">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row>
    <row r="761">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row>
    <row r="762">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row>
    <row r="763">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row>
    <row r="764">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row>
    <row r="76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row>
    <row r="766">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row>
    <row r="767">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row>
    <row r="768">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row>
    <row r="769">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row>
    <row r="770">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row>
    <row r="771">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row>
    <row r="772">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row>
    <row r="773">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row>
    <row r="774">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row>
    <row r="77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row>
    <row r="776">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row>
    <row r="777">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row>
    <row r="778">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row>
    <row r="779">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row>
    <row r="780">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row>
    <row r="781">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row>
    <row r="782">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row>
    <row r="783">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row>
    <row r="784">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row>
    <row r="78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row>
    <row r="786">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row>
    <row r="787">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row>
    <row r="788">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row>
    <row r="789">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row>
    <row r="790">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row>
    <row r="791">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row>
    <row r="792">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row>
    <row r="793">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row>
    <row r="794">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row>
    <row r="79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row>
    <row r="796">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row>
    <row r="797">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row>
    <row r="798">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row>
    <row r="799">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row>
    <row r="800">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row>
    <row r="801">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row>
    <row r="802">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row>
    <row r="803">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row>
    <row r="804">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row>
    <row r="80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row>
    <row r="806">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row>
    <row r="807">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row>
    <row r="808">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row>
    <row r="809">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row>
    <row r="810">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row>
    <row r="811">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row>
    <row r="812">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row>
    <row r="813">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row>
    <row r="814">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row>
    <row r="81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row>
    <row r="816">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row>
    <row r="817">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row>
    <row r="818">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row>
    <row r="819">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row>
    <row r="820">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row>
    <row r="821">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row>
    <row r="822">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row>
    <row r="823">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row>
    <row r="824">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row>
    <row r="8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row>
    <row r="826">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row>
    <row r="827">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row>
    <row r="828">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row>
    <row r="829">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row>
    <row r="830">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row>
    <row r="831">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row>
    <row r="832">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row>
    <row r="833">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row>
    <row r="834">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row>
    <row r="8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row>
    <row r="836">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row>
    <row r="837">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row>
    <row r="838">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row>
    <row r="839">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row>
    <row r="840">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row>
    <row r="841">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row>
    <row r="842">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row>
    <row r="843">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row>
    <row r="844">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row>
    <row r="84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row>
    <row r="846">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row>
    <row r="847">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row>
    <row r="848">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row>
    <row r="849">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row>
    <row r="850">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row>
    <row r="851">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row>
    <row r="852">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row>
    <row r="853">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row>
    <row r="854">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row>
    <row r="85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row>
    <row r="856">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row>
    <row r="857">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row>
    <row r="858">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row>
    <row r="859">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row>
    <row r="860">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row>
    <row r="861">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row>
    <row r="862">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row>
    <row r="863">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row>
    <row r="864">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row>
    <row r="86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row>
    <row r="866">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row>
    <row r="867">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row>
    <row r="868">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row>
    <row r="869">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row>
    <row r="870">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row>
    <row r="871">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row>
    <row r="872">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row>
    <row r="873">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row>
    <row r="874">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row>
    <row r="87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row>
    <row r="876">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row>
    <row r="877">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row>
    <row r="878">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row>
    <row r="879">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row>
    <row r="880">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row>
    <row r="881">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row>
    <row r="882">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row>
    <row r="883">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row>
    <row r="884">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row>
    <row r="88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row>
    <row r="886">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row>
    <row r="887">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row>
    <row r="888">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row>
    <row r="889">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row>
    <row r="890">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row>
    <row r="891">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row>
    <row r="892">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row>
    <row r="893">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row>
    <row r="894">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row>
    <row r="89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row>
    <row r="896">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row>
    <row r="897">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row>
    <row r="898">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row>
    <row r="899">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row>
    <row r="900">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row>
    <row r="901">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row>
    <row r="902">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row>
    <row r="903">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row>
    <row r="904">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row>
    <row r="90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row>
    <row r="906">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row>
    <row r="907">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row>
    <row r="908">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row>
    <row r="909">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row>
    <row r="910">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row>
    <row r="911">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row>
    <row r="912">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row>
    <row r="913">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row>
    <row r="914">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row>
    <row r="91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row>
    <row r="916">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row>
    <row r="917">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row>
    <row r="918">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row>
    <row r="919">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row>
    <row r="920">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row>
    <row r="921">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row>
    <row r="922">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row>
    <row r="923">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row>
    <row r="924">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row>
    <row r="9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row>
    <row r="926">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row>
    <row r="927">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row>
    <row r="928">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row>
    <row r="929">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row>
    <row r="930">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row>
    <row r="931">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row>
    <row r="932">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row>
    <row r="933">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row>
    <row r="934">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row>
    <row r="9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row>
    <row r="936">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row>
    <row r="937">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row>
    <row r="938">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row>
    <row r="939">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row>
    <row r="940">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row>
    <row r="941">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row>
    <row r="942">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row>
    <row r="943">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row>
    <row r="944">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row>
    <row r="94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row>
    <row r="946">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row>
    <row r="947">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row>
    <row r="948">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row>
    <row r="949">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row>
    <row r="950">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row>
    <row r="951">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row>
    <row r="952">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row>
    <row r="953">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row>
    <row r="954">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row>
    <row r="95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row>
    <row r="956">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row>
    <row r="957">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row>
    <row r="958">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row>
    <row r="959">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row>
    <row r="960">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row>
    <row r="961">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row>
    <row r="962">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row>
    <row r="963">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row>
    <row r="964">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row>
    <row r="96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row>
    <row r="966">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row>
    <row r="967">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row>
    <row r="968">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row>
    <row r="969">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row>
    <row r="970">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row>
    <row r="971">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row>
    <row r="972">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row>
    <row r="973">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row>
    <row r="974">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row>
    <row r="97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row>
    <row r="976">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row>
    <row r="977">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row>
    <row r="978">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row>
    <row r="979">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row>
    <row r="980">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row>
    <row r="981">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row>
    <row r="982">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row>
    <row r="983">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row>
    <row r="984">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row>
    <row r="98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row>
    <row r="986">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row>
    <row r="987">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row>
    <row r="988">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row>
    <row r="989">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row>
    <row r="990">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row>
    <row r="991">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row>
    <row r="992">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row>
    <row r="993">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row>
    <row r="994">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row>
    <row r="99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row>
    <row r="996">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row>
    <row r="997">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row>
    <row r="998">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row>
    <row r="999">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row>
    <row r="1000">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9" t="str">
        <f>IFERROR(__xludf.DUMMYFUNCTION("IMPORTRANGE(""https://docs.google.com/spreadsheets/d/""&amp;Config!B2,""Guilds!A:AX"")"),"Guild Name")</f>
        <v>Guild Name</v>
      </c>
      <c r="B1" s="49" t="str">
        <f>IFERROR(__xludf.DUMMYFUNCTION("""COMPUTED_VALUE"""),"Guild Type")</f>
        <v>Guild Type</v>
      </c>
      <c r="C1" s="49" t="str">
        <f>IFERROR(__xludf.DUMMYFUNCTION("""COMPUTED_VALUE"""),"Description")</f>
        <v>Description</v>
      </c>
      <c r="D1" s="49"/>
      <c r="E1" s="49"/>
      <c r="F1" s="49"/>
      <c r="G1" s="49"/>
      <c r="H1" s="49"/>
      <c r="I1" s="49"/>
      <c r="J1" s="49"/>
      <c r="K1" s="49"/>
      <c r="L1" s="49"/>
      <c r="M1" s="49"/>
      <c r="N1" s="49"/>
      <c r="O1" s="49"/>
      <c r="P1" s="49"/>
      <c r="Q1" s="49"/>
      <c r="R1" s="49"/>
      <c r="S1" s="49"/>
      <c r="T1" s="49"/>
      <c r="U1" s="49"/>
      <c r="V1" s="49"/>
      <c r="W1" s="49"/>
      <c r="X1" s="49"/>
      <c r="Y1" s="49"/>
      <c r="Z1" s="49"/>
    </row>
    <row r="2">
      <c r="A2" s="49" t="str">
        <f>IFERROR(__xludf.DUMMYFUNCTION("""COMPUTED_VALUE"""),"Adventurers Guild")</f>
        <v>Adventurers Guild</v>
      </c>
      <c r="B2" s="49" t="str">
        <f>IFERROR(__xludf.DUMMYFUNCTION("""COMPUTED_VALUE"""),"Public")</f>
        <v>Public</v>
      </c>
      <c r="C2" s="49" t="str">
        <f>IFERROR(__xludf.DUMMYFUNCTION("""COMPUTED_VALUE"""),"A guild that takes contracts and jobs from various people, governments, and entities and assigns their members to take care of them.")</f>
        <v>A guild that takes contracts and jobs from various people, governments, and entities and assigns their members to take care of them.</v>
      </c>
      <c r="D2" s="49"/>
      <c r="E2" s="49"/>
      <c r="F2" s="49"/>
      <c r="G2" s="49"/>
      <c r="H2" s="49"/>
      <c r="I2" s="49"/>
      <c r="J2" s="49"/>
      <c r="K2" s="49"/>
      <c r="L2" s="49"/>
      <c r="M2" s="49"/>
      <c r="N2" s="49"/>
      <c r="O2" s="49"/>
      <c r="P2" s="49"/>
      <c r="Q2" s="49"/>
      <c r="R2" s="49"/>
      <c r="S2" s="49"/>
      <c r="T2" s="49"/>
      <c r="U2" s="49"/>
      <c r="V2" s="49"/>
      <c r="W2" s="49"/>
      <c r="X2" s="49"/>
      <c r="Y2" s="49"/>
      <c r="Z2" s="49"/>
    </row>
    <row r="3">
      <c r="A3" s="49" t="str">
        <f>IFERROR(__xludf.DUMMYFUNCTION("""COMPUTED_VALUE"""),"Merchants Guild")</f>
        <v>Merchants Guild</v>
      </c>
      <c r="B3" s="49" t="str">
        <f>IFERROR(__xludf.DUMMYFUNCTION("""COMPUTED_VALUE"""),"Public")</f>
        <v>Public</v>
      </c>
      <c r="C3" s="49" t="str">
        <f>IFERROR(__xludf.DUMMYFUNCTION("""COMPUTED_VALUE"""),"Traders interested in trading, buying, and selling within The Land of Spira. The privileged fraternity formed by the merchants.")</f>
        <v>Traders interested in trading, buying, and selling within The Land of Spira. The privileged fraternity formed by the merchants.</v>
      </c>
      <c r="D3" s="49"/>
      <c r="E3" s="49"/>
      <c r="F3" s="49"/>
      <c r="G3" s="49"/>
      <c r="H3" s="49"/>
      <c r="I3" s="49"/>
      <c r="J3" s="49"/>
      <c r="K3" s="49"/>
      <c r="L3" s="49"/>
      <c r="M3" s="49"/>
      <c r="N3" s="49"/>
      <c r="O3" s="49"/>
      <c r="P3" s="49"/>
      <c r="Q3" s="49"/>
      <c r="R3" s="49"/>
      <c r="S3" s="49"/>
      <c r="T3" s="49"/>
      <c r="U3" s="49"/>
      <c r="V3" s="49"/>
      <c r="W3" s="49"/>
      <c r="X3" s="49"/>
      <c r="Y3" s="49"/>
      <c r="Z3" s="49"/>
    </row>
    <row r="4">
      <c r="A4" s="49" t="str">
        <f>IFERROR(__xludf.DUMMYFUNCTION("""COMPUTED_VALUE"""),"Thieves Guild")</f>
        <v>Thieves Guild</v>
      </c>
      <c r="B4" s="49" t="str">
        <f>IFERROR(__xludf.DUMMYFUNCTION("""COMPUTED_VALUE"""),"Private")</f>
        <v>Private</v>
      </c>
      <c r="C4" s="49" t="str">
        <f>IFERROR(__xludf.DUMMYFUNCTION("""COMPUTED_VALUE"""),"A formal association of criminals who participate in theft-related organized crime. This guild only welcomes criminals.")</f>
        <v>A formal association of criminals who participate in theft-related organized crime. This guild only welcomes criminals.</v>
      </c>
      <c r="D4" s="49"/>
      <c r="E4" s="49"/>
      <c r="F4" s="49"/>
      <c r="G4" s="49"/>
      <c r="H4" s="49"/>
      <c r="I4" s="49"/>
      <c r="J4" s="49"/>
      <c r="K4" s="49"/>
      <c r="L4" s="49"/>
      <c r="M4" s="49"/>
      <c r="N4" s="49"/>
      <c r="O4" s="49"/>
      <c r="P4" s="49"/>
      <c r="Q4" s="49"/>
      <c r="R4" s="49"/>
      <c r="S4" s="49"/>
      <c r="T4" s="49"/>
      <c r="U4" s="49"/>
      <c r="V4" s="49"/>
      <c r="W4" s="49"/>
      <c r="X4" s="49"/>
      <c r="Y4" s="49"/>
      <c r="Z4" s="49"/>
    </row>
    <row r="5">
      <c r="A5" s="49" t="str">
        <f>IFERROR(__xludf.DUMMYFUNCTION("""COMPUTED_VALUE"""),"Blacksmiths Guild")</f>
        <v>Blacksmiths Guild</v>
      </c>
      <c r="B5" s="49" t="str">
        <f>IFERROR(__xludf.DUMMYFUNCTION("""COMPUTED_VALUE"""),"Public")</f>
        <v>Public</v>
      </c>
      <c r="C5" s="49" t="str">
        <f>IFERROR(__xludf.DUMMYFUNCTION("""COMPUTED_VALUE"""),"The Guild welcomes both working blacksmiths and members of the public. For those active in ironwork, it is a structure to share work and pool resources, increasing learning and productivity.")</f>
        <v>The Guild welcomes both working blacksmiths and members of the public. For those active in ironwork, it is a structure to share work and pool resources, increasing learning and productivity.</v>
      </c>
      <c r="D5" s="49"/>
      <c r="E5" s="49"/>
      <c r="F5" s="49"/>
      <c r="G5" s="49"/>
      <c r="H5" s="49"/>
      <c r="I5" s="49"/>
      <c r="J5" s="49"/>
      <c r="K5" s="49"/>
      <c r="L5" s="49"/>
      <c r="M5" s="49"/>
      <c r="N5" s="49"/>
      <c r="O5" s="49"/>
      <c r="P5" s="49"/>
      <c r="Q5" s="49"/>
      <c r="R5" s="49"/>
      <c r="S5" s="49"/>
      <c r="T5" s="49"/>
      <c r="U5" s="49"/>
      <c r="V5" s="49"/>
      <c r="W5" s="49"/>
      <c r="X5" s="49"/>
      <c r="Y5" s="49"/>
      <c r="Z5" s="49"/>
    </row>
    <row r="6">
      <c r="A6" s="49" t="str">
        <f>IFERROR(__xludf.DUMMYFUNCTION("""COMPUTED_VALUE"""),"Enchanters Guild")</f>
        <v>Enchanters Guild</v>
      </c>
      <c r="B6" s="49" t="str">
        <f>IFERROR(__xludf.DUMMYFUNCTION("""COMPUTED_VALUE"""),"Public")</f>
        <v>Public</v>
      </c>
      <c r="C6" s="49" t="str">
        <f>IFERROR(__xludf.DUMMYFUNCTION("""COMPUTED_VALUE"""),"This guild is the natural home to the tinkering spell caster. The enchanters like nothing more than mixing and matching items of arcana.")</f>
        <v>This guild is the natural home to the tinkering spell caster. The enchanters like nothing more than mixing and matching items of arcana.</v>
      </c>
      <c r="D6" s="49"/>
      <c r="E6" s="49"/>
      <c r="F6" s="49"/>
      <c r="G6" s="49"/>
      <c r="H6" s="49"/>
      <c r="I6" s="49"/>
      <c r="J6" s="49"/>
      <c r="K6" s="49"/>
      <c r="L6" s="49"/>
      <c r="M6" s="49"/>
      <c r="N6" s="49"/>
      <c r="O6" s="49"/>
      <c r="P6" s="49"/>
      <c r="Q6" s="49"/>
      <c r="R6" s="49"/>
      <c r="S6" s="49"/>
      <c r="T6" s="49"/>
      <c r="U6" s="49"/>
      <c r="V6" s="49"/>
      <c r="W6" s="49"/>
      <c r="X6" s="49"/>
      <c r="Y6" s="49"/>
      <c r="Z6" s="49"/>
    </row>
    <row r="7">
      <c r="A7" s="49" t="str">
        <f>IFERROR(__xludf.DUMMYFUNCTION("""COMPUTED_VALUE"""),"Alchemists Guild")</f>
        <v>Alchemists Guild</v>
      </c>
      <c r="B7" s="49" t="str">
        <f>IFERROR(__xludf.DUMMYFUNCTION("""COMPUTED_VALUE"""),"Public")</f>
        <v>Public</v>
      </c>
      <c r="C7" s="49" t="str">
        <f>IFERROR(__xludf.DUMMYFUNCTION("""COMPUTED_VALUE"""),"The Alchemists' Guild is an ancient order claiming magical and arcane knowledge.")</f>
        <v>The Alchemists' Guild is an ancient order claiming magical and arcane knowledge.</v>
      </c>
      <c r="D7" s="49"/>
      <c r="E7" s="49"/>
      <c r="F7" s="49"/>
      <c r="G7" s="49"/>
      <c r="H7" s="49"/>
      <c r="I7" s="49"/>
      <c r="J7" s="49"/>
      <c r="K7" s="49"/>
      <c r="L7" s="49"/>
      <c r="M7" s="49"/>
      <c r="N7" s="49"/>
      <c r="O7" s="49"/>
      <c r="P7" s="49"/>
      <c r="Q7" s="49"/>
      <c r="R7" s="49"/>
      <c r="S7" s="49"/>
      <c r="T7" s="49"/>
      <c r="U7" s="49"/>
      <c r="V7" s="49"/>
      <c r="W7" s="49"/>
      <c r="X7" s="49"/>
      <c r="Y7" s="49"/>
      <c r="Z7" s="49"/>
    </row>
    <row r="8">
      <c r="A8" s="49" t="str">
        <f>IFERROR(__xludf.DUMMYFUNCTION("""COMPUTED_VALUE"""),"Chefs Guild")</f>
        <v>Chefs Guild</v>
      </c>
      <c r="B8" s="49" t="str">
        <f>IFERROR(__xludf.DUMMYFUNCTION("""COMPUTED_VALUE"""),"Public")</f>
        <v>Public</v>
      </c>
      <c r="C8" s="49" t="str">
        <f>IFERROR(__xludf.DUMMYFUNCTION("""COMPUTED_VALUE"""),"A guild for chefs alike to come together and prepare meals for the travelers of Spira.")</f>
        <v>A guild for chefs alike to come together and prepare meals for the travelers of Spira.</v>
      </c>
      <c r="D8" s="49"/>
      <c r="E8" s="49"/>
      <c r="F8" s="49"/>
      <c r="G8" s="49"/>
      <c r="H8" s="49"/>
      <c r="I8" s="49"/>
      <c r="J8" s="49"/>
      <c r="K8" s="49"/>
      <c r="L8" s="49"/>
      <c r="M8" s="49"/>
      <c r="N8" s="49"/>
      <c r="O8" s="49"/>
      <c r="P8" s="49"/>
      <c r="Q8" s="49"/>
      <c r="R8" s="49"/>
      <c r="S8" s="49"/>
      <c r="T8" s="49"/>
      <c r="U8" s="49"/>
      <c r="V8" s="49"/>
      <c r="W8" s="49"/>
      <c r="X8" s="49"/>
      <c r="Y8" s="49"/>
      <c r="Z8" s="49"/>
    </row>
    <row r="9">
      <c r="A9" s="49" t="str">
        <f>IFERROR(__xludf.DUMMYFUNCTION("""COMPUTED_VALUE"""),"Beast Masters Guild")</f>
        <v>Beast Masters Guild</v>
      </c>
      <c r="B9" s="49" t="str">
        <f>IFERROR(__xludf.DUMMYFUNCTION("""COMPUTED_VALUE"""),"Public")</f>
        <v>Public</v>
      </c>
      <c r="C9" s="49" t="str">
        <f>IFERROR(__xludf.DUMMYFUNCTION("""COMPUTED_VALUE"""),"A guild to help companion lovers share their experiences and knowledge of creatures across The Land Of Spira.")</f>
        <v>A guild to help companion lovers share their experiences and knowledge of creatures across The Land Of Spira.</v>
      </c>
      <c r="D9" s="49"/>
      <c r="E9" s="49"/>
      <c r="F9" s="49"/>
      <c r="G9" s="49"/>
      <c r="H9" s="49"/>
      <c r="I9" s="49"/>
      <c r="J9" s="49"/>
      <c r="K9" s="49"/>
      <c r="L9" s="49"/>
      <c r="M9" s="49"/>
      <c r="N9" s="49"/>
      <c r="O9" s="49"/>
      <c r="P9" s="49"/>
      <c r="Q9" s="49"/>
      <c r="R9" s="49"/>
      <c r="S9" s="49"/>
      <c r="T9" s="49"/>
      <c r="U9" s="49"/>
      <c r="V9" s="49"/>
      <c r="W9" s="49"/>
      <c r="X9" s="49"/>
      <c r="Y9" s="49"/>
      <c r="Z9" s="49"/>
    </row>
    <row r="10">
      <c r="A10" s="49" t="str">
        <f>IFERROR(__xludf.DUMMYFUNCTION("""COMPUTED_VALUE"""),"Royal Knights of Spira Guild")</f>
        <v>Royal Knights of Spira Guild</v>
      </c>
      <c r="B10" s="49" t="str">
        <f>IFERROR(__xludf.DUMMYFUNCTION("""COMPUTED_VALUE"""),"Private")</f>
        <v>Private</v>
      </c>
      <c r="C10" s="49" t="str">
        <f>IFERROR(__xludf.DUMMYFUNCTION("""COMPUTED_VALUE"""),"A large but highly-structured alliance of guards whose members represent a variety of age groups and who come from various cities across The Land of Spira to help people in need. This guild only welcomes guards of Spira.")</f>
        <v>A large but highly-structured alliance of guards whose members represent a variety of age groups and who come from various cities across The Land of Spira to help people in need. This guild only welcomes guards of Spira.</v>
      </c>
      <c r="D10" s="49"/>
      <c r="E10" s="49"/>
      <c r="F10" s="49"/>
      <c r="G10" s="49"/>
      <c r="H10" s="49"/>
      <c r="I10" s="49"/>
      <c r="J10" s="49"/>
      <c r="K10" s="49"/>
      <c r="L10" s="49"/>
      <c r="M10" s="49"/>
      <c r="N10" s="49"/>
      <c r="O10" s="49"/>
      <c r="P10" s="49"/>
      <c r="Q10" s="49"/>
      <c r="R10" s="49"/>
      <c r="S10" s="49"/>
      <c r="T10" s="49"/>
      <c r="U10" s="49"/>
      <c r="V10" s="49"/>
      <c r="W10" s="49"/>
      <c r="X10" s="49"/>
      <c r="Y10" s="49"/>
      <c r="Z10" s="49"/>
    </row>
    <row r="11">
      <c r="A11" s="49" t="str">
        <f>IFERROR(__xludf.DUMMYFUNCTION("""COMPUTED_VALUE"""),"The Bleach Clan")</f>
        <v>The Bleach Clan</v>
      </c>
      <c r="B11" s="49" t="str">
        <f>IFERROR(__xludf.DUMMYFUNCTION("""COMPUTED_VALUE"""),"Public")</f>
        <v>Public</v>
      </c>
      <c r="C11" s="49" t="str">
        <f>IFERROR(__xludf.DUMMYFUNCTION("""COMPUTED_VALUE"""),"""Ever danced with a gnome in the pale moonlight? Done the boogie woogie in Forest View until you were lactose intolerant? Either way, if you’ve read this far, you’re the guildie for us!")</f>
        <v>"Ever danced with a gnome in the pale moonlight? Done the boogie woogie in Forest View until you were lactose intolerant? Either way, if you’ve read this far, you’re the guildie for us!</v>
      </c>
      <c r="D11" s="49"/>
      <c r="E11" s="49"/>
      <c r="F11" s="49"/>
      <c r="G11" s="49"/>
      <c r="H11" s="49"/>
      <c r="I11" s="49"/>
      <c r="J11" s="49"/>
      <c r="K11" s="49"/>
      <c r="L11" s="49"/>
      <c r="M11" s="49"/>
      <c r="N11" s="49"/>
      <c r="O11" s="49"/>
      <c r="P11" s="49"/>
      <c r="Q11" s="49"/>
      <c r="R11" s="49"/>
      <c r="S11" s="49"/>
      <c r="T11" s="49"/>
      <c r="U11" s="49"/>
      <c r="V11" s="49"/>
      <c r="W11" s="49"/>
      <c r="X11" s="49"/>
      <c r="Y11" s="49"/>
      <c r="Z11" s="49"/>
    </row>
    <row r="12">
      <c r="A12" s="49" t="str">
        <f>IFERROR(__xludf.DUMMYFUNCTION("""COMPUTED_VALUE"""),"Pyromaniacs Guild")</f>
        <v>Pyromaniacs Guild</v>
      </c>
      <c r="B12" s="49" t="str">
        <f>IFERROR(__xludf.DUMMYFUNCTION("""COMPUTED_VALUE"""),"Private")</f>
        <v>Private</v>
      </c>
      <c r="C12" s="49" t="str">
        <f>IFERROR(__xludf.DUMMYFUNCTION("""COMPUTED_VALUE"""),"A Secret association of Pyromaniacs that like setting fires throughout The Land of Spira. If you like setting Forest View on fire this is the guild for you. This guild only welcomes criminals.")</f>
        <v>A Secret association of Pyromaniacs that like setting fires throughout The Land of Spira. If you like setting Forest View on fire this is the guild for you. This guild only welcomes criminals.</v>
      </c>
      <c r="D12" s="49"/>
      <c r="E12" s="49"/>
      <c r="F12" s="49"/>
      <c r="G12" s="49"/>
      <c r="H12" s="49"/>
      <c r="I12" s="49"/>
      <c r="J12" s="49"/>
      <c r="K12" s="49"/>
      <c r="L12" s="49"/>
      <c r="M12" s="49"/>
      <c r="N12" s="49"/>
      <c r="O12" s="49"/>
      <c r="P12" s="49"/>
      <c r="Q12" s="49"/>
      <c r="R12" s="49"/>
      <c r="S12" s="49"/>
      <c r="T12" s="49"/>
      <c r="U12" s="49"/>
      <c r="V12" s="49"/>
      <c r="W12" s="49"/>
      <c r="X12" s="49"/>
      <c r="Y12" s="49"/>
      <c r="Z12" s="49"/>
    </row>
    <row r="13">
      <c r="A13" s="49" t="str">
        <f>IFERROR(__xludf.DUMMYFUNCTION("""COMPUTED_VALUE"""),"The Cult of Spira Guild")</f>
        <v>The Cult of Spira Guild</v>
      </c>
      <c r="B13" s="49" t="str">
        <f>IFERROR(__xludf.DUMMYFUNCTION("""COMPUTED_VALUE"""),"Private")</f>
        <v>Private</v>
      </c>
      <c r="C13" s="49" t="str">
        <f>IFERROR(__xludf.DUMMYFUNCTION("""COMPUTED_VALUE"""),"A Secret association of Cultists and Cult Leaders that special rituals around The Land of Spira. This guild only welcomes cultists.")</f>
        <v>A Secret association of Cultists and Cult Leaders that special rituals around The Land of Spira. This guild only welcomes cultists.</v>
      </c>
      <c r="D13" s="49"/>
      <c r="E13" s="49"/>
      <c r="F13" s="49"/>
      <c r="G13" s="49"/>
      <c r="H13" s="49"/>
      <c r="I13" s="49"/>
      <c r="J13" s="49"/>
      <c r="K13" s="49"/>
      <c r="L13" s="49"/>
      <c r="M13" s="49"/>
      <c r="N13" s="49"/>
      <c r="O13" s="49"/>
      <c r="P13" s="49"/>
      <c r="Q13" s="49"/>
      <c r="R13" s="49"/>
      <c r="S13" s="49"/>
      <c r="T13" s="49"/>
      <c r="U13" s="49"/>
      <c r="V13" s="49"/>
      <c r="W13" s="49"/>
      <c r="X13" s="49"/>
      <c r="Y13" s="49"/>
      <c r="Z13" s="49"/>
    </row>
    <row r="14">
      <c r="A14" s="49"/>
      <c r="B14" s="49"/>
      <c r="C14" s="49"/>
      <c r="D14" s="49"/>
      <c r="E14" s="49"/>
      <c r="F14" s="49"/>
      <c r="G14" s="49"/>
      <c r="H14" s="49"/>
      <c r="I14" s="49"/>
      <c r="J14" s="49"/>
      <c r="K14" s="49"/>
      <c r="L14" s="49"/>
      <c r="M14" s="49"/>
      <c r="N14" s="49"/>
      <c r="O14" s="49"/>
      <c r="P14" s="49"/>
      <c r="Q14" s="49"/>
      <c r="R14" s="49"/>
      <c r="S14" s="49"/>
      <c r="T14" s="49"/>
      <c r="U14" s="49"/>
      <c r="V14" s="49"/>
      <c r="W14" s="49"/>
      <c r="X14" s="49"/>
      <c r="Y14" s="49"/>
      <c r="Z14" s="49"/>
    </row>
    <row r="15">
      <c r="A15" s="49"/>
      <c r="B15" s="49"/>
      <c r="C15" s="49"/>
      <c r="D15" s="49"/>
      <c r="E15" s="49"/>
      <c r="F15" s="49"/>
      <c r="G15" s="49"/>
      <c r="H15" s="49"/>
      <c r="I15" s="49"/>
      <c r="J15" s="49"/>
      <c r="K15" s="49"/>
      <c r="L15" s="49"/>
      <c r="M15" s="49"/>
      <c r="N15" s="49"/>
      <c r="O15" s="49"/>
      <c r="P15" s="49"/>
      <c r="Q15" s="49"/>
      <c r="R15" s="49"/>
      <c r="S15" s="49"/>
      <c r="T15" s="49"/>
      <c r="U15" s="49"/>
      <c r="V15" s="49"/>
      <c r="W15" s="49"/>
      <c r="X15" s="49"/>
      <c r="Y15" s="49"/>
      <c r="Z15" s="49"/>
    </row>
    <row r="16">
      <c r="A16" s="49"/>
      <c r="B16" s="49"/>
      <c r="C16" s="49"/>
      <c r="D16" s="49"/>
      <c r="E16" s="49"/>
      <c r="F16" s="49"/>
      <c r="G16" s="49"/>
      <c r="H16" s="49"/>
      <c r="I16" s="49"/>
      <c r="J16" s="49"/>
      <c r="K16" s="49"/>
      <c r="L16" s="49"/>
      <c r="M16" s="49"/>
      <c r="N16" s="49"/>
      <c r="O16" s="49"/>
      <c r="P16" s="49"/>
      <c r="Q16" s="49"/>
      <c r="R16" s="49"/>
      <c r="S16" s="49"/>
      <c r="T16" s="49"/>
      <c r="U16" s="49"/>
      <c r="V16" s="49"/>
      <c r="W16" s="49"/>
      <c r="X16" s="49"/>
      <c r="Y16" s="49"/>
      <c r="Z16" s="49"/>
    </row>
    <row r="17">
      <c r="A17" s="49"/>
      <c r="B17" s="49"/>
      <c r="C17" s="49"/>
      <c r="D17" s="49"/>
      <c r="E17" s="49"/>
      <c r="F17" s="49"/>
      <c r="G17" s="49"/>
      <c r="H17" s="49"/>
      <c r="I17" s="49"/>
      <c r="J17" s="49"/>
      <c r="K17" s="49"/>
      <c r="L17" s="49"/>
      <c r="M17" s="49"/>
      <c r="N17" s="49"/>
      <c r="O17" s="49"/>
      <c r="P17" s="49"/>
      <c r="Q17" s="49"/>
      <c r="R17" s="49"/>
      <c r="S17" s="49"/>
      <c r="T17" s="49"/>
      <c r="U17" s="49"/>
      <c r="V17" s="49"/>
      <c r="W17" s="49"/>
      <c r="X17" s="49"/>
      <c r="Y17" s="49"/>
      <c r="Z17" s="49"/>
    </row>
    <row r="18">
      <c r="A18" s="49"/>
      <c r="B18" s="49"/>
      <c r="C18" s="49"/>
      <c r="D18" s="49"/>
      <c r="E18" s="49"/>
      <c r="F18" s="49"/>
      <c r="G18" s="49"/>
      <c r="H18" s="49"/>
      <c r="I18" s="49"/>
      <c r="J18" s="49"/>
      <c r="K18" s="49"/>
      <c r="L18" s="49"/>
      <c r="M18" s="49"/>
      <c r="N18" s="49"/>
      <c r="O18" s="49"/>
      <c r="P18" s="49"/>
      <c r="Q18" s="49"/>
      <c r="R18" s="49"/>
      <c r="S18" s="49"/>
      <c r="T18" s="49"/>
      <c r="U18" s="49"/>
      <c r="V18" s="49"/>
      <c r="W18" s="49"/>
      <c r="X18" s="49"/>
      <c r="Y18" s="49"/>
      <c r="Z18" s="49"/>
    </row>
    <row r="19">
      <c r="A19" s="49"/>
      <c r="B19" s="49"/>
      <c r="C19" s="49"/>
      <c r="D19" s="49"/>
      <c r="E19" s="49"/>
      <c r="F19" s="49"/>
      <c r="G19" s="49"/>
      <c r="H19" s="49"/>
      <c r="I19" s="49"/>
      <c r="J19" s="49"/>
      <c r="K19" s="49"/>
      <c r="L19" s="49"/>
      <c r="M19" s="49"/>
      <c r="N19" s="49"/>
      <c r="O19" s="49"/>
      <c r="P19" s="49"/>
      <c r="Q19" s="49"/>
      <c r="R19" s="49"/>
      <c r="S19" s="49"/>
      <c r="T19" s="49"/>
      <c r="U19" s="49"/>
      <c r="V19" s="49"/>
      <c r="W19" s="49"/>
      <c r="X19" s="49"/>
      <c r="Y19" s="49"/>
      <c r="Z19" s="49"/>
    </row>
    <row r="20">
      <c r="A20" s="49"/>
      <c r="B20" s="49"/>
      <c r="C20" s="49"/>
      <c r="D20" s="49"/>
      <c r="E20" s="49"/>
      <c r="F20" s="49"/>
      <c r="G20" s="49"/>
      <c r="H20" s="49"/>
      <c r="I20" s="49"/>
      <c r="J20" s="49"/>
      <c r="K20" s="49"/>
      <c r="L20" s="49"/>
      <c r="M20" s="49"/>
      <c r="N20" s="49"/>
      <c r="O20" s="49"/>
      <c r="P20" s="49"/>
      <c r="Q20" s="49"/>
      <c r="R20" s="49"/>
      <c r="S20" s="49"/>
      <c r="T20" s="49"/>
      <c r="U20" s="49"/>
      <c r="V20" s="49"/>
      <c r="W20" s="49"/>
      <c r="X20" s="49"/>
      <c r="Y20" s="49"/>
      <c r="Z20" s="49"/>
    </row>
    <row r="21">
      <c r="A21" s="49"/>
      <c r="B21" s="49"/>
      <c r="C21" s="49"/>
      <c r="D21" s="49"/>
      <c r="E21" s="49"/>
      <c r="F21" s="49"/>
      <c r="G21" s="49"/>
      <c r="H21" s="49"/>
      <c r="I21" s="49"/>
      <c r="J21" s="49"/>
      <c r="K21" s="49"/>
      <c r="L21" s="49"/>
      <c r="M21" s="49"/>
      <c r="N21" s="49"/>
      <c r="O21" s="49"/>
      <c r="P21" s="49"/>
      <c r="Q21" s="49"/>
      <c r="R21" s="49"/>
      <c r="S21" s="49"/>
      <c r="T21" s="49"/>
      <c r="U21" s="49"/>
      <c r="V21" s="49"/>
      <c r="W21" s="49"/>
      <c r="X21" s="49"/>
      <c r="Y21" s="49"/>
      <c r="Z21" s="49"/>
    </row>
    <row r="22">
      <c r="A22" s="49"/>
      <c r="B22" s="49"/>
      <c r="C22" s="49"/>
      <c r="D22" s="49"/>
      <c r="E22" s="49"/>
      <c r="F22" s="49"/>
      <c r="G22" s="49"/>
      <c r="H22" s="49"/>
      <c r="I22" s="49"/>
      <c r="J22" s="49"/>
      <c r="K22" s="49"/>
      <c r="L22" s="49"/>
      <c r="M22" s="49"/>
      <c r="N22" s="49"/>
      <c r="O22" s="49"/>
      <c r="P22" s="49"/>
      <c r="Q22" s="49"/>
      <c r="R22" s="49"/>
      <c r="S22" s="49"/>
      <c r="T22" s="49"/>
      <c r="U22" s="49"/>
      <c r="V22" s="49"/>
      <c r="W22" s="49"/>
      <c r="X22" s="49"/>
      <c r="Y22" s="49"/>
      <c r="Z22" s="49"/>
    </row>
    <row r="23">
      <c r="A23" s="49"/>
      <c r="B23" s="49"/>
      <c r="C23" s="49"/>
      <c r="D23" s="49"/>
      <c r="E23" s="49"/>
      <c r="F23" s="49"/>
      <c r="G23" s="49"/>
      <c r="H23" s="49"/>
      <c r="I23" s="49"/>
      <c r="J23" s="49"/>
      <c r="K23" s="49"/>
      <c r="L23" s="49"/>
      <c r="M23" s="49"/>
      <c r="N23" s="49"/>
      <c r="O23" s="49"/>
      <c r="P23" s="49"/>
      <c r="Q23" s="49"/>
      <c r="R23" s="49"/>
      <c r="S23" s="49"/>
      <c r="T23" s="49"/>
      <c r="U23" s="49"/>
      <c r="V23" s="49"/>
      <c r="W23" s="49"/>
      <c r="X23" s="49"/>
      <c r="Y23" s="49"/>
      <c r="Z23" s="49"/>
    </row>
    <row r="24">
      <c r="A24" s="49"/>
      <c r="B24" s="49"/>
      <c r="C24" s="49"/>
      <c r="D24" s="49"/>
      <c r="E24" s="49"/>
      <c r="F24" s="49"/>
      <c r="G24" s="49"/>
      <c r="H24" s="49"/>
      <c r="I24" s="49"/>
      <c r="J24" s="49"/>
      <c r="K24" s="49"/>
      <c r="L24" s="49"/>
      <c r="M24" s="49"/>
      <c r="N24" s="49"/>
      <c r="O24" s="49"/>
      <c r="P24" s="49"/>
      <c r="Q24" s="49"/>
      <c r="R24" s="49"/>
      <c r="S24" s="49"/>
      <c r="T24" s="49"/>
      <c r="U24" s="49"/>
      <c r="V24" s="49"/>
      <c r="W24" s="49"/>
      <c r="X24" s="49"/>
      <c r="Y24" s="49"/>
      <c r="Z24" s="49"/>
    </row>
    <row r="25">
      <c r="A25" s="49"/>
      <c r="B25" s="49"/>
      <c r="C25" s="49"/>
      <c r="D25" s="49"/>
      <c r="E25" s="49"/>
      <c r="F25" s="49"/>
      <c r="G25" s="49"/>
      <c r="H25" s="49"/>
      <c r="I25" s="49"/>
      <c r="J25" s="49"/>
      <c r="K25" s="49"/>
      <c r="L25" s="49"/>
      <c r="M25" s="49"/>
      <c r="N25" s="49"/>
      <c r="O25" s="49"/>
      <c r="P25" s="49"/>
      <c r="Q25" s="49"/>
      <c r="R25" s="49"/>
      <c r="S25" s="49"/>
      <c r="T25" s="49"/>
      <c r="U25" s="49"/>
      <c r="V25" s="49"/>
      <c r="W25" s="49"/>
      <c r="X25" s="49"/>
      <c r="Y25" s="49"/>
      <c r="Z25" s="49"/>
    </row>
    <row r="26">
      <c r="A26" s="49"/>
      <c r="B26" s="49"/>
      <c r="C26" s="49"/>
      <c r="D26" s="49"/>
      <c r="E26" s="49"/>
      <c r="F26" s="49"/>
      <c r="G26" s="49"/>
      <c r="H26" s="49"/>
      <c r="I26" s="49"/>
      <c r="J26" s="49"/>
      <c r="K26" s="49"/>
      <c r="L26" s="49"/>
      <c r="M26" s="49"/>
      <c r="N26" s="49"/>
      <c r="O26" s="49"/>
      <c r="P26" s="49"/>
      <c r="Q26" s="49"/>
      <c r="R26" s="49"/>
      <c r="S26" s="49"/>
      <c r="T26" s="49"/>
      <c r="U26" s="49"/>
      <c r="V26" s="49"/>
      <c r="W26" s="49"/>
      <c r="X26" s="49"/>
      <c r="Y26" s="49"/>
      <c r="Z26" s="49"/>
    </row>
    <row r="27">
      <c r="A27" s="49"/>
      <c r="B27" s="49"/>
      <c r="C27" s="49"/>
      <c r="D27" s="49"/>
      <c r="E27" s="49"/>
      <c r="F27" s="49"/>
      <c r="G27" s="49"/>
      <c r="H27" s="49"/>
      <c r="I27" s="49"/>
      <c r="J27" s="49"/>
      <c r="K27" s="49"/>
      <c r="L27" s="49"/>
      <c r="M27" s="49"/>
      <c r="N27" s="49"/>
      <c r="O27" s="49"/>
      <c r="P27" s="49"/>
      <c r="Q27" s="49"/>
      <c r="R27" s="49"/>
      <c r="S27" s="49"/>
      <c r="T27" s="49"/>
      <c r="U27" s="49"/>
      <c r="V27" s="49"/>
      <c r="W27" s="49"/>
      <c r="X27" s="49"/>
      <c r="Y27" s="49"/>
      <c r="Z27" s="49"/>
    </row>
    <row r="28">
      <c r="A28" s="49"/>
      <c r="B28" s="49"/>
      <c r="C28" s="49"/>
      <c r="D28" s="49"/>
      <c r="E28" s="49"/>
      <c r="F28" s="49"/>
      <c r="G28" s="49"/>
      <c r="H28" s="49"/>
      <c r="I28" s="49"/>
      <c r="J28" s="49"/>
      <c r="K28" s="49"/>
      <c r="L28" s="49"/>
      <c r="M28" s="49"/>
      <c r="N28" s="49"/>
      <c r="O28" s="49"/>
      <c r="P28" s="49"/>
      <c r="Q28" s="49"/>
      <c r="R28" s="49"/>
      <c r="S28" s="49"/>
      <c r="T28" s="49"/>
      <c r="U28" s="49"/>
      <c r="V28" s="49"/>
      <c r="W28" s="49"/>
      <c r="X28" s="49"/>
      <c r="Y28" s="49"/>
      <c r="Z28" s="49"/>
    </row>
    <row r="29">
      <c r="A29" s="49"/>
      <c r="B29" s="49"/>
      <c r="C29" s="49"/>
      <c r="D29" s="49"/>
      <c r="E29" s="49"/>
      <c r="F29" s="49"/>
      <c r="G29" s="49"/>
      <c r="H29" s="49"/>
      <c r="I29" s="49"/>
      <c r="J29" s="49"/>
      <c r="K29" s="49"/>
      <c r="L29" s="49"/>
      <c r="M29" s="49"/>
      <c r="N29" s="49"/>
      <c r="O29" s="49"/>
      <c r="P29" s="49"/>
      <c r="Q29" s="49"/>
      <c r="R29" s="49"/>
      <c r="S29" s="49"/>
      <c r="T29" s="49"/>
      <c r="U29" s="49"/>
      <c r="V29" s="49"/>
      <c r="W29" s="49"/>
      <c r="X29" s="49"/>
      <c r="Y29" s="49"/>
      <c r="Z29" s="49"/>
    </row>
    <row r="30">
      <c r="A30" s="49"/>
      <c r="B30" s="49"/>
      <c r="C30" s="49"/>
      <c r="D30" s="49"/>
      <c r="E30" s="49"/>
      <c r="F30" s="49"/>
      <c r="G30" s="49"/>
      <c r="H30" s="49"/>
      <c r="I30" s="49"/>
      <c r="J30" s="49"/>
      <c r="K30" s="49"/>
      <c r="L30" s="49"/>
      <c r="M30" s="49"/>
      <c r="N30" s="49"/>
      <c r="O30" s="49"/>
      <c r="P30" s="49"/>
      <c r="Q30" s="49"/>
      <c r="R30" s="49"/>
      <c r="S30" s="49"/>
      <c r="T30" s="49"/>
      <c r="U30" s="49"/>
      <c r="V30" s="49"/>
      <c r="W30" s="49"/>
      <c r="X30" s="49"/>
      <c r="Y30" s="49"/>
      <c r="Z30" s="49"/>
    </row>
    <row r="31">
      <c r="A31" s="49"/>
      <c r="B31" s="49"/>
      <c r="C31" s="49"/>
      <c r="D31" s="49"/>
      <c r="E31" s="49"/>
      <c r="F31" s="49"/>
      <c r="G31" s="49"/>
      <c r="H31" s="49"/>
      <c r="I31" s="49"/>
      <c r="J31" s="49"/>
      <c r="K31" s="49"/>
      <c r="L31" s="49"/>
      <c r="M31" s="49"/>
      <c r="N31" s="49"/>
      <c r="O31" s="49"/>
      <c r="P31" s="49"/>
      <c r="Q31" s="49"/>
      <c r="R31" s="49"/>
      <c r="S31" s="49"/>
      <c r="T31" s="49"/>
      <c r="U31" s="49"/>
      <c r="V31" s="49"/>
      <c r="W31" s="49"/>
      <c r="X31" s="49"/>
      <c r="Y31" s="49"/>
      <c r="Z31" s="49"/>
    </row>
    <row r="32">
      <c r="A32" s="49"/>
      <c r="B32" s="49"/>
      <c r="C32" s="49"/>
      <c r="D32" s="49"/>
      <c r="E32" s="49"/>
      <c r="F32" s="49"/>
      <c r="G32" s="49"/>
      <c r="H32" s="49"/>
      <c r="I32" s="49"/>
      <c r="J32" s="49"/>
      <c r="K32" s="49"/>
      <c r="L32" s="49"/>
      <c r="M32" s="49"/>
      <c r="N32" s="49"/>
      <c r="O32" s="49"/>
      <c r="P32" s="49"/>
      <c r="Q32" s="49"/>
      <c r="R32" s="49"/>
      <c r="S32" s="49"/>
      <c r="T32" s="49"/>
      <c r="U32" s="49"/>
      <c r="V32" s="49"/>
      <c r="W32" s="49"/>
      <c r="X32" s="49"/>
      <c r="Y32" s="49"/>
      <c r="Z32" s="49"/>
    </row>
    <row r="33">
      <c r="A33" s="49"/>
      <c r="B33" s="49"/>
      <c r="C33" s="49"/>
      <c r="D33" s="49"/>
      <c r="E33" s="49"/>
      <c r="F33" s="49"/>
      <c r="G33" s="49"/>
      <c r="H33" s="49"/>
      <c r="I33" s="49"/>
      <c r="J33" s="49"/>
      <c r="K33" s="49"/>
      <c r="L33" s="49"/>
      <c r="M33" s="49"/>
      <c r="N33" s="49"/>
      <c r="O33" s="49"/>
      <c r="P33" s="49"/>
      <c r="Q33" s="49"/>
      <c r="R33" s="49"/>
      <c r="S33" s="49"/>
      <c r="T33" s="49"/>
      <c r="U33" s="49"/>
      <c r="V33" s="49"/>
      <c r="W33" s="49"/>
      <c r="X33" s="49"/>
      <c r="Y33" s="49"/>
      <c r="Z33" s="49"/>
    </row>
    <row r="34">
      <c r="A34" s="49"/>
      <c r="B34" s="49"/>
      <c r="C34" s="49"/>
      <c r="D34" s="49"/>
      <c r="E34" s="49"/>
      <c r="F34" s="49"/>
      <c r="G34" s="49"/>
      <c r="H34" s="49"/>
      <c r="I34" s="49"/>
      <c r="J34" s="49"/>
      <c r="K34" s="49"/>
      <c r="L34" s="49"/>
      <c r="M34" s="49"/>
      <c r="N34" s="49"/>
      <c r="O34" s="49"/>
      <c r="P34" s="49"/>
      <c r="Q34" s="49"/>
      <c r="R34" s="49"/>
      <c r="S34" s="49"/>
      <c r="T34" s="49"/>
      <c r="U34" s="49"/>
      <c r="V34" s="49"/>
      <c r="W34" s="49"/>
      <c r="X34" s="49"/>
      <c r="Y34" s="49"/>
      <c r="Z34" s="49"/>
    </row>
    <row r="35">
      <c r="A35" s="49"/>
      <c r="B35" s="49"/>
      <c r="C35" s="49"/>
      <c r="D35" s="49"/>
      <c r="E35" s="49"/>
      <c r="F35" s="49"/>
      <c r="G35" s="49"/>
      <c r="H35" s="49"/>
      <c r="I35" s="49"/>
      <c r="J35" s="49"/>
      <c r="K35" s="49"/>
      <c r="L35" s="49"/>
      <c r="M35" s="49"/>
      <c r="N35" s="49"/>
      <c r="O35" s="49"/>
      <c r="P35" s="49"/>
      <c r="Q35" s="49"/>
      <c r="R35" s="49"/>
      <c r="S35" s="49"/>
      <c r="T35" s="49"/>
      <c r="U35" s="49"/>
      <c r="V35" s="49"/>
      <c r="W35" s="49"/>
      <c r="X35" s="49"/>
      <c r="Y35" s="49"/>
      <c r="Z35" s="49"/>
    </row>
    <row r="36">
      <c r="A36" s="49"/>
      <c r="B36" s="49"/>
      <c r="C36" s="49"/>
      <c r="D36" s="49"/>
      <c r="E36" s="49"/>
      <c r="F36" s="49"/>
      <c r="G36" s="49"/>
      <c r="H36" s="49"/>
      <c r="I36" s="49"/>
      <c r="J36" s="49"/>
      <c r="K36" s="49"/>
      <c r="L36" s="49"/>
      <c r="M36" s="49"/>
      <c r="N36" s="49"/>
      <c r="O36" s="49"/>
      <c r="P36" s="49"/>
      <c r="Q36" s="49"/>
      <c r="R36" s="49"/>
      <c r="S36" s="49"/>
      <c r="T36" s="49"/>
      <c r="U36" s="49"/>
      <c r="V36" s="49"/>
      <c r="W36" s="49"/>
      <c r="X36" s="49"/>
      <c r="Y36" s="49"/>
      <c r="Z36" s="49"/>
    </row>
    <row r="37">
      <c r="A37" s="49"/>
      <c r="B37" s="49"/>
      <c r="C37" s="49"/>
      <c r="D37" s="49"/>
      <c r="E37" s="49"/>
      <c r="F37" s="49"/>
      <c r="G37" s="49"/>
      <c r="H37" s="49"/>
      <c r="I37" s="49"/>
      <c r="J37" s="49"/>
      <c r="K37" s="49"/>
      <c r="L37" s="49"/>
      <c r="M37" s="49"/>
      <c r="N37" s="49"/>
      <c r="O37" s="49"/>
      <c r="P37" s="49"/>
      <c r="Q37" s="49"/>
      <c r="R37" s="49"/>
      <c r="S37" s="49"/>
      <c r="T37" s="49"/>
      <c r="U37" s="49"/>
      <c r="V37" s="49"/>
      <c r="W37" s="49"/>
      <c r="X37" s="49"/>
      <c r="Y37" s="49"/>
      <c r="Z37" s="49"/>
    </row>
    <row r="38">
      <c r="A38" s="49"/>
      <c r="B38" s="49"/>
      <c r="C38" s="49"/>
      <c r="D38" s="49"/>
      <c r="E38" s="49"/>
      <c r="F38" s="49"/>
      <c r="G38" s="49"/>
      <c r="H38" s="49"/>
      <c r="I38" s="49"/>
      <c r="J38" s="49"/>
      <c r="K38" s="49"/>
      <c r="L38" s="49"/>
      <c r="M38" s="49"/>
      <c r="N38" s="49"/>
      <c r="O38" s="49"/>
      <c r="P38" s="49"/>
      <c r="Q38" s="49"/>
      <c r="R38" s="49"/>
      <c r="S38" s="49"/>
      <c r="T38" s="49"/>
      <c r="U38" s="49"/>
      <c r="V38" s="49"/>
      <c r="W38" s="49"/>
      <c r="X38" s="49"/>
      <c r="Y38" s="49"/>
      <c r="Z38" s="49"/>
    </row>
    <row r="39">
      <c r="A39" s="49"/>
      <c r="B39" s="49"/>
      <c r="C39" s="49"/>
      <c r="D39" s="49"/>
      <c r="E39" s="49"/>
      <c r="F39" s="49"/>
      <c r="G39" s="49"/>
      <c r="H39" s="49"/>
      <c r="I39" s="49"/>
      <c r="J39" s="49"/>
      <c r="K39" s="49"/>
      <c r="L39" s="49"/>
      <c r="M39" s="49"/>
      <c r="N39" s="49"/>
      <c r="O39" s="49"/>
      <c r="P39" s="49"/>
      <c r="Q39" s="49"/>
      <c r="R39" s="49"/>
      <c r="S39" s="49"/>
      <c r="T39" s="49"/>
      <c r="U39" s="49"/>
      <c r="V39" s="49"/>
      <c r="W39" s="49"/>
      <c r="X39" s="49"/>
      <c r="Y39" s="49"/>
      <c r="Z39" s="49"/>
    </row>
    <row r="40">
      <c r="A40" s="49"/>
      <c r="B40" s="49"/>
      <c r="C40" s="49"/>
      <c r="D40" s="49"/>
      <c r="E40" s="49"/>
      <c r="F40" s="49"/>
      <c r="G40" s="49"/>
      <c r="H40" s="49"/>
      <c r="I40" s="49"/>
      <c r="J40" s="49"/>
      <c r="K40" s="49"/>
      <c r="L40" s="49"/>
      <c r="M40" s="49"/>
      <c r="N40" s="49"/>
      <c r="O40" s="49"/>
      <c r="P40" s="49"/>
      <c r="Q40" s="49"/>
      <c r="R40" s="49"/>
      <c r="S40" s="49"/>
      <c r="T40" s="49"/>
      <c r="U40" s="49"/>
      <c r="V40" s="49"/>
      <c r="W40" s="49"/>
      <c r="X40" s="49"/>
      <c r="Y40" s="49"/>
      <c r="Z40" s="49"/>
    </row>
    <row r="41">
      <c r="A41" s="49"/>
      <c r="B41" s="49"/>
      <c r="C41" s="49"/>
      <c r="D41" s="49"/>
      <c r="E41" s="49"/>
      <c r="F41" s="49"/>
      <c r="G41" s="49"/>
      <c r="H41" s="49"/>
      <c r="I41" s="49"/>
      <c r="J41" s="49"/>
      <c r="K41" s="49"/>
      <c r="L41" s="49"/>
      <c r="M41" s="49"/>
      <c r="N41" s="49"/>
      <c r="O41" s="49"/>
      <c r="P41" s="49"/>
      <c r="Q41" s="49"/>
      <c r="R41" s="49"/>
      <c r="S41" s="49"/>
      <c r="T41" s="49"/>
      <c r="U41" s="49"/>
      <c r="V41" s="49"/>
      <c r="W41" s="49"/>
      <c r="X41" s="49"/>
      <c r="Y41" s="49"/>
      <c r="Z41" s="49"/>
    </row>
    <row r="42">
      <c r="A42" s="49"/>
      <c r="B42" s="49"/>
      <c r="C42" s="49"/>
      <c r="D42" s="49"/>
      <c r="E42" s="49"/>
      <c r="F42" s="49"/>
      <c r="G42" s="49"/>
      <c r="H42" s="49"/>
      <c r="I42" s="49"/>
      <c r="J42" s="49"/>
      <c r="K42" s="49"/>
      <c r="L42" s="49"/>
      <c r="M42" s="49"/>
      <c r="N42" s="49"/>
      <c r="O42" s="49"/>
      <c r="P42" s="49"/>
      <c r="Q42" s="49"/>
      <c r="R42" s="49"/>
      <c r="S42" s="49"/>
      <c r="T42" s="49"/>
      <c r="U42" s="49"/>
      <c r="V42" s="49"/>
      <c r="W42" s="49"/>
      <c r="X42" s="49"/>
      <c r="Y42" s="49"/>
      <c r="Z42" s="49"/>
    </row>
    <row r="43">
      <c r="A43" s="49"/>
      <c r="B43" s="49"/>
      <c r="C43" s="49"/>
      <c r="D43" s="49"/>
      <c r="E43" s="49"/>
      <c r="F43" s="49"/>
      <c r="G43" s="49"/>
      <c r="H43" s="49"/>
      <c r="I43" s="49"/>
      <c r="J43" s="49"/>
      <c r="K43" s="49"/>
      <c r="L43" s="49"/>
      <c r="M43" s="49"/>
      <c r="N43" s="49"/>
      <c r="O43" s="49"/>
      <c r="P43" s="49"/>
      <c r="Q43" s="49"/>
      <c r="R43" s="49"/>
      <c r="S43" s="49"/>
      <c r="T43" s="49"/>
      <c r="U43" s="49"/>
      <c r="V43" s="49"/>
      <c r="W43" s="49"/>
      <c r="X43" s="49"/>
      <c r="Y43" s="49"/>
      <c r="Z43" s="49"/>
    </row>
    <row r="44">
      <c r="A44" s="49"/>
      <c r="B44" s="49"/>
      <c r="C44" s="49"/>
      <c r="D44" s="49"/>
      <c r="E44" s="49"/>
      <c r="F44" s="49"/>
      <c r="G44" s="49"/>
      <c r="H44" s="49"/>
      <c r="I44" s="49"/>
      <c r="J44" s="49"/>
      <c r="K44" s="49"/>
      <c r="L44" s="49"/>
      <c r="M44" s="49"/>
      <c r="N44" s="49"/>
      <c r="O44" s="49"/>
      <c r="P44" s="49"/>
      <c r="Q44" s="49"/>
      <c r="R44" s="49"/>
      <c r="S44" s="49"/>
      <c r="T44" s="49"/>
      <c r="U44" s="49"/>
      <c r="V44" s="49"/>
      <c r="W44" s="49"/>
      <c r="X44" s="49"/>
      <c r="Y44" s="49"/>
      <c r="Z44" s="49"/>
    </row>
    <row r="45">
      <c r="A45" s="49"/>
      <c r="B45" s="49"/>
      <c r="C45" s="49"/>
      <c r="D45" s="49"/>
      <c r="E45" s="49"/>
      <c r="F45" s="49"/>
      <c r="G45" s="49"/>
      <c r="H45" s="49"/>
      <c r="I45" s="49"/>
      <c r="J45" s="49"/>
      <c r="K45" s="49"/>
      <c r="L45" s="49"/>
      <c r="M45" s="49"/>
      <c r="N45" s="49"/>
      <c r="O45" s="49"/>
      <c r="P45" s="49"/>
      <c r="Q45" s="49"/>
      <c r="R45" s="49"/>
      <c r="S45" s="49"/>
      <c r="T45" s="49"/>
      <c r="U45" s="49"/>
      <c r="V45" s="49"/>
      <c r="W45" s="49"/>
      <c r="X45" s="49"/>
      <c r="Y45" s="49"/>
      <c r="Z45" s="49"/>
    </row>
    <row r="46">
      <c r="A46" s="49"/>
      <c r="B46" s="49"/>
      <c r="C46" s="49"/>
      <c r="D46" s="49"/>
      <c r="E46" s="49"/>
      <c r="F46" s="49"/>
      <c r="G46" s="49"/>
      <c r="H46" s="49"/>
      <c r="I46" s="49"/>
      <c r="J46" s="49"/>
      <c r="K46" s="49"/>
      <c r="L46" s="49"/>
      <c r="M46" s="49"/>
      <c r="N46" s="49"/>
      <c r="O46" s="49"/>
      <c r="P46" s="49"/>
      <c r="Q46" s="49"/>
      <c r="R46" s="49"/>
      <c r="S46" s="49"/>
      <c r="T46" s="49"/>
      <c r="U46" s="49"/>
      <c r="V46" s="49"/>
      <c r="W46" s="49"/>
      <c r="X46" s="49"/>
      <c r="Y46" s="49"/>
      <c r="Z46" s="49"/>
    </row>
    <row r="47">
      <c r="A47" s="49"/>
      <c r="B47" s="49"/>
      <c r="C47" s="49"/>
      <c r="D47" s="49"/>
      <c r="E47" s="49"/>
      <c r="F47" s="49"/>
      <c r="G47" s="49"/>
      <c r="H47" s="49"/>
      <c r="I47" s="49"/>
      <c r="J47" s="49"/>
      <c r="K47" s="49"/>
      <c r="L47" s="49"/>
      <c r="M47" s="49"/>
      <c r="N47" s="49"/>
      <c r="O47" s="49"/>
      <c r="P47" s="49"/>
      <c r="Q47" s="49"/>
      <c r="R47" s="49"/>
      <c r="S47" s="49"/>
      <c r="T47" s="49"/>
      <c r="U47" s="49"/>
      <c r="V47" s="49"/>
      <c r="W47" s="49"/>
      <c r="X47" s="49"/>
      <c r="Y47" s="49"/>
      <c r="Z47" s="49"/>
    </row>
    <row r="48">
      <c r="A48" s="49"/>
      <c r="B48" s="49"/>
      <c r="C48" s="49"/>
      <c r="D48" s="49"/>
      <c r="E48" s="49"/>
      <c r="F48" s="49"/>
      <c r="G48" s="49"/>
      <c r="H48" s="49"/>
      <c r="I48" s="49"/>
      <c r="J48" s="49"/>
      <c r="K48" s="49"/>
      <c r="L48" s="49"/>
      <c r="M48" s="49"/>
      <c r="N48" s="49"/>
      <c r="O48" s="49"/>
      <c r="P48" s="49"/>
      <c r="Q48" s="49"/>
      <c r="R48" s="49"/>
      <c r="S48" s="49"/>
      <c r="T48" s="49"/>
      <c r="U48" s="49"/>
      <c r="V48" s="49"/>
      <c r="W48" s="49"/>
      <c r="X48" s="49"/>
      <c r="Y48" s="49"/>
      <c r="Z48" s="49"/>
    </row>
    <row r="49">
      <c r="A49" s="49"/>
      <c r="B49" s="49"/>
      <c r="C49" s="49"/>
      <c r="D49" s="49"/>
      <c r="E49" s="49"/>
      <c r="F49" s="49"/>
      <c r="G49" s="49"/>
      <c r="H49" s="49"/>
      <c r="I49" s="49"/>
      <c r="J49" s="49"/>
      <c r="K49" s="49"/>
      <c r="L49" s="49"/>
      <c r="M49" s="49"/>
      <c r="N49" s="49"/>
      <c r="O49" s="49"/>
      <c r="P49" s="49"/>
      <c r="Q49" s="49"/>
      <c r="R49" s="49"/>
      <c r="S49" s="49"/>
      <c r="T49" s="49"/>
      <c r="U49" s="49"/>
      <c r="V49" s="49"/>
      <c r="W49" s="49"/>
      <c r="X49" s="49"/>
      <c r="Y49" s="49"/>
      <c r="Z49" s="49"/>
    </row>
    <row r="50">
      <c r="A50" s="49"/>
      <c r="B50" s="49"/>
      <c r="C50" s="49"/>
      <c r="D50" s="49"/>
      <c r="E50" s="49"/>
      <c r="F50" s="49"/>
      <c r="G50" s="49"/>
      <c r="H50" s="49"/>
      <c r="I50" s="49"/>
      <c r="J50" s="49"/>
      <c r="K50" s="49"/>
      <c r="L50" s="49"/>
      <c r="M50" s="49"/>
      <c r="N50" s="49"/>
      <c r="O50" s="49"/>
      <c r="P50" s="49"/>
      <c r="Q50" s="49"/>
      <c r="R50" s="49"/>
      <c r="S50" s="49"/>
      <c r="T50" s="49"/>
      <c r="U50" s="49"/>
      <c r="V50" s="49"/>
      <c r="W50" s="49"/>
      <c r="X50" s="49"/>
      <c r="Y50" s="49"/>
      <c r="Z50" s="49"/>
    </row>
    <row r="51">
      <c r="A51" s="49"/>
      <c r="B51" s="49"/>
      <c r="C51" s="49"/>
      <c r="D51" s="49"/>
      <c r="E51" s="49"/>
      <c r="F51" s="49"/>
      <c r="G51" s="49"/>
      <c r="H51" s="49"/>
      <c r="I51" s="49"/>
      <c r="J51" s="49"/>
      <c r="K51" s="49"/>
      <c r="L51" s="49"/>
      <c r="M51" s="49"/>
      <c r="N51" s="49"/>
      <c r="O51" s="49"/>
      <c r="P51" s="49"/>
      <c r="Q51" s="49"/>
      <c r="R51" s="49"/>
      <c r="S51" s="49"/>
      <c r="T51" s="49"/>
      <c r="U51" s="49"/>
      <c r="V51" s="49"/>
      <c r="W51" s="49"/>
      <c r="X51" s="49"/>
      <c r="Y51" s="49"/>
      <c r="Z51" s="49"/>
    </row>
    <row r="52">
      <c r="A52" s="49"/>
      <c r="B52" s="49"/>
      <c r="C52" s="49"/>
      <c r="D52" s="49"/>
      <c r="E52" s="49"/>
      <c r="F52" s="49"/>
      <c r="G52" s="49"/>
      <c r="H52" s="49"/>
      <c r="I52" s="49"/>
      <c r="J52" s="49"/>
      <c r="K52" s="49"/>
      <c r="L52" s="49"/>
      <c r="M52" s="49"/>
      <c r="N52" s="49"/>
      <c r="O52" s="49"/>
      <c r="P52" s="49"/>
      <c r="Q52" s="49"/>
      <c r="R52" s="49"/>
      <c r="S52" s="49"/>
      <c r="T52" s="49"/>
      <c r="U52" s="49"/>
      <c r="V52" s="49"/>
      <c r="W52" s="49"/>
      <c r="X52" s="49"/>
      <c r="Y52" s="49"/>
      <c r="Z52" s="49"/>
    </row>
    <row r="53">
      <c r="A53" s="49"/>
      <c r="B53" s="49"/>
      <c r="C53" s="49"/>
      <c r="D53" s="49"/>
      <c r="E53" s="49"/>
      <c r="F53" s="49"/>
      <c r="G53" s="49"/>
      <c r="H53" s="49"/>
      <c r="I53" s="49"/>
      <c r="J53" s="49"/>
      <c r="K53" s="49"/>
      <c r="L53" s="49"/>
      <c r="M53" s="49"/>
      <c r="N53" s="49"/>
      <c r="O53" s="49"/>
      <c r="P53" s="49"/>
      <c r="Q53" s="49"/>
      <c r="R53" s="49"/>
      <c r="S53" s="49"/>
      <c r="T53" s="49"/>
      <c r="U53" s="49"/>
      <c r="V53" s="49"/>
      <c r="W53" s="49"/>
      <c r="X53" s="49"/>
      <c r="Y53" s="49"/>
      <c r="Z53" s="49"/>
    </row>
    <row r="54">
      <c r="A54" s="49"/>
      <c r="B54" s="49"/>
      <c r="C54" s="49"/>
      <c r="D54" s="49"/>
      <c r="E54" s="49"/>
      <c r="F54" s="49"/>
      <c r="G54" s="49"/>
      <c r="H54" s="49"/>
      <c r="I54" s="49"/>
      <c r="J54" s="49"/>
      <c r="K54" s="49"/>
      <c r="L54" s="49"/>
      <c r="M54" s="49"/>
      <c r="N54" s="49"/>
      <c r="O54" s="49"/>
      <c r="P54" s="49"/>
      <c r="Q54" s="49"/>
      <c r="R54" s="49"/>
      <c r="S54" s="49"/>
      <c r="T54" s="49"/>
      <c r="U54" s="49"/>
      <c r="V54" s="49"/>
      <c r="W54" s="49"/>
      <c r="X54" s="49"/>
      <c r="Y54" s="49"/>
      <c r="Z54" s="49"/>
    </row>
    <row r="55">
      <c r="A55" s="49"/>
      <c r="B55" s="49"/>
      <c r="C55" s="49"/>
      <c r="D55" s="49"/>
      <c r="E55" s="49"/>
      <c r="F55" s="49"/>
      <c r="G55" s="49"/>
      <c r="H55" s="49"/>
      <c r="I55" s="49"/>
      <c r="J55" s="49"/>
      <c r="K55" s="49"/>
      <c r="L55" s="49"/>
      <c r="M55" s="49"/>
      <c r="N55" s="49"/>
      <c r="O55" s="49"/>
      <c r="P55" s="49"/>
      <c r="Q55" s="49"/>
      <c r="R55" s="49"/>
      <c r="S55" s="49"/>
      <c r="T55" s="49"/>
      <c r="U55" s="49"/>
      <c r="V55" s="49"/>
      <c r="W55" s="49"/>
      <c r="X55" s="49"/>
      <c r="Y55" s="49"/>
      <c r="Z55" s="49"/>
    </row>
    <row r="56">
      <c r="A56" s="49"/>
      <c r="B56" s="49"/>
      <c r="C56" s="49"/>
      <c r="D56" s="49"/>
      <c r="E56" s="49"/>
      <c r="F56" s="49"/>
      <c r="G56" s="49"/>
      <c r="H56" s="49"/>
      <c r="I56" s="49"/>
      <c r="J56" s="49"/>
      <c r="K56" s="49"/>
      <c r="L56" s="49"/>
      <c r="M56" s="49"/>
      <c r="N56" s="49"/>
      <c r="O56" s="49"/>
      <c r="P56" s="49"/>
      <c r="Q56" s="49"/>
      <c r="R56" s="49"/>
      <c r="S56" s="49"/>
      <c r="T56" s="49"/>
      <c r="U56" s="49"/>
      <c r="V56" s="49"/>
      <c r="W56" s="49"/>
      <c r="X56" s="49"/>
      <c r="Y56" s="49"/>
      <c r="Z56" s="49"/>
    </row>
    <row r="57">
      <c r="A57" s="49"/>
      <c r="B57" s="49"/>
      <c r="C57" s="49"/>
      <c r="D57" s="49"/>
      <c r="E57" s="49"/>
      <c r="F57" s="49"/>
      <c r="G57" s="49"/>
      <c r="H57" s="49"/>
      <c r="I57" s="49"/>
      <c r="J57" s="49"/>
      <c r="K57" s="49"/>
      <c r="L57" s="49"/>
      <c r="M57" s="49"/>
      <c r="N57" s="49"/>
      <c r="O57" s="49"/>
      <c r="P57" s="49"/>
      <c r="Q57" s="49"/>
      <c r="R57" s="49"/>
      <c r="S57" s="49"/>
      <c r="T57" s="49"/>
      <c r="U57" s="49"/>
      <c r="V57" s="49"/>
      <c r="W57" s="49"/>
      <c r="X57" s="49"/>
      <c r="Y57" s="49"/>
      <c r="Z57" s="49"/>
    </row>
    <row r="58">
      <c r="A58" s="49"/>
      <c r="B58" s="49"/>
      <c r="C58" s="49"/>
      <c r="D58" s="49"/>
      <c r="E58" s="49"/>
      <c r="F58" s="49"/>
      <c r="G58" s="49"/>
      <c r="H58" s="49"/>
      <c r="I58" s="49"/>
      <c r="J58" s="49"/>
      <c r="K58" s="49"/>
      <c r="L58" s="49"/>
      <c r="M58" s="49"/>
      <c r="N58" s="49"/>
      <c r="O58" s="49"/>
      <c r="P58" s="49"/>
      <c r="Q58" s="49"/>
      <c r="R58" s="49"/>
      <c r="S58" s="49"/>
      <c r="T58" s="49"/>
      <c r="U58" s="49"/>
      <c r="V58" s="49"/>
      <c r="W58" s="49"/>
      <c r="X58" s="49"/>
      <c r="Y58" s="49"/>
      <c r="Z58" s="49"/>
    </row>
    <row r="59">
      <c r="A59" s="49"/>
      <c r="B59" s="49"/>
      <c r="C59" s="49"/>
      <c r="D59" s="49"/>
      <c r="E59" s="49"/>
      <c r="F59" s="49"/>
      <c r="G59" s="49"/>
      <c r="H59" s="49"/>
      <c r="I59" s="49"/>
      <c r="J59" s="49"/>
      <c r="K59" s="49"/>
      <c r="L59" s="49"/>
      <c r="M59" s="49"/>
      <c r="N59" s="49"/>
      <c r="O59" s="49"/>
      <c r="P59" s="49"/>
      <c r="Q59" s="49"/>
      <c r="R59" s="49"/>
      <c r="S59" s="49"/>
      <c r="T59" s="49"/>
      <c r="U59" s="49"/>
      <c r="V59" s="49"/>
      <c r="W59" s="49"/>
      <c r="X59" s="49"/>
      <c r="Y59" s="49"/>
      <c r="Z59" s="49"/>
    </row>
    <row r="60">
      <c r="A60" s="49"/>
      <c r="B60" s="49"/>
      <c r="C60" s="49"/>
      <c r="D60" s="49"/>
      <c r="E60" s="49"/>
      <c r="F60" s="49"/>
      <c r="G60" s="49"/>
      <c r="H60" s="49"/>
      <c r="I60" s="49"/>
      <c r="J60" s="49"/>
      <c r="K60" s="49"/>
      <c r="L60" s="49"/>
      <c r="M60" s="49"/>
      <c r="N60" s="49"/>
      <c r="O60" s="49"/>
      <c r="P60" s="49"/>
      <c r="Q60" s="49"/>
      <c r="R60" s="49"/>
      <c r="S60" s="49"/>
      <c r="T60" s="49"/>
      <c r="U60" s="49"/>
      <c r="V60" s="49"/>
      <c r="W60" s="49"/>
      <c r="X60" s="49"/>
      <c r="Y60" s="49"/>
      <c r="Z60" s="49"/>
    </row>
    <row r="61">
      <c r="A61" s="49"/>
      <c r="B61" s="49"/>
      <c r="C61" s="49"/>
      <c r="D61" s="49"/>
      <c r="E61" s="49"/>
      <c r="F61" s="49"/>
      <c r="G61" s="49"/>
      <c r="H61" s="49"/>
      <c r="I61" s="49"/>
      <c r="J61" s="49"/>
      <c r="K61" s="49"/>
      <c r="L61" s="49"/>
      <c r="M61" s="49"/>
      <c r="N61" s="49"/>
      <c r="O61" s="49"/>
      <c r="P61" s="49"/>
      <c r="Q61" s="49"/>
      <c r="R61" s="49"/>
      <c r="S61" s="49"/>
      <c r="T61" s="49"/>
      <c r="U61" s="49"/>
      <c r="V61" s="49"/>
      <c r="W61" s="49"/>
      <c r="X61" s="49"/>
      <c r="Y61" s="49"/>
      <c r="Z61" s="49"/>
    </row>
    <row r="62">
      <c r="A62" s="49"/>
      <c r="B62" s="49"/>
      <c r="C62" s="49"/>
      <c r="D62" s="49"/>
      <c r="E62" s="49"/>
      <c r="F62" s="49"/>
      <c r="G62" s="49"/>
      <c r="H62" s="49"/>
      <c r="I62" s="49"/>
      <c r="J62" s="49"/>
      <c r="K62" s="49"/>
      <c r="L62" s="49"/>
      <c r="M62" s="49"/>
      <c r="N62" s="49"/>
      <c r="O62" s="49"/>
      <c r="P62" s="49"/>
      <c r="Q62" s="49"/>
      <c r="R62" s="49"/>
      <c r="S62" s="49"/>
      <c r="T62" s="49"/>
      <c r="U62" s="49"/>
      <c r="V62" s="49"/>
      <c r="W62" s="49"/>
      <c r="X62" s="49"/>
      <c r="Y62" s="49"/>
      <c r="Z62" s="49"/>
    </row>
    <row r="63">
      <c r="A63" s="49"/>
      <c r="B63" s="49"/>
      <c r="C63" s="49"/>
      <c r="D63" s="49"/>
      <c r="E63" s="49"/>
      <c r="F63" s="49"/>
      <c r="G63" s="49"/>
      <c r="H63" s="49"/>
      <c r="I63" s="49"/>
      <c r="J63" s="49"/>
      <c r="K63" s="49"/>
      <c r="L63" s="49"/>
      <c r="M63" s="49"/>
      <c r="N63" s="49"/>
      <c r="O63" s="49"/>
      <c r="P63" s="49"/>
      <c r="Q63" s="49"/>
      <c r="R63" s="49"/>
      <c r="S63" s="49"/>
      <c r="T63" s="49"/>
      <c r="U63" s="49"/>
      <c r="V63" s="49"/>
      <c r="W63" s="49"/>
      <c r="X63" s="49"/>
      <c r="Y63" s="49"/>
      <c r="Z63" s="49"/>
    </row>
    <row r="64">
      <c r="A64" s="49"/>
      <c r="B64" s="49"/>
      <c r="C64" s="49"/>
      <c r="D64" s="49"/>
      <c r="E64" s="49"/>
      <c r="F64" s="49"/>
      <c r="G64" s="49"/>
      <c r="H64" s="49"/>
      <c r="I64" s="49"/>
      <c r="J64" s="49"/>
      <c r="K64" s="49"/>
      <c r="L64" s="49"/>
      <c r="M64" s="49"/>
      <c r="N64" s="49"/>
      <c r="O64" s="49"/>
      <c r="P64" s="49"/>
      <c r="Q64" s="49"/>
      <c r="R64" s="49"/>
      <c r="S64" s="49"/>
      <c r="T64" s="49"/>
      <c r="U64" s="49"/>
      <c r="V64" s="49"/>
      <c r="W64" s="49"/>
      <c r="X64" s="49"/>
      <c r="Y64" s="49"/>
      <c r="Z64" s="49"/>
    </row>
    <row r="65">
      <c r="A65" s="49"/>
      <c r="B65" s="49"/>
      <c r="C65" s="49"/>
      <c r="D65" s="49"/>
      <c r="E65" s="49"/>
      <c r="F65" s="49"/>
      <c r="G65" s="49"/>
      <c r="H65" s="49"/>
      <c r="I65" s="49"/>
      <c r="J65" s="49"/>
      <c r="K65" s="49"/>
      <c r="L65" s="49"/>
      <c r="M65" s="49"/>
      <c r="N65" s="49"/>
      <c r="O65" s="49"/>
      <c r="P65" s="49"/>
      <c r="Q65" s="49"/>
      <c r="R65" s="49"/>
      <c r="S65" s="49"/>
      <c r="T65" s="49"/>
      <c r="U65" s="49"/>
      <c r="V65" s="49"/>
      <c r="W65" s="49"/>
      <c r="X65" s="49"/>
      <c r="Y65" s="49"/>
      <c r="Z65" s="49"/>
    </row>
    <row r="66">
      <c r="A66" s="49"/>
      <c r="B66" s="49"/>
      <c r="C66" s="49"/>
      <c r="D66" s="49"/>
      <c r="E66" s="49"/>
      <c r="F66" s="49"/>
      <c r="G66" s="49"/>
      <c r="H66" s="49"/>
      <c r="I66" s="49"/>
      <c r="J66" s="49"/>
      <c r="K66" s="49"/>
      <c r="L66" s="49"/>
      <c r="M66" s="49"/>
      <c r="N66" s="49"/>
      <c r="O66" s="49"/>
      <c r="P66" s="49"/>
      <c r="Q66" s="49"/>
      <c r="R66" s="49"/>
      <c r="S66" s="49"/>
      <c r="T66" s="49"/>
      <c r="U66" s="49"/>
      <c r="V66" s="49"/>
      <c r="W66" s="49"/>
      <c r="X66" s="49"/>
      <c r="Y66" s="49"/>
      <c r="Z66" s="49"/>
    </row>
    <row r="67">
      <c r="A67" s="49"/>
      <c r="B67" s="49"/>
      <c r="C67" s="49"/>
      <c r="D67" s="49"/>
      <c r="E67" s="49"/>
      <c r="F67" s="49"/>
      <c r="G67" s="49"/>
      <c r="H67" s="49"/>
      <c r="I67" s="49"/>
      <c r="J67" s="49"/>
      <c r="K67" s="49"/>
      <c r="L67" s="49"/>
      <c r="M67" s="49"/>
      <c r="N67" s="49"/>
      <c r="O67" s="49"/>
      <c r="P67" s="49"/>
      <c r="Q67" s="49"/>
      <c r="R67" s="49"/>
      <c r="S67" s="49"/>
      <c r="T67" s="49"/>
      <c r="U67" s="49"/>
      <c r="V67" s="49"/>
      <c r="W67" s="49"/>
      <c r="X67" s="49"/>
      <c r="Y67" s="49"/>
      <c r="Z67" s="49"/>
    </row>
    <row r="68">
      <c r="A68" s="49"/>
      <c r="B68" s="49"/>
      <c r="C68" s="49"/>
      <c r="D68" s="49"/>
      <c r="E68" s="49"/>
      <c r="F68" s="49"/>
      <c r="G68" s="49"/>
      <c r="H68" s="49"/>
      <c r="I68" s="49"/>
      <c r="J68" s="49"/>
      <c r="K68" s="49"/>
      <c r="L68" s="49"/>
      <c r="M68" s="49"/>
      <c r="N68" s="49"/>
      <c r="O68" s="49"/>
      <c r="P68" s="49"/>
      <c r="Q68" s="49"/>
      <c r="R68" s="49"/>
      <c r="S68" s="49"/>
      <c r="T68" s="49"/>
      <c r="U68" s="49"/>
      <c r="V68" s="49"/>
      <c r="W68" s="49"/>
      <c r="X68" s="49"/>
      <c r="Y68" s="49"/>
      <c r="Z68" s="49"/>
    </row>
    <row r="69">
      <c r="A69" s="49"/>
      <c r="B69" s="49"/>
      <c r="C69" s="49"/>
      <c r="D69" s="49"/>
      <c r="E69" s="49"/>
      <c r="F69" s="49"/>
      <c r="G69" s="49"/>
      <c r="H69" s="49"/>
      <c r="I69" s="49"/>
      <c r="J69" s="49"/>
      <c r="K69" s="49"/>
      <c r="L69" s="49"/>
      <c r="M69" s="49"/>
      <c r="N69" s="49"/>
      <c r="O69" s="49"/>
      <c r="P69" s="49"/>
      <c r="Q69" s="49"/>
      <c r="R69" s="49"/>
      <c r="S69" s="49"/>
      <c r="T69" s="49"/>
      <c r="U69" s="49"/>
      <c r="V69" s="49"/>
      <c r="W69" s="49"/>
      <c r="X69" s="49"/>
      <c r="Y69" s="49"/>
      <c r="Z69" s="49"/>
    </row>
    <row r="70">
      <c r="A70" s="49"/>
      <c r="B70" s="49"/>
      <c r="C70" s="49"/>
      <c r="D70" s="49"/>
      <c r="E70" s="49"/>
      <c r="F70" s="49"/>
      <c r="G70" s="49"/>
      <c r="H70" s="49"/>
      <c r="I70" s="49"/>
      <c r="J70" s="49"/>
      <c r="K70" s="49"/>
      <c r="L70" s="49"/>
      <c r="M70" s="49"/>
      <c r="N70" s="49"/>
      <c r="O70" s="49"/>
      <c r="P70" s="49"/>
      <c r="Q70" s="49"/>
      <c r="R70" s="49"/>
      <c r="S70" s="49"/>
      <c r="T70" s="49"/>
      <c r="U70" s="49"/>
      <c r="V70" s="49"/>
      <c r="W70" s="49"/>
      <c r="X70" s="49"/>
      <c r="Y70" s="49"/>
      <c r="Z70" s="49"/>
    </row>
    <row r="71">
      <c r="A71" s="49"/>
      <c r="B71" s="49"/>
      <c r="C71" s="49"/>
      <c r="D71" s="49"/>
      <c r="E71" s="49"/>
      <c r="F71" s="49"/>
      <c r="G71" s="49"/>
      <c r="H71" s="49"/>
      <c r="I71" s="49"/>
      <c r="J71" s="49"/>
      <c r="K71" s="49"/>
      <c r="L71" s="49"/>
      <c r="M71" s="49"/>
      <c r="N71" s="49"/>
      <c r="O71" s="49"/>
      <c r="P71" s="49"/>
      <c r="Q71" s="49"/>
      <c r="R71" s="49"/>
      <c r="S71" s="49"/>
      <c r="T71" s="49"/>
      <c r="U71" s="49"/>
      <c r="V71" s="49"/>
      <c r="W71" s="49"/>
      <c r="X71" s="49"/>
      <c r="Y71" s="49"/>
      <c r="Z71" s="49"/>
    </row>
    <row r="72">
      <c r="A72" s="49"/>
      <c r="B72" s="49"/>
      <c r="C72" s="49"/>
      <c r="D72" s="49"/>
      <c r="E72" s="49"/>
      <c r="F72" s="49"/>
      <c r="G72" s="49"/>
      <c r="H72" s="49"/>
      <c r="I72" s="49"/>
      <c r="J72" s="49"/>
      <c r="K72" s="49"/>
      <c r="L72" s="49"/>
      <c r="M72" s="49"/>
      <c r="N72" s="49"/>
      <c r="O72" s="49"/>
      <c r="P72" s="49"/>
      <c r="Q72" s="49"/>
      <c r="R72" s="49"/>
      <c r="S72" s="49"/>
      <c r="T72" s="49"/>
      <c r="U72" s="49"/>
      <c r="V72" s="49"/>
      <c r="W72" s="49"/>
      <c r="X72" s="49"/>
      <c r="Y72" s="49"/>
      <c r="Z72" s="49"/>
    </row>
    <row r="73">
      <c r="A73" s="49"/>
      <c r="B73" s="49"/>
      <c r="C73" s="49"/>
      <c r="D73" s="49"/>
      <c r="E73" s="49"/>
      <c r="F73" s="49"/>
      <c r="G73" s="49"/>
      <c r="H73" s="49"/>
      <c r="I73" s="49"/>
      <c r="J73" s="49"/>
      <c r="K73" s="49"/>
      <c r="L73" s="49"/>
      <c r="M73" s="49"/>
      <c r="N73" s="49"/>
      <c r="O73" s="49"/>
      <c r="P73" s="49"/>
      <c r="Q73" s="49"/>
      <c r="R73" s="49"/>
      <c r="S73" s="49"/>
      <c r="T73" s="49"/>
      <c r="U73" s="49"/>
      <c r="V73" s="49"/>
      <c r="W73" s="49"/>
      <c r="X73" s="49"/>
      <c r="Y73" s="49"/>
      <c r="Z73" s="49"/>
    </row>
    <row r="74">
      <c r="A74" s="49"/>
      <c r="B74" s="49"/>
      <c r="C74" s="49"/>
      <c r="D74" s="49"/>
      <c r="E74" s="49"/>
      <c r="F74" s="49"/>
      <c r="G74" s="49"/>
      <c r="H74" s="49"/>
      <c r="I74" s="49"/>
      <c r="J74" s="49"/>
      <c r="K74" s="49"/>
      <c r="L74" s="49"/>
      <c r="M74" s="49"/>
      <c r="N74" s="49"/>
      <c r="O74" s="49"/>
      <c r="P74" s="49"/>
      <c r="Q74" s="49"/>
      <c r="R74" s="49"/>
      <c r="S74" s="49"/>
      <c r="T74" s="49"/>
      <c r="U74" s="49"/>
      <c r="V74" s="49"/>
      <c r="W74" s="49"/>
      <c r="X74" s="49"/>
      <c r="Y74" s="49"/>
      <c r="Z74" s="49"/>
    </row>
    <row r="75">
      <c r="A75" s="49"/>
      <c r="B75" s="49"/>
      <c r="C75" s="49"/>
      <c r="D75" s="49"/>
      <c r="E75" s="49"/>
      <c r="F75" s="49"/>
      <c r="G75" s="49"/>
      <c r="H75" s="49"/>
      <c r="I75" s="49"/>
      <c r="J75" s="49"/>
      <c r="K75" s="49"/>
      <c r="L75" s="49"/>
      <c r="M75" s="49"/>
      <c r="N75" s="49"/>
      <c r="O75" s="49"/>
      <c r="P75" s="49"/>
      <c r="Q75" s="49"/>
      <c r="R75" s="49"/>
      <c r="S75" s="49"/>
      <c r="T75" s="49"/>
      <c r="U75" s="49"/>
      <c r="V75" s="49"/>
      <c r="W75" s="49"/>
      <c r="X75" s="49"/>
      <c r="Y75" s="49"/>
      <c r="Z75" s="49"/>
    </row>
    <row r="76">
      <c r="A76" s="49"/>
      <c r="B76" s="49"/>
      <c r="C76" s="49"/>
      <c r="D76" s="49"/>
      <c r="E76" s="49"/>
      <c r="F76" s="49"/>
      <c r="G76" s="49"/>
      <c r="H76" s="49"/>
      <c r="I76" s="49"/>
      <c r="J76" s="49"/>
      <c r="K76" s="49"/>
      <c r="L76" s="49"/>
      <c r="M76" s="49"/>
      <c r="N76" s="49"/>
      <c r="O76" s="49"/>
      <c r="P76" s="49"/>
      <c r="Q76" s="49"/>
      <c r="R76" s="49"/>
      <c r="S76" s="49"/>
      <c r="T76" s="49"/>
      <c r="U76" s="49"/>
      <c r="V76" s="49"/>
      <c r="W76" s="49"/>
      <c r="X76" s="49"/>
      <c r="Y76" s="49"/>
      <c r="Z76" s="49"/>
    </row>
    <row r="77">
      <c r="A77" s="49"/>
      <c r="B77" s="49"/>
      <c r="C77" s="49"/>
      <c r="D77" s="49"/>
      <c r="E77" s="49"/>
      <c r="F77" s="49"/>
      <c r="G77" s="49"/>
      <c r="H77" s="49"/>
      <c r="I77" s="49"/>
      <c r="J77" s="49"/>
      <c r="K77" s="49"/>
      <c r="L77" s="49"/>
      <c r="M77" s="49"/>
      <c r="N77" s="49"/>
      <c r="O77" s="49"/>
      <c r="P77" s="49"/>
      <c r="Q77" s="49"/>
      <c r="R77" s="49"/>
      <c r="S77" s="49"/>
      <c r="T77" s="49"/>
      <c r="U77" s="49"/>
      <c r="V77" s="49"/>
      <c r="W77" s="49"/>
      <c r="X77" s="49"/>
      <c r="Y77" s="49"/>
      <c r="Z77" s="49"/>
    </row>
    <row r="78">
      <c r="A78" s="49"/>
      <c r="B78" s="49"/>
      <c r="C78" s="49"/>
      <c r="D78" s="49"/>
      <c r="E78" s="49"/>
      <c r="F78" s="49"/>
      <c r="G78" s="49"/>
      <c r="H78" s="49"/>
      <c r="I78" s="49"/>
      <c r="J78" s="49"/>
      <c r="K78" s="49"/>
      <c r="L78" s="49"/>
      <c r="M78" s="49"/>
      <c r="N78" s="49"/>
      <c r="O78" s="49"/>
      <c r="P78" s="49"/>
      <c r="Q78" s="49"/>
      <c r="R78" s="49"/>
      <c r="S78" s="49"/>
      <c r="T78" s="49"/>
      <c r="U78" s="49"/>
      <c r="V78" s="49"/>
      <c r="W78" s="49"/>
      <c r="X78" s="49"/>
      <c r="Y78" s="49"/>
      <c r="Z78" s="49"/>
    </row>
    <row r="79">
      <c r="A79" s="49"/>
      <c r="B79" s="49"/>
      <c r="C79" s="49"/>
      <c r="D79" s="49"/>
      <c r="E79" s="49"/>
      <c r="F79" s="49"/>
      <c r="G79" s="49"/>
      <c r="H79" s="49"/>
      <c r="I79" s="49"/>
      <c r="J79" s="49"/>
      <c r="K79" s="49"/>
      <c r="L79" s="49"/>
      <c r="M79" s="49"/>
      <c r="N79" s="49"/>
      <c r="O79" s="49"/>
      <c r="P79" s="49"/>
      <c r="Q79" s="49"/>
      <c r="R79" s="49"/>
      <c r="S79" s="49"/>
      <c r="T79" s="49"/>
      <c r="U79" s="49"/>
      <c r="V79" s="49"/>
      <c r="W79" s="49"/>
      <c r="X79" s="49"/>
      <c r="Y79" s="49"/>
      <c r="Z79" s="49"/>
    </row>
    <row r="80">
      <c r="A80" s="49"/>
      <c r="B80" s="49"/>
      <c r="C80" s="49"/>
      <c r="D80" s="49"/>
      <c r="E80" s="49"/>
      <c r="F80" s="49"/>
      <c r="G80" s="49"/>
      <c r="H80" s="49"/>
      <c r="I80" s="49"/>
      <c r="J80" s="49"/>
      <c r="K80" s="49"/>
      <c r="L80" s="49"/>
      <c r="M80" s="49"/>
      <c r="N80" s="49"/>
      <c r="O80" s="49"/>
      <c r="P80" s="49"/>
      <c r="Q80" s="49"/>
      <c r="R80" s="49"/>
      <c r="S80" s="49"/>
      <c r="T80" s="49"/>
      <c r="U80" s="49"/>
      <c r="V80" s="49"/>
      <c r="W80" s="49"/>
      <c r="X80" s="49"/>
      <c r="Y80" s="49"/>
      <c r="Z80" s="49"/>
    </row>
    <row r="81">
      <c r="A81" s="49"/>
      <c r="B81" s="49"/>
      <c r="C81" s="49"/>
      <c r="D81" s="49"/>
      <c r="E81" s="49"/>
      <c r="F81" s="49"/>
      <c r="G81" s="49"/>
      <c r="H81" s="49"/>
      <c r="I81" s="49"/>
      <c r="J81" s="49"/>
      <c r="K81" s="49"/>
      <c r="L81" s="49"/>
      <c r="M81" s="49"/>
      <c r="N81" s="49"/>
      <c r="O81" s="49"/>
      <c r="P81" s="49"/>
      <c r="Q81" s="49"/>
      <c r="R81" s="49"/>
      <c r="S81" s="49"/>
      <c r="T81" s="49"/>
      <c r="U81" s="49"/>
      <c r="V81" s="49"/>
      <c r="W81" s="49"/>
      <c r="X81" s="49"/>
      <c r="Y81" s="49"/>
      <c r="Z81" s="49"/>
    </row>
    <row r="82">
      <c r="A82" s="49"/>
      <c r="B82" s="49"/>
      <c r="C82" s="49"/>
      <c r="D82" s="49"/>
      <c r="E82" s="49"/>
      <c r="F82" s="49"/>
      <c r="G82" s="49"/>
      <c r="H82" s="49"/>
      <c r="I82" s="49"/>
      <c r="J82" s="49"/>
      <c r="K82" s="49"/>
      <c r="L82" s="49"/>
      <c r="M82" s="49"/>
      <c r="N82" s="49"/>
      <c r="O82" s="49"/>
      <c r="P82" s="49"/>
      <c r="Q82" s="49"/>
      <c r="R82" s="49"/>
      <c r="S82" s="49"/>
      <c r="T82" s="49"/>
      <c r="U82" s="49"/>
      <c r="V82" s="49"/>
      <c r="W82" s="49"/>
      <c r="X82" s="49"/>
      <c r="Y82" s="49"/>
      <c r="Z82" s="49"/>
    </row>
    <row r="83">
      <c r="A83" s="49"/>
      <c r="B83" s="49"/>
      <c r="C83" s="49"/>
      <c r="D83" s="49"/>
      <c r="E83" s="49"/>
      <c r="F83" s="49"/>
      <c r="G83" s="49"/>
      <c r="H83" s="49"/>
      <c r="I83" s="49"/>
      <c r="J83" s="49"/>
      <c r="K83" s="49"/>
      <c r="L83" s="49"/>
      <c r="M83" s="49"/>
      <c r="N83" s="49"/>
      <c r="O83" s="49"/>
      <c r="P83" s="49"/>
      <c r="Q83" s="49"/>
      <c r="R83" s="49"/>
      <c r="S83" s="49"/>
      <c r="T83" s="49"/>
      <c r="U83" s="49"/>
      <c r="V83" s="49"/>
      <c r="W83" s="49"/>
      <c r="X83" s="49"/>
      <c r="Y83" s="49"/>
      <c r="Z83" s="49"/>
    </row>
    <row r="84">
      <c r="A84" s="49"/>
      <c r="B84" s="49"/>
      <c r="C84" s="49"/>
      <c r="D84" s="49"/>
      <c r="E84" s="49"/>
      <c r="F84" s="49"/>
      <c r="G84" s="49"/>
      <c r="H84" s="49"/>
      <c r="I84" s="49"/>
      <c r="J84" s="49"/>
      <c r="K84" s="49"/>
      <c r="L84" s="49"/>
      <c r="M84" s="49"/>
      <c r="N84" s="49"/>
      <c r="O84" s="49"/>
      <c r="P84" s="49"/>
      <c r="Q84" s="49"/>
      <c r="R84" s="49"/>
      <c r="S84" s="49"/>
      <c r="T84" s="49"/>
      <c r="U84" s="49"/>
      <c r="V84" s="49"/>
      <c r="W84" s="49"/>
      <c r="X84" s="49"/>
      <c r="Y84" s="49"/>
      <c r="Z84" s="49"/>
    </row>
    <row r="85">
      <c r="A85" s="49"/>
      <c r="B85" s="49"/>
      <c r="C85" s="49"/>
      <c r="D85" s="49"/>
      <c r="E85" s="49"/>
      <c r="F85" s="49"/>
      <c r="G85" s="49"/>
      <c r="H85" s="49"/>
      <c r="I85" s="49"/>
      <c r="J85" s="49"/>
      <c r="K85" s="49"/>
      <c r="L85" s="49"/>
      <c r="M85" s="49"/>
      <c r="N85" s="49"/>
      <c r="O85" s="49"/>
      <c r="P85" s="49"/>
      <c r="Q85" s="49"/>
      <c r="R85" s="49"/>
      <c r="S85" s="49"/>
      <c r="T85" s="49"/>
      <c r="U85" s="49"/>
      <c r="V85" s="49"/>
      <c r="W85" s="49"/>
      <c r="X85" s="49"/>
      <c r="Y85" s="49"/>
      <c r="Z85" s="49"/>
    </row>
    <row r="86">
      <c r="A86" s="49"/>
      <c r="B86" s="49"/>
      <c r="C86" s="49"/>
      <c r="D86" s="49"/>
      <c r="E86" s="49"/>
      <c r="F86" s="49"/>
      <c r="G86" s="49"/>
      <c r="H86" s="49"/>
      <c r="I86" s="49"/>
      <c r="J86" s="49"/>
      <c r="K86" s="49"/>
      <c r="L86" s="49"/>
      <c r="M86" s="49"/>
      <c r="N86" s="49"/>
      <c r="O86" s="49"/>
      <c r="P86" s="49"/>
      <c r="Q86" s="49"/>
      <c r="R86" s="49"/>
      <c r="S86" s="49"/>
      <c r="T86" s="49"/>
      <c r="U86" s="49"/>
      <c r="V86" s="49"/>
      <c r="W86" s="49"/>
      <c r="X86" s="49"/>
      <c r="Y86" s="49"/>
      <c r="Z86" s="49"/>
    </row>
    <row r="87">
      <c r="A87" s="49"/>
      <c r="B87" s="49"/>
      <c r="C87" s="49"/>
      <c r="D87" s="49"/>
      <c r="E87" s="49"/>
      <c r="F87" s="49"/>
      <c r="G87" s="49"/>
      <c r="H87" s="49"/>
      <c r="I87" s="49"/>
      <c r="J87" s="49"/>
      <c r="K87" s="49"/>
      <c r="L87" s="49"/>
      <c r="M87" s="49"/>
      <c r="N87" s="49"/>
      <c r="O87" s="49"/>
      <c r="P87" s="49"/>
      <c r="Q87" s="49"/>
      <c r="R87" s="49"/>
      <c r="S87" s="49"/>
      <c r="T87" s="49"/>
      <c r="U87" s="49"/>
      <c r="V87" s="49"/>
      <c r="W87" s="49"/>
      <c r="X87" s="49"/>
      <c r="Y87" s="49"/>
      <c r="Z87" s="49"/>
    </row>
    <row r="88">
      <c r="A88" s="49"/>
      <c r="B88" s="49"/>
      <c r="C88" s="49"/>
      <c r="D88" s="49"/>
      <c r="E88" s="49"/>
      <c r="F88" s="49"/>
      <c r="G88" s="49"/>
      <c r="H88" s="49"/>
      <c r="I88" s="49"/>
      <c r="J88" s="49"/>
      <c r="K88" s="49"/>
      <c r="L88" s="49"/>
      <c r="M88" s="49"/>
      <c r="N88" s="49"/>
      <c r="O88" s="49"/>
      <c r="P88" s="49"/>
      <c r="Q88" s="49"/>
      <c r="R88" s="49"/>
      <c r="S88" s="49"/>
      <c r="T88" s="49"/>
      <c r="U88" s="49"/>
      <c r="V88" s="49"/>
      <c r="W88" s="49"/>
      <c r="X88" s="49"/>
      <c r="Y88" s="49"/>
      <c r="Z88" s="49"/>
    </row>
    <row r="89">
      <c r="A89" s="49"/>
      <c r="B89" s="49"/>
      <c r="C89" s="49"/>
      <c r="D89" s="49"/>
      <c r="E89" s="49"/>
      <c r="F89" s="49"/>
      <c r="G89" s="49"/>
      <c r="H89" s="49"/>
      <c r="I89" s="49"/>
      <c r="J89" s="49"/>
      <c r="K89" s="49"/>
      <c r="L89" s="49"/>
      <c r="M89" s="49"/>
      <c r="N89" s="49"/>
      <c r="O89" s="49"/>
      <c r="P89" s="49"/>
      <c r="Q89" s="49"/>
      <c r="R89" s="49"/>
      <c r="S89" s="49"/>
      <c r="T89" s="49"/>
      <c r="U89" s="49"/>
      <c r="V89" s="49"/>
      <c r="W89" s="49"/>
      <c r="X89" s="49"/>
      <c r="Y89" s="49"/>
      <c r="Z89" s="49"/>
    </row>
    <row r="90">
      <c r="A90" s="49"/>
      <c r="B90" s="49"/>
      <c r="C90" s="49"/>
      <c r="D90" s="49"/>
      <c r="E90" s="49"/>
      <c r="F90" s="49"/>
      <c r="G90" s="49"/>
      <c r="H90" s="49"/>
      <c r="I90" s="49"/>
      <c r="J90" s="49"/>
      <c r="K90" s="49"/>
      <c r="L90" s="49"/>
      <c r="M90" s="49"/>
      <c r="N90" s="49"/>
      <c r="O90" s="49"/>
      <c r="P90" s="49"/>
      <c r="Q90" s="49"/>
      <c r="R90" s="49"/>
      <c r="S90" s="49"/>
      <c r="T90" s="49"/>
      <c r="U90" s="49"/>
      <c r="V90" s="49"/>
      <c r="W90" s="49"/>
      <c r="X90" s="49"/>
      <c r="Y90" s="49"/>
      <c r="Z90" s="49"/>
    </row>
    <row r="91">
      <c r="A91" s="49"/>
      <c r="B91" s="49"/>
      <c r="C91" s="49"/>
      <c r="D91" s="49"/>
      <c r="E91" s="49"/>
      <c r="F91" s="49"/>
      <c r="G91" s="49"/>
      <c r="H91" s="49"/>
      <c r="I91" s="49"/>
      <c r="J91" s="49"/>
      <c r="K91" s="49"/>
      <c r="L91" s="49"/>
      <c r="M91" s="49"/>
      <c r="N91" s="49"/>
      <c r="O91" s="49"/>
      <c r="P91" s="49"/>
      <c r="Q91" s="49"/>
      <c r="R91" s="49"/>
      <c r="S91" s="49"/>
      <c r="T91" s="49"/>
      <c r="U91" s="49"/>
      <c r="V91" s="49"/>
      <c r="W91" s="49"/>
      <c r="X91" s="49"/>
      <c r="Y91" s="49"/>
      <c r="Z91" s="49"/>
    </row>
    <row r="92">
      <c r="A92" s="49"/>
      <c r="B92" s="49"/>
      <c r="C92" s="49"/>
      <c r="D92" s="49"/>
      <c r="E92" s="49"/>
      <c r="F92" s="49"/>
      <c r="G92" s="49"/>
      <c r="H92" s="49"/>
      <c r="I92" s="49"/>
      <c r="J92" s="49"/>
      <c r="K92" s="49"/>
      <c r="L92" s="49"/>
      <c r="M92" s="49"/>
      <c r="N92" s="49"/>
      <c r="O92" s="49"/>
      <c r="P92" s="49"/>
      <c r="Q92" s="49"/>
      <c r="R92" s="49"/>
      <c r="S92" s="49"/>
      <c r="T92" s="49"/>
      <c r="U92" s="49"/>
      <c r="V92" s="49"/>
      <c r="W92" s="49"/>
      <c r="X92" s="49"/>
      <c r="Y92" s="49"/>
      <c r="Z92" s="49"/>
    </row>
    <row r="93">
      <c r="A93" s="49"/>
      <c r="B93" s="49"/>
      <c r="C93" s="49"/>
      <c r="D93" s="49"/>
      <c r="E93" s="49"/>
      <c r="F93" s="49"/>
      <c r="G93" s="49"/>
      <c r="H93" s="49"/>
      <c r="I93" s="49"/>
      <c r="J93" s="49"/>
      <c r="K93" s="49"/>
      <c r="L93" s="49"/>
      <c r="M93" s="49"/>
      <c r="N93" s="49"/>
      <c r="O93" s="49"/>
      <c r="P93" s="49"/>
      <c r="Q93" s="49"/>
      <c r="R93" s="49"/>
      <c r="S93" s="49"/>
      <c r="T93" s="49"/>
      <c r="U93" s="49"/>
      <c r="V93" s="49"/>
      <c r="W93" s="49"/>
      <c r="X93" s="49"/>
      <c r="Y93" s="49"/>
      <c r="Z93" s="49"/>
    </row>
    <row r="94">
      <c r="A94" s="49"/>
      <c r="B94" s="49"/>
      <c r="C94" s="49"/>
      <c r="D94" s="49"/>
      <c r="E94" s="49"/>
      <c r="F94" s="49"/>
      <c r="G94" s="49"/>
      <c r="H94" s="49"/>
      <c r="I94" s="49"/>
      <c r="J94" s="49"/>
      <c r="K94" s="49"/>
      <c r="L94" s="49"/>
      <c r="M94" s="49"/>
      <c r="N94" s="49"/>
      <c r="O94" s="49"/>
      <c r="P94" s="49"/>
      <c r="Q94" s="49"/>
      <c r="R94" s="49"/>
      <c r="S94" s="49"/>
      <c r="T94" s="49"/>
      <c r="U94" s="49"/>
      <c r="V94" s="49"/>
      <c r="W94" s="49"/>
      <c r="X94" s="49"/>
      <c r="Y94" s="49"/>
      <c r="Z94" s="49"/>
    </row>
    <row r="95">
      <c r="A95" s="49"/>
      <c r="B95" s="49"/>
      <c r="C95" s="49"/>
      <c r="D95" s="49"/>
      <c r="E95" s="49"/>
      <c r="F95" s="49"/>
      <c r="G95" s="49"/>
      <c r="H95" s="49"/>
      <c r="I95" s="49"/>
      <c r="J95" s="49"/>
      <c r="K95" s="49"/>
      <c r="L95" s="49"/>
      <c r="M95" s="49"/>
      <c r="N95" s="49"/>
      <c r="O95" s="49"/>
      <c r="P95" s="49"/>
      <c r="Q95" s="49"/>
      <c r="R95" s="49"/>
      <c r="S95" s="49"/>
      <c r="T95" s="49"/>
      <c r="U95" s="49"/>
      <c r="V95" s="49"/>
      <c r="W95" s="49"/>
      <c r="X95" s="49"/>
      <c r="Y95" s="49"/>
      <c r="Z95" s="49"/>
    </row>
    <row r="96">
      <c r="A96" s="49"/>
      <c r="B96" s="49"/>
      <c r="C96" s="49"/>
      <c r="D96" s="49"/>
      <c r="E96" s="49"/>
      <c r="F96" s="49"/>
      <c r="G96" s="49"/>
      <c r="H96" s="49"/>
      <c r="I96" s="49"/>
      <c r="J96" s="49"/>
      <c r="K96" s="49"/>
      <c r="L96" s="49"/>
      <c r="M96" s="49"/>
      <c r="N96" s="49"/>
      <c r="O96" s="49"/>
      <c r="P96" s="49"/>
      <c r="Q96" s="49"/>
      <c r="R96" s="49"/>
      <c r="S96" s="49"/>
      <c r="T96" s="49"/>
      <c r="U96" s="49"/>
      <c r="V96" s="49"/>
      <c r="W96" s="49"/>
      <c r="X96" s="49"/>
      <c r="Y96" s="49"/>
      <c r="Z96" s="49"/>
    </row>
    <row r="97">
      <c r="A97" s="49"/>
      <c r="B97" s="49"/>
      <c r="C97" s="49"/>
      <c r="D97" s="49"/>
      <c r="E97" s="49"/>
      <c r="F97" s="49"/>
      <c r="G97" s="49"/>
      <c r="H97" s="49"/>
      <c r="I97" s="49"/>
      <c r="J97" s="49"/>
      <c r="K97" s="49"/>
      <c r="L97" s="49"/>
      <c r="M97" s="49"/>
      <c r="N97" s="49"/>
      <c r="O97" s="49"/>
      <c r="P97" s="49"/>
      <c r="Q97" s="49"/>
      <c r="R97" s="49"/>
      <c r="S97" s="49"/>
      <c r="T97" s="49"/>
      <c r="U97" s="49"/>
      <c r="V97" s="49"/>
      <c r="W97" s="49"/>
      <c r="X97" s="49"/>
      <c r="Y97" s="49"/>
      <c r="Z97" s="49"/>
    </row>
    <row r="98">
      <c r="A98" s="49"/>
      <c r="B98" s="49"/>
      <c r="C98" s="49"/>
      <c r="D98" s="49"/>
      <c r="E98" s="49"/>
      <c r="F98" s="49"/>
      <c r="G98" s="49"/>
      <c r="H98" s="49"/>
      <c r="I98" s="49"/>
      <c r="J98" s="49"/>
      <c r="K98" s="49"/>
      <c r="L98" s="49"/>
      <c r="M98" s="49"/>
      <c r="N98" s="49"/>
      <c r="O98" s="49"/>
      <c r="P98" s="49"/>
      <c r="Q98" s="49"/>
      <c r="R98" s="49"/>
      <c r="S98" s="49"/>
      <c r="T98" s="49"/>
      <c r="U98" s="49"/>
      <c r="V98" s="49"/>
      <c r="W98" s="49"/>
      <c r="X98" s="49"/>
      <c r="Y98" s="49"/>
      <c r="Z98" s="49"/>
    </row>
    <row r="99">
      <c r="A99" s="49"/>
      <c r="B99" s="49"/>
      <c r="C99" s="49"/>
      <c r="D99" s="49"/>
      <c r="E99" s="49"/>
      <c r="F99" s="49"/>
      <c r="G99" s="49"/>
      <c r="H99" s="49"/>
      <c r="I99" s="49"/>
      <c r="J99" s="49"/>
      <c r="K99" s="49"/>
      <c r="L99" s="49"/>
      <c r="M99" s="49"/>
      <c r="N99" s="49"/>
      <c r="O99" s="49"/>
      <c r="P99" s="49"/>
      <c r="Q99" s="49"/>
      <c r="R99" s="49"/>
      <c r="S99" s="49"/>
      <c r="T99" s="49"/>
      <c r="U99" s="49"/>
      <c r="V99" s="49"/>
      <c r="W99" s="49"/>
      <c r="X99" s="49"/>
      <c r="Y99" s="49"/>
      <c r="Z99" s="49"/>
    </row>
    <row r="100">
      <c r="A100" s="49"/>
      <c r="B100" s="49"/>
      <c r="C100" s="49"/>
      <c r="D100" s="49"/>
      <c r="E100" s="49"/>
      <c r="F100" s="49"/>
      <c r="G100" s="49"/>
      <c r="H100" s="49"/>
      <c r="I100" s="49"/>
      <c r="J100" s="49"/>
      <c r="K100" s="49"/>
      <c r="L100" s="49"/>
      <c r="M100" s="49"/>
      <c r="N100" s="49"/>
      <c r="O100" s="49"/>
      <c r="P100" s="49"/>
      <c r="Q100" s="49"/>
      <c r="R100" s="49"/>
      <c r="S100" s="49"/>
      <c r="T100" s="49"/>
      <c r="U100" s="49"/>
      <c r="V100" s="49"/>
      <c r="W100" s="49"/>
      <c r="X100" s="49"/>
      <c r="Y100" s="49"/>
      <c r="Z100" s="49"/>
    </row>
    <row r="101">
      <c r="A101" s="49"/>
      <c r="B101" s="49"/>
      <c r="C101" s="49"/>
      <c r="D101" s="49"/>
      <c r="E101" s="49"/>
      <c r="F101" s="49"/>
      <c r="G101" s="49"/>
      <c r="H101" s="49"/>
      <c r="I101" s="49"/>
      <c r="J101" s="49"/>
      <c r="K101" s="49"/>
      <c r="L101" s="49"/>
      <c r="M101" s="49"/>
      <c r="N101" s="49"/>
      <c r="O101" s="49"/>
      <c r="P101" s="49"/>
      <c r="Q101" s="49"/>
      <c r="R101" s="49"/>
      <c r="S101" s="49"/>
      <c r="T101" s="49"/>
      <c r="U101" s="49"/>
      <c r="V101" s="49"/>
      <c r="W101" s="49"/>
      <c r="X101" s="49"/>
      <c r="Y101" s="49"/>
      <c r="Z101" s="49"/>
    </row>
    <row r="102">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9" t="str">
        <f>IFERROR(__xludf.DUMMYFUNCTION("IMPORTRANGE(""https://docs.google.com/spreadsheets/d/""&amp;Config!B4,""GuildMembers!A:AX"")"),"Guild")</f>
        <v>Guild</v>
      </c>
      <c r="B1" s="49" t="str">
        <f>IFERROR(__xludf.DUMMYFUNCTION("""COMPUTED_VALUE"""),"Member")</f>
        <v>Member</v>
      </c>
      <c r="C1" s="49" t="str">
        <f>IFERROR(__xludf.DUMMYFUNCTION("""COMPUTED_VALUE"""),"Rank")</f>
        <v>Rank</v>
      </c>
      <c r="D1" s="49" t="str">
        <f>IFERROR(__xludf.DUMMYFUNCTION("""COMPUTED_VALUE"""),"Guild Quests Completed")</f>
        <v>Guild Quests Completed</v>
      </c>
      <c r="E1" s="49"/>
      <c r="F1" s="49"/>
      <c r="G1" s="49"/>
      <c r="H1" s="49"/>
      <c r="I1" s="49"/>
      <c r="J1" s="49"/>
      <c r="K1" s="49"/>
      <c r="L1" s="49"/>
      <c r="M1" s="49"/>
      <c r="N1" s="49"/>
      <c r="O1" s="49"/>
      <c r="P1" s="49"/>
      <c r="Q1" s="49"/>
      <c r="R1" s="49"/>
      <c r="S1" s="49"/>
      <c r="T1" s="49"/>
      <c r="U1" s="49"/>
      <c r="V1" s="49"/>
      <c r="W1" s="49"/>
      <c r="X1" s="49"/>
      <c r="Y1" s="49"/>
      <c r="Z1" s="49"/>
    </row>
    <row r="2">
      <c r="A2" s="49"/>
      <c r="B2" s="49"/>
      <c r="C2" s="49"/>
      <c r="D2" s="49"/>
      <c r="E2" s="49"/>
      <c r="F2" s="49"/>
      <c r="G2" s="49"/>
      <c r="H2" s="49"/>
      <c r="I2" s="49"/>
      <c r="J2" s="49"/>
      <c r="K2" s="49"/>
      <c r="L2" s="49"/>
      <c r="M2" s="49"/>
      <c r="N2" s="49"/>
      <c r="O2" s="49"/>
      <c r="P2" s="49"/>
      <c r="Q2" s="49"/>
      <c r="R2" s="49"/>
      <c r="S2" s="49"/>
      <c r="T2" s="49"/>
      <c r="U2" s="49"/>
      <c r="V2" s="49"/>
      <c r="W2" s="49"/>
      <c r="X2" s="49"/>
      <c r="Y2" s="49"/>
      <c r="Z2" s="49"/>
    </row>
    <row r="3">
      <c r="A3" s="49" t="str">
        <f>IFERROR(__xludf.DUMMYFUNCTION("""COMPUTED_VALUE"""),"Royal Knights of Spira Guild")</f>
        <v>Royal Knights of Spira Guild</v>
      </c>
      <c r="B3" s="49" t="str">
        <f>IFERROR(__xludf.DUMMYFUNCTION("""COMPUTED_VALUE"""),"""Zordius""")</f>
        <v>"Zordius"</v>
      </c>
      <c r="C3" s="49" t="str">
        <f>IFERROR(__xludf.DUMMYFUNCTION("""COMPUTED_VALUE"""),"Guild Member")</f>
        <v>Guild Member</v>
      </c>
      <c r="D3" s="49"/>
      <c r="E3" s="49"/>
      <c r="F3" s="49"/>
      <c r="G3" s="49"/>
      <c r="H3" s="49"/>
      <c r="I3" s="49"/>
      <c r="J3" s="49"/>
      <c r="K3" s="49"/>
      <c r="L3" s="49"/>
      <c r="M3" s="49"/>
      <c r="N3" s="49"/>
      <c r="O3" s="49"/>
      <c r="P3" s="49"/>
      <c r="Q3" s="49"/>
      <c r="R3" s="49"/>
      <c r="S3" s="49"/>
      <c r="T3" s="49"/>
      <c r="U3" s="49"/>
      <c r="V3" s="49"/>
      <c r="W3" s="49"/>
      <c r="X3" s="49"/>
      <c r="Y3" s="49"/>
      <c r="Z3" s="49"/>
    </row>
    <row r="4">
      <c r="A4" s="49" t="str">
        <f>IFERROR(__xludf.DUMMYFUNCTION("""COMPUTED_VALUE"""),"The Bleach Clan")</f>
        <v>The Bleach Clan</v>
      </c>
      <c r="B4" s="49" t="str">
        <f>IFERROR(__xludf.DUMMYFUNCTION("""COMPUTED_VALUE"""),"""Filia""")</f>
        <v>"Filia"</v>
      </c>
      <c r="C4" s="49" t="str">
        <f>IFERROR(__xludf.DUMMYFUNCTION("""COMPUTED_VALUE"""),"Guild Member")</f>
        <v>Guild Member</v>
      </c>
      <c r="D4" s="49"/>
      <c r="E4" s="49"/>
      <c r="F4" s="49"/>
      <c r="G4" s="49"/>
      <c r="H4" s="49"/>
      <c r="I4" s="49"/>
      <c r="J4" s="49"/>
      <c r="K4" s="49"/>
      <c r="L4" s="49"/>
      <c r="M4" s="49"/>
      <c r="N4" s="49"/>
      <c r="O4" s="49"/>
      <c r="P4" s="49"/>
      <c r="Q4" s="49"/>
      <c r="R4" s="49"/>
      <c r="S4" s="49"/>
      <c r="T4" s="49"/>
      <c r="U4" s="49"/>
      <c r="V4" s="49"/>
      <c r="W4" s="49"/>
      <c r="X4" s="49"/>
      <c r="Y4" s="49"/>
      <c r="Z4" s="49"/>
    </row>
    <row r="5">
      <c r="A5" s="49" t="str">
        <f>IFERROR(__xludf.DUMMYFUNCTION("""COMPUTED_VALUE"""),"Adventurers Guild")</f>
        <v>Adventurers Guild</v>
      </c>
      <c r="B5" s="49" t="str">
        <f>IFERROR(__xludf.DUMMYFUNCTION("""COMPUTED_VALUE"""),"""Filia""")</f>
        <v>"Filia"</v>
      </c>
      <c r="C5" s="49" t="str">
        <f>IFERROR(__xludf.DUMMYFUNCTION("""COMPUTED_VALUE"""),"Guild Member")</f>
        <v>Guild Member</v>
      </c>
      <c r="D5" s="49"/>
      <c r="E5" s="49"/>
      <c r="F5" s="49"/>
      <c r="G5" s="49"/>
      <c r="H5" s="49"/>
      <c r="I5" s="49"/>
      <c r="J5" s="49"/>
      <c r="K5" s="49"/>
      <c r="L5" s="49"/>
      <c r="M5" s="49"/>
      <c r="N5" s="49"/>
      <c r="O5" s="49"/>
      <c r="P5" s="49"/>
      <c r="Q5" s="49"/>
      <c r="R5" s="49"/>
      <c r="S5" s="49"/>
      <c r="T5" s="49"/>
      <c r="U5" s="49"/>
      <c r="V5" s="49"/>
      <c r="W5" s="49"/>
      <c r="X5" s="49"/>
      <c r="Y5" s="49"/>
      <c r="Z5" s="49"/>
    </row>
    <row r="6">
      <c r="A6" s="49" t="str">
        <f>IFERROR(__xludf.DUMMYFUNCTION("""COMPUTED_VALUE"""),"Alchemists Guild")</f>
        <v>Alchemists Guild</v>
      </c>
      <c r="B6" s="49" t="str">
        <f>IFERROR(__xludf.DUMMYFUNCTION("""COMPUTED_VALUE"""),"""Filia""")</f>
        <v>"Filia"</v>
      </c>
      <c r="C6" s="49" t="str">
        <f>IFERROR(__xludf.DUMMYFUNCTION("""COMPUTED_VALUE"""),"Guild Member")</f>
        <v>Guild Member</v>
      </c>
      <c r="D6" s="49"/>
      <c r="E6" s="49"/>
      <c r="F6" s="49"/>
      <c r="G6" s="49"/>
      <c r="H6" s="49"/>
      <c r="I6" s="49"/>
      <c r="J6" s="49"/>
      <c r="K6" s="49"/>
      <c r="L6" s="49"/>
      <c r="M6" s="49"/>
      <c r="N6" s="49"/>
      <c r="O6" s="49"/>
      <c r="P6" s="49"/>
      <c r="Q6" s="49"/>
      <c r="R6" s="49"/>
      <c r="S6" s="49"/>
      <c r="T6" s="49"/>
      <c r="U6" s="49"/>
      <c r="V6" s="49"/>
      <c r="W6" s="49"/>
      <c r="X6" s="49"/>
      <c r="Y6" s="49"/>
      <c r="Z6" s="49"/>
    </row>
    <row r="7">
      <c r="A7" s="49" t="str">
        <f>IFERROR(__xludf.DUMMYFUNCTION("""COMPUTED_VALUE"""),"Adventurers Guild")</f>
        <v>Adventurers Guild</v>
      </c>
      <c r="B7" s="49" t="str">
        <f>IFERROR(__xludf.DUMMYFUNCTION("""COMPUTED_VALUE"""),"""Theowolfe Fjordsong""")</f>
        <v>"Theowolfe Fjordsong"</v>
      </c>
      <c r="C7" s="49" t="str">
        <f>IFERROR(__xludf.DUMMYFUNCTION("""COMPUTED_VALUE"""),"Guild Member")</f>
        <v>Guild Member</v>
      </c>
      <c r="D7" s="49"/>
      <c r="E7" s="49"/>
      <c r="F7" s="49"/>
      <c r="G7" s="49"/>
      <c r="H7" s="49"/>
      <c r="I7" s="49"/>
      <c r="J7" s="49"/>
      <c r="K7" s="49"/>
      <c r="L7" s="49"/>
      <c r="M7" s="49"/>
      <c r="N7" s="49"/>
      <c r="O7" s="49"/>
      <c r="P7" s="49"/>
      <c r="Q7" s="49"/>
      <c r="R7" s="49"/>
      <c r="S7" s="49"/>
      <c r="T7" s="49"/>
      <c r="U7" s="49"/>
      <c r="V7" s="49"/>
      <c r="W7" s="49"/>
      <c r="X7" s="49"/>
      <c r="Y7" s="49"/>
      <c r="Z7" s="49"/>
    </row>
    <row r="8">
      <c r="A8" s="49" t="str">
        <f>IFERROR(__xludf.DUMMYFUNCTION("""COMPUTED_VALUE"""),"Royal Knights of Spira Guild")</f>
        <v>Royal Knights of Spira Guild</v>
      </c>
      <c r="B8" s="49" t="str">
        <f>IFERROR(__xludf.DUMMYFUNCTION("""COMPUTED_VALUE"""),"""Tiberius Thunderthane""")</f>
        <v>"Tiberius Thunderthane"</v>
      </c>
      <c r="C8" s="49" t="str">
        <f>IFERROR(__xludf.DUMMYFUNCTION("""COMPUTED_VALUE"""),"Guild Member")</f>
        <v>Guild Member</v>
      </c>
      <c r="D8" s="49"/>
      <c r="E8" s="49"/>
      <c r="F8" s="49"/>
      <c r="G8" s="49"/>
      <c r="H8" s="49"/>
      <c r="I8" s="49"/>
      <c r="J8" s="49"/>
      <c r="K8" s="49"/>
      <c r="L8" s="49"/>
      <c r="M8" s="49"/>
      <c r="N8" s="49"/>
      <c r="O8" s="49"/>
      <c r="P8" s="49"/>
      <c r="Q8" s="49"/>
      <c r="R8" s="49"/>
      <c r="S8" s="49"/>
      <c r="T8" s="49"/>
      <c r="U8" s="49"/>
      <c r="V8" s="49"/>
      <c r="W8" s="49"/>
      <c r="X8" s="49"/>
      <c r="Y8" s="49"/>
      <c r="Z8" s="49"/>
    </row>
    <row r="9">
      <c r="A9" s="49" t="str">
        <f>IFERROR(__xludf.DUMMYFUNCTION("""COMPUTED_VALUE"""),"Merchants Guild")</f>
        <v>Merchants Guild</v>
      </c>
      <c r="B9" s="49" t="str">
        <f>IFERROR(__xludf.DUMMYFUNCTION("""COMPUTED_VALUE"""),"""Elowen Starwhisper""")</f>
        <v>"Elowen Starwhisper"</v>
      </c>
      <c r="C9" s="49" t="str">
        <f>IFERROR(__xludf.DUMMYFUNCTION("""COMPUTED_VALUE"""),"Guild Member")</f>
        <v>Guild Member</v>
      </c>
      <c r="D9" s="49"/>
      <c r="E9" s="49"/>
      <c r="F9" s="49"/>
      <c r="G9" s="49"/>
      <c r="H9" s="49"/>
      <c r="I9" s="49"/>
      <c r="J9" s="49"/>
      <c r="K9" s="49"/>
      <c r="L9" s="49"/>
      <c r="M9" s="49"/>
      <c r="N9" s="49"/>
      <c r="O9" s="49"/>
      <c r="P9" s="49"/>
      <c r="Q9" s="49"/>
      <c r="R9" s="49"/>
      <c r="S9" s="49"/>
      <c r="T9" s="49"/>
      <c r="U9" s="49"/>
      <c r="V9" s="49"/>
      <c r="W9" s="49"/>
      <c r="X9" s="49"/>
      <c r="Y9" s="49"/>
      <c r="Z9" s="49"/>
    </row>
    <row r="10">
      <c r="A10" s="49" t="str">
        <f>IFERROR(__xludf.DUMMYFUNCTION("""COMPUTED_VALUE"""),"Adventurers Guild")</f>
        <v>Adventurers Guild</v>
      </c>
      <c r="B10" s="49" t="str">
        <f>IFERROR(__xludf.DUMMYFUNCTION("""COMPUTED_VALUE"""),"""Elowen Starwhisper""")</f>
        <v>"Elowen Starwhisper"</v>
      </c>
      <c r="C10" s="49" t="str">
        <f>IFERROR(__xludf.DUMMYFUNCTION("""COMPUTED_VALUE"""),"Guild Member")</f>
        <v>Guild Member</v>
      </c>
      <c r="D10" s="49"/>
      <c r="E10" s="49"/>
      <c r="F10" s="49"/>
      <c r="G10" s="49"/>
      <c r="H10" s="49"/>
      <c r="I10" s="49"/>
      <c r="J10" s="49"/>
      <c r="K10" s="49"/>
      <c r="L10" s="49"/>
      <c r="M10" s="49"/>
      <c r="N10" s="49"/>
      <c r="O10" s="49"/>
      <c r="P10" s="49"/>
      <c r="Q10" s="49"/>
      <c r="R10" s="49"/>
      <c r="S10" s="49"/>
      <c r="T10" s="49"/>
      <c r="U10" s="49"/>
      <c r="V10" s="49"/>
      <c r="W10" s="49"/>
      <c r="X10" s="49"/>
      <c r="Y10" s="49"/>
      <c r="Z10" s="49"/>
    </row>
    <row r="11">
      <c r="A11" s="49" t="str">
        <f>IFERROR(__xludf.DUMMYFUNCTION("""COMPUTED_VALUE"""),"Adventurers Guild")</f>
        <v>Adventurers Guild</v>
      </c>
      <c r="B11" s="49" t="str">
        <f>IFERROR(__xludf.DUMMYFUNCTION("""COMPUTED_VALUE"""),"""Revalor Thegella""")</f>
        <v>"Revalor Thegella"</v>
      </c>
      <c r="C11" s="49" t="str">
        <f>IFERROR(__xludf.DUMMYFUNCTION("""COMPUTED_VALUE"""),"Guild Member")</f>
        <v>Guild Member</v>
      </c>
      <c r="D11" s="49"/>
      <c r="E11" s="49"/>
      <c r="F11" s="49"/>
      <c r="G11" s="49"/>
      <c r="H11" s="49"/>
      <c r="I11" s="49"/>
      <c r="J11" s="49"/>
      <c r="K11" s="49"/>
      <c r="L11" s="49"/>
      <c r="M11" s="49"/>
      <c r="N11" s="49"/>
      <c r="O11" s="49"/>
      <c r="P11" s="49"/>
      <c r="Q11" s="49"/>
      <c r="R11" s="49"/>
      <c r="S11" s="49"/>
      <c r="T11" s="49"/>
      <c r="U11" s="49"/>
      <c r="V11" s="49"/>
      <c r="W11" s="49"/>
      <c r="X11" s="49"/>
      <c r="Y11" s="49"/>
      <c r="Z11" s="49"/>
    </row>
    <row r="12">
      <c r="A12" s="49" t="str">
        <f>IFERROR(__xludf.DUMMYFUNCTION("""COMPUTED_VALUE"""),"Merchants Guild")</f>
        <v>Merchants Guild</v>
      </c>
      <c r="B12" s="49" t="str">
        <f>IFERROR(__xludf.DUMMYFUNCTION("""COMPUTED_VALUE"""),"""Revalor Thegella""")</f>
        <v>"Revalor Thegella"</v>
      </c>
      <c r="C12" s="49" t="str">
        <f>IFERROR(__xludf.DUMMYFUNCTION("""COMPUTED_VALUE"""),"Guild Member")</f>
        <v>Guild Member</v>
      </c>
      <c r="D12" s="49"/>
      <c r="E12" s="49"/>
      <c r="F12" s="49"/>
      <c r="G12" s="49"/>
      <c r="H12" s="49"/>
      <c r="I12" s="49"/>
      <c r="J12" s="49"/>
      <c r="K12" s="49"/>
      <c r="L12" s="49"/>
      <c r="M12" s="49"/>
      <c r="N12" s="49"/>
      <c r="O12" s="49"/>
      <c r="P12" s="49"/>
      <c r="Q12" s="49"/>
      <c r="R12" s="49"/>
      <c r="S12" s="49"/>
      <c r="T12" s="49"/>
      <c r="U12" s="49"/>
      <c r="V12" s="49"/>
      <c r="W12" s="49"/>
      <c r="X12" s="49"/>
      <c r="Y12" s="49"/>
      <c r="Z12" s="49"/>
    </row>
    <row r="13">
      <c r="A13" s="49"/>
      <c r="B13" s="49"/>
      <c r="C13" s="49"/>
      <c r="D13" s="49"/>
      <c r="E13" s="49"/>
      <c r="F13" s="49"/>
      <c r="G13" s="49"/>
      <c r="H13" s="49"/>
      <c r="I13" s="49"/>
      <c r="J13" s="49"/>
      <c r="K13" s="49"/>
      <c r="L13" s="49"/>
      <c r="M13" s="49"/>
      <c r="N13" s="49"/>
      <c r="O13" s="49"/>
      <c r="P13" s="49"/>
      <c r="Q13" s="49"/>
      <c r="R13" s="49"/>
      <c r="S13" s="49"/>
      <c r="T13" s="49"/>
      <c r="U13" s="49"/>
      <c r="V13" s="49"/>
      <c r="W13" s="49"/>
      <c r="X13" s="49"/>
      <c r="Y13" s="49"/>
      <c r="Z13" s="49"/>
    </row>
    <row r="14">
      <c r="A14" s="49"/>
      <c r="B14" s="49"/>
      <c r="C14" s="49"/>
      <c r="D14" s="49"/>
      <c r="E14" s="49"/>
      <c r="F14" s="49"/>
      <c r="G14" s="49"/>
      <c r="H14" s="49"/>
      <c r="I14" s="49"/>
      <c r="J14" s="49"/>
      <c r="K14" s="49"/>
      <c r="L14" s="49"/>
      <c r="M14" s="49"/>
      <c r="N14" s="49"/>
      <c r="O14" s="49"/>
      <c r="P14" s="49"/>
      <c r="Q14" s="49"/>
      <c r="R14" s="49"/>
      <c r="S14" s="49"/>
      <c r="T14" s="49"/>
      <c r="U14" s="49"/>
      <c r="V14" s="49"/>
      <c r="W14" s="49"/>
      <c r="X14" s="49"/>
      <c r="Y14" s="49"/>
      <c r="Z14" s="49"/>
    </row>
    <row r="15">
      <c r="A15" s="49"/>
      <c r="B15" s="49"/>
      <c r="C15" s="49"/>
      <c r="D15" s="49"/>
      <c r="E15" s="49"/>
      <c r="F15" s="49"/>
      <c r="G15" s="49"/>
      <c r="H15" s="49"/>
      <c r="I15" s="49"/>
      <c r="J15" s="49"/>
      <c r="K15" s="49"/>
      <c r="L15" s="49"/>
      <c r="M15" s="49"/>
      <c r="N15" s="49"/>
      <c r="O15" s="49"/>
      <c r="P15" s="49"/>
      <c r="Q15" s="49"/>
      <c r="R15" s="49"/>
      <c r="S15" s="49"/>
      <c r="T15" s="49"/>
      <c r="U15" s="49"/>
      <c r="V15" s="49"/>
      <c r="W15" s="49"/>
      <c r="X15" s="49"/>
      <c r="Y15" s="49"/>
      <c r="Z15" s="49"/>
    </row>
    <row r="16">
      <c r="A16" s="49"/>
      <c r="B16" s="49"/>
      <c r="C16" s="49"/>
      <c r="D16" s="49"/>
      <c r="E16" s="49"/>
      <c r="F16" s="49"/>
      <c r="G16" s="49"/>
      <c r="H16" s="49"/>
      <c r="I16" s="49"/>
      <c r="J16" s="49"/>
      <c r="K16" s="49"/>
      <c r="L16" s="49"/>
      <c r="M16" s="49"/>
      <c r="N16" s="49"/>
      <c r="O16" s="49"/>
      <c r="P16" s="49"/>
      <c r="Q16" s="49"/>
      <c r="R16" s="49"/>
      <c r="S16" s="49"/>
      <c r="T16" s="49"/>
      <c r="U16" s="49"/>
      <c r="V16" s="49"/>
      <c r="W16" s="49"/>
      <c r="X16" s="49"/>
      <c r="Y16" s="49"/>
      <c r="Z16" s="49"/>
    </row>
    <row r="17">
      <c r="A17" s="49"/>
      <c r="B17" s="49"/>
      <c r="C17" s="49"/>
      <c r="D17" s="49"/>
      <c r="E17" s="49"/>
      <c r="F17" s="49"/>
      <c r="G17" s="49"/>
      <c r="H17" s="49"/>
      <c r="I17" s="49"/>
      <c r="J17" s="49"/>
      <c r="K17" s="49"/>
      <c r="L17" s="49"/>
      <c r="M17" s="49"/>
      <c r="N17" s="49"/>
      <c r="O17" s="49"/>
      <c r="P17" s="49"/>
      <c r="Q17" s="49"/>
      <c r="R17" s="49"/>
      <c r="S17" s="49"/>
      <c r="T17" s="49"/>
      <c r="U17" s="49"/>
      <c r="V17" s="49"/>
      <c r="W17" s="49"/>
      <c r="X17" s="49"/>
      <c r="Y17" s="49"/>
      <c r="Z17" s="49"/>
    </row>
    <row r="18">
      <c r="A18" s="49"/>
      <c r="B18" s="49"/>
      <c r="C18" s="49"/>
      <c r="D18" s="49"/>
      <c r="E18" s="49"/>
      <c r="F18" s="49"/>
      <c r="G18" s="49"/>
      <c r="H18" s="49"/>
      <c r="I18" s="49"/>
      <c r="J18" s="49"/>
      <c r="K18" s="49"/>
      <c r="L18" s="49"/>
      <c r="M18" s="49"/>
      <c r="N18" s="49"/>
      <c r="O18" s="49"/>
      <c r="P18" s="49"/>
      <c r="Q18" s="49"/>
      <c r="R18" s="49"/>
      <c r="S18" s="49"/>
      <c r="T18" s="49"/>
      <c r="U18" s="49"/>
      <c r="V18" s="49"/>
      <c r="W18" s="49"/>
      <c r="X18" s="49"/>
      <c r="Y18" s="49"/>
      <c r="Z18" s="49"/>
    </row>
    <row r="19">
      <c r="A19" s="49"/>
      <c r="B19" s="49"/>
      <c r="C19" s="49"/>
      <c r="D19" s="49"/>
      <c r="E19" s="49"/>
      <c r="F19" s="49"/>
      <c r="G19" s="49"/>
      <c r="H19" s="49"/>
      <c r="I19" s="49"/>
      <c r="J19" s="49"/>
      <c r="K19" s="49"/>
      <c r="L19" s="49"/>
      <c r="M19" s="49"/>
      <c r="N19" s="49"/>
      <c r="O19" s="49"/>
      <c r="P19" s="49"/>
      <c r="Q19" s="49"/>
      <c r="R19" s="49"/>
      <c r="S19" s="49"/>
      <c r="T19" s="49"/>
      <c r="U19" s="49"/>
      <c r="V19" s="49"/>
      <c r="W19" s="49"/>
      <c r="X19" s="49"/>
      <c r="Y19" s="49"/>
      <c r="Z19" s="49"/>
    </row>
    <row r="20">
      <c r="A20" s="49"/>
      <c r="B20" s="49"/>
      <c r="C20" s="49"/>
      <c r="D20" s="49"/>
      <c r="E20" s="49"/>
      <c r="F20" s="49"/>
      <c r="G20" s="49"/>
      <c r="H20" s="49"/>
      <c r="I20" s="49"/>
      <c r="J20" s="49"/>
      <c r="K20" s="49"/>
      <c r="L20" s="49"/>
      <c r="M20" s="49"/>
      <c r="N20" s="49"/>
      <c r="O20" s="49"/>
      <c r="P20" s="49"/>
      <c r="Q20" s="49"/>
      <c r="R20" s="49"/>
      <c r="S20" s="49"/>
      <c r="T20" s="49"/>
      <c r="U20" s="49"/>
      <c r="V20" s="49"/>
      <c r="W20" s="49"/>
      <c r="X20" s="49"/>
      <c r="Y20" s="49"/>
      <c r="Z20" s="49"/>
    </row>
    <row r="21">
      <c r="A21" s="49"/>
      <c r="B21" s="49"/>
      <c r="C21" s="49"/>
      <c r="D21" s="49"/>
      <c r="E21" s="49"/>
      <c r="F21" s="49"/>
      <c r="G21" s="49"/>
      <c r="H21" s="49"/>
      <c r="I21" s="49"/>
      <c r="J21" s="49"/>
      <c r="K21" s="49"/>
      <c r="L21" s="49"/>
      <c r="M21" s="49"/>
      <c r="N21" s="49"/>
      <c r="O21" s="49"/>
      <c r="P21" s="49"/>
      <c r="Q21" s="49"/>
      <c r="R21" s="49"/>
      <c r="S21" s="49"/>
      <c r="T21" s="49"/>
      <c r="U21" s="49"/>
      <c r="V21" s="49"/>
      <c r="W21" s="49"/>
      <c r="X21" s="49"/>
      <c r="Y21" s="49"/>
      <c r="Z21" s="49"/>
    </row>
    <row r="22">
      <c r="A22" s="49"/>
      <c r="B22" s="49"/>
      <c r="C22" s="49"/>
      <c r="D22" s="49"/>
      <c r="E22" s="49"/>
      <c r="F22" s="49"/>
      <c r="G22" s="49"/>
      <c r="H22" s="49"/>
      <c r="I22" s="49"/>
      <c r="J22" s="49"/>
      <c r="K22" s="49"/>
      <c r="L22" s="49"/>
      <c r="M22" s="49"/>
      <c r="N22" s="49"/>
      <c r="O22" s="49"/>
      <c r="P22" s="49"/>
      <c r="Q22" s="49"/>
      <c r="R22" s="49"/>
      <c r="S22" s="49"/>
      <c r="T22" s="49"/>
      <c r="U22" s="49"/>
      <c r="V22" s="49"/>
      <c r="W22" s="49"/>
      <c r="X22" s="49"/>
      <c r="Y22" s="49"/>
      <c r="Z22" s="49"/>
    </row>
    <row r="23">
      <c r="A23" s="49"/>
      <c r="B23" s="49"/>
      <c r="C23" s="49"/>
      <c r="D23" s="49"/>
      <c r="E23" s="49"/>
      <c r="F23" s="49"/>
      <c r="G23" s="49"/>
      <c r="H23" s="49"/>
      <c r="I23" s="49"/>
      <c r="J23" s="49"/>
      <c r="K23" s="49"/>
      <c r="L23" s="49"/>
      <c r="M23" s="49"/>
      <c r="N23" s="49"/>
      <c r="O23" s="49"/>
      <c r="P23" s="49"/>
      <c r="Q23" s="49"/>
      <c r="R23" s="49"/>
      <c r="S23" s="49"/>
      <c r="T23" s="49"/>
      <c r="U23" s="49"/>
      <c r="V23" s="49"/>
      <c r="W23" s="49"/>
      <c r="X23" s="49"/>
      <c r="Y23" s="49"/>
      <c r="Z23" s="49"/>
    </row>
    <row r="24">
      <c r="A24" s="49"/>
      <c r="B24" s="49"/>
      <c r="C24" s="49"/>
      <c r="D24" s="49"/>
      <c r="E24" s="49"/>
      <c r="F24" s="49"/>
      <c r="G24" s="49"/>
      <c r="H24" s="49"/>
      <c r="I24" s="49"/>
      <c r="J24" s="49"/>
      <c r="K24" s="49"/>
      <c r="L24" s="49"/>
      <c r="M24" s="49"/>
      <c r="N24" s="49"/>
      <c r="O24" s="49"/>
      <c r="P24" s="49"/>
      <c r="Q24" s="49"/>
      <c r="R24" s="49"/>
      <c r="S24" s="49"/>
      <c r="T24" s="49"/>
      <c r="U24" s="49"/>
      <c r="V24" s="49"/>
      <c r="W24" s="49"/>
      <c r="X24" s="49"/>
      <c r="Y24" s="49"/>
      <c r="Z24" s="49"/>
    </row>
    <row r="25">
      <c r="A25" s="49"/>
      <c r="B25" s="49"/>
      <c r="C25" s="49"/>
      <c r="D25" s="49"/>
      <c r="E25" s="49"/>
      <c r="F25" s="49"/>
      <c r="G25" s="49"/>
      <c r="H25" s="49"/>
      <c r="I25" s="49"/>
      <c r="J25" s="49"/>
      <c r="K25" s="49"/>
      <c r="L25" s="49"/>
      <c r="M25" s="49"/>
      <c r="N25" s="49"/>
      <c r="O25" s="49"/>
      <c r="P25" s="49"/>
      <c r="Q25" s="49"/>
      <c r="R25" s="49"/>
      <c r="S25" s="49"/>
      <c r="T25" s="49"/>
      <c r="U25" s="49"/>
      <c r="V25" s="49"/>
      <c r="W25" s="49"/>
      <c r="X25" s="49"/>
      <c r="Y25" s="49"/>
      <c r="Z25" s="49"/>
    </row>
    <row r="26">
      <c r="A26" s="49"/>
      <c r="B26" s="49"/>
      <c r="C26" s="49"/>
      <c r="D26" s="49"/>
      <c r="E26" s="49"/>
      <c r="F26" s="49"/>
      <c r="G26" s="49"/>
      <c r="H26" s="49"/>
      <c r="I26" s="49"/>
      <c r="J26" s="49"/>
      <c r="K26" s="49"/>
      <c r="L26" s="49"/>
      <c r="M26" s="49"/>
      <c r="N26" s="49"/>
      <c r="O26" s="49"/>
      <c r="P26" s="49"/>
      <c r="Q26" s="49"/>
      <c r="R26" s="49"/>
      <c r="S26" s="49"/>
      <c r="T26" s="49"/>
      <c r="U26" s="49"/>
      <c r="V26" s="49"/>
      <c r="W26" s="49"/>
      <c r="X26" s="49"/>
      <c r="Y26" s="49"/>
      <c r="Z26" s="49"/>
    </row>
    <row r="27">
      <c r="A27" s="49"/>
      <c r="B27" s="49"/>
      <c r="C27" s="49"/>
      <c r="D27" s="49"/>
      <c r="E27" s="49"/>
      <c r="F27" s="49"/>
      <c r="G27" s="49"/>
      <c r="H27" s="49"/>
      <c r="I27" s="49"/>
      <c r="J27" s="49"/>
      <c r="K27" s="49"/>
      <c r="L27" s="49"/>
      <c r="M27" s="49"/>
      <c r="N27" s="49"/>
      <c r="O27" s="49"/>
      <c r="P27" s="49"/>
      <c r="Q27" s="49"/>
      <c r="R27" s="49"/>
      <c r="S27" s="49"/>
      <c r="T27" s="49"/>
      <c r="U27" s="49"/>
      <c r="V27" s="49"/>
      <c r="W27" s="49"/>
      <c r="X27" s="49"/>
      <c r="Y27" s="49"/>
      <c r="Z27" s="49"/>
    </row>
    <row r="28">
      <c r="A28" s="49"/>
      <c r="B28" s="49"/>
      <c r="C28" s="49"/>
      <c r="D28" s="49"/>
      <c r="E28" s="49"/>
      <c r="F28" s="49"/>
      <c r="G28" s="49"/>
      <c r="H28" s="49"/>
      <c r="I28" s="49"/>
      <c r="J28" s="49"/>
      <c r="K28" s="49"/>
      <c r="L28" s="49"/>
      <c r="M28" s="49"/>
      <c r="N28" s="49"/>
      <c r="O28" s="49"/>
      <c r="P28" s="49"/>
      <c r="Q28" s="49"/>
      <c r="R28" s="49"/>
      <c r="S28" s="49"/>
      <c r="T28" s="49"/>
      <c r="U28" s="49"/>
      <c r="V28" s="49"/>
      <c r="W28" s="49"/>
      <c r="X28" s="49"/>
      <c r="Y28" s="49"/>
      <c r="Z28" s="49"/>
    </row>
    <row r="29">
      <c r="A29" s="49"/>
      <c r="B29" s="49"/>
      <c r="C29" s="49"/>
      <c r="D29" s="49"/>
      <c r="E29" s="49"/>
      <c r="F29" s="49"/>
      <c r="G29" s="49"/>
      <c r="H29" s="49"/>
      <c r="I29" s="49"/>
      <c r="J29" s="49"/>
      <c r="K29" s="49"/>
      <c r="L29" s="49"/>
      <c r="M29" s="49"/>
      <c r="N29" s="49"/>
      <c r="O29" s="49"/>
      <c r="P29" s="49"/>
      <c r="Q29" s="49"/>
      <c r="R29" s="49"/>
      <c r="S29" s="49"/>
      <c r="T29" s="49"/>
      <c r="U29" s="49"/>
      <c r="V29" s="49"/>
      <c r="W29" s="49"/>
      <c r="X29" s="49"/>
      <c r="Y29" s="49"/>
      <c r="Z29" s="49"/>
    </row>
    <row r="30">
      <c r="A30" s="49"/>
      <c r="B30" s="49"/>
      <c r="C30" s="49"/>
      <c r="D30" s="49"/>
      <c r="E30" s="49"/>
      <c r="F30" s="49"/>
      <c r="G30" s="49"/>
      <c r="H30" s="49"/>
      <c r="I30" s="49"/>
      <c r="J30" s="49"/>
      <c r="K30" s="49"/>
      <c r="L30" s="49"/>
      <c r="M30" s="49"/>
      <c r="N30" s="49"/>
      <c r="O30" s="49"/>
      <c r="P30" s="49"/>
      <c r="Q30" s="49"/>
      <c r="R30" s="49"/>
      <c r="S30" s="49"/>
      <c r="T30" s="49"/>
      <c r="U30" s="49"/>
      <c r="V30" s="49"/>
      <c r="W30" s="49"/>
      <c r="X30" s="49"/>
      <c r="Y30" s="49"/>
      <c r="Z30" s="49"/>
    </row>
    <row r="31">
      <c r="A31" s="49"/>
      <c r="B31" s="49"/>
      <c r="C31" s="49"/>
      <c r="D31" s="49"/>
      <c r="E31" s="49"/>
      <c r="F31" s="49"/>
      <c r="G31" s="49"/>
      <c r="H31" s="49"/>
      <c r="I31" s="49"/>
      <c r="J31" s="49"/>
      <c r="K31" s="49"/>
      <c r="L31" s="49"/>
      <c r="M31" s="49"/>
      <c r="N31" s="49"/>
      <c r="O31" s="49"/>
      <c r="P31" s="49"/>
      <c r="Q31" s="49"/>
      <c r="R31" s="49"/>
      <c r="S31" s="49"/>
      <c r="T31" s="49"/>
      <c r="U31" s="49"/>
      <c r="V31" s="49"/>
      <c r="W31" s="49"/>
      <c r="X31" s="49"/>
      <c r="Y31" s="49"/>
      <c r="Z31" s="49"/>
    </row>
    <row r="32">
      <c r="A32" s="49"/>
      <c r="B32" s="49"/>
      <c r="C32" s="49"/>
      <c r="D32" s="49"/>
      <c r="E32" s="49"/>
      <c r="F32" s="49"/>
      <c r="G32" s="49"/>
      <c r="H32" s="49"/>
      <c r="I32" s="49"/>
      <c r="J32" s="49"/>
      <c r="K32" s="49"/>
      <c r="L32" s="49"/>
      <c r="M32" s="49"/>
      <c r="N32" s="49"/>
      <c r="O32" s="49"/>
      <c r="P32" s="49"/>
      <c r="Q32" s="49"/>
      <c r="R32" s="49"/>
      <c r="S32" s="49"/>
      <c r="T32" s="49"/>
      <c r="U32" s="49"/>
      <c r="V32" s="49"/>
      <c r="W32" s="49"/>
      <c r="X32" s="49"/>
      <c r="Y32" s="49"/>
      <c r="Z32" s="49"/>
    </row>
    <row r="33">
      <c r="A33" s="49"/>
      <c r="B33" s="49"/>
      <c r="C33" s="49"/>
      <c r="D33" s="49"/>
      <c r="E33" s="49"/>
      <c r="F33" s="49"/>
      <c r="G33" s="49"/>
      <c r="H33" s="49"/>
      <c r="I33" s="49"/>
      <c r="J33" s="49"/>
      <c r="K33" s="49"/>
      <c r="L33" s="49"/>
      <c r="M33" s="49"/>
      <c r="N33" s="49"/>
      <c r="O33" s="49"/>
      <c r="P33" s="49"/>
      <c r="Q33" s="49"/>
      <c r="R33" s="49"/>
      <c r="S33" s="49"/>
      <c r="T33" s="49"/>
      <c r="U33" s="49"/>
      <c r="V33" s="49"/>
      <c r="W33" s="49"/>
      <c r="X33" s="49"/>
      <c r="Y33" s="49"/>
      <c r="Z33" s="49"/>
    </row>
    <row r="34">
      <c r="A34" s="49"/>
      <c r="B34" s="49"/>
      <c r="C34" s="49"/>
      <c r="D34" s="49"/>
      <c r="E34" s="49"/>
      <c r="F34" s="49"/>
      <c r="G34" s="49"/>
      <c r="H34" s="49"/>
      <c r="I34" s="49"/>
      <c r="J34" s="49"/>
      <c r="K34" s="49"/>
      <c r="L34" s="49"/>
      <c r="M34" s="49"/>
      <c r="N34" s="49"/>
      <c r="O34" s="49"/>
      <c r="P34" s="49"/>
      <c r="Q34" s="49"/>
      <c r="R34" s="49"/>
      <c r="S34" s="49"/>
      <c r="T34" s="49"/>
      <c r="U34" s="49"/>
      <c r="V34" s="49"/>
      <c r="W34" s="49"/>
      <c r="X34" s="49"/>
      <c r="Y34" s="49"/>
      <c r="Z34" s="49"/>
    </row>
    <row r="35">
      <c r="A35" s="49"/>
      <c r="B35" s="49"/>
      <c r="C35" s="49"/>
      <c r="D35" s="49"/>
      <c r="E35" s="49"/>
      <c r="F35" s="49"/>
      <c r="G35" s="49"/>
      <c r="H35" s="49"/>
      <c r="I35" s="49"/>
      <c r="J35" s="49"/>
      <c r="K35" s="49"/>
      <c r="L35" s="49"/>
      <c r="M35" s="49"/>
      <c r="N35" s="49"/>
      <c r="O35" s="49"/>
      <c r="P35" s="49"/>
      <c r="Q35" s="49"/>
      <c r="R35" s="49"/>
      <c r="S35" s="49"/>
      <c r="T35" s="49"/>
      <c r="U35" s="49"/>
      <c r="V35" s="49"/>
      <c r="W35" s="49"/>
      <c r="X35" s="49"/>
      <c r="Y35" s="49"/>
      <c r="Z35" s="49"/>
    </row>
    <row r="36">
      <c r="A36" s="49"/>
      <c r="B36" s="49"/>
      <c r="C36" s="49"/>
      <c r="D36" s="49"/>
      <c r="E36" s="49"/>
      <c r="F36" s="49"/>
      <c r="G36" s="49"/>
      <c r="H36" s="49"/>
      <c r="I36" s="49"/>
      <c r="J36" s="49"/>
      <c r="K36" s="49"/>
      <c r="L36" s="49"/>
      <c r="M36" s="49"/>
      <c r="N36" s="49"/>
      <c r="O36" s="49"/>
      <c r="P36" s="49"/>
      <c r="Q36" s="49"/>
      <c r="R36" s="49"/>
      <c r="S36" s="49"/>
      <c r="T36" s="49"/>
      <c r="U36" s="49"/>
      <c r="V36" s="49"/>
      <c r="W36" s="49"/>
      <c r="X36" s="49"/>
      <c r="Y36" s="49"/>
      <c r="Z36" s="49"/>
    </row>
    <row r="37">
      <c r="A37" s="49"/>
      <c r="B37" s="49"/>
      <c r="C37" s="49"/>
      <c r="D37" s="49"/>
      <c r="E37" s="49"/>
      <c r="F37" s="49"/>
      <c r="G37" s="49"/>
      <c r="H37" s="49"/>
      <c r="I37" s="49"/>
      <c r="J37" s="49"/>
      <c r="K37" s="49"/>
      <c r="L37" s="49"/>
      <c r="M37" s="49"/>
      <c r="N37" s="49"/>
      <c r="O37" s="49"/>
      <c r="P37" s="49"/>
      <c r="Q37" s="49"/>
      <c r="R37" s="49"/>
      <c r="S37" s="49"/>
      <c r="T37" s="49"/>
      <c r="U37" s="49"/>
      <c r="V37" s="49"/>
      <c r="W37" s="49"/>
      <c r="X37" s="49"/>
      <c r="Y37" s="49"/>
      <c r="Z37" s="49"/>
    </row>
    <row r="38">
      <c r="A38" s="49"/>
      <c r="B38" s="49"/>
      <c r="C38" s="49"/>
      <c r="D38" s="49"/>
      <c r="E38" s="49"/>
      <c r="F38" s="49"/>
      <c r="G38" s="49"/>
      <c r="H38" s="49"/>
      <c r="I38" s="49"/>
      <c r="J38" s="49"/>
      <c r="K38" s="49"/>
      <c r="L38" s="49"/>
      <c r="M38" s="49"/>
      <c r="N38" s="49"/>
      <c r="O38" s="49"/>
      <c r="P38" s="49"/>
      <c r="Q38" s="49"/>
      <c r="R38" s="49"/>
      <c r="S38" s="49"/>
      <c r="T38" s="49"/>
      <c r="U38" s="49"/>
      <c r="V38" s="49"/>
      <c r="W38" s="49"/>
      <c r="X38" s="49"/>
      <c r="Y38" s="49"/>
      <c r="Z38" s="49"/>
    </row>
    <row r="39">
      <c r="A39" s="49"/>
      <c r="B39" s="49"/>
      <c r="C39" s="49"/>
      <c r="D39" s="49"/>
      <c r="E39" s="49"/>
      <c r="F39" s="49"/>
      <c r="G39" s="49"/>
      <c r="H39" s="49"/>
      <c r="I39" s="49"/>
      <c r="J39" s="49"/>
      <c r="K39" s="49"/>
      <c r="L39" s="49"/>
      <c r="M39" s="49"/>
      <c r="N39" s="49"/>
      <c r="O39" s="49"/>
      <c r="P39" s="49"/>
      <c r="Q39" s="49"/>
      <c r="R39" s="49"/>
      <c r="S39" s="49"/>
      <c r="T39" s="49"/>
      <c r="U39" s="49"/>
      <c r="V39" s="49"/>
      <c r="W39" s="49"/>
      <c r="X39" s="49"/>
      <c r="Y39" s="49"/>
      <c r="Z39" s="49"/>
    </row>
    <row r="40">
      <c r="A40" s="49"/>
      <c r="B40" s="49"/>
      <c r="C40" s="49"/>
      <c r="D40" s="49"/>
      <c r="E40" s="49"/>
      <c r="F40" s="49"/>
      <c r="G40" s="49"/>
      <c r="H40" s="49"/>
      <c r="I40" s="49"/>
      <c r="J40" s="49"/>
      <c r="K40" s="49"/>
      <c r="L40" s="49"/>
      <c r="M40" s="49"/>
      <c r="N40" s="49"/>
      <c r="O40" s="49"/>
      <c r="P40" s="49"/>
      <c r="Q40" s="49"/>
      <c r="R40" s="49"/>
      <c r="S40" s="49"/>
      <c r="T40" s="49"/>
      <c r="U40" s="49"/>
      <c r="V40" s="49"/>
      <c r="W40" s="49"/>
      <c r="X40" s="49"/>
      <c r="Y40" s="49"/>
      <c r="Z40" s="49"/>
    </row>
    <row r="41">
      <c r="A41" s="49"/>
      <c r="B41" s="49"/>
      <c r="C41" s="49"/>
      <c r="D41" s="49"/>
      <c r="E41" s="49"/>
      <c r="F41" s="49"/>
      <c r="G41" s="49"/>
      <c r="H41" s="49"/>
      <c r="I41" s="49"/>
      <c r="J41" s="49"/>
      <c r="K41" s="49"/>
      <c r="L41" s="49"/>
      <c r="M41" s="49"/>
      <c r="N41" s="49"/>
      <c r="O41" s="49"/>
      <c r="P41" s="49"/>
      <c r="Q41" s="49"/>
      <c r="R41" s="49"/>
      <c r="S41" s="49"/>
      <c r="T41" s="49"/>
      <c r="U41" s="49"/>
      <c r="V41" s="49"/>
      <c r="W41" s="49"/>
      <c r="X41" s="49"/>
      <c r="Y41" s="49"/>
      <c r="Z41" s="49"/>
    </row>
    <row r="42">
      <c r="A42" s="49"/>
      <c r="B42" s="49"/>
      <c r="C42" s="49"/>
      <c r="D42" s="49"/>
      <c r="E42" s="49"/>
      <c r="F42" s="49"/>
      <c r="G42" s="49"/>
      <c r="H42" s="49"/>
      <c r="I42" s="49"/>
      <c r="J42" s="49"/>
      <c r="K42" s="49"/>
      <c r="L42" s="49"/>
      <c r="M42" s="49"/>
      <c r="N42" s="49"/>
      <c r="O42" s="49"/>
      <c r="P42" s="49"/>
      <c r="Q42" s="49"/>
      <c r="R42" s="49"/>
      <c r="S42" s="49"/>
      <c r="T42" s="49"/>
      <c r="U42" s="49"/>
      <c r="V42" s="49"/>
      <c r="W42" s="49"/>
      <c r="X42" s="49"/>
      <c r="Y42" s="49"/>
      <c r="Z42" s="49"/>
    </row>
    <row r="43">
      <c r="A43" s="49"/>
      <c r="B43" s="49"/>
      <c r="C43" s="49"/>
      <c r="D43" s="49"/>
      <c r="E43" s="49"/>
      <c r="F43" s="49"/>
      <c r="G43" s="49"/>
      <c r="H43" s="49"/>
      <c r="I43" s="49"/>
      <c r="J43" s="49"/>
      <c r="K43" s="49"/>
      <c r="L43" s="49"/>
      <c r="M43" s="49"/>
      <c r="N43" s="49"/>
      <c r="O43" s="49"/>
      <c r="P43" s="49"/>
      <c r="Q43" s="49"/>
      <c r="R43" s="49"/>
      <c r="S43" s="49"/>
      <c r="T43" s="49"/>
      <c r="U43" s="49"/>
      <c r="V43" s="49"/>
      <c r="W43" s="49"/>
      <c r="X43" s="49"/>
      <c r="Y43" s="49"/>
      <c r="Z43" s="49"/>
    </row>
    <row r="44">
      <c r="A44" s="49"/>
      <c r="B44" s="49"/>
      <c r="C44" s="49"/>
      <c r="D44" s="49"/>
      <c r="E44" s="49"/>
      <c r="F44" s="49"/>
      <c r="G44" s="49"/>
      <c r="H44" s="49"/>
      <c r="I44" s="49"/>
      <c r="J44" s="49"/>
      <c r="K44" s="49"/>
      <c r="L44" s="49"/>
      <c r="M44" s="49"/>
      <c r="N44" s="49"/>
      <c r="O44" s="49"/>
      <c r="P44" s="49"/>
      <c r="Q44" s="49"/>
      <c r="R44" s="49"/>
      <c r="S44" s="49"/>
      <c r="T44" s="49"/>
      <c r="U44" s="49"/>
      <c r="V44" s="49"/>
      <c r="W44" s="49"/>
      <c r="X44" s="49"/>
      <c r="Y44" s="49"/>
      <c r="Z44" s="49"/>
    </row>
    <row r="45">
      <c r="A45" s="49"/>
      <c r="B45" s="49"/>
      <c r="C45" s="49"/>
      <c r="D45" s="49"/>
      <c r="E45" s="49"/>
      <c r="F45" s="49"/>
      <c r="G45" s="49"/>
      <c r="H45" s="49"/>
      <c r="I45" s="49"/>
      <c r="J45" s="49"/>
      <c r="K45" s="49"/>
      <c r="L45" s="49"/>
      <c r="M45" s="49"/>
      <c r="N45" s="49"/>
      <c r="O45" s="49"/>
      <c r="P45" s="49"/>
      <c r="Q45" s="49"/>
      <c r="R45" s="49"/>
      <c r="S45" s="49"/>
      <c r="T45" s="49"/>
      <c r="U45" s="49"/>
      <c r="V45" s="49"/>
      <c r="W45" s="49"/>
      <c r="X45" s="49"/>
      <c r="Y45" s="49"/>
      <c r="Z45" s="49"/>
    </row>
    <row r="46">
      <c r="A46" s="49"/>
      <c r="B46" s="49"/>
      <c r="C46" s="49"/>
      <c r="D46" s="49"/>
      <c r="E46" s="49"/>
      <c r="F46" s="49"/>
      <c r="G46" s="49"/>
      <c r="H46" s="49"/>
      <c r="I46" s="49"/>
      <c r="J46" s="49"/>
      <c r="K46" s="49"/>
      <c r="L46" s="49"/>
      <c r="M46" s="49"/>
      <c r="N46" s="49"/>
      <c r="O46" s="49"/>
      <c r="P46" s="49"/>
      <c r="Q46" s="49"/>
      <c r="R46" s="49"/>
      <c r="S46" s="49"/>
      <c r="T46" s="49"/>
      <c r="U46" s="49"/>
      <c r="V46" s="49"/>
      <c r="W46" s="49"/>
      <c r="X46" s="49"/>
      <c r="Y46" s="49"/>
      <c r="Z46" s="49"/>
    </row>
    <row r="47">
      <c r="A47" s="49"/>
      <c r="B47" s="49"/>
      <c r="C47" s="49"/>
      <c r="D47" s="49"/>
      <c r="E47" s="49"/>
      <c r="F47" s="49"/>
      <c r="G47" s="49"/>
      <c r="H47" s="49"/>
      <c r="I47" s="49"/>
      <c r="J47" s="49"/>
      <c r="K47" s="49"/>
      <c r="L47" s="49"/>
      <c r="M47" s="49"/>
      <c r="N47" s="49"/>
      <c r="O47" s="49"/>
      <c r="P47" s="49"/>
      <c r="Q47" s="49"/>
      <c r="R47" s="49"/>
      <c r="S47" s="49"/>
      <c r="T47" s="49"/>
      <c r="U47" s="49"/>
      <c r="V47" s="49"/>
      <c r="W47" s="49"/>
      <c r="X47" s="49"/>
      <c r="Y47" s="49"/>
      <c r="Z47" s="49"/>
    </row>
    <row r="48">
      <c r="A48" s="49"/>
      <c r="B48" s="49"/>
      <c r="C48" s="49"/>
      <c r="D48" s="49"/>
      <c r="E48" s="49"/>
      <c r="F48" s="49"/>
      <c r="G48" s="49"/>
      <c r="H48" s="49"/>
      <c r="I48" s="49"/>
      <c r="J48" s="49"/>
      <c r="K48" s="49"/>
      <c r="L48" s="49"/>
      <c r="M48" s="49"/>
      <c r="N48" s="49"/>
      <c r="O48" s="49"/>
      <c r="P48" s="49"/>
      <c r="Q48" s="49"/>
      <c r="R48" s="49"/>
      <c r="S48" s="49"/>
      <c r="T48" s="49"/>
      <c r="U48" s="49"/>
      <c r="V48" s="49"/>
      <c r="W48" s="49"/>
      <c r="X48" s="49"/>
      <c r="Y48" s="49"/>
      <c r="Z48" s="49"/>
    </row>
    <row r="49">
      <c r="A49" s="49"/>
      <c r="B49" s="49"/>
      <c r="C49" s="49"/>
      <c r="D49" s="49"/>
      <c r="E49" s="49"/>
      <c r="F49" s="49"/>
      <c r="G49" s="49"/>
      <c r="H49" s="49"/>
      <c r="I49" s="49"/>
      <c r="J49" s="49"/>
      <c r="K49" s="49"/>
      <c r="L49" s="49"/>
      <c r="M49" s="49"/>
      <c r="N49" s="49"/>
      <c r="O49" s="49"/>
      <c r="P49" s="49"/>
      <c r="Q49" s="49"/>
      <c r="R49" s="49"/>
      <c r="S49" s="49"/>
      <c r="T49" s="49"/>
      <c r="U49" s="49"/>
      <c r="V49" s="49"/>
      <c r="W49" s="49"/>
      <c r="X49" s="49"/>
      <c r="Y49" s="49"/>
      <c r="Z49" s="49"/>
    </row>
    <row r="50">
      <c r="A50" s="49"/>
      <c r="B50" s="49"/>
      <c r="C50" s="49"/>
      <c r="D50" s="49"/>
      <c r="E50" s="49"/>
      <c r="F50" s="49"/>
      <c r="G50" s="49"/>
      <c r="H50" s="49"/>
      <c r="I50" s="49"/>
      <c r="J50" s="49"/>
      <c r="K50" s="49"/>
      <c r="L50" s="49"/>
      <c r="M50" s="49"/>
      <c r="N50" s="49"/>
      <c r="O50" s="49"/>
      <c r="P50" s="49"/>
      <c r="Q50" s="49"/>
      <c r="R50" s="49"/>
      <c r="S50" s="49"/>
      <c r="T50" s="49"/>
      <c r="U50" s="49"/>
      <c r="V50" s="49"/>
      <c r="W50" s="49"/>
      <c r="X50" s="49"/>
      <c r="Y50" s="49"/>
      <c r="Z50" s="49"/>
    </row>
    <row r="51">
      <c r="A51" s="49"/>
      <c r="B51" s="49"/>
      <c r="C51" s="49"/>
      <c r="D51" s="49"/>
      <c r="E51" s="49"/>
      <c r="F51" s="49"/>
      <c r="G51" s="49"/>
      <c r="H51" s="49"/>
      <c r="I51" s="49"/>
      <c r="J51" s="49"/>
      <c r="K51" s="49"/>
      <c r="L51" s="49"/>
      <c r="M51" s="49"/>
      <c r="N51" s="49"/>
      <c r="O51" s="49"/>
      <c r="P51" s="49"/>
      <c r="Q51" s="49"/>
      <c r="R51" s="49"/>
      <c r="S51" s="49"/>
      <c r="T51" s="49"/>
      <c r="U51" s="49"/>
      <c r="V51" s="49"/>
      <c r="W51" s="49"/>
      <c r="X51" s="49"/>
      <c r="Y51" s="49"/>
      <c r="Z51" s="49"/>
    </row>
    <row r="52">
      <c r="A52" s="49"/>
      <c r="B52" s="49"/>
      <c r="C52" s="49"/>
      <c r="D52" s="49"/>
      <c r="E52" s="49"/>
      <c r="F52" s="49"/>
      <c r="G52" s="49"/>
      <c r="H52" s="49"/>
      <c r="I52" s="49"/>
      <c r="J52" s="49"/>
      <c r="K52" s="49"/>
      <c r="L52" s="49"/>
      <c r="M52" s="49"/>
      <c r="N52" s="49"/>
      <c r="O52" s="49"/>
      <c r="P52" s="49"/>
      <c r="Q52" s="49"/>
      <c r="R52" s="49"/>
      <c r="S52" s="49"/>
      <c r="T52" s="49"/>
      <c r="U52" s="49"/>
      <c r="V52" s="49"/>
      <c r="W52" s="49"/>
      <c r="X52" s="49"/>
      <c r="Y52" s="49"/>
      <c r="Z52" s="49"/>
    </row>
    <row r="53">
      <c r="A53" s="49"/>
      <c r="B53" s="49"/>
      <c r="C53" s="49"/>
      <c r="D53" s="49"/>
      <c r="E53" s="49"/>
      <c r="F53" s="49"/>
      <c r="G53" s="49"/>
      <c r="H53" s="49"/>
      <c r="I53" s="49"/>
      <c r="J53" s="49"/>
      <c r="K53" s="49"/>
      <c r="L53" s="49"/>
      <c r="M53" s="49"/>
      <c r="N53" s="49"/>
      <c r="O53" s="49"/>
      <c r="P53" s="49"/>
      <c r="Q53" s="49"/>
      <c r="R53" s="49"/>
      <c r="S53" s="49"/>
      <c r="T53" s="49"/>
      <c r="U53" s="49"/>
      <c r="V53" s="49"/>
      <c r="W53" s="49"/>
      <c r="X53" s="49"/>
      <c r="Y53" s="49"/>
      <c r="Z53" s="49"/>
    </row>
    <row r="54">
      <c r="A54" s="49"/>
      <c r="B54" s="49"/>
      <c r="C54" s="49"/>
      <c r="D54" s="49"/>
      <c r="E54" s="49"/>
      <c r="F54" s="49"/>
      <c r="G54" s="49"/>
      <c r="H54" s="49"/>
      <c r="I54" s="49"/>
      <c r="J54" s="49"/>
      <c r="K54" s="49"/>
      <c r="L54" s="49"/>
      <c r="M54" s="49"/>
      <c r="N54" s="49"/>
      <c r="O54" s="49"/>
      <c r="P54" s="49"/>
      <c r="Q54" s="49"/>
      <c r="R54" s="49"/>
      <c r="S54" s="49"/>
      <c r="T54" s="49"/>
      <c r="U54" s="49"/>
      <c r="V54" s="49"/>
      <c r="W54" s="49"/>
      <c r="X54" s="49"/>
      <c r="Y54" s="49"/>
      <c r="Z54" s="49"/>
    </row>
    <row r="55">
      <c r="A55" s="49"/>
      <c r="B55" s="49"/>
      <c r="C55" s="49"/>
      <c r="D55" s="49"/>
      <c r="E55" s="49"/>
      <c r="F55" s="49"/>
      <c r="G55" s="49"/>
      <c r="H55" s="49"/>
      <c r="I55" s="49"/>
      <c r="J55" s="49"/>
      <c r="K55" s="49"/>
      <c r="L55" s="49"/>
      <c r="M55" s="49"/>
      <c r="N55" s="49"/>
      <c r="O55" s="49"/>
      <c r="P55" s="49"/>
      <c r="Q55" s="49"/>
      <c r="R55" s="49"/>
      <c r="S55" s="49"/>
      <c r="T55" s="49"/>
      <c r="U55" s="49"/>
      <c r="V55" s="49"/>
      <c r="W55" s="49"/>
      <c r="X55" s="49"/>
      <c r="Y55" s="49"/>
      <c r="Z55" s="49"/>
    </row>
    <row r="56">
      <c r="A56" s="49"/>
      <c r="B56" s="49"/>
      <c r="C56" s="49"/>
      <c r="D56" s="49"/>
      <c r="E56" s="49"/>
      <c r="F56" s="49"/>
      <c r="G56" s="49"/>
      <c r="H56" s="49"/>
      <c r="I56" s="49"/>
      <c r="J56" s="49"/>
      <c r="K56" s="49"/>
      <c r="L56" s="49"/>
      <c r="M56" s="49"/>
      <c r="N56" s="49"/>
      <c r="O56" s="49"/>
      <c r="P56" s="49"/>
      <c r="Q56" s="49"/>
      <c r="R56" s="49"/>
      <c r="S56" s="49"/>
      <c r="T56" s="49"/>
      <c r="U56" s="49"/>
      <c r="V56" s="49"/>
      <c r="W56" s="49"/>
      <c r="X56" s="49"/>
      <c r="Y56" s="49"/>
      <c r="Z56" s="49"/>
    </row>
    <row r="57">
      <c r="A57" s="49"/>
      <c r="B57" s="49"/>
      <c r="C57" s="49"/>
      <c r="D57" s="49"/>
      <c r="E57" s="49"/>
      <c r="F57" s="49"/>
      <c r="G57" s="49"/>
      <c r="H57" s="49"/>
      <c r="I57" s="49"/>
      <c r="J57" s="49"/>
      <c r="K57" s="49"/>
      <c r="L57" s="49"/>
      <c r="M57" s="49"/>
      <c r="N57" s="49"/>
      <c r="O57" s="49"/>
      <c r="P57" s="49"/>
      <c r="Q57" s="49"/>
      <c r="R57" s="49"/>
      <c r="S57" s="49"/>
      <c r="T57" s="49"/>
      <c r="U57" s="49"/>
      <c r="V57" s="49"/>
      <c r="W57" s="49"/>
      <c r="X57" s="49"/>
      <c r="Y57" s="49"/>
      <c r="Z57" s="49"/>
    </row>
    <row r="58">
      <c r="A58" s="49"/>
      <c r="B58" s="49"/>
      <c r="C58" s="49"/>
      <c r="D58" s="49"/>
      <c r="E58" s="49"/>
      <c r="F58" s="49"/>
      <c r="G58" s="49"/>
      <c r="H58" s="49"/>
      <c r="I58" s="49"/>
      <c r="J58" s="49"/>
      <c r="K58" s="49"/>
      <c r="L58" s="49"/>
      <c r="M58" s="49"/>
      <c r="N58" s="49"/>
      <c r="O58" s="49"/>
      <c r="P58" s="49"/>
      <c r="Q58" s="49"/>
      <c r="R58" s="49"/>
      <c r="S58" s="49"/>
      <c r="T58" s="49"/>
      <c r="U58" s="49"/>
      <c r="V58" s="49"/>
      <c r="W58" s="49"/>
      <c r="X58" s="49"/>
      <c r="Y58" s="49"/>
      <c r="Z58" s="49"/>
    </row>
    <row r="59">
      <c r="A59" s="49"/>
      <c r="B59" s="49"/>
      <c r="C59" s="49"/>
      <c r="D59" s="49"/>
      <c r="E59" s="49"/>
      <c r="F59" s="49"/>
      <c r="G59" s="49"/>
      <c r="H59" s="49"/>
      <c r="I59" s="49"/>
      <c r="J59" s="49"/>
      <c r="K59" s="49"/>
      <c r="L59" s="49"/>
      <c r="M59" s="49"/>
      <c r="N59" s="49"/>
      <c r="O59" s="49"/>
      <c r="P59" s="49"/>
      <c r="Q59" s="49"/>
      <c r="R59" s="49"/>
      <c r="S59" s="49"/>
      <c r="T59" s="49"/>
      <c r="U59" s="49"/>
      <c r="V59" s="49"/>
      <c r="W59" s="49"/>
      <c r="X59" s="49"/>
      <c r="Y59" s="49"/>
      <c r="Z59" s="49"/>
    </row>
    <row r="60">
      <c r="A60" s="49"/>
      <c r="B60" s="49"/>
      <c r="C60" s="49"/>
      <c r="D60" s="49"/>
      <c r="E60" s="49"/>
      <c r="F60" s="49"/>
      <c r="G60" s="49"/>
      <c r="H60" s="49"/>
      <c r="I60" s="49"/>
      <c r="J60" s="49"/>
      <c r="K60" s="49"/>
      <c r="L60" s="49"/>
      <c r="M60" s="49"/>
      <c r="N60" s="49"/>
      <c r="O60" s="49"/>
      <c r="P60" s="49"/>
      <c r="Q60" s="49"/>
      <c r="R60" s="49"/>
      <c r="S60" s="49"/>
      <c r="T60" s="49"/>
      <c r="U60" s="49"/>
      <c r="V60" s="49"/>
      <c r="W60" s="49"/>
      <c r="X60" s="49"/>
      <c r="Y60" s="49"/>
      <c r="Z60" s="49"/>
    </row>
    <row r="61">
      <c r="A61" s="49"/>
      <c r="B61" s="49"/>
      <c r="C61" s="49"/>
      <c r="D61" s="49"/>
      <c r="E61" s="49"/>
      <c r="F61" s="49"/>
      <c r="G61" s="49"/>
      <c r="H61" s="49"/>
      <c r="I61" s="49"/>
      <c r="J61" s="49"/>
      <c r="K61" s="49"/>
      <c r="L61" s="49"/>
      <c r="M61" s="49"/>
      <c r="N61" s="49"/>
      <c r="O61" s="49"/>
      <c r="P61" s="49"/>
      <c r="Q61" s="49"/>
      <c r="R61" s="49"/>
      <c r="S61" s="49"/>
      <c r="T61" s="49"/>
      <c r="U61" s="49"/>
      <c r="V61" s="49"/>
      <c r="W61" s="49"/>
      <c r="X61" s="49"/>
      <c r="Y61" s="49"/>
      <c r="Z61" s="49"/>
    </row>
    <row r="62">
      <c r="A62" s="49"/>
      <c r="B62" s="49"/>
      <c r="C62" s="49"/>
      <c r="D62" s="49"/>
      <c r="E62" s="49"/>
      <c r="F62" s="49"/>
      <c r="G62" s="49"/>
      <c r="H62" s="49"/>
      <c r="I62" s="49"/>
      <c r="J62" s="49"/>
      <c r="K62" s="49"/>
      <c r="L62" s="49"/>
      <c r="M62" s="49"/>
      <c r="N62" s="49"/>
      <c r="O62" s="49"/>
      <c r="P62" s="49"/>
      <c r="Q62" s="49"/>
      <c r="R62" s="49"/>
      <c r="S62" s="49"/>
      <c r="T62" s="49"/>
      <c r="U62" s="49"/>
      <c r="V62" s="49"/>
      <c r="W62" s="49"/>
      <c r="X62" s="49"/>
      <c r="Y62" s="49"/>
      <c r="Z62" s="49"/>
    </row>
    <row r="63">
      <c r="A63" s="49"/>
      <c r="B63" s="49"/>
      <c r="C63" s="49"/>
      <c r="D63" s="49"/>
      <c r="E63" s="49"/>
      <c r="F63" s="49"/>
      <c r="G63" s="49"/>
      <c r="H63" s="49"/>
      <c r="I63" s="49"/>
      <c r="J63" s="49"/>
      <c r="K63" s="49"/>
      <c r="L63" s="49"/>
      <c r="M63" s="49"/>
      <c r="N63" s="49"/>
      <c r="O63" s="49"/>
      <c r="P63" s="49"/>
      <c r="Q63" s="49"/>
      <c r="R63" s="49"/>
      <c r="S63" s="49"/>
      <c r="T63" s="49"/>
      <c r="U63" s="49"/>
      <c r="V63" s="49"/>
      <c r="W63" s="49"/>
      <c r="X63" s="49"/>
      <c r="Y63" s="49"/>
      <c r="Z63" s="49"/>
    </row>
    <row r="64">
      <c r="A64" s="49"/>
      <c r="B64" s="49"/>
      <c r="C64" s="49"/>
      <c r="D64" s="49"/>
      <c r="E64" s="49"/>
      <c r="F64" s="49"/>
      <c r="G64" s="49"/>
      <c r="H64" s="49"/>
      <c r="I64" s="49"/>
      <c r="J64" s="49"/>
      <c r="K64" s="49"/>
      <c r="L64" s="49"/>
      <c r="M64" s="49"/>
      <c r="N64" s="49"/>
      <c r="O64" s="49"/>
      <c r="P64" s="49"/>
      <c r="Q64" s="49"/>
      <c r="R64" s="49"/>
      <c r="S64" s="49"/>
      <c r="T64" s="49"/>
      <c r="U64" s="49"/>
      <c r="V64" s="49"/>
      <c r="W64" s="49"/>
      <c r="X64" s="49"/>
      <c r="Y64" s="49"/>
      <c r="Z64" s="49"/>
    </row>
    <row r="65">
      <c r="A65" s="49"/>
      <c r="B65" s="49"/>
      <c r="C65" s="49"/>
      <c r="D65" s="49"/>
      <c r="E65" s="49"/>
      <c r="F65" s="49"/>
      <c r="G65" s="49"/>
      <c r="H65" s="49"/>
      <c r="I65" s="49"/>
      <c r="J65" s="49"/>
      <c r="K65" s="49"/>
      <c r="L65" s="49"/>
      <c r="M65" s="49"/>
      <c r="N65" s="49"/>
      <c r="O65" s="49"/>
      <c r="P65" s="49"/>
      <c r="Q65" s="49"/>
      <c r="R65" s="49"/>
      <c r="S65" s="49"/>
      <c r="T65" s="49"/>
      <c r="U65" s="49"/>
      <c r="V65" s="49"/>
      <c r="W65" s="49"/>
      <c r="X65" s="49"/>
      <c r="Y65" s="49"/>
      <c r="Z65" s="49"/>
    </row>
    <row r="66">
      <c r="A66" s="49"/>
      <c r="B66" s="49"/>
      <c r="C66" s="49"/>
      <c r="D66" s="49"/>
      <c r="E66" s="49"/>
      <c r="F66" s="49"/>
      <c r="G66" s="49"/>
      <c r="H66" s="49"/>
      <c r="I66" s="49"/>
      <c r="J66" s="49"/>
      <c r="K66" s="49"/>
      <c r="L66" s="49"/>
      <c r="M66" s="49"/>
      <c r="N66" s="49"/>
      <c r="O66" s="49"/>
      <c r="P66" s="49"/>
      <c r="Q66" s="49"/>
      <c r="R66" s="49"/>
      <c r="S66" s="49"/>
      <c r="T66" s="49"/>
      <c r="U66" s="49"/>
      <c r="V66" s="49"/>
      <c r="W66" s="49"/>
      <c r="X66" s="49"/>
      <c r="Y66" s="49"/>
      <c r="Z66" s="49"/>
    </row>
    <row r="67">
      <c r="A67" s="49"/>
      <c r="B67" s="49"/>
      <c r="C67" s="49"/>
      <c r="D67" s="49"/>
      <c r="E67" s="49"/>
      <c r="F67" s="49"/>
      <c r="G67" s="49"/>
      <c r="H67" s="49"/>
      <c r="I67" s="49"/>
      <c r="J67" s="49"/>
      <c r="K67" s="49"/>
      <c r="L67" s="49"/>
      <c r="M67" s="49"/>
      <c r="N67" s="49"/>
      <c r="O67" s="49"/>
      <c r="P67" s="49"/>
      <c r="Q67" s="49"/>
      <c r="R67" s="49"/>
      <c r="S67" s="49"/>
      <c r="T67" s="49"/>
      <c r="U67" s="49"/>
      <c r="V67" s="49"/>
      <c r="W67" s="49"/>
      <c r="X67" s="49"/>
      <c r="Y67" s="49"/>
      <c r="Z67" s="49"/>
    </row>
    <row r="68">
      <c r="A68" s="49"/>
      <c r="B68" s="49"/>
      <c r="C68" s="49"/>
      <c r="D68" s="49"/>
      <c r="E68" s="49"/>
      <c r="F68" s="49"/>
      <c r="G68" s="49"/>
      <c r="H68" s="49"/>
      <c r="I68" s="49"/>
      <c r="J68" s="49"/>
      <c r="K68" s="49"/>
      <c r="L68" s="49"/>
      <c r="M68" s="49"/>
      <c r="N68" s="49"/>
      <c r="O68" s="49"/>
      <c r="P68" s="49"/>
      <c r="Q68" s="49"/>
      <c r="R68" s="49"/>
      <c r="S68" s="49"/>
      <c r="T68" s="49"/>
      <c r="U68" s="49"/>
      <c r="V68" s="49"/>
      <c r="W68" s="49"/>
      <c r="X68" s="49"/>
      <c r="Y68" s="49"/>
      <c r="Z68" s="49"/>
    </row>
    <row r="69">
      <c r="A69" s="49"/>
      <c r="B69" s="49"/>
      <c r="C69" s="49"/>
      <c r="D69" s="49"/>
      <c r="E69" s="49"/>
      <c r="F69" s="49"/>
      <c r="G69" s="49"/>
      <c r="H69" s="49"/>
      <c r="I69" s="49"/>
      <c r="J69" s="49"/>
      <c r="K69" s="49"/>
      <c r="L69" s="49"/>
      <c r="M69" s="49"/>
      <c r="N69" s="49"/>
      <c r="O69" s="49"/>
      <c r="P69" s="49"/>
      <c r="Q69" s="49"/>
      <c r="R69" s="49"/>
      <c r="S69" s="49"/>
      <c r="T69" s="49"/>
      <c r="U69" s="49"/>
      <c r="V69" s="49"/>
      <c r="W69" s="49"/>
      <c r="X69" s="49"/>
      <c r="Y69" s="49"/>
      <c r="Z69" s="49"/>
    </row>
    <row r="70">
      <c r="A70" s="49"/>
      <c r="B70" s="49"/>
      <c r="C70" s="49"/>
      <c r="D70" s="49"/>
      <c r="E70" s="49"/>
      <c r="F70" s="49"/>
      <c r="G70" s="49"/>
      <c r="H70" s="49"/>
      <c r="I70" s="49"/>
      <c r="J70" s="49"/>
      <c r="K70" s="49"/>
      <c r="L70" s="49"/>
      <c r="M70" s="49"/>
      <c r="N70" s="49"/>
      <c r="O70" s="49"/>
      <c r="P70" s="49"/>
      <c r="Q70" s="49"/>
      <c r="R70" s="49"/>
      <c r="S70" s="49"/>
      <c r="T70" s="49"/>
      <c r="U70" s="49"/>
      <c r="V70" s="49"/>
      <c r="W70" s="49"/>
      <c r="X70" s="49"/>
      <c r="Y70" s="49"/>
      <c r="Z70" s="49"/>
    </row>
    <row r="71">
      <c r="A71" s="49"/>
      <c r="B71" s="49"/>
      <c r="C71" s="49"/>
      <c r="D71" s="49"/>
      <c r="E71" s="49"/>
      <c r="F71" s="49"/>
      <c r="G71" s="49"/>
      <c r="H71" s="49"/>
      <c r="I71" s="49"/>
      <c r="J71" s="49"/>
      <c r="K71" s="49"/>
      <c r="L71" s="49"/>
      <c r="M71" s="49"/>
      <c r="N71" s="49"/>
      <c r="O71" s="49"/>
      <c r="P71" s="49"/>
      <c r="Q71" s="49"/>
      <c r="R71" s="49"/>
      <c r="S71" s="49"/>
      <c r="T71" s="49"/>
      <c r="U71" s="49"/>
      <c r="V71" s="49"/>
      <c r="W71" s="49"/>
      <c r="X71" s="49"/>
      <c r="Y71" s="49"/>
      <c r="Z71" s="49"/>
    </row>
    <row r="72">
      <c r="A72" s="49"/>
      <c r="B72" s="49"/>
      <c r="C72" s="49"/>
      <c r="D72" s="49"/>
      <c r="E72" s="49"/>
      <c r="F72" s="49"/>
      <c r="G72" s="49"/>
      <c r="H72" s="49"/>
      <c r="I72" s="49"/>
      <c r="J72" s="49"/>
      <c r="K72" s="49"/>
      <c r="L72" s="49"/>
      <c r="M72" s="49"/>
      <c r="N72" s="49"/>
      <c r="O72" s="49"/>
      <c r="P72" s="49"/>
      <c r="Q72" s="49"/>
      <c r="R72" s="49"/>
      <c r="S72" s="49"/>
      <c r="T72" s="49"/>
      <c r="U72" s="49"/>
      <c r="V72" s="49"/>
      <c r="W72" s="49"/>
      <c r="X72" s="49"/>
      <c r="Y72" s="49"/>
      <c r="Z72" s="49"/>
    </row>
    <row r="73">
      <c r="A73" s="49"/>
      <c r="B73" s="49"/>
      <c r="C73" s="49"/>
      <c r="D73" s="49"/>
      <c r="E73" s="49"/>
      <c r="F73" s="49"/>
      <c r="G73" s="49"/>
      <c r="H73" s="49"/>
      <c r="I73" s="49"/>
      <c r="J73" s="49"/>
      <c r="K73" s="49"/>
      <c r="L73" s="49"/>
      <c r="M73" s="49"/>
      <c r="N73" s="49"/>
      <c r="O73" s="49"/>
      <c r="P73" s="49"/>
      <c r="Q73" s="49"/>
      <c r="R73" s="49"/>
      <c r="S73" s="49"/>
      <c r="T73" s="49"/>
      <c r="U73" s="49"/>
      <c r="V73" s="49"/>
      <c r="W73" s="49"/>
      <c r="X73" s="49"/>
      <c r="Y73" s="49"/>
      <c r="Z73" s="49"/>
    </row>
    <row r="74">
      <c r="A74" s="49"/>
      <c r="B74" s="49"/>
      <c r="C74" s="49"/>
      <c r="D74" s="49"/>
      <c r="E74" s="49"/>
      <c r="F74" s="49"/>
      <c r="G74" s="49"/>
      <c r="H74" s="49"/>
      <c r="I74" s="49"/>
      <c r="J74" s="49"/>
      <c r="K74" s="49"/>
      <c r="L74" s="49"/>
      <c r="M74" s="49"/>
      <c r="N74" s="49"/>
      <c r="O74" s="49"/>
      <c r="P74" s="49"/>
      <c r="Q74" s="49"/>
      <c r="R74" s="49"/>
      <c r="S74" s="49"/>
      <c r="T74" s="49"/>
      <c r="U74" s="49"/>
      <c r="V74" s="49"/>
      <c r="W74" s="49"/>
      <c r="X74" s="49"/>
      <c r="Y74" s="49"/>
      <c r="Z74" s="49"/>
    </row>
    <row r="75">
      <c r="A75" s="49"/>
      <c r="B75" s="49"/>
      <c r="C75" s="49"/>
      <c r="D75" s="49"/>
      <c r="E75" s="49"/>
      <c r="F75" s="49"/>
      <c r="G75" s="49"/>
      <c r="H75" s="49"/>
      <c r="I75" s="49"/>
      <c r="J75" s="49"/>
      <c r="K75" s="49"/>
      <c r="L75" s="49"/>
      <c r="M75" s="49"/>
      <c r="N75" s="49"/>
      <c r="O75" s="49"/>
      <c r="P75" s="49"/>
      <c r="Q75" s="49"/>
      <c r="R75" s="49"/>
      <c r="S75" s="49"/>
      <c r="T75" s="49"/>
      <c r="U75" s="49"/>
      <c r="V75" s="49"/>
      <c r="W75" s="49"/>
      <c r="X75" s="49"/>
      <c r="Y75" s="49"/>
      <c r="Z75" s="49"/>
    </row>
    <row r="76">
      <c r="A76" s="49"/>
      <c r="B76" s="49"/>
      <c r="C76" s="49"/>
      <c r="D76" s="49"/>
      <c r="E76" s="49"/>
      <c r="F76" s="49"/>
      <c r="G76" s="49"/>
      <c r="H76" s="49"/>
      <c r="I76" s="49"/>
      <c r="J76" s="49"/>
      <c r="K76" s="49"/>
      <c r="L76" s="49"/>
      <c r="M76" s="49"/>
      <c r="N76" s="49"/>
      <c r="O76" s="49"/>
      <c r="P76" s="49"/>
      <c r="Q76" s="49"/>
      <c r="R76" s="49"/>
      <c r="S76" s="49"/>
      <c r="T76" s="49"/>
      <c r="U76" s="49"/>
      <c r="V76" s="49"/>
      <c r="W76" s="49"/>
      <c r="X76" s="49"/>
      <c r="Y76" s="49"/>
      <c r="Z76" s="49"/>
    </row>
    <row r="77">
      <c r="A77" s="49"/>
      <c r="B77" s="49"/>
      <c r="C77" s="49"/>
      <c r="D77" s="49"/>
      <c r="E77" s="49"/>
      <c r="F77" s="49"/>
      <c r="G77" s="49"/>
      <c r="H77" s="49"/>
      <c r="I77" s="49"/>
      <c r="J77" s="49"/>
      <c r="K77" s="49"/>
      <c r="L77" s="49"/>
      <c r="M77" s="49"/>
      <c r="N77" s="49"/>
      <c r="O77" s="49"/>
      <c r="P77" s="49"/>
      <c r="Q77" s="49"/>
      <c r="R77" s="49"/>
      <c r="S77" s="49"/>
      <c r="T77" s="49"/>
      <c r="U77" s="49"/>
      <c r="V77" s="49"/>
      <c r="W77" s="49"/>
      <c r="X77" s="49"/>
      <c r="Y77" s="49"/>
      <c r="Z77" s="49"/>
    </row>
    <row r="78">
      <c r="A78" s="49"/>
      <c r="B78" s="49"/>
      <c r="C78" s="49"/>
      <c r="D78" s="49"/>
      <c r="E78" s="49"/>
      <c r="F78" s="49"/>
      <c r="G78" s="49"/>
      <c r="H78" s="49"/>
      <c r="I78" s="49"/>
      <c r="J78" s="49"/>
      <c r="K78" s="49"/>
      <c r="L78" s="49"/>
      <c r="M78" s="49"/>
      <c r="N78" s="49"/>
      <c r="O78" s="49"/>
      <c r="P78" s="49"/>
      <c r="Q78" s="49"/>
      <c r="R78" s="49"/>
      <c r="S78" s="49"/>
      <c r="T78" s="49"/>
      <c r="U78" s="49"/>
      <c r="V78" s="49"/>
      <c r="W78" s="49"/>
      <c r="X78" s="49"/>
      <c r="Y78" s="49"/>
      <c r="Z78" s="49"/>
    </row>
    <row r="79">
      <c r="A79" s="49"/>
      <c r="B79" s="49"/>
      <c r="C79" s="49"/>
      <c r="D79" s="49"/>
      <c r="E79" s="49"/>
      <c r="F79" s="49"/>
      <c r="G79" s="49"/>
      <c r="H79" s="49"/>
      <c r="I79" s="49"/>
      <c r="J79" s="49"/>
      <c r="K79" s="49"/>
      <c r="L79" s="49"/>
      <c r="M79" s="49"/>
      <c r="N79" s="49"/>
      <c r="O79" s="49"/>
      <c r="P79" s="49"/>
      <c r="Q79" s="49"/>
      <c r="R79" s="49"/>
      <c r="S79" s="49"/>
      <c r="T79" s="49"/>
      <c r="U79" s="49"/>
      <c r="V79" s="49"/>
      <c r="W79" s="49"/>
      <c r="X79" s="49"/>
      <c r="Y79" s="49"/>
      <c r="Z79" s="49"/>
    </row>
    <row r="80">
      <c r="A80" s="49"/>
      <c r="B80" s="49"/>
      <c r="C80" s="49"/>
      <c r="D80" s="49"/>
      <c r="E80" s="49"/>
      <c r="F80" s="49"/>
      <c r="G80" s="49"/>
      <c r="H80" s="49"/>
      <c r="I80" s="49"/>
      <c r="J80" s="49"/>
      <c r="K80" s="49"/>
      <c r="L80" s="49"/>
      <c r="M80" s="49"/>
      <c r="N80" s="49"/>
      <c r="O80" s="49"/>
      <c r="P80" s="49"/>
      <c r="Q80" s="49"/>
      <c r="R80" s="49"/>
      <c r="S80" s="49"/>
      <c r="T80" s="49"/>
      <c r="U80" s="49"/>
      <c r="V80" s="49"/>
      <c r="W80" s="49"/>
      <c r="X80" s="49"/>
      <c r="Y80" s="49"/>
      <c r="Z80" s="49"/>
    </row>
    <row r="81">
      <c r="A81" s="49"/>
      <c r="B81" s="49"/>
      <c r="C81" s="49"/>
      <c r="D81" s="49"/>
      <c r="E81" s="49"/>
      <c r="F81" s="49"/>
      <c r="G81" s="49"/>
      <c r="H81" s="49"/>
      <c r="I81" s="49"/>
      <c r="J81" s="49"/>
      <c r="K81" s="49"/>
      <c r="L81" s="49"/>
      <c r="M81" s="49"/>
      <c r="N81" s="49"/>
      <c r="O81" s="49"/>
      <c r="P81" s="49"/>
      <c r="Q81" s="49"/>
      <c r="R81" s="49"/>
      <c r="S81" s="49"/>
      <c r="T81" s="49"/>
      <c r="U81" s="49"/>
      <c r="V81" s="49"/>
      <c r="W81" s="49"/>
      <c r="X81" s="49"/>
      <c r="Y81" s="49"/>
      <c r="Z81" s="49"/>
    </row>
    <row r="82">
      <c r="A82" s="49"/>
      <c r="B82" s="49"/>
      <c r="C82" s="49"/>
      <c r="D82" s="49"/>
      <c r="E82" s="49"/>
      <c r="F82" s="49"/>
      <c r="G82" s="49"/>
      <c r="H82" s="49"/>
      <c r="I82" s="49"/>
      <c r="J82" s="49"/>
      <c r="K82" s="49"/>
      <c r="L82" s="49"/>
      <c r="M82" s="49"/>
      <c r="N82" s="49"/>
      <c r="O82" s="49"/>
      <c r="P82" s="49"/>
      <c r="Q82" s="49"/>
      <c r="R82" s="49"/>
      <c r="S82" s="49"/>
      <c r="T82" s="49"/>
      <c r="U82" s="49"/>
      <c r="V82" s="49"/>
      <c r="W82" s="49"/>
      <c r="X82" s="49"/>
      <c r="Y82" s="49"/>
      <c r="Z82" s="49"/>
    </row>
    <row r="83">
      <c r="A83" s="49"/>
      <c r="B83" s="49"/>
      <c r="C83" s="49"/>
      <c r="D83" s="49"/>
      <c r="E83" s="49"/>
      <c r="F83" s="49"/>
      <c r="G83" s="49"/>
      <c r="H83" s="49"/>
      <c r="I83" s="49"/>
      <c r="J83" s="49"/>
      <c r="K83" s="49"/>
      <c r="L83" s="49"/>
      <c r="M83" s="49"/>
      <c r="N83" s="49"/>
      <c r="O83" s="49"/>
      <c r="P83" s="49"/>
      <c r="Q83" s="49"/>
      <c r="R83" s="49"/>
      <c r="S83" s="49"/>
      <c r="T83" s="49"/>
      <c r="U83" s="49"/>
      <c r="V83" s="49"/>
      <c r="W83" s="49"/>
      <c r="X83" s="49"/>
      <c r="Y83" s="49"/>
      <c r="Z83" s="49"/>
    </row>
    <row r="84">
      <c r="A84" s="49"/>
      <c r="B84" s="49"/>
      <c r="C84" s="49"/>
      <c r="D84" s="49"/>
      <c r="E84" s="49"/>
      <c r="F84" s="49"/>
      <c r="G84" s="49"/>
      <c r="H84" s="49"/>
      <c r="I84" s="49"/>
      <c r="J84" s="49"/>
      <c r="K84" s="49"/>
      <c r="L84" s="49"/>
      <c r="M84" s="49"/>
      <c r="N84" s="49"/>
      <c r="O84" s="49"/>
      <c r="P84" s="49"/>
      <c r="Q84" s="49"/>
      <c r="R84" s="49"/>
      <c r="S84" s="49"/>
      <c r="T84" s="49"/>
      <c r="U84" s="49"/>
      <c r="V84" s="49"/>
      <c r="W84" s="49"/>
      <c r="X84" s="49"/>
      <c r="Y84" s="49"/>
      <c r="Z84" s="49"/>
    </row>
    <row r="85">
      <c r="A85" s="49"/>
      <c r="B85" s="49"/>
      <c r="C85" s="49"/>
      <c r="D85" s="49"/>
      <c r="E85" s="49"/>
      <c r="F85" s="49"/>
      <c r="G85" s="49"/>
      <c r="H85" s="49"/>
      <c r="I85" s="49"/>
      <c r="J85" s="49"/>
      <c r="K85" s="49"/>
      <c r="L85" s="49"/>
      <c r="M85" s="49"/>
      <c r="N85" s="49"/>
      <c r="O85" s="49"/>
      <c r="P85" s="49"/>
      <c r="Q85" s="49"/>
      <c r="R85" s="49"/>
      <c r="S85" s="49"/>
      <c r="T85" s="49"/>
      <c r="U85" s="49"/>
      <c r="V85" s="49"/>
      <c r="W85" s="49"/>
      <c r="X85" s="49"/>
      <c r="Y85" s="49"/>
      <c r="Z85" s="49"/>
    </row>
    <row r="86">
      <c r="A86" s="49"/>
      <c r="B86" s="49"/>
      <c r="C86" s="49"/>
      <c r="D86" s="49"/>
      <c r="E86" s="49"/>
      <c r="F86" s="49"/>
      <c r="G86" s="49"/>
      <c r="H86" s="49"/>
      <c r="I86" s="49"/>
      <c r="J86" s="49"/>
      <c r="K86" s="49"/>
      <c r="L86" s="49"/>
      <c r="M86" s="49"/>
      <c r="N86" s="49"/>
      <c r="O86" s="49"/>
      <c r="P86" s="49"/>
      <c r="Q86" s="49"/>
      <c r="R86" s="49"/>
      <c r="S86" s="49"/>
      <c r="T86" s="49"/>
      <c r="U86" s="49"/>
      <c r="V86" s="49"/>
      <c r="W86" s="49"/>
      <c r="X86" s="49"/>
      <c r="Y86" s="49"/>
      <c r="Z86" s="49"/>
    </row>
    <row r="87">
      <c r="A87" s="49"/>
      <c r="B87" s="49"/>
      <c r="C87" s="49"/>
      <c r="D87" s="49"/>
      <c r="E87" s="49"/>
      <c r="F87" s="49"/>
      <c r="G87" s="49"/>
      <c r="H87" s="49"/>
      <c r="I87" s="49"/>
      <c r="J87" s="49"/>
      <c r="K87" s="49"/>
      <c r="L87" s="49"/>
      <c r="M87" s="49"/>
      <c r="N87" s="49"/>
      <c r="O87" s="49"/>
      <c r="P87" s="49"/>
      <c r="Q87" s="49"/>
      <c r="R87" s="49"/>
      <c r="S87" s="49"/>
      <c r="T87" s="49"/>
      <c r="U87" s="49"/>
      <c r="V87" s="49"/>
      <c r="W87" s="49"/>
      <c r="X87" s="49"/>
      <c r="Y87" s="49"/>
      <c r="Z87" s="49"/>
    </row>
    <row r="88">
      <c r="A88" s="49"/>
      <c r="B88" s="49"/>
      <c r="C88" s="49"/>
      <c r="D88" s="49"/>
      <c r="E88" s="49"/>
      <c r="F88" s="49"/>
      <c r="G88" s="49"/>
      <c r="H88" s="49"/>
      <c r="I88" s="49"/>
      <c r="J88" s="49"/>
      <c r="K88" s="49"/>
      <c r="L88" s="49"/>
      <c r="M88" s="49"/>
      <c r="N88" s="49"/>
      <c r="O88" s="49"/>
      <c r="P88" s="49"/>
      <c r="Q88" s="49"/>
      <c r="R88" s="49"/>
      <c r="S88" s="49"/>
      <c r="T88" s="49"/>
      <c r="U88" s="49"/>
      <c r="V88" s="49"/>
      <c r="W88" s="49"/>
      <c r="X88" s="49"/>
      <c r="Y88" s="49"/>
      <c r="Z88" s="49"/>
    </row>
    <row r="89">
      <c r="A89" s="49"/>
      <c r="B89" s="49"/>
      <c r="C89" s="49"/>
      <c r="D89" s="49"/>
      <c r="E89" s="49"/>
      <c r="F89" s="49"/>
      <c r="G89" s="49"/>
      <c r="H89" s="49"/>
      <c r="I89" s="49"/>
      <c r="J89" s="49"/>
      <c r="K89" s="49"/>
      <c r="L89" s="49"/>
      <c r="M89" s="49"/>
      <c r="N89" s="49"/>
      <c r="O89" s="49"/>
      <c r="P89" s="49"/>
      <c r="Q89" s="49"/>
      <c r="R89" s="49"/>
      <c r="S89" s="49"/>
      <c r="T89" s="49"/>
      <c r="U89" s="49"/>
      <c r="V89" s="49"/>
      <c r="W89" s="49"/>
      <c r="X89" s="49"/>
      <c r="Y89" s="49"/>
      <c r="Z89" s="49"/>
    </row>
    <row r="90">
      <c r="A90" s="49"/>
      <c r="B90" s="49"/>
      <c r="C90" s="49"/>
      <c r="D90" s="49"/>
      <c r="E90" s="49"/>
      <c r="F90" s="49"/>
      <c r="G90" s="49"/>
      <c r="H90" s="49"/>
      <c r="I90" s="49"/>
      <c r="J90" s="49"/>
      <c r="K90" s="49"/>
      <c r="L90" s="49"/>
      <c r="M90" s="49"/>
      <c r="N90" s="49"/>
      <c r="O90" s="49"/>
      <c r="P90" s="49"/>
      <c r="Q90" s="49"/>
      <c r="R90" s="49"/>
      <c r="S90" s="49"/>
      <c r="T90" s="49"/>
      <c r="U90" s="49"/>
      <c r="V90" s="49"/>
      <c r="W90" s="49"/>
      <c r="X90" s="49"/>
      <c r="Y90" s="49"/>
      <c r="Z90" s="49"/>
    </row>
    <row r="91">
      <c r="A91" s="49"/>
      <c r="B91" s="49"/>
      <c r="C91" s="49"/>
      <c r="D91" s="49"/>
      <c r="E91" s="49"/>
      <c r="F91" s="49"/>
      <c r="G91" s="49"/>
      <c r="H91" s="49"/>
      <c r="I91" s="49"/>
      <c r="J91" s="49"/>
      <c r="K91" s="49"/>
      <c r="L91" s="49"/>
      <c r="M91" s="49"/>
      <c r="N91" s="49"/>
      <c r="O91" s="49"/>
      <c r="P91" s="49"/>
      <c r="Q91" s="49"/>
      <c r="R91" s="49"/>
      <c r="S91" s="49"/>
      <c r="T91" s="49"/>
      <c r="U91" s="49"/>
      <c r="V91" s="49"/>
      <c r="W91" s="49"/>
      <c r="X91" s="49"/>
      <c r="Y91" s="49"/>
      <c r="Z91" s="49"/>
    </row>
    <row r="92">
      <c r="A92" s="49"/>
      <c r="B92" s="49"/>
      <c r="C92" s="49"/>
      <c r="D92" s="49"/>
      <c r="E92" s="49"/>
      <c r="F92" s="49"/>
      <c r="G92" s="49"/>
      <c r="H92" s="49"/>
      <c r="I92" s="49"/>
      <c r="J92" s="49"/>
      <c r="K92" s="49"/>
      <c r="L92" s="49"/>
      <c r="M92" s="49"/>
      <c r="N92" s="49"/>
      <c r="O92" s="49"/>
      <c r="P92" s="49"/>
      <c r="Q92" s="49"/>
      <c r="R92" s="49"/>
      <c r="S92" s="49"/>
      <c r="T92" s="49"/>
      <c r="U92" s="49"/>
      <c r="V92" s="49"/>
      <c r="W92" s="49"/>
      <c r="X92" s="49"/>
      <c r="Y92" s="49"/>
      <c r="Z92" s="49"/>
    </row>
    <row r="93">
      <c r="A93" s="49"/>
      <c r="B93" s="49"/>
      <c r="C93" s="49"/>
      <c r="D93" s="49"/>
      <c r="E93" s="49"/>
      <c r="F93" s="49"/>
      <c r="G93" s="49"/>
      <c r="H93" s="49"/>
      <c r="I93" s="49"/>
      <c r="J93" s="49"/>
      <c r="K93" s="49"/>
      <c r="L93" s="49"/>
      <c r="M93" s="49"/>
      <c r="N93" s="49"/>
      <c r="O93" s="49"/>
      <c r="P93" s="49"/>
      <c r="Q93" s="49"/>
      <c r="R93" s="49"/>
      <c r="S93" s="49"/>
      <c r="T93" s="49"/>
      <c r="U93" s="49"/>
      <c r="V93" s="49"/>
      <c r="W93" s="49"/>
      <c r="X93" s="49"/>
      <c r="Y93" s="49"/>
      <c r="Z93" s="49"/>
    </row>
    <row r="94">
      <c r="A94" s="49"/>
      <c r="B94" s="49"/>
      <c r="C94" s="49"/>
      <c r="D94" s="49"/>
      <c r="E94" s="49"/>
      <c r="F94" s="49"/>
      <c r="G94" s="49"/>
      <c r="H94" s="49"/>
      <c r="I94" s="49"/>
      <c r="J94" s="49"/>
      <c r="K94" s="49"/>
      <c r="L94" s="49"/>
      <c r="M94" s="49"/>
      <c r="N94" s="49"/>
      <c r="O94" s="49"/>
      <c r="P94" s="49"/>
      <c r="Q94" s="49"/>
      <c r="R94" s="49"/>
      <c r="S94" s="49"/>
      <c r="T94" s="49"/>
      <c r="U94" s="49"/>
      <c r="V94" s="49"/>
      <c r="W94" s="49"/>
      <c r="X94" s="49"/>
      <c r="Y94" s="49"/>
      <c r="Z94" s="49"/>
    </row>
    <row r="95">
      <c r="A95" s="49"/>
      <c r="B95" s="49"/>
      <c r="C95" s="49"/>
      <c r="D95" s="49"/>
      <c r="E95" s="49"/>
      <c r="F95" s="49"/>
      <c r="G95" s="49"/>
      <c r="H95" s="49"/>
      <c r="I95" s="49"/>
      <c r="J95" s="49"/>
      <c r="K95" s="49"/>
      <c r="L95" s="49"/>
      <c r="M95" s="49"/>
      <c r="N95" s="49"/>
      <c r="O95" s="49"/>
      <c r="P95" s="49"/>
      <c r="Q95" s="49"/>
      <c r="R95" s="49"/>
      <c r="S95" s="49"/>
      <c r="T95" s="49"/>
      <c r="U95" s="49"/>
      <c r="V95" s="49"/>
      <c r="W95" s="49"/>
      <c r="X95" s="49"/>
      <c r="Y95" s="49"/>
      <c r="Z95" s="49"/>
    </row>
    <row r="96">
      <c r="A96" s="49"/>
      <c r="B96" s="49"/>
      <c r="C96" s="49"/>
      <c r="D96" s="49"/>
      <c r="E96" s="49"/>
      <c r="F96" s="49"/>
      <c r="G96" s="49"/>
      <c r="H96" s="49"/>
      <c r="I96" s="49"/>
      <c r="J96" s="49"/>
      <c r="K96" s="49"/>
      <c r="L96" s="49"/>
      <c r="M96" s="49"/>
      <c r="N96" s="49"/>
      <c r="O96" s="49"/>
      <c r="P96" s="49"/>
      <c r="Q96" s="49"/>
      <c r="R96" s="49"/>
      <c r="S96" s="49"/>
      <c r="T96" s="49"/>
      <c r="U96" s="49"/>
      <c r="V96" s="49"/>
      <c r="W96" s="49"/>
      <c r="X96" s="49"/>
      <c r="Y96" s="49"/>
      <c r="Z96" s="49"/>
    </row>
    <row r="97">
      <c r="A97" s="49"/>
      <c r="B97" s="49"/>
      <c r="C97" s="49"/>
      <c r="D97" s="49"/>
      <c r="E97" s="49"/>
      <c r="F97" s="49"/>
      <c r="G97" s="49"/>
      <c r="H97" s="49"/>
      <c r="I97" s="49"/>
      <c r="J97" s="49"/>
      <c r="K97" s="49"/>
      <c r="L97" s="49"/>
      <c r="M97" s="49"/>
      <c r="N97" s="49"/>
      <c r="O97" s="49"/>
      <c r="P97" s="49"/>
      <c r="Q97" s="49"/>
      <c r="R97" s="49"/>
      <c r="S97" s="49"/>
      <c r="T97" s="49"/>
      <c r="U97" s="49"/>
      <c r="V97" s="49"/>
      <c r="W97" s="49"/>
      <c r="X97" s="49"/>
      <c r="Y97" s="49"/>
      <c r="Z97" s="49"/>
    </row>
    <row r="98">
      <c r="A98" s="49"/>
      <c r="B98" s="49"/>
      <c r="C98" s="49"/>
      <c r="D98" s="49"/>
      <c r="E98" s="49"/>
      <c r="F98" s="49"/>
      <c r="G98" s="49"/>
      <c r="H98" s="49"/>
      <c r="I98" s="49"/>
      <c r="J98" s="49"/>
      <c r="K98" s="49"/>
      <c r="L98" s="49"/>
      <c r="M98" s="49"/>
      <c r="N98" s="49"/>
      <c r="O98" s="49"/>
      <c r="P98" s="49"/>
      <c r="Q98" s="49"/>
      <c r="R98" s="49"/>
      <c r="S98" s="49"/>
      <c r="T98" s="49"/>
      <c r="U98" s="49"/>
      <c r="V98" s="49"/>
      <c r="W98" s="49"/>
      <c r="X98" s="49"/>
      <c r="Y98" s="49"/>
      <c r="Z98" s="49"/>
    </row>
    <row r="99">
      <c r="A99" s="49"/>
      <c r="B99" s="49"/>
      <c r="C99" s="49"/>
      <c r="D99" s="49"/>
      <c r="E99" s="49"/>
      <c r="F99" s="49"/>
      <c r="G99" s="49"/>
      <c r="H99" s="49"/>
      <c r="I99" s="49"/>
      <c r="J99" s="49"/>
      <c r="K99" s="49"/>
      <c r="L99" s="49"/>
      <c r="M99" s="49"/>
      <c r="N99" s="49"/>
      <c r="O99" s="49"/>
      <c r="P99" s="49"/>
      <c r="Q99" s="49"/>
      <c r="R99" s="49"/>
      <c r="S99" s="49"/>
      <c r="T99" s="49"/>
      <c r="U99" s="49"/>
      <c r="V99" s="49"/>
      <c r="W99" s="49"/>
      <c r="X99" s="49"/>
      <c r="Y99" s="49"/>
      <c r="Z99" s="49"/>
    </row>
    <row r="100">
      <c r="A100" s="49"/>
      <c r="B100" s="49"/>
      <c r="C100" s="49"/>
      <c r="D100" s="49"/>
      <c r="E100" s="49"/>
      <c r="F100" s="49"/>
      <c r="G100" s="49"/>
      <c r="H100" s="49"/>
      <c r="I100" s="49"/>
      <c r="J100" s="49"/>
      <c r="K100" s="49"/>
      <c r="L100" s="49"/>
      <c r="M100" s="49"/>
      <c r="N100" s="49"/>
      <c r="O100" s="49"/>
      <c r="P100" s="49"/>
      <c r="Q100" s="49"/>
      <c r="R100" s="49"/>
      <c r="S100" s="49"/>
      <c r="T100" s="49"/>
      <c r="U100" s="49"/>
      <c r="V100" s="49"/>
      <c r="W100" s="49"/>
      <c r="X100" s="49"/>
      <c r="Y100" s="49"/>
      <c r="Z100" s="49"/>
    </row>
    <row r="101">
      <c r="A101" s="49"/>
      <c r="B101" s="49"/>
      <c r="C101" s="49"/>
      <c r="D101" s="49"/>
      <c r="E101" s="49"/>
      <c r="F101" s="49"/>
      <c r="G101" s="49"/>
      <c r="H101" s="49"/>
      <c r="I101" s="49"/>
      <c r="J101" s="49"/>
      <c r="K101" s="49"/>
      <c r="L101" s="49"/>
      <c r="M101" s="49"/>
      <c r="N101" s="49"/>
      <c r="O101" s="49"/>
      <c r="P101" s="49"/>
      <c r="Q101" s="49"/>
      <c r="R101" s="49"/>
      <c r="S101" s="49"/>
      <c r="T101" s="49"/>
      <c r="U101" s="49"/>
      <c r="V101" s="49"/>
      <c r="W101" s="49"/>
      <c r="X101" s="49"/>
      <c r="Y101" s="49"/>
      <c r="Z101" s="49"/>
    </row>
    <row r="102">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9" t="str">
        <f>IFERROR(__xludf.DUMMYFUNCTION("IMPORTRANGE(""https://docs.google.com/spreadsheets/d/""&amp;Config!B4,""Cursed!A:AX"")"),"Character")</f>
        <v>Character</v>
      </c>
      <c r="B1" s="49" t="str">
        <f>IFERROR(__xludf.DUMMYFUNCTION("""COMPUTED_VALUE"""),"Curse")</f>
        <v>Curse</v>
      </c>
      <c r="C1" s="49" t="str">
        <f>IFERROR(__xludf.DUMMYFUNCTION("""COMPUTED_VALUE"""),"Date Afflicted")</f>
        <v>Date Afflicted</v>
      </c>
      <c r="D1" s="49"/>
      <c r="E1" s="49"/>
      <c r="F1" s="49"/>
      <c r="G1" s="49"/>
      <c r="H1" s="49"/>
      <c r="I1" s="49"/>
      <c r="J1" s="49"/>
      <c r="K1" s="49"/>
      <c r="L1" s="49"/>
      <c r="M1" s="49"/>
      <c r="N1" s="49"/>
      <c r="O1" s="49"/>
      <c r="P1" s="49"/>
      <c r="Q1" s="49"/>
      <c r="R1" s="49"/>
      <c r="S1" s="49"/>
      <c r="T1" s="49"/>
      <c r="U1" s="49"/>
      <c r="V1" s="49"/>
      <c r="W1" s="49"/>
      <c r="X1" s="49"/>
      <c r="Y1" s="49"/>
    </row>
    <row r="2">
      <c r="A2" s="49"/>
      <c r="B2" s="49"/>
      <c r="C2" s="49"/>
      <c r="D2" s="49"/>
      <c r="E2" s="49"/>
      <c r="F2" s="49"/>
      <c r="G2" s="49"/>
      <c r="H2" s="49"/>
      <c r="I2" s="49"/>
      <c r="J2" s="49"/>
      <c r="K2" s="49"/>
      <c r="L2" s="49"/>
      <c r="M2" s="49"/>
      <c r="N2" s="49"/>
      <c r="O2" s="49"/>
      <c r="P2" s="49"/>
      <c r="Q2" s="49"/>
      <c r="R2" s="49"/>
      <c r="S2" s="49"/>
      <c r="T2" s="49"/>
      <c r="U2" s="49"/>
      <c r="V2" s="49"/>
      <c r="W2" s="49"/>
      <c r="X2" s="49"/>
      <c r="Y2" s="49"/>
    </row>
    <row r="3">
      <c r="A3" s="49"/>
      <c r="B3" s="49"/>
      <c r="C3" s="49"/>
      <c r="D3" s="49"/>
      <c r="E3" s="49"/>
      <c r="F3" s="49"/>
      <c r="G3" s="49"/>
      <c r="H3" s="49"/>
      <c r="I3" s="49"/>
      <c r="J3" s="49"/>
      <c r="K3" s="49"/>
      <c r="L3" s="49"/>
      <c r="M3" s="49"/>
      <c r="N3" s="49"/>
      <c r="O3" s="49"/>
      <c r="P3" s="49"/>
      <c r="Q3" s="49"/>
      <c r="R3" s="49"/>
      <c r="S3" s="49"/>
      <c r="T3" s="49"/>
      <c r="U3" s="49"/>
      <c r="V3" s="49"/>
      <c r="W3" s="49"/>
      <c r="X3" s="49"/>
      <c r="Y3" s="49"/>
    </row>
    <row r="4">
      <c r="A4" s="49"/>
      <c r="B4" s="49"/>
      <c r="C4" s="49"/>
      <c r="D4" s="49"/>
      <c r="E4" s="49"/>
      <c r="F4" s="49"/>
      <c r="G4" s="49"/>
      <c r="H4" s="49"/>
      <c r="I4" s="49"/>
      <c r="J4" s="49"/>
      <c r="K4" s="49"/>
      <c r="L4" s="49"/>
      <c r="M4" s="49"/>
      <c r="N4" s="49"/>
      <c r="O4" s="49"/>
      <c r="P4" s="49"/>
      <c r="Q4" s="49"/>
      <c r="R4" s="49"/>
      <c r="S4" s="49"/>
      <c r="T4" s="49"/>
      <c r="U4" s="49"/>
      <c r="V4" s="49"/>
      <c r="W4" s="49"/>
      <c r="X4" s="49"/>
      <c r="Y4" s="49"/>
    </row>
    <row r="5">
      <c r="A5" s="49"/>
      <c r="B5" s="49"/>
      <c r="C5" s="49"/>
      <c r="D5" s="49"/>
      <c r="E5" s="49"/>
      <c r="F5" s="49"/>
      <c r="G5" s="49"/>
      <c r="H5" s="49"/>
      <c r="I5" s="49"/>
      <c r="J5" s="49"/>
      <c r="K5" s="49"/>
      <c r="L5" s="49"/>
      <c r="M5" s="49"/>
      <c r="N5" s="49"/>
      <c r="O5" s="49"/>
      <c r="P5" s="49"/>
      <c r="Q5" s="49"/>
      <c r="R5" s="49"/>
      <c r="S5" s="49"/>
      <c r="T5" s="49"/>
      <c r="U5" s="49"/>
      <c r="V5" s="49"/>
      <c r="W5" s="49"/>
      <c r="X5" s="49"/>
      <c r="Y5" s="49"/>
    </row>
    <row r="6">
      <c r="A6" s="49"/>
      <c r="B6" s="49"/>
      <c r="C6" s="49"/>
      <c r="D6" s="49"/>
      <c r="E6" s="49"/>
      <c r="F6" s="49"/>
      <c r="G6" s="49"/>
      <c r="H6" s="49"/>
      <c r="I6" s="49"/>
      <c r="J6" s="49"/>
      <c r="K6" s="49"/>
      <c r="L6" s="49"/>
      <c r="M6" s="49"/>
      <c r="N6" s="49"/>
      <c r="O6" s="49"/>
      <c r="P6" s="49"/>
      <c r="Q6" s="49"/>
      <c r="R6" s="49"/>
      <c r="S6" s="49"/>
      <c r="T6" s="49"/>
      <c r="U6" s="49"/>
      <c r="V6" s="49"/>
      <c r="W6" s="49"/>
      <c r="X6" s="49"/>
      <c r="Y6" s="49"/>
    </row>
    <row r="7">
      <c r="A7" s="49"/>
      <c r="B7" s="49"/>
      <c r="C7" s="49"/>
      <c r="D7" s="49"/>
      <c r="E7" s="49"/>
      <c r="F7" s="49"/>
      <c r="G7" s="49"/>
      <c r="H7" s="49"/>
      <c r="I7" s="49"/>
      <c r="J7" s="49"/>
      <c r="K7" s="49"/>
      <c r="L7" s="49"/>
      <c r="M7" s="49"/>
      <c r="N7" s="49"/>
      <c r="O7" s="49"/>
      <c r="P7" s="49"/>
      <c r="Q7" s="49"/>
      <c r="R7" s="49"/>
      <c r="S7" s="49"/>
      <c r="T7" s="49"/>
      <c r="U7" s="49"/>
      <c r="V7" s="49"/>
      <c r="W7" s="49"/>
      <c r="X7" s="49"/>
      <c r="Y7" s="49"/>
    </row>
    <row r="8">
      <c r="A8" s="49"/>
      <c r="B8" s="49"/>
      <c r="C8" s="49"/>
      <c r="D8" s="49"/>
      <c r="E8" s="49"/>
      <c r="F8" s="49"/>
      <c r="G8" s="49"/>
      <c r="H8" s="49"/>
      <c r="I8" s="49"/>
      <c r="J8" s="49"/>
      <c r="K8" s="49"/>
      <c r="L8" s="49"/>
      <c r="M8" s="49"/>
      <c r="N8" s="49"/>
      <c r="O8" s="49"/>
      <c r="P8" s="49"/>
      <c r="Q8" s="49"/>
      <c r="R8" s="49"/>
      <c r="S8" s="49"/>
      <c r="T8" s="49"/>
      <c r="U8" s="49"/>
      <c r="V8" s="49"/>
      <c r="W8" s="49"/>
      <c r="X8" s="49"/>
      <c r="Y8" s="49"/>
    </row>
    <row r="9">
      <c r="A9" s="49"/>
      <c r="B9" s="49"/>
      <c r="C9" s="49"/>
      <c r="D9" s="49"/>
      <c r="E9" s="49"/>
      <c r="F9" s="49"/>
      <c r="G9" s="49"/>
      <c r="H9" s="49"/>
      <c r="I9" s="49"/>
      <c r="J9" s="49"/>
      <c r="K9" s="49"/>
      <c r="L9" s="49"/>
      <c r="M9" s="49"/>
      <c r="N9" s="49"/>
      <c r="O9" s="49"/>
      <c r="P9" s="49"/>
      <c r="Q9" s="49"/>
      <c r="R9" s="49"/>
      <c r="S9" s="49"/>
      <c r="T9" s="49"/>
      <c r="U9" s="49"/>
      <c r="V9" s="49"/>
      <c r="W9" s="49"/>
      <c r="X9" s="49"/>
      <c r="Y9" s="49"/>
    </row>
    <row r="10">
      <c r="A10" s="49"/>
      <c r="B10" s="49"/>
      <c r="C10" s="49"/>
      <c r="D10" s="49"/>
      <c r="E10" s="49"/>
      <c r="F10" s="49"/>
      <c r="G10" s="49"/>
      <c r="H10" s="49"/>
      <c r="I10" s="49"/>
      <c r="J10" s="49"/>
      <c r="K10" s="49"/>
      <c r="L10" s="49"/>
      <c r="M10" s="49"/>
      <c r="N10" s="49"/>
      <c r="O10" s="49"/>
      <c r="P10" s="49"/>
      <c r="Q10" s="49"/>
      <c r="R10" s="49"/>
      <c r="S10" s="49"/>
      <c r="T10" s="49"/>
      <c r="U10" s="49"/>
      <c r="V10" s="49"/>
      <c r="W10" s="49"/>
      <c r="X10" s="49"/>
      <c r="Y10" s="49"/>
    </row>
    <row r="11">
      <c r="A11" s="49"/>
      <c r="B11" s="49"/>
      <c r="C11" s="49"/>
      <c r="D11" s="49"/>
      <c r="E11" s="49"/>
      <c r="F11" s="49"/>
      <c r="G11" s="49"/>
      <c r="H11" s="49"/>
      <c r="I11" s="49"/>
      <c r="J11" s="49"/>
      <c r="K11" s="49"/>
      <c r="L11" s="49"/>
      <c r="M11" s="49"/>
      <c r="N11" s="49"/>
      <c r="O11" s="49"/>
      <c r="P11" s="49"/>
      <c r="Q11" s="49"/>
      <c r="R11" s="49"/>
      <c r="S11" s="49"/>
      <c r="T11" s="49"/>
      <c r="U11" s="49"/>
      <c r="V11" s="49"/>
      <c r="W11" s="49"/>
      <c r="X11" s="49"/>
      <c r="Y11" s="49"/>
    </row>
    <row r="12">
      <c r="A12" s="49"/>
      <c r="B12" s="49"/>
      <c r="C12" s="49"/>
      <c r="D12" s="49"/>
      <c r="E12" s="49"/>
      <c r="F12" s="49"/>
      <c r="G12" s="49"/>
      <c r="H12" s="49"/>
      <c r="I12" s="49"/>
      <c r="J12" s="49"/>
      <c r="K12" s="49"/>
      <c r="L12" s="49"/>
      <c r="M12" s="49"/>
      <c r="N12" s="49"/>
      <c r="O12" s="49"/>
      <c r="P12" s="49"/>
      <c r="Q12" s="49"/>
      <c r="R12" s="49"/>
      <c r="S12" s="49"/>
      <c r="T12" s="49"/>
      <c r="U12" s="49"/>
      <c r="V12" s="49"/>
      <c r="W12" s="49"/>
      <c r="X12" s="49"/>
      <c r="Y12" s="49"/>
    </row>
    <row r="13">
      <c r="A13" s="49"/>
      <c r="B13" s="49"/>
      <c r="C13" s="49"/>
      <c r="D13" s="49"/>
      <c r="E13" s="49"/>
      <c r="F13" s="49"/>
      <c r="G13" s="49"/>
      <c r="H13" s="49"/>
      <c r="I13" s="49"/>
      <c r="J13" s="49"/>
      <c r="K13" s="49"/>
      <c r="L13" s="49"/>
      <c r="M13" s="49"/>
      <c r="N13" s="49"/>
      <c r="O13" s="49"/>
      <c r="P13" s="49"/>
      <c r="Q13" s="49"/>
      <c r="R13" s="49"/>
      <c r="S13" s="49"/>
      <c r="T13" s="49"/>
      <c r="U13" s="49"/>
      <c r="V13" s="49"/>
      <c r="W13" s="49"/>
      <c r="X13" s="49"/>
      <c r="Y13" s="49"/>
    </row>
    <row r="14">
      <c r="A14" s="49"/>
      <c r="B14" s="49"/>
      <c r="C14" s="49"/>
      <c r="D14" s="49"/>
      <c r="E14" s="49"/>
      <c r="F14" s="49"/>
      <c r="G14" s="49"/>
      <c r="H14" s="49"/>
      <c r="I14" s="49"/>
      <c r="J14" s="49"/>
      <c r="K14" s="49"/>
      <c r="L14" s="49"/>
      <c r="M14" s="49"/>
      <c r="N14" s="49"/>
      <c r="O14" s="49"/>
      <c r="P14" s="49"/>
      <c r="Q14" s="49"/>
      <c r="R14" s="49"/>
      <c r="S14" s="49"/>
      <c r="T14" s="49"/>
      <c r="U14" s="49"/>
      <c r="V14" s="49"/>
      <c r="W14" s="49"/>
      <c r="X14" s="49"/>
      <c r="Y14" s="49"/>
    </row>
    <row r="15">
      <c r="A15" s="49"/>
      <c r="B15" s="49"/>
      <c r="C15" s="49"/>
      <c r="D15" s="49"/>
      <c r="E15" s="49"/>
      <c r="F15" s="49"/>
      <c r="G15" s="49"/>
      <c r="H15" s="49"/>
      <c r="I15" s="49"/>
      <c r="J15" s="49"/>
      <c r="K15" s="49"/>
      <c r="L15" s="49"/>
      <c r="M15" s="49"/>
      <c r="N15" s="49"/>
      <c r="O15" s="49"/>
      <c r="P15" s="49"/>
      <c r="Q15" s="49"/>
      <c r="R15" s="49"/>
      <c r="S15" s="49"/>
      <c r="T15" s="49"/>
      <c r="U15" s="49"/>
      <c r="V15" s="49"/>
      <c r="W15" s="49"/>
      <c r="X15" s="49"/>
      <c r="Y15" s="49"/>
    </row>
    <row r="16">
      <c r="A16" s="49"/>
      <c r="B16" s="49"/>
      <c r="C16" s="49"/>
      <c r="D16" s="49"/>
      <c r="E16" s="49"/>
      <c r="F16" s="49"/>
      <c r="G16" s="49"/>
      <c r="H16" s="49"/>
      <c r="I16" s="49"/>
      <c r="J16" s="49"/>
      <c r="K16" s="49"/>
      <c r="L16" s="49"/>
      <c r="M16" s="49"/>
      <c r="N16" s="49"/>
      <c r="O16" s="49"/>
      <c r="P16" s="49"/>
      <c r="Q16" s="49"/>
      <c r="R16" s="49"/>
      <c r="S16" s="49"/>
      <c r="T16" s="49"/>
      <c r="U16" s="49"/>
      <c r="V16" s="49"/>
      <c r="W16" s="49"/>
      <c r="X16" s="49"/>
      <c r="Y16" s="49"/>
    </row>
    <row r="17">
      <c r="A17" s="49"/>
      <c r="B17" s="49"/>
      <c r="C17" s="49"/>
      <c r="D17" s="49"/>
      <c r="E17" s="49"/>
      <c r="F17" s="49"/>
      <c r="G17" s="49"/>
      <c r="H17" s="49"/>
      <c r="I17" s="49"/>
      <c r="J17" s="49"/>
      <c r="K17" s="49"/>
      <c r="L17" s="49"/>
      <c r="M17" s="49"/>
      <c r="N17" s="49"/>
      <c r="O17" s="49"/>
      <c r="P17" s="49"/>
      <c r="Q17" s="49"/>
      <c r="R17" s="49"/>
      <c r="S17" s="49"/>
      <c r="T17" s="49"/>
      <c r="U17" s="49"/>
      <c r="V17" s="49"/>
      <c r="W17" s="49"/>
      <c r="X17" s="49"/>
      <c r="Y17" s="49"/>
    </row>
    <row r="18">
      <c r="A18" s="49"/>
      <c r="B18" s="49"/>
      <c r="C18" s="49"/>
      <c r="D18" s="49"/>
      <c r="E18" s="49"/>
      <c r="F18" s="49"/>
      <c r="G18" s="49"/>
      <c r="H18" s="49"/>
      <c r="I18" s="49"/>
      <c r="J18" s="49"/>
      <c r="K18" s="49"/>
      <c r="L18" s="49"/>
      <c r="M18" s="49"/>
      <c r="N18" s="49"/>
      <c r="O18" s="49"/>
      <c r="P18" s="49"/>
      <c r="Q18" s="49"/>
      <c r="R18" s="49"/>
      <c r="S18" s="49"/>
      <c r="T18" s="49"/>
      <c r="U18" s="49"/>
      <c r="V18" s="49"/>
      <c r="W18" s="49"/>
      <c r="X18" s="49"/>
      <c r="Y18" s="49"/>
    </row>
    <row r="19">
      <c r="A19" s="49"/>
      <c r="B19" s="49"/>
      <c r="C19" s="49"/>
      <c r="D19" s="49"/>
      <c r="E19" s="49"/>
      <c r="F19" s="49"/>
      <c r="G19" s="49"/>
      <c r="H19" s="49"/>
      <c r="I19" s="49"/>
      <c r="J19" s="49"/>
      <c r="K19" s="49"/>
      <c r="L19" s="49"/>
      <c r="M19" s="49"/>
      <c r="N19" s="49"/>
      <c r="O19" s="49"/>
      <c r="P19" s="49"/>
      <c r="Q19" s="49"/>
      <c r="R19" s="49"/>
      <c r="S19" s="49"/>
      <c r="T19" s="49"/>
      <c r="U19" s="49"/>
      <c r="V19" s="49"/>
      <c r="W19" s="49"/>
      <c r="X19" s="49"/>
      <c r="Y19" s="49"/>
    </row>
    <row r="20">
      <c r="A20" s="49"/>
      <c r="B20" s="49"/>
      <c r="C20" s="49"/>
      <c r="D20" s="49"/>
      <c r="E20" s="49"/>
      <c r="F20" s="49"/>
      <c r="G20" s="49"/>
      <c r="H20" s="49"/>
      <c r="I20" s="49"/>
      <c r="J20" s="49"/>
      <c r="K20" s="49"/>
      <c r="L20" s="49"/>
      <c r="M20" s="49"/>
      <c r="N20" s="49"/>
      <c r="O20" s="49"/>
      <c r="P20" s="49"/>
      <c r="Q20" s="49"/>
      <c r="R20" s="49"/>
      <c r="S20" s="49"/>
      <c r="T20" s="49"/>
      <c r="U20" s="49"/>
      <c r="V20" s="49"/>
      <c r="W20" s="49"/>
      <c r="X20" s="49"/>
      <c r="Y20" s="49"/>
    </row>
    <row r="21">
      <c r="A21" s="49"/>
      <c r="B21" s="49"/>
      <c r="C21" s="49"/>
      <c r="D21" s="49"/>
      <c r="E21" s="49"/>
      <c r="F21" s="49"/>
      <c r="G21" s="49"/>
      <c r="H21" s="49"/>
      <c r="I21" s="49"/>
      <c r="J21" s="49"/>
      <c r="K21" s="49"/>
      <c r="L21" s="49"/>
      <c r="M21" s="49"/>
      <c r="N21" s="49"/>
      <c r="O21" s="49"/>
      <c r="P21" s="49"/>
      <c r="Q21" s="49"/>
      <c r="R21" s="49"/>
      <c r="S21" s="49"/>
      <c r="T21" s="49"/>
      <c r="U21" s="49"/>
      <c r="V21" s="49"/>
      <c r="W21" s="49"/>
      <c r="X21" s="49"/>
      <c r="Y21" s="49"/>
    </row>
    <row r="22">
      <c r="A22" s="49"/>
      <c r="B22" s="49"/>
      <c r="C22" s="49"/>
      <c r="D22" s="49"/>
      <c r="E22" s="49"/>
      <c r="F22" s="49"/>
      <c r="G22" s="49"/>
      <c r="H22" s="49"/>
      <c r="I22" s="49"/>
      <c r="J22" s="49"/>
      <c r="K22" s="49"/>
      <c r="L22" s="49"/>
      <c r="M22" s="49"/>
      <c r="N22" s="49"/>
      <c r="O22" s="49"/>
      <c r="P22" s="49"/>
      <c r="Q22" s="49"/>
      <c r="R22" s="49"/>
      <c r="S22" s="49"/>
      <c r="T22" s="49"/>
      <c r="U22" s="49"/>
      <c r="V22" s="49"/>
      <c r="W22" s="49"/>
      <c r="X22" s="49"/>
      <c r="Y22" s="49"/>
    </row>
    <row r="23">
      <c r="A23" s="49"/>
      <c r="B23" s="49"/>
      <c r="C23" s="49"/>
      <c r="D23" s="49"/>
      <c r="E23" s="49"/>
      <c r="F23" s="49"/>
      <c r="G23" s="49"/>
      <c r="H23" s="49"/>
      <c r="I23" s="49"/>
      <c r="J23" s="49"/>
      <c r="K23" s="49"/>
      <c r="L23" s="49"/>
      <c r="M23" s="49"/>
      <c r="N23" s="49"/>
      <c r="O23" s="49"/>
      <c r="P23" s="49"/>
      <c r="Q23" s="49"/>
      <c r="R23" s="49"/>
      <c r="S23" s="49"/>
      <c r="T23" s="49"/>
      <c r="U23" s="49"/>
      <c r="V23" s="49"/>
      <c r="W23" s="49"/>
      <c r="X23" s="49"/>
      <c r="Y23" s="49"/>
    </row>
    <row r="24">
      <c r="A24" s="49"/>
      <c r="B24" s="49"/>
      <c r="C24" s="49"/>
      <c r="D24" s="49"/>
      <c r="E24" s="49"/>
      <c r="F24" s="49"/>
      <c r="G24" s="49"/>
      <c r="H24" s="49"/>
      <c r="I24" s="49"/>
      <c r="J24" s="49"/>
      <c r="K24" s="49"/>
      <c r="L24" s="49"/>
      <c r="M24" s="49"/>
      <c r="N24" s="49"/>
      <c r="O24" s="49"/>
      <c r="P24" s="49"/>
      <c r="Q24" s="49"/>
      <c r="R24" s="49"/>
      <c r="S24" s="49"/>
      <c r="T24" s="49"/>
      <c r="U24" s="49"/>
      <c r="V24" s="49"/>
      <c r="W24" s="49"/>
      <c r="X24" s="49"/>
      <c r="Y24" s="49"/>
    </row>
    <row r="25">
      <c r="A25" s="49"/>
      <c r="B25" s="49"/>
      <c r="C25" s="49"/>
      <c r="D25" s="49"/>
      <c r="E25" s="49"/>
      <c r="F25" s="49"/>
      <c r="G25" s="49"/>
      <c r="H25" s="49"/>
      <c r="I25" s="49"/>
      <c r="J25" s="49"/>
      <c r="K25" s="49"/>
      <c r="L25" s="49"/>
      <c r="M25" s="49"/>
      <c r="N25" s="49"/>
      <c r="O25" s="49"/>
      <c r="P25" s="49"/>
      <c r="Q25" s="49"/>
      <c r="R25" s="49"/>
      <c r="S25" s="49"/>
      <c r="T25" s="49"/>
      <c r="U25" s="49"/>
      <c r="V25" s="49"/>
      <c r="W25" s="49"/>
      <c r="X25" s="49"/>
      <c r="Y25" s="49"/>
    </row>
    <row r="26">
      <c r="A26" s="49"/>
      <c r="B26" s="49"/>
      <c r="C26" s="49"/>
      <c r="D26" s="49"/>
      <c r="E26" s="49"/>
      <c r="F26" s="49"/>
      <c r="G26" s="49"/>
      <c r="H26" s="49"/>
      <c r="I26" s="49"/>
      <c r="J26" s="49"/>
      <c r="K26" s="49"/>
      <c r="L26" s="49"/>
      <c r="M26" s="49"/>
      <c r="N26" s="49"/>
      <c r="O26" s="49"/>
      <c r="P26" s="49"/>
      <c r="Q26" s="49"/>
      <c r="R26" s="49"/>
      <c r="S26" s="49"/>
      <c r="T26" s="49"/>
      <c r="U26" s="49"/>
      <c r="V26" s="49"/>
      <c r="W26" s="49"/>
      <c r="X26" s="49"/>
      <c r="Y26" s="49"/>
    </row>
    <row r="27">
      <c r="A27" s="49"/>
      <c r="B27" s="49"/>
      <c r="C27" s="49"/>
      <c r="D27" s="49"/>
      <c r="E27" s="49"/>
      <c r="F27" s="49"/>
      <c r="G27" s="49"/>
      <c r="H27" s="49"/>
      <c r="I27" s="49"/>
      <c r="J27" s="49"/>
      <c r="K27" s="49"/>
      <c r="L27" s="49"/>
      <c r="M27" s="49"/>
      <c r="N27" s="49"/>
      <c r="O27" s="49"/>
      <c r="P27" s="49"/>
      <c r="Q27" s="49"/>
      <c r="R27" s="49"/>
      <c r="S27" s="49"/>
      <c r="T27" s="49"/>
      <c r="U27" s="49"/>
      <c r="V27" s="49"/>
      <c r="W27" s="49"/>
      <c r="X27" s="49"/>
      <c r="Y27" s="49"/>
    </row>
    <row r="28">
      <c r="A28" s="49"/>
      <c r="B28" s="49"/>
      <c r="C28" s="49"/>
      <c r="D28" s="49"/>
      <c r="E28" s="49"/>
      <c r="F28" s="49"/>
      <c r="G28" s="49"/>
      <c r="H28" s="49"/>
      <c r="I28" s="49"/>
      <c r="J28" s="49"/>
      <c r="K28" s="49"/>
      <c r="L28" s="49"/>
      <c r="M28" s="49"/>
      <c r="N28" s="49"/>
      <c r="O28" s="49"/>
      <c r="P28" s="49"/>
      <c r="Q28" s="49"/>
      <c r="R28" s="49"/>
      <c r="S28" s="49"/>
      <c r="T28" s="49"/>
      <c r="U28" s="49"/>
      <c r="V28" s="49"/>
      <c r="W28" s="49"/>
      <c r="X28" s="49"/>
      <c r="Y28" s="49"/>
    </row>
    <row r="29">
      <c r="A29" s="49"/>
      <c r="B29" s="49"/>
      <c r="C29" s="49"/>
      <c r="D29" s="49"/>
      <c r="E29" s="49"/>
      <c r="F29" s="49"/>
      <c r="G29" s="49"/>
      <c r="H29" s="49"/>
      <c r="I29" s="49"/>
      <c r="J29" s="49"/>
      <c r="K29" s="49"/>
      <c r="L29" s="49"/>
      <c r="M29" s="49"/>
      <c r="N29" s="49"/>
      <c r="O29" s="49"/>
      <c r="P29" s="49"/>
      <c r="Q29" s="49"/>
      <c r="R29" s="49"/>
      <c r="S29" s="49"/>
      <c r="T29" s="49"/>
      <c r="U29" s="49"/>
      <c r="V29" s="49"/>
      <c r="W29" s="49"/>
      <c r="X29" s="49"/>
      <c r="Y29" s="49"/>
    </row>
    <row r="30">
      <c r="A30" s="49"/>
      <c r="B30" s="49"/>
      <c r="C30" s="49"/>
      <c r="D30" s="49"/>
      <c r="E30" s="49"/>
      <c r="F30" s="49"/>
      <c r="G30" s="49"/>
      <c r="H30" s="49"/>
      <c r="I30" s="49"/>
      <c r="J30" s="49"/>
      <c r="K30" s="49"/>
      <c r="L30" s="49"/>
      <c r="M30" s="49"/>
      <c r="N30" s="49"/>
      <c r="O30" s="49"/>
      <c r="P30" s="49"/>
      <c r="Q30" s="49"/>
      <c r="R30" s="49"/>
      <c r="S30" s="49"/>
      <c r="T30" s="49"/>
      <c r="U30" s="49"/>
      <c r="V30" s="49"/>
      <c r="W30" s="49"/>
      <c r="X30" s="49"/>
      <c r="Y30" s="49"/>
    </row>
    <row r="31">
      <c r="A31" s="49"/>
      <c r="B31" s="49"/>
      <c r="C31" s="49"/>
      <c r="D31" s="49"/>
      <c r="E31" s="49"/>
      <c r="F31" s="49"/>
      <c r="G31" s="49"/>
      <c r="H31" s="49"/>
      <c r="I31" s="49"/>
      <c r="J31" s="49"/>
      <c r="K31" s="49"/>
      <c r="L31" s="49"/>
      <c r="M31" s="49"/>
      <c r="N31" s="49"/>
      <c r="O31" s="49"/>
      <c r="P31" s="49"/>
      <c r="Q31" s="49"/>
      <c r="R31" s="49"/>
      <c r="S31" s="49"/>
      <c r="T31" s="49"/>
      <c r="U31" s="49"/>
      <c r="V31" s="49"/>
      <c r="W31" s="49"/>
      <c r="X31" s="49"/>
      <c r="Y31" s="49"/>
    </row>
    <row r="32">
      <c r="A32" s="49"/>
      <c r="B32" s="49"/>
      <c r="C32" s="49"/>
      <c r="D32" s="49"/>
      <c r="E32" s="49"/>
      <c r="F32" s="49"/>
      <c r="G32" s="49"/>
      <c r="H32" s="49"/>
      <c r="I32" s="49"/>
      <c r="J32" s="49"/>
      <c r="K32" s="49"/>
      <c r="L32" s="49"/>
      <c r="M32" s="49"/>
      <c r="N32" s="49"/>
      <c r="O32" s="49"/>
      <c r="P32" s="49"/>
      <c r="Q32" s="49"/>
      <c r="R32" s="49"/>
      <c r="S32" s="49"/>
      <c r="T32" s="49"/>
      <c r="U32" s="49"/>
      <c r="V32" s="49"/>
      <c r="W32" s="49"/>
      <c r="X32" s="49"/>
      <c r="Y32" s="49"/>
    </row>
    <row r="33">
      <c r="A33" s="49"/>
      <c r="B33" s="49"/>
      <c r="C33" s="49"/>
      <c r="D33" s="49"/>
      <c r="E33" s="49"/>
      <c r="F33" s="49"/>
      <c r="G33" s="49"/>
      <c r="H33" s="49"/>
      <c r="I33" s="49"/>
      <c r="J33" s="49"/>
      <c r="K33" s="49"/>
      <c r="L33" s="49"/>
      <c r="M33" s="49"/>
      <c r="N33" s="49"/>
      <c r="O33" s="49"/>
      <c r="P33" s="49"/>
      <c r="Q33" s="49"/>
      <c r="R33" s="49"/>
      <c r="S33" s="49"/>
      <c r="T33" s="49"/>
      <c r="U33" s="49"/>
      <c r="V33" s="49"/>
      <c r="W33" s="49"/>
      <c r="X33" s="49"/>
      <c r="Y33" s="49"/>
    </row>
    <row r="34">
      <c r="A34" s="49"/>
      <c r="B34" s="49"/>
      <c r="C34" s="49"/>
      <c r="D34" s="49"/>
      <c r="E34" s="49"/>
      <c r="F34" s="49"/>
      <c r="G34" s="49"/>
      <c r="H34" s="49"/>
      <c r="I34" s="49"/>
      <c r="J34" s="49"/>
      <c r="K34" s="49"/>
      <c r="L34" s="49"/>
      <c r="M34" s="49"/>
      <c r="N34" s="49"/>
      <c r="O34" s="49"/>
      <c r="P34" s="49"/>
      <c r="Q34" s="49"/>
      <c r="R34" s="49"/>
      <c r="S34" s="49"/>
      <c r="T34" s="49"/>
      <c r="U34" s="49"/>
      <c r="V34" s="49"/>
      <c r="W34" s="49"/>
      <c r="X34" s="49"/>
      <c r="Y34" s="49"/>
    </row>
    <row r="35">
      <c r="A35" s="49"/>
      <c r="B35" s="49"/>
      <c r="C35" s="49"/>
      <c r="D35" s="49"/>
      <c r="E35" s="49"/>
      <c r="F35" s="49"/>
      <c r="G35" s="49"/>
      <c r="H35" s="49"/>
      <c r="I35" s="49"/>
      <c r="J35" s="49"/>
      <c r="K35" s="49"/>
      <c r="L35" s="49"/>
      <c r="M35" s="49"/>
      <c r="N35" s="49"/>
      <c r="O35" s="49"/>
      <c r="P35" s="49"/>
      <c r="Q35" s="49"/>
      <c r="R35" s="49"/>
      <c r="S35" s="49"/>
      <c r="T35" s="49"/>
      <c r="U35" s="49"/>
      <c r="V35" s="49"/>
      <c r="W35" s="49"/>
      <c r="X35" s="49"/>
      <c r="Y35" s="49"/>
    </row>
    <row r="36">
      <c r="A36" s="49"/>
      <c r="B36" s="49"/>
      <c r="C36" s="49"/>
      <c r="D36" s="49"/>
      <c r="E36" s="49"/>
      <c r="F36" s="49"/>
      <c r="G36" s="49"/>
      <c r="H36" s="49"/>
      <c r="I36" s="49"/>
      <c r="J36" s="49"/>
      <c r="K36" s="49"/>
      <c r="L36" s="49"/>
      <c r="M36" s="49"/>
      <c r="N36" s="49"/>
      <c r="O36" s="49"/>
      <c r="P36" s="49"/>
      <c r="Q36" s="49"/>
      <c r="R36" s="49"/>
      <c r="S36" s="49"/>
      <c r="T36" s="49"/>
      <c r="U36" s="49"/>
      <c r="V36" s="49"/>
      <c r="W36" s="49"/>
      <c r="X36" s="49"/>
      <c r="Y36" s="49"/>
    </row>
    <row r="37">
      <c r="A37" s="49"/>
      <c r="B37" s="49"/>
      <c r="C37" s="49"/>
      <c r="D37" s="49"/>
      <c r="E37" s="49"/>
      <c r="F37" s="49"/>
      <c r="G37" s="49"/>
      <c r="H37" s="49"/>
      <c r="I37" s="49"/>
      <c r="J37" s="49"/>
      <c r="K37" s="49"/>
      <c r="L37" s="49"/>
      <c r="M37" s="49"/>
      <c r="N37" s="49"/>
      <c r="O37" s="49"/>
      <c r="P37" s="49"/>
      <c r="Q37" s="49"/>
      <c r="R37" s="49"/>
      <c r="S37" s="49"/>
      <c r="T37" s="49"/>
      <c r="U37" s="49"/>
      <c r="V37" s="49"/>
      <c r="W37" s="49"/>
      <c r="X37" s="49"/>
      <c r="Y37" s="49"/>
    </row>
    <row r="38">
      <c r="A38" s="49"/>
      <c r="B38" s="49"/>
      <c r="C38" s="49"/>
      <c r="D38" s="49"/>
      <c r="E38" s="49"/>
      <c r="F38" s="49"/>
      <c r="G38" s="49"/>
      <c r="H38" s="49"/>
      <c r="I38" s="49"/>
      <c r="J38" s="49"/>
      <c r="K38" s="49"/>
      <c r="L38" s="49"/>
      <c r="M38" s="49"/>
      <c r="N38" s="49"/>
      <c r="O38" s="49"/>
      <c r="P38" s="49"/>
      <c r="Q38" s="49"/>
      <c r="R38" s="49"/>
      <c r="S38" s="49"/>
      <c r="T38" s="49"/>
      <c r="U38" s="49"/>
      <c r="V38" s="49"/>
      <c r="W38" s="49"/>
      <c r="X38" s="49"/>
      <c r="Y38" s="49"/>
    </row>
    <row r="39">
      <c r="A39" s="49"/>
      <c r="B39" s="49"/>
      <c r="C39" s="49"/>
      <c r="D39" s="49"/>
      <c r="E39" s="49"/>
      <c r="F39" s="49"/>
      <c r="G39" s="49"/>
      <c r="H39" s="49"/>
      <c r="I39" s="49"/>
      <c r="J39" s="49"/>
      <c r="K39" s="49"/>
      <c r="L39" s="49"/>
      <c r="M39" s="49"/>
      <c r="N39" s="49"/>
      <c r="O39" s="49"/>
      <c r="P39" s="49"/>
      <c r="Q39" s="49"/>
      <c r="R39" s="49"/>
      <c r="S39" s="49"/>
      <c r="T39" s="49"/>
      <c r="U39" s="49"/>
      <c r="V39" s="49"/>
      <c r="W39" s="49"/>
      <c r="X39" s="49"/>
      <c r="Y39" s="49"/>
    </row>
    <row r="40">
      <c r="A40" s="49"/>
      <c r="B40" s="49"/>
      <c r="C40" s="49"/>
      <c r="D40" s="49"/>
      <c r="E40" s="49"/>
      <c r="F40" s="49"/>
      <c r="G40" s="49"/>
      <c r="H40" s="49"/>
      <c r="I40" s="49"/>
      <c r="J40" s="49"/>
      <c r="K40" s="49"/>
      <c r="L40" s="49"/>
      <c r="M40" s="49"/>
      <c r="N40" s="49"/>
      <c r="O40" s="49"/>
      <c r="P40" s="49"/>
      <c r="Q40" s="49"/>
      <c r="R40" s="49"/>
      <c r="S40" s="49"/>
      <c r="T40" s="49"/>
      <c r="U40" s="49"/>
      <c r="V40" s="49"/>
      <c r="W40" s="49"/>
      <c r="X40" s="49"/>
      <c r="Y40" s="49"/>
    </row>
    <row r="41">
      <c r="A41" s="49"/>
      <c r="B41" s="49"/>
      <c r="C41" s="49"/>
      <c r="D41" s="49"/>
      <c r="E41" s="49"/>
      <c r="F41" s="49"/>
      <c r="G41" s="49"/>
      <c r="H41" s="49"/>
      <c r="I41" s="49"/>
      <c r="J41" s="49"/>
      <c r="K41" s="49"/>
      <c r="L41" s="49"/>
      <c r="M41" s="49"/>
      <c r="N41" s="49"/>
      <c r="O41" s="49"/>
      <c r="P41" s="49"/>
      <c r="Q41" s="49"/>
      <c r="R41" s="49"/>
      <c r="S41" s="49"/>
      <c r="T41" s="49"/>
      <c r="U41" s="49"/>
      <c r="V41" s="49"/>
      <c r="W41" s="49"/>
      <c r="X41" s="49"/>
      <c r="Y41" s="49"/>
    </row>
    <row r="42">
      <c r="A42" s="49"/>
      <c r="B42" s="49"/>
      <c r="C42" s="49"/>
      <c r="D42" s="49"/>
      <c r="E42" s="49"/>
      <c r="F42" s="49"/>
      <c r="G42" s="49"/>
      <c r="H42" s="49"/>
      <c r="I42" s="49"/>
      <c r="J42" s="49"/>
      <c r="K42" s="49"/>
      <c r="L42" s="49"/>
      <c r="M42" s="49"/>
      <c r="N42" s="49"/>
      <c r="O42" s="49"/>
      <c r="P42" s="49"/>
      <c r="Q42" s="49"/>
      <c r="R42" s="49"/>
      <c r="S42" s="49"/>
      <c r="T42" s="49"/>
      <c r="U42" s="49"/>
      <c r="V42" s="49"/>
      <c r="W42" s="49"/>
      <c r="X42" s="49"/>
      <c r="Y42" s="49"/>
    </row>
    <row r="43">
      <c r="A43" s="49"/>
      <c r="B43" s="49"/>
      <c r="C43" s="49"/>
      <c r="D43" s="49"/>
      <c r="E43" s="49"/>
      <c r="F43" s="49"/>
      <c r="G43" s="49"/>
      <c r="H43" s="49"/>
      <c r="I43" s="49"/>
      <c r="J43" s="49"/>
      <c r="K43" s="49"/>
      <c r="L43" s="49"/>
      <c r="M43" s="49"/>
      <c r="N43" s="49"/>
      <c r="O43" s="49"/>
      <c r="P43" s="49"/>
      <c r="Q43" s="49"/>
      <c r="R43" s="49"/>
      <c r="S43" s="49"/>
      <c r="T43" s="49"/>
      <c r="U43" s="49"/>
      <c r="V43" s="49"/>
      <c r="W43" s="49"/>
      <c r="X43" s="49"/>
      <c r="Y43" s="49"/>
    </row>
    <row r="44">
      <c r="A44" s="49"/>
      <c r="B44" s="49"/>
      <c r="C44" s="49"/>
      <c r="D44" s="49"/>
      <c r="E44" s="49"/>
      <c r="F44" s="49"/>
      <c r="G44" s="49"/>
      <c r="H44" s="49"/>
      <c r="I44" s="49"/>
      <c r="J44" s="49"/>
      <c r="K44" s="49"/>
      <c r="L44" s="49"/>
      <c r="M44" s="49"/>
      <c r="N44" s="49"/>
      <c r="O44" s="49"/>
      <c r="P44" s="49"/>
      <c r="Q44" s="49"/>
      <c r="R44" s="49"/>
      <c r="S44" s="49"/>
      <c r="T44" s="49"/>
      <c r="U44" s="49"/>
      <c r="V44" s="49"/>
      <c r="W44" s="49"/>
      <c r="X44" s="49"/>
      <c r="Y44" s="49"/>
    </row>
    <row r="45">
      <c r="A45" s="49"/>
      <c r="B45" s="49"/>
      <c r="C45" s="49"/>
      <c r="D45" s="49"/>
      <c r="E45" s="49"/>
      <c r="F45" s="49"/>
      <c r="G45" s="49"/>
      <c r="H45" s="49"/>
      <c r="I45" s="49"/>
      <c r="J45" s="49"/>
      <c r="K45" s="49"/>
      <c r="L45" s="49"/>
      <c r="M45" s="49"/>
      <c r="N45" s="49"/>
      <c r="O45" s="49"/>
      <c r="P45" s="49"/>
      <c r="Q45" s="49"/>
      <c r="R45" s="49"/>
      <c r="S45" s="49"/>
      <c r="T45" s="49"/>
      <c r="U45" s="49"/>
      <c r="V45" s="49"/>
      <c r="W45" s="49"/>
      <c r="X45" s="49"/>
      <c r="Y45" s="49"/>
    </row>
    <row r="46">
      <c r="A46" s="49"/>
      <c r="B46" s="49"/>
      <c r="C46" s="49"/>
      <c r="D46" s="49"/>
      <c r="E46" s="49"/>
      <c r="F46" s="49"/>
      <c r="G46" s="49"/>
      <c r="H46" s="49"/>
      <c r="I46" s="49"/>
      <c r="J46" s="49"/>
      <c r="K46" s="49"/>
      <c r="L46" s="49"/>
      <c r="M46" s="49"/>
      <c r="N46" s="49"/>
      <c r="O46" s="49"/>
      <c r="P46" s="49"/>
      <c r="Q46" s="49"/>
      <c r="R46" s="49"/>
      <c r="S46" s="49"/>
      <c r="T46" s="49"/>
      <c r="U46" s="49"/>
      <c r="V46" s="49"/>
      <c r="W46" s="49"/>
      <c r="X46" s="49"/>
      <c r="Y46" s="49"/>
    </row>
    <row r="47">
      <c r="A47" s="49"/>
      <c r="B47" s="49"/>
      <c r="C47" s="49"/>
      <c r="D47" s="49"/>
      <c r="E47" s="49"/>
      <c r="F47" s="49"/>
      <c r="G47" s="49"/>
      <c r="H47" s="49"/>
      <c r="I47" s="49"/>
      <c r="J47" s="49"/>
      <c r="K47" s="49"/>
      <c r="L47" s="49"/>
      <c r="M47" s="49"/>
      <c r="N47" s="49"/>
      <c r="O47" s="49"/>
      <c r="P47" s="49"/>
      <c r="Q47" s="49"/>
      <c r="R47" s="49"/>
      <c r="S47" s="49"/>
      <c r="T47" s="49"/>
      <c r="U47" s="49"/>
      <c r="V47" s="49"/>
      <c r="W47" s="49"/>
      <c r="X47" s="49"/>
      <c r="Y47" s="49"/>
    </row>
    <row r="48">
      <c r="A48" s="49"/>
      <c r="B48" s="49"/>
      <c r="C48" s="49"/>
      <c r="D48" s="49"/>
      <c r="E48" s="49"/>
      <c r="F48" s="49"/>
      <c r="G48" s="49"/>
      <c r="H48" s="49"/>
      <c r="I48" s="49"/>
      <c r="J48" s="49"/>
      <c r="K48" s="49"/>
      <c r="L48" s="49"/>
      <c r="M48" s="49"/>
      <c r="N48" s="49"/>
      <c r="O48" s="49"/>
      <c r="P48" s="49"/>
      <c r="Q48" s="49"/>
      <c r="R48" s="49"/>
      <c r="S48" s="49"/>
      <c r="T48" s="49"/>
      <c r="U48" s="49"/>
      <c r="V48" s="49"/>
      <c r="W48" s="49"/>
      <c r="X48" s="49"/>
      <c r="Y48" s="49"/>
    </row>
    <row r="49">
      <c r="A49" s="49"/>
      <c r="B49" s="49"/>
      <c r="C49" s="49"/>
      <c r="D49" s="49"/>
      <c r="E49" s="49"/>
      <c r="F49" s="49"/>
      <c r="G49" s="49"/>
      <c r="H49" s="49"/>
      <c r="I49" s="49"/>
      <c r="J49" s="49"/>
      <c r="K49" s="49"/>
      <c r="L49" s="49"/>
      <c r="M49" s="49"/>
      <c r="N49" s="49"/>
      <c r="O49" s="49"/>
      <c r="P49" s="49"/>
      <c r="Q49" s="49"/>
      <c r="R49" s="49"/>
      <c r="S49" s="49"/>
      <c r="T49" s="49"/>
      <c r="U49" s="49"/>
      <c r="V49" s="49"/>
      <c r="W49" s="49"/>
      <c r="X49" s="49"/>
      <c r="Y49" s="49"/>
    </row>
    <row r="50">
      <c r="A50" s="49"/>
      <c r="B50" s="49"/>
      <c r="C50" s="49"/>
      <c r="D50" s="49"/>
      <c r="E50" s="49"/>
      <c r="F50" s="49"/>
      <c r="G50" s="49"/>
      <c r="H50" s="49"/>
      <c r="I50" s="49"/>
      <c r="J50" s="49"/>
      <c r="K50" s="49"/>
      <c r="L50" s="49"/>
      <c r="M50" s="49"/>
      <c r="N50" s="49"/>
      <c r="O50" s="49"/>
      <c r="P50" s="49"/>
      <c r="Q50" s="49"/>
      <c r="R50" s="49"/>
      <c r="S50" s="49"/>
      <c r="T50" s="49"/>
      <c r="U50" s="49"/>
      <c r="V50" s="49"/>
      <c r="W50" s="49"/>
      <c r="X50" s="49"/>
      <c r="Y50" s="49"/>
    </row>
    <row r="51">
      <c r="A51" s="49"/>
      <c r="B51" s="49"/>
      <c r="C51" s="49"/>
      <c r="D51" s="49"/>
      <c r="E51" s="49"/>
      <c r="F51" s="49"/>
      <c r="G51" s="49"/>
      <c r="H51" s="49"/>
      <c r="I51" s="49"/>
      <c r="J51" s="49"/>
      <c r="K51" s="49"/>
      <c r="L51" s="49"/>
      <c r="M51" s="49"/>
      <c r="N51" s="49"/>
      <c r="O51" s="49"/>
      <c r="P51" s="49"/>
      <c r="Q51" s="49"/>
      <c r="R51" s="49"/>
      <c r="S51" s="49"/>
      <c r="T51" s="49"/>
      <c r="U51" s="49"/>
      <c r="V51" s="49"/>
      <c r="W51" s="49"/>
      <c r="X51" s="49"/>
      <c r="Y51" s="49"/>
    </row>
    <row r="52">
      <c r="A52" s="49"/>
      <c r="B52" s="49"/>
      <c r="C52" s="49"/>
      <c r="D52" s="49"/>
      <c r="E52" s="49"/>
      <c r="F52" s="49"/>
      <c r="G52" s="49"/>
      <c r="H52" s="49"/>
      <c r="I52" s="49"/>
      <c r="J52" s="49"/>
      <c r="K52" s="49"/>
      <c r="L52" s="49"/>
      <c r="M52" s="49"/>
      <c r="N52" s="49"/>
      <c r="O52" s="49"/>
      <c r="P52" s="49"/>
      <c r="Q52" s="49"/>
      <c r="R52" s="49"/>
      <c r="S52" s="49"/>
      <c r="T52" s="49"/>
      <c r="U52" s="49"/>
      <c r="V52" s="49"/>
      <c r="W52" s="49"/>
      <c r="X52" s="49"/>
      <c r="Y52" s="49"/>
    </row>
    <row r="53">
      <c r="A53" s="49"/>
      <c r="B53" s="49"/>
      <c r="C53" s="49"/>
      <c r="D53" s="49"/>
      <c r="E53" s="49"/>
      <c r="F53" s="49"/>
      <c r="G53" s="49"/>
      <c r="H53" s="49"/>
      <c r="I53" s="49"/>
      <c r="J53" s="49"/>
      <c r="K53" s="49"/>
      <c r="L53" s="49"/>
      <c r="M53" s="49"/>
      <c r="N53" s="49"/>
      <c r="O53" s="49"/>
      <c r="P53" s="49"/>
      <c r="Q53" s="49"/>
      <c r="R53" s="49"/>
      <c r="S53" s="49"/>
      <c r="T53" s="49"/>
      <c r="U53" s="49"/>
      <c r="V53" s="49"/>
      <c r="W53" s="49"/>
      <c r="X53" s="49"/>
      <c r="Y53" s="49"/>
    </row>
    <row r="54">
      <c r="A54" s="49"/>
      <c r="B54" s="49"/>
      <c r="C54" s="49"/>
      <c r="D54" s="49"/>
      <c r="E54" s="49"/>
      <c r="F54" s="49"/>
      <c r="G54" s="49"/>
      <c r="H54" s="49"/>
      <c r="I54" s="49"/>
      <c r="J54" s="49"/>
      <c r="K54" s="49"/>
      <c r="L54" s="49"/>
      <c r="M54" s="49"/>
      <c r="N54" s="49"/>
      <c r="O54" s="49"/>
      <c r="P54" s="49"/>
      <c r="Q54" s="49"/>
      <c r="R54" s="49"/>
      <c r="S54" s="49"/>
      <c r="T54" s="49"/>
      <c r="U54" s="49"/>
      <c r="V54" s="49"/>
      <c r="W54" s="49"/>
      <c r="X54" s="49"/>
      <c r="Y54" s="49"/>
    </row>
    <row r="55">
      <c r="A55" s="49"/>
      <c r="B55" s="49"/>
      <c r="C55" s="49"/>
      <c r="D55" s="49"/>
      <c r="E55" s="49"/>
      <c r="F55" s="49"/>
      <c r="G55" s="49"/>
      <c r="H55" s="49"/>
      <c r="I55" s="49"/>
      <c r="J55" s="49"/>
      <c r="K55" s="49"/>
      <c r="L55" s="49"/>
      <c r="M55" s="49"/>
      <c r="N55" s="49"/>
      <c r="O55" s="49"/>
      <c r="P55" s="49"/>
      <c r="Q55" s="49"/>
      <c r="R55" s="49"/>
      <c r="S55" s="49"/>
      <c r="T55" s="49"/>
      <c r="U55" s="49"/>
      <c r="V55" s="49"/>
      <c r="W55" s="49"/>
      <c r="X55" s="49"/>
      <c r="Y55" s="49"/>
    </row>
    <row r="56">
      <c r="A56" s="49"/>
      <c r="B56" s="49"/>
      <c r="C56" s="49"/>
      <c r="D56" s="49"/>
      <c r="E56" s="49"/>
      <c r="F56" s="49"/>
      <c r="G56" s="49"/>
      <c r="H56" s="49"/>
      <c r="I56" s="49"/>
      <c r="J56" s="49"/>
      <c r="K56" s="49"/>
      <c r="L56" s="49"/>
      <c r="M56" s="49"/>
      <c r="N56" s="49"/>
      <c r="O56" s="49"/>
      <c r="P56" s="49"/>
      <c r="Q56" s="49"/>
      <c r="R56" s="49"/>
      <c r="S56" s="49"/>
      <c r="T56" s="49"/>
      <c r="U56" s="49"/>
      <c r="V56" s="49"/>
      <c r="W56" s="49"/>
      <c r="X56" s="49"/>
      <c r="Y56" s="49"/>
    </row>
    <row r="57">
      <c r="A57" s="49"/>
      <c r="B57" s="49"/>
      <c r="C57" s="49"/>
      <c r="D57" s="49"/>
      <c r="E57" s="49"/>
      <c r="F57" s="49"/>
      <c r="G57" s="49"/>
      <c r="H57" s="49"/>
      <c r="I57" s="49"/>
      <c r="J57" s="49"/>
      <c r="K57" s="49"/>
      <c r="L57" s="49"/>
      <c r="M57" s="49"/>
      <c r="N57" s="49"/>
      <c r="O57" s="49"/>
      <c r="P57" s="49"/>
      <c r="Q57" s="49"/>
      <c r="R57" s="49"/>
      <c r="S57" s="49"/>
      <c r="T57" s="49"/>
      <c r="U57" s="49"/>
      <c r="V57" s="49"/>
      <c r="W57" s="49"/>
      <c r="X57" s="49"/>
      <c r="Y57" s="49"/>
    </row>
    <row r="58">
      <c r="A58" s="49"/>
      <c r="B58" s="49"/>
      <c r="C58" s="49"/>
      <c r="D58" s="49"/>
      <c r="E58" s="49"/>
      <c r="F58" s="49"/>
      <c r="G58" s="49"/>
      <c r="H58" s="49"/>
      <c r="I58" s="49"/>
      <c r="J58" s="49"/>
      <c r="K58" s="49"/>
      <c r="L58" s="49"/>
      <c r="M58" s="49"/>
      <c r="N58" s="49"/>
      <c r="O58" s="49"/>
      <c r="P58" s="49"/>
      <c r="Q58" s="49"/>
      <c r="R58" s="49"/>
      <c r="S58" s="49"/>
      <c r="T58" s="49"/>
      <c r="U58" s="49"/>
      <c r="V58" s="49"/>
      <c r="W58" s="49"/>
      <c r="X58" s="49"/>
      <c r="Y58" s="49"/>
    </row>
    <row r="59">
      <c r="A59" s="49"/>
      <c r="B59" s="49"/>
      <c r="C59" s="49"/>
      <c r="D59" s="49"/>
      <c r="E59" s="49"/>
      <c r="F59" s="49"/>
      <c r="G59" s="49"/>
      <c r="H59" s="49"/>
      <c r="I59" s="49"/>
      <c r="J59" s="49"/>
      <c r="K59" s="49"/>
      <c r="L59" s="49"/>
      <c r="M59" s="49"/>
      <c r="N59" s="49"/>
      <c r="O59" s="49"/>
      <c r="P59" s="49"/>
      <c r="Q59" s="49"/>
      <c r="R59" s="49"/>
      <c r="S59" s="49"/>
      <c r="T59" s="49"/>
      <c r="U59" s="49"/>
      <c r="V59" s="49"/>
      <c r="W59" s="49"/>
      <c r="X59" s="49"/>
      <c r="Y59" s="49"/>
    </row>
    <row r="60">
      <c r="A60" s="49"/>
      <c r="B60" s="49"/>
      <c r="C60" s="49"/>
      <c r="D60" s="49"/>
      <c r="E60" s="49"/>
      <c r="F60" s="49"/>
      <c r="G60" s="49"/>
      <c r="H60" s="49"/>
      <c r="I60" s="49"/>
      <c r="J60" s="49"/>
      <c r="K60" s="49"/>
      <c r="L60" s="49"/>
      <c r="M60" s="49"/>
      <c r="N60" s="49"/>
      <c r="O60" s="49"/>
      <c r="P60" s="49"/>
      <c r="Q60" s="49"/>
      <c r="R60" s="49"/>
      <c r="S60" s="49"/>
      <c r="T60" s="49"/>
      <c r="U60" s="49"/>
      <c r="V60" s="49"/>
      <c r="W60" s="49"/>
      <c r="X60" s="49"/>
      <c r="Y60" s="49"/>
    </row>
    <row r="61">
      <c r="A61" s="49"/>
      <c r="B61" s="49"/>
      <c r="C61" s="49"/>
      <c r="D61" s="49"/>
      <c r="E61" s="49"/>
      <c r="F61" s="49"/>
      <c r="G61" s="49"/>
      <c r="H61" s="49"/>
      <c r="I61" s="49"/>
      <c r="J61" s="49"/>
      <c r="K61" s="49"/>
      <c r="L61" s="49"/>
      <c r="M61" s="49"/>
      <c r="N61" s="49"/>
      <c r="O61" s="49"/>
      <c r="P61" s="49"/>
      <c r="Q61" s="49"/>
      <c r="R61" s="49"/>
      <c r="S61" s="49"/>
      <c r="T61" s="49"/>
      <c r="U61" s="49"/>
      <c r="V61" s="49"/>
      <c r="W61" s="49"/>
      <c r="X61" s="49"/>
      <c r="Y61" s="49"/>
    </row>
    <row r="62">
      <c r="A62" s="49"/>
      <c r="B62" s="49"/>
      <c r="C62" s="49"/>
      <c r="D62" s="49"/>
      <c r="E62" s="49"/>
      <c r="F62" s="49"/>
      <c r="G62" s="49"/>
      <c r="H62" s="49"/>
      <c r="I62" s="49"/>
      <c r="J62" s="49"/>
      <c r="K62" s="49"/>
      <c r="L62" s="49"/>
      <c r="M62" s="49"/>
      <c r="N62" s="49"/>
      <c r="O62" s="49"/>
      <c r="P62" s="49"/>
      <c r="Q62" s="49"/>
      <c r="R62" s="49"/>
      <c r="S62" s="49"/>
      <c r="T62" s="49"/>
      <c r="U62" s="49"/>
      <c r="V62" s="49"/>
      <c r="W62" s="49"/>
      <c r="X62" s="49"/>
      <c r="Y62" s="49"/>
    </row>
    <row r="63">
      <c r="A63" s="49"/>
      <c r="B63" s="49"/>
      <c r="C63" s="49"/>
      <c r="D63" s="49"/>
      <c r="E63" s="49"/>
      <c r="F63" s="49"/>
      <c r="G63" s="49"/>
      <c r="H63" s="49"/>
      <c r="I63" s="49"/>
      <c r="J63" s="49"/>
      <c r="K63" s="49"/>
      <c r="L63" s="49"/>
      <c r="M63" s="49"/>
      <c r="N63" s="49"/>
      <c r="O63" s="49"/>
      <c r="P63" s="49"/>
      <c r="Q63" s="49"/>
      <c r="R63" s="49"/>
      <c r="S63" s="49"/>
      <c r="T63" s="49"/>
      <c r="U63" s="49"/>
      <c r="V63" s="49"/>
      <c r="W63" s="49"/>
      <c r="X63" s="49"/>
      <c r="Y63" s="49"/>
    </row>
    <row r="64">
      <c r="A64" s="49"/>
      <c r="B64" s="49"/>
      <c r="C64" s="49"/>
      <c r="D64" s="49"/>
      <c r="E64" s="49"/>
      <c r="F64" s="49"/>
      <c r="G64" s="49"/>
      <c r="H64" s="49"/>
      <c r="I64" s="49"/>
      <c r="J64" s="49"/>
      <c r="K64" s="49"/>
      <c r="L64" s="49"/>
      <c r="M64" s="49"/>
      <c r="N64" s="49"/>
      <c r="O64" s="49"/>
      <c r="P64" s="49"/>
      <c r="Q64" s="49"/>
      <c r="R64" s="49"/>
      <c r="S64" s="49"/>
      <c r="T64" s="49"/>
      <c r="U64" s="49"/>
      <c r="V64" s="49"/>
      <c r="W64" s="49"/>
      <c r="X64" s="49"/>
      <c r="Y64" s="49"/>
    </row>
    <row r="65">
      <c r="A65" s="49"/>
      <c r="B65" s="49"/>
      <c r="C65" s="49"/>
      <c r="D65" s="49"/>
      <c r="E65" s="49"/>
      <c r="F65" s="49"/>
      <c r="G65" s="49"/>
      <c r="H65" s="49"/>
      <c r="I65" s="49"/>
      <c r="J65" s="49"/>
      <c r="K65" s="49"/>
      <c r="L65" s="49"/>
      <c r="M65" s="49"/>
      <c r="N65" s="49"/>
      <c r="O65" s="49"/>
      <c r="P65" s="49"/>
      <c r="Q65" s="49"/>
      <c r="R65" s="49"/>
      <c r="S65" s="49"/>
      <c r="T65" s="49"/>
      <c r="U65" s="49"/>
      <c r="V65" s="49"/>
      <c r="W65" s="49"/>
      <c r="X65" s="49"/>
      <c r="Y65" s="49"/>
    </row>
    <row r="66">
      <c r="A66" s="49"/>
      <c r="B66" s="49"/>
      <c r="C66" s="49"/>
      <c r="D66" s="49"/>
      <c r="E66" s="49"/>
      <c r="F66" s="49"/>
      <c r="G66" s="49"/>
      <c r="H66" s="49"/>
      <c r="I66" s="49"/>
      <c r="J66" s="49"/>
      <c r="K66" s="49"/>
      <c r="L66" s="49"/>
      <c r="M66" s="49"/>
      <c r="N66" s="49"/>
      <c r="O66" s="49"/>
      <c r="P66" s="49"/>
      <c r="Q66" s="49"/>
      <c r="R66" s="49"/>
      <c r="S66" s="49"/>
      <c r="T66" s="49"/>
      <c r="U66" s="49"/>
      <c r="V66" s="49"/>
      <c r="W66" s="49"/>
      <c r="X66" s="49"/>
      <c r="Y66" s="49"/>
    </row>
    <row r="67">
      <c r="A67" s="49"/>
      <c r="B67" s="49"/>
      <c r="C67" s="49"/>
      <c r="D67" s="49"/>
      <c r="E67" s="49"/>
      <c r="F67" s="49"/>
      <c r="G67" s="49"/>
      <c r="H67" s="49"/>
      <c r="I67" s="49"/>
      <c r="J67" s="49"/>
      <c r="K67" s="49"/>
      <c r="L67" s="49"/>
      <c r="M67" s="49"/>
      <c r="N67" s="49"/>
      <c r="O67" s="49"/>
      <c r="P67" s="49"/>
      <c r="Q67" s="49"/>
      <c r="R67" s="49"/>
      <c r="S67" s="49"/>
      <c r="T67" s="49"/>
      <c r="U67" s="49"/>
      <c r="V67" s="49"/>
      <c r="W67" s="49"/>
      <c r="X67" s="49"/>
      <c r="Y67" s="49"/>
    </row>
    <row r="68">
      <c r="A68" s="49"/>
      <c r="B68" s="49"/>
      <c r="C68" s="49"/>
      <c r="D68" s="49"/>
      <c r="E68" s="49"/>
      <c r="F68" s="49"/>
      <c r="G68" s="49"/>
      <c r="H68" s="49"/>
      <c r="I68" s="49"/>
      <c r="J68" s="49"/>
      <c r="K68" s="49"/>
      <c r="L68" s="49"/>
      <c r="M68" s="49"/>
      <c r="N68" s="49"/>
      <c r="O68" s="49"/>
      <c r="P68" s="49"/>
      <c r="Q68" s="49"/>
      <c r="R68" s="49"/>
      <c r="S68" s="49"/>
      <c r="T68" s="49"/>
      <c r="U68" s="49"/>
      <c r="V68" s="49"/>
      <c r="W68" s="49"/>
      <c r="X68" s="49"/>
      <c r="Y68" s="49"/>
    </row>
    <row r="69">
      <c r="A69" s="49"/>
      <c r="B69" s="49"/>
      <c r="C69" s="49"/>
      <c r="D69" s="49"/>
      <c r="E69" s="49"/>
      <c r="F69" s="49"/>
      <c r="G69" s="49"/>
      <c r="H69" s="49"/>
      <c r="I69" s="49"/>
      <c r="J69" s="49"/>
      <c r="K69" s="49"/>
      <c r="L69" s="49"/>
      <c r="M69" s="49"/>
      <c r="N69" s="49"/>
      <c r="O69" s="49"/>
      <c r="P69" s="49"/>
      <c r="Q69" s="49"/>
      <c r="R69" s="49"/>
      <c r="S69" s="49"/>
      <c r="T69" s="49"/>
      <c r="U69" s="49"/>
      <c r="V69" s="49"/>
      <c r="W69" s="49"/>
      <c r="X69" s="49"/>
      <c r="Y69" s="49"/>
    </row>
    <row r="70">
      <c r="A70" s="49"/>
      <c r="B70" s="49"/>
      <c r="C70" s="49"/>
      <c r="D70" s="49"/>
      <c r="E70" s="49"/>
      <c r="F70" s="49"/>
      <c r="G70" s="49"/>
      <c r="H70" s="49"/>
      <c r="I70" s="49"/>
      <c r="J70" s="49"/>
      <c r="K70" s="49"/>
      <c r="L70" s="49"/>
      <c r="M70" s="49"/>
      <c r="N70" s="49"/>
      <c r="O70" s="49"/>
      <c r="P70" s="49"/>
      <c r="Q70" s="49"/>
      <c r="R70" s="49"/>
      <c r="S70" s="49"/>
      <c r="T70" s="49"/>
      <c r="U70" s="49"/>
      <c r="V70" s="49"/>
      <c r="W70" s="49"/>
      <c r="X70" s="49"/>
      <c r="Y70" s="49"/>
    </row>
    <row r="71">
      <c r="A71" s="49"/>
      <c r="B71" s="49"/>
      <c r="C71" s="49"/>
      <c r="D71" s="49"/>
      <c r="E71" s="49"/>
      <c r="F71" s="49"/>
      <c r="G71" s="49"/>
      <c r="H71" s="49"/>
      <c r="I71" s="49"/>
      <c r="J71" s="49"/>
      <c r="K71" s="49"/>
      <c r="L71" s="49"/>
      <c r="M71" s="49"/>
      <c r="N71" s="49"/>
      <c r="O71" s="49"/>
      <c r="P71" s="49"/>
      <c r="Q71" s="49"/>
      <c r="R71" s="49"/>
      <c r="S71" s="49"/>
      <c r="T71" s="49"/>
      <c r="U71" s="49"/>
      <c r="V71" s="49"/>
      <c r="W71" s="49"/>
      <c r="X71" s="49"/>
      <c r="Y71" s="49"/>
    </row>
    <row r="72">
      <c r="A72" s="49"/>
      <c r="B72" s="49"/>
      <c r="C72" s="49"/>
      <c r="D72" s="49"/>
      <c r="E72" s="49"/>
      <c r="F72" s="49"/>
      <c r="G72" s="49"/>
      <c r="H72" s="49"/>
      <c r="I72" s="49"/>
      <c r="J72" s="49"/>
      <c r="K72" s="49"/>
      <c r="L72" s="49"/>
      <c r="M72" s="49"/>
      <c r="N72" s="49"/>
      <c r="O72" s="49"/>
      <c r="P72" s="49"/>
      <c r="Q72" s="49"/>
      <c r="R72" s="49"/>
      <c r="S72" s="49"/>
      <c r="T72" s="49"/>
      <c r="U72" s="49"/>
      <c r="V72" s="49"/>
      <c r="W72" s="49"/>
      <c r="X72" s="49"/>
      <c r="Y72" s="49"/>
    </row>
    <row r="73">
      <c r="A73" s="49"/>
      <c r="B73" s="49"/>
      <c r="C73" s="49"/>
      <c r="D73" s="49"/>
      <c r="E73" s="49"/>
      <c r="F73" s="49"/>
      <c r="G73" s="49"/>
      <c r="H73" s="49"/>
      <c r="I73" s="49"/>
      <c r="J73" s="49"/>
      <c r="K73" s="49"/>
      <c r="L73" s="49"/>
      <c r="M73" s="49"/>
      <c r="N73" s="49"/>
      <c r="O73" s="49"/>
      <c r="P73" s="49"/>
      <c r="Q73" s="49"/>
      <c r="R73" s="49"/>
      <c r="S73" s="49"/>
      <c r="T73" s="49"/>
      <c r="U73" s="49"/>
      <c r="V73" s="49"/>
      <c r="W73" s="49"/>
      <c r="X73" s="49"/>
      <c r="Y73" s="49"/>
    </row>
    <row r="74">
      <c r="A74" s="49"/>
      <c r="B74" s="49"/>
      <c r="C74" s="49"/>
      <c r="D74" s="49"/>
      <c r="E74" s="49"/>
      <c r="F74" s="49"/>
      <c r="G74" s="49"/>
      <c r="H74" s="49"/>
      <c r="I74" s="49"/>
      <c r="J74" s="49"/>
      <c r="K74" s="49"/>
      <c r="L74" s="49"/>
      <c r="M74" s="49"/>
      <c r="N74" s="49"/>
      <c r="O74" s="49"/>
      <c r="P74" s="49"/>
      <c r="Q74" s="49"/>
      <c r="R74" s="49"/>
      <c r="S74" s="49"/>
      <c r="T74" s="49"/>
      <c r="U74" s="49"/>
      <c r="V74" s="49"/>
      <c r="W74" s="49"/>
      <c r="X74" s="49"/>
      <c r="Y74" s="49"/>
    </row>
    <row r="75">
      <c r="A75" s="49"/>
      <c r="B75" s="49"/>
      <c r="C75" s="49"/>
      <c r="D75" s="49"/>
      <c r="E75" s="49"/>
      <c r="F75" s="49"/>
      <c r="G75" s="49"/>
      <c r="H75" s="49"/>
      <c r="I75" s="49"/>
      <c r="J75" s="49"/>
      <c r="K75" s="49"/>
      <c r="L75" s="49"/>
      <c r="M75" s="49"/>
      <c r="N75" s="49"/>
      <c r="O75" s="49"/>
      <c r="P75" s="49"/>
      <c r="Q75" s="49"/>
      <c r="R75" s="49"/>
      <c r="S75" s="49"/>
      <c r="T75" s="49"/>
      <c r="U75" s="49"/>
      <c r="V75" s="49"/>
      <c r="W75" s="49"/>
      <c r="X75" s="49"/>
      <c r="Y75" s="49"/>
    </row>
    <row r="76">
      <c r="A76" s="49"/>
      <c r="B76" s="49"/>
      <c r="C76" s="49"/>
      <c r="D76" s="49"/>
      <c r="E76" s="49"/>
      <c r="F76" s="49"/>
      <c r="G76" s="49"/>
      <c r="H76" s="49"/>
      <c r="I76" s="49"/>
      <c r="J76" s="49"/>
      <c r="K76" s="49"/>
      <c r="L76" s="49"/>
      <c r="M76" s="49"/>
      <c r="N76" s="49"/>
      <c r="O76" s="49"/>
      <c r="P76" s="49"/>
      <c r="Q76" s="49"/>
      <c r="R76" s="49"/>
      <c r="S76" s="49"/>
      <c r="T76" s="49"/>
      <c r="U76" s="49"/>
      <c r="V76" s="49"/>
      <c r="W76" s="49"/>
      <c r="X76" s="49"/>
      <c r="Y76" s="49"/>
    </row>
    <row r="77">
      <c r="A77" s="49"/>
      <c r="B77" s="49"/>
      <c r="C77" s="49"/>
      <c r="D77" s="49"/>
      <c r="E77" s="49"/>
      <c r="F77" s="49"/>
      <c r="G77" s="49"/>
      <c r="H77" s="49"/>
      <c r="I77" s="49"/>
      <c r="J77" s="49"/>
      <c r="K77" s="49"/>
      <c r="L77" s="49"/>
      <c r="M77" s="49"/>
      <c r="N77" s="49"/>
      <c r="O77" s="49"/>
      <c r="P77" s="49"/>
      <c r="Q77" s="49"/>
      <c r="R77" s="49"/>
      <c r="S77" s="49"/>
      <c r="T77" s="49"/>
      <c r="U77" s="49"/>
      <c r="V77" s="49"/>
      <c r="W77" s="49"/>
      <c r="X77" s="49"/>
      <c r="Y77" s="49"/>
    </row>
    <row r="78">
      <c r="A78" s="49"/>
      <c r="B78" s="49"/>
      <c r="C78" s="49"/>
      <c r="D78" s="49"/>
      <c r="E78" s="49"/>
      <c r="F78" s="49"/>
      <c r="G78" s="49"/>
      <c r="H78" s="49"/>
      <c r="I78" s="49"/>
      <c r="J78" s="49"/>
      <c r="K78" s="49"/>
      <c r="L78" s="49"/>
      <c r="M78" s="49"/>
      <c r="N78" s="49"/>
      <c r="O78" s="49"/>
      <c r="P78" s="49"/>
      <c r="Q78" s="49"/>
      <c r="R78" s="49"/>
      <c r="S78" s="49"/>
      <c r="T78" s="49"/>
      <c r="U78" s="49"/>
      <c r="V78" s="49"/>
      <c r="W78" s="49"/>
      <c r="X78" s="49"/>
      <c r="Y78" s="49"/>
    </row>
    <row r="79">
      <c r="A79" s="49"/>
      <c r="B79" s="49"/>
      <c r="C79" s="49"/>
      <c r="D79" s="49"/>
      <c r="E79" s="49"/>
      <c r="F79" s="49"/>
      <c r="G79" s="49"/>
      <c r="H79" s="49"/>
      <c r="I79" s="49"/>
      <c r="J79" s="49"/>
      <c r="K79" s="49"/>
      <c r="L79" s="49"/>
      <c r="M79" s="49"/>
      <c r="N79" s="49"/>
      <c r="O79" s="49"/>
      <c r="P79" s="49"/>
      <c r="Q79" s="49"/>
      <c r="R79" s="49"/>
      <c r="S79" s="49"/>
      <c r="T79" s="49"/>
      <c r="U79" s="49"/>
      <c r="V79" s="49"/>
      <c r="W79" s="49"/>
      <c r="X79" s="49"/>
      <c r="Y79" s="49"/>
    </row>
    <row r="80">
      <c r="A80" s="49"/>
      <c r="B80" s="49"/>
      <c r="C80" s="49"/>
      <c r="D80" s="49"/>
      <c r="E80" s="49"/>
      <c r="F80" s="49"/>
      <c r="G80" s="49"/>
      <c r="H80" s="49"/>
      <c r="I80" s="49"/>
      <c r="J80" s="49"/>
      <c r="K80" s="49"/>
      <c r="L80" s="49"/>
      <c r="M80" s="49"/>
      <c r="N80" s="49"/>
      <c r="O80" s="49"/>
      <c r="P80" s="49"/>
      <c r="Q80" s="49"/>
      <c r="R80" s="49"/>
      <c r="S80" s="49"/>
      <c r="T80" s="49"/>
      <c r="U80" s="49"/>
      <c r="V80" s="49"/>
      <c r="W80" s="49"/>
      <c r="X80" s="49"/>
      <c r="Y80" s="49"/>
    </row>
    <row r="81">
      <c r="A81" s="49"/>
      <c r="B81" s="49"/>
      <c r="C81" s="49"/>
      <c r="D81" s="49"/>
      <c r="E81" s="49"/>
      <c r="F81" s="49"/>
      <c r="G81" s="49"/>
      <c r="H81" s="49"/>
      <c r="I81" s="49"/>
      <c r="J81" s="49"/>
      <c r="K81" s="49"/>
      <c r="L81" s="49"/>
      <c r="M81" s="49"/>
      <c r="N81" s="49"/>
      <c r="O81" s="49"/>
      <c r="P81" s="49"/>
      <c r="Q81" s="49"/>
      <c r="R81" s="49"/>
      <c r="S81" s="49"/>
      <c r="T81" s="49"/>
      <c r="U81" s="49"/>
      <c r="V81" s="49"/>
      <c r="W81" s="49"/>
      <c r="X81" s="49"/>
      <c r="Y81" s="49"/>
    </row>
    <row r="82">
      <c r="A82" s="49"/>
      <c r="B82" s="49"/>
      <c r="C82" s="49"/>
      <c r="D82" s="49"/>
      <c r="E82" s="49"/>
      <c r="F82" s="49"/>
      <c r="G82" s="49"/>
      <c r="H82" s="49"/>
      <c r="I82" s="49"/>
      <c r="J82" s="49"/>
      <c r="K82" s="49"/>
      <c r="L82" s="49"/>
      <c r="M82" s="49"/>
      <c r="N82" s="49"/>
      <c r="O82" s="49"/>
      <c r="P82" s="49"/>
      <c r="Q82" s="49"/>
      <c r="R82" s="49"/>
      <c r="S82" s="49"/>
      <c r="T82" s="49"/>
      <c r="U82" s="49"/>
      <c r="V82" s="49"/>
      <c r="W82" s="49"/>
      <c r="X82" s="49"/>
      <c r="Y82" s="49"/>
    </row>
    <row r="83">
      <c r="A83" s="49"/>
      <c r="B83" s="49"/>
      <c r="C83" s="49"/>
      <c r="D83" s="49"/>
      <c r="E83" s="49"/>
      <c r="F83" s="49"/>
      <c r="G83" s="49"/>
      <c r="H83" s="49"/>
      <c r="I83" s="49"/>
      <c r="J83" s="49"/>
      <c r="K83" s="49"/>
      <c r="L83" s="49"/>
      <c r="M83" s="49"/>
      <c r="N83" s="49"/>
      <c r="O83" s="49"/>
      <c r="P83" s="49"/>
      <c r="Q83" s="49"/>
      <c r="R83" s="49"/>
      <c r="S83" s="49"/>
      <c r="T83" s="49"/>
      <c r="U83" s="49"/>
      <c r="V83" s="49"/>
      <c r="W83" s="49"/>
      <c r="X83" s="49"/>
      <c r="Y83" s="49"/>
    </row>
    <row r="84">
      <c r="A84" s="49"/>
      <c r="B84" s="49"/>
      <c r="C84" s="49"/>
      <c r="D84" s="49"/>
      <c r="E84" s="49"/>
      <c r="F84" s="49"/>
      <c r="G84" s="49"/>
      <c r="H84" s="49"/>
      <c r="I84" s="49"/>
      <c r="J84" s="49"/>
      <c r="K84" s="49"/>
      <c r="L84" s="49"/>
      <c r="M84" s="49"/>
      <c r="N84" s="49"/>
      <c r="O84" s="49"/>
      <c r="P84" s="49"/>
      <c r="Q84" s="49"/>
      <c r="R84" s="49"/>
      <c r="S84" s="49"/>
      <c r="T84" s="49"/>
      <c r="U84" s="49"/>
      <c r="V84" s="49"/>
      <c r="W84" s="49"/>
      <c r="X84" s="49"/>
      <c r="Y84" s="49"/>
    </row>
    <row r="85">
      <c r="A85" s="49"/>
      <c r="B85" s="49"/>
      <c r="C85" s="49"/>
      <c r="D85" s="49"/>
      <c r="E85" s="49"/>
      <c r="F85" s="49"/>
      <c r="G85" s="49"/>
      <c r="H85" s="49"/>
      <c r="I85" s="49"/>
      <c r="J85" s="49"/>
      <c r="K85" s="49"/>
      <c r="L85" s="49"/>
      <c r="M85" s="49"/>
      <c r="N85" s="49"/>
      <c r="O85" s="49"/>
      <c r="P85" s="49"/>
      <c r="Q85" s="49"/>
      <c r="R85" s="49"/>
      <c r="S85" s="49"/>
      <c r="T85" s="49"/>
      <c r="U85" s="49"/>
      <c r="V85" s="49"/>
      <c r="W85" s="49"/>
      <c r="X85" s="49"/>
      <c r="Y85" s="49"/>
    </row>
    <row r="86">
      <c r="A86" s="49"/>
      <c r="B86" s="49"/>
      <c r="C86" s="49"/>
      <c r="D86" s="49"/>
      <c r="E86" s="49"/>
      <c r="F86" s="49"/>
      <c r="G86" s="49"/>
      <c r="H86" s="49"/>
      <c r="I86" s="49"/>
      <c r="J86" s="49"/>
      <c r="K86" s="49"/>
      <c r="L86" s="49"/>
      <c r="M86" s="49"/>
      <c r="N86" s="49"/>
      <c r="O86" s="49"/>
      <c r="P86" s="49"/>
      <c r="Q86" s="49"/>
      <c r="R86" s="49"/>
      <c r="S86" s="49"/>
      <c r="T86" s="49"/>
      <c r="U86" s="49"/>
      <c r="V86" s="49"/>
      <c r="W86" s="49"/>
      <c r="X86" s="49"/>
      <c r="Y86" s="49"/>
    </row>
    <row r="87">
      <c r="A87" s="49"/>
      <c r="B87" s="49"/>
      <c r="C87" s="49"/>
      <c r="D87" s="49"/>
      <c r="E87" s="49"/>
      <c r="F87" s="49"/>
      <c r="G87" s="49"/>
      <c r="H87" s="49"/>
      <c r="I87" s="49"/>
      <c r="J87" s="49"/>
      <c r="K87" s="49"/>
      <c r="L87" s="49"/>
      <c r="M87" s="49"/>
      <c r="N87" s="49"/>
      <c r="O87" s="49"/>
      <c r="P87" s="49"/>
      <c r="Q87" s="49"/>
      <c r="R87" s="49"/>
      <c r="S87" s="49"/>
      <c r="T87" s="49"/>
      <c r="U87" s="49"/>
      <c r="V87" s="49"/>
      <c r="W87" s="49"/>
      <c r="X87" s="49"/>
      <c r="Y87" s="49"/>
    </row>
    <row r="88">
      <c r="A88" s="49"/>
      <c r="B88" s="49"/>
      <c r="C88" s="49"/>
      <c r="D88" s="49"/>
      <c r="E88" s="49"/>
      <c r="F88" s="49"/>
      <c r="G88" s="49"/>
      <c r="H88" s="49"/>
      <c r="I88" s="49"/>
      <c r="J88" s="49"/>
      <c r="K88" s="49"/>
      <c r="L88" s="49"/>
      <c r="M88" s="49"/>
      <c r="N88" s="49"/>
      <c r="O88" s="49"/>
      <c r="P88" s="49"/>
      <c r="Q88" s="49"/>
      <c r="R88" s="49"/>
      <c r="S88" s="49"/>
      <c r="T88" s="49"/>
      <c r="U88" s="49"/>
      <c r="V88" s="49"/>
      <c r="W88" s="49"/>
      <c r="X88" s="49"/>
      <c r="Y88" s="49"/>
    </row>
    <row r="89">
      <c r="A89" s="49"/>
      <c r="B89" s="49"/>
      <c r="C89" s="49"/>
      <c r="D89" s="49"/>
      <c r="E89" s="49"/>
      <c r="F89" s="49"/>
      <c r="G89" s="49"/>
      <c r="H89" s="49"/>
      <c r="I89" s="49"/>
      <c r="J89" s="49"/>
      <c r="K89" s="49"/>
      <c r="L89" s="49"/>
      <c r="M89" s="49"/>
      <c r="N89" s="49"/>
      <c r="O89" s="49"/>
      <c r="P89" s="49"/>
      <c r="Q89" s="49"/>
      <c r="R89" s="49"/>
      <c r="S89" s="49"/>
      <c r="T89" s="49"/>
      <c r="U89" s="49"/>
      <c r="V89" s="49"/>
      <c r="W89" s="49"/>
      <c r="X89" s="49"/>
      <c r="Y89" s="49"/>
    </row>
    <row r="90">
      <c r="A90" s="49"/>
      <c r="B90" s="49"/>
      <c r="C90" s="49"/>
      <c r="D90" s="49"/>
      <c r="E90" s="49"/>
      <c r="F90" s="49"/>
      <c r="G90" s="49"/>
      <c r="H90" s="49"/>
      <c r="I90" s="49"/>
      <c r="J90" s="49"/>
      <c r="K90" s="49"/>
      <c r="L90" s="49"/>
      <c r="M90" s="49"/>
      <c r="N90" s="49"/>
      <c r="O90" s="49"/>
      <c r="P90" s="49"/>
      <c r="Q90" s="49"/>
      <c r="R90" s="49"/>
      <c r="S90" s="49"/>
      <c r="T90" s="49"/>
      <c r="U90" s="49"/>
      <c r="V90" s="49"/>
      <c r="W90" s="49"/>
      <c r="X90" s="49"/>
      <c r="Y90" s="49"/>
    </row>
    <row r="91">
      <c r="A91" s="49"/>
      <c r="B91" s="49"/>
      <c r="C91" s="49"/>
      <c r="D91" s="49"/>
      <c r="E91" s="49"/>
      <c r="F91" s="49"/>
      <c r="G91" s="49"/>
      <c r="H91" s="49"/>
      <c r="I91" s="49"/>
      <c r="J91" s="49"/>
      <c r="K91" s="49"/>
      <c r="L91" s="49"/>
      <c r="M91" s="49"/>
      <c r="N91" s="49"/>
      <c r="O91" s="49"/>
      <c r="P91" s="49"/>
      <c r="Q91" s="49"/>
      <c r="R91" s="49"/>
      <c r="S91" s="49"/>
      <c r="T91" s="49"/>
      <c r="U91" s="49"/>
      <c r="V91" s="49"/>
      <c r="W91" s="49"/>
      <c r="X91" s="49"/>
      <c r="Y91" s="49"/>
    </row>
    <row r="92">
      <c r="A92" s="49"/>
      <c r="B92" s="49"/>
      <c r="C92" s="49"/>
      <c r="D92" s="49"/>
      <c r="E92" s="49"/>
      <c r="F92" s="49"/>
      <c r="G92" s="49"/>
      <c r="H92" s="49"/>
      <c r="I92" s="49"/>
      <c r="J92" s="49"/>
      <c r="K92" s="49"/>
      <c r="L92" s="49"/>
      <c r="M92" s="49"/>
      <c r="N92" s="49"/>
      <c r="O92" s="49"/>
      <c r="P92" s="49"/>
      <c r="Q92" s="49"/>
      <c r="R92" s="49"/>
      <c r="S92" s="49"/>
      <c r="T92" s="49"/>
      <c r="U92" s="49"/>
      <c r="V92" s="49"/>
      <c r="W92" s="49"/>
      <c r="X92" s="49"/>
      <c r="Y92" s="49"/>
    </row>
    <row r="93">
      <c r="A93" s="49"/>
      <c r="B93" s="49"/>
      <c r="C93" s="49"/>
      <c r="D93" s="49"/>
      <c r="E93" s="49"/>
      <c r="F93" s="49"/>
      <c r="G93" s="49"/>
      <c r="H93" s="49"/>
      <c r="I93" s="49"/>
      <c r="J93" s="49"/>
      <c r="K93" s="49"/>
      <c r="L93" s="49"/>
      <c r="M93" s="49"/>
      <c r="N93" s="49"/>
      <c r="O93" s="49"/>
      <c r="P93" s="49"/>
      <c r="Q93" s="49"/>
      <c r="R93" s="49"/>
      <c r="S93" s="49"/>
      <c r="T93" s="49"/>
      <c r="U93" s="49"/>
      <c r="V93" s="49"/>
      <c r="W93" s="49"/>
      <c r="X93" s="49"/>
      <c r="Y93" s="49"/>
    </row>
    <row r="94">
      <c r="A94" s="49"/>
      <c r="B94" s="49"/>
      <c r="C94" s="49"/>
      <c r="D94" s="49"/>
      <c r="E94" s="49"/>
      <c r="F94" s="49"/>
      <c r="G94" s="49"/>
      <c r="H94" s="49"/>
      <c r="I94" s="49"/>
      <c r="J94" s="49"/>
      <c r="K94" s="49"/>
      <c r="L94" s="49"/>
      <c r="M94" s="49"/>
      <c r="N94" s="49"/>
      <c r="O94" s="49"/>
      <c r="P94" s="49"/>
      <c r="Q94" s="49"/>
      <c r="R94" s="49"/>
      <c r="S94" s="49"/>
      <c r="T94" s="49"/>
      <c r="U94" s="49"/>
      <c r="V94" s="49"/>
      <c r="W94" s="49"/>
      <c r="X94" s="49"/>
      <c r="Y94" s="49"/>
    </row>
    <row r="95">
      <c r="A95" s="49"/>
      <c r="B95" s="49"/>
      <c r="C95" s="49"/>
      <c r="D95" s="49"/>
      <c r="E95" s="49"/>
      <c r="F95" s="49"/>
      <c r="G95" s="49"/>
      <c r="H95" s="49"/>
      <c r="I95" s="49"/>
      <c r="J95" s="49"/>
      <c r="K95" s="49"/>
      <c r="L95" s="49"/>
      <c r="M95" s="49"/>
      <c r="N95" s="49"/>
      <c r="O95" s="49"/>
      <c r="P95" s="49"/>
      <c r="Q95" s="49"/>
      <c r="R95" s="49"/>
      <c r="S95" s="49"/>
      <c r="T95" s="49"/>
      <c r="U95" s="49"/>
      <c r="V95" s="49"/>
      <c r="W95" s="49"/>
      <c r="X95" s="49"/>
      <c r="Y95" s="49"/>
    </row>
    <row r="96">
      <c r="A96" s="49"/>
      <c r="B96" s="49"/>
      <c r="C96" s="49"/>
      <c r="D96" s="49"/>
      <c r="E96" s="49"/>
      <c r="F96" s="49"/>
      <c r="G96" s="49"/>
      <c r="H96" s="49"/>
      <c r="I96" s="49"/>
      <c r="J96" s="49"/>
      <c r="K96" s="49"/>
      <c r="L96" s="49"/>
      <c r="M96" s="49"/>
      <c r="N96" s="49"/>
      <c r="O96" s="49"/>
      <c r="P96" s="49"/>
      <c r="Q96" s="49"/>
      <c r="R96" s="49"/>
      <c r="S96" s="49"/>
      <c r="T96" s="49"/>
      <c r="U96" s="49"/>
      <c r="V96" s="49"/>
      <c r="W96" s="49"/>
      <c r="X96" s="49"/>
      <c r="Y96" s="49"/>
    </row>
    <row r="97">
      <c r="A97" s="49"/>
      <c r="B97" s="49"/>
      <c r="C97" s="49"/>
      <c r="D97" s="49"/>
      <c r="E97" s="49"/>
      <c r="F97" s="49"/>
      <c r="G97" s="49"/>
      <c r="H97" s="49"/>
      <c r="I97" s="49"/>
      <c r="J97" s="49"/>
      <c r="K97" s="49"/>
      <c r="L97" s="49"/>
      <c r="M97" s="49"/>
      <c r="N97" s="49"/>
      <c r="O97" s="49"/>
      <c r="P97" s="49"/>
      <c r="Q97" s="49"/>
      <c r="R97" s="49"/>
      <c r="S97" s="49"/>
      <c r="T97" s="49"/>
      <c r="U97" s="49"/>
      <c r="V97" s="49"/>
      <c r="W97" s="49"/>
      <c r="X97" s="49"/>
      <c r="Y97" s="49"/>
    </row>
    <row r="98">
      <c r="A98" s="49"/>
      <c r="B98" s="49"/>
      <c r="C98" s="49"/>
      <c r="D98" s="49"/>
      <c r="E98" s="49"/>
      <c r="F98" s="49"/>
      <c r="G98" s="49"/>
      <c r="H98" s="49"/>
      <c r="I98" s="49"/>
      <c r="J98" s="49"/>
      <c r="K98" s="49"/>
      <c r="L98" s="49"/>
      <c r="M98" s="49"/>
      <c r="N98" s="49"/>
      <c r="O98" s="49"/>
      <c r="P98" s="49"/>
      <c r="Q98" s="49"/>
      <c r="R98" s="49"/>
      <c r="S98" s="49"/>
      <c r="T98" s="49"/>
      <c r="U98" s="49"/>
      <c r="V98" s="49"/>
      <c r="W98" s="49"/>
      <c r="X98" s="49"/>
      <c r="Y98" s="49"/>
    </row>
    <row r="99">
      <c r="A99" s="49"/>
      <c r="B99" s="49"/>
      <c r="C99" s="49"/>
      <c r="D99" s="49"/>
      <c r="E99" s="49"/>
      <c r="F99" s="49"/>
      <c r="G99" s="49"/>
      <c r="H99" s="49"/>
      <c r="I99" s="49"/>
      <c r="J99" s="49"/>
      <c r="K99" s="49"/>
      <c r="L99" s="49"/>
      <c r="M99" s="49"/>
      <c r="N99" s="49"/>
      <c r="O99" s="49"/>
      <c r="P99" s="49"/>
      <c r="Q99" s="49"/>
      <c r="R99" s="49"/>
      <c r="S99" s="49"/>
      <c r="T99" s="49"/>
      <c r="U99" s="49"/>
      <c r="V99" s="49"/>
      <c r="W99" s="49"/>
      <c r="X99" s="49"/>
      <c r="Y99" s="49"/>
    </row>
    <row r="100">
      <c r="A100" s="49"/>
      <c r="B100" s="49"/>
      <c r="C100" s="49"/>
      <c r="D100" s="49"/>
      <c r="E100" s="49"/>
      <c r="F100" s="49"/>
      <c r="G100" s="49"/>
      <c r="H100" s="49"/>
      <c r="I100" s="49"/>
      <c r="J100" s="49"/>
      <c r="K100" s="49"/>
      <c r="L100" s="49"/>
      <c r="M100" s="49"/>
      <c r="N100" s="49"/>
      <c r="O100" s="49"/>
      <c r="P100" s="49"/>
      <c r="Q100" s="49"/>
      <c r="R100" s="49"/>
      <c r="S100" s="49"/>
      <c r="T100" s="49"/>
      <c r="U100" s="49"/>
      <c r="V100" s="49"/>
      <c r="W100" s="49"/>
      <c r="X100" s="49"/>
      <c r="Y100" s="49"/>
    </row>
    <row r="101">
      <c r="A101" s="49"/>
      <c r="B101" s="49"/>
      <c r="C101" s="49"/>
      <c r="D101" s="49"/>
      <c r="E101" s="49"/>
      <c r="F101" s="49"/>
      <c r="G101" s="49"/>
      <c r="H101" s="49"/>
      <c r="I101" s="49"/>
      <c r="J101" s="49"/>
      <c r="K101" s="49"/>
      <c r="L101" s="49"/>
      <c r="M101" s="49"/>
      <c r="N101" s="49"/>
      <c r="O101" s="49"/>
      <c r="P101" s="49"/>
      <c r="Q101" s="49"/>
      <c r="R101" s="49"/>
      <c r="S101" s="49"/>
      <c r="T101" s="49"/>
      <c r="U101" s="49"/>
      <c r="V101" s="49"/>
      <c r="W101" s="49"/>
      <c r="X101" s="49"/>
      <c r="Y101" s="49"/>
    </row>
    <row r="102">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row>
    <row r="103">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row>
    <row r="104">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row>
    <row r="10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row>
    <row r="106">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row>
    <row r="107">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row>
    <row r="108">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row>
    <row r="109">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row>
    <row r="110">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row>
    <row r="111">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row>
    <row r="112">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row>
    <row r="113">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row>
    <row r="114">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row>
    <row r="11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row>
    <row r="116">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row>
    <row r="117">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row>
    <row r="118">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row>
    <row r="119">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row>
    <row r="120">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row>
    <row r="121">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row>
    <row r="122">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row>
    <row r="123">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row>
    <row r="124">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row>
    <row r="1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row>
    <row r="126">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row>
    <row r="127">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row>
    <row r="128">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row>
    <row r="129">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row>
    <row r="130">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row>
    <row r="131">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row>
    <row r="132">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row>
    <row r="133">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row>
    <row r="134">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row>
    <row r="13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row>
    <row r="136">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row>
    <row r="137">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row>
    <row r="138">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row>
    <row r="139">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row>
    <row r="140">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row>
    <row r="141">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row>
    <row r="142">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row>
    <row r="143">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row>
    <row r="144">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row>
    <row r="14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row>
    <row r="146">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row>
    <row r="147">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row>
    <row r="148">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row>
    <row r="149">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row>
    <row r="150">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row>
    <row r="151">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row>
    <row r="152">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row>
    <row r="153">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row>
    <row r="154">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row>
    <row r="15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row>
    <row r="156">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row>
    <row r="157">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row>
    <row r="158">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row>
    <row r="159">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row>
    <row r="160">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row>
    <row r="161">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row>
    <row r="162">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row>
    <row r="163">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row>
    <row r="164">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row>
    <row r="16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row>
    <row r="166">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row>
    <row r="167">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row>
    <row r="168">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row>
    <row r="169">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row>
    <row r="170">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row>
    <row r="171">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row>
    <row r="172">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row>
    <row r="173">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row>
    <row r="174">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row>
    <row r="17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row>
    <row r="176">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row>
    <row r="177">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row>
    <row r="178">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row>
    <row r="179">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row>
    <row r="180">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row>
    <row r="181">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row>
    <row r="182">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row>
    <row r="183">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row>
    <row r="184">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row>
    <row r="18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row>
    <row r="186">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row>
    <row r="187">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row>
    <row r="188">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row>
    <row r="189">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row>
    <row r="190">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row>
    <row r="191">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row>
    <row r="192">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row>
    <row r="193">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row>
    <row r="194">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row>
    <row r="19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row>
    <row r="196">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row>
    <row r="197">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row>
    <row r="198">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row>
    <row r="199">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row>
    <row r="200">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row>
    <row r="201">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row>
    <row r="202">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row>
    <row r="203">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row>
    <row r="204">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row>
    <row r="20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row>
    <row r="206">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row>
    <row r="207">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row>
    <row r="208">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row>
    <row r="209">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row>
    <row r="210">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row>
    <row r="211">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row>
    <row r="212">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row>
    <row r="213">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row>
    <row r="214">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row>
    <row r="21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row>
    <row r="216">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row>
    <row r="217">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row>
    <row r="218">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row>
    <row r="219">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row>
    <row r="220">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row>
    <row r="221">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row>
    <row r="222">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row>
    <row r="223">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row>
    <row r="224">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row>
    <row r="2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row>
    <row r="226">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row>
    <row r="227">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row>
    <row r="228">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row>
    <row r="229">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row>
    <row r="230">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row>
    <row r="231">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row>
    <row r="232">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row>
    <row r="233">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row>
    <row r="234">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row>
    <row r="23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row>
    <row r="236">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row>
    <row r="237">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row>
    <row r="238">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row>
    <row r="239">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row>
    <row r="240">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row>
    <row r="241">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row>
    <row r="242">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row>
    <row r="243">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row>
    <row r="244">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row>
    <row r="24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row>
    <row r="246">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row>
    <row r="247">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row>
    <row r="248">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row>
    <row r="249">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row>
    <row r="250">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row>
    <row r="251">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row>
    <row r="252">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row>
    <row r="253">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row>
    <row r="254">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row>
    <row r="25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row>
    <row r="256">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row>
    <row r="257">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row>
    <row r="258">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row>
    <row r="259">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row>
    <row r="260">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row>
    <row r="261">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row>
    <row r="262">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row>
    <row r="263">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row>
    <row r="264">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row>
    <row r="26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row>
    <row r="266">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row>
    <row r="267">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row>
    <row r="268">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row>
    <row r="269">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row>
    <row r="270">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row>
    <row r="271">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row>
    <row r="272">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row>
    <row r="273">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row>
    <row r="274">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row>
    <row r="27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row>
    <row r="276">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row>
    <row r="277">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row>
    <row r="278">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row>
    <row r="279">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row>
    <row r="280">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row>
    <row r="281">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row>
    <row r="282">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row>
    <row r="283">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row>
    <row r="284">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row>
    <row r="28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row>
    <row r="286">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row>
    <row r="287">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row>
    <row r="288">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row>
    <row r="289">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row>
    <row r="290">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row>
    <row r="291">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row>
    <row r="292">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row>
    <row r="293">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row>
    <row r="294">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row>
    <row r="29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row>
    <row r="296">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row>
    <row r="297">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row>
    <row r="298">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row>
    <row r="299">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row>
    <row r="300">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row>
    <row r="301">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row>
    <row r="302">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row>
    <row r="303">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row>
    <row r="304">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row>
    <row r="30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row>
    <row r="306">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row>
    <row r="307">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row>
    <row r="308">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row>
    <row r="309">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row>
    <row r="310">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row>
    <row r="311">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row>
    <row r="312">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row>
    <row r="313">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row>
    <row r="314">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row>
    <row r="31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row>
    <row r="316">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row>
    <row r="317">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row>
    <row r="318">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row>
    <row r="319">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row>
    <row r="320">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row>
    <row r="321">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row>
    <row r="322">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row>
    <row r="323">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row>
    <row r="324">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row>
    <row r="3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row>
    <row r="326">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row>
    <row r="327">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row>
    <row r="328">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row>
    <row r="329">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row>
    <row r="330">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row>
    <row r="331">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row>
    <row r="332">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row>
    <row r="333">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row>
    <row r="334">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row>
    <row r="33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row>
    <row r="336">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row>
    <row r="337">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row>
    <row r="338">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row>
    <row r="339">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row>
    <row r="340">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row>
    <row r="341">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row>
    <row r="342">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row>
    <row r="343">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row>
    <row r="344">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row>
    <row r="34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row>
    <row r="346">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row>
    <row r="347">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row>
    <row r="348">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row>
    <row r="349">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row>
    <row r="350">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row>
    <row r="351">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row>
    <row r="352">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row>
    <row r="353">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row>
    <row r="354">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row>
    <row r="35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row>
    <row r="356">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row>
    <row r="357">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row>
    <row r="358">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row>
    <row r="359">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row>
    <row r="360">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row>
    <row r="361">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row>
    <row r="362">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row>
    <row r="363">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row>
    <row r="364">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row>
    <row r="36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row>
    <row r="366">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row>
    <row r="367">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row>
    <row r="368">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row>
    <row r="369">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row>
    <row r="370">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row>
    <row r="371">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row>
    <row r="372">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row>
    <row r="373">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row>
    <row r="374">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row>
    <row r="37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row>
    <row r="376">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row>
    <row r="377">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row>
    <row r="378">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row>
    <row r="379">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row>
    <row r="380">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row>
    <row r="381">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row>
    <row r="382">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row>
    <row r="383">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row>
    <row r="384">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row>
    <row r="38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row>
    <row r="386">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row>
    <row r="387">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row>
    <row r="388">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row>
    <row r="389">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row>
    <row r="390">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row>
    <row r="391">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row>
    <row r="392">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row>
    <row r="393">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row>
    <row r="394">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row>
    <row r="39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row>
    <row r="396">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row>
    <row r="397">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row>
    <row r="398">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row>
    <row r="399">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row>
    <row r="400">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row>
    <row r="401">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row>
    <row r="402">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row>
    <row r="403">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row>
    <row r="404">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row>
    <row r="40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row>
    <row r="406">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row>
    <row r="407">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row>
    <row r="408">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row>
    <row r="409">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row>
    <row r="410">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row>
    <row r="411">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row>
    <row r="412">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row>
    <row r="413">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row>
    <row r="414">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row>
    <row r="41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row>
    <row r="416">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row>
    <row r="417">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row>
    <row r="418">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row>
    <row r="419">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row>
    <row r="420">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row>
    <row r="421">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row>
    <row r="422">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row>
    <row r="423">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row>
    <row r="424">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row>
    <row r="4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row>
    <row r="426">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row>
    <row r="427">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row>
    <row r="428">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row>
    <row r="429">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row>
    <row r="430">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row>
    <row r="431">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row>
    <row r="432">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row>
    <row r="433">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row>
    <row r="434">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row>
    <row r="4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row>
    <row r="436">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row>
    <row r="437">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row>
    <row r="438">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row>
    <row r="439">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row>
    <row r="440">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row>
    <row r="441">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row>
    <row r="442">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row>
    <row r="443">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row>
    <row r="444">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row>
    <row r="44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row>
    <row r="446">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row>
    <row r="447">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row>
    <row r="448">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row>
    <row r="449">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row>
    <row r="450">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row>
    <row r="451">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row>
    <row r="452">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row>
    <row r="453">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row>
    <row r="454">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row>
    <row r="45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row>
    <row r="456">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row>
    <row r="457">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row>
    <row r="458">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row>
    <row r="459">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row>
    <row r="460">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row>
    <row r="461">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row>
    <row r="462">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row>
    <row r="463">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row>
    <row r="464">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row>
    <row r="46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row>
    <row r="466">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row>
    <row r="467">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row>
    <row r="468">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row>
    <row r="469">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row>
    <row r="470">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row>
    <row r="471">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row>
    <row r="472">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row>
    <row r="473">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row>
    <row r="474">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row>
    <row r="47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row>
    <row r="476">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row>
    <row r="477">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row>
    <row r="478">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row>
    <row r="479">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row>
    <row r="480">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row>
    <row r="481">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row>
    <row r="482">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row>
    <row r="483">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row>
    <row r="484">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row>
    <row r="48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row>
    <row r="486">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row>
    <row r="487">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row>
    <row r="488">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row>
    <row r="489">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row>
    <row r="490">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row>
    <row r="491">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row>
    <row r="492">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row>
    <row r="493">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row>
    <row r="494">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row>
    <row r="49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row>
    <row r="496">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row>
    <row r="497">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row>
    <row r="498">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row>
    <row r="499">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row>
    <row r="500">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row>
    <row r="501">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row>
    <row r="502">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row>
    <row r="503">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row>
    <row r="504">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row>
    <row r="50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row>
    <row r="506">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row>
    <row r="507">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row>
    <row r="508">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row>
    <row r="509">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row>
    <row r="510">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row>
    <row r="511">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row>
    <row r="512">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row>
    <row r="513">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row>
    <row r="514">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row>
    <row r="51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row>
    <row r="516">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row>
    <row r="517">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row>
    <row r="518">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row>
    <row r="519">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row>
    <row r="520">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row>
    <row r="521">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row>
    <row r="522">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row>
    <row r="523">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row>
    <row r="524">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row>
    <row r="5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row>
    <row r="526">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row>
    <row r="527">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row>
    <row r="528">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row>
    <row r="529">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row>
    <row r="530">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row>
    <row r="531">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row>
    <row r="532">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row>
    <row r="533">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row>
    <row r="534">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row>
    <row r="5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row>
    <row r="536">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row>
    <row r="537">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row>
    <row r="538">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row>
    <row r="539">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row>
    <row r="540">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row>
    <row r="541">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row>
    <row r="542">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row>
    <row r="543">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row>
    <row r="544">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row>
    <row r="54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row>
    <row r="546">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row>
    <row r="547">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row>
    <row r="548">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row>
    <row r="549">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row>
    <row r="550">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row>
    <row r="551">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row>
    <row r="552">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row>
    <row r="553">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row>
    <row r="554">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row>
    <row r="55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row>
    <row r="556">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row>
    <row r="557">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row>
    <row r="558">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row>
    <row r="559">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row>
    <row r="560">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row>
    <row r="561">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row>
    <row r="562">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row>
    <row r="563">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row>
    <row r="564">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row>
    <row r="56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row>
    <row r="566">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row>
    <row r="567">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row>
    <row r="568">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row>
    <row r="569">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row>
    <row r="570">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row>
    <row r="571">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row>
    <row r="572">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row>
    <row r="573">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row>
    <row r="574">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row>
    <row r="57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row>
    <row r="576">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row>
    <row r="577">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row>
    <row r="578">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row>
    <row r="579">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row>
    <row r="580">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row>
    <row r="581">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row>
    <row r="582">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row>
    <row r="583">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row>
    <row r="584">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row>
    <row r="58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row>
    <row r="586">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row>
    <row r="587">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row>
    <row r="588">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row>
    <row r="589">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row>
    <row r="590">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row>
    <row r="591">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row>
    <row r="592">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row>
    <row r="593">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row>
    <row r="594">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row>
    <row r="59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row>
    <row r="596">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row>
    <row r="597">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row>
    <row r="598">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row>
    <row r="599">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row>
    <row r="600">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row>
    <row r="601">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row>
    <row r="602">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row>
    <row r="603">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row>
    <row r="604">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row>
    <row r="60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row>
    <row r="606">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row>
    <row r="607">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row>
    <row r="608">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row>
    <row r="609">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row>
    <row r="610">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row>
    <row r="611">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row>
    <row r="612">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row>
    <row r="613">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row>
    <row r="614">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row>
    <row r="61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row>
    <row r="616">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row>
    <row r="617">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row>
    <row r="618">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row>
    <row r="619">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row>
    <row r="620">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row>
    <row r="621">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row>
    <row r="622">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row>
    <row r="623">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row>
    <row r="624">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row>
    <row r="6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row>
    <row r="626">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row>
    <row r="627">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row>
    <row r="628">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row>
    <row r="629">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row>
    <row r="630">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row>
    <row r="631">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row>
    <row r="632">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row>
    <row r="633">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row>
    <row r="634">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row>
    <row r="6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row>
    <row r="636">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row>
    <row r="637">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row>
    <row r="638">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row>
    <row r="639">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row>
    <row r="640">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row>
    <row r="641">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row>
    <row r="642">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row>
    <row r="643">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row>
    <row r="644">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row>
    <row r="64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row>
    <row r="646">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row>
    <row r="647">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row>
    <row r="648">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row>
    <row r="649">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row>
    <row r="650">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row>
    <row r="651">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row>
    <row r="652">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row>
    <row r="653">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row>
    <row r="654">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row>
    <row r="65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row>
    <row r="656">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row>
    <row r="657">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row>
    <row r="658">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row>
    <row r="659">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row>
    <row r="660">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row>
    <row r="661">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row>
    <row r="662">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row>
    <row r="663">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row>
    <row r="664">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row>
    <row r="66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row>
    <row r="666">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row>
    <row r="667">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row>
    <row r="668">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row>
    <row r="669">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row>
    <row r="670">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row>
    <row r="671">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row>
    <row r="672">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row>
    <row r="673">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row>
    <row r="674">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row>
    <row r="67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row>
    <row r="676">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row>
    <row r="677">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row>
    <row r="678">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row>
    <row r="679">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row>
    <row r="680">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row>
    <row r="681">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row>
    <row r="682">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row>
    <row r="683">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row>
    <row r="684">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row>
    <row r="68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row>
    <row r="686">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row>
    <row r="687">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row>
    <row r="688">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row>
    <row r="689">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row>
    <row r="690">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row>
    <row r="691">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row>
    <row r="692">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row>
    <row r="693">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row>
    <row r="694">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row>
    <row r="69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row>
    <row r="696">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row>
    <row r="697">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row>
    <row r="698">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row>
    <row r="699">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row>
    <row r="700">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row>
    <row r="701">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row>
    <row r="702">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row>
    <row r="703">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row>
    <row r="704">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row>
    <row r="70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row>
    <row r="706">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row>
    <row r="707">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row>
    <row r="708">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row>
    <row r="709">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row>
    <row r="710">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row>
    <row r="711">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row>
    <row r="712">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row>
    <row r="713">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row>
    <row r="714">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row>
    <row r="71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row>
    <row r="716">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row>
    <row r="717">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row>
    <row r="718">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row>
    <row r="719">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row>
    <row r="720">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row>
    <row r="721">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row>
    <row r="722">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row>
    <row r="723">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row>
    <row r="724">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row>
    <row r="7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row>
    <row r="726">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row>
    <row r="727">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row>
    <row r="728">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row>
    <row r="729">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row>
    <row r="730">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row>
    <row r="731">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row>
    <row r="732">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row>
    <row r="733">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row>
    <row r="734">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row>
    <row r="7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row>
    <row r="736">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row>
    <row r="737">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row>
    <row r="738">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row>
    <row r="739">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row>
    <row r="740">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row>
    <row r="741">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row>
    <row r="742">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row>
    <row r="743">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row>
    <row r="744">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row>
    <row r="74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row>
    <row r="746">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row>
    <row r="747">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row>
    <row r="748">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row>
    <row r="749">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row>
    <row r="750">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row>
    <row r="751">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row>
    <row r="752">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row>
    <row r="753">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row>
    <row r="754">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row>
    <row r="75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row>
    <row r="756">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row>
    <row r="757">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row>
    <row r="758">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row>
    <row r="759">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row>
    <row r="760">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row>
    <row r="761">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row>
    <row r="762">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row>
    <row r="763">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row>
    <row r="764">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row>
    <row r="76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row>
    <row r="766">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row>
    <row r="767">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row>
    <row r="768">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row>
    <row r="769">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row>
    <row r="770">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row>
    <row r="771">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row>
    <row r="772">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row>
    <row r="773">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row>
    <row r="774">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row>
    <row r="77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row>
    <row r="776">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row>
    <row r="777">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row>
    <row r="778">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row>
    <row r="779">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row>
    <row r="780">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row>
    <row r="781">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row>
    <row r="782">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row>
    <row r="783">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row>
    <row r="784">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row>
    <row r="78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row>
    <row r="786">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row>
    <row r="787">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row>
    <row r="788">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row>
    <row r="789">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row>
    <row r="790">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row>
    <row r="791">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row>
    <row r="792">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row>
    <row r="793">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row>
    <row r="794">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row>
    <row r="79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row>
    <row r="796">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row>
    <row r="797">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row>
    <row r="798">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row>
    <row r="799">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row>
    <row r="800">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row>
    <row r="801">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row>
    <row r="802">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row>
    <row r="803">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row>
    <row r="804">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row>
    <row r="80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row>
    <row r="806">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row>
    <row r="807">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row>
    <row r="808">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row>
    <row r="809">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row>
    <row r="810">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row>
    <row r="811">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row>
    <row r="812">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row>
    <row r="813">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row>
    <row r="814">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row>
    <row r="81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row>
    <row r="816">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row>
    <row r="817">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row>
    <row r="818">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row>
    <row r="819">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row>
    <row r="820">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row>
    <row r="821">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row>
    <row r="822">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row>
    <row r="823">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row>
    <row r="824">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row>
    <row r="8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row>
    <row r="826">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row>
    <row r="827">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row>
    <row r="828">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row>
    <row r="829">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row>
    <row r="830">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row>
    <row r="831">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row>
    <row r="832">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row>
    <row r="833">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row>
    <row r="834">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row>
    <row r="8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row>
    <row r="836">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row>
    <row r="837">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row>
    <row r="838">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row>
    <row r="839">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row>
    <row r="840">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row>
    <row r="841">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row>
    <row r="842">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row>
    <row r="843">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row>
    <row r="844">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row>
    <row r="84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row>
    <row r="846">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row>
    <row r="847">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row>
    <row r="848">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row>
    <row r="849">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row>
    <row r="850">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row>
    <row r="851">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row>
    <row r="852">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row>
    <row r="853">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row>
    <row r="854">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row>
    <row r="85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row>
    <row r="856">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row>
    <row r="857">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row>
    <row r="858">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row>
    <row r="859">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row>
    <row r="860">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row>
    <row r="861">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row>
    <row r="862">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row>
    <row r="863">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row>
    <row r="864">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row>
    <row r="86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row>
    <row r="866">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row>
    <row r="867">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row>
    <row r="868">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row>
    <row r="869">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row>
    <row r="870">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row>
    <row r="871">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row>
    <row r="872">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row>
    <row r="873">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row>
    <row r="874">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row>
    <row r="87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row>
    <row r="876">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row>
    <row r="877">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row>
    <row r="878">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row>
    <row r="879">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row>
    <row r="880">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row>
    <row r="881">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row>
    <row r="882">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row>
    <row r="883">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row>
    <row r="884">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row>
    <row r="88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row>
    <row r="886">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row>
    <row r="887">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row>
    <row r="888">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row>
    <row r="889">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row>
    <row r="890">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row>
    <row r="891">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row>
    <row r="892">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row>
    <row r="893">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row>
    <row r="894">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row>
    <row r="89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row>
    <row r="896">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row>
    <row r="897">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row>
    <row r="898">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row>
    <row r="899">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row>
    <row r="900">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row>
    <row r="901">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row>
    <row r="902">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row>
    <row r="903">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row>
    <row r="904">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row>
    <row r="90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row>
    <row r="906">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row>
    <row r="907">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row>
    <row r="908">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row>
    <row r="909">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row>
    <row r="910">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row>
    <row r="911">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row>
    <row r="912">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row>
    <row r="913">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row>
    <row r="914">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row>
    <row r="91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row>
    <row r="916">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row>
    <row r="917">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row>
    <row r="918">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row>
    <row r="919">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row>
    <row r="920">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row>
    <row r="921">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row>
    <row r="922">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row>
    <row r="923">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row>
    <row r="924">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row>
    <row r="9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row>
    <row r="926">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row>
    <row r="927">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row>
    <row r="928">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row>
    <row r="929">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row>
    <row r="930">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row>
    <row r="931">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row>
    <row r="932">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row>
    <row r="933">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row>
    <row r="934">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row>
    <row r="9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row>
    <row r="936">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row>
    <row r="937">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row>
    <row r="938">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row>
    <row r="939">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row>
    <row r="940">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row>
    <row r="941">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row>
    <row r="942">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row>
    <row r="943">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row>
    <row r="944">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row>
    <row r="94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row>
    <row r="946">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row>
    <row r="947">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row>
    <row r="948">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row>
    <row r="949">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row>
    <row r="950">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row>
    <row r="951">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row>
    <row r="952">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row>
    <row r="953">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row>
    <row r="954">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row>
    <row r="95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row>
    <row r="956">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row>
    <row r="957">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row>
    <row r="958">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row>
    <row r="959">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row>
    <row r="960">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row>
    <row r="961">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row>
    <row r="962">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row>
    <row r="963">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row>
    <row r="964">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row>
    <row r="96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row>
    <row r="966">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row>
    <row r="967">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row>
    <row r="968">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row>
    <row r="969">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row>
    <row r="970">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row>
    <row r="971">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row>
    <row r="972">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row>
    <row r="973">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row>
    <row r="974">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row>
    <row r="97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row>
    <row r="976">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row>
    <row r="977">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row>
    <row r="978">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row>
    <row r="979">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row>
    <row r="980">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row>
    <row r="981">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row>
    <row r="982">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row>
    <row r="983">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row>
    <row r="984">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row>
    <row r="98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row>
    <row r="986">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row>
    <row r="987">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row>
    <row r="988">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row>
    <row r="989">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row>
    <row r="990">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row>
    <row r="991">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row>
    <row r="992">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row>
    <row r="993">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row>
    <row r="994">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row>
    <row r="99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row>
    <row r="996">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row>
    <row r="997">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row>
    <row r="998">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row>
    <row r="999">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row>
    <row r="1000">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9" t="str">
        <f>IFERROR(__xludf.DUMMYFUNCTION("IMPORTRANGE(""https://docs.google.com/spreadsheets/d/""&amp;Config!B4,""Diseased!A:AX"")"),"Character")</f>
        <v>Character</v>
      </c>
      <c r="B1" s="49" t="str">
        <f>IFERROR(__xludf.DUMMYFUNCTION("""COMPUTED_VALUE"""),"Disease")</f>
        <v>Disease</v>
      </c>
      <c r="C1" s="49" t="str">
        <f>IFERROR(__xludf.DUMMYFUNCTION("""COMPUTED_VALUE"""),"Date Afflicted")</f>
        <v>Date Afflicted</v>
      </c>
      <c r="D1" s="49"/>
      <c r="E1" s="49"/>
      <c r="F1" s="49"/>
      <c r="G1" s="49"/>
      <c r="H1" s="49"/>
      <c r="I1" s="49"/>
      <c r="J1" s="49"/>
      <c r="K1" s="49"/>
      <c r="L1" s="49"/>
      <c r="M1" s="49"/>
      <c r="N1" s="49"/>
      <c r="O1" s="49"/>
      <c r="P1" s="49"/>
      <c r="Q1" s="49"/>
      <c r="R1" s="49"/>
      <c r="S1" s="49"/>
      <c r="T1" s="49"/>
      <c r="U1" s="49"/>
      <c r="V1" s="49"/>
      <c r="W1" s="49"/>
      <c r="X1" s="49"/>
      <c r="Y1" s="49"/>
    </row>
    <row r="2">
      <c r="A2" s="49" t="str">
        <f>IFERROR(__xludf.DUMMYFUNCTION("""COMPUTED_VALUE"""),"""Dreadful Roger The lll""")</f>
        <v>"Dreadful Roger The lll"</v>
      </c>
      <c r="B2" s="49" t="str">
        <f>IFERROR(__xludf.DUMMYFUNCTION("""COMPUTED_VALUE"""),"Luminescent Flux")</f>
        <v>Luminescent Flux</v>
      </c>
      <c r="C2" s="124">
        <f>IFERROR(__xludf.DUMMYFUNCTION("""COMPUTED_VALUE"""),45338.0)</f>
        <v>45338</v>
      </c>
      <c r="D2" s="49"/>
      <c r="E2" s="49"/>
      <c r="F2" s="49"/>
      <c r="G2" s="49"/>
      <c r="H2" s="49"/>
      <c r="I2" s="49"/>
      <c r="J2" s="49"/>
      <c r="K2" s="49"/>
      <c r="L2" s="49"/>
      <c r="M2" s="49"/>
      <c r="N2" s="49"/>
      <c r="O2" s="49"/>
      <c r="P2" s="49"/>
      <c r="Q2" s="49"/>
      <c r="R2" s="49"/>
      <c r="S2" s="49"/>
      <c r="T2" s="49"/>
      <c r="U2" s="49"/>
      <c r="V2" s="49"/>
      <c r="W2" s="49"/>
      <c r="X2" s="49"/>
      <c r="Y2" s="49"/>
    </row>
    <row r="3">
      <c r="A3" s="49"/>
      <c r="B3" s="49"/>
      <c r="C3" s="49"/>
      <c r="D3" s="49"/>
      <c r="E3" s="49"/>
      <c r="F3" s="49"/>
      <c r="G3" s="49"/>
      <c r="H3" s="49"/>
      <c r="I3" s="49"/>
      <c r="J3" s="49"/>
      <c r="K3" s="49"/>
      <c r="L3" s="49"/>
      <c r="M3" s="49"/>
      <c r="N3" s="49"/>
      <c r="O3" s="49"/>
      <c r="P3" s="49"/>
      <c r="Q3" s="49"/>
      <c r="R3" s="49"/>
      <c r="S3" s="49"/>
      <c r="T3" s="49"/>
      <c r="U3" s="49"/>
      <c r="V3" s="49"/>
      <c r="W3" s="49"/>
      <c r="X3" s="49"/>
      <c r="Y3" s="49"/>
    </row>
    <row r="4">
      <c r="A4" s="49"/>
      <c r="B4" s="49"/>
      <c r="C4" s="49"/>
      <c r="D4" s="49"/>
      <c r="E4" s="49"/>
      <c r="F4" s="49"/>
      <c r="G4" s="49"/>
      <c r="H4" s="49"/>
      <c r="I4" s="49"/>
      <c r="J4" s="49"/>
      <c r="K4" s="49"/>
      <c r="L4" s="49"/>
      <c r="M4" s="49"/>
      <c r="N4" s="49"/>
      <c r="O4" s="49"/>
      <c r="P4" s="49"/>
      <c r="Q4" s="49"/>
      <c r="R4" s="49"/>
      <c r="S4" s="49"/>
      <c r="T4" s="49"/>
      <c r="U4" s="49"/>
      <c r="V4" s="49"/>
      <c r="W4" s="49"/>
      <c r="X4" s="49"/>
      <c r="Y4" s="49"/>
    </row>
    <row r="5">
      <c r="A5" s="49"/>
      <c r="B5" s="49"/>
      <c r="C5" s="49"/>
      <c r="D5" s="49"/>
      <c r="E5" s="49"/>
      <c r="F5" s="49"/>
      <c r="G5" s="49"/>
      <c r="H5" s="49"/>
      <c r="I5" s="49"/>
      <c r="J5" s="49"/>
      <c r="K5" s="49"/>
      <c r="L5" s="49"/>
      <c r="M5" s="49"/>
      <c r="N5" s="49"/>
      <c r="O5" s="49"/>
      <c r="P5" s="49"/>
      <c r="Q5" s="49"/>
      <c r="R5" s="49"/>
      <c r="S5" s="49"/>
      <c r="T5" s="49"/>
      <c r="U5" s="49"/>
      <c r="V5" s="49"/>
      <c r="W5" s="49"/>
      <c r="X5" s="49"/>
      <c r="Y5" s="49"/>
    </row>
    <row r="6">
      <c r="A6" s="49"/>
      <c r="B6" s="49"/>
      <c r="C6" s="49"/>
      <c r="D6" s="49"/>
      <c r="E6" s="49"/>
      <c r="F6" s="49"/>
      <c r="G6" s="49"/>
      <c r="H6" s="49"/>
      <c r="I6" s="49"/>
      <c r="J6" s="49"/>
      <c r="K6" s="49"/>
      <c r="L6" s="49"/>
      <c r="M6" s="49"/>
      <c r="N6" s="49"/>
      <c r="O6" s="49"/>
      <c r="P6" s="49"/>
      <c r="Q6" s="49"/>
      <c r="R6" s="49"/>
      <c r="S6" s="49"/>
      <c r="T6" s="49"/>
      <c r="U6" s="49"/>
      <c r="V6" s="49"/>
      <c r="W6" s="49"/>
      <c r="X6" s="49"/>
      <c r="Y6" s="49"/>
    </row>
    <row r="7">
      <c r="A7" s="49"/>
      <c r="B7" s="49"/>
      <c r="C7" s="49"/>
      <c r="D7" s="49"/>
      <c r="E7" s="49"/>
      <c r="F7" s="49"/>
      <c r="G7" s="49"/>
      <c r="H7" s="49"/>
      <c r="I7" s="49"/>
      <c r="J7" s="49"/>
      <c r="K7" s="49"/>
      <c r="L7" s="49"/>
      <c r="M7" s="49"/>
      <c r="N7" s="49"/>
      <c r="O7" s="49"/>
      <c r="P7" s="49"/>
      <c r="Q7" s="49"/>
      <c r="R7" s="49"/>
      <c r="S7" s="49"/>
      <c r="T7" s="49"/>
      <c r="U7" s="49"/>
      <c r="V7" s="49"/>
      <c r="W7" s="49"/>
      <c r="X7" s="49"/>
      <c r="Y7" s="49"/>
    </row>
    <row r="8">
      <c r="A8" s="49"/>
      <c r="B8" s="49"/>
      <c r="C8" s="49"/>
      <c r="D8" s="49"/>
      <c r="E8" s="49"/>
      <c r="F8" s="49"/>
      <c r="G8" s="49"/>
      <c r="H8" s="49"/>
      <c r="I8" s="49"/>
      <c r="J8" s="49"/>
      <c r="K8" s="49"/>
      <c r="L8" s="49"/>
      <c r="M8" s="49"/>
      <c r="N8" s="49"/>
      <c r="O8" s="49"/>
      <c r="P8" s="49"/>
      <c r="Q8" s="49"/>
      <c r="R8" s="49"/>
      <c r="S8" s="49"/>
      <c r="T8" s="49"/>
      <c r="U8" s="49"/>
      <c r="V8" s="49"/>
      <c r="W8" s="49"/>
      <c r="X8" s="49"/>
      <c r="Y8" s="49"/>
    </row>
    <row r="9">
      <c r="A9" s="49"/>
      <c r="B9" s="49"/>
      <c r="C9" s="49"/>
      <c r="D9" s="49"/>
      <c r="E9" s="49"/>
      <c r="F9" s="49"/>
      <c r="G9" s="49"/>
      <c r="H9" s="49"/>
      <c r="I9" s="49"/>
      <c r="J9" s="49"/>
      <c r="K9" s="49"/>
      <c r="L9" s="49"/>
      <c r="M9" s="49"/>
      <c r="N9" s="49"/>
      <c r="O9" s="49"/>
      <c r="P9" s="49"/>
      <c r="Q9" s="49"/>
      <c r="R9" s="49"/>
      <c r="S9" s="49"/>
      <c r="T9" s="49"/>
      <c r="U9" s="49"/>
      <c r="V9" s="49"/>
      <c r="W9" s="49"/>
      <c r="X9" s="49"/>
      <c r="Y9" s="49"/>
    </row>
    <row r="10">
      <c r="A10" s="49"/>
      <c r="B10" s="49"/>
      <c r="C10" s="49"/>
      <c r="D10" s="49"/>
      <c r="E10" s="49"/>
      <c r="F10" s="49"/>
      <c r="G10" s="49"/>
      <c r="H10" s="49"/>
      <c r="I10" s="49"/>
      <c r="J10" s="49"/>
      <c r="K10" s="49"/>
      <c r="L10" s="49"/>
      <c r="M10" s="49"/>
      <c r="N10" s="49"/>
      <c r="O10" s="49"/>
      <c r="P10" s="49"/>
      <c r="Q10" s="49"/>
      <c r="R10" s="49"/>
      <c r="S10" s="49"/>
      <c r="T10" s="49"/>
      <c r="U10" s="49"/>
      <c r="V10" s="49"/>
      <c r="W10" s="49"/>
      <c r="X10" s="49"/>
      <c r="Y10" s="49"/>
    </row>
    <row r="11">
      <c r="A11" s="49"/>
      <c r="B11" s="49"/>
      <c r="C11" s="49"/>
      <c r="D11" s="49"/>
      <c r="E11" s="49"/>
      <c r="F11" s="49"/>
      <c r="G11" s="49"/>
      <c r="H11" s="49"/>
      <c r="I11" s="49"/>
      <c r="J11" s="49"/>
      <c r="K11" s="49"/>
      <c r="L11" s="49"/>
      <c r="M11" s="49"/>
      <c r="N11" s="49"/>
      <c r="O11" s="49"/>
      <c r="P11" s="49"/>
      <c r="Q11" s="49"/>
      <c r="R11" s="49"/>
      <c r="S11" s="49"/>
      <c r="T11" s="49"/>
      <c r="U11" s="49"/>
      <c r="V11" s="49"/>
      <c r="W11" s="49"/>
      <c r="X11" s="49"/>
      <c r="Y11" s="49"/>
    </row>
    <row r="12">
      <c r="A12" s="49"/>
      <c r="B12" s="49"/>
      <c r="C12" s="49"/>
      <c r="D12" s="49"/>
      <c r="E12" s="49"/>
      <c r="F12" s="49"/>
      <c r="G12" s="49"/>
      <c r="H12" s="49"/>
      <c r="I12" s="49"/>
      <c r="J12" s="49"/>
      <c r="K12" s="49"/>
      <c r="L12" s="49"/>
      <c r="M12" s="49"/>
      <c r="N12" s="49"/>
      <c r="O12" s="49"/>
      <c r="P12" s="49"/>
      <c r="Q12" s="49"/>
      <c r="R12" s="49"/>
      <c r="S12" s="49"/>
      <c r="T12" s="49"/>
      <c r="U12" s="49"/>
      <c r="V12" s="49"/>
      <c r="W12" s="49"/>
      <c r="X12" s="49"/>
      <c r="Y12" s="49"/>
    </row>
    <row r="13">
      <c r="A13" s="49"/>
      <c r="B13" s="49"/>
      <c r="C13" s="49"/>
      <c r="D13" s="49"/>
      <c r="E13" s="49"/>
      <c r="F13" s="49"/>
      <c r="G13" s="49"/>
      <c r="H13" s="49"/>
      <c r="I13" s="49"/>
      <c r="J13" s="49"/>
      <c r="K13" s="49"/>
      <c r="L13" s="49"/>
      <c r="M13" s="49"/>
      <c r="N13" s="49"/>
      <c r="O13" s="49"/>
      <c r="P13" s="49"/>
      <c r="Q13" s="49"/>
      <c r="R13" s="49"/>
      <c r="S13" s="49"/>
      <c r="T13" s="49"/>
      <c r="U13" s="49"/>
      <c r="V13" s="49"/>
      <c r="W13" s="49"/>
      <c r="X13" s="49"/>
      <c r="Y13" s="49"/>
    </row>
    <row r="14">
      <c r="A14" s="49"/>
      <c r="B14" s="49"/>
      <c r="C14" s="49"/>
      <c r="D14" s="49"/>
      <c r="E14" s="49"/>
      <c r="F14" s="49"/>
      <c r="G14" s="49"/>
      <c r="H14" s="49"/>
      <c r="I14" s="49"/>
      <c r="J14" s="49"/>
      <c r="K14" s="49"/>
      <c r="L14" s="49"/>
      <c r="M14" s="49"/>
      <c r="N14" s="49"/>
      <c r="O14" s="49"/>
      <c r="P14" s="49"/>
      <c r="Q14" s="49"/>
      <c r="R14" s="49"/>
      <c r="S14" s="49"/>
      <c r="T14" s="49"/>
      <c r="U14" s="49"/>
      <c r="V14" s="49"/>
      <c r="W14" s="49"/>
      <c r="X14" s="49"/>
      <c r="Y14" s="49"/>
    </row>
    <row r="15">
      <c r="A15" s="49"/>
      <c r="B15" s="49"/>
      <c r="C15" s="49"/>
      <c r="D15" s="49"/>
      <c r="E15" s="49"/>
      <c r="F15" s="49"/>
      <c r="G15" s="49"/>
      <c r="H15" s="49"/>
      <c r="I15" s="49"/>
      <c r="J15" s="49"/>
      <c r="K15" s="49"/>
      <c r="L15" s="49"/>
      <c r="M15" s="49"/>
      <c r="N15" s="49"/>
      <c r="O15" s="49"/>
      <c r="P15" s="49"/>
      <c r="Q15" s="49"/>
      <c r="R15" s="49"/>
      <c r="S15" s="49"/>
      <c r="T15" s="49"/>
      <c r="U15" s="49"/>
      <c r="V15" s="49"/>
      <c r="W15" s="49"/>
      <c r="X15" s="49"/>
      <c r="Y15" s="49"/>
    </row>
    <row r="16">
      <c r="A16" s="49"/>
      <c r="B16" s="49"/>
      <c r="C16" s="49"/>
      <c r="D16" s="49"/>
      <c r="E16" s="49"/>
      <c r="F16" s="49"/>
      <c r="G16" s="49"/>
      <c r="H16" s="49"/>
      <c r="I16" s="49"/>
      <c r="J16" s="49"/>
      <c r="K16" s="49"/>
      <c r="L16" s="49"/>
      <c r="M16" s="49"/>
      <c r="N16" s="49"/>
      <c r="O16" s="49"/>
      <c r="P16" s="49"/>
      <c r="Q16" s="49"/>
      <c r="R16" s="49"/>
      <c r="S16" s="49"/>
      <c r="T16" s="49"/>
      <c r="U16" s="49"/>
      <c r="V16" s="49"/>
      <c r="W16" s="49"/>
      <c r="X16" s="49"/>
      <c r="Y16" s="49"/>
    </row>
    <row r="17">
      <c r="A17" s="49"/>
      <c r="B17" s="49"/>
      <c r="C17" s="49"/>
      <c r="D17" s="49"/>
      <c r="E17" s="49"/>
      <c r="F17" s="49"/>
      <c r="G17" s="49"/>
      <c r="H17" s="49"/>
      <c r="I17" s="49"/>
      <c r="J17" s="49"/>
      <c r="K17" s="49"/>
      <c r="L17" s="49"/>
      <c r="M17" s="49"/>
      <c r="N17" s="49"/>
      <c r="O17" s="49"/>
      <c r="P17" s="49"/>
      <c r="Q17" s="49"/>
      <c r="R17" s="49"/>
      <c r="S17" s="49"/>
      <c r="T17" s="49"/>
      <c r="U17" s="49"/>
      <c r="V17" s="49"/>
      <c r="W17" s="49"/>
      <c r="X17" s="49"/>
      <c r="Y17" s="49"/>
    </row>
    <row r="18">
      <c r="A18" s="49"/>
      <c r="B18" s="49"/>
      <c r="C18" s="49"/>
      <c r="D18" s="49"/>
      <c r="E18" s="49"/>
      <c r="F18" s="49"/>
      <c r="G18" s="49"/>
      <c r="H18" s="49"/>
      <c r="I18" s="49"/>
      <c r="J18" s="49"/>
      <c r="K18" s="49"/>
      <c r="L18" s="49"/>
      <c r="M18" s="49"/>
      <c r="N18" s="49"/>
      <c r="O18" s="49"/>
      <c r="P18" s="49"/>
      <c r="Q18" s="49"/>
      <c r="R18" s="49"/>
      <c r="S18" s="49"/>
      <c r="T18" s="49"/>
      <c r="U18" s="49"/>
      <c r="V18" s="49"/>
      <c r="W18" s="49"/>
      <c r="X18" s="49"/>
      <c r="Y18" s="49"/>
    </row>
    <row r="19">
      <c r="A19" s="49"/>
      <c r="B19" s="49"/>
      <c r="C19" s="49"/>
      <c r="D19" s="49"/>
      <c r="E19" s="49"/>
      <c r="F19" s="49"/>
      <c r="G19" s="49"/>
      <c r="H19" s="49"/>
      <c r="I19" s="49"/>
      <c r="J19" s="49"/>
      <c r="K19" s="49"/>
      <c r="L19" s="49"/>
      <c r="M19" s="49"/>
      <c r="N19" s="49"/>
      <c r="O19" s="49"/>
      <c r="P19" s="49"/>
      <c r="Q19" s="49"/>
      <c r="R19" s="49"/>
      <c r="S19" s="49"/>
      <c r="T19" s="49"/>
      <c r="U19" s="49"/>
      <c r="V19" s="49"/>
      <c r="W19" s="49"/>
      <c r="X19" s="49"/>
      <c r="Y19" s="49"/>
    </row>
    <row r="20">
      <c r="A20" s="49"/>
      <c r="B20" s="49"/>
      <c r="C20" s="49"/>
      <c r="D20" s="49"/>
      <c r="E20" s="49"/>
      <c r="F20" s="49"/>
      <c r="G20" s="49"/>
      <c r="H20" s="49"/>
      <c r="I20" s="49"/>
      <c r="J20" s="49"/>
      <c r="K20" s="49"/>
      <c r="L20" s="49"/>
      <c r="M20" s="49"/>
      <c r="N20" s="49"/>
      <c r="O20" s="49"/>
      <c r="P20" s="49"/>
      <c r="Q20" s="49"/>
      <c r="R20" s="49"/>
      <c r="S20" s="49"/>
      <c r="T20" s="49"/>
      <c r="U20" s="49"/>
      <c r="V20" s="49"/>
      <c r="W20" s="49"/>
      <c r="X20" s="49"/>
      <c r="Y20" s="49"/>
    </row>
    <row r="21">
      <c r="A21" s="49"/>
      <c r="B21" s="49"/>
      <c r="C21" s="49"/>
      <c r="D21" s="49"/>
      <c r="E21" s="49"/>
      <c r="F21" s="49"/>
      <c r="G21" s="49"/>
      <c r="H21" s="49"/>
      <c r="I21" s="49"/>
      <c r="J21" s="49"/>
      <c r="K21" s="49"/>
      <c r="L21" s="49"/>
      <c r="M21" s="49"/>
      <c r="N21" s="49"/>
      <c r="O21" s="49"/>
      <c r="P21" s="49"/>
      <c r="Q21" s="49"/>
      <c r="R21" s="49"/>
      <c r="S21" s="49"/>
      <c r="T21" s="49"/>
      <c r="U21" s="49"/>
      <c r="V21" s="49"/>
      <c r="W21" s="49"/>
      <c r="X21" s="49"/>
      <c r="Y21" s="49"/>
    </row>
    <row r="22">
      <c r="A22" s="49"/>
      <c r="B22" s="49"/>
      <c r="C22" s="49"/>
      <c r="D22" s="49"/>
      <c r="E22" s="49"/>
      <c r="F22" s="49"/>
      <c r="G22" s="49"/>
      <c r="H22" s="49"/>
      <c r="I22" s="49"/>
      <c r="J22" s="49"/>
      <c r="K22" s="49"/>
      <c r="L22" s="49"/>
      <c r="M22" s="49"/>
      <c r="N22" s="49"/>
      <c r="O22" s="49"/>
      <c r="P22" s="49"/>
      <c r="Q22" s="49"/>
      <c r="R22" s="49"/>
      <c r="S22" s="49"/>
      <c r="T22" s="49"/>
      <c r="U22" s="49"/>
      <c r="V22" s="49"/>
      <c r="W22" s="49"/>
      <c r="X22" s="49"/>
      <c r="Y22" s="49"/>
    </row>
    <row r="23">
      <c r="A23" s="49"/>
      <c r="B23" s="49"/>
      <c r="C23" s="49"/>
      <c r="D23" s="49"/>
      <c r="E23" s="49"/>
      <c r="F23" s="49"/>
      <c r="G23" s="49"/>
      <c r="H23" s="49"/>
      <c r="I23" s="49"/>
      <c r="J23" s="49"/>
      <c r="K23" s="49"/>
      <c r="L23" s="49"/>
      <c r="M23" s="49"/>
      <c r="N23" s="49"/>
      <c r="O23" s="49"/>
      <c r="P23" s="49"/>
      <c r="Q23" s="49"/>
      <c r="R23" s="49"/>
      <c r="S23" s="49"/>
      <c r="T23" s="49"/>
      <c r="U23" s="49"/>
      <c r="V23" s="49"/>
      <c r="W23" s="49"/>
      <c r="X23" s="49"/>
      <c r="Y23" s="49"/>
    </row>
    <row r="24">
      <c r="A24" s="49"/>
      <c r="B24" s="49"/>
      <c r="C24" s="49"/>
      <c r="D24" s="49"/>
      <c r="E24" s="49"/>
      <c r="F24" s="49"/>
      <c r="G24" s="49"/>
      <c r="H24" s="49"/>
      <c r="I24" s="49"/>
      <c r="J24" s="49"/>
      <c r="K24" s="49"/>
      <c r="L24" s="49"/>
      <c r="M24" s="49"/>
      <c r="N24" s="49"/>
      <c r="O24" s="49"/>
      <c r="P24" s="49"/>
      <c r="Q24" s="49"/>
      <c r="R24" s="49"/>
      <c r="S24" s="49"/>
      <c r="T24" s="49"/>
      <c r="U24" s="49"/>
      <c r="V24" s="49"/>
      <c r="W24" s="49"/>
      <c r="X24" s="49"/>
      <c r="Y24" s="49"/>
    </row>
    <row r="25">
      <c r="A25" s="49"/>
      <c r="B25" s="49"/>
      <c r="C25" s="49"/>
      <c r="D25" s="49"/>
      <c r="E25" s="49"/>
      <c r="F25" s="49"/>
      <c r="G25" s="49"/>
      <c r="H25" s="49"/>
      <c r="I25" s="49"/>
      <c r="J25" s="49"/>
      <c r="K25" s="49"/>
      <c r="L25" s="49"/>
      <c r="M25" s="49"/>
      <c r="N25" s="49"/>
      <c r="O25" s="49"/>
      <c r="P25" s="49"/>
      <c r="Q25" s="49"/>
      <c r="R25" s="49"/>
      <c r="S25" s="49"/>
      <c r="T25" s="49"/>
      <c r="U25" s="49"/>
      <c r="V25" s="49"/>
      <c r="W25" s="49"/>
      <c r="X25" s="49"/>
      <c r="Y25" s="49"/>
    </row>
    <row r="26">
      <c r="A26" s="49"/>
      <c r="B26" s="49"/>
      <c r="C26" s="49"/>
      <c r="D26" s="49"/>
      <c r="E26" s="49"/>
      <c r="F26" s="49"/>
      <c r="G26" s="49"/>
      <c r="H26" s="49"/>
      <c r="I26" s="49"/>
      <c r="J26" s="49"/>
      <c r="K26" s="49"/>
      <c r="L26" s="49"/>
      <c r="M26" s="49"/>
      <c r="N26" s="49"/>
      <c r="O26" s="49"/>
      <c r="P26" s="49"/>
      <c r="Q26" s="49"/>
      <c r="R26" s="49"/>
      <c r="S26" s="49"/>
      <c r="T26" s="49"/>
      <c r="U26" s="49"/>
      <c r="V26" s="49"/>
      <c r="W26" s="49"/>
      <c r="X26" s="49"/>
      <c r="Y26" s="49"/>
    </row>
    <row r="27">
      <c r="A27" s="49"/>
      <c r="B27" s="49"/>
      <c r="C27" s="49"/>
      <c r="D27" s="49"/>
      <c r="E27" s="49"/>
      <c r="F27" s="49"/>
      <c r="G27" s="49"/>
      <c r="H27" s="49"/>
      <c r="I27" s="49"/>
      <c r="J27" s="49"/>
      <c r="K27" s="49"/>
      <c r="L27" s="49"/>
      <c r="M27" s="49"/>
      <c r="N27" s="49"/>
      <c r="O27" s="49"/>
      <c r="P27" s="49"/>
      <c r="Q27" s="49"/>
      <c r="R27" s="49"/>
      <c r="S27" s="49"/>
      <c r="T27" s="49"/>
      <c r="U27" s="49"/>
      <c r="V27" s="49"/>
      <c r="W27" s="49"/>
      <c r="X27" s="49"/>
      <c r="Y27" s="49"/>
    </row>
    <row r="28">
      <c r="A28" s="49"/>
      <c r="B28" s="49"/>
      <c r="C28" s="49"/>
      <c r="D28" s="49"/>
      <c r="E28" s="49"/>
      <c r="F28" s="49"/>
      <c r="G28" s="49"/>
      <c r="H28" s="49"/>
      <c r="I28" s="49"/>
      <c r="J28" s="49"/>
      <c r="K28" s="49"/>
      <c r="L28" s="49"/>
      <c r="M28" s="49"/>
      <c r="N28" s="49"/>
      <c r="O28" s="49"/>
      <c r="P28" s="49"/>
      <c r="Q28" s="49"/>
      <c r="R28" s="49"/>
      <c r="S28" s="49"/>
      <c r="T28" s="49"/>
      <c r="U28" s="49"/>
      <c r="V28" s="49"/>
      <c r="W28" s="49"/>
      <c r="X28" s="49"/>
      <c r="Y28" s="49"/>
    </row>
    <row r="29">
      <c r="A29" s="49"/>
      <c r="B29" s="49"/>
      <c r="C29" s="49"/>
      <c r="D29" s="49"/>
      <c r="E29" s="49"/>
      <c r="F29" s="49"/>
      <c r="G29" s="49"/>
      <c r="H29" s="49"/>
      <c r="I29" s="49"/>
      <c r="J29" s="49"/>
      <c r="K29" s="49"/>
      <c r="L29" s="49"/>
      <c r="M29" s="49"/>
      <c r="N29" s="49"/>
      <c r="O29" s="49"/>
      <c r="P29" s="49"/>
      <c r="Q29" s="49"/>
      <c r="R29" s="49"/>
      <c r="S29" s="49"/>
      <c r="T29" s="49"/>
      <c r="U29" s="49"/>
      <c r="V29" s="49"/>
      <c r="W29" s="49"/>
      <c r="X29" s="49"/>
      <c r="Y29" s="49"/>
    </row>
    <row r="30">
      <c r="A30" s="49"/>
      <c r="B30" s="49"/>
      <c r="C30" s="49"/>
      <c r="D30" s="49"/>
      <c r="E30" s="49"/>
      <c r="F30" s="49"/>
      <c r="G30" s="49"/>
      <c r="H30" s="49"/>
      <c r="I30" s="49"/>
      <c r="J30" s="49"/>
      <c r="K30" s="49"/>
      <c r="L30" s="49"/>
      <c r="M30" s="49"/>
      <c r="N30" s="49"/>
      <c r="O30" s="49"/>
      <c r="P30" s="49"/>
      <c r="Q30" s="49"/>
      <c r="R30" s="49"/>
      <c r="S30" s="49"/>
      <c r="T30" s="49"/>
      <c r="U30" s="49"/>
      <c r="V30" s="49"/>
      <c r="W30" s="49"/>
      <c r="X30" s="49"/>
      <c r="Y30" s="49"/>
    </row>
    <row r="31">
      <c r="A31" s="49"/>
      <c r="B31" s="49"/>
      <c r="C31" s="49"/>
      <c r="D31" s="49"/>
      <c r="E31" s="49"/>
      <c r="F31" s="49"/>
      <c r="G31" s="49"/>
      <c r="H31" s="49"/>
      <c r="I31" s="49"/>
      <c r="J31" s="49"/>
      <c r="K31" s="49"/>
      <c r="L31" s="49"/>
      <c r="M31" s="49"/>
      <c r="N31" s="49"/>
      <c r="O31" s="49"/>
      <c r="P31" s="49"/>
      <c r="Q31" s="49"/>
      <c r="R31" s="49"/>
      <c r="S31" s="49"/>
      <c r="T31" s="49"/>
      <c r="U31" s="49"/>
      <c r="V31" s="49"/>
      <c r="W31" s="49"/>
      <c r="X31" s="49"/>
      <c r="Y31" s="49"/>
    </row>
    <row r="32">
      <c r="A32" s="49"/>
      <c r="B32" s="49"/>
      <c r="C32" s="49"/>
      <c r="D32" s="49"/>
      <c r="E32" s="49"/>
      <c r="F32" s="49"/>
      <c r="G32" s="49"/>
      <c r="H32" s="49"/>
      <c r="I32" s="49"/>
      <c r="J32" s="49"/>
      <c r="K32" s="49"/>
      <c r="L32" s="49"/>
      <c r="M32" s="49"/>
      <c r="N32" s="49"/>
      <c r="O32" s="49"/>
      <c r="P32" s="49"/>
      <c r="Q32" s="49"/>
      <c r="R32" s="49"/>
      <c r="S32" s="49"/>
      <c r="T32" s="49"/>
      <c r="U32" s="49"/>
      <c r="V32" s="49"/>
      <c r="W32" s="49"/>
      <c r="X32" s="49"/>
      <c r="Y32" s="49"/>
    </row>
    <row r="33">
      <c r="A33" s="49"/>
      <c r="B33" s="49"/>
      <c r="C33" s="49"/>
      <c r="D33" s="49"/>
      <c r="E33" s="49"/>
      <c r="F33" s="49"/>
      <c r="G33" s="49"/>
      <c r="H33" s="49"/>
      <c r="I33" s="49"/>
      <c r="J33" s="49"/>
      <c r="K33" s="49"/>
      <c r="L33" s="49"/>
      <c r="M33" s="49"/>
      <c r="N33" s="49"/>
      <c r="O33" s="49"/>
      <c r="P33" s="49"/>
      <c r="Q33" s="49"/>
      <c r="R33" s="49"/>
      <c r="S33" s="49"/>
      <c r="T33" s="49"/>
      <c r="U33" s="49"/>
      <c r="V33" s="49"/>
      <c r="W33" s="49"/>
      <c r="X33" s="49"/>
      <c r="Y33" s="49"/>
    </row>
    <row r="34">
      <c r="A34" s="49"/>
      <c r="B34" s="49"/>
      <c r="C34" s="49"/>
      <c r="D34" s="49"/>
      <c r="E34" s="49"/>
      <c r="F34" s="49"/>
      <c r="G34" s="49"/>
      <c r="H34" s="49"/>
      <c r="I34" s="49"/>
      <c r="J34" s="49"/>
      <c r="K34" s="49"/>
      <c r="L34" s="49"/>
      <c r="M34" s="49"/>
      <c r="N34" s="49"/>
      <c r="O34" s="49"/>
      <c r="P34" s="49"/>
      <c r="Q34" s="49"/>
      <c r="R34" s="49"/>
      <c r="S34" s="49"/>
      <c r="T34" s="49"/>
      <c r="U34" s="49"/>
      <c r="V34" s="49"/>
      <c r="W34" s="49"/>
      <c r="X34" s="49"/>
      <c r="Y34" s="49"/>
    </row>
    <row r="35">
      <c r="A35" s="49"/>
      <c r="B35" s="49"/>
      <c r="C35" s="49"/>
      <c r="D35" s="49"/>
      <c r="E35" s="49"/>
      <c r="F35" s="49"/>
      <c r="G35" s="49"/>
      <c r="H35" s="49"/>
      <c r="I35" s="49"/>
      <c r="J35" s="49"/>
      <c r="K35" s="49"/>
      <c r="L35" s="49"/>
      <c r="M35" s="49"/>
      <c r="N35" s="49"/>
      <c r="O35" s="49"/>
      <c r="P35" s="49"/>
      <c r="Q35" s="49"/>
      <c r="R35" s="49"/>
      <c r="S35" s="49"/>
      <c r="T35" s="49"/>
      <c r="U35" s="49"/>
      <c r="V35" s="49"/>
      <c r="W35" s="49"/>
      <c r="X35" s="49"/>
      <c r="Y35" s="49"/>
    </row>
    <row r="36">
      <c r="A36" s="49"/>
      <c r="B36" s="49"/>
      <c r="C36" s="49"/>
      <c r="D36" s="49"/>
      <c r="E36" s="49"/>
      <c r="F36" s="49"/>
      <c r="G36" s="49"/>
      <c r="H36" s="49"/>
      <c r="I36" s="49"/>
      <c r="J36" s="49"/>
      <c r="K36" s="49"/>
      <c r="L36" s="49"/>
      <c r="M36" s="49"/>
      <c r="N36" s="49"/>
      <c r="O36" s="49"/>
      <c r="P36" s="49"/>
      <c r="Q36" s="49"/>
      <c r="R36" s="49"/>
      <c r="S36" s="49"/>
      <c r="T36" s="49"/>
      <c r="U36" s="49"/>
      <c r="V36" s="49"/>
      <c r="W36" s="49"/>
      <c r="X36" s="49"/>
      <c r="Y36" s="49"/>
    </row>
    <row r="37">
      <c r="A37" s="49"/>
      <c r="B37" s="49"/>
      <c r="C37" s="49"/>
      <c r="D37" s="49"/>
      <c r="E37" s="49"/>
      <c r="F37" s="49"/>
      <c r="G37" s="49"/>
      <c r="H37" s="49"/>
      <c r="I37" s="49"/>
      <c r="J37" s="49"/>
      <c r="K37" s="49"/>
      <c r="L37" s="49"/>
      <c r="M37" s="49"/>
      <c r="N37" s="49"/>
      <c r="O37" s="49"/>
      <c r="P37" s="49"/>
      <c r="Q37" s="49"/>
      <c r="R37" s="49"/>
      <c r="S37" s="49"/>
      <c r="T37" s="49"/>
      <c r="U37" s="49"/>
      <c r="V37" s="49"/>
      <c r="W37" s="49"/>
      <c r="X37" s="49"/>
      <c r="Y37" s="49"/>
    </row>
    <row r="38">
      <c r="A38" s="49"/>
      <c r="B38" s="49"/>
      <c r="C38" s="49"/>
      <c r="D38" s="49"/>
      <c r="E38" s="49"/>
      <c r="F38" s="49"/>
      <c r="G38" s="49"/>
      <c r="H38" s="49"/>
      <c r="I38" s="49"/>
      <c r="J38" s="49"/>
      <c r="K38" s="49"/>
      <c r="L38" s="49"/>
      <c r="M38" s="49"/>
      <c r="N38" s="49"/>
      <c r="O38" s="49"/>
      <c r="P38" s="49"/>
      <c r="Q38" s="49"/>
      <c r="R38" s="49"/>
      <c r="S38" s="49"/>
      <c r="T38" s="49"/>
      <c r="U38" s="49"/>
      <c r="V38" s="49"/>
      <c r="W38" s="49"/>
      <c r="X38" s="49"/>
      <c r="Y38" s="49"/>
    </row>
    <row r="39">
      <c r="A39" s="49"/>
      <c r="B39" s="49"/>
      <c r="C39" s="49"/>
      <c r="D39" s="49"/>
      <c r="E39" s="49"/>
      <c r="F39" s="49"/>
      <c r="G39" s="49"/>
      <c r="H39" s="49"/>
      <c r="I39" s="49"/>
      <c r="J39" s="49"/>
      <c r="K39" s="49"/>
      <c r="L39" s="49"/>
      <c r="M39" s="49"/>
      <c r="N39" s="49"/>
      <c r="O39" s="49"/>
      <c r="P39" s="49"/>
      <c r="Q39" s="49"/>
      <c r="R39" s="49"/>
      <c r="S39" s="49"/>
      <c r="T39" s="49"/>
      <c r="U39" s="49"/>
      <c r="V39" s="49"/>
      <c r="W39" s="49"/>
      <c r="X39" s="49"/>
      <c r="Y39" s="49"/>
    </row>
    <row r="40">
      <c r="A40" s="49"/>
      <c r="B40" s="49"/>
      <c r="C40" s="49"/>
      <c r="D40" s="49"/>
      <c r="E40" s="49"/>
      <c r="F40" s="49"/>
      <c r="G40" s="49"/>
      <c r="H40" s="49"/>
      <c r="I40" s="49"/>
      <c r="J40" s="49"/>
      <c r="K40" s="49"/>
      <c r="L40" s="49"/>
      <c r="M40" s="49"/>
      <c r="N40" s="49"/>
      <c r="O40" s="49"/>
      <c r="P40" s="49"/>
      <c r="Q40" s="49"/>
      <c r="R40" s="49"/>
      <c r="S40" s="49"/>
      <c r="T40" s="49"/>
      <c r="U40" s="49"/>
      <c r="V40" s="49"/>
      <c r="W40" s="49"/>
      <c r="X40" s="49"/>
      <c r="Y40" s="49"/>
    </row>
    <row r="41">
      <c r="A41" s="49"/>
      <c r="B41" s="49"/>
      <c r="C41" s="49"/>
      <c r="D41" s="49"/>
      <c r="E41" s="49"/>
      <c r="F41" s="49"/>
      <c r="G41" s="49"/>
      <c r="H41" s="49"/>
      <c r="I41" s="49"/>
      <c r="J41" s="49"/>
      <c r="K41" s="49"/>
      <c r="L41" s="49"/>
      <c r="M41" s="49"/>
      <c r="N41" s="49"/>
      <c r="O41" s="49"/>
      <c r="P41" s="49"/>
      <c r="Q41" s="49"/>
      <c r="R41" s="49"/>
      <c r="S41" s="49"/>
      <c r="T41" s="49"/>
      <c r="U41" s="49"/>
      <c r="V41" s="49"/>
      <c r="W41" s="49"/>
      <c r="X41" s="49"/>
      <c r="Y41" s="49"/>
    </row>
    <row r="42">
      <c r="A42" s="49"/>
      <c r="B42" s="49"/>
      <c r="C42" s="49"/>
      <c r="D42" s="49"/>
      <c r="E42" s="49"/>
      <c r="F42" s="49"/>
      <c r="G42" s="49"/>
      <c r="H42" s="49"/>
      <c r="I42" s="49"/>
      <c r="J42" s="49"/>
      <c r="K42" s="49"/>
      <c r="L42" s="49"/>
      <c r="M42" s="49"/>
      <c r="N42" s="49"/>
      <c r="O42" s="49"/>
      <c r="P42" s="49"/>
      <c r="Q42" s="49"/>
      <c r="R42" s="49"/>
      <c r="S42" s="49"/>
      <c r="T42" s="49"/>
      <c r="U42" s="49"/>
      <c r="V42" s="49"/>
      <c r="W42" s="49"/>
      <c r="X42" s="49"/>
      <c r="Y42" s="49"/>
    </row>
    <row r="43">
      <c r="A43" s="49"/>
      <c r="B43" s="49"/>
      <c r="C43" s="49"/>
      <c r="D43" s="49"/>
      <c r="E43" s="49"/>
      <c r="F43" s="49"/>
      <c r="G43" s="49"/>
      <c r="H43" s="49"/>
      <c r="I43" s="49"/>
      <c r="J43" s="49"/>
      <c r="K43" s="49"/>
      <c r="L43" s="49"/>
      <c r="M43" s="49"/>
      <c r="N43" s="49"/>
      <c r="O43" s="49"/>
      <c r="P43" s="49"/>
      <c r="Q43" s="49"/>
      <c r="R43" s="49"/>
      <c r="S43" s="49"/>
      <c r="T43" s="49"/>
      <c r="U43" s="49"/>
      <c r="V43" s="49"/>
      <c r="W43" s="49"/>
      <c r="X43" s="49"/>
      <c r="Y43" s="49"/>
    </row>
    <row r="44">
      <c r="A44" s="49"/>
      <c r="B44" s="49"/>
      <c r="C44" s="49"/>
      <c r="D44" s="49"/>
      <c r="E44" s="49"/>
      <c r="F44" s="49"/>
      <c r="G44" s="49"/>
      <c r="H44" s="49"/>
      <c r="I44" s="49"/>
      <c r="J44" s="49"/>
      <c r="K44" s="49"/>
      <c r="L44" s="49"/>
      <c r="M44" s="49"/>
      <c r="N44" s="49"/>
      <c r="O44" s="49"/>
      <c r="P44" s="49"/>
      <c r="Q44" s="49"/>
      <c r="R44" s="49"/>
      <c r="S44" s="49"/>
      <c r="T44" s="49"/>
      <c r="U44" s="49"/>
      <c r="V44" s="49"/>
      <c r="W44" s="49"/>
      <c r="X44" s="49"/>
      <c r="Y44" s="49"/>
    </row>
    <row r="45">
      <c r="A45" s="49"/>
      <c r="B45" s="49"/>
      <c r="C45" s="49"/>
      <c r="D45" s="49"/>
      <c r="E45" s="49"/>
      <c r="F45" s="49"/>
      <c r="G45" s="49"/>
      <c r="H45" s="49"/>
      <c r="I45" s="49"/>
      <c r="J45" s="49"/>
      <c r="K45" s="49"/>
      <c r="L45" s="49"/>
      <c r="M45" s="49"/>
      <c r="N45" s="49"/>
      <c r="O45" s="49"/>
      <c r="P45" s="49"/>
      <c r="Q45" s="49"/>
      <c r="R45" s="49"/>
      <c r="S45" s="49"/>
      <c r="T45" s="49"/>
      <c r="U45" s="49"/>
      <c r="V45" s="49"/>
      <c r="W45" s="49"/>
      <c r="X45" s="49"/>
      <c r="Y45" s="49"/>
    </row>
    <row r="46">
      <c r="A46" s="49"/>
      <c r="B46" s="49"/>
      <c r="C46" s="49"/>
      <c r="D46" s="49"/>
      <c r="E46" s="49"/>
      <c r="F46" s="49"/>
      <c r="G46" s="49"/>
      <c r="H46" s="49"/>
      <c r="I46" s="49"/>
      <c r="J46" s="49"/>
      <c r="K46" s="49"/>
      <c r="L46" s="49"/>
      <c r="M46" s="49"/>
      <c r="N46" s="49"/>
      <c r="O46" s="49"/>
      <c r="P46" s="49"/>
      <c r="Q46" s="49"/>
      <c r="R46" s="49"/>
      <c r="S46" s="49"/>
      <c r="T46" s="49"/>
      <c r="U46" s="49"/>
      <c r="V46" s="49"/>
      <c r="W46" s="49"/>
      <c r="X46" s="49"/>
      <c r="Y46" s="49"/>
    </row>
    <row r="47">
      <c r="A47" s="49"/>
      <c r="B47" s="49"/>
      <c r="C47" s="49"/>
      <c r="D47" s="49"/>
      <c r="E47" s="49"/>
      <c r="F47" s="49"/>
      <c r="G47" s="49"/>
      <c r="H47" s="49"/>
      <c r="I47" s="49"/>
      <c r="J47" s="49"/>
      <c r="K47" s="49"/>
      <c r="L47" s="49"/>
      <c r="M47" s="49"/>
      <c r="N47" s="49"/>
      <c r="O47" s="49"/>
      <c r="P47" s="49"/>
      <c r="Q47" s="49"/>
      <c r="R47" s="49"/>
      <c r="S47" s="49"/>
      <c r="T47" s="49"/>
      <c r="U47" s="49"/>
      <c r="V47" s="49"/>
      <c r="W47" s="49"/>
      <c r="X47" s="49"/>
      <c r="Y47" s="49"/>
    </row>
    <row r="48">
      <c r="A48" s="49"/>
      <c r="B48" s="49"/>
      <c r="C48" s="49"/>
      <c r="D48" s="49"/>
      <c r="E48" s="49"/>
      <c r="F48" s="49"/>
      <c r="G48" s="49"/>
      <c r="H48" s="49"/>
      <c r="I48" s="49"/>
      <c r="J48" s="49"/>
      <c r="K48" s="49"/>
      <c r="L48" s="49"/>
      <c r="M48" s="49"/>
      <c r="N48" s="49"/>
      <c r="O48" s="49"/>
      <c r="P48" s="49"/>
      <c r="Q48" s="49"/>
      <c r="R48" s="49"/>
      <c r="S48" s="49"/>
      <c r="T48" s="49"/>
      <c r="U48" s="49"/>
      <c r="V48" s="49"/>
      <c r="W48" s="49"/>
      <c r="X48" s="49"/>
      <c r="Y48" s="49"/>
    </row>
    <row r="49">
      <c r="A49" s="49"/>
      <c r="B49" s="49"/>
      <c r="C49" s="49"/>
      <c r="D49" s="49"/>
      <c r="E49" s="49"/>
      <c r="F49" s="49"/>
      <c r="G49" s="49"/>
      <c r="H49" s="49"/>
      <c r="I49" s="49"/>
      <c r="J49" s="49"/>
      <c r="K49" s="49"/>
      <c r="L49" s="49"/>
      <c r="M49" s="49"/>
      <c r="N49" s="49"/>
      <c r="O49" s="49"/>
      <c r="P49" s="49"/>
      <c r="Q49" s="49"/>
      <c r="R49" s="49"/>
      <c r="S49" s="49"/>
      <c r="T49" s="49"/>
      <c r="U49" s="49"/>
      <c r="V49" s="49"/>
      <c r="W49" s="49"/>
      <c r="X49" s="49"/>
      <c r="Y49" s="49"/>
    </row>
    <row r="50">
      <c r="A50" s="49"/>
      <c r="B50" s="49"/>
      <c r="C50" s="49"/>
      <c r="D50" s="49"/>
      <c r="E50" s="49"/>
      <c r="F50" s="49"/>
      <c r="G50" s="49"/>
      <c r="H50" s="49"/>
      <c r="I50" s="49"/>
      <c r="J50" s="49"/>
      <c r="K50" s="49"/>
      <c r="L50" s="49"/>
      <c r="M50" s="49"/>
      <c r="N50" s="49"/>
      <c r="O50" s="49"/>
      <c r="P50" s="49"/>
      <c r="Q50" s="49"/>
      <c r="R50" s="49"/>
      <c r="S50" s="49"/>
      <c r="T50" s="49"/>
      <c r="U50" s="49"/>
      <c r="V50" s="49"/>
      <c r="W50" s="49"/>
      <c r="X50" s="49"/>
      <c r="Y50" s="49"/>
    </row>
    <row r="51">
      <c r="A51" s="49"/>
      <c r="B51" s="49"/>
      <c r="C51" s="49"/>
      <c r="D51" s="49"/>
      <c r="E51" s="49"/>
      <c r="F51" s="49"/>
      <c r="G51" s="49"/>
      <c r="H51" s="49"/>
      <c r="I51" s="49"/>
      <c r="J51" s="49"/>
      <c r="K51" s="49"/>
      <c r="L51" s="49"/>
      <c r="M51" s="49"/>
      <c r="N51" s="49"/>
      <c r="O51" s="49"/>
      <c r="P51" s="49"/>
      <c r="Q51" s="49"/>
      <c r="R51" s="49"/>
      <c r="S51" s="49"/>
      <c r="T51" s="49"/>
      <c r="U51" s="49"/>
      <c r="V51" s="49"/>
      <c r="W51" s="49"/>
      <c r="X51" s="49"/>
      <c r="Y51" s="49"/>
    </row>
    <row r="52">
      <c r="A52" s="49"/>
      <c r="B52" s="49"/>
      <c r="C52" s="49"/>
      <c r="D52" s="49"/>
      <c r="E52" s="49"/>
      <c r="F52" s="49"/>
      <c r="G52" s="49"/>
      <c r="H52" s="49"/>
      <c r="I52" s="49"/>
      <c r="J52" s="49"/>
      <c r="K52" s="49"/>
      <c r="L52" s="49"/>
      <c r="M52" s="49"/>
      <c r="N52" s="49"/>
      <c r="O52" s="49"/>
      <c r="P52" s="49"/>
      <c r="Q52" s="49"/>
      <c r="R52" s="49"/>
      <c r="S52" s="49"/>
      <c r="T52" s="49"/>
      <c r="U52" s="49"/>
      <c r="V52" s="49"/>
      <c r="W52" s="49"/>
      <c r="X52" s="49"/>
      <c r="Y52" s="49"/>
    </row>
    <row r="53">
      <c r="A53" s="49"/>
      <c r="B53" s="49"/>
      <c r="C53" s="49"/>
      <c r="D53" s="49"/>
      <c r="E53" s="49"/>
      <c r="F53" s="49"/>
      <c r="G53" s="49"/>
      <c r="H53" s="49"/>
      <c r="I53" s="49"/>
      <c r="J53" s="49"/>
      <c r="K53" s="49"/>
      <c r="L53" s="49"/>
      <c r="M53" s="49"/>
      <c r="N53" s="49"/>
      <c r="O53" s="49"/>
      <c r="P53" s="49"/>
      <c r="Q53" s="49"/>
      <c r="R53" s="49"/>
      <c r="S53" s="49"/>
      <c r="T53" s="49"/>
      <c r="U53" s="49"/>
      <c r="V53" s="49"/>
      <c r="W53" s="49"/>
      <c r="X53" s="49"/>
      <c r="Y53" s="49"/>
    </row>
    <row r="54">
      <c r="A54" s="49"/>
      <c r="B54" s="49"/>
      <c r="C54" s="49"/>
      <c r="D54" s="49"/>
      <c r="E54" s="49"/>
      <c r="F54" s="49"/>
      <c r="G54" s="49"/>
      <c r="H54" s="49"/>
      <c r="I54" s="49"/>
      <c r="J54" s="49"/>
      <c r="K54" s="49"/>
      <c r="L54" s="49"/>
      <c r="M54" s="49"/>
      <c r="N54" s="49"/>
      <c r="O54" s="49"/>
      <c r="P54" s="49"/>
      <c r="Q54" s="49"/>
      <c r="R54" s="49"/>
      <c r="S54" s="49"/>
      <c r="T54" s="49"/>
      <c r="U54" s="49"/>
      <c r="V54" s="49"/>
      <c r="W54" s="49"/>
      <c r="X54" s="49"/>
      <c r="Y54" s="49"/>
    </row>
    <row r="55">
      <c r="A55" s="49"/>
      <c r="B55" s="49"/>
      <c r="C55" s="49"/>
      <c r="D55" s="49"/>
      <c r="E55" s="49"/>
      <c r="F55" s="49"/>
      <c r="G55" s="49"/>
      <c r="H55" s="49"/>
      <c r="I55" s="49"/>
      <c r="J55" s="49"/>
      <c r="K55" s="49"/>
      <c r="L55" s="49"/>
      <c r="M55" s="49"/>
      <c r="N55" s="49"/>
      <c r="O55" s="49"/>
      <c r="P55" s="49"/>
      <c r="Q55" s="49"/>
      <c r="R55" s="49"/>
      <c r="S55" s="49"/>
      <c r="T55" s="49"/>
      <c r="U55" s="49"/>
      <c r="V55" s="49"/>
      <c r="W55" s="49"/>
      <c r="X55" s="49"/>
      <c r="Y55" s="49"/>
    </row>
    <row r="56">
      <c r="A56" s="49"/>
      <c r="B56" s="49"/>
      <c r="C56" s="49"/>
      <c r="D56" s="49"/>
      <c r="E56" s="49"/>
      <c r="F56" s="49"/>
      <c r="G56" s="49"/>
      <c r="H56" s="49"/>
      <c r="I56" s="49"/>
      <c r="J56" s="49"/>
      <c r="K56" s="49"/>
      <c r="L56" s="49"/>
      <c r="M56" s="49"/>
      <c r="N56" s="49"/>
      <c r="O56" s="49"/>
      <c r="P56" s="49"/>
      <c r="Q56" s="49"/>
      <c r="R56" s="49"/>
      <c r="S56" s="49"/>
      <c r="T56" s="49"/>
      <c r="U56" s="49"/>
      <c r="V56" s="49"/>
      <c r="W56" s="49"/>
      <c r="X56" s="49"/>
      <c r="Y56" s="49"/>
    </row>
    <row r="57">
      <c r="A57" s="49"/>
      <c r="B57" s="49"/>
      <c r="C57" s="49"/>
      <c r="D57" s="49"/>
      <c r="E57" s="49"/>
      <c r="F57" s="49"/>
      <c r="G57" s="49"/>
      <c r="H57" s="49"/>
      <c r="I57" s="49"/>
      <c r="J57" s="49"/>
      <c r="K57" s="49"/>
      <c r="L57" s="49"/>
      <c r="M57" s="49"/>
      <c r="N57" s="49"/>
      <c r="O57" s="49"/>
      <c r="P57" s="49"/>
      <c r="Q57" s="49"/>
      <c r="R57" s="49"/>
      <c r="S57" s="49"/>
      <c r="T57" s="49"/>
      <c r="U57" s="49"/>
      <c r="V57" s="49"/>
      <c r="W57" s="49"/>
      <c r="X57" s="49"/>
      <c r="Y57" s="49"/>
    </row>
    <row r="58">
      <c r="A58" s="49"/>
      <c r="B58" s="49"/>
      <c r="C58" s="49"/>
      <c r="D58" s="49"/>
      <c r="E58" s="49"/>
      <c r="F58" s="49"/>
      <c r="G58" s="49"/>
      <c r="H58" s="49"/>
      <c r="I58" s="49"/>
      <c r="J58" s="49"/>
      <c r="K58" s="49"/>
      <c r="L58" s="49"/>
      <c r="M58" s="49"/>
      <c r="N58" s="49"/>
      <c r="O58" s="49"/>
      <c r="P58" s="49"/>
      <c r="Q58" s="49"/>
      <c r="R58" s="49"/>
      <c r="S58" s="49"/>
      <c r="T58" s="49"/>
      <c r="U58" s="49"/>
      <c r="V58" s="49"/>
      <c r="W58" s="49"/>
      <c r="X58" s="49"/>
      <c r="Y58" s="49"/>
    </row>
    <row r="59">
      <c r="A59" s="49"/>
      <c r="B59" s="49"/>
      <c r="C59" s="49"/>
      <c r="D59" s="49"/>
      <c r="E59" s="49"/>
      <c r="F59" s="49"/>
      <c r="G59" s="49"/>
      <c r="H59" s="49"/>
      <c r="I59" s="49"/>
      <c r="J59" s="49"/>
      <c r="K59" s="49"/>
      <c r="L59" s="49"/>
      <c r="M59" s="49"/>
      <c r="N59" s="49"/>
      <c r="O59" s="49"/>
      <c r="P59" s="49"/>
      <c r="Q59" s="49"/>
      <c r="R59" s="49"/>
      <c r="S59" s="49"/>
      <c r="T59" s="49"/>
      <c r="U59" s="49"/>
      <c r="V59" s="49"/>
      <c r="W59" s="49"/>
      <c r="X59" s="49"/>
      <c r="Y59" s="49"/>
    </row>
    <row r="60">
      <c r="A60" s="49"/>
      <c r="B60" s="49"/>
      <c r="C60" s="49"/>
      <c r="D60" s="49"/>
      <c r="E60" s="49"/>
      <c r="F60" s="49"/>
      <c r="G60" s="49"/>
      <c r="H60" s="49"/>
      <c r="I60" s="49"/>
      <c r="J60" s="49"/>
      <c r="K60" s="49"/>
      <c r="L60" s="49"/>
      <c r="M60" s="49"/>
      <c r="N60" s="49"/>
      <c r="O60" s="49"/>
      <c r="P60" s="49"/>
      <c r="Q60" s="49"/>
      <c r="R60" s="49"/>
      <c r="S60" s="49"/>
      <c r="T60" s="49"/>
      <c r="U60" s="49"/>
      <c r="V60" s="49"/>
      <c r="W60" s="49"/>
      <c r="X60" s="49"/>
      <c r="Y60" s="49"/>
    </row>
    <row r="61">
      <c r="A61" s="49"/>
      <c r="B61" s="49"/>
      <c r="C61" s="49"/>
      <c r="D61" s="49"/>
      <c r="E61" s="49"/>
      <c r="F61" s="49"/>
      <c r="G61" s="49"/>
      <c r="H61" s="49"/>
      <c r="I61" s="49"/>
      <c r="J61" s="49"/>
      <c r="K61" s="49"/>
      <c r="L61" s="49"/>
      <c r="M61" s="49"/>
      <c r="N61" s="49"/>
      <c r="O61" s="49"/>
      <c r="P61" s="49"/>
      <c r="Q61" s="49"/>
      <c r="R61" s="49"/>
      <c r="S61" s="49"/>
      <c r="T61" s="49"/>
      <c r="U61" s="49"/>
      <c r="V61" s="49"/>
      <c r="W61" s="49"/>
      <c r="X61" s="49"/>
      <c r="Y61" s="49"/>
    </row>
    <row r="62">
      <c r="A62" s="49"/>
      <c r="B62" s="49"/>
      <c r="C62" s="49"/>
      <c r="D62" s="49"/>
      <c r="E62" s="49"/>
      <c r="F62" s="49"/>
      <c r="G62" s="49"/>
      <c r="H62" s="49"/>
      <c r="I62" s="49"/>
      <c r="J62" s="49"/>
      <c r="K62" s="49"/>
      <c r="L62" s="49"/>
      <c r="M62" s="49"/>
      <c r="N62" s="49"/>
      <c r="O62" s="49"/>
      <c r="P62" s="49"/>
      <c r="Q62" s="49"/>
      <c r="R62" s="49"/>
      <c r="S62" s="49"/>
      <c r="T62" s="49"/>
      <c r="U62" s="49"/>
      <c r="V62" s="49"/>
      <c r="W62" s="49"/>
      <c r="X62" s="49"/>
      <c r="Y62" s="49"/>
    </row>
    <row r="63">
      <c r="A63" s="49"/>
      <c r="B63" s="49"/>
      <c r="C63" s="49"/>
      <c r="D63" s="49"/>
      <c r="E63" s="49"/>
      <c r="F63" s="49"/>
      <c r="G63" s="49"/>
      <c r="H63" s="49"/>
      <c r="I63" s="49"/>
      <c r="J63" s="49"/>
      <c r="K63" s="49"/>
      <c r="L63" s="49"/>
      <c r="M63" s="49"/>
      <c r="N63" s="49"/>
      <c r="O63" s="49"/>
      <c r="P63" s="49"/>
      <c r="Q63" s="49"/>
      <c r="R63" s="49"/>
      <c r="S63" s="49"/>
      <c r="T63" s="49"/>
      <c r="U63" s="49"/>
      <c r="V63" s="49"/>
      <c r="W63" s="49"/>
      <c r="X63" s="49"/>
      <c r="Y63" s="49"/>
    </row>
    <row r="64">
      <c r="A64" s="49"/>
      <c r="B64" s="49"/>
      <c r="C64" s="49"/>
      <c r="D64" s="49"/>
      <c r="E64" s="49"/>
      <c r="F64" s="49"/>
      <c r="G64" s="49"/>
      <c r="H64" s="49"/>
      <c r="I64" s="49"/>
      <c r="J64" s="49"/>
      <c r="K64" s="49"/>
      <c r="L64" s="49"/>
      <c r="M64" s="49"/>
      <c r="N64" s="49"/>
      <c r="O64" s="49"/>
      <c r="P64" s="49"/>
      <c r="Q64" s="49"/>
      <c r="R64" s="49"/>
      <c r="S64" s="49"/>
      <c r="T64" s="49"/>
      <c r="U64" s="49"/>
      <c r="V64" s="49"/>
      <c r="W64" s="49"/>
      <c r="X64" s="49"/>
      <c r="Y64" s="49"/>
    </row>
    <row r="65">
      <c r="A65" s="49"/>
      <c r="B65" s="49"/>
      <c r="C65" s="49"/>
      <c r="D65" s="49"/>
      <c r="E65" s="49"/>
      <c r="F65" s="49"/>
      <c r="G65" s="49"/>
      <c r="H65" s="49"/>
      <c r="I65" s="49"/>
      <c r="J65" s="49"/>
      <c r="K65" s="49"/>
      <c r="L65" s="49"/>
      <c r="M65" s="49"/>
      <c r="N65" s="49"/>
      <c r="O65" s="49"/>
      <c r="P65" s="49"/>
      <c r="Q65" s="49"/>
      <c r="R65" s="49"/>
      <c r="S65" s="49"/>
      <c r="T65" s="49"/>
      <c r="U65" s="49"/>
      <c r="V65" s="49"/>
      <c r="W65" s="49"/>
      <c r="X65" s="49"/>
      <c r="Y65" s="49"/>
    </row>
    <row r="66">
      <c r="A66" s="49"/>
      <c r="B66" s="49"/>
      <c r="C66" s="49"/>
      <c r="D66" s="49"/>
      <c r="E66" s="49"/>
      <c r="F66" s="49"/>
      <c r="G66" s="49"/>
      <c r="H66" s="49"/>
      <c r="I66" s="49"/>
      <c r="J66" s="49"/>
      <c r="K66" s="49"/>
      <c r="L66" s="49"/>
      <c r="M66" s="49"/>
      <c r="N66" s="49"/>
      <c r="O66" s="49"/>
      <c r="P66" s="49"/>
      <c r="Q66" s="49"/>
      <c r="R66" s="49"/>
      <c r="S66" s="49"/>
      <c r="T66" s="49"/>
      <c r="U66" s="49"/>
      <c r="V66" s="49"/>
      <c r="W66" s="49"/>
      <c r="X66" s="49"/>
      <c r="Y66" s="49"/>
    </row>
    <row r="67">
      <c r="A67" s="49"/>
      <c r="B67" s="49"/>
      <c r="C67" s="49"/>
      <c r="D67" s="49"/>
      <c r="E67" s="49"/>
      <c r="F67" s="49"/>
      <c r="G67" s="49"/>
      <c r="H67" s="49"/>
      <c r="I67" s="49"/>
      <c r="J67" s="49"/>
      <c r="K67" s="49"/>
      <c r="L67" s="49"/>
      <c r="M67" s="49"/>
      <c r="N67" s="49"/>
      <c r="O67" s="49"/>
      <c r="P67" s="49"/>
      <c r="Q67" s="49"/>
      <c r="R67" s="49"/>
      <c r="S67" s="49"/>
      <c r="T67" s="49"/>
      <c r="U67" s="49"/>
      <c r="V67" s="49"/>
      <c r="W67" s="49"/>
      <c r="X67" s="49"/>
      <c r="Y67" s="49"/>
    </row>
    <row r="68">
      <c r="A68" s="49"/>
      <c r="B68" s="49"/>
      <c r="C68" s="49"/>
      <c r="D68" s="49"/>
      <c r="E68" s="49"/>
      <c r="F68" s="49"/>
      <c r="G68" s="49"/>
      <c r="H68" s="49"/>
      <c r="I68" s="49"/>
      <c r="J68" s="49"/>
      <c r="K68" s="49"/>
      <c r="L68" s="49"/>
      <c r="M68" s="49"/>
      <c r="N68" s="49"/>
      <c r="O68" s="49"/>
      <c r="P68" s="49"/>
      <c r="Q68" s="49"/>
      <c r="R68" s="49"/>
      <c r="S68" s="49"/>
      <c r="T68" s="49"/>
      <c r="U68" s="49"/>
      <c r="V68" s="49"/>
      <c r="W68" s="49"/>
      <c r="X68" s="49"/>
      <c r="Y68" s="49"/>
    </row>
    <row r="69">
      <c r="A69" s="49"/>
      <c r="B69" s="49"/>
      <c r="C69" s="49"/>
      <c r="D69" s="49"/>
      <c r="E69" s="49"/>
      <c r="F69" s="49"/>
      <c r="G69" s="49"/>
      <c r="H69" s="49"/>
      <c r="I69" s="49"/>
      <c r="J69" s="49"/>
      <c r="K69" s="49"/>
      <c r="L69" s="49"/>
      <c r="M69" s="49"/>
      <c r="N69" s="49"/>
      <c r="O69" s="49"/>
      <c r="P69" s="49"/>
      <c r="Q69" s="49"/>
      <c r="R69" s="49"/>
      <c r="S69" s="49"/>
      <c r="T69" s="49"/>
      <c r="U69" s="49"/>
      <c r="V69" s="49"/>
      <c r="W69" s="49"/>
      <c r="X69" s="49"/>
      <c r="Y69" s="49"/>
    </row>
    <row r="70">
      <c r="A70" s="49"/>
      <c r="B70" s="49"/>
      <c r="C70" s="49"/>
      <c r="D70" s="49"/>
      <c r="E70" s="49"/>
      <c r="F70" s="49"/>
      <c r="G70" s="49"/>
      <c r="H70" s="49"/>
      <c r="I70" s="49"/>
      <c r="J70" s="49"/>
      <c r="K70" s="49"/>
      <c r="L70" s="49"/>
      <c r="M70" s="49"/>
      <c r="N70" s="49"/>
      <c r="O70" s="49"/>
      <c r="P70" s="49"/>
      <c r="Q70" s="49"/>
      <c r="R70" s="49"/>
      <c r="S70" s="49"/>
      <c r="T70" s="49"/>
      <c r="U70" s="49"/>
      <c r="V70" s="49"/>
      <c r="W70" s="49"/>
      <c r="X70" s="49"/>
      <c r="Y70" s="49"/>
    </row>
    <row r="71">
      <c r="A71" s="49"/>
      <c r="B71" s="49"/>
      <c r="C71" s="49"/>
      <c r="D71" s="49"/>
      <c r="E71" s="49"/>
      <c r="F71" s="49"/>
      <c r="G71" s="49"/>
      <c r="H71" s="49"/>
      <c r="I71" s="49"/>
      <c r="J71" s="49"/>
      <c r="K71" s="49"/>
      <c r="L71" s="49"/>
      <c r="M71" s="49"/>
      <c r="N71" s="49"/>
      <c r="O71" s="49"/>
      <c r="P71" s="49"/>
      <c r="Q71" s="49"/>
      <c r="R71" s="49"/>
      <c r="S71" s="49"/>
      <c r="T71" s="49"/>
      <c r="U71" s="49"/>
      <c r="V71" s="49"/>
      <c r="W71" s="49"/>
      <c r="X71" s="49"/>
      <c r="Y71" s="49"/>
    </row>
    <row r="72">
      <c r="A72" s="49"/>
      <c r="B72" s="49"/>
      <c r="C72" s="49"/>
      <c r="D72" s="49"/>
      <c r="E72" s="49"/>
      <c r="F72" s="49"/>
      <c r="G72" s="49"/>
      <c r="H72" s="49"/>
      <c r="I72" s="49"/>
      <c r="J72" s="49"/>
      <c r="K72" s="49"/>
      <c r="L72" s="49"/>
      <c r="M72" s="49"/>
      <c r="N72" s="49"/>
      <c r="O72" s="49"/>
      <c r="P72" s="49"/>
      <c r="Q72" s="49"/>
      <c r="R72" s="49"/>
      <c r="S72" s="49"/>
      <c r="T72" s="49"/>
      <c r="U72" s="49"/>
      <c r="V72" s="49"/>
      <c r="W72" s="49"/>
      <c r="X72" s="49"/>
      <c r="Y72" s="49"/>
    </row>
    <row r="73">
      <c r="A73" s="49"/>
      <c r="B73" s="49"/>
      <c r="C73" s="49"/>
      <c r="D73" s="49"/>
      <c r="E73" s="49"/>
      <c r="F73" s="49"/>
      <c r="G73" s="49"/>
      <c r="H73" s="49"/>
      <c r="I73" s="49"/>
      <c r="J73" s="49"/>
      <c r="K73" s="49"/>
      <c r="L73" s="49"/>
      <c r="M73" s="49"/>
      <c r="N73" s="49"/>
      <c r="O73" s="49"/>
      <c r="P73" s="49"/>
      <c r="Q73" s="49"/>
      <c r="R73" s="49"/>
      <c r="S73" s="49"/>
      <c r="T73" s="49"/>
      <c r="U73" s="49"/>
      <c r="V73" s="49"/>
      <c r="W73" s="49"/>
      <c r="X73" s="49"/>
      <c r="Y73" s="49"/>
    </row>
    <row r="74">
      <c r="A74" s="49"/>
      <c r="B74" s="49"/>
      <c r="C74" s="49"/>
      <c r="D74" s="49"/>
      <c r="E74" s="49"/>
      <c r="F74" s="49"/>
      <c r="G74" s="49"/>
      <c r="H74" s="49"/>
      <c r="I74" s="49"/>
      <c r="J74" s="49"/>
      <c r="K74" s="49"/>
      <c r="L74" s="49"/>
      <c r="M74" s="49"/>
      <c r="N74" s="49"/>
      <c r="O74" s="49"/>
      <c r="P74" s="49"/>
      <c r="Q74" s="49"/>
      <c r="R74" s="49"/>
      <c r="S74" s="49"/>
      <c r="T74" s="49"/>
      <c r="U74" s="49"/>
      <c r="V74" s="49"/>
      <c r="W74" s="49"/>
      <c r="X74" s="49"/>
      <c r="Y74" s="49"/>
    </row>
    <row r="75">
      <c r="A75" s="49"/>
      <c r="B75" s="49"/>
      <c r="C75" s="49"/>
      <c r="D75" s="49"/>
      <c r="E75" s="49"/>
      <c r="F75" s="49"/>
      <c r="G75" s="49"/>
      <c r="H75" s="49"/>
      <c r="I75" s="49"/>
      <c r="J75" s="49"/>
      <c r="K75" s="49"/>
      <c r="L75" s="49"/>
      <c r="M75" s="49"/>
      <c r="N75" s="49"/>
      <c r="O75" s="49"/>
      <c r="P75" s="49"/>
      <c r="Q75" s="49"/>
      <c r="R75" s="49"/>
      <c r="S75" s="49"/>
      <c r="T75" s="49"/>
      <c r="U75" s="49"/>
      <c r="V75" s="49"/>
      <c r="W75" s="49"/>
      <c r="X75" s="49"/>
      <c r="Y75" s="49"/>
    </row>
    <row r="76">
      <c r="A76" s="49"/>
      <c r="B76" s="49"/>
      <c r="C76" s="49"/>
      <c r="D76" s="49"/>
      <c r="E76" s="49"/>
      <c r="F76" s="49"/>
      <c r="G76" s="49"/>
      <c r="H76" s="49"/>
      <c r="I76" s="49"/>
      <c r="J76" s="49"/>
      <c r="K76" s="49"/>
      <c r="L76" s="49"/>
      <c r="M76" s="49"/>
      <c r="N76" s="49"/>
      <c r="O76" s="49"/>
      <c r="P76" s="49"/>
      <c r="Q76" s="49"/>
      <c r="R76" s="49"/>
      <c r="S76" s="49"/>
      <c r="T76" s="49"/>
      <c r="U76" s="49"/>
      <c r="V76" s="49"/>
      <c r="W76" s="49"/>
      <c r="X76" s="49"/>
      <c r="Y76" s="49"/>
    </row>
    <row r="77">
      <c r="A77" s="49"/>
      <c r="B77" s="49"/>
      <c r="C77" s="49"/>
      <c r="D77" s="49"/>
      <c r="E77" s="49"/>
      <c r="F77" s="49"/>
      <c r="G77" s="49"/>
      <c r="H77" s="49"/>
      <c r="I77" s="49"/>
      <c r="J77" s="49"/>
      <c r="K77" s="49"/>
      <c r="L77" s="49"/>
      <c r="M77" s="49"/>
      <c r="N77" s="49"/>
      <c r="O77" s="49"/>
      <c r="P77" s="49"/>
      <c r="Q77" s="49"/>
      <c r="R77" s="49"/>
      <c r="S77" s="49"/>
      <c r="T77" s="49"/>
      <c r="U77" s="49"/>
      <c r="V77" s="49"/>
      <c r="W77" s="49"/>
      <c r="X77" s="49"/>
      <c r="Y77" s="49"/>
    </row>
    <row r="78">
      <c r="A78" s="49"/>
      <c r="B78" s="49"/>
      <c r="C78" s="49"/>
      <c r="D78" s="49"/>
      <c r="E78" s="49"/>
      <c r="F78" s="49"/>
      <c r="G78" s="49"/>
      <c r="H78" s="49"/>
      <c r="I78" s="49"/>
      <c r="J78" s="49"/>
      <c r="K78" s="49"/>
      <c r="L78" s="49"/>
      <c r="M78" s="49"/>
      <c r="N78" s="49"/>
      <c r="O78" s="49"/>
      <c r="P78" s="49"/>
      <c r="Q78" s="49"/>
      <c r="R78" s="49"/>
      <c r="S78" s="49"/>
      <c r="T78" s="49"/>
      <c r="U78" s="49"/>
      <c r="V78" s="49"/>
      <c r="W78" s="49"/>
      <c r="X78" s="49"/>
      <c r="Y78" s="49"/>
    </row>
    <row r="79">
      <c r="A79" s="49"/>
      <c r="B79" s="49"/>
      <c r="C79" s="49"/>
      <c r="D79" s="49"/>
      <c r="E79" s="49"/>
      <c r="F79" s="49"/>
      <c r="G79" s="49"/>
      <c r="H79" s="49"/>
      <c r="I79" s="49"/>
      <c r="J79" s="49"/>
      <c r="K79" s="49"/>
      <c r="L79" s="49"/>
      <c r="M79" s="49"/>
      <c r="N79" s="49"/>
      <c r="O79" s="49"/>
      <c r="P79" s="49"/>
      <c r="Q79" s="49"/>
      <c r="R79" s="49"/>
      <c r="S79" s="49"/>
      <c r="T79" s="49"/>
      <c r="U79" s="49"/>
      <c r="V79" s="49"/>
      <c r="W79" s="49"/>
      <c r="X79" s="49"/>
      <c r="Y79" s="49"/>
    </row>
    <row r="80">
      <c r="A80" s="49"/>
      <c r="B80" s="49"/>
      <c r="C80" s="49"/>
      <c r="D80" s="49"/>
      <c r="E80" s="49"/>
      <c r="F80" s="49"/>
      <c r="G80" s="49"/>
      <c r="H80" s="49"/>
      <c r="I80" s="49"/>
      <c r="J80" s="49"/>
      <c r="K80" s="49"/>
      <c r="L80" s="49"/>
      <c r="M80" s="49"/>
      <c r="N80" s="49"/>
      <c r="O80" s="49"/>
      <c r="P80" s="49"/>
      <c r="Q80" s="49"/>
      <c r="R80" s="49"/>
      <c r="S80" s="49"/>
      <c r="T80" s="49"/>
      <c r="U80" s="49"/>
      <c r="V80" s="49"/>
      <c r="W80" s="49"/>
      <c r="X80" s="49"/>
      <c r="Y80" s="49"/>
    </row>
    <row r="81">
      <c r="A81" s="49"/>
      <c r="B81" s="49"/>
      <c r="C81" s="49"/>
      <c r="D81" s="49"/>
      <c r="E81" s="49"/>
      <c r="F81" s="49"/>
      <c r="G81" s="49"/>
      <c r="H81" s="49"/>
      <c r="I81" s="49"/>
      <c r="J81" s="49"/>
      <c r="K81" s="49"/>
      <c r="L81" s="49"/>
      <c r="M81" s="49"/>
      <c r="N81" s="49"/>
      <c r="O81" s="49"/>
      <c r="P81" s="49"/>
      <c r="Q81" s="49"/>
      <c r="R81" s="49"/>
      <c r="S81" s="49"/>
      <c r="T81" s="49"/>
      <c r="U81" s="49"/>
      <c r="V81" s="49"/>
      <c r="W81" s="49"/>
      <c r="X81" s="49"/>
      <c r="Y81" s="49"/>
    </row>
    <row r="82">
      <c r="A82" s="49"/>
      <c r="B82" s="49"/>
      <c r="C82" s="49"/>
      <c r="D82" s="49"/>
      <c r="E82" s="49"/>
      <c r="F82" s="49"/>
      <c r="G82" s="49"/>
      <c r="H82" s="49"/>
      <c r="I82" s="49"/>
      <c r="J82" s="49"/>
      <c r="K82" s="49"/>
      <c r="L82" s="49"/>
      <c r="M82" s="49"/>
      <c r="N82" s="49"/>
      <c r="O82" s="49"/>
      <c r="P82" s="49"/>
      <c r="Q82" s="49"/>
      <c r="R82" s="49"/>
      <c r="S82" s="49"/>
      <c r="T82" s="49"/>
      <c r="U82" s="49"/>
      <c r="V82" s="49"/>
      <c r="W82" s="49"/>
      <c r="X82" s="49"/>
      <c r="Y82" s="49"/>
    </row>
    <row r="83">
      <c r="A83" s="49"/>
      <c r="B83" s="49"/>
      <c r="C83" s="49"/>
      <c r="D83" s="49"/>
      <c r="E83" s="49"/>
      <c r="F83" s="49"/>
      <c r="G83" s="49"/>
      <c r="H83" s="49"/>
      <c r="I83" s="49"/>
      <c r="J83" s="49"/>
      <c r="K83" s="49"/>
      <c r="L83" s="49"/>
      <c r="M83" s="49"/>
      <c r="N83" s="49"/>
      <c r="O83" s="49"/>
      <c r="P83" s="49"/>
      <c r="Q83" s="49"/>
      <c r="R83" s="49"/>
      <c r="S83" s="49"/>
      <c r="T83" s="49"/>
      <c r="U83" s="49"/>
      <c r="V83" s="49"/>
      <c r="W83" s="49"/>
      <c r="X83" s="49"/>
      <c r="Y83" s="49"/>
    </row>
    <row r="84">
      <c r="A84" s="49"/>
      <c r="B84" s="49"/>
      <c r="C84" s="49"/>
      <c r="D84" s="49"/>
      <c r="E84" s="49"/>
      <c r="F84" s="49"/>
      <c r="G84" s="49"/>
      <c r="H84" s="49"/>
      <c r="I84" s="49"/>
      <c r="J84" s="49"/>
      <c r="K84" s="49"/>
      <c r="L84" s="49"/>
      <c r="M84" s="49"/>
      <c r="N84" s="49"/>
      <c r="O84" s="49"/>
      <c r="P84" s="49"/>
      <c r="Q84" s="49"/>
      <c r="R84" s="49"/>
      <c r="S84" s="49"/>
      <c r="T84" s="49"/>
      <c r="U84" s="49"/>
      <c r="V84" s="49"/>
      <c r="W84" s="49"/>
      <c r="X84" s="49"/>
      <c r="Y84" s="49"/>
    </row>
    <row r="85">
      <c r="A85" s="49"/>
      <c r="B85" s="49"/>
      <c r="C85" s="49"/>
      <c r="D85" s="49"/>
      <c r="E85" s="49"/>
      <c r="F85" s="49"/>
      <c r="G85" s="49"/>
      <c r="H85" s="49"/>
      <c r="I85" s="49"/>
      <c r="J85" s="49"/>
      <c r="K85" s="49"/>
      <c r="L85" s="49"/>
      <c r="M85" s="49"/>
      <c r="N85" s="49"/>
      <c r="O85" s="49"/>
      <c r="P85" s="49"/>
      <c r="Q85" s="49"/>
      <c r="R85" s="49"/>
      <c r="S85" s="49"/>
      <c r="T85" s="49"/>
      <c r="U85" s="49"/>
      <c r="V85" s="49"/>
      <c r="W85" s="49"/>
      <c r="X85" s="49"/>
      <c r="Y85" s="49"/>
    </row>
    <row r="86">
      <c r="A86" s="49"/>
      <c r="B86" s="49"/>
      <c r="C86" s="49"/>
      <c r="D86" s="49"/>
      <c r="E86" s="49"/>
      <c r="F86" s="49"/>
      <c r="G86" s="49"/>
      <c r="H86" s="49"/>
      <c r="I86" s="49"/>
      <c r="J86" s="49"/>
      <c r="K86" s="49"/>
      <c r="L86" s="49"/>
      <c r="M86" s="49"/>
      <c r="N86" s="49"/>
      <c r="O86" s="49"/>
      <c r="P86" s="49"/>
      <c r="Q86" s="49"/>
      <c r="R86" s="49"/>
      <c r="S86" s="49"/>
      <c r="T86" s="49"/>
      <c r="U86" s="49"/>
      <c r="V86" s="49"/>
      <c r="W86" s="49"/>
      <c r="X86" s="49"/>
      <c r="Y86" s="49"/>
    </row>
    <row r="87">
      <c r="A87" s="49"/>
      <c r="B87" s="49"/>
      <c r="C87" s="49"/>
      <c r="D87" s="49"/>
      <c r="E87" s="49"/>
      <c r="F87" s="49"/>
      <c r="G87" s="49"/>
      <c r="H87" s="49"/>
      <c r="I87" s="49"/>
      <c r="J87" s="49"/>
      <c r="K87" s="49"/>
      <c r="L87" s="49"/>
      <c r="M87" s="49"/>
      <c r="N87" s="49"/>
      <c r="O87" s="49"/>
      <c r="P87" s="49"/>
      <c r="Q87" s="49"/>
      <c r="R87" s="49"/>
      <c r="S87" s="49"/>
      <c r="T87" s="49"/>
      <c r="U87" s="49"/>
      <c r="V87" s="49"/>
      <c r="W87" s="49"/>
      <c r="X87" s="49"/>
      <c r="Y87" s="49"/>
    </row>
    <row r="88">
      <c r="A88" s="49"/>
      <c r="B88" s="49"/>
      <c r="C88" s="49"/>
      <c r="D88" s="49"/>
      <c r="E88" s="49"/>
      <c r="F88" s="49"/>
      <c r="G88" s="49"/>
      <c r="H88" s="49"/>
      <c r="I88" s="49"/>
      <c r="J88" s="49"/>
      <c r="K88" s="49"/>
      <c r="L88" s="49"/>
      <c r="M88" s="49"/>
      <c r="N88" s="49"/>
      <c r="O88" s="49"/>
      <c r="P88" s="49"/>
      <c r="Q88" s="49"/>
      <c r="R88" s="49"/>
      <c r="S88" s="49"/>
      <c r="T88" s="49"/>
      <c r="U88" s="49"/>
      <c r="V88" s="49"/>
      <c r="W88" s="49"/>
      <c r="X88" s="49"/>
      <c r="Y88" s="49"/>
    </row>
    <row r="89">
      <c r="A89" s="49"/>
      <c r="B89" s="49"/>
      <c r="C89" s="49"/>
      <c r="D89" s="49"/>
      <c r="E89" s="49"/>
      <c r="F89" s="49"/>
      <c r="G89" s="49"/>
      <c r="H89" s="49"/>
      <c r="I89" s="49"/>
      <c r="J89" s="49"/>
      <c r="K89" s="49"/>
      <c r="L89" s="49"/>
      <c r="M89" s="49"/>
      <c r="N89" s="49"/>
      <c r="O89" s="49"/>
      <c r="P89" s="49"/>
      <c r="Q89" s="49"/>
      <c r="R89" s="49"/>
      <c r="S89" s="49"/>
      <c r="T89" s="49"/>
      <c r="U89" s="49"/>
      <c r="V89" s="49"/>
      <c r="W89" s="49"/>
      <c r="X89" s="49"/>
      <c r="Y89" s="49"/>
    </row>
    <row r="90">
      <c r="A90" s="49"/>
      <c r="B90" s="49"/>
      <c r="C90" s="49"/>
      <c r="D90" s="49"/>
      <c r="E90" s="49"/>
      <c r="F90" s="49"/>
      <c r="G90" s="49"/>
      <c r="H90" s="49"/>
      <c r="I90" s="49"/>
      <c r="J90" s="49"/>
      <c r="K90" s="49"/>
      <c r="L90" s="49"/>
      <c r="M90" s="49"/>
      <c r="N90" s="49"/>
      <c r="O90" s="49"/>
      <c r="P90" s="49"/>
      <c r="Q90" s="49"/>
      <c r="R90" s="49"/>
      <c r="S90" s="49"/>
      <c r="T90" s="49"/>
      <c r="U90" s="49"/>
      <c r="V90" s="49"/>
      <c r="W90" s="49"/>
      <c r="X90" s="49"/>
      <c r="Y90" s="49"/>
    </row>
    <row r="91">
      <c r="A91" s="49"/>
      <c r="B91" s="49"/>
      <c r="C91" s="49"/>
      <c r="D91" s="49"/>
      <c r="E91" s="49"/>
      <c r="F91" s="49"/>
      <c r="G91" s="49"/>
      <c r="H91" s="49"/>
      <c r="I91" s="49"/>
      <c r="J91" s="49"/>
      <c r="K91" s="49"/>
      <c r="L91" s="49"/>
      <c r="M91" s="49"/>
      <c r="N91" s="49"/>
      <c r="O91" s="49"/>
      <c r="P91" s="49"/>
      <c r="Q91" s="49"/>
      <c r="R91" s="49"/>
      <c r="S91" s="49"/>
      <c r="T91" s="49"/>
      <c r="U91" s="49"/>
      <c r="V91" s="49"/>
      <c r="W91" s="49"/>
      <c r="X91" s="49"/>
      <c r="Y91" s="49"/>
    </row>
    <row r="92">
      <c r="A92" s="49"/>
      <c r="B92" s="49"/>
      <c r="C92" s="49"/>
      <c r="D92" s="49"/>
      <c r="E92" s="49"/>
      <c r="F92" s="49"/>
      <c r="G92" s="49"/>
      <c r="H92" s="49"/>
      <c r="I92" s="49"/>
      <c r="J92" s="49"/>
      <c r="K92" s="49"/>
      <c r="L92" s="49"/>
      <c r="M92" s="49"/>
      <c r="N92" s="49"/>
      <c r="O92" s="49"/>
      <c r="P92" s="49"/>
      <c r="Q92" s="49"/>
      <c r="R92" s="49"/>
      <c r="S92" s="49"/>
      <c r="T92" s="49"/>
      <c r="U92" s="49"/>
      <c r="V92" s="49"/>
      <c r="W92" s="49"/>
      <c r="X92" s="49"/>
      <c r="Y92" s="49"/>
    </row>
    <row r="93">
      <c r="A93" s="49"/>
      <c r="B93" s="49"/>
      <c r="C93" s="49"/>
      <c r="D93" s="49"/>
      <c r="E93" s="49"/>
      <c r="F93" s="49"/>
      <c r="G93" s="49"/>
      <c r="H93" s="49"/>
      <c r="I93" s="49"/>
      <c r="J93" s="49"/>
      <c r="K93" s="49"/>
      <c r="L93" s="49"/>
      <c r="M93" s="49"/>
      <c r="N93" s="49"/>
      <c r="O93" s="49"/>
      <c r="P93" s="49"/>
      <c r="Q93" s="49"/>
      <c r="R93" s="49"/>
      <c r="S93" s="49"/>
      <c r="T93" s="49"/>
      <c r="U93" s="49"/>
      <c r="V93" s="49"/>
      <c r="W93" s="49"/>
      <c r="X93" s="49"/>
      <c r="Y93" s="49"/>
    </row>
    <row r="94">
      <c r="A94" s="49"/>
      <c r="B94" s="49"/>
      <c r="C94" s="49"/>
      <c r="D94" s="49"/>
      <c r="E94" s="49"/>
      <c r="F94" s="49"/>
      <c r="G94" s="49"/>
      <c r="H94" s="49"/>
      <c r="I94" s="49"/>
      <c r="J94" s="49"/>
      <c r="K94" s="49"/>
      <c r="L94" s="49"/>
      <c r="M94" s="49"/>
      <c r="N94" s="49"/>
      <c r="O94" s="49"/>
      <c r="P94" s="49"/>
      <c r="Q94" s="49"/>
      <c r="R94" s="49"/>
      <c r="S94" s="49"/>
      <c r="T94" s="49"/>
      <c r="U94" s="49"/>
      <c r="V94" s="49"/>
      <c r="W94" s="49"/>
      <c r="X94" s="49"/>
      <c r="Y94" s="49"/>
    </row>
    <row r="95">
      <c r="A95" s="49"/>
      <c r="B95" s="49"/>
      <c r="C95" s="49"/>
      <c r="D95" s="49"/>
      <c r="E95" s="49"/>
      <c r="F95" s="49"/>
      <c r="G95" s="49"/>
      <c r="H95" s="49"/>
      <c r="I95" s="49"/>
      <c r="J95" s="49"/>
      <c r="K95" s="49"/>
      <c r="L95" s="49"/>
      <c r="M95" s="49"/>
      <c r="N95" s="49"/>
      <c r="O95" s="49"/>
      <c r="P95" s="49"/>
      <c r="Q95" s="49"/>
      <c r="R95" s="49"/>
      <c r="S95" s="49"/>
      <c r="T95" s="49"/>
      <c r="U95" s="49"/>
      <c r="V95" s="49"/>
      <c r="W95" s="49"/>
      <c r="X95" s="49"/>
      <c r="Y95" s="49"/>
    </row>
    <row r="96">
      <c r="A96" s="49"/>
      <c r="B96" s="49"/>
      <c r="C96" s="49"/>
      <c r="D96" s="49"/>
      <c r="E96" s="49"/>
      <c r="F96" s="49"/>
      <c r="G96" s="49"/>
      <c r="H96" s="49"/>
      <c r="I96" s="49"/>
      <c r="J96" s="49"/>
      <c r="K96" s="49"/>
      <c r="L96" s="49"/>
      <c r="M96" s="49"/>
      <c r="N96" s="49"/>
      <c r="O96" s="49"/>
      <c r="P96" s="49"/>
      <c r="Q96" s="49"/>
      <c r="R96" s="49"/>
      <c r="S96" s="49"/>
      <c r="T96" s="49"/>
      <c r="U96" s="49"/>
      <c r="V96" s="49"/>
      <c r="W96" s="49"/>
      <c r="X96" s="49"/>
      <c r="Y96" s="49"/>
    </row>
    <row r="97">
      <c r="A97" s="49"/>
      <c r="B97" s="49"/>
      <c r="C97" s="49"/>
      <c r="D97" s="49"/>
      <c r="E97" s="49"/>
      <c r="F97" s="49"/>
      <c r="G97" s="49"/>
      <c r="H97" s="49"/>
      <c r="I97" s="49"/>
      <c r="J97" s="49"/>
      <c r="K97" s="49"/>
      <c r="L97" s="49"/>
      <c r="M97" s="49"/>
      <c r="N97" s="49"/>
      <c r="O97" s="49"/>
      <c r="P97" s="49"/>
      <c r="Q97" s="49"/>
      <c r="R97" s="49"/>
      <c r="S97" s="49"/>
      <c r="T97" s="49"/>
      <c r="U97" s="49"/>
      <c r="V97" s="49"/>
      <c r="W97" s="49"/>
      <c r="X97" s="49"/>
      <c r="Y97" s="49"/>
    </row>
    <row r="98">
      <c r="A98" s="49"/>
      <c r="B98" s="49"/>
      <c r="C98" s="49"/>
      <c r="D98" s="49"/>
      <c r="E98" s="49"/>
      <c r="F98" s="49"/>
      <c r="G98" s="49"/>
      <c r="H98" s="49"/>
      <c r="I98" s="49"/>
      <c r="J98" s="49"/>
      <c r="K98" s="49"/>
      <c r="L98" s="49"/>
      <c r="M98" s="49"/>
      <c r="N98" s="49"/>
      <c r="O98" s="49"/>
      <c r="P98" s="49"/>
      <c r="Q98" s="49"/>
      <c r="R98" s="49"/>
      <c r="S98" s="49"/>
      <c r="T98" s="49"/>
      <c r="U98" s="49"/>
      <c r="V98" s="49"/>
      <c r="W98" s="49"/>
      <c r="X98" s="49"/>
      <c r="Y98" s="49"/>
    </row>
    <row r="99">
      <c r="A99" s="49"/>
      <c r="B99" s="49"/>
      <c r="C99" s="49"/>
      <c r="D99" s="49"/>
      <c r="E99" s="49"/>
      <c r="F99" s="49"/>
      <c r="G99" s="49"/>
      <c r="H99" s="49"/>
      <c r="I99" s="49"/>
      <c r="J99" s="49"/>
      <c r="K99" s="49"/>
      <c r="L99" s="49"/>
      <c r="M99" s="49"/>
      <c r="N99" s="49"/>
      <c r="O99" s="49"/>
      <c r="P99" s="49"/>
      <c r="Q99" s="49"/>
      <c r="R99" s="49"/>
      <c r="S99" s="49"/>
      <c r="T99" s="49"/>
      <c r="U99" s="49"/>
      <c r="V99" s="49"/>
      <c r="W99" s="49"/>
      <c r="X99" s="49"/>
      <c r="Y99" s="49"/>
    </row>
    <row r="100">
      <c r="A100" s="49"/>
      <c r="B100" s="49"/>
      <c r="C100" s="49"/>
      <c r="D100" s="49"/>
      <c r="E100" s="49"/>
      <c r="F100" s="49"/>
      <c r="G100" s="49"/>
      <c r="H100" s="49"/>
      <c r="I100" s="49"/>
      <c r="J100" s="49"/>
      <c r="K100" s="49"/>
      <c r="L100" s="49"/>
      <c r="M100" s="49"/>
      <c r="N100" s="49"/>
      <c r="O100" s="49"/>
      <c r="P100" s="49"/>
      <c r="Q100" s="49"/>
      <c r="R100" s="49"/>
      <c r="S100" s="49"/>
      <c r="T100" s="49"/>
      <c r="U100" s="49"/>
      <c r="V100" s="49"/>
      <c r="W100" s="49"/>
      <c r="X100" s="49"/>
      <c r="Y100" s="49"/>
    </row>
    <row r="101">
      <c r="A101" s="49"/>
      <c r="B101" s="49"/>
      <c r="C101" s="49"/>
      <c r="D101" s="49"/>
      <c r="E101" s="49"/>
      <c r="F101" s="49"/>
      <c r="G101" s="49"/>
      <c r="H101" s="49"/>
      <c r="I101" s="49"/>
      <c r="J101" s="49"/>
      <c r="K101" s="49"/>
      <c r="L101" s="49"/>
      <c r="M101" s="49"/>
      <c r="N101" s="49"/>
      <c r="O101" s="49"/>
      <c r="P101" s="49"/>
      <c r="Q101" s="49"/>
      <c r="R101" s="49"/>
      <c r="S101" s="49"/>
      <c r="T101" s="49"/>
      <c r="U101" s="49"/>
      <c r="V101" s="49"/>
      <c r="W101" s="49"/>
      <c r="X101" s="49"/>
      <c r="Y101" s="49"/>
    </row>
    <row r="102">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row>
    <row r="103">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row>
    <row r="104">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row>
    <row r="10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row>
    <row r="106">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row>
    <row r="107">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row>
    <row r="108">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row>
    <row r="109">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row>
    <row r="110">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row>
    <row r="111">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row>
    <row r="112">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row>
    <row r="113">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row>
    <row r="114">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row>
    <row r="11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row>
    <row r="116">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row>
    <row r="117">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row>
    <row r="118">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row>
    <row r="119">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row>
    <row r="120">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row>
    <row r="121">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row>
    <row r="122">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row>
    <row r="123">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row>
    <row r="124">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row>
    <row r="1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row>
    <row r="126">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row>
    <row r="127">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row>
    <row r="128">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row>
    <row r="129">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row>
    <row r="130">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row>
    <row r="131">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row>
    <row r="132">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row>
    <row r="133">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row>
    <row r="134">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row>
    <row r="13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row>
    <row r="136">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row>
    <row r="137">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row>
    <row r="138">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row>
    <row r="139">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row>
    <row r="140">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row>
    <row r="141">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row>
    <row r="142">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row>
    <row r="143">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row>
    <row r="144">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row>
    <row r="14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row>
    <row r="146">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row>
    <row r="147">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row>
    <row r="148">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row>
    <row r="149">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row>
    <row r="150">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row>
    <row r="151">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row>
    <row r="152">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row>
    <row r="153">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row>
    <row r="154">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row>
    <row r="15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row>
    <row r="156">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row>
    <row r="157">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row>
    <row r="158">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row>
    <row r="159">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row>
    <row r="160">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row>
    <row r="161">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row>
    <row r="162">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row>
    <row r="163">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row>
    <row r="164">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row>
    <row r="16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row>
    <row r="166">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row>
    <row r="167">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row>
    <row r="168">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row>
    <row r="169">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row>
    <row r="170">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row>
    <row r="171">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row>
    <row r="172">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row>
    <row r="173">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row>
    <row r="174">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row>
    <row r="17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row>
    <row r="176">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row>
    <row r="177">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row>
    <row r="178">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row>
    <row r="179">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row>
    <row r="180">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row>
    <row r="181">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row>
    <row r="182">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row>
    <row r="183">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row>
    <row r="184">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row>
    <row r="18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row>
    <row r="186">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row>
    <row r="187">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row>
    <row r="188">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row>
    <row r="189">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row>
    <row r="190">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row>
    <row r="191">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row>
    <row r="192">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row>
    <row r="193">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row>
    <row r="194">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row>
    <row r="19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row>
    <row r="196">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row>
    <row r="197">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row>
    <row r="198">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row>
    <row r="199">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row>
    <row r="200">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row>
    <row r="201">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row>
    <row r="202">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row>
    <row r="203">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row>
    <row r="204">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row>
    <row r="20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row>
    <row r="206">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row>
    <row r="207">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row>
    <row r="208">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row>
    <row r="209">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row>
    <row r="210">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row>
    <row r="211">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row>
    <row r="212">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row>
    <row r="213">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row>
    <row r="214">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row>
    <row r="21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row>
    <row r="216">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row>
    <row r="217">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row>
    <row r="218">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row>
    <row r="219">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row>
    <row r="220">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row>
    <row r="221">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row>
    <row r="222">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row>
    <row r="223">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row>
    <row r="224">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row>
    <row r="2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row>
    <row r="226">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row>
    <row r="227">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row>
    <row r="228">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row>
    <row r="229">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row>
    <row r="230">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row>
    <row r="231">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row>
    <row r="232">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row>
    <row r="233">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row>
    <row r="234">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row>
    <row r="23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row>
    <row r="236">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row>
    <row r="237">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row>
    <row r="238">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row>
    <row r="239">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row>
    <row r="240">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row>
    <row r="241">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row>
    <row r="242">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row>
    <row r="243">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row>
    <row r="244">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row>
    <row r="24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row>
    <row r="246">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row>
    <row r="247">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row>
    <row r="248">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row>
    <row r="249">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row>
    <row r="250">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row>
    <row r="251">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row>
    <row r="252">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row>
    <row r="253">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row>
    <row r="254">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row>
    <row r="25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row>
    <row r="256">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row>
    <row r="257">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row>
    <row r="258">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row>
    <row r="259">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row>
    <row r="260">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row>
    <row r="261">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row>
    <row r="262">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row>
    <row r="263">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row>
    <row r="264">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row>
    <row r="26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row>
    <row r="266">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row>
    <row r="267">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row>
    <row r="268">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row>
    <row r="269">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row>
    <row r="270">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row>
    <row r="271">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row>
    <row r="272">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row>
    <row r="273">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row>
    <row r="274">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row>
    <row r="27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row>
    <row r="276">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row>
    <row r="277">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row>
    <row r="278">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row>
    <row r="279">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row>
    <row r="280">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row>
    <row r="281">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row>
    <row r="282">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row>
    <row r="283">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row>
    <row r="284">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row>
    <row r="28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row>
    <row r="286">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row>
    <row r="287">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row>
    <row r="288">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row>
    <row r="289">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row>
    <row r="290">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row>
    <row r="291">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row>
    <row r="292">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row>
    <row r="293">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row>
    <row r="294">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row>
    <row r="29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row>
    <row r="296">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row>
    <row r="297">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row>
    <row r="298">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row>
    <row r="299">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row>
    <row r="300">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row>
    <row r="301">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row>
    <row r="302">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row>
    <row r="303">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row>
    <row r="304">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row>
    <row r="30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row>
    <row r="306">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row>
    <row r="307">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row>
    <row r="308">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row>
    <row r="309">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row>
    <row r="310">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row>
    <row r="311">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row>
    <row r="312">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row>
    <row r="313">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row>
    <row r="314">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row>
    <row r="31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row>
    <row r="316">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row>
    <row r="317">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row>
    <row r="318">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row>
    <row r="319">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row>
    <row r="320">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row>
    <row r="321">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row>
    <row r="322">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row>
    <row r="323">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row>
    <row r="324">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row>
    <row r="3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row>
    <row r="326">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row>
    <row r="327">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row>
    <row r="328">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row>
    <row r="329">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row>
    <row r="330">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row>
    <row r="331">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row>
    <row r="332">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row>
    <row r="333">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row>
    <row r="334">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row>
    <row r="33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row>
    <row r="336">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row>
    <row r="337">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row>
    <row r="338">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row>
    <row r="339">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row>
    <row r="340">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row>
    <row r="341">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row>
    <row r="342">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row>
    <row r="343">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row>
    <row r="344">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row>
    <row r="34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row>
    <row r="346">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row>
    <row r="347">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row>
    <row r="348">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row>
    <row r="349">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row>
    <row r="350">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row>
    <row r="351">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row>
    <row r="352">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row>
    <row r="353">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row>
    <row r="354">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row>
    <row r="35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row>
    <row r="356">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row>
    <row r="357">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row>
    <row r="358">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row>
    <row r="359">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row>
    <row r="360">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row>
    <row r="361">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row>
    <row r="362">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row>
    <row r="363">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row>
    <row r="364">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row>
    <row r="36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row>
    <row r="366">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row>
    <row r="367">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row>
    <row r="368">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row>
    <row r="369">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row>
    <row r="370">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row>
    <row r="371">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row>
    <row r="372">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row>
    <row r="373">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row>
    <row r="374">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row>
    <row r="37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row>
    <row r="376">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row>
    <row r="377">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row>
    <row r="378">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row>
    <row r="379">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row>
    <row r="380">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row>
    <row r="381">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row>
    <row r="382">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row>
    <row r="383">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row>
    <row r="384">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row>
    <row r="38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row>
    <row r="386">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row>
    <row r="387">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row>
    <row r="388">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row>
    <row r="389">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row>
    <row r="390">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row>
    <row r="391">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row>
    <row r="392">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row>
    <row r="393">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row>
    <row r="394">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row>
    <row r="39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row>
    <row r="396">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row>
    <row r="397">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row>
    <row r="398">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row>
    <row r="399">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row>
    <row r="400">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row>
    <row r="401">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row>
    <row r="402">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row>
    <row r="403">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row>
    <row r="404">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row>
    <row r="40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row>
    <row r="406">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row>
    <row r="407">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row>
    <row r="408">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row>
    <row r="409">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row>
    <row r="410">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row>
    <row r="411">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row>
    <row r="412">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row>
    <row r="413">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row>
    <row r="414">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row>
    <row r="41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row>
    <row r="416">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row>
    <row r="417">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row>
    <row r="418">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row>
    <row r="419">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row>
    <row r="420">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row>
    <row r="421">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row>
    <row r="422">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row>
    <row r="423">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row>
    <row r="424">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row>
    <row r="4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row>
    <row r="426">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row>
    <row r="427">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row>
    <row r="428">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row>
    <row r="429">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row>
    <row r="430">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row>
    <row r="431">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row>
    <row r="432">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row>
    <row r="433">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row>
    <row r="434">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row>
    <row r="4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row>
    <row r="436">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row>
    <row r="437">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row>
    <row r="438">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row>
    <row r="439">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row>
    <row r="440">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row>
    <row r="441">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row>
    <row r="442">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row>
    <row r="443">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row>
    <row r="444">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row>
    <row r="44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row>
    <row r="446">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row>
    <row r="447">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row>
    <row r="448">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row>
    <row r="449">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row>
    <row r="450">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row>
    <row r="451">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row>
    <row r="452">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row>
    <row r="453">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row>
    <row r="454">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row>
    <row r="45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row>
    <row r="456">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row>
    <row r="457">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row>
    <row r="458">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row>
    <row r="459">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row>
    <row r="460">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row>
    <row r="461">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row>
    <row r="462">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row>
    <row r="463">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row>
    <row r="464">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row>
    <row r="46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row>
    <row r="466">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row>
    <row r="467">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row>
    <row r="468">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row>
    <row r="469">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row>
    <row r="470">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row>
    <row r="471">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row>
    <row r="472">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row>
    <row r="473">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row>
    <row r="474">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row>
    <row r="47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row>
    <row r="476">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row>
    <row r="477">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row>
    <row r="478">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row>
    <row r="479">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row>
    <row r="480">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row>
    <row r="481">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row>
    <row r="482">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row>
    <row r="483">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row>
    <row r="484">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row>
    <row r="48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row>
    <row r="486">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row>
    <row r="487">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row>
    <row r="488">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row>
    <row r="489">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row>
    <row r="490">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row>
    <row r="491">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row>
    <row r="492">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row>
    <row r="493">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row>
    <row r="494">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row>
    <row r="49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row>
    <row r="496">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row>
    <row r="497">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row>
    <row r="498">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row>
    <row r="499">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row>
    <row r="500">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row>
    <row r="501">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row>
    <row r="502">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row>
    <row r="503">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row>
    <row r="504">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row>
    <row r="50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row>
    <row r="506">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row>
    <row r="507">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row>
    <row r="508">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row>
    <row r="509">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row>
    <row r="510">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row>
    <row r="511">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row>
    <row r="512">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row>
    <row r="513">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row>
    <row r="514">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row>
    <row r="51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row>
    <row r="516">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row>
    <row r="517">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row>
    <row r="518">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row>
    <row r="519">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row>
    <row r="520">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row>
    <row r="521">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row>
    <row r="522">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row>
    <row r="523">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row>
    <row r="524">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row>
    <row r="5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row>
    <row r="526">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row>
    <row r="527">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row>
    <row r="528">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row>
    <row r="529">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row>
    <row r="530">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row>
    <row r="531">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row>
    <row r="532">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row>
    <row r="533">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row>
    <row r="534">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row>
    <row r="5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row>
    <row r="536">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row>
    <row r="537">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row>
    <row r="538">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row>
    <row r="539">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row>
    <row r="540">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row>
    <row r="541">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row>
    <row r="542">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row>
    <row r="543">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row>
    <row r="544">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row>
    <row r="54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row>
    <row r="546">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row>
    <row r="547">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row>
    <row r="548">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row>
    <row r="549">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row>
    <row r="550">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row>
    <row r="551">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row>
    <row r="552">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row>
    <row r="553">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row>
    <row r="554">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row>
    <row r="55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row>
    <row r="556">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row>
    <row r="557">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row>
    <row r="558">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row>
    <row r="559">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row>
    <row r="560">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row>
    <row r="561">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row>
    <row r="562">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row>
    <row r="563">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row>
    <row r="564">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row>
    <row r="56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row>
    <row r="566">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row>
    <row r="567">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row>
    <row r="568">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row>
    <row r="569">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row>
    <row r="570">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row>
    <row r="571">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row>
    <row r="572">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row>
    <row r="573">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row>
    <row r="574">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row>
    <row r="57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row>
    <row r="576">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row>
    <row r="577">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row>
    <row r="578">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row>
    <row r="579">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row>
    <row r="580">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row>
    <row r="581">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row>
    <row r="582">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row>
    <row r="583">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row>
    <row r="584">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row>
    <row r="58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row>
    <row r="586">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row>
    <row r="587">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row>
    <row r="588">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row>
    <row r="589">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row>
    <row r="590">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row>
    <row r="591">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row>
    <row r="592">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row>
    <row r="593">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row>
    <row r="594">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row>
    <row r="59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row>
    <row r="596">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row>
    <row r="597">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row>
    <row r="598">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row>
    <row r="599">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row>
    <row r="600">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row>
    <row r="601">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row>
    <row r="602">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row>
    <row r="603">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row>
    <row r="604">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row>
    <row r="60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row>
    <row r="606">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row>
    <row r="607">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row>
    <row r="608">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row>
    <row r="609">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row>
    <row r="610">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row>
    <row r="611">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row>
    <row r="612">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row>
    <row r="613">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row>
    <row r="614">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row>
    <row r="61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row>
    <row r="616">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row>
    <row r="617">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row>
    <row r="618">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row>
    <row r="619">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row>
    <row r="620">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row>
    <row r="621">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row>
    <row r="622">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row>
    <row r="623">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row>
    <row r="624">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row>
    <row r="6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row>
    <row r="626">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row>
    <row r="627">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row>
    <row r="628">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row>
    <row r="629">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row>
    <row r="630">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row>
    <row r="631">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row>
    <row r="632">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row>
    <row r="633">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row>
    <row r="634">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row>
    <row r="6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row>
    <row r="636">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row>
    <row r="637">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row>
    <row r="638">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row>
    <row r="639">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row>
    <row r="640">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row>
    <row r="641">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row>
    <row r="642">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row>
    <row r="643">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row>
    <row r="644">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row>
    <row r="64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row>
    <row r="646">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row>
    <row r="647">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row>
    <row r="648">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row>
    <row r="649">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row>
    <row r="650">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row>
    <row r="651">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row>
    <row r="652">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row>
    <row r="653">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row>
    <row r="654">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row>
    <row r="65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row>
    <row r="656">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row>
    <row r="657">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row>
    <row r="658">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row>
    <row r="659">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row>
    <row r="660">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row>
    <row r="661">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row>
    <row r="662">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row>
    <row r="663">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row>
    <row r="664">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row>
    <row r="66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row>
    <row r="666">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row>
    <row r="667">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row>
    <row r="668">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row>
    <row r="669">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row>
    <row r="670">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row>
    <row r="671">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row>
    <row r="672">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row>
    <row r="673">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row>
    <row r="674">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row>
    <row r="67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row>
    <row r="676">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row>
    <row r="677">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row>
    <row r="678">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row>
    <row r="679">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row>
    <row r="680">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row>
    <row r="681">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row>
    <row r="682">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row>
    <row r="683">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row>
    <row r="684">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row>
    <row r="68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row>
    <row r="686">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row>
    <row r="687">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row>
    <row r="688">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row>
    <row r="689">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row>
    <row r="690">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row>
    <row r="691">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row>
    <row r="692">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row>
    <row r="693">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row>
    <row r="694">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row>
    <row r="69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row>
    <row r="696">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row>
    <row r="697">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row>
    <row r="698">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row>
    <row r="699">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row>
    <row r="700">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row>
    <row r="701">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row>
    <row r="702">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row>
    <row r="703">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row>
    <row r="704">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row>
    <row r="70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row>
    <row r="706">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row>
    <row r="707">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row>
    <row r="708">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row>
    <row r="709">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row>
    <row r="710">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row>
    <row r="711">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row>
    <row r="712">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row>
    <row r="713">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row>
    <row r="714">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row>
    <row r="71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row>
    <row r="716">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row>
    <row r="717">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row>
    <row r="718">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row>
    <row r="719">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row>
    <row r="720">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row>
    <row r="721">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row>
    <row r="722">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row>
    <row r="723">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row>
    <row r="724">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row>
    <row r="7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row>
    <row r="726">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row>
    <row r="727">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row>
    <row r="728">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row>
    <row r="729">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row>
    <row r="730">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row>
    <row r="731">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row>
    <row r="732">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row>
    <row r="733">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row>
    <row r="734">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row>
    <row r="7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row>
    <row r="736">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row>
    <row r="737">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row>
    <row r="738">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row>
    <row r="739">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row>
    <row r="740">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row>
    <row r="741">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row>
    <row r="742">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row>
    <row r="743">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row>
    <row r="744">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row>
    <row r="74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row>
    <row r="746">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row>
    <row r="747">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row>
    <row r="748">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row>
    <row r="749">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row>
    <row r="750">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row>
    <row r="751">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row>
    <row r="752">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row>
    <row r="753">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row>
    <row r="754">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row>
    <row r="75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row>
    <row r="756">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row>
    <row r="757">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row>
    <row r="758">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row>
    <row r="759">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row>
    <row r="760">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row>
    <row r="761">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row>
    <row r="762">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row>
    <row r="763">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row>
    <row r="764">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row>
    <row r="76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row>
    <row r="766">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row>
    <row r="767">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row>
    <row r="768">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row>
    <row r="769">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row>
    <row r="770">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row>
    <row r="771">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row>
    <row r="772">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row>
    <row r="773">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row>
    <row r="774">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row>
    <row r="77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row>
    <row r="776">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row>
    <row r="777">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row>
    <row r="778">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row>
    <row r="779">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row>
    <row r="780">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row>
    <row r="781">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row>
    <row r="782">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row>
    <row r="783">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row>
    <row r="784">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row>
    <row r="78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row>
    <row r="786">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row>
    <row r="787">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row>
    <row r="788">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row>
    <row r="789">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row>
    <row r="790">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row>
    <row r="791">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row>
    <row r="792">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row>
    <row r="793">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row>
    <row r="794">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row>
    <row r="79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row>
    <row r="796">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row>
    <row r="797">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row>
    <row r="798">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row>
    <row r="799">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row>
    <row r="800">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row>
    <row r="801">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row>
    <row r="802">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row>
    <row r="803">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row>
    <row r="804">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row>
    <row r="80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row>
    <row r="806">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row>
    <row r="807">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row>
    <row r="808">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row>
    <row r="809">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row>
    <row r="810">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row>
    <row r="811">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row>
    <row r="812">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row>
    <row r="813">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row>
    <row r="814">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row>
    <row r="81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row>
    <row r="816">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row>
    <row r="817">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row>
    <row r="818">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row>
    <row r="819">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row>
    <row r="820">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row>
    <row r="821">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row>
    <row r="822">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row>
    <row r="823">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row>
    <row r="824">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row>
    <row r="8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row>
    <row r="826">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row>
    <row r="827">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row>
    <row r="828">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row>
    <row r="829">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row>
    <row r="830">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row>
    <row r="831">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row>
    <row r="832">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row>
    <row r="833">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row>
    <row r="834">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row>
    <row r="8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row>
    <row r="836">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row>
    <row r="837">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row>
    <row r="838">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row>
    <row r="839">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row>
    <row r="840">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row>
    <row r="841">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row>
    <row r="842">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row>
    <row r="843">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row>
    <row r="844">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row>
    <row r="84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row>
    <row r="846">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row>
    <row r="847">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row>
    <row r="848">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row>
    <row r="849">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row>
    <row r="850">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row>
    <row r="851">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row>
    <row r="852">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row>
    <row r="853">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row>
    <row r="854">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row>
    <row r="85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row>
    <row r="856">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row>
    <row r="857">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row>
    <row r="858">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row>
    <row r="859">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row>
    <row r="860">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row>
    <row r="861">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row>
    <row r="862">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row>
    <row r="863">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row>
    <row r="864">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row>
    <row r="86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row>
    <row r="866">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row>
    <row r="867">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row>
    <row r="868">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row>
    <row r="869">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row>
    <row r="870">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row>
    <row r="871">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row>
    <row r="872">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row>
    <row r="873">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row>
    <row r="874">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row>
    <row r="87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row>
    <row r="876">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row>
    <row r="877">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row>
    <row r="878">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row>
    <row r="879">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row>
    <row r="880">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row>
    <row r="881">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row>
    <row r="882">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row>
    <row r="883">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row>
    <row r="884">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row>
    <row r="88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row>
    <row r="886">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row>
    <row r="887">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row>
    <row r="888">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row>
    <row r="889">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row>
    <row r="890">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row>
    <row r="891">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row>
    <row r="892">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row>
    <row r="893">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row>
    <row r="894">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row>
    <row r="89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row>
    <row r="896">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row>
    <row r="897">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row>
    <row r="898">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row>
    <row r="899">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row>
    <row r="900">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row>
    <row r="901">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row>
    <row r="902">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row>
    <row r="903">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row>
    <row r="904">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row>
    <row r="90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row>
    <row r="906">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row>
    <row r="907">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row>
    <row r="908">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row>
    <row r="909">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row>
    <row r="910">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row>
    <row r="911">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row>
    <row r="912">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row>
    <row r="913">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row>
    <row r="914">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row>
    <row r="91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row>
    <row r="916">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row>
    <row r="917">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row>
    <row r="918">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row>
    <row r="919">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row>
    <row r="920">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row>
    <row r="921">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row>
    <row r="922">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row>
    <row r="923">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row>
    <row r="924">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row>
    <row r="9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row>
    <row r="926">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row>
    <row r="927">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row>
    <row r="928">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row>
    <row r="929">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row>
    <row r="930">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row>
    <row r="931">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row>
    <row r="932">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row>
    <row r="933">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row>
    <row r="934">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row>
    <row r="9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row>
    <row r="936">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row>
    <row r="937">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row>
    <row r="938">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row>
    <row r="939">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row>
    <row r="940">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row>
    <row r="941">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row>
    <row r="942">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row>
    <row r="943">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row>
    <row r="944">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row>
    <row r="94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row>
    <row r="946">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row>
    <row r="947">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row>
    <row r="948">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row>
    <row r="949">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row>
    <row r="950">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row>
    <row r="951">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row>
    <row r="952">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row>
    <row r="953">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row>
    <row r="954">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row>
    <row r="95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row>
    <row r="956">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row>
    <row r="957">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row>
    <row r="958">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row>
    <row r="959">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row>
    <row r="960">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row>
    <row r="961">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row>
    <row r="962">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row>
    <row r="963">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row>
    <row r="964">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row>
    <row r="96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row>
    <row r="966">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row>
    <row r="967">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row>
    <row r="968">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row>
    <row r="969">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row>
    <row r="970">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row>
    <row r="971">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row>
    <row r="972">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row>
    <row r="973">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row>
    <row r="974">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row>
    <row r="97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row>
    <row r="976">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row>
    <row r="977">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row>
    <row r="978">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row>
    <row r="979">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row>
    <row r="980">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row>
    <row r="981">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row>
    <row r="982">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row>
    <row r="983">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row>
    <row r="984">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row>
    <row r="98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row>
    <row r="986">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row>
    <row r="987">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row>
    <row r="988">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row>
    <row r="989">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row>
    <row r="990">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row>
    <row r="991">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row>
    <row r="992">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row>
    <row r="993">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row>
    <row r="994">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row>
    <row r="99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row>
    <row r="996">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row>
    <row r="997">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row>
    <row r="998">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row>
    <row r="999">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row>
    <row r="1000">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9" t="str">
        <f>IFERROR(__xludf.DUMMYFUNCTION("IMPORTRANGE(""https://docs.google.com/spreadsheets/d/""&amp;Config!B3,""DB!A2:A"")"),"""Looter (Change Name)""")</f>
        <v>"Looter (Change Name)"</v>
      </c>
    </row>
    <row r="2">
      <c r="A2" s="49" t="str">
        <f>IFERROR(__xludf.DUMMYFUNCTION("""COMPUTED_VALUE"""),"""God of The Sea (Change Name)""")</f>
        <v>"God of The Sea (Change Name)"</v>
      </c>
    </row>
    <row r="3">
      <c r="A3" s="49" t="str">
        <f>IFERROR(__xludf.DUMMYFUNCTION("""COMPUTED_VALUE"""),"""Soul Harvester (Change Name)""")</f>
        <v>"Soul Harvester (Change Name)"</v>
      </c>
    </row>
    <row r="4">
      <c r="A4" s="49" t="str">
        <f>IFERROR(__xludf.DUMMYFUNCTION("""COMPUTED_VALUE"""),"""Spira Guard (Change Name)""")</f>
        <v>"Spira Guard (Change Name)"</v>
      </c>
    </row>
    <row r="5">
      <c r="A5" s="49" t="str">
        <f>IFERROR(__xludf.DUMMYFUNCTION("""COMPUTED_VALUE"""),"""Weapon Strategist (Change Name)""")</f>
        <v>"Weapon Strategist (Change Name)"</v>
      </c>
    </row>
    <row r="6">
      <c r="A6" s="49" t="str">
        <f>IFERROR(__xludf.DUMMYFUNCTION("""COMPUTED_VALUE"""),"""Master Blacksmith (Change Name)""")</f>
        <v>"Master Blacksmith (Change Name)"</v>
      </c>
    </row>
    <row r="7">
      <c r="A7" s="49" t="str">
        <f>IFERROR(__xludf.DUMMYFUNCTION("""COMPUTED_VALUE"""),"""Master of Magic (Change Name)""")</f>
        <v>"Master of Magic (Change Name)"</v>
      </c>
    </row>
    <row r="8">
      <c r="A8" s="49" t="str">
        <f>IFERROR(__xludf.DUMMYFUNCTION("""COMPUTED_VALUE"""),"""Criminal Mastermind (Change Name)""")</f>
        <v>"Criminal Mastermind (Change Name)"</v>
      </c>
    </row>
    <row r="9">
      <c r="A9" s="49" t="str">
        <f>IFERROR(__xludf.DUMMYFUNCTION("""COMPUTED_VALUE"""),"""Skilled Alchemist (Change Name)""")</f>
        <v>"Skilled Alchemist (Change Name)"</v>
      </c>
    </row>
    <row r="10">
      <c r="A10" s="49" t="str">
        <f>IFERROR(__xludf.DUMMYFUNCTION("""COMPUTED_VALUE"""),"""Surpreme Cultist (Change Name)""")</f>
        <v>"Surpreme Cultist (Change Name)"</v>
      </c>
    </row>
    <row r="11">
      <c r="A11" s="49" t="str">
        <f>IFERROR(__xludf.DUMMYFUNCTION("""COMPUTED_VALUE"""),"""Bare-Knuckle Brawler (Change Name)""")</f>
        <v>"Bare-Knuckle Brawler (Change Name)"</v>
      </c>
    </row>
    <row r="12">
      <c r="A12" s="49" t="str">
        <f>IFERROR(__xludf.DUMMYFUNCTION("""COMPUTED_VALUE"""),"""Archer of Swiftness (Change Name)""")</f>
        <v>"Archer of Swiftness (Change Name)"</v>
      </c>
    </row>
    <row r="13">
      <c r="A13" s="49" t="str">
        <f>IFERROR(__xludf.DUMMYFUNCTION("""COMPUTED_VALUE"""),"""Priest of Peace (Change Name)""")</f>
        <v>"Priest of Peace (Change Name)"</v>
      </c>
    </row>
    <row r="14">
      <c r="A14" s="49" t="str">
        <f>IFERROR(__xludf.DUMMYFUNCTION("""COMPUTED_VALUE"""),"""Gunsmith (Change Name)""")</f>
        <v>"Gunsmith (Change Name)"</v>
      </c>
    </row>
    <row r="15">
      <c r="A15" s="49" t="str">
        <f>IFERROR(__xludf.DUMMYFUNCTION("""COMPUTED_VALUE"""),"""Experienced Broker (Change Name)""")</f>
        <v>"Experienced Broker (Change Name)"</v>
      </c>
    </row>
    <row r="16">
      <c r="A16" s="49" t="str">
        <f>IFERROR(__xludf.DUMMYFUNCTION("""COMPUTED_VALUE"""),"""Inspiring Bard (Change Name)""")</f>
        <v>"Inspiring Bard (Change Name)"</v>
      </c>
    </row>
    <row r="17">
      <c r="A17" s="49" t="str">
        <f>IFERROR(__xludf.DUMMYFUNCTION("""COMPUTED_VALUE"""),"""Experienced Breeder (Change Name)""")</f>
        <v>"Experienced Breeder (Change Name)"</v>
      </c>
    </row>
    <row r="18">
      <c r="A18" s="49" t="str">
        <f>IFERROR(__xludf.DUMMYFUNCTION("""COMPUTED_VALUE"""),"""Ninja Ambusher (Change Name)""")</f>
        <v>"Ninja Ambusher (Change Name)"</v>
      </c>
    </row>
    <row r="19">
      <c r="A19" s="49" t="str">
        <f>IFERROR(__xludf.DUMMYFUNCTION("""COMPUTED_VALUE"""),"""Master of Poisons (Change Name)""")</f>
        <v>"Master of Poisons (Change Name)"</v>
      </c>
    </row>
    <row r="20">
      <c r="A20" s="49" t="str">
        <f>IFERROR(__xludf.DUMMYFUNCTION("""COMPUTED_VALUE"""),"""The Necromantic Lord (Change Name)""")</f>
        <v>"The Necromantic Lord (Change Name)"</v>
      </c>
    </row>
    <row r="21">
      <c r="A21" s="49" t="str">
        <f>IFERROR(__xludf.DUMMYFUNCTION("""COMPUTED_VALUE"""),"""Harbinger (Change Name)""")</f>
        <v>"Harbinger (Change Name)"</v>
      </c>
    </row>
    <row r="22">
      <c r="A22" s="49" t="str">
        <f>IFERROR(__xludf.DUMMYFUNCTION("""COMPUTED_VALUE"""),"""Guardian Paladin of Spira (Change Name)""")</f>
        <v>"Guardian Paladin of Spira (Change Name)"</v>
      </c>
    </row>
    <row r="23">
      <c r="A23" s="49" t="str">
        <f>IFERROR(__xludf.DUMMYFUNCTION("""COMPUTED_VALUE"""),"""Pedro Pascel""")</f>
        <v>"Pedro Pascel"</v>
      </c>
    </row>
    <row r="24">
      <c r="A24" s="49" t="str">
        <f>IFERROR(__xludf.DUMMYFUNCTION("""COMPUTED_VALUE"""),"""Corrupt Guard (Change Name)""")</f>
        <v>"Corrupt Guard (Change Name)"</v>
      </c>
    </row>
    <row r="25">
      <c r="A25" s="49" t="str">
        <f>IFERROR(__xludf.DUMMYFUNCTION("""COMPUTED_VALUE"""),"""Durlan Venlar""")</f>
        <v>"Durlan Venlar"</v>
      </c>
    </row>
    <row r="26">
      <c r="A26" s="49" t="str">
        <f>IFERROR(__xludf.DUMMYFUNCTION("""COMPUTED_VALUE"""),"""Revalor Thegella""")</f>
        <v>"Revalor Thegella"</v>
      </c>
    </row>
    <row r="27">
      <c r="A27" s="49" t="str">
        <f>IFERROR(__xludf.DUMMYFUNCTION("""COMPUTED_VALUE"""),"""Zordius""")</f>
        <v>"Zordius"</v>
      </c>
    </row>
    <row r="28">
      <c r="A28" s="49" t="str">
        <f>IFERROR(__xludf.DUMMYFUNCTION("""COMPUTED_VALUE"""),"""Dreadful Roger The lll""")</f>
        <v>"Dreadful Roger The lll"</v>
      </c>
    </row>
    <row r="29">
      <c r="A29" s="49" t="str">
        <f>IFERROR(__xludf.DUMMYFUNCTION("""COMPUTED_VALUE"""),"""Tiberius Thunderthane""")</f>
        <v>"Tiberius Thunderthane"</v>
      </c>
    </row>
    <row r="30">
      <c r="A30" s="49" t="str">
        <f>IFERROR(__xludf.DUMMYFUNCTION("""COMPUTED_VALUE"""),"""mittenz""")</f>
        <v>"mittenz"</v>
      </c>
    </row>
    <row r="31">
      <c r="A31" s="49" t="str">
        <f>IFERROR(__xludf.DUMMYFUNCTION("""COMPUTED_VALUE"""),"""Filia""")</f>
        <v>"Filia"</v>
      </c>
    </row>
    <row r="32">
      <c r="A32" s="49" t="str">
        <f>IFERROR(__xludf.DUMMYFUNCTION("""COMPUTED_VALUE"""),"""Soul Devourer (Change Name)""")</f>
        <v>"Soul Devourer (Change Name)"</v>
      </c>
    </row>
    <row r="33">
      <c r="A33" s="49" t="str">
        <f>IFERROR(__xludf.DUMMYFUNCTION("""COMPUTED_VALUE"""),"""Controller of Minds (Change Name)""")</f>
        <v>"Controller of Minds (Change Name)"</v>
      </c>
    </row>
    <row r="34">
      <c r="A34" s="49" t="str">
        <f>IFERROR(__xludf.DUMMYFUNCTION("""COMPUTED_VALUE"""),"""Priest of Power (Change Name)""")</f>
        <v>"Priest of Power (Change Name)"</v>
      </c>
    </row>
    <row r="35">
      <c r="A35" s="49" t="str">
        <f>IFERROR(__xludf.DUMMYFUNCTION("""COMPUTED_VALUE"""),"""Alucard""")</f>
        <v>"Alucard"</v>
      </c>
    </row>
    <row r="36">
      <c r="A36" s="49" t="str">
        <f>IFERROR(__xludf.DUMMYFUNCTION("""COMPUTED_VALUE"""),"""Guinevere Buchanon""")</f>
        <v>"Guinevere Buchanon"</v>
      </c>
    </row>
    <row r="37">
      <c r="A37" s="49" t="str">
        <f>IFERROR(__xludf.DUMMYFUNCTION("""COMPUTED_VALUE"""),"""ShadowBane""")</f>
        <v>"ShadowBane"</v>
      </c>
    </row>
    <row r="38">
      <c r="A38" s="49" t="str">
        <f>IFERROR(__xludf.DUMMYFUNCTION("""COMPUTED_VALUE"""),"""Zorbane""")</f>
        <v>"Zorbane"</v>
      </c>
    </row>
    <row r="39">
      <c r="A39" s="49" t="str">
        <f>IFERROR(__xludf.DUMMYFUNCTION("""COMPUTED_VALUE"""),"""Adriana""")</f>
        <v>"Adriana"</v>
      </c>
    </row>
    <row r="40">
      <c r="A40" s="49" t="str">
        <f>IFERROR(__xludf.DUMMYFUNCTION("""COMPUTED_VALUE"""),"""Elowen Starwhisper""")</f>
        <v>"Elowen Starwhisper"</v>
      </c>
    </row>
    <row r="41">
      <c r="A41" s="49" t="str">
        <f>IFERROR(__xludf.DUMMYFUNCTION("""COMPUTED_VALUE"""),"""Theowolfe Fjordsong""")</f>
        <v>"Theowolfe Fjordsong"</v>
      </c>
    </row>
    <row r="42">
      <c r="A42" s="49" t="str">
        <f>IFERROR(__xludf.DUMMYFUNCTION("""COMPUTED_VALUE"""),"""Mephistopheles""")</f>
        <v>"Mephistopheles"</v>
      </c>
    </row>
    <row r="43">
      <c r="A43" s="49" t="str">
        <f>IFERROR(__xludf.DUMMYFUNCTION("""COMPUTED_VALUE"""),"""Jinx II""")</f>
        <v>"Jinx II"</v>
      </c>
    </row>
    <row r="44">
      <c r="A44" s="49" t="str">
        <f>IFERROR(__xludf.DUMMYFUNCTION("""COMPUTED_VALUE"""),"""Mr.Click""")</f>
        <v>"Mr.Click"</v>
      </c>
    </row>
    <row r="45">
      <c r="A45" s="49" t="str">
        <f>IFERROR(__xludf.DUMMYFUNCTION("""COMPUTED_VALUE"""),"""Blort""")</f>
        <v>"Blort"</v>
      </c>
    </row>
    <row r="46">
      <c r="A46" s="49" t="str">
        <f>IFERROR(__xludf.DUMMYFUNCTION("""COMPUTED_VALUE"""),"""Dragonian Bard (Change Name)""")</f>
        <v>"Dragonian Bard (Change Name)"</v>
      </c>
    </row>
    <row r="47">
      <c r="A47" s="49" t="str">
        <f>IFERROR(__xludf.DUMMYFUNCTION("""COMPUTED_VALUE"""),"""Draco""")</f>
        <v>"Draco"</v>
      </c>
    </row>
    <row r="48">
      <c r="A48" s="49"/>
    </row>
    <row r="49">
      <c r="A49" s="49"/>
    </row>
    <row r="50">
      <c r="A50" s="49"/>
    </row>
    <row r="51">
      <c r="A51" s="49"/>
    </row>
    <row r="52">
      <c r="A52" s="49"/>
    </row>
    <row r="53">
      <c r="A53" s="49"/>
    </row>
    <row r="54">
      <c r="A54" s="49"/>
    </row>
    <row r="55">
      <c r="A55" s="49"/>
    </row>
    <row r="56">
      <c r="A56" s="49"/>
    </row>
    <row r="57">
      <c r="A57" s="49"/>
    </row>
    <row r="58">
      <c r="A58" s="49"/>
    </row>
    <row r="59">
      <c r="A59" s="49"/>
    </row>
    <row r="60">
      <c r="A60" s="49"/>
    </row>
    <row r="61">
      <c r="A61" s="49"/>
    </row>
    <row r="62">
      <c r="A62" s="49"/>
    </row>
    <row r="63">
      <c r="A63" s="49"/>
    </row>
    <row r="64">
      <c r="A64" s="49"/>
    </row>
    <row r="65">
      <c r="A65" s="49"/>
    </row>
    <row r="66">
      <c r="A66" s="49"/>
    </row>
    <row r="67">
      <c r="A67" s="49"/>
    </row>
    <row r="68">
      <c r="A68" s="49"/>
    </row>
    <row r="69">
      <c r="A69" s="49"/>
    </row>
    <row r="70">
      <c r="A70" s="49"/>
    </row>
    <row r="71">
      <c r="A71" s="49"/>
    </row>
    <row r="72">
      <c r="A72" s="49"/>
    </row>
    <row r="73">
      <c r="A73" s="49"/>
    </row>
    <row r="74">
      <c r="A74" s="49"/>
    </row>
    <row r="75">
      <c r="A75" s="49"/>
    </row>
    <row r="76">
      <c r="A76" s="49"/>
    </row>
    <row r="77">
      <c r="A77" s="49"/>
    </row>
    <row r="78">
      <c r="A78" s="49"/>
    </row>
    <row r="79">
      <c r="A79" s="49"/>
    </row>
    <row r="80">
      <c r="A80" s="49"/>
    </row>
    <row r="81">
      <c r="A81" s="49"/>
    </row>
    <row r="82">
      <c r="A82" s="49"/>
    </row>
    <row r="83">
      <c r="A83" s="49"/>
    </row>
    <row r="84">
      <c r="A84" s="49"/>
    </row>
    <row r="85">
      <c r="A85" s="49"/>
    </row>
    <row r="86">
      <c r="A86" s="49"/>
    </row>
    <row r="87">
      <c r="A87" s="49"/>
    </row>
    <row r="88">
      <c r="A88" s="49"/>
    </row>
    <row r="89">
      <c r="A89" s="49"/>
    </row>
    <row r="90">
      <c r="A90" s="49"/>
    </row>
    <row r="91">
      <c r="A91" s="49"/>
    </row>
    <row r="92">
      <c r="A92" s="49"/>
    </row>
    <row r="93">
      <c r="A93" s="49"/>
    </row>
    <row r="94">
      <c r="A94" s="49"/>
    </row>
    <row r="95">
      <c r="A95" s="49"/>
    </row>
    <row r="96">
      <c r="A96" s="49"/>
    </row>
    <row r="97">
      <c r="A97" s="49"/>
    </row>
    <row r="98">
      <c r="A98" s="49"/>
    </row>
    <row r="99">
      <c r="A99" s="49"/>
    </row>
    <row r="100">
      <c r="A100" s="49"/>
    </row>
    <row r="101">
      <c r="A101" s="49"/>
    </row>
    <row r="102">
      <c r="A102" s="49"/>
    </row>
    <row r="103">
      <c r="A103" s="49"/>
    </row>
    <row r="104">
      <c r="A104" s="49"/>
    </row>
    <row r="105">
      <c r="A105" s="49"/>
    </row>
    <row r="106">
      <c r="A106" s="49"/>
    </row>
    <row r="107">
      <c r="A107" s="49"/>
    </row>
    <row r="108">
      <c r="A108" s="49"/>
    </row>
    <row r="109">
      <c r="A109" s="49"/>
    </row>
    <row r="110">
      <c r="A110" s="49"/>
    </row>
    <row r="111">
      <c r="A111" s="49"/>
    </row>
    <row r="112">
      <c r="A112" s="49"/>
    </row>
    <row r="113">
      <c r="A113" s="49"/>
    </row>
    <row r="114">
      <c r="A114" s="49"/>
    </row>
    <row r="115">
      <c r="A115" s="49"/>
    </row>
    <row r="116">
      <c r="A116" s="49"/>
    </row>
    <row r="117">
      <c r="A117" s="49"/>
    </row>
    <row r="118">
      <c r="A118" s="49"/>
    </row>
    <row r="119">
      <c r="A119" s="49"/>
    </row>
    <row r="120">
      <c r="A120" s="49"/>
    </row>
    <row r="121">
      <c r="A121" s="49"/>
    </row>
    <row r="122">
      <c r="A122" s="49"/>
    </row>
    <row r="123">
      <c r="A123" s="49"/>
    </row>
    <row r="124">
      <c r="A124" s="49"/>
    </row>
    <row r="125">
      <c r="A125" s="49"/>
    </row>
    <row r="126">
      <c r="A126" s="49"/>
    </row>
    <row r="127">
      <c r="A127" s="49"/>
    </row>
    <row r="128">
      <c r="A128" s="49"/>
    </row>
    <row r="129">
      <c r="A129" s="49"/>
    </row>
    <row r="130">
      <c r="A130" s="49"/>
    </row>
    <row r="131">
      <c r="A131" s="49"/>
    </row>
    <row r="132">
      <c r="A132" s="49"/>
    </row>
    <row r="133">
      <c r="A133" s="49"/>
    </row>
    <row r="134">
      <c r="A134" s="49"/>
    </row>
    <row r="135">
      <c r="A135" s="49"/>
    </row>
    <row r="136">
      <c r="A136" s="49"/>
    </row>
    <row r="137">
      <c r="A137" s="49"/>
    </row>
    <row r="138">
      <c r="A138" s="49"/>
    </row>
    <row r="139">
      <c r="A139" s="49"/>
    </row>
    <row r="140">
      <c r="A140" s="49"/>
    </row>
    <row r="141">
      <c r="A141" s="49"/>
    </row>
    <row r="142">
      <c r="A142" s="49"/>
    </row>
    <row r="143">
      <c r="A143" s="49"/>
    </row>
    <row r="144">
      <c r="A144" s="49"/>
    </row>
    <row r="145">
      <c r="A145" s="49"/>
    </row>
    <row r="146">
      <c r="A146" s="49"/>
    </row>
    <row r="147">
      <c r="A147" s="49"/>
    </row>
    <row r="148">
      <c r="A148" s="49"/>
    </row>
    <row r="149">
      <c r="A149" s="49"/>
    </row>
    <row r="150">
      <c r="A150" s="49"/>
    </row>
    <row r="151">
      <c r="A151" s="49"/>
    </row>
    <row r="152">
      <c r="A152" s="49"/>
    </row>
    <row r="153">
      <c r="A153" s="49"/>
    </row>
    <row r="154">
      <c r="A154" s="49"/>
    </row>
    <row r="155">
      <c r="A155" s="49"/>
    </row>
    <row r="156">
      <c r="A156" s="49"/>
    </row>
    <row r="157">
      <c r="A157" s="49"/>
    </row>
    <row r="158">
      <c r="A158" s="49"/>
    </row>
    <row r="159">
      <c r="A159" s="49"/>
    </row>
    <row r="160">
      <c r="A160" s="49"/>
    </row>
    <row r="161">
      <c r="A161" s="49"/>
    </row>
    <row r="162">
      <c r="A162" s="49"/>
    </row>
    <row r="163">
      <c r="A163" s="49"/>
    </row>
    <row r="164">
      <c r="A164" s="49"/>
    </row>
    <row r="165">
      <c r="A165" s="49"/>
    </row>
    <row r="166">
      <c r="A166" s="49"/>
    </row>
    <row r="167">
      <c r="A167" s="49"/>
    </row>
    <row r="168">
      <c r="A168" s="49"/>
    </row>
    <row r="169">
      <c r="A169" s="49"/>
    </row>
    <row r="170">
      <c r="A170" s="49"/>
    </row>
    <row r="171">
      <c r="A171" s="49"/>
    </row>
    <row r="172">
      <c r="A172" s="49"/>
    </row>
    <row r="173">
      <c r="A173" s="49"/>
    </row>
    <row r="174">
      <c r="A174" s="49"/>
    </row>
    <row r="175">
      <c r="A175" s="49"/>
    </row>
    <row r="176">
      <c r="A176" s="49"/>
    </row>
    <row r="177">
      <c r="A177" s="49"/>
    </row>
    <row r="178">
      <c r="A178" s="49"/>
    </row>
    <row r="179">
      <c r="A179" s="49"/>
    </row>
    <row r="180">
      <c r="A180" s="49"/>
    </row>
    <row r="181">
      <c r="A181" s="49"/>
    </row>
    <row r="182">
      <c r="A182" s="49"/>
    </row>
    <row r="183">
      <c r="A183" s="49"/>
    </row>
    <row r="184">
      <c r="A184" s="49"/>
    </row>
    <row r="185">
      <c r="A185" s="49"/>
    </row>
    <row r="186">
      <c r="A186" s="49"/>
    </row>
    <row r="187">
      <c r="A187" s="49"/>
    </row>
    <row r="188">
      <c r="A188" s="49"/>
    </row>
    <row r="189">
      <c r="A189" s="49"/>
    </row>
    <row r="190">
      <c r="A190" s="49"/>
    </row>
    <row r="191">
      <c r="A191" s="49"/>
    </row>
    <row r="192">
      <c r="A192" s="49"/>
    </row>
    <row r="193">
      <c r="A193" s="49"/>
    </row>
    <row r="194">
      <c r="A194" s="49"/>
    </row>
    <row r="195">
      <c r="A195" s="49"/>
    </row>
    <row r="196">
      <c r="A196" s="49"/>
    </row>
    <row r="197">
      <c r="A197" s="49"/>
    </row>
    <row r="198">
      <c r="A198" s="49"/>
    </row>
    <row r="199">
      <c r="A199" s="49"/>
    </row>
    <row r="200">
      <c r="A200" s="49"/>
    </row>
    <row r="201">
      <c r="A201" s="49"/>
    </row>
    <row r="202">
      <c r="A202" s="49"/>
    </row>
    <row r="203">
      <c r="A203" s="49"/>
    </row>
    <row r="204">
      <c r="A204" s="49"/>
    </row>
    <row r="205">
      <c r="A205" s="49"/>
    </row>
    <row r="206">
      <c r="A206" s="49"/>
    </row>
    <row r="207">
      <c r="A207" s="49"/>
    </row>
    <row r="208">
      <c r="A208" s="49"/>
    </row>
    <row r="209">
      <c r="A209" s="49"/>
    </row>
    <row r="210">
      <c r="A210" s="49"/>
    </row>
    <row r="211">
      <c r="A211" s="49"/>
    </row>
    <row r="212">
      <c r="A212" s="49"/>
    </row>
    <row r="213">
      <c r="A213" s="49"/>
    </row>
    <row r="214">
      <c r="A214" s="49"/>
    </row>
    <row r="215">
      <c r="A215" s="49"/>
    </row>
    <row r="216">
      <c r="A216" s="49"/>
    </row>
    <row r="217">
      <c r="A217" s="49"/>
    </row>
    <row r="218">
      <c r="A218" s="49"/>
    </row>
    <row r="219">
      <c r="A219" s="49"/>
    </row>
    <row r="220">
      <c r="A220" s="49"/>
    </row>
    <row r="221">
      <c r="A221" s="49"/>
    </row>
    <row r="222">
      <c r="A222" s="49"/>
    </row>
    <row r="223">
      <c r="A223" s="49"/>
    </row>
    <row r="224">
      <c r="A224" s="49"/>
    </row>
    <row r="225">
      <c r="A225" s="49"/>
    </row>
    <row r="226">
      <c r="A226" s="49"/>
    </row>
    <row r="227">
      <c r="A227" s="49"/>
    </row>
    <row r="228">
      <c r="A228" s="49"/>
    </row>
    <row r="229">
      <c r="A229" s="49"/>
    </row>
    <row r="230">
      <c r="A230" s="49"/>
    </row>
    <row r="231">
      <c r="A231" s="49"/>
    </row>
    <row r="232">
      <c r="A232" s="49"/>
    </row>
    <row r="233">
      <c r="A233" s="49"/>
    </row>
    <row r="234">
      <c r="A234" s="49"/>
    </row>
    <row r="235">
      <c r="A235" s="49"/>
    </row>
    <row r="236">
      <c r="A236" s="49"/>
    </row>
    <row r="237">
      <c r="A237" s="49"/>
    </row>
    <row r="238">
      <c r="A238" s="49"/>
    </row>
    <row r="239">
      <c r="A239" s="49"/>
    </row>
    <row r="240">
      <c r="A240" s="49"/>
    </row>
    <row r="241">
      <c r="A241" s="49"/>
    </row>
    <row r="242">
      <c r="A242" s="49"/>
    </row>
    <row r="243">
      <c r="A243" s="49"/>
    </row>
    <row r="244">
      <c r="A244" s="49"/>
    </row>
    <row r="245">
      <c r="A245" s="49"/>
    </row>
    <row r="246">
      <c r="A246" s="49"/>
    </row>
    <row r="247">
      <c r="A247" s="49"/>
    </row>
    <row r="248">
      <c r="A248" s="49"/>
    </row>
    <row r="249">
      <c r="A249" s="49"/>
    </row>
    <row r="250">
      <c r="A250" s="49"/>
    </row>
    <row r="251">
      <c r="A251" s="49"/>
    </row>
    <row r="252">
      <c r="A252" s="49"/>
    </row>
    <row r="253">
      <c r="A253" s="49"/>
    </row>
    <row r="254">
      <c r="A254" s="49"/>
    </row>
    <row r="255">
      <c r="A255" s="49"/>
    </row>
    <row r="256">
      <c r="A256" s="49"/>
    </row>
    <row r="257">
      <c r="A257" s="49"/>
    </row>
    <row r="258">
      <c r="A258" s="49"/>
    </row>
    <row r="259">
      <c r="A259" s="49"/>
    </row>
    <row r="260">
      <c r="A260" s="49"/>
    </row>
    <row r="261">
      <c r="A261" s="49"/>
    </row>
    <row r="262">
      <c r="A262" s="49"/>
    </row>
    <row r="263">
      <c r="A263" s="49"/>
    </row>
    <row r="264">
      <c r="A264" s="49"/>
    </row>
    <row r="265">
      <c r="A265" s="49"/>
    </row>
    <row r="266">
      <c r="A266" s="49"/>
    </row>
    <row r="267">
      <c r="A267" s="49"/>
    </row>
    <row r="268">
      <c r="A268" s="49"/>
    </row>
    <row r="269">
      <c r="A269" s="49"/>
    </row>
    <row r="270">
      <c r="A270" s="49"/>
    </row>
    <row r="271">
      <c r="A271" s="49"/>
    </row>
    <row r="272">
      <c r="A272" s="49"/>
    </row>
    <row r="273">
      <c r="A273" s="49"/>
    </row>
    <row r="274">
      <c r="A274" s="49"/>
    </row>
    <row r="275">
      <c r="A275" s="49"/>
    </row>
    <row r="276">
      <c r="A276" s="49"/>
    </row>
    <row r="277">
      <c r="A277" s="49"/>
    </row>
    <row r="278">
      <c r="A278" s="49"/>
    </row>
    <row r="279">
      <c r="A279" s="49"/>
    </row>
    <row r="280">
      <c r="A280" s="49"/>
    </row>
    <row r="281">
      <c r="A281" s="49"/>
    </row>
    <row r="282">
      <c r="A282" s="49"/>
    </row>
    <row r="283">
      <c r="A283" s="49"/>
    </row>
    <row r="284">
      <c r="A284" s="49"/>
    </row>
    <row r="285">
      <c r="A285" s="49"/>
    </row>
    <row r="286">
      <c r="A286" s="49"/>
    </row>
    <row r="287">
      <c r="A287" s="49"/>
    </row>
    <row r="288">
      <c r="A288" s="49"/>
    </row>
    <row r="289">
      <c r="A289" s="49"/>
    </row>
    <row r="290">
      <c r="A290" s="49"/>
    </row>
    <row r="291">
      <c r="A291" s="49"/>
    </row>
    <row r="292">
      <c r="A292" s="49"/>
    </row>
    <row r="293">
      <c r="A293" s="49"/>
    </row>
    <row r="294">
      <c r="A294" s="49"/>
    </row>
    <row r="295">
      <c r="A295" s="49"/>
    </row>
    <row r="296">
      <c r="A296" s="49"/>
    </row>
    <row r="297">
      <c r="A297" s="49"/>
    </row>
    <row r="298">
      <c r="A298" s="49"/>
    </row>
    <row r="299">
      <c r="A299" s="49"/>
    </row>
    <row r="300">
      <c r="A300" s="49"/>
    </row>
    <row r="301">
      <c r="A301" s="49"/>
    </row>
    <row r="302">
      <c r="A302" s="49"/>
    </row>
    <row r="303">
      <c r="A303" s="49"/>
    </row>
    <row r="304">
      <c r="A304" s="49"/>
    </row>
    <row r="305">
      <c r="A305" s="49"/>
    </row>
    <row r="306">
      <c r="A306" s="49"/>
    </row>
    <row r="307">
      <c r="A307" s="49"/>
    </row>
    <row r="308">
      <c r="A308" s="49"/>
    </row>
    <row r="309">
      <c r="A309" s="49"/>
    </row>
    <row r="310">
      <c r="A310" s="49"/>
    </row>
    <row r="311">
      <c r="A311" s="49"/>
    </row>
    <row r="312">
      <c r="A312" s="49"/>
    </row>
    <row r="313">
      <c r="A313" s="49"/>
    </row>
    <row r="314">
      <c r="A314" s="49"/>
    </row>
    <row r="315">
      <c r="A315" s="49"/>
    </row>
    <row r="316">
      <c r="A316" s="49"/>
    </row>
    <row r="317">
      <c r="A317" s="49"/>
    </row>
    <row r="318">
      <c r="A318" s="49"/>
    </row>
    <row r="319">
      <c r="A319" s="49"/>
    </row>
    <row r="320">
      <c r="A320" s="49"/>
    </row>
    <row r="321">
      <c r="A321" s="49"/>
    </row>
    <row r="322">
      <c r="A322" s="49"/>
    </row>
    <row r="323">
      <c r="A323" s="49"/>
    </row>
    <row r="324">
      <c r="A324" s="49"/>
    </row>
    <row r="325">
      <c r="A325" s="49"/>
    </row>
    <row r="326">
      <c r="A326" s="49"/>
    </row>
    <row r="327">
      <c r="A327" s="49"/>
    </row>
    <row r="328">
      <c r="A328" s="49"/>
    </row>
    <row r="329">
      <c r="A329" s="49"/>
    </row>
    <row r="330">
      <c r="A330" s="49"/>
    </row>
    <row r="331">
      <c r="A331" s="49"/>
    </row>
    <row r="332">
      <c r="A332" s="49"/>
    </row>
    <row r="333">
      <c r="A333" s="49"/>
    </row>
    <row r="334">
      <c r="A334" s="49"/>
    </row>
    <row r="335">
      <c r="A335" s="49"/>
    </row>
    <row r="336">
      <c r="A336" s="49"/>
    </row>
    <row r="337">
      <c r="A337" s="49"/>
    </row>
    <row r="338">
      <c r="A338" s="49"/>
    </row>
    <row r="339">
      <c r="A339" s="49"/>
    </row>
    <row r="340">
      <c r="A340" s="49"/>
    </row>
    <row r="341">
      <c r="A341" s="49"/>
    </row>
    <row r="342">
      <c r="A342" s="49"/>
    </row>
    <row r="343">
      <c r="A343" s="49"/>
    </row>
    <row r="344">
      <c r="A344" s="49"/>
    </row>
    <row r="345">
      <c r="A345" s="49"/>
    </row>
    <row r="346">
      <c r="A346" s="49"/>
    </row>
    <row r="347">
      <c r="A347" s="49"/>
    </row>
    <row r="348">
      <c r="A348" s="49"/>
    </row>
    <row r="349">
      <c r="A349" s="49"/>
    </row>
    <row r="350">
      <c r="A350" s="49"/>
    </row>
    <row r="351">
      <c r="A351" s="49"/>
    </row>
    <row r="352">
      <c r="A352" s="49"/>
    </row>
    <row r="353">
      <c r="A353" s="49"/>
    </row>
    <row r="354">
      <c r="A354" s="49"/>
    </row>
    <row r="355">
      <c r="A355" s="49"/>
    </row>
    <row r="356">
      <c r="A356" s="49"/>
    </row>
    <row r="357">
      <c r="A357" s="49"/>
    </row>
    <row r="358">
      <c r="A358" s="49"/>
    </row>
    <row r="359">
      <c r="A359" s="49"/>
    </row>
    <row r="360">
      <c r="A360" s="49"/>
    </row>
    <row r="361">
      <c r="A361" s="49"/>
    </row>
    <row r="362">
      <c r="A362" s="49"/>
    </row>
    <row r="363">
      <c r="A363" s="49"/>
    </row>
    <row r="364">
      <c r="A364" s="49"/>
    </row>
    <row r="365">
      <c r="A365" s="49"/>
    </row>
    <row r="366">
      <c r="A366" s="49"/>
    </row>
    <row r="367">
      <c r="A367" s="49"/>
    </row>
    <row r="368">
      <c r="A368" s="49"/>
    </row>
    <row r="369">
      <c r="A369" s="49"/>
    </row>
    <row r="370">
      <c r="A370" s="49"/>
    </row>
    <row r="371">
      <c r="A371" s="49"/>
    </row>
    <row r="372">
      <c r="A372" s="49"/>
    </row>
    <row r="373">
      <c r="A373" s="49"/>
    </row>
    <row r="374">
      <c r="A374" s="49"/>
    </row>
    <row r="375">
      <c r="A375" s="49"/>
    </row>
    <row r="376">
      <c r="A376" s="49"/>
    </row>
    <row r="377">
      <c r="A377" s="49"/>
    </row>
    <row r="378">
      <c r="A378" s="49"/>
    </row>
    <row r="379">
      <c r="A379" s="49"/>
    </row>
    <row r="380">
      <c r="A380" s="49"/>
    </row>
    <row r="381">
      <c r="A381" s="49"/>
    </row>
    <row r="382">
      <c r="A382" s="49"/>
    </row>
    <row r="383">
      <c r="A383" s="49"/>
    </row>
    <row r="384">
      <c r="A384" s="49"/>
    </row>
    <row r="385">
      <c r="A385" s="49"/>
    </row>
    <row r="386">
      <c r="A386" s="49"/>
    </row>
    <row r="387">
      <c r="A387" s="49"/>
    </row>
    <row r="388">
      <c r="A388" s="49"/>
    </row>
    <row r="389">
      <c r="A389" s="49"/>
    </row>
    <row r="390">
      <c r="A390" s="49"/>
    </row>
    <row r="391">
      <c r="A391" s="49"/>
    </row>
    <row r="392">
      <c r="A392" s="49"/>
    </row>
    <row r="393">
      <c r="A393" s="49"/>
    </row>
    <row r="394">
      <c r="A394" s="49"/>
    </row>
    <row r="395">
      <c r="A395" s="49"/>
    </row>
    <row r="396">
      <c r="A396" s="49"/>
    </row>
    <row r="397">
      <c r="A397" s="49"/>
    </row>
    <row r="398">
      <c r="A398" s="49"/>
    </row>
    <row r="399">
      <c r="A399" s="49"/>
    </row>
    <row r="400">
      <c r="A400" s="49"/>
    </row>
    <row r="401">
      <c r="A401" s="49"/>
    </row>
    <row r="402">
      <c r="A402" s="49"/>
    </row>
    <row r="403">
      <c r="A403" s="49"/>
    </row>
    <row r="404">
      <c r="A404" s="49"/>
    </row>
    <row r="405">
      <c r="A405" s="49"/>
    </row>
    <row r="406">
      <c r="A406" s="49"/>
    </row>
    <row r="407">
      <c r="A407" s="49"/>
    </row>
    <row r="408">
      <c r="A408" s="49"/>
    </row>
    <row r="409">
      <c r="A409" s="49"/>
    </row>
    <row r="410">
      <c r="A410" s="49"/>
    </row>
    <row r="411">
      <c r="A411" s="49"/>
    </row>
    <row r="412">
      <c r="A412" s="49"/>
    </row>
    <row r="413">
      <c r="A413" s="49"/>
    </row>
    <row r="414">
      <c r="A414" s="49"/>
    </row>
    <row r="415">
      <c r="A415" s="49"/>
    </row>
    <row r="416">
      <c r="A416" s="49"/>
    </row>
    <row r="417">
      <c r="A417" s="49"/>
    </row>
    <row r="418">
      <c r="A418" s="49"/>
    </row>
    <row r="419">
      <c r="A419" s="49"/>
    </row>
    <row r="420">
      <c r="A420" s="49"/>
    </row>
    <row r="421">
      <c r="A421" s="49"/>
    </row>
    <row r="422">
      <c r="A422" s="49"/>
    </row>
    <row r="423">
      <c r="A423" s="49"/>
    </row>
    <row r="424">
      <c r="A424" s="49"/>
    </row>
    <row r="425">
      <c r="A425" s="49"/>
    </row>
    <row r="426">
      <c r="A426" s="49"/>
    </row>
    <row r="427">
      <c r="A427" s="49"/>
    </row>
    <row r="428">
      <c r="A428" s="49"/>
    </row>
    <row r="429">
      <c r="A429" s="49"/>
    </row>
    <row r="430">
      <c r="A430" s="49"/>
    </row>
    <row r="431">
      <c r="A431" s="49"/>
    </row>
    <row r="432">
      <c r="A432" s="49"/>
    </row>
    <row r="433">
      <c r="A433" s="49"/>
    </row>
    <row r="434">
      <c r="A434" s="49"/>
    </row>
    <row r="435">
      <c r="A435" s="49"/>
    </row>
    <row r="436">
      <c r="A436" s="49"/>
    </row>
    <row r="437">
      <c r="A437" s="49"/>
    </row>
    <row r="438">
      <c r="A438" s="49"/>
    </row>
    <row r="439">
      <c r="A439" s="49"/>
    </row>
    <row r="440">
      <c r="A440" s="49"/>
    </row>
    <row r="441">
      <c r="A441" s="49"/>
    </row>
    <row r="442">
      <c r="A442" s="49"/>
    </row>
    <row r="443">
      <c r="A443" s="49"/>
    </row>
    <row r="444">
      <c r="A444" s="49"/>
    </row>
    <row r="445">
      <c r="A445" s="49"/>
    </row>
    <row r="446">
      <c r="A446" s="49"/>
    </row>
    <row r="447">
      <c r="A447" s="49"/>
    </row>
    <row r="448">
      <c r="A448" s="49"/>
    </row>
    <row r="449">
      <c r="A449" s="49"/>
    </row>
    <row r="450">
      <c r="A450" s="49"/>
    </row>
    <row r="451">
      <c r="A451" s="49"/>
    </row>
    <row r="452">
      <c r="A452" s="49"/>
    </row>
    <row r="453">
      <c r="A453" s="49"/>
    </row>
    <row r="454">
      <c r="A454" s="49"/>
    </row>
    <row r="455">
      <c r="A455" s="49"/>
    </row>
    <row r="456">
      <c r="A456" s="49"/>
    </row>
    <row r="457">
      <c r="A457" s="49"/>
    </row>
    <row r="458">
      <c r="A458" s="49"/>
    </row>
    <row r="459">
      <c r="A459" s="49"/>
    </row>
    <row r="460">
      <c r="A460" s="49"/>
    </row>
    <row r="461">
      <c r="A461" s="49"/>
    </row>
    <row r="462">
      <c r="A462" s="49"/>
    </row>
    <row r="463">
      <c r="A463" s="49"/>
    </row>
    <row r="464">
      <c r="A464" s="49"/>
    </row>
    <row r="465">
      <c r="A465" s="49"/>
    </row>
    <row r="466">
      <c r="A466" s="49"/>
    </row>
    <row r="467">
      <c r="A467" s="49"/>
    </row>
    <row r="468">
      <c r="A468" s="49"/>
    </row>
    <row r="469">
      <c r="A469" s="49"/>
    </row>
    <row r="470">
      <c r="A470" s="49"/>
    </row>
    <row r="471">
      <c r="A471" s="49"/>
    </row>
    <row r="472">
      <c r="A472" s="49"/>
    </row>
    <row r="473">
      <c r="A473" s="49"/>
    </row>
    <row r="474">
      <c r="A474" s="49"/>
    </row>
    <row r="475">
      <c r="A475" s="49"/>
    </row>
    <row r="476">
      <c r="A476" s="49"/>
    </row>
    <row r="477">
      <c r="A477" s="49"/>
    </row>
    <row r="478">
      <c r="A478" s="49"/>
    </row>
    <row r="479">
      <c r="A479" s="49"/>
    </row>
    <row r="480">
      <c r="A480" s="49"/>
    </row>
    <row r="481">
      <c r="A481" s="49"/>
    </row>
    <row r="482">
      <c r="A482" s="49"/>
    </row>
    <row r="483">
      <c r="A483" s="49"/>
    </row>
    <row r="484">
      <c r="A484" s="49"/>
    </row>
    <row r="485">
      <c r="A485" s="49"/>
    </row>
    <row r="486">
      <c r="A486" s="49"/>
    </row>
    <row r="487">
      <c r="A487" s="49"/>
    </row>
    <row r="488">
      <c r="A488" s="49"/>
    </row>
    <row r="489">
      <c r="A489" s="49"/>
    </row>
    <row r="490">
      <c r="A490" s="49"/>
    </row>
    <row r="491">
      <c r="A491" s="49"/>
    </row>
    <row r="492">
      <c r="A492" s="49"/>
    </row>
    <row r="493">
      <c r="A493" s="49"/>
    </row>
    <row r="494">
      <c r="A494" s="49"/>
    </row>
    <row r="495">
      <c r="A495" s="49"/>
    </row>
    <row r="496">
      <c r="A496" s="49"/>
    </row>
    <row r="497">
      <c r="A497" s="49"/>
    </row>
    <row r="498">
      <c r="A498" s="49"/>
    </row>
    <row r="499">
      <c r="A499" s="49"/>
    </row>
    <row r="500">
      <c r="A500" s="49"/>
    </row>
    <row r="501">
      <c r="A501" s="49"/>
    </row>
    <row r="502">
      <c r="A502" s="49"/>
    </row>
    <row r="503">
      <c r="A503" s="49"/>
    </row>
    <row r="504">
      <c r="A504" s="49"/>
    </row>
    <row r="505">
      <c r="A505" s="49"/>
    </row>
    <row r="506">
      <c r="A506" s="49"/>
    </row>
    <row r="507">
      <c r="A507" s="49"/>
    </row>
    <row r="508">
      <c r="A508" s="49"/>
    </row>
    <row r="509">
      <c r="A509" s="49"/>
    </row>
    <row r="510">
      <c r="A510" s="49"/>
    </row>
    <row r="511">
      <c r="A511" s="49"/>
    </row>
    <row r="512">
      <c r="A512" s="49"/>
    </row>
    <row r="513">
      <c r="A513" s="49"/>
    </row>
    <row r="514">
      <c r="A514" s="49"/>
    </row>
    <row r="515">
      <c r="A515" s="49"/>
    </row>
    <row r="516">
      <c r="A516" s="49"/>
    </row>
    <row r="517">
      <c r="A517" s="49"/>
    </row>
    <row r="518">
      <c r="A518" s="49"/>
    </row>
    <row r="519">
      <c r="A519" s="49"/>
    </row>
    <row r="520">
      <c r="A520" s="49"/>
    </row>
    <row r="521">
      <c r="A521" s="49"/>
    </row>
    <row r="522">
      <c r="A522" s="49"/>
    </row>
    <row r="523">
      <c r="A523" s="49"/>
    </row>
    <row r="524">
      <c r="A524" s="49"/>
    </row>
    <row r="525">
      <c r="A525" s="49"/>
    </row>
    <row r="526">
      <c r="A526" s="49"/>
    </row>
    <row r="527">
      <c r="A527" s="49"/>
    </row>
    <row r="528">
      <c r="A528" s="49"/>
    </row>
    <row r="529">
      <c r="A529" s="49"/>
    </row>
    <row r="530">
      <c r="A530" s="49"/>
    </row>
    <row r="531">
      <c r="A531" s="49"/>
    </row>
    <row r="532">
      <c r="A532" s="49"/>
    </row>
    <row r="533">
      <c r="A533" s="49"/>
    </row>
    <row r="534">
      <c r="A534" s="49"/>
    </row>
    <row r="535">
      <c r="A535" s="49"/>
    </row>
    <row r="536">
      <c r="A536" s="49"/>
    </row>
    <row r="537">
      <c r="A537" s="49"/>
    </row>
    <row r="538">
      <c r="A538" s="49"/>
    </row>
    <row r="539">
      <c r="A539" s="49"/>
    </row>
    <row r="540">
      <c r="A540" s="49"/>
    </row>
    <row r="541">
      <c r="A541" s="49"/>
    </row>
    <row r="542">
      <c r="A542" s="49"/>
    </row>
    <row r="543">
      <c r="A543" s="49"/>
    </row>
    <row r="544">
      <c r="A544" s="49"/>
    </row>
    <row r="545">
      <c r="A545" s="49"/>
    </row>
    <row r="546">
      <c r="A546" s="49"/>
    </row>
    <row r="547">
      <c r="A547" s="49"/>
    </row>
    <row r="548">
      <c r="A548" s="49"/>
    </row>
    <row r="549">
      <c r="A549" s="49"/>
    </row>
    <row r="550">
      <c r="A550" s="49"/>
    </row>
    <row r="551">
      <c r="A551" s="49"/>
    </row>
    <row r="552">
      <c r="A552" s="49"/>
    </row>
    <row r="553">
      <c r="A553" s="49"/>
    </row>
    <row r="554">
      <c r="A554" s="49"/>
    </row>
    <row r="555">
      <c r="A555" s="49"/>
    </row>
    <row r="556">
      <c r="A556" s="49"/>
    </row>
    <row r="557">
      <c r="A557" s="49"/>
    </row>
    <row r="558">
      <c r="A558" s="49"/>
    </row>
    <row r="559">
      <c r="A559" s="49"/>
    </row>
    <row r="560">
      <c r="A560" s="49"/>
    </row>
    <row r="561">
      <c r="A561" s="49"/>
    </row>
    <row r="562">
      <c r="A562" s="49"/>
    </row>
    <row r="563">
      <c r="A563" s="49"/>
    </row>
    <row r="564">
      <c r="A564" s="49"/>
    </row>
    <row r="565">
      <c r="A565" s="49"/>
    </row>
    <row r="566">
      <c r="A566" s="49"/>
    </row>
    <row r="567">
      <c r="A567" s="49"/>
    </row>
    <row r="568">
      <c r="A568" s="49"/>
    </row>
    <row r="569">
      <c r="A569" s="49"/>
    </row>
    <row r="570">
      <c r="A570" s="49"/>
    </row>
    <row r="571">
      <c r="A571" s="49"/>
    </row>
    <row r="572">
      <c r="A572" s="49"/>
    </row>
    <row r="573">
      <c r="A573" s="49"/>
    </row>
    <row r="574">
      <c r="A574" s="49"/>
    </row>
    <row r="575">
      <c r="A575" s="49"/>
    </row>
    <row r="576">
      <c r="A576" s="49"/>
    </row>
    <row r="577">
      <c r="A577" s="49"/>
    </row>
    <row r="578">
      <c r="A578" s="49"/>
    </row>
    <row r="579">
      <c r="A579" s="49"/>
    </row>
    <row r="580">
      <c r="A580" s="49"/>
    </row>
    <row r="581">
      <c r="A581" s="49"/>
    </row>
    <row r="582">
      <c r="A582" s="49"/>
    </row>
    <row r="583">
      <c r="A583" s="49"/>
    </row>
    <row r="584">
      <c r="A584" s="49"/>
    </row>
    <row r="585">
      <c r="A585" s="49"/>
    </row>
    <row r="586">
      <c r="A586" s="49"/>
    </row>
    <row r="587">
      <c r="A587" s="49"/>
    </row>
    <row r="588">
      <c r="A588" s="49"/>
    </row>
    <row r="589">
      <c r="A589" s="49"/>
    </row>
    <row r="590">
      <c r="A590" s="49"/>
    </row>
    <row r="591">
      <c r="A591" s="49"/>
    </row>
    <row r="592">
      <c r="A592" s="49"/>
    </row>
    <row r="593">
      <c r="A593" s="49"/>
    </row>
    <row r="594">
      <c r="A594" s="49"/>
    </row>
    <row r="595">
      <c r="A595" s="49"/>
    </row>
    <row r="596">
      <c r="A596" s="49"/>
    </row>
    <row r="597">
      <c r="A597" s="49"/>
    </row>
    <row r="598">
      <c r="A598" s="49"/>
    </row>
    <row r="599">
      <c r="A599" s="49"/>
    </row>
    <row r="600">
      <c r="A600" s="49"/>
    </row>
    <row r="601">
      <c r="A601" s="49"/>
    </row>
    <row r="602">
      <c r="A602" s="49"/>
    </row>
    <row r="603">
      <c r="A603" s="49"/>
    </row>
    <row r="604">
      <c r="A604" s="49"/>
    </row>
    <row r="605">
      <c r="A605" s="49"/>
    </row>
    <row r="606">
      <c r="A606" s="49"/>
    </row>
    <row r="607">
      <c r="A607" s="49"/>
    </row>
    <row r="608">
      <c r="A608" s="49"/>
    </row>
    <row r="609">
      <c r="A609" s="49"/>
    </row>
    <row r="610">
      <c r="A610" s="49"/>
    </row>
    <row r="611">
      <c r="A611" s="49"/>
    </row>
    <row r="612">
      <c r="A612" s="49"/>
    </row>
    <row r="613">
      <c r="A613" s="49"/>
    </row>
    <row r="614">
      <c r="A614" s="49"/>
    </row>
    <row r="615">
      <c r="A615" s="49"/>
    </row>
    <row r="616">
      <c r="A616" s="49"/>
    </row>
    <row r="617">
      <c r="A617" s="49"/>
    </row>
    <row r="618">
      <c r="A618" s="49"/>
    </row>
    <row r="619">
      <c r="A619" s="49"/>
    </row>
    <row r="620">
      <c r="A620" s="49"/>
    </row>
    <row r="621">
      <c r="A621" s="49"/>
    </row>
    <row r="622">
      <c r="A622" s="49"/>
    </row>
    <row r="623">
      <c r="A623" s="49"/>
    </row>
    <row r="624">
      <c r="A624" s="49"/>
    </row>
    <row r="625">
      <c r="A625" s="49"/>
    </row>
    <row r="626">
      <c r="A626" s="49"/>
    </row>
    <row r="627">
      <c r="A627" s="49"/>
    </row>
    <row r="628">
      <c r="A628" s="49"/>
    </row>
    <row r="629">
      <c r="A629" s="49"/>
    </row>
    <row r="630">
      <c r="A630" s="49"/>
    </row>
    <row r="631">
      <c r="A631" s="49"/>
    </row>
    <row r="632">
      <c r="A632" s="49"/>
    </row>
    <row r="633">
      <c r="A633" s="49"/>
    </row>
    <row r="634">
      <c r="A634" s="49"/>
    </row>
    <row r="635">
      <c r="A635" s="49"/>
    </row>
    <row r="636">
      <c r="A636" s="49"/>
    </row>
    <row r="637">
      <c r="A637" s="49"/>
    </row>
    <row r="638">
      <c r="A638" s="49"/>
    </row>
    <row r="639">
      <c r="A639" s="49"/>
    </row>
    <row r="640">
      <c r="A640" s="49"/>
    </row>
    <row r="641">
      <c r="A641" s="49"/>
    </row>
    <row r="642">
      <c r="A642" s="49"/>
    </row>
    <row r="643">
      <c r="A643" s="49"/>
    </row>
    <row r="644">
      <c r="A644" s="49"/>
    </row>
    <row r="645">
      <c r="A645" s="49"/>
    </row>
    <row r="646">
      <c r="A646" s="49"/>
    </row>
    <row r="647">
      <c r="A647" s="49"/>
    </row>
    <row r="648">
      <c r="A648" s="49"/>
    </row>
    <row r="649">
      <c r="A649" s="49"/>
    </row>
    <row r="650">
      <c r="A650" s="49"/>
    </row>
    <row r="651">
      <c r="A651" s="49"/>
    </row>
    <row r="652">
      <c r="A652" s="49"/>
    </row>
    <row r="653">
      <c r="A653" s="49"/>
    </row>
    <row r="654">
      <c r="A654" s="49"/>
    </row>
    <row r="655">
      <c r="A655" s="49"/>
    </row>
    <row r="656">
      <c r="A656" s="49"/>
    </row>
    <row r="657">
      <c r="A657" s="49"/>
    </row>
    <row r="658">
      <c r="A658" s="49"/>
    </row>
    <row r="659">
      <c r="A659" s="49"/>
    </row>
    <row r="660">
      <c r="A660" s="49"/>
    </row>
    <row r="661">
      <c r="A661" s="49"/>
    </row>
    <row r="662">
      <c r="A662" s="49"/>
    </row>
    <row r="663">
      <c r="A663" s="49"/>
    </row>
    <row r="664">
      <c r="A664" s="49"/>
    </row>
    <row r="665">
      <c r="A665" s="49"/>
    </row>
    <row r="666">
      <c r="A666" s="49"/>
    </row>
    <row r="667">
      <c r="A667" s="49"/>
    </row>
    <row r="668">
      <c r="A668" s="49"/>
    </row>
    <row r="669">
      <c r="A669" s="49"/>
    </row>
    <row r="670">
      <c r="A670" s="49"/>
    </row>
    <row r="671">
      <c r="A671" s="49"/>
    </row>
    <row r="672">
      <c r="A672" s="49"/>
    </row>
    <row r="673">
      <c r="A673" s="49"/>
    </row>
    <row r="674">
      <c r="A674" s="49"/>
    </row>
    <row r="675">
      <c r="A675" s="49"/>
    </row>
    <row r="676">
      <c r="A676" s="49"/>
    </row>
    <row r="677">
      <c r="A677" s="49"/>
    </row>
    <row r="678">
      <c r="A678" s="49"/>
    </row>
    <row r="679">
      <c r="A679" s="49"/>
    </row>
    <row r="680">
      <c r="A680" s="49"/>
    </row>
    <row r="681">
      <c r="A681" s="49"/>
    </row>
    <row r="682">
      <c r="A682" s="49"/>
    </row>
    <row r="683">
      <c r="A683" s="49"/>
    </row>
    <row r="684">
      <c r="A684" s="49"/>
    </row>
    <row r="685">
      <c r="A685" s="49"/>
    </row>
    <row r="686">
      <c r="A686" s="49"/>
    </row>
    <row r="687">
      <c r="A687" s="49"/>
    </row>
    <row r="688">
      <c r="A688" s="49"/>
    </row>
    <row r="689">
      <c r="A689" s="49"/>
    </row>
    <row r="690">
      <c r="A690" s="49"/>
    </row>
    <row r="691">
      <c r="A691" s="49"/>
    </row>
    <row r="692">
      <c r="A692" s="49"/>
    </row>
    <row r="693">
      <c r="A693" s="49"/>
    </row>
    <row r="694">
      <c r="A694" s="49"/>
    </row>
    <row r="695">
      <c r="A695" s="49"/>
    </row>
    <row r="696">
      <c r="A696" s="49"/>
    </row>
    <row r="697">
      <c r="A697" s="49"/>
    </row>
    <row r="698">
      <c r="A698" s="49"/>
    </row>
    <row r="699">
      <c r="A699" s="49"/>
    </row>
    <row r="700">
      <c r="A700" s="49"/>
    </row>
    <row r="701">
      <c r="A701" s="49"/>
    </row>
    <row r="702">
      <c r="A702" s="49"/>
    </row>
    <row r="703">
      <c r="A703" s="49"/>
    </row>
    <row r="704">
      <c r="A704" s="49"/>
    </row>
    <row r="705">
      <c r="A705" s="49"/>
    </row>
    <row r="706">
      <c r="A706" s="49"/>
    </row>
    <row r="707">
      <c r="A707" s="49"/>
    </row>
    <row r="708">
      <c r="A708" s="49"/>
    </row>
    <row r="709">
      <c r="A709" s="49"/>
    </row>
    <row r="710">
      <c r="A710" s="49"/>
    </row>
    <row r="711">
      <c r="A711" s="49"/>
    </row>
    <row r="712">
      <c r="A712" s="49"/>
    </row>
    <row r="713">
      <c r="A713" s="49"/>
    </row>
    <row r="714">
      <c r="A714" s="49"/>
    </row>
    <row r="715">
      <c r="A715" s="49"/>
    </row>
    <row r="716">
      <c r="A716" s="49"/>
    </row>
    <row r="717">
      <c r="A717" s="49"/>
    </row>
    <row r="718">
      <c r="A718" s="49"/>
    </row>
    <row r="719">
      <c r="A719" s="49"/>
    </row>
    <row r="720">
      <c r="A720" s="49"/>
    </row>
    <row r="721">
      <c r="A721" s="49"/>
    </row>
    <row r="722">
      <c r="A722" s="49"/>
    </row>
    <row r="723">
      <c r="A723" s="49"/>
    </row>
    <row r="724">
      <c r="A724" s="49"/>
    </row>
    <row r="725">
      <c r="A725" s="49"/>
    </row>
    <row r="726">
      <c r="A726" s="49"/>
    </row>
    <row r="727">
      <c r="A727" s="49"/>
    </row>
    <row r="728">
      <c r="A728" s="49"/>
    </row>
    <row r="729">
      <c r="A729" s="49"/>
    </row>
    <row r="730">
      <c r="A730" s="49"/>
    </row>
    <row r="731">
      <c r="A731" s="49"/>
    </row>
    <row r="732">
      <c r="A732" s="49"/>
    </row>
    <row r="733">
      <c r="A733" s="49"/>
    </row>
    <row r="734">
      <c r="A734" s="49"/>
    </row>
    <row r="735">
      <c r="A735" s="49"/>
    </row>
    <row r="736">
      <c r="A736" s="49"/>
    </row>
    <row r="737">
      <c r="A737" s="49"/>
    </row>
    <row r="738">
      <c r="A738" s="49"/>
    </row>
    <row r="739">
      <c r="A739" s="49"/>
    </row>
    <row r="740">
      <c r="A740" s="49"/>
    </row>
    <row r="741">
      <c r="A741" s="49"/>
    </row>
    <row r="742">
      <c r="A742" s="49"/>
    </row>
    <row r="743">
      <c r="A743" s="49"/>
    </row>
    <row r="744">
      <c r="A744" s="49"/>
    </row>
    <row r="745">
      <c r="A745" s="49"/>
    </row>
    <row r="746">
      <c r="A746" s="49"/>
    </row>
    <row r="747">
      <c r="A747" s="49"/>
    </row>
    <row r="748">
      <c r="A748" s="49"/>
    </row>
    <row r="749">
      <c r="A749" s="49"/>
    </row>
    <row r="750">
      <c r="A750" s="49"/>
    </row>
    <row r="751">
      <c r="A751" s="49"/>
    </row>
    <row r="752">
      <c r="A752" s="49"/>
    </row>
    <row r="753">
      <c r="A753" s="49"/>
    </row>
    <row r="754">
      <c r="A754" s="49"/>
    </row>
    <row r="755">
      <c r="A755" s="49"/>
    </row>
    <row r="756">
      <c r="A756" s="49"/>
    </row>
    <row r="757">
      <c r="A757" s="49"/>
    </row>
    <row r="758">
      <c r="A758" s="49"/>
    </row>
    <row r="759">
      <c r="A759" s="49"/>
    </row>
    <row r="760">
      <c r="A760" s="49"/>
    </row>
    <row r="761">
      <c r="A761" s="49"/>
    </row>
    <row r="762">
      <c r="A762" s="49"/>
    </row>
    <row r="763">
      <c r="A763" s="49"/>
    </row>
    <row r="764">
      <c r="A764" s="49"/>
    </row>
    <row r="765">
      <c r="A765" s="49"/>
    </row>
    <row r="766">
      <c r="A766" s="49"/>
    </row>
    <row r="767">
      <c r="A767" s="49"/>
    </row>
    <row r="768">
      <c r="A768" s="49"/>
    </row>
    <row r="769">
      <c r="A769" s="49"/>
    </row>
    <row r="770">
      <c r="A770" s="49"/>
    </row>
    <row r="771">
      <c r="A771" s="49"/>
    </row>
    <row r="772">
      <c r="A772" s="49"/>
    </row>
    <row r="773">
      <c r="A773" s="49"/>
    </row>
    <row r="774">
      <c r="A774" s="49"/>
    </row>
    <row r="775">
      <c r="A775" s="49"/>
    </row>
    <row r="776">
      <c r="A776" s="49"/>
    </row>
    <row r="777">
      <c r="A777" s="49"/>
    </row>
    <row r="778">
      <c r="A778" s="49"/>
    </row>
    <row r="779">
      <c r="A779" s="49"/>
    </row>
    <row r="780">
      <c r="A780" s="49"/>
    </row>
    <row r="781">
      <c r="A781" s="49"/>
    </row>
    <row r="782">
      <c r="A782" s="49"/>
    </row>
    <row r="783">
      <c r="A783" s="49"/>
    </row>
    <row r="784">
      <c r="A784" s="49"/>
    </row>
    <row r="785">
      <c r="A785" s="49"/>
    </row>
    <row r="786">
      <c r="A786" s="49"/>
    </row>
    <row r="787">
      <c r="A787" s="49"/>
    </row>
    <row r="788">
      <c r="A788" s="49"/>
    </row>
    <row r="789">
      <c r="A789" s="49"/>
    </row>
    <row r="790">
      <c r="A790" s="49"/>
    </row>
    <row r="791">
      <c r="A791" s="49"/>
    </row>
    <row r="792">
      <c r="A792" s="49"/>
    </row>
    <row r="793">
      <c r="A793" s="49"/>
    </row>
    <row r="794">
      <c r="A794" s="49"/>
    </row>
    <row r="795">
      <c r="A795" s="49"/>
    </row>
    <row r="796">
      <c r="A796" s="49"/>
    </row>
    <row r="797">
      <c r="A797" s="49"/>
    </row>
    <row r="798">
      <c r="A798" s="49"/>
    </row>
    <row r="799">
      <c r="A799" s="49"/>
    </row>
    <row r="800">
      <c r="A800" s="49"/>
    </row>
    <row r="801">
      <c r="A801" s="49"/>
    </row>
    <row r="802">
      <c r="A802" s="49"/>
    </row>
    <row r="803">
      <c r="A803" s="49"/>
    </row>
    <row r="804">
      <c r="A804" s="49"/>
    </row>
    <row r="805">
      <c r="A805" s="49"/>
    </row>
    <row r="806">
      <c r="A806" s="49"/>
    </row>
    <row r="807">
      <c r="A807" s="49"/>
    </row>
    <row r="808">
      <c r="A808" s="49"/>
    </row>
    <row r="809">
      <c r="A809" s="49"/>
    </row>
    <row r="810">
      <c r="A810" s="49"/>
    </row>
    <row r="811">
      <c r="A811" s="49"/>
    </row>
    <row r="812">
      <c r="A812" s="49"/>
    </row>
    <row r="813">
      <c r="A813" s="49"/>
    </row>
    <row r="814">
      <c r="A814" s="49"/>
    </row>
    <row r="815">
      <c r="A815" s="49"/>
    </row>
    <row r="816">
      <c r="A816" s="49"/>
    </row>
    <row r="817">
      <c r="A817" s="49"/>
    </row>
    <row r="818">
      <c r="A818" s="49"/>
    </row>
    <row r="819">
      <c r="A819" s="49"/>
    </row>
    <row r="820">
      <c r="A820" s="49"/>
    </row>
    <row r="821">
      <c r="A821" s="49"/>
    </row>
    <row r="822">
      <c r="A822" s="49"/>
    </row>
    <row r="823">
      <c r="A823" s="49"/>
    </row>
    <row r="824">
      <c r="A824" s="49"/>
    </row>
    <row r="825">
      <c r="A825" s="49"/>
    </row>
    <row r="826">
      <c r="A826" s="49"/>
    </row>
    <row r="827">
      <c r="A827" s="49"/>
    </row>
    <row r="828">
      <c r="A828" s="49"/>
    </row>
    <row r="829">
      <c r="A829" s="49"/>
    </row>
    <row r="830">
      <c r="A830" s="49"/>
    </row>
    <row r="831">
      <c r="A831" s="49"/>
    </row>
    <row r="832">
      <c r="A832" s="49"/>
    </row>
    <row r="833">
      <c r="A833" s="49"/>
    </row>
    <row r="834">
      <c r="A834" s="49"/>
    </row>
    <row r="835">
      <c r="A835" s="49"/>
    </row>
    <row r="836">
      <c r="A836" s="49"/>
    </row>
    <row r="837">
      <c r="A837" s="49"/>
    </row>
    <row r="838">
      <c r="A838" s="49"/>
    </row>
    <row r="839">
      <c r="A839" s="49"/>
    </row>
    <row r="840">
      <c r="A840" s="49"/>
    </row>
    <row r="841">
      <c r="A841" s="49"/>
    </row>
    <row r="842">
      <c r="A842" s="49"/>
    </row>
    <row r="843">
      <c r="A843" s="49"/>
    </row>
    <row r="844">
      <c r="A844" s="49"/>
    </row>
    <row r="845">
      <c r="A845" s="49"/>
    </row>
    <row r="846">
      <c r="A846" s="49"/>
    </row>
    <row r="847">
      <c r="A847" s="49"/>
    </row>
    <row r="848">
      <c r="A848" s="49"/>
    </row>
    <row r="849">
      <c r="A849" s="49"/>
    </row>
    <row r="850">
      <c r="A850" s="49"/>
    </row>
    <row r="851">
      <c r="A851" s="49"/>
    </row>
    <row r="852">
      <c r="A852" s="49"/>
    </row>
    <row r="853">
      <c r="A853" s="49"/>
    </row>
    <row r="854">
      <c r="A854" s="49"/>
    </row>
    <row r="855">
      <c r="A855" s="49"/>
    </row>
    <row r="856">
      <c r="A856" s="49"/>
    </row>
    <row r="857">
      <c r="A857" s="49"/>
    </row>
    <row r="858">
      <c r="A858" s="49"/>
    </row>
    <row r="859">
      <c r="A859" s="49"/>
    </row>
    <row r="860">
      <c r="A860" s="49"/>
    </row>
    <row r="861">
      <c r="A861" s="49"/>
    </row>
    <row r="862">
      <c r="A862" s="49"/>
    </row>
    <row r="863">
      <c r="A863" s="49"/>
    </row>
    <row r="864">
      <c r="A864" s="49"/>
    </row>
    <row r="865">
      <c r="A865" s="49"/>
    </row>
    <row r="866">
      <c r="A866" s="49"/>
    </row>
    <row r="867">
      <c r="A867" s="49"/>
    </row>
    <row r="868">
      <c r="A868" s="49"/>
    </row>
    <row r="869">
      <c r="A869" s="49"/>
    </row>
    <row r="870">
      <c r="A870" s="49"/>
    </row>
    <row r="871">
      <c r="A871" s="49"/>
    </row>
    <row r="872">
      <c r="A872" s="49"/>
    </row>
    <row r="873">
      <c r="A873" s="49"/>
    </row>
    <row r="874">
      <c r="A874" s="49"/>
    </row>
    <row r="875">
      <c r="A875" s="49"/>
    </row>
    <row r="876">
      <c r="A876" s="49"/>
    </row>
    <row r="877">
      <c r="A877" s="49"/>
    </row>
    <row r="878">
      <c r="A878" s="49"/>
    </row>
    <row r="879">
      <c r="A879" s="49"/>
    </row>
    <row r="880">
      <c r="A880" s="49"/>
    </row>
    <row r="881">
      <c r="A881" s="49"/>
    </row>
    <row r="882">
      <c r="A882" s="49"/>
    </row>
    <row r="883">
      <c r="A883" s="49"/>
    </row>
    <row r="884">
      <c r="A884" s="49"/>
    </row>
    <row r="885">
      <c r="A885" s="49"/>
    </row>
    <row r="886">
      <c r="A886" s="49"/>
    </row>
    <row r="887">
      <c r="A887" s="49"/>
    </row>
    <row r="888">
      <c r="A888" s="49"/>
    </row>
    <row r="889">
      <c r="A889" s="49"/>
    </row>
    <row r="890">
      <c r="A890" s="49"/>
    </row>
    <row r="891">
      <c r="A891" s="49"/>
    </row>
    <row r="892">
      <c r="A892" s="49"/>
    </row>
    <row r="893">
      <c r="A893" s="49"/>
    </row>
    <row r="894">
      <c r="A894" s="49"/>
    </row>
    <row r="895">
      <c r="A895" s="49"/>
    </row>
    <row r="896">
      <c r="A896" s="49"/>
    </row>
    <row r="897">
      <c r="A897" s="49"/>
    </row>
    <row r="898">
      <c r="A898" s="49"/>
    </row>
    <row r="899">
      <c r="A899" s="49"/>
    </row>
    <row r="900">
      <c r="A900" s="49"/>
    </row>
    <row r="901">
      <c r="A901" s="49"/>
    </row>
    <row r="902">
      <c r="A902" s="49"/>
    </row>
    <row r="903">
      <c r="A903" s="49"/>
    </row>
    <row r="904">
      <c r="A904" s="49"/>
    </row>
    <row r="905">
      <c r="A905" s="49"/>
    </row>
    <row r="906">
      <c r="A906" s="49"/>
    </row>
    <row r="907">
      <c r="A907" s="49"/>
    </row>
    <row r="908">
      <c r="A908" s="49"/>
    </row>
    <row r="909">
      <c r="A909" s="49"/>
    </row>
    <row r="910">
      <c r="A910" s="49"/>
    </row>
    <row r="911">
      <c r="A911" s="49"/>
    </row>
    <row r="912">
      <c r="A912" s="49"/>
    </row>
    <row r="913">
      <c r="A913" s="49"/>
    </row>
    <row r="914">
      <c r="A914" s="49"/>
    </row>
    <row r="915">
      <c r="A915" s="49"/>
    </row>
    <row r="916">
      <c r="A916" s="49"/>
    </row>
    <row r="917">
      <c r="A917" s="49"/>
    </row>
    <row r="918">
      <c r="A918" s="49"/>
    </row>
    <row r="919">
      <c r="A919" s="49"/>
    </row>
    <row r="920">
      <c r="A920" s="49"/>
    </row>
    <row r="921">
      <c r="A921" s="49"/>
    </row>
    <row r="922">
      <c r="A922" s="49"/>
    </row>
    <row r="923">
      <c r="A923" s="49"/>
    </row>
    <row r="924">
      <c r="A924" s="49"/>
    </row>
    <row r="925">
      <c r="A925" s="49"/>
    </row>
    <row r="926">
      <c r="A926" s="49"/>
    </row>
    <row r="927">
      <c r="A927" s="49"/>
    </row>
    <row r="928">
      <c r="A928" s="49"/>
    </row>
    <row r="929">
      <c r="A929" s="49"/>
    </row>
    <row r="930">
      <c r="A930" s="49"/>
    </row>
    <row r="931">
      <c r="A931" s="49"/>
    </row>
    <row r="932">
      <c r="A932" s="49"/>
    </row>
    <row r="933">
      <c r="A933" s="49"/>
    </row>
    <row r="934">
      <c r="A934" s="49"/>
    </row>
    <row r="935">
      <c r="A935" s="49"/>
    </row>
    <row r="936">
      <c r="A936" s="49"/>
    </row>
    <row r="937">
      <c r="A937" s="49"/>
    </row>
    <row r="938">
      <c r="A938" s="49"/>
    </row>
    <row r="939">
      <c r="A939" s="49"/>
    </row>
    <row r="940">
      <c r="A940" s="49"/>
    </row>
    <row r="941">
      <c r="A941" s="49"/>
    </row>
    <row r="942">
      <c r="A942" s="49"/>
    </row>
    <row r="943">
      <c r="A943" s="49"/>
    </row>
    <row r="944">
      <c r="A944" s="49"/>
    </row>
    <row r="945">
      <c r="A945" s="49"/>
    </row>
    <row r="946">
      <c r="A946" s="49"/>
    </row>
    <row r="947">
      <c r="A947" s="49"/>
    </row>
    <row r="948">
      <c r="A948" s="49"/>
    </row>
    <row r="949">
      <c r="A949" s="49"/>
    </row>
    <row r="950">
      <c r="A950" s="49"/>
    </row>
    <row r="951">
      <c r="A951" s="49"/>
    </row>
    <row r="952">
      <c r="A952" s="49"/>
    </row>
    <row r="953">
      <c r="A953" s="49"/>
    </row>
    <row r="954">
      <c r="A954" s="49"/>
    </row>
    <row r="955">
      <c r="A955" s="49"/>
    </row>
    <row r="956">
      <c r="A956" s="49"/>
    </row>
    <row r="957">
      <c r="A957" s="49"/>
    </row>
    <row r="958">
      <c r="A958" s="49"/>
    </row>
    <row r="959">
      <c r="A959" s="49"/>
    </row>
    <row r="960">
      <c r="A960" s="49"/>
    </row>
    <row r="961">
      <c r="A961" s="49"/>
    </row>
    <row r="962">
      <c r="A962" s="49"/>
    </row>
    <row r="963">
      <c r="A963" s="49"/>
    </row>
    <row r="964">
      <c r="A964" s="49"/>
    </row>
    <row r="965">
      <c r="A965" s="49"/>
    </row>
    <row r="966">
      <c r="A966" s="49"/>
    </row>
    <row r="967">
      <c r="A967" s="49"/>
    </row>
    <row r="968">
      <c r="A968" s="49"/>
    </row>
    <row r="969">
      <c r="A969" s="49"/>
    </row>
    <row r="970">
      <c r="A970" s="49"/>
    </row>
    <row r="971">
      <c r="A971" s="49"/>
    </row>
    <row r="972">
      <c r="A972" s="49"/>
    </row>
    <row r="973">
      <c r="A973" s="49"/>
    </row>
    <row r="974">
      <c r="A974" s="49"/>
    </row>
    <row r="975">
      <c r="A975" s="49"/>
    </row>
    <row r="976">
      <c r="A976" s="49"/>
    </row>
    <row r="977">
      <c r="A977" s="49"/>
    </row>
    <row r="978">
      <c r="A978" s="49"/>
    </row>
    <row r="979">
      <c r="A979" s="49"/>
    </row>
    <row r="980">
      <c r="A980" s="49"/>
    </row>
    <row r="981">
      <c r="A981" s="49"/>
    </row>
    <row r="982">
      <c r="A982" s="49"/>
    </row>
    <row r="983">
      <c r="A983" s="49"/>
    </row>
    <row r="984">
      <c r="A984" s="49"/>
    </row>
    <row r="985">
      <c r="A985" s="49"/>
    </row>
    <row r="986">
      <c r="A986" s="49"/>
    </row>
    <row r="987">
      <c r="A987" s="49"/>
    </row>
    <row r="988">
      <c r="A988" s="49"/>
    </row>
    <row r="989">
      <c r="A989" s="49"/>
    </row>
    <row r="990">
      <c r="A990" s="49"/>
    </row>
    <row r="991">
      <c r="A991" s="49"/>
    </row>
    <row r="992">
      <c r="A992" s="49"/>
    </row>
    <row r="993">
      <c r="A993" s="49"/>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88"/>
    <col customWidth="1" min="3" max="3" width="144.13"/>
  </cols>
  <sheetData>
    <row r="1">
      <c r="A1" s="49" t="str">
        <f>IFERROR(__xludf.DUMMYFUNCTION("IMPORTRANGE(""https://docs.google.com/spreadsheets/d/""&amp;Config!B1,""Classes!A:AX"")"),"Name")</f>
        <v>Name</v>
      </c>
      <c r="B1" s="49" t="str">
        <f>IFERROR(__xludf.DUMMYFUNCTION("""COMPUTED_VALUE"""),"SpellRank")</f>
        <v>SpellRank</v>
      </c>
      <c r="C1" s="49" t="str">
        <f>IFERROR(__xludf.DUMMYFUNCTION("""COMPUTED_VALUE"""),"Ability")</f>
        <v>Ability</v>
      </c>
      <c r="D1" s="49" t="str">
        <f>IFERROR(__xludf.DUMMYFUNCTION("""COMPUTED_VALUE"""),"Attack")</f>
        <v>Attack</v>
      </c>
      <c r="E1" s="49" t="str">
        <f>IFERROR(__xludf.DUMMYFUNCTION("""COMPUTED_VALUE"""),"Defense")</f>
        <v>Defense</v>
      </c>
      <c r="F1" s="49" t="str">
        <f>IFERROR(__xludf.DUMMYFUNCTION("""COMPUTED_VALUE"""),"Accuracy")</f>
        <v>Accuracy</v>
      </c>
      <c r="G1" s="49" t="str">
        <f>IFERROR(__xludf.DUMMYFUNCTION("""COMPUTED_VALUE"""),"Charisma")</f>
        <v>Charisma</v>
      </c>
      <c r="H1" s="49" t="str">
        <f>IFERROR(__xludf.DUMMYFUNCTION("""COMPUTED_VALUE"""),"Wisdom")</f>
        <v>Wisdom</v>
      </c>
      <c r="I1" s="49" t="str">
        <f>IFERROR(__xludf.DUMMYFUNCTION("""COMPUTED_VALUE"""),"Constitution")</f>
        <v>Constitution</v>
      </c>
      <c r="J1" s="49" t="str">
        <f>IFERROR(__xludf.DUMMYFUNCTION("""COMPUTED_VALUE"""),"Evasion")</f>
        <v>Evasion</v>
      </c>
      <c r="K1" s="49" t="str">
        <f>IFERROR(__xludf.DUMMYFUNCTION("""COMPUTED_VALUE"""),"Intimidation")</f>
        <v>Intimidation</v>
      </c>
      <c r="L1" s="49" t="str">
        <f>IFERROR(__xludf.DUMMYFUNCTION("""COMPUTED_VALUE"""),"Mobility")</f>
        <v>Mobility</v>
      </c>
      <c r="M1" s="49" t="str">
        <f>IFERROR(__xludf.DUMMYFUNCTION("""COMPUTED_VALUE"""),"HP")</f>
        <v>HP</v>
      </c>
      <c r="N1" s="49" t="str">
        <f>IFERROR(__xludf.DUMMYFUNCTION("""COMPUTED_VALUE"""),"SP")</f>
        <v>SP</v>
      </c>
      <c r="O1" s="49" t="str">
        <f>IFERROR(__xludf.DUMMYFUNCTION("""COMPUTED_VALUE"""),"Hunger")</f>
        <v>Hunger</v>
      </c>
      <c r="P1" s="49" t="str">
        <f>IFERROR(__xludf.DUMMYFUNCTION("""COMPUTED_VALUE"""),"Thirst")</f>
        <v>Thirst</v>
      </c>
      <c r="Q1" s="49" t="str">
        <f>IFERROR(__xludf.DUMMYFUNCTION("""COMPUTED_VALUE"""),"Energy")</f>
        <v>Energy</v>
      </c>
      <c r="R1" s="49" t="str">
        <f>IFERROR(__xludf.DUMMYFUNCTION("""COMPUTED_VALUE"""),"eleselect")</f>
        <v>eleselect</v>
      </c>
      <c r="S1" s="49" t="str">
        <f>IFERROR(__xludf.DUMMYFUNCTION("""COMPUTED_VALUE"""),"Fire")</f>
        <v>Fire</v>
      </c>
      <c r="T1" s="49" t="str">
        <f>IFERROR(__xludf.DUMMYFUNCTION("""COMPUTED_VALUE"""),"Water")</f>
        <v>Water</v>
      </c>
      <c r="U1" s="49" t="str">
        <f>IFERROR(__xludf.DUMMYFUNCTION("""COMPUTED_VALUE"""),"Storm")</f>
        <v>Storm</v>
      </c>
      <c r="V1" s="49" t="str">
        <f>IFERROR(__xludf.DUMMYFUNCTION("""COMPUTED_VALUE"""),"Earth")</f>
        <v>Earth</v>
      </c>
      <c r="W1" s="49" t="str">
        <f>IFERROR(__xludf.DUMMYFUNCTION("""COMPUTED_VALUE"""),"Light")</f>
        <v>Light</v>
      </c>
      <c r="X1" s="49" t="str">
        <f>IFERROR(__xludf.DUMMYFUNCTION("""COMPUTED_VALUE"""),"Dark")</f>
        <v>Dark</v>
      </c>
      <c r="Y1" s="49" t="str">
        <f>IFERROR(__xludf.DUMMYFUNCTION("""COMPUTED_VALUE"""),"Spirit")</f>
        <v>Spirit</v>
      </c>
      <c r="Z1" s="49" t="str">
        <f>IFERROR(__xludf.DUMMYFUNCTION("""COMPUTED_VALUE"""),"Order")</f>
        <v>Order</v>
      </c>
      <c r="AA1" s="49" t="str">
        <f>IFERROR(__xludf.DUMMYFUNCTION("""COMPUTED_VALUE"""),"Chaos")</f>
        <v>Chaos</v>
      </c>
      <c r="AB1" s="49" t="str">
        <f>IFERROR(__xludf.DUMMYFUNCTION("""COMPUTED_VALUE"""),"Nature")</f>
        <v>Nature</v>
      </c>
      <c r="AC1" s="49" t="str">
        <f>IFERROR(__xludf.DUMMYFUNCTION("""COMPUTED_VALUE"""),"Physical")</f>
        <v>Physical</v>
      </c>
      <c r="AD1" s="49" t="str">
        <f>IFERROR(__xludf.DUMMYFUNCTION("""COMPUTED_VALUE"""),"Melee")</f>
        <v>Melee</v>
      </c>
      <c r="AE1" s="49" t="str">
        <f>IFERROR(__xludf.DUMMYFUNCTION("""COMPUTED_VALUE"""),"Ranged")</f>
        <v>Ranged</v>
      </c>
      <c r="AF1" s="49" t="str">
        <f>IFERROR(__xludf.DUMMYFUNCTION("""COMPUTED_VALUE"""),"Stasis")</f>
        <v>Stasis</v>
      </c>
      <c r="AG1" s="49" t="str">
        <f>IFERROR(__xludf.DUMMYFUNCTION("""COMPUTED_VALUE"""),"Twilight")</f>
        <v>Twilight</v>
      </c>
      <c r="AH1" s="49" t="str">
        <f>IFERROR(__xludf.DUMMYFUNCTION("""COMPUTED_VALUE"""),"Voodoo")</f>
        <v>Voodoo</v>
      </c>
      <c r="AI1" s="49" t="str">
        <f>IFERROR(__xludf.DUMMYFUNCTION("""COMPUTED_VALUE"""),"Blood")</f>
        <v>Blood</v>
      </c>
      <c r="AJ1" s="49" t="str">
        <f>IFERROR(__xludf.DUMMYFUNCTION("""COMPUTED_VALUE"""),"Delta")</f>
        <v>Delta</v>
      </c>
      <c r="AK1" s="49" t="str">
        <f>IFERROR(__xludf.DUMMYFUNCTION("""COMPUTED_VALUE"""),"Zen")</f>
        <v>Zen</v>
      </c>
      <c r="AL1" s="49" t="str">
        <f>IFERROR(__xludf.DUMMYFUNCTION("""COMPUTED_VALUE"""),"Time")</f>
        <v>Time</v>
      </c>
      <c r="AM1" s="49" t="str">
        <f>IFERROR(__xludf.DUMMYFUNCTION("""COMPUTED_VALUE"""),"Astral")</f>
        <v>Astral</v>
      </c>
      <c r="AN1" s="49" t="str">
        <f>IFERROR(__xludf.DUMMYFUNCTION("""COMPUTED_VALUE"""),"Celestial")</f>
        <v>Celestial</v>
      </c>
      <c r="AO1" s="49" t="str">
        <f>IFERROR(__xludf.DUMMYFUNCTION("""COMPUTED_VALUE"""),"Acoustic")</f>
        <v>Acoustic</v>
      </c>
      <c r="AP1" s="49"/>
      <c r="AQ1" s="49"/>
      <c r="AR1" s="49"/>
      <c r="AS1" s="49"/>
      <c r="AT1" s="49"/>
      <c r="AU1" s="49"/>
      <c r="AV1" s="49"/>
      <c r="AW1" s="49"/>
      <c r="AX1" s="49"/>
    </row>
    <row r="2">
      <c r="A2" s="49" t="str">
        <f>IFERROR(__xludf.DUMMYFUNCTION("""COMPUTED_VALUE"""),"Archer")</f>
        <v>Archer</v>
      </c>
      <c r="B2" s="49" t="str">
        <f>IFERROR(__xludf.DUMMYFUNCTION("""COMPUTED_VALUE"""),"Rank 9 Ranged")</f>
        <v>Rank 9 Ranged</v>
      </c>
      <c r="C2" s="49" t="str">
        <f>IFERROR(__xludf.DUMMYFUNCTION("""COMPUTED_VALUE"""),"X6 damage with bows.
+5 evasion")</f>
        <v>X6 damage with bows.
+5 evasion</v>
      </c>
      <c r="D2" s="49"/>
      <c r="E2" s="49"/>
      <c r="F2" s="49"/>
      <c r="G2" s="49"/>
      <c r="H2" s="49"/>
      <c r="I2" s="49"/>
      <c r="J2" s="49">
        <f>IFERROR(__xludf.DUMMYFUNCTION("""COMPUTED_VALUE"""),5.0)</f>
        <v>5</v>
      </c>
      <c r="K2" s="49"/>
      <c r="L2" s="49"/>
      <c r="M2" s="49"/>
      <c r="N2" s="49"/>
      <c r="O2" s="49"/>
      <c r="P2" s="49"/>
      <c r="Q2" s="49"/>
      <c r="R2" s="49">
        <f>IFERROR(__xludf.DUMMYFUNCTION("""COMPUTED_VALUE"""),0.0)</f>
        <v>0</v>
      </c>
      <c r="S2" s="49"/>
      <c r="T2" s="49"/>
      <c r="U2" s="49"/>
      <c r="V2" s="49"/>
      <c r="W2" s="49"/>
      <c r="X2" s="49"/>
      <c r="Y2" s="49"/>
      <c r="Z2" s="49"/>
      <c r="AA2" s="49"/>
      <c r="AB2" s="49"/>
      <c r="AC2" s="49"/>
      <c r="AD2" s="49"/>
      <c r="AE2" s="49">
        <f>IFERROR(__xludf.DUMMYFUNCTION("""COMPUTED_VALUE"""),9.0)</f>
        <v>9</v>
      </c>
      <c r="AF2" s="49"/>
      <c r="AG2" s="49"/>
      <c r="AH2" s="49"/>
      <c r="AI2" s="49"/>
      <c r="AJ2" s="49"/>
      <c r="AK2" s="49"/>
      <c r="AL2" s="49"/>
      <c r="AM2" s="49"/>
      <c r="AN2" s="49"/>
      <c r="AO2" s="49"/>
      <c r="AP2" s="49"/>
      <c r="AQ2" s="49"/>
      <c r="AR2" s="49"/>
      <c r="AS2" s="49"/>
      <c r="AT2" s="49"/>
      <c r="AU2" s="49"/>
      <c r="AV2" s="49"/>
      <c r="AW2" s="49"/>
      <c r="AX2" s="49"/>
    </row>
    <row r="3">
      <c r="A3" s="49" t="str">
        <f>IFERROR(__xludf.DUMMYFUNCTION("""COMPUTED_VALUE"""),"Bard")</f>
        <v>Bard</v>
      </c>
      <c r="B3" s="49" t="str">
        <f>IFERROR(__xludf.DUMMYFUNCTION("""COMPUTED_VALUE"""),"Rank 6 Select 3 of any element (Excluding Zen)")</f>
        <v>Rank 6 Select 3 of any element (Excluding Zen)</v>
      </c>
      <c r="C3" s="49"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49"/>
      <c r="E3" s="49"/>
      <c r="F3" s="49"/>
      <c r="G3" s="49"/>
      <c r="H3" s="49"/>
      <c r="I3" s="49"/>
      <c r="J3" s="49"/>
      <c r="K3" s="49"/>
      <c r="L3" s="49"/>
      <c r="M3" s="49"/>
      <c r="N3" s="49"/>
      <c r="O3" s="49"/>
      <c r="P3" s="49"/>
      <c r="Q3" s="49"/>
      <c r="R3" s="49">
        <f>IFERROR(__xludf.DUMMYFUNCTION("""COMPUTED_VALUE"""),3.0)</f>
        <v>3</v>
      </c>
      <c r="S3" s="49">
        <f>IFERROR(__xludf.DUMMYFUNCTION("""COMPUTED_VALUE"""),6.0)</f>
        <v>6</v>
      </c>
      <c r="T3" s="49">
        <f>IFERROR(__xludf.DUMMYFUNCTION("""COMPUTED_VALUE"""),6.0)</f>
        <v>6</v>
      </c>
      <c r="U3" s="49">
        <f>IFERROR(__xludf.DUMMYFUNCTION("""COMPUTED_VALUE"""),6.0)</f>
        <v>6</v>
      </c>
      <c r="V3" s="49">
        <f>IFERROR(__xludf.DUMMYFUNCTION("""COMPUTED_VALUE"""),6.0)</f>
        <v>6</v>
      </c>
      <c r="W3" s="49">
        <f>IFERROR(__xludf.DUMMYFUNCTION("""COMPUTED_VALUE"""),6.0)</f>
        <v>6</v>
      </c>
      <c r="X3" s="49">
        <f>IFERROR(__xludf.DUMMYFUNCTION("""COMPUTED_VALUE"""),6.0)</f>
        <v>6</v>
      </c>
      <c r="Y3" s="49">
        <f>IFERROR(__xludf.DUMMYFUNCTION("""COMPUTED_VALUE"""),6.0)</f>
        <v>6</v>
      </c>
      <c r="Z3" s="49">
        <f>IFERROR(__xludf.DUMMYFUNCTION("""COMPUTED_VALUE"""),6.0)</f>
        <v>6</v>
      </c>
      <c r="AA3" s="49">
        <f>IFERROR(__xludf.DUMMYFUNCTION("""COMPUTED_VALUE"""),6.0)</f>
        <v>6</v>
      </c>
      <c r="AB3" s="49">
        <f>IFERROR(__xludf.DUMMYFUNCTION("""COMPUTED_VALUE"""),6.0)</f>
        <v>6</v>
      </c>
      <c r="AC3" s="49">
        <f>IFERROR(__xludf.DUMMYFUNCTION("""COMPUTED_VALUE"""),6.0)</f>
        <v>6</v>
      </c>
      <c r="AD3" s="49">
        <f>IFERROR(__xludf.DUMMYFUNCTION("""COMPUTED_VALUE"""),6.0)</f>
        <v>6</v>
      </c>
      <c r="AE3" s="49">
        <f>IFERROR(__xludf.DUMMYFUNCTION("""COMPUTED_VALUE"""),6.0)</f>
        <v>6</v>
      </c>
      <c r="AF3" s="49">
        <f>IFERROR(__xludf.DUMMYFUNCTION("""COMPUTED_VALUE"""),6.0)</f>
        <v>6</v>
      </c>
      <c r="AG3" s="49">
        <f>IFERROR(__xludf.DUMMYFUNCTION("""COMPUTED_VALUE"""),6.0)</f>
        <v>6</v>
      </c>
      <c r="AH3" s="49">
        <f>IFERROR(__xludf.DUMMYFUNCTION("""COMPUTED_VALUE"""),6.0)</f>
        <v>6</v>
      </c>
      <c r="AI3" s="49">
        <f>IFERROR(__xludf.DUMMYFUNCTION("""COMPUTED_VALUE"""),6.0)</f>
        <v>6</v>
      </c>
      <c r="AJ3" s="49">
        <f>IFERROR(__xludf.DUMMYFUNCTION("""COMPUTED_VALUE"""),6.0)</f>
        <v>6</v>
      </c>
      <c r="AK3" s="49"/>
      <c r="AL3" s="49"/>
      <c r="AM3" s="49">
        <f>IFERROR(__xludf.DUMMYFUNCTION("""COMPUTED_VALUE"""),6.0)</f>
        <v>6</v>
      </c>
      <c r="AN3" s="49"/>
      <c r="AO3" s="49">
        <f>IFERROR(__xludf.DUMMYFUNCTION("""COMPUTED_VALUE"""),6.0)</f>
        <v>6</v>
      </c>
      <c r="AP3" s="49"/>
      <c r="AQ3" s="49"/>
      <c r="AR3" s="49"/>
      <c r="AS3" s="49"/>
      <c r="AT3" s="49"/>
      <c r="AU3" s="49"/>
      <c r="AV3" s="49"/>
      <c r="AW3" s="49"/>
      <c r="AX3" s="49"/>
    </row>
    <row r="4">
      <c r="A4" s="49" t="str">
        <f>IFERROR(__xludf.DUMMYFUNCTION("""COMPUTED_VALUE"""),"Bombadier")</f>
        <v>Bombadier</v>
      </c>
      <c r="B4" s="49" t="str">
        <f>IFERROR(__xludf.DUMMYFUNCTION("""COMPUTED_VALUE"""),"Rank 6 Physical, Melee, Ranged")</f>
        <v>Rank 6 Physical, Melee, Ranged</v>
      </c>
      <c r="C4" s="49"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49"/>
      <c r="E4" s="49"/>
      <c r="F4" s="49"/>
      <c r="G4" s="49"/>
      <c r="H4" s="49"/>
      <c r="I4" s="49"/>
      <c r="J4" s="49"/>
      <c r="K4" s="49"/>
      <c r="L4" s="49"/>
      <c r="M4" s="49"/>
      <c r="N4" s="49"/>
      <c r="O4" s="49"/>
      <c r="P4" s="49"/>
      <c r="Q4" s="49"/>
      <c r="R4" s="49"/>
      <c r="S4" s="49"/>
      <c r="T4" s="49"/>
      <c r="U4" s="49"/>
      <c r="V4" s="49"/>
      <c r="W4" s="49"/>
      <c r="X4" s="49"/>
      <c r="Y4" s="49"/>
      <c r="Z4" s="49"/>
      <c r="AA4" s="49"/>
      <c r="AB4" s="49"/>
      <c r="AC4" s="49">
        <f>IFERROR(__xludf.DUMMYFUNCTION("""COMPUTED_VALUE"""),6.0)</f>
        <v>6</v>
      </c>
      <c r="AD4" s="49">
        <f>IFERROR(__xludf.DUMMYFUNCTION("""COMPUTED_VALUE"""),6.0)</f>
        <v>6</v>
      </c>
      <c r="AE4" s="49">
        <f>IFERROR(__xludf.DUMMYFUNCTION("""COMPUTED_VALUE"""),6.0)</f>
        <v>6</v>
      </c>
      <c r="AF4" s="49"/>
      <c r="AG4" s="49"/>
      <c r="AH4" s="49"/>
      <c r="AI4" s="49"/>
      <c r="AJ4" s="49"/>
      <c r="AK4" s="49"/>
      <c r="AL4" s="49"/>
      <c r="AM4" s="49"/>
      <c r="AN4" s="49"/>
      <c r="AO4" s="49"/>
      <c r="AP4" s="49"/>
      <c r="AQ4" s="49"/>
      <c r="AR4" s="49"/>
      <c r="AS4" s="49"/>
      <c r="AT4" s="49"/>
      <c r="AU4" s="49"/>
      <c r="AV4" s="49"/>
      <c r="AW4" s="49"/>
      <c r="AX4" s="49"/>
    </row>
    <row r="5">
      <c r="A5" s="49" t="str">
        <f>IFERROR(__xludf.DUMMYFUNCTION("""COMPUTED_VALUE"""),"Brawler")</f>
        <v>Brawler</v>
      </c>
      <c r="B5" s="49" t="str">
        <f>IFERROR(__xludf.DUMMYFUNCTION("""COMPUTED_VALUE"""),"Rank 9 Physical")</f>
        <v>Rank 9 Physical</v>
      </c>
      <c r="C5" s="49" t="str">
        <f>IFERROR(__xludf.DUMMYFUNCTION("""COMPUTED_VALUE"""),"+5 mobility")</f>
        <v>+5 mobility</v>
      </c>
      <c r="D5" s="49"/>
      <c r="E5" s="49"/>
      <c r="F5" s="49"/>
      <c r="G5" s="49"/>
      <c r="H5" s="49"/>
      <c r="I5" s="49"/>
      <c r="J5" s="49"/>
      <c r="K5" s="49"/>
      <c r="L5" s="49">
        <f>IFERROR(__xludf.DUMMYFUNCTION("""COMPUTED_VALUE"""),5.0)</f>
        <v>5</v>
      </c>
      <c r="M5" s="49"/>
      <c r="N5" s="49"/>
      <c r="O5" s="49"/>
      <c r="P5" s="49"/>
      <c r="Q5" s="49"/>
      <c r="R5" s="49">
        <f>IFERROR(__xludf.DUMMYFUNCTION("""COMPUTED_VALUE"""),0.0)</f>
        <v>0</v>
      </c>
      <c r="S5" s="49"/>
      <c r="T5" s="49"/>
      <c r="U5" s="49"/>
      <c r="V5" s="49"/>
      <c r="W5" s="49"/>
      <c r="X5" s="49"/>
      <c r="Y5" s="49"/>
      <c r="Z5" s="49"/>
      <c r="AA5" s="49"/>
      <c r="AB5" s="49"/>
      <c r="AC5" s="49">
        <f>IFERROR(__xludf.DUMMYFUNCTION("""COMPUTED_VALUE"""),9.0)</f>
        <v>9</v>
      </c>
      <c r="AD5" s="49"/>
      <c r="AE5" s="49"/>
      <c r="AF5" s="49"/>
      <c r="AG5" s="49"/>
      <c r="AH5" s="49"/>
      <c r="AI5" s="49"/>
      <c r="AJ5" s="49"/>
      <c r="AK5" s="49"/>
      <c r="AL5" s="49"/>
      <c r="AM5" s="49"/>
      <c r="AN5" s="49"/>
      <c r="AO5" s="49"/>
      <c r="AP5" s="49"/>
      <c r="AQ5" s="49"/>
      <c r="AR5" s="49"/>
      <c r="AS5" s="49"/>
      <c r="AT5" s="49"/>
      <c r="AU5" s="49"/>
      <c r="AV5" s="49"/>
      <c r="AW5" s="49"/>
      <c r="AX5" s="49"/>
    </row>
    <row r="6">
      <c r="A6" s="49" t="str">
        <f>IFERROR(__xludf.DUMMYFUNCTION("""COMPUTED_VALUE"""),"Cavalier")</f>
        <v>Cavalier</v>
      </c>
      <c r="B6" s="49" t="str">
        <f>IFERROR(__xludf.DUMMYFUNCTION("""COMPUTED_VALUE"""),"Rank 3 in all elements. (Excluding Acoustic and Zen)")</f>
        <v>Rank 3 in all elements. (Excluding Acoustic and Zen)</v>
      </c>
      <c r="C6" s="49"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49"/>
      <c r="E6" s="49"/>
      <c r="F6" s="49"/>
      <c r="G6" s="49"/>
      <c r="H6" s="49"/>
      <c r="I6" s="49"/>
      <c r="J6" s="49"/>
      <c r="K6" s="49"/>
      <c r="L6" s="49"/>
      <c r="M6" s="49"/>
      <c r="N6" s="49"/>
      <c r="O6" s="49"/>
      <c r="P6" s="49"/>
      <c r="Q6" s="49"/>
      <c r="R6" s="49">
        <f>IFERROR(__xludf.DUMMYFUNCTION("""COMPUTED_VALUE"""),0.0)</f>
        <v>0</v>
      </c>
      <c r="S6" s="49">
        <f>IFERROR(__xludf.DUMMYFUNCTION("""COMPUTED_VALUE"""),3.0)</f>
        <v>3</v>
      </c>
      <c r="T6" s="49">
        <f>IFERROR(__xludf.DUMMYFUNCTION("""COMPUTED_VALUE"""),3.0)</f>
        <v>3</v>
      </c>
      <c r="U6" s="49">
        <f>IFERROR(__xludf.DUMMYFUNCTION("""COMPUTED_VALUE"""),3.0)</f>
        <v>3</v>
      </c>
      <c r="V6" s="49">
        <f>IFERROR(__xludf.DUMMYFUNCTION("""COMPUTED_VALUE"""),3.0)</f>
        <v>3</v>
      </c>
      <c r="W6" s="49">
        <f>IFERROR(__xludf.DUMMYFUNCTION("""COMPUTED_VALUE"""),3.0)</f>
        <v>3</v>
      </c>
      <c r="X6" s="49">
        <f>IFERROR(__xludf.DUMMYFUNCTION("""COMPUTED_VALUE"""),3.0)</f>
        <v>3</v>
      </c>
      <c r="Y6" s="49">
        <f>IFERROR(__xludf.DUMMYFUNCTION("""COMPUTED_VALUE"""),3.0)</f>
        <v>3</v>
      </c>
      <c r="Z6" s="49">
        <f>IFERROR(__xludf.DUMMYFUNCTION("""COMPUTED_VALUE"""),3.0)</f>
        <v>3</v>
      </c>
      <c r="AA6" s="49">
        <f>IFERROR(__xludf.DUMMYFUNCTION("""COMPUTED_VALUE"""),3.0)</f>
        <v>3</v>
      </c>
      <c r="AB6" s="49">
        <f>IFERROR(__xludf.DUMMYFUNCTION("""COMPUTED_VALUE"""),3.0)</f>
        <v>3</v>
      </c>
      <c r="AC6" s="49">
        <f>IFERROR(__xludf.DUMMYFUNCTION("""COMPUTED_VALUE"""),3.0)</f>
        <v>3</v>
      </c>
      <c r="AD6" s="49">
        <f>IFERROR(__xludf.DUMMYFUNCTION("""COMPUTED_VALUE"""),3.0)</f>
        <v>3</v>
      </c>
      <c r="AE6" s="49">
        <f>IFERROR(__xludf.DUMMYFUNCTION("""COMPUTED_VALUE"""),3.0)</f>
        <v>3</v>
      </c>
      <c r="AF6" s="49">
        <f>IFERROR(__xludf.DUMMYFUNCTION("""COMPUTED_VALUE"""),3.0)</f>
        <v>3</v>
      </c>
      <c r="AG6" s="49">
        <f>IFERROR(__xludf.DUMMYFUNCTION("""COMPUTED_VALUE"""),3.0)</f>
        <v>3</v>
      </c>
      <c r="AH6" s="49">
        <f>IFERROR(__xludf.DUMMYFUNCTION("""COMPUTED_VALUE"""),3.0)</f>
        <v>3</v>
      </c>
      <c r="AI6" s="49">
        <f>IFERROR(__xludf.DUMMYFUNCTION("""COMPUTED_VALUE"""),3.0)</f>
        <v>3</v>
      </c>
      <c r="AJ6" s="49">
        <f>IFERROR(__xludf.DUMMYFUNCTION("""COMPUTED_VALUE"""),3.0)</f>
        <v>3</v>
      </c>
      <c r="AK6" s="49"/>
      <c r="AL6" s="49"/>
      <c r="AM6" s="49">
        <f>IFERROR(__xludf.DUMMYFUNCTION("""COMPUTED_VALUE"""),3.0)</f>
        <v>3</v>
      </c>
      <c r="AN6" s="49"/>
      <c r="AO6" s="49"/>
      <c r="AP6" s="49"/>
      <c r="AQ6" s="49"/>
      <c r="AR6" s="49"/>
      <c r="AS6" s="49"/>
      <c r="AT6" s="49"/>
      <c r="AU6" s="49"/>
      <c r="AV6" s="49"/>
      <c r="AW6" s="49"/>
      <c r="AX6" s="49"/>
    </row>
    <row r="7">
      <c r="A7" s="49" t="str">
        <f>IFERROR(__xludf.DUMMYFUNCTION("""COMPUTED_VALUE"""),"Cultist")</f>
        <v>Cultist</v>
      </c>
      <c r="B7" s="49" t="str">
        <f>IFERROR(__xludf.DUMMYFUNCTION("""COMPUTED_VALUE"""),"Rank 6 Chaos, Dark, Blood")</f>
        <v>Rank 6 Chaos, Dark, Blood</v>
      </c>
      <c r="C7" s="49"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49"/>
      <c r="E7" s="49"/>
      <c r="F7" s="49"/>
      <c r="G7" s="49"/>
      <c r="H7" s="49"/>
      <c r="I7" s="49"/>
      <c r="J7" s="49"/>
      <c r="K7" s="49"/>
      <c r="L7" s="49"/>
      <c r="M7" s="49"/>
      <c r="N7" s="49"/>
      <c r="O7" s="49"/>
      <c r="P7" s="49"/>
      <c r="Q7" s="49"/>
      <c r="R7" s="49">
        <f>IFERROR(__xludf.DUMMYFUNCTION("""COMPUTED_VALUE"""),0.0)</f>
        <v>0</v>
      </c>
      <c r="S7" s="49"/>
      <c r="T7" s="49"/>
      <c r="U7" s="49"/>
      <c r="V7" s="49"/>
      <c r="W7" s="49"/>
      <c r="X7" s="49">
        <f>IFERROR(__xludf.DUMMYFUNCTION("""COMPUTED_VALUE"""),6.0)</f>
        <v>6</v>
      </c>
      <c r="Y7" s="49"/>
      <c r="Z7" s="49"/>
      <c r="AA7" s="49">
        <f>IFERROR(__xludf.DUMMYFUNCTION("""COMPUTED_VALUE"""),6.0)</f>
        <v>6</v>
      </c>
      <c r="AB7" s="49"/>
      <c r="AC7" s="49"/>
      <c r="AD7" s="49"/>
      <c r="AE7" s="49"/>
      <c r="AF7" s="49"/>
      <c r="AG7" s="49"/>
      <c r="AH7" s="49"/>
      <c r="AI7" s="49">
        <f>IFERROR(__xludf.DUMMYFUNCTION("""COMPUTED_VALUE"""),6.0)</f>
        <v>6</v>
      </c>
      <c r="AJ7" s="49"/>
      <c r="AK7" s="49"/>
      <c r="AL7" s="49"/>
      <c r="AM7" s="49"/>
      <c r="AN7" s="49"/>
      <c r="AO7" s="49"/>
      <c r="AP7" s="49"/>
      <c r="AQ7" s="49"/>
      <c r="AR7" s="49"/>
      <c r="AS7" s="49"/>
      <c r="AT7" s="49"/>
      <c r="AU7" s="49"/>
      <c r="AV7" s="49"/>
      <c r="AW7" s="49"/>
      <c r="AX7" s="49"/>
    </row>
    <row r="8">
      <c r="A8" s="49" t="str">
        <f>IFERROR(__xludf.DUMMYFUNCTION("""COMPUTED_VALUE"""),"Druid")</f>
        <v>Druid</v>
      </c>
      <c r="B8" s="49" t="str">
        <f>IFERROR(__xludf.DUMMYFUNCTION("""COMPUTED_VALUE"""),"Rank 9 Nature, Rank 6 Light")</f>
        <v>Rank 9 Nature, Rank 6 Light</v>
      </c>
      <c r="C8" s="49"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49"/>
      <c r="E8" s="49"/>
      <c r="F8" s="49"/>
      <c r="G8" s="49"/>
      <c r="H8" s="49"/>
      <c r="I8" s="49"/>
      <c r="J8" s="49"/>
      <c r="K8" s="49"/>
      <c r="L8" s="49"/>
      <c r="M8" s="49"/>
      <c r="N8" s="49"/>
      <c r="O8" s="49"/>
      <c r="P8" s="49"/>
      <c r="Q8" s="49"/>
      <c r="R8" s="49">
        <f>IFERROR(__xludf.DUMMYFUNCTION("""COMPUTED_VALUE"""),0.0)</f>
        <v>0</v>
      </c>
      <c r="S8" s="49"/>
      <c r="T8" s="49"/>
      <c r="U8" s="49"/>
      <c r="V8" s="49"/>
      <c r="W8" s="49">
        <f>IFERROR(__xludf.DUMMYFUNCTION("""COMPUTED_VALUE"""),6.0)</f>
        <v>6</v>
      </c>
      <c r="X8" s="49"/>
      <c r="Y8" s="49"/>
      <c r="Z8" s="49"/>
      <c r="AA8" s="49"/>
      <c r="AB8" s="49">
        <f>IFERROR(__xludf.DUMMYFUNCTION("""COMPUTED_VALUE"""),9.0)</f>
        <v>9</v>
      </c>
      <c r="AC8" s="49"/>
      <c r="AD8" s="49"/>
      <c r="AE8" s="49"/>
      <c r="AF8" s="49"/>
      <c r="AG8" s="49"/>
      <c r="AH8" s="49"/>
      <c r="AI8" s="49"/>
      <c r="AJ8" s="49"/>
      <c r="AK8" s="49"/>
      <c r="AL8" s="49"/>
      <c r="AM8" s="49"/>
      <c r="AN8" s="49"/>
      <c r="AO8" s="49"/>
      <c r="AP8" s="49"/>
      <c r="AQ8" s="49"/>
      <c r="AR8" s="49"/>
      <c r="AS8" s="49"/>
      <c r="AT8" s="49"/>
      <c r="AU8" s="49"/>
      <c r="AV8" s="49"/>
      <c r="AW8" s="49"/>
      <c r="AX8" s="49"/>
    </row>
    <row r="9">
      <c r="A9" s="49" t="str">
        <f>IFERROR(__xludf.DUMMYFUNCTION("""COMPUTED_VALUE"""),"Gunslinger")</f>
        <v>Gunslinger</v>
      </c>
      <c r="B9" s="49" t="str">
        <f>IFERROR(__xludf.DUMMYFUNCTION("""COMPUTED_VALUE"""),"Rank 6 Ranged, Physical, Melee")</f>
        <v>Rank 6 Ranged, Physical, Melee</v>
      </c>
      <c r="C9" s="49" t="str">
        <f>IFERROR(__xludf.DUMMYFUNCTION("""COMPUTED_VALUE"""),"X6 damage with Firearms.
Starts with the exclusive power ""Lasso""")</f>
        <v>X6 damage with Firearms.
Starts with the exclusive power "Lasso"</v>
      </c>
      <c r="D9" s="49"/>
      <c r="E9" s="49"/>
      <c r="F9" s="49"/>
      <c r="G9" s="49"/>
      <c r="H9" s="49"/>
      <c r="I9" s="49"/>
      <c r="J9" s="49"/>
      <c r="K9" s="49"/>
      <c r="L9" s="49"/>
      <c r="M9" s="49"/>
      <c r="N9" s="49"/>
      <c r="O9" s="49"/>
      <c r="P9" s="49"/>
      <c r="Q9" s="49"/>
      <c r="R9" s="49">
        <f>IFERROR(__xludf.DUMMYFUNCTION("""COMPUTED_VALUE"""),0.0)</f>
        <v>0</v>
      </c>
      <c r="S9" s="49"/>
      <c r="T9" s="49"/>
      <c r="U9" s="49"/>
      <c r="V9" s="49"/>
      <c r="W9" s="49"/>
      <c r="X9" s="49"/>
      <c r="Y9" s="49"/>
      <c r="Z9" s="49"/>
      <c r="AA9" s="49"/>
      <c r="AB9" s="49"/>
      <c r="AC9" s="49">
        <f>IFERROR(__xludf.DUMMYFUNCTION("""COMPUTED_VALUE"""),6.0)</f>
        <v>6</v>
      </c>
      <c r="AD9" s="49">
        <f>IFERROR(__xludf.DUMMYFUNCTION("""COMPUTED_VALUE"""),6.0)</f>
        <v>6</v>
      </c>
      <c r="AE9" s="49">
        <f>IFERROR(__xludf.DUMMYFUNCTION("""COMPUTED_VALUE"""),6.0)</f>
        <v>6</v>
      </c>
      <c r="AF9" s="49"/>
      <c r="AG9" s="49"/>
      <c r="AH9" s="49"/>
      <c r="AI9" s="49"/>
      <c r="AJ9" s="49"/>
      <c r="AK9" s="49"/>
      <c r="AL9" s="49"/>
      <c r="AM9" s="49"/>
      <c r="AN9" s="49"/>
      <c r="AO9" s="49"/>
      <c r="AP9" s="49"/>
      <c r="AQ9" s="49"/>
      <c r="AR9" s="49"/>
      <c r="AS9" s="49"/>
      <c r="AT9" s="49"/>
      <c r="AU9" s="49"/>
      <c r="AV9" s="49"/>
      <c r="AW9" s="49"/>
      <c r="AX9" s="49"/>
    </row>
    <row r="10">
      <c r="A10" s="49" t="str">
        <f>IFERROR(__xludf.DUMMYFUNCTION("""COMPUTED_VALUE"""),"Hunter")</f>
        <v>Hunter</v>
      </c>
      <c r="B10" s="49" t="str">
        <f>IFERROR(__xludf.DUMMYFUNCTION("""COMPUTED_VALUE"""),"Rank 6 Nature and Range")</f>
        <v>Rank 6 Nature and Range</v>
      </c>
      <c r="C10" s="49"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49"/>
      <c r="E10" s="49"/>
      <c r="F10" s="49"/>
      <c r="G10" s="49"/>
      <c r="H10" s="49"/>
      <c r="I10" s="49"/>
      <c r="J10" s="49"/>
      <c r="K10" s="49"/>
      <c r="L10" s="49"/>
      <c r="M10" s="49"/>
      <c r="N10" s="49"/>
      <c r="O10" s="49"/>
      <c r="P10" s="49"/>
      <c r="Q10" s="49"/>
      <c r="R10" s="49">
        <f>IFERROR(__xludf.DUMMYFUNCTION("""COMPUTED_VALUE"""),0.0)</f>
        <v>0</v>
      </c>
      <c r="S10" s="49"/>
      <c r="T10" s="49"/>
      <c r="U10" s="49"/>
      <c r="V10" s="49"/>
      <c r="W10" s="49"/>
      <c r="X10" s="49"/>
      <c r="Y10" s="49"/>
      <c r="Z10" s="49"/>
      <c r="AA10" s="49"/>
      <c r="AB10" s="49">
        <f>IFERROR(__xludf.DUMMYFUNCTION("""COMPUTED_VALUE"""),6.0)</f>
        <v>6</v>
      </c>
      <c r="AC10" s="49"/>
      <c r="AD10" s="49"/>
      <c r="AE10" s="49">
        <f>IFERROR(__xludf.DUMMYFUNCTION("""COMPUTED_VALUE"""),6.0)</f>
        <v>6</v>
      </c>
      <c r="AF10" s="49"/>
      <c r="AG10" s="49"/>
      <c r="AH10" s="49"/>
      <c r="AI10" s="49"/>
      <c r="AJ10" s="49"/>
      <c r="AK10" s="49"/>
      <c r="AL10" s="49"/>
      <c r="AM10" s="49"/>
      <c r="AN10" s="49"/>
      <c r="AO10" s="49"/>
      <c r="AP10" s="49"/>
      <c r="AQ10" s="49"/>
      <c r="AR10" s="49"/>
      <c r="AS10" s="49"/>
      <c r="AT10" s="49"/>
      <c r="AU10" s="49"/>
      <c r="AV10" s="49"/>
      <c r="AW10" s="49"/>
      <c r="AX10" s="49"/>
    </row>
    <row r="11">
      <c r="A11" s="49" t="str">
        <f>IFERROR(__xludf.DUMMYFUNCTION("""COMPUTED_VALUE"""),"Jack of all Trades")</f>
        <v>Jack of all Trades</v>
      </c>
      <c r="B11" s="49" t="str">
        <f>IFERROR(__xludf.DUMMYFUNCTION("""COMPUTED_VALUE"""),"Rank 6 in all elements. (Excluding Acoustic)")</f>
        <v>Rank 6 in all elements. (Excluding Acoustic)</v>
      </c>
      <c r="C11" s="49"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49"/>
      <c r="E11" s="49"/>
      <c r="F11" s="49"/>
      <c r="G11" s="49"/>
      <c r="H11" s="49"/>
      <c r="I11" s="49"/>
      <c r="J11" s="49"/>
      <c r="K11" s="49"/>
      <c r="L11" s="49"/>
      <c r="M11" s="49"/>
      <c r="N11" s="49"/>
      <c r="O11" s="49"/>
      <c r="P11" s="49"/>
      <c r="Q11" s="49"/>
      <c r="R11" s="49">
        <f>IFERROR(__xludf.DUMMYFUNCTION("""COMPUTED_VALUE"""),0.0)</f>
        <v>0</v>
      </c>
      <c r="S11" s="49">
        <f>IFERROR(__xludf.DUMMYFUNCTION("""COMPUTED_VALUE"""),6.0)</f>
        <v>6</v>
      </c>
      <c r="T11" s="49">
        <f>IFERROR(__xludf.DUMMYFUNCTION("""COMPUTED_VALUE"""),6.0)</f>
        <v>6</v>
      </c>
      <c r="U11" s="49">
        <f>IFERROR(__xludf.DUMMYFUNCTION("""COMPUTED_VALUE"""),6.0)</f>
        <v>6</v>
      </c>
      <c r="V11" s="49">
        <f>IFERROR(__xludf.DUMMYFUNCTION("""COMPUTED_VALUE"""),6.0)</f>
        <v>6</v>
      </c>
      <c r="W11" s="49">
        <f>IFERROR(__xludf.DUMMYFUNCTION("""COMPUTED_VALUE"""),6.0)</f>
        <v>6</v>
      </c>
      <c r="X11" s="49">
        <f>IFERROR(__xludf.DUMMYFUNCTION("""COMPUTED_VALUE"""),6.0)</f>
        <v>6</v>
      </c>
      <c r="Y11" s="49">
        <f>IFERROR(__xludf.DUMMYFUNCTION("""COMPUTED_VALUE"""),6.0)</f>
        <v>6</v>
      </c>
      <c r="Z11" s="49">
        <f>IFERROR(__xludf.DUMMYFUNCTION("""COMPUTED_VALUE"""),6.0)</f>
        <v>6</v>
      </c>
      <c r="AA11" s="49">
        <f>IFERROR(__xludf.DUMMYFUNCTION("""COMPUTED_VALUE"""),6.0)</f>
        <v>6</v>
      </c>
      <c r="AB11" s="49">
        <f>IFERROR(__xludf.DUMMYFUNCTION("""COMPUTED_VALUE"""),6.0)</f>
        <v>6</v>
      </c>
      <c r="AC11" s="49">
        <f>IFERROR(__xludf.DUMMYFUNCTION("""COMPUTED_VALUE"""),6.0)</f>
        <v>6</v>
      </c>
      <c r="AD11" s="49">
        <f>IFERROR(__xludf.DUMMYFUNCTION("""COMPUTED_VALUE"""),6.0)</f>
        <v>6</v>
      </c>
      <c r="AE11" s="49">
        <f>IFERROR(__xludf.DUMMYFUNCTION("""COMPUTED_VALUE"""),6.0)</f>
        <v>6</v>
      </c>
      <c r="AF11" s="49">
        <f>IFERROR(__xludf.DUMMYFUNCTION("""COMPUTED_VALUE"""),6.0)</f>
        <v>6</v>
      </c>
      <c r="AG11" s="49">
        <f>IFERROR(__xludf.DUMMYFUNCTION("""COMPUTED_VALUE"""),6.0)</f>
        <v>6</v>
      </c>
      <c r="AH11" s="49">
        <f>IFERROR(__xludf.DUMMYFUNCTION("""COMPUTED_VALUE"""),6.0)</f>
        <v>6</v>
      </c>
      <c r="AI11" s="49">
        <f>IFERROR(__xludf.DUMMYFUNCTION("""COMPUTED_VALUE"""),6.0)</f>
        <v>6</v>
      </c>
      <c r="AJ11" s="49">
        <f>IFERROR(__xludf.DUMMYFUNCTION("""COMPUTED_VALUE"""),6.0)</f>
        <v>6</v>
      </c>
      <c r="AK11" s="49">
        <f>IFERROR(__xludf.DUMMYFUNCTION("""COMPUTED_VALUE"""),6.0)</f>
        <v>6</v>
      </c>
      <c r="AL11" s="49"/>
      <c r="AM11" s="49"/>
      <c r="AN11" s="49"/>
      <c r="AO11" s="49"/>
      <c r="AP11" s="49"/>
      <c r="AQ11" s="49"/>
      <c r="AR11" s="49"/>
      <c r="AS11" s="49"/>
      <c r="AT11" s="49"/>
      <c r="AU11" s="49"/>
      <c r="AV11" s="49"/>
      <c r="AW11" s="49"/>
      <c r="AX11" s="49"/>
    </row>
    <row r="12">
      <c r="A12" s="49" t="str">
        <f>IFERROR(__xludf.DUMMYFUNCTION("""COMPUTED_VALUE"""),"Knight")</f>
        <v>Knight</v>
      </c>
      <c r="B12" s="49" t="str">
        <f>IFERROR(__xludf.DUMMYFUNCTION("""COMPUTED_VALUE"""),"Rank 6 Physical, Melee,Ranged, Order, and Light,")</f>
        <v>Rank 6 Physical, Melee,Ranged, Order, and Light,</v>
      </c>
      <c r="C12" s="49" t="str">
        <f>IFERROR(__xludf.DUMMYFUNCTION("""COMPUTED_VALUE"""),"+10 Charisma 
Starts with the Ability “Spira Guard”")</f>
        <v>+10 Charisma 
Starts with the Ability “Spira Guard”</v>
      </c>
      <c r="D12" s="49"/>
      <c r="E12" s="49"/>
      <c r="F12" s="49"/>
      <c r="G12" s="49">
        <f>IFERROR(__xludf.DUMMYFUNCTION("""COMPUTED_VALUE"""),10.0)</f>
        <v>10</v>
      </c>
      <c r="H12" s="49"/>
      <c r="I12" s="49"/>
      <c r="J12" s="49"/>
      <c r="K12" s="49"/>
      <c r="L12" s="49"/>
      <c r="M12" s="49"/>
      <c r="N12" s="49"/>
      <c r="O12" s="49"/>
      <c r="P12" s="49"/>
      <c r="Q12" s="49"/>
      <c r="R12" s="49">
        <f>IFERROR(__xludf.DUMMYFUNCTION("""COMPUTED_VALUE"""),0.0)</f>
        <v>0</v>
      </c>
      <c r="S12" s="49"/>
      <c r="T12" s="49"/>
      <c r="U12" s="49"/>
      <c r="V12" s="49"/>
      <c r="W12" s="49">
        <f>IFERROR(__xludf.DUMMYFUNCTION("""COMPUTED_VALUE"""),6.0)</f>
        <v>6</v>
      </c>
      <c r="X12" s="49"/>
      <c r="Y12" s="49"/>
      <c r="Z12" s="49">
        <f>IFERROR(__xludf.DUMMYFUNCTION("""COMPUTED_VALUE"""),6.0)</f>
        <v>6</v>
      </c>
      <c r="AA12" s="49"/>
      <c r="AB12" s="49"/>
      <c r="AC12" s="49">
        <f>IFERROR(__xludf.DUMMYFUNCTION("""COMPUTED_VALUE"""),6.0)</f>
        <v>6</v>
      </c>
      <c r="AD12" s="49">
        <f>IFERROR(__xludf.DUMMYFUNCTION("""COMPUTED_VALUE"""),6.0)</f>
        <v>6</v>
      </c>
      <c r="AE12" s="49">
        <f>IFERROR(__xludf.DUMMYFUNCTION("""COMPUTED_VALUE"""),6.0)</f>
        <v>6</v>
      </c>
      <c r="AF12" s="49"/>
      <c r="AG12" s="49"/>
      <c r="AH12" s="49"/>
      <c r="AI12" s="49"/>
      <c r="AJ12" s="49"/>
      <c r="AK12" s="49"/>
      <c r="AL12" s="49"/>
      <c r="AM12" s="49"/>
      <c r="AN12" s="49"/>
      <c r="AO12" s="49"/>
      <c r="AP12" s="49"/>
      <c r="AQ12" s="49"/>
      <c r="AR12" s="49"/>
      <c r="AS12" s="49"/>
      <c r="AT12" s="49"/>
      <c r="AU12" s="49"/>
      <c r="AV12" s="49"/>
      <c r="AW12" s="49"/>
      <c r="AX12" s="49"/>
    </row>
    <row r="13">
      <c r="A13" s="49" t="str">
        <f>IFERROR(__xludf.DUMMYFUNCTION("""COMPUTED_VALUE"""),"Mage")</f>
        <v>Mage</v>
      </c>
      <c r="B13" s="49" t="str">
        <f>IFERROR(__xludf.DUMMYFUNCTION("""COMPUTED_VALUE"""),"Rank 9 Select 1 of any element. (excluding Zen and Acoustic)")</f>
        <v>Rank 9 Select 1 of any element. (excluding Zen and Acoustic)</v>
      </c>
      <c r="C13" s="49"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49"/>
      <c r="E13" s="49"/>
      <c r="F13" s="49"/>
      <c r="G13" s="49"/>
      <c r="H13" s="49"/>
      <c r="I13" s="49"/>
      <c r="J13" s="49"/>
      <c r="K13" s="49"/>
      <c r="L13" s="49"/>
      <c r="M13" s="49"/>
      <c r="N13" s="49"/>
      <c r="O13" s="49"/>
      <c r="P13" s="49"/>
      <c r="Q13" s="49"/>
      <c r="R13" s="49">
        <f>IFERROR(__xludf.DUMMYFUNCTION("""COMPUTED_VALUE"""),1.0)</f>
        <v>1</v>
      </c>
      <c r="S13" s="49">
        <f>IFERROR(__xludf.DUMMYFUNCTION("""COMPUTED_VALUE"""),9.0)</f>
        <v>9</v>
      </c>
      <c r="T13" s="49">
        <f>IFERROR(__xludf.DUMMYFUNCTION("""COMPUTED_VALUE"""),9.0)</f>
        <v>9</v>
      </c>
      <c r="U13" s="49">
        <f>IFERROR(__xludf.DUMMYFUNCTION("""COMPUTED_VALUE"""),9.0)</f>
        <v>9</v>
      </c>
      <c r="V13" s="49">
        <f>IFERROR(__xludf.DUMMYFUNCTION("""COMPUTED_VALUE"""),9.0)</f>
        <v>9</v>
      </c>
      <c r="W13" s="49">
        <f>IFERROR(__xludf.DUMMYFUNCTION("""COMPUTED_VALUE"""),9.0)</f>
        <v>9</v>
      </c>
      <c r="X13" s="49">
        <f>IFERROR(__xludf.DUMMYFUNCTION("""COMPUTED_VALUE"""),9.0)</f>
        <v>9</v>
      </c>
      <c r="Y13" s="49">
        <f>IFERROR(__xludf.DUMMYFUNCTION("""COMPUTED_VALUE"""),9.0)</f>
        <v>9</v>
      </c>
      <c r="Z13" s="49">
        <f>IFERROR(__xludf.DUMMYFUNCTION("""COMPUTED_VALUE"""),9.0)</f>
        <v>9</v>
      </c>
      <c r="AA13" s="49">
        <f>IFERROR(__xludf.DUMMYFUNCTION("""COMPUTED_VALUE"""),9.0)</f>
        <v>9</v>
      </c>
      <c r="AB13" s="49">
        <f>IFERROR(__xludf.DUMMYFUNCTION("""COMPUTED_VALUE"""),9.0)</f>
        <v>9</v>
      </c>
      <c r="AC13" s="49">
        <f>IFERROR(__xludf.DUMMYFUNCTION("""COMPUTED_VALUE"""),9.0)</f>
        <v>9</v>
      </c>
      <c r="AD13" s="49">
        <f>IFERROR(__xludf.DUMMYFUNCTION("""COMPUTED_VALUE"""),9.0)</f>
        <v>9</v>
      </c>
      <c r="AE13" s="49">
        <f>IFERROR(__xludf.DUMMYFUNCTION("""COMPUTED_VALUE"""),9.0)</f>
        <v>9</v>
      </c>
      <c r="AF13" s="49">
        <f>IFERROR(__xludf.DUMMYFUNCTION("""COMPUTED_VALUE"""),9.0)</f>
        <v>9</v>
      </c>
      <c r="AG13" s="49">
        <f>IFERROR(__xludf.DUMMYFUNCTION("""COMPUTED_VALUE"""),9.0)</f>
        <v>9</v>
      </c>
      <c r="AH13" s="49">
        <f>IFERROR(__xludf.DUMMYFUNCTION("""COMPUTED_VALUE"""),9.0)</f>
        <v>9</v>
      </c>
      <c r="AI13" s="49">
        <f>IFERROR(__xludf.DUMMYFUNCTION("""COMPUTED_VALUE"""),9.0)</f>
        <v>9</v>
      </c>
      <c r="AJ13" s="49">
        <f>IFERROR(__xludf.DUMMYFUNCTION("""COMPUTED_VALUE"""),9.0)</f>
        <v>9</v>
      </c>
      <c r="AK13" s="49"/>
      <c r="AL13" s="49"/>
      <c r="AM13" s="49">
        <f>IFERROR(__xludf.DUMMYFUNCTION("""COMPUTED_VALUE"""),9.0)</f>
        <v>9</v>
      </c>
      <c r="AN13" s="49"/>
      <c r="AO13" s="49"/>
      <c r="AP13" s="49"/>
      <c r="AQ13" s="49"/>
      <c r="AR13" s="49"/>
      <c r="AS13" s="49"/>
      <c r="AT13" s="49"/>
      <c r="AU13" s="49"/>
      <c r="AV13" s="49"/>
      <c r="AW13" s="49"/>
      <c r="AX13" s="49"/>
    </row>
    <row r="14">
      <c r="A14" s="49" t="str">
        <f>IFERROR(__xludf.DUMMYFUNCTION("""COMPUTED_VALUE"""),"Marauder ")</f>
        <v>Marauder </v>
      </c>
      <c r="B14" s="49" t="str">
        <f>IFERROR(__xludf.DUMMYFUNCTION("""COMPUTED_VALUE"""),"Rank 6 Dark, Range, Melee, Physical")</f>
        <v>Rank 6 Dark, Range, Melee, Physical</v>
      </c>
      <c r="C14" s="49" t="str">
        <f>IFERROR(__xludf.DUMMYFUNCTION("""COMPUTED_VALUE"""),"+10 Charisma 
Get an extra loot roll.")</f>
        <v>+10 Charisma 
Get an extra loot roll.</v>
      </c>
      <c r="D14" s="49"/>
      <c r="E14" s="49"/>
      <c r="F14" s="49"/>
      <c r="G14" s="49">
        <f>IFERROR(__xludf.DUMMYFUNCTION("""COMPUTED_VALUE"""),10.0)</f>
        <v>10</v>
      </c>
      <c r="H14" s="49"/>
      <c r="I14" s="49"/>
      <c r="J14" s="49"/>
      <c r="K14" s="49"/>
      <c r="L14" s="49"/>
      <c r="M14" s="49"/>
      <c r="N14" s="49"/>
      <c r="O14" s="49"/>
      <c r="P14" s="49"/>
      <c r="Q14" s="49"/>
      <c r="R14" s="49">
        <f>IFERROR(__xludf.DUMMYFUNCTION("""COMPUTED_VALUE"""),0.0)</f>
        <v>0</v>
      </c>
      <c r="S14" s="49"/>
      <c r="T14" s="49"/>
      <c r="U14" s="49"/>
      <c r="V14" s="49"/>
      <c r="W14" s="49"/>
      <c r="X14" s="49">
        <f>IFERROR(__xludf.DUMMYFUNCTION("""COMPUTED_VALUE"""),6.0)</f>
        <v>6</v>
      </c>
      <c r="Y14" s="49"/>
      <c r="Z14" s="49"/>
      <c r="AA14" s="49"/>
      <c r="AB14" s="49"/>
      <c r="AC14" s="49">
        <f>IFERROR(__xludf.DUMMYFUNCTION("""COMPUTED_VALUE"""),6.0)</f>
        <v>6</v>
      </c>
      <c r="AD14" s="49">
        <f>IFERROR(__xludf.DUMMYFUNCTION("""COMPUTED_VALUE"""),6.0)</f>
        <v>6</v>
      </c>
      <c r="AE14" s="49">
        <f>IFERROR(__xludf.DUMMYFUNCTION("""COMPUTED_VALUE"""),6.0)</f>
        <v>6</v>
      </c>
      <c r="AF14" s="49"/>
      <c r="AG14" s="49"/>
      <c r="AH14" s="49"/>
      <c r="AI14" s="49"/>
      <c r="AJ14" s="49"/>
      <c r="AK14" s="49"/>
      <c r="AL14" s="49"/>
      <c r="AM14" s="49"/>
      <c r="AN14" s="49"/>
      <c r="AO14" s="49"/>
      <c r="AP14" s="49"/>
      <c r="AQ14" s="49"/>
      <c r="AR14" s="49"/>
      <c r="AS14" s="49"/>
      <c r="AT14" s="49"/>
      <c r="AU14" s="49"/>
      <c r="AV14" s="49"/>
      <c r="AW14" s="49"/>
      <c r="AX14" s="49"/>
    </row>
    <row r="15">
      <c r="A15" s="49" t="str">
        <f>IFERROR(__xludf.DUMMYFUNCTION("""COMPUTED_VALUE"""),"Merchant")</f>
        <v>Merchant</v>
      </c>
      <c r="B15" s="49" t="str">
        <f>IFERROR(__xludf.DUMMYFUNCTION("""COMPUTED_VALUE"""),"Rank 6 Ranged, Physical, Melee")</f>
        <v>Rank 6 Ranged, Physical, Melee</v>
      </c>
      <c r="C15" s="49"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49"/>
      <c r="E15" s="49"/>
      <c r="F15" s="49"/>
      <c r="G15" s="49">
        <f>IFERROR(__xludf.DUMMYFUNCTION("""COMPUTED_VALUE"""),5.0)</f>
        <v>5</v>
      </c>
      <c r="H15" s="49"/>
      <c r="I15" s="49"/>
      <c r="J15" s="49"/>
      <c r="K15" s="49"/>
      <c r="L15" s="49"/>
      <c r="M15" s="49"/>
      <c r="N15" s="49"/>
      <c r="O15" s="49"/>
      <c r="P15" s="49"/>
      <c r="Q15" s="49"/>
      <c r="R15" s="49"/>
      <c r="S15" s="49"/>
      <c r="T15" s="49"/>
      <c r="U15" s="49"/>
      <c r="V15" s="49"/>
      <c r="W15" s="49"/>
      <c r="X15" s="49"/>
      <c r="Y15" s="49"/>
      <c r="Z15" s="49"/>
      <c r="AA15" s="49"/>
      <c r="AB15" s="49"/>
      <c r="AC15" s="49">
        <f>IFERROR(__xludf.DUMMYFUNCTION("""COMPUTED_VALUE"""),6.0)</f>
        <v>6</v>
      </c>
      <c r="AD15" s="49">
        <f>IFERROR(__xludf.DUMMYFUNCTION("""COMPUTED_VALUE"""),6.0)</f>
        <v>6</v>
      </c>
      <c r="AE15" s="49">
        <f>IFERROR(__xludf.DUMMYFUNCTION("""COMPUTED_VALUE"""),6.0)</f>
        <v>6</v>
      </c>
      <c r="AF15" s="49"/>
      <c r="AG15" s="49"/>
      <c r="AH15" s="49"/>
      <c r="AI15" s="49"/>
      <c r="AJ15" s="49"/>
      <c r="AK15" s="49"/>
      <c r="AL15" s="49"/>
      <c r="AM15" s="49"/>
      <c r="AN15" s="49"/>
      <c r="AO15" s="49"/>
      <c r="AP15" s="49"/>
      <c r="AQ15" s="49"/>
      <c r="AR15" s="49"/>
      <c r="AS15" s="49"/>
      <c r="AT15" s="49"/>
      <c r="AU15" s="49"/>
      <c r="AV15" s="49"/>
      <c r="AW15" s="49"/>
      <c r="AX15" s="49"/>
    </row>
    <row r="16">
      <c r="A16" s="49" t="str">
        <f>IFERROR(__xludf.DUMMYFUNCTION("""COMPUTED_VALUE"""),"Monk")</f>
        <v>Monk</v>
      </c>
      <c r="B16" s="49" t="str">
        <f>IFERROR(__xludf.DUMMYFUNCTION("""COMPUTED_VALUE"""),"Rank 6 in all elements. (Excluding Acoustic)")</f>
        <v>Rank 6 in all elements. (Excluding Acoustic)</v>
      </c>
      <c r="C16" s="49" t="str">
        <f>IFERROR(__xludf.DUMMYFUNCTION("""COMPUTED_VALUE"""),"Gains 25 HP and SP each turn in battle.
+2 to all perks.
Can use Wisdom when attacking with a hit/miss spell.")</f>
        <v>Gains 25 HP and SP each turn in battle.
+2 to all perks.
Can use Wisdom when attacking with a hit/miss spell.</v>
      </c>
      <c r="D16" s="49"/>
      <c r="E16" s="49"/>
      <c r="F16" s="49"/>
      <c r="G16" s="49">
        <f>IFERROR(__xludf.DUMMYFUNCTION("""COMPUTED_VALUE"""),2.0)</f>
        <v>2</v>
      </c>
      <c r="H16" s="49">
        <f>IFERROR(__xludf.DUMMYFUNCTION("""COMPUTED_VALUE"""),2.0)</f>
        <v>2</v>
      </c>
      <c r="I16" s="49">
        <f>IFERROR(__xludf.DUMMYFUNCTION("""COMPUTED_VALUE"""),2.0)</f>
        <v>2</v>
      </c>
      <c r="J16" s="49">
        <f>IFERROR(__xludf.DUMMYFUNCTION("""COMPUTED_VALUE"""),2.0)</f>
        <v>2</v>
      </c>
      <c r="K16" s="49">
        <f>IFERROR(__xludf.DUMMYFUNCTION("""COMPUTED_VALUE"""),2.0)</f>
        <v>2</v>
      </c>
      <c r="L16" s="49">
        <f>IFERROR(__xludf.DUMMYFUNCTION("""COMPUTED_VALUE"""),2.0)</f>
        <v>2</v>
      </c>
      <c r="M16" s="49"/>
      <c r="N16" s="49"/>
      <c r="O16" s="49"/>
      <c r="P16" s="49"/>
      <c r="Q16" s="49"/>
      <c r="R16" s="49">
        <f>IFERROR(__xludf.DUMMYFUNCTION("""COMPUTED_VALUE"""),0.0)</f>
        <v>0</v>
      </c>
      <c r="S16" s="49">
        <f>IFERROR(__xludf.DUMMYFUNCTION("""COMPUTED_VALUE"""),6.0)</f>
        <v>6</v>
      </c>
      <c r="T16" s="49">
        <f>IFERROR(__xludf.DUMMYFUNCTION("""COMPUTED_VALUE"""),6.0)</f>
        <v>6</v>
      </c>
      <c r="U16" s="49">
        <f>IFERROR(__xludf.DUMMYFUNCTION("""COMPUTED_VALUE"""),6.0)</f>
        <v>6</v>
      </c>
      <c r="V16" s="49">
        <f>IFERROR(__xludf.DUMMYFUNCTION("""COMPUTED_VALUE"""),6.0)</f>
        <v>6</v>
      </c>
      <c r="W16" s="49">
        <f>IFERROR(__xludf.DUMMYFUNCTION("""COMPUTED_VALUE"""),6.0)</f>
        <v>6</v>
      </c>
      <c r="X16" s="49">
        <f>IFERROR(__xludf.DUMMYFUNCTION("""COMPUTED_VALUE"""),6.0)</f>
        <v>6</v>
      </c>
      <c r="Y16" s="49">
        <f>IFERROR(__xludf.DUMMYFUNCTION("""COMPUTED_VALUE"""),6.0)</f>
        <v>6</v>
      </c>
      <c r="Z16" s="49">
        <f>IFERROR(__xludf.DUMMYFUNCTION("""COMPUTED_VALUE"""),6.0)</f>
        <v>6</v>
      </c>
      <c r="AA16" s="49">
        <f>IFERROR(__xludf.DUMMYFUNCTION("""COMPUTED_VALUE"""),6.0)</f>
        <v>6</v>
      </c>
      <c r="AB16" s="49">
        <f>IFERROR(__xludf.DUMMYFUNCTION("""COMPUTED_VALUE"""),6.0)</f>
        <v>6</v>
      </c>
      <c r="AC16" s="49">
        <f>IFERROR(__xludf.DUMMYFUNCTION("""COMPUTED_VALUE"""),6.0)</f>
        <v>6</v>
      </c>
      <c r="AD16" s="49">
        <f>IFERROR(__xludf.DUMMYFUNCTION("""COMPUTED_VALUE"""),6.0)</f>
        <v>6</v>
      </c>
      <c r="AE16" s="49">
        <f>IFERROR(__xludf.DUMMYFUNCTION("""COMPUTED_VALUE"""),6.0)</f>
        <v>6</v>
      </c>
      <c r="AF16" s="49">
        <f>IFERROR(__xludf.DUMMYFUNCTION("""COMPUTED_VALUE"""),6.0)</f>
        <v>6</v>
      </c>
      <c r="AG16" s="49">
        <f>IFERROR(__xludf.DUMMYFUNCTION("""COMPUTED_VALUE"""),6.0)</f>
        <v>6</v>
      </c>
      <c r="AH16" s="49">
        <f>IFERROR(__xludf.DUMMYFUNCTION("""COMPUTED_VALUE"""),6.0)</f>
        <v>6</v>
      </c>
      <c r="AI16" s="49">
        <f>IFERROR(__xludf.DUMMYFUNCTION("""COMPUTED_VALUE"""),6.0)</f>
        <v>6</v>
      </c>
      <c r="AJ16" s="49">
        <f>IFERROR(__xludf.DUMMYFUNCTION("""COMPUTED_VALUE"""),6.0)</f>
        <v>6</v>
      </c>
      <c r="AK16" s="49">
        <f>IFERROR(__xludf.DUMMYFUNCTION("""COMPUTED_VALUE"""),6.0)</f>
        <v>6</v>
      </c>
      <c r="AL16" s="49"/>
      <c r="AM16" s="49">
        <f>IFERROR(__xludf.DUMMYFUNCTION("""COMPUTED_VALUE"""),6.0)</f>
        <v>6</v>
      </c>
      <c r="AN16" s="49"/>
      <c r="AO16" s="49"/>
      <c r="AP16" s="49"/>
      <c r="AQ16" s="49"/>
      <c r="AR16" s="49"/>
      <c r="AS16" s="49"/>
      <c r="AT16" s="49"/>
      <c r="AU16" s="49"/>
      <c r="AV16" s="49"/>
      <c r="AW16" s="49"/>
      <c r="AX16" s="49"/>
    </row>
    <row r="17">
      <c r="A17" s="49" t="str">
        <f>IFERROR(__xludf.DUMMYFUNCTION("""COMPUTED_VALUE"""),"Ninja")</f>
        <v>Ninja</v>
      </c>
      <c r="B17" s="49" t="str">
        <f>IFERROR(__xludf.DUMMYFUNCTION("""COMPUTED_VALUE"""),"Rank 6 Dark, Range, Melee, Physical, Zen")</f>
        <v>Rank 6 Dark, Range, Melee, Physical, Zen</v>
      </c>
      <c r="C17" s="49"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49"/>
      <c r="E17" s="49"/>
      <c r="F17" s="49"/>
      <c r="G17" s="49"/>
      <c r="H17" s="49"/>
      <c r="I17" s="49"/>
      <c r="J17" s="49"/>
      <c r="K17" s="49"/>
      <c r="L17" s="49"/>
      <c r="M17" s="49"/>
      <c r="N17" s="49"/>
      <c r="O17" s="49"/>
      <c r="P17" s="49"/>
      <c r="Q17" s="49"/>
      <c r="R17" s="49">
        <f>IFERROR(__xludf.DUMMYFUNCTION("""COMPUTED_VALUE"""),0.0)</f>
        <v>0</v>
      </c>
      <c r="S17" s="49"/>
      <c r="T17" s="49"/>
      <c r="U17" s="49"/>
      <c r="V17" s="49"/>
      <c r="W17" s="49"/>
      <c r="X17" s="49">
        <f>IFERROR(__xludf.DUMMYFUNCTION("""COMPUTED_VALUE"""),6.0)</f>
        <v>6</v>
      </c>
      <c r="Y17" s="49"/>
      <c r="Z17" s="49"/>
      <c r="AA17" s="49"/>
      <c r="AB17" s="49"/>
      <c r="AC17" s="49">
        <f>IFERROR(__xludf.DUMMYFUNCTION("""COMPUTED_VALUE"""),6.0)</f>
        <v>6</v>
      </c>
      <c r="AD17" s="49">
        <f>IFERROR(__xludf.DUMMYFUNCTION("""COMPUTED_VALUE"""),6.0)</f>
        <v>6</v>
      </c>
      <c r="AE17" s="49">
        <f>IFERROR(__xludf.DUMMYFUNCTION("""COMPUTED_VALUE"""),6.0)</f>
        <v>6</v>
      </c>
      <c r="AF17" s="49"/>
      <c r="AG17" s="49"/>
      <c r="AH17" s="49"/>
      <c r="AI17" s="49"/>
      <c r="AJ17" s="49"/>
      <c r="AK17" s="49">
        <f>IFERROR(__xludf.DUMMYFUNCTION("""COMPUTED_VALUE"""),6.0)</f>
        <v>6</v>
      </c>
      <c r="AL17" s="49"/>
      <c r="AM17" s="49"/>
      <c r="AN17" s="49"/>
      <c r="AO17" s="49"/>
      <c r="AP17" s="49"/>
      <c r="AQ17" s="49"/>
      <c r="AR17" s="49"/>
      <c r="AS17" s="49"/>
      <c r="AT17" s="49"/>
      <c r="AU17" s="49"/>
      <c r="AV17" s="49"/>
      <c r="AW17" s="49"/>
      <c r="AX17" s="49"/>
    </row>
    <row r="18">
      <c r="A18" s="49" t="str">
        <f>IFERROR(__xludf.DUMMYFUNCTION("""COMPUTED_VALUE"""),"Pirate")</f>
        <v>Pirate</v>
      </c>
      <c r="B18" s="49" t="str">
        <f>IFERROR(__xludf.DUMMYFUNCTION("""COMPUTED_VALUE"""),"Rank 6 Water")</f>
        <v>Rank 6 Water</v>
      </c>
      <c r="C18" s="49"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49"/>
      <c r="E18" s="49"/>
      <c r="F18" s="49"/>
      <c r="G18" s="49"/>
      <c r="H18" s="49"/>
      <c r="I18" s="49"/>
      <c r="J18" s="49"/>
      <c r="K18" s="49"/>
      <c r="L18" s="49"/>
      <c r="M18" s="49"/>
      <c r="N18" s="49"/>
      <c r="O18" s="49"/>
      <c r="P18" s="49"/>
      <c r="Q18" s="49"/>
      <c r="R18" s="49">
        <f>IFERROR(__xludf.DUMMYFUNCTION("""COMPUTED_VALUE"""),0.0)</f>
        <v>0</v>
      </c>
      <c r="S18" s="49"/>
      <c r="T18" s="49">
        <f>IFERROR(__xludf.DUMMYFUNCTION("""COMPUTED_VALUE"""),6.0)</f>
        <v>6</v>
      </c>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row>
    <row r="19">
      <c r="A19" s="49" t="str">
        <f>IFERROR(__xludf.DUMMYFUNCTION("""COMPUTED_VALUE"""),"Priest")</f>
        <v>Priest</v>
      </c>
      <c r="B19" s="49" t="str">
        <f>IFERROR(__xludf.DUMMYFUNCTION("""COMPUTED_VALUE"""),"Rank 6 Order and Light.")</f>
        <v>Rank 6 Order and Light.</v>
      </c>
      <c r="C19" s="49" t="str">
        <f>IFERROR(__xludf.DUMMYFUNCTION("""COMPUTED_VALUE"""),"25% chance to be unaffected by a curse.
Immune To Light")</f>
        <v>25% chance to be unaffected by a curse.
Immune To Light</v>
      </c>
      <c r="D19" s="49"/>
      <c r="E19" s="49"/>
      <c r="F19" s="49"/>
      <c r="G19" s="49"/>
      <c r="H19" s="49"/>
      <c r="I19" s="49"/>
      <c r="J19" s="49"/>
      <c r="K19" s="49"/>
      <c r="L19" s="49"/>
      <c r="M19" s="49"/>
      <c r="N19" s="49"/>
      <c r="O19" s="49"/>
      <c r="P19" s="49"/>
      <c r="Q19" s="49"/>
      <c r="R19" s="49">
        <f>IFERROR(__xludf.DUMMYFUNCTION("""COMPUTED_VALUE"""),0.0)</f>
        <v>0</v>
      </c>
      <c r="S19" s="49"/>
      <c r="T19" s="49"/>
      <c r="U19" s="49"/>
      <c r="V19" s="49"/>
      <c r="W19" s="49">
        <f>IFERROR(__xludf.DUMMYFUNCTION("""COMPUTED_VALUE"""),6.0)</f>
        <v>6</v>
      </c>
      <c r="X19" s="49"/>
      <c r="Y19" s="49"/>
      <c r="Z19" s="49">
        <f>IFERROR(__xludf.DUMMYFUNCTION("""COMPUTED_VALUE"""),6.0)</f>
        <v>6</v>
      </c>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row>
    <row r="20">
      <c r="A20" s="49" t="str">
        <f>IFERROR(__xludf.DUMMYFUNCTION("""COMPUTED_VALUE"""),"Reaper")</f>
        <v>Reaper</v>
      </c>
      <c r="B20" s="49" t="str">
        <f>IFERROR(__xludf.DUMMYFUNCTION("""COMPUTED_VALUE"""),"Rank 6 Dark and Melee, Spirit")</f>
        <v>Rank 6 Dark and Melee, Spirit</v>
      </c>
      <c r="C20" s="49" t="str">
        <f>IFERROR(__xludf.DUMMYFUNCTION("""COMPUTED_VALUE"""),"100% chance on soul drop
50% chance to be unaffected by instant death.")</f>
        <v>100% chance on soul drop
50% chance to be unaffected by instant death.</v>
      </c>
      <c r="D20" s="49"/>
      <c r="E20" s="49"/>
      <c r="F20" s="49"/>
      <c r="G20" s="49"/>
      <c r="H20" s="49"/>
      <c r="I20" s="49"/>
      <c r="J20" s="49"/>
      <c r="K20" s="49"/>
      <c r="L20" s="49"/>
      <c r="M20" s="49"/>
      <c r="N20" s="49"/>
      <c r="O20" s="49"/>
      <c r="P20" s="49"/>
      <c r="Q20" s="49"/>
      <c r="R20" s="49">
        <f>IFERROR(__xludf.DUMMYFUNCTION("""COMPUTED_VALUE"""),0.0)</f>
        <v>0</v>
      </c>
      <c r="S20" s="49"/>
      <c r="T20" s="49"/>
      <c r="U20" s="49"/>
      <c r="V20" s="49"/>
      <c r="W20" s="49"/>
      <c r="X20" s="49">
        <f>IFERROR(__xludf.DUMMYFUNCTION("""COMPUTED_VALUE"""),6.0)</f>
        <v>6</v>
      </c>
      <c r="Y20" s="49">
        <f>IFERROR(__xludf.DUMMYFUNCTION("""COMPUTED_VALUE"""),6.0)</f>
        <v>6</v>
      </c>
      <c r="Z20" s="49"/>
      <c r="AA20" s="49"/>
      <c r="AB20" s="49"/>
      <c r="AC20" s="49"/>
      <c r="AD20" s="49">
        <f>IFERROR(__xludf.DUMMYFUNCTION("""COMPUTED_VALUE"""),6.0)</f>
        <v>6</v>
      </c>
      <c r="AE20" s="49"/>
      <c r="AF20" s="49"/>
      <c r="AG20" s="49"/>
      <c r="AH20" s="49"/>
      <c r="AI20" s="49"/>
      <c r="AJ20" s="49"/>
      <c r="AK20" s="49"/>
      <c r="AL20" s="49"/>
      <c r="AM20" s="49"/>
      <c r="AN20" s="49"/>
      <c r="AO20" s="49"/>
      <c r="AP20" s="49"/>
      <c r="AQ20" s="49"/>
      <c r="AR20" s="49"/>
      <c r="AS20" s="49"/>
      <c r="AT20" s="49"/>
      <c r="AU20" s="49"/>
      <c r="AV20" s="49"/>
      <c r="AW20" s="49"/>
      <c r="AX20" s="49"/>
    </row>
    <row r="21">
      <c r="A21" s="49" t="str">
        <f>IFERROR(__xludf.DUMMYFUNCTION("""COMPUTED_VALUE"""),"Samurai")</f>
        <v>Samurai</v>
      </c>
      <c r="B21" s="49" t="str">
        <f>IFERROR(__xludf.DUMMYFUNCTION("""COMPUTED_VALUE"""),"Rank 6 Melee")</f>
        <v>Rank 6 Melee</v>
      </c>
      <c r="C21" s="49"/>
      <c r="D21" s="49"/>
      <c r="E21" s="49"/>
      <c r="F21" s="49"/>
      <c r="G21" s="49"/>
      <c r="H21" s="49"/>
      <c r="I21" s="49"/>
      <c r="J21" s="49"/>
      <c r="K21" s="49"/>
      <c r="L21" s="49"/>
      <c r="M21" s="49"/>
      <c r="N21" s="49"/>
      <c r="O21" s="49"/>
      <c r="P21" s="49"/>
      <c r="Q21" s="49"/>
      <c r="R21" s="49">
        <f>IFERROR(__xludf.DUMMYFUNCTION("""COMPUTED_VALUE"""),0.0)</f>
        <v>0</v>
      </c>
      <c r="S21" s="49"/>
      <c r="T21" s="49"/>
      <c r="U21" s="49"/>
      <c r="V21" s="49"/>
      <c r="W21" s="49"/>
      <c r="X21" s="49"/>
      <c r="Y21" s="49"/>
      <c r="Z21" s="49"/>
      <c r="AA21" s="49"/>
      <c r="AB21" s="49"/>
      <c r="AC21" s="49"/>
      <c r="AD21" s="49">
        <f>IFERROR(__xludf.DUMMYFUNCTION("""COMPUTED_VALUE"""),6.0)</f>
        <v>6</v>
      </c>
      <c r="AE21" s="49"/>
      <c r="AF21" s="49"/>
      <c r="AG21" s="49"/>
      <c r="AH21" s="49"/>
      <c r="AI21" s="49"/>
      <c r="AJ21" s="49"/>
      <c r="AK21" s="49"/>
      <c r="AL21" s="49"/>
      <c r="AM21" s="49"/>
      <c r="AN21" s="49"/>
      <c r="AO21" s="49"/>
      <c r="AP21" s="49"/>
      <c r="AQ21" s="49"/>
      <c r="AR21" s="49"/>
      <c r="AS21" s="49"/>
      <c r="AT21" s="49"/>
      <c r="AU21" s="49"/>
      <c r="AV21" s="49"/>
      <c r="AW21" s="49"/>
      <c r="AX21" s="49"/>
    </row>
    <row r="22">
      <c r="A22" s="49" t="str">
        <f>IFERROR(__xludf.DUMMYFUNCTION("""COMPUTED_VALUE"""),"Shaman")</f>
        <v>Shaman</v>
      </c>
      <c r="B22" s="49" t="str">
        <f>IFERROR(__xludf.DUMMYFUNCTION("""COMPUTED_VALUE"""),"Rank 6 Nature, Chaos, and Order")</f>
        <v>Rank 6 Nature, Chaos, and Order</v>
      </c>
      <c r="C22" s="49" t="str">
        <f>IFERROR(__xludf.DUMMYFUNCTION("""COMPUTED_VALUE"""),"50% Chance to turn one Spirit type enemy into an ally of the party at the beginning of battle if there is one.")</f>
        <v>50% Chance to turn one Spirit type enemy into an ally of the party at the beginning of battle if there is one.</v>
      </c>
      <c r="D22" s="49"/>
      <c r="E22" s="49"/>
      <c r="F22" s="49"/>
      <c r="G22" s="49"/>
      <c r="H22" s="49"/>
      <c r="I22" s="49"/>
      <c r="J22" s="49"/>
      <c r="K22" s="49"/>
      <c r="L22" s="49"/>
      <c r="M22" s="49"/>
      <c r="N22" s="49"/>
      <c r="O22" s="49"/>
      <c r="P22" s="49"/>
      <c r="Q22" s="49"/>
      <c r="R22" s="49">
        <f>IFERROR(__xludf.DUMMYFUNCTION("""COMPUTED_VALUE"""),0.0)</f>
        <v>0</v>
      </c>
      <c r="S22" s="49"/>
      <c r="T22" s="49"/>
      <c r="U22" s="49"/>
      <c r="V22" s="49"/>
      <c r="W22" s="49"/>
      <c r="X22" s="49"/>
      <c r="Y22" s="49"/>
      <c r="Z22" s="49">
        <f>IFERROR(__xludf.DUMMYFUNCTION("""COMPUTED_VALUE"""),6.0)</f>
        <v>6</v>
      </c>
      <c r="AA22" s="49">
        <f>IFERROR(__xludf.DUMMYFUNCTION("""COMPUTED_VALUE"""),6.0)</f>
        <v>6</v>
      </c>
      <c r="AB22" s="49">
        <f>IFERROR(__xludf.DUMMYFUNCTION("""COMPUTED_VALUE"""),6.0)</f>
        <v>6</v>
      </c>
      <c r="AC22" s="49"/>
      <c r="AD22" s="49"/>
      <c r="AE22" s="49"/>
      <c r="AF22" s="49"/>
      <c r="AG22" s="49"/>
      <c r="AH22" s="49"/>
      <c r="AI22" s="49"/>
      <c r="AJ22" s="49"/>
      <c r="AK22" s="49"/>
      <c r="AL22" s="49"/>
      <c r="AM22" s="49"/>
      <c r="AN22" s="49"/>
      <c r="AO22" s="49"/>
      <c r="AP22" s="49"/>
      <c r="AQ22" s="49"/>
      <c r="AR22" s="49"/>
      <c r="AS22" s="49"/>
      <c r="AT22" s="49"/>
      <c r="AU22" s="49"/>
      <c r="AV22" s="49"/>
      <c r="AW22" s="49"/>
      <c r="AX22" s="49"/>
    </row>
    <row r="23">
      <c r="A23" s="49" t="str">
        <f>IFERROR(__xludf.DUMMYFUNCTION("""COMPUTED_VALUE"""),"Sorcerer")</f>
        <v>Sorcerer</v>
      </c>
      <c r="B23" s="49" t="str">
        <f>IFERROR(__xludf.DUMMYFUNCTION("""COMPUTED_VALUE"""),"Rank 6 select 3 of any element. (excluding Zen and Acoustic)")</f>
        <v>Rank 6 select 3 of any element. (excluding Zen and Acoustic)</v>
      </c>
      <c r="C23" s="49"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49"/>
      <c r="E23" s="49"/>
      <c r="F23" s="49"/>
      <c r="G23" s="49"/>
      <c r="H23" s="49"/>
      <c r="I23" s="49"/>
      <c r="J23" s="49"/>
      <c r="K23" s="49"/>
      <c r="L23" s="49"/>
      <c r="M23" s="49"/>
      <c r="N23" s="49"/>
      <c r="O23" s="49"/>
      <c r="P23" s="49"/>
      <c r="Q23" s="49"/>
      <c r="R23" s="49">
        <f>IFERROR(__xludf.DUMMYFUNCTION("""COMPUTED_VALUE"""),3.0)</f>
        <v>3</v>
      </c>
      <c r="S23" s="49">
        <f>IFERROR(__xludf.DUMMYFUNCTION("""COMPUTED_VALUE"""),6.0)</f>
        <v>6</v>
      </c>
      <c r="T23" s="49">
        <f>IFERROR(__xludf.DUMMYFUNCTION("""COMPUTED_VALUE"""),6.0)</f>
        <v>6</v>
      </c>
      <c r="U23" s="49">
        <f>IFERROR(__xludf.DUMMYFUNCTION("""COMPUTED_VALUE"""),6.0)</f>
        <v>6</v>
      </c>
      <c r="V23" s="49">
        <f>IFERROR(__xludf.DUMMYFUNCTION("""COMPUTED_VALUE"""),6.0)</f>
        <v>6</v>
      </c>
      <c r="W23" s="49">
        <f>IFERROR(__xludf.DUMMYFUNCTION("""COMPUTED_VALUE"""),6.0)</f>
        <v>6</v>
      </c>
      <c r="X23" s="49">
        <f>IFERROR(__xludf.DUMMYFUNCTION("""COMPUTED_VALUE"""),6.0)</f>
        <v>6</v>
      </c>
      <c r="Y23" s="49">
        <f>IFERROR(__xludf.DUMMYFUNCTION("""COMPUTED_VALUE"""),6.0)</f>
        <v>6</v>
      </c>
      <c r="Z23" s="49">
        <f>IFERROR(__xludf.DUMMYFUNCTION("""COMPUTED_VALUE"""),6.0)</f>
        <v>6</v>
      </c>
      <c r="AA23" s="49">
        <f>IFERROR(__xludf.DUMMYFUNCTION("""COMPUTED_VALUE"""),6.0)</f>
        <v>6</v>
      </c>
      <c r="AB23" s="49">
        <f>IFERROR(__xludf.DUMMYFUNCTION("""COMPUTED_VALUE"""),6.0)</f>
        <v>6</v>
      </c>
      <c r="AC23" s="49">
        <f>IFERROR(__xludf.DUMMYFUNCTION("""COMPUTED_VALUE"""),6.0)</f>
        <v>6</v>
      </c>
      <c r="AD23" s="49">
        <f>IFERROR(__xludf.DUMMYFUNCTION("""COMPUTED_VALUE"""),6.0)</f>
        <v>6</v>
      </c>
      <c r="AE23" s="49">
        <f>IFERROR(__xludf.DUMMYFUNCTION("""COMPUTED_VALUE"""),6.0)</f>
        <v>6</v>
      </c>
      <c r="AF23" s="49">
        <f>IFERROR(__xludf.DUMMYFUNCTION("""COMPUTED_VALUE"""),6.0)</f>
        <v>6</v>
      </c>
      <c r="AG23" s="49">
        <f>IFERROR(__xludf.DUMMYFUNCTION("""COMPUTED_VALUE"""),6.0)</f>
        <v>6</v>
      </c>
      <c r="AH23" s="49">
        <f>IFERROR(__xludf.DUMMYFUNCTION("""COMPUTED_VALUE"""),6.0)</f>
        <v>6</v>
      </c>
      <c r="AI23" s="49">
        <f>IFERROR(__xludf.DUMMYFUNCTION("""COMPUTED_VALUE"""),6.0)</f>
        <v>6</v>
      </c>
      <c r="AJ23" s="49">
        <f>IFERROR(__xludf.DUMMYFUNCTION("""COMPUTED_VALUE"""),6.0)</f>
        <v>6</v>
      </c>
      <c r="AK23" s="49"/>
      <c r="AL23" s="49"/>
      <c r="AM23" s="49">
        <f>IFERROR(__xludf.DUMMYFUNCTION("""COMPUTED_VALUE"""),6.0)</f>
        <v>6</v>
      </c>
      <c r="AN23" s="49">
        <f>IFERROR(__xludf.DUMMYFUNCTION("""COMPUTED_VALUE"""),6.0)</f>
        <v>6</v>
      </c>
      <c r="AO23" s="49"/>
      <c r="AP23" s="49"/>
      <c r="AQ23" s="49"/>
      <c r="AR23" s="49"/>
      <c r="AS23" s="49"/>
      <c r="AT23" s="49"/>
      <c r="AU23" s="49"/>
      <c r="AV23" s="49"/>
      <c r="AW23" s="49"/>
      <c r="AX23" s="49"/>
    </row>
    <row r="24">
      <c r="A24" s="49" t="str">
        <f>IFERROR(__xludf.DUMMYFUNCTION("""COMPUTED_VALUE"""),"Viking")</f>
        <v>Viking</v>
      </c>
      <c r="B24" s="49" t="str">
        <f>IFERROR(__xludf.DUMMYFUNCTION("""COMPUTED_VALUE"""),"Rank 6 Nature,Melee, Physical")</f>
        <v>Rank 6 Nature,Melee, Physical</v>
      </c>
      <c r="C24" s="49" t="str">
        <f>IFERROR(__xludf.DUMMYFUNCTION("""COMPUTED_VALUE"""),"25% chance to be unaffected by weapon damage.
Forged weapons deal X4 damage for the user.")</f>
        <v>25% chance to be unaffected by weapon damage.
Forged weapons deal X4 damage for the user.</v>
      </c>
      <c r="D24" s="49"/>
      <c r="E24" s="49"/>
      <c r="F24" s="49"/>
      <c r="G24" s="49"/>
      <c r="H24" s="49"/>
      <c r="I24" s="49"/>
      <c r="J24" s="49"/>
      <c r="K24" s="49"/>
      <c r="L24" s="49"/>
      <c r="M24" s="49"/>
      <c r="N24" s="49"/>
      <c r="O24" s="49"/>
      <c r="P24" s="49"/>
      <c r="Q24" s="49"/>
      <c r="R24" s="49">
        <f>IFERROR(__xludf.DUMMYFUNCTION("""COMPUTED_VALUE"""),0.0)</f>
        <v>0</v>
      </c>
      <c r="S24" s="49"/>
      <c r="T24" s="49"/>
      <c r="U24" s="49"/>
      <c r="V24" s="49"/>
      <c r="W24" s="49"/>
      <c r="X24" s="49"/>
      <c r="Y24" s="49"/>
      <c r="Z24" s="49"/>
      <c r="AA24" s="49"/>
      <c r="AB24" s="49">
        <f>IFERROR(__xludf.DUMMYFUNCTION("""COMPUTED_VALUE"""),6.0)</f>
        <v>6</v>
      </c>
      <c r="AC24" s="49">
        <f>IFERROR(__xludf.DUMMYFUNCTION("""COMPUTED_VALUE"""),6.0)</f>
        <v>6</v>
      </c>
      <c r="AD24" s="49">
        <f>IFERROR(__xludf.DUMMYFUNCTION("""COMPUTED_VALUE"""),6.0)</f>
        <v>6</v>
      </c>
      <c r="AE24" s="49"/>
      <c r="AF24" s="49"/>
      <c r="AG24" s="49"/>
      <c r="AH24" s="49"/>
      <c r="AI24" s="49"/>
      <c r="AJ24" s="49"/>
      <c r="AK24" s="49"/>
      <c r="AL24" s="49"/>
      <c r="AM24" s="49"/>
      <c r="AN24" s="49"/>
      <c r="AO24" s="49"/>
      <c r="AP24" s="49"/>
      <c r="AQ24" s="49"/>
      <c r="AR24" s="49"/>
      <c r="AS24" s="49"/>
      <c r="AT24" s="49"/>
      <c r="AU24" s="49"/>
      <c r="AV24" s="49"/>
      <c r="AW24" s="49"/>
      <c r="AX24" s="49"/>
    </row>
    <row r="25">
      <c r="A25" s="49" t="str">
        <f>IFERROR(__xludf.DUMMYFUNCTION("""COMPUTED_VALUE"""),"Warrior")</f>
        <v>Warrior</v>
      </c>
      <c r="B25" s="49" t="str">
        <f>IFERROR(__xludf.DUMMYFUNCTION("""COMPUTED_VALUE"""),"Rank 6 Melee and Physical")</f>
        <v>Rank 6 Melee and Physical</v>
      </c>
      <c r="C25" s="49" t="str">
        <f>IFERROR(__xludf.DUMMYFUNCTION("""COMPUTED_VALUE"""),"Double the base defense of your armor and double the damage of your weapons.")</f>
        <v>Double the base defense of your armor and double the damage of your weapons.</v>
      </c>
      <c r="D25" s="49"/>
      <c r="E25" s="49"/>
      <c r="F25" s="49"/>
      <c r="G25" s="49"/>
      <c r="H25" s="49"/>
      <c r="I25" s="49"/>
      <c r="J25" s="49"/>
      <c r="K25" s="49"/>
      <c r="L25" s="49"/>
      <c r="M25" s="49"/>
      <c r="N25" s="49"/>
      <c r="O25" s="49"/>
      <c r="P25" s="49"/>
      <c r="Q25" s="49"/>
      <c r="R25" s="49">
        <f>IFERROR(__xludf.DUMMYFUNCTION("""COMPUTED_VALUE"""),0.0)</f>
        <v>0</v>
      </c>
      <c r="S25" s="49"/>
      <c r="T25" s="49"/>
      <c r="U25" s="49"/>
      <c r="V25" s="49"/>
      <c r="W25" s="49"/>
      <c r="X25" s="49"/>
      <c r="Y25" s="49"/>
      <c r="Z25" s="49"/>
      <c r="AA25" s="49"/>
      <c r="AB25" s="49"/>
      <c r="AC25" s="49">
        <f>IFERROR(__xludf.DUMMYFUNCTION("""COMPUTED_VALUE"""),6.0)</f>
        <v>6</v>
      </c>
      <c r="AD25" s="49">
        <f>IFERROR(__xludf.DUMMYFUNCTION("""COMPUTED_VALUE"""),6.0)</f>
        <v>6</v>
      </c>
      <c r="AE25" s="49"/>
      <c r="AF25" s="49"/>
      <c r="AG25" s="49"/>
      <c r="AH25" s="49"/>
      <c r="AI25" s="49"/>
      <c r="AJ25" s="49"/>
      <c r="AK25" s="49"/>
      <c r="AL25" s="49"/>
      <c r="AM25" s="49"/>
      <c r="AN25" s="49"/>
      <c r="AO25" s="49"/>
      <c r="AP25" s="49"/>
      <c r="AQ25" s="49"/>
      <c r="AR25" s="49"/>
      <c r="AS25" s="49"/>
      <c r="AT25" s="49"/>
      <c r="AU25" s="49"/>
      <c r="AV25" s="49"/>
      <c r="AW25" s="49"/>
      <c r="AX25" s="49"/>
    </row>
    <row r="26">
      <c r="A26" s="49" t="str">
        <f>IFERROR(__xludf.DUMMYFUNCTION("""COMPUTED_VALUE"""),"WeaponMaster")</f>
        <v>WeaponMaster</v>
      </c>
      <c r="B26" s="49" t="str">
        <f>IFERROR(__xludf.DUMMYFUNCTION("""COMPUTED_VALUE"""),"Rank 9 Melee")</f>
        <v>Rank 9 Melee</v>
      </c>
      <c r="C26" s="49" t="str">
        <f>IFERROR(__xludf.DUMMYFUNCTION("""COMPUTED_VALUE"""),"X4 damage to all weapons for self only.")</f>
        <v>X4 damage to all weapons for self only.</v>
      </c>
      <c r="D26" s="49"/>
      <c r="E26" s="49"/>
      <c r="F26" s="49"/>
      <c r="G26" s="49"/>
      <c r="H26" s="49"/>
      <c r="I26" s="49"/>
      <c r="J26" s="49"/>
      <c r="K26" s="49"/>
      <c r="L26" s="49"/>
      <c r="M26" s="49"/>
      <c r="N26" s="49"/>
      <c r="O26" s="49"/>
      <c r="P26" s="49"/>
      <c r="Q26" s="49"/>
      <c r="R26" s="49">
        <f>IFERROR(__xludf.DUMMYFUNCTION("""COMPUTED_VALUE"""),0.0)</f>
        <v>0</v>
      </c>
      <c r="S26" s="49"/>
      <c r="T26" s="49"/>
      <c r="U26" s="49"/>
      <c r="V26" s="49"/>
      <c r="W26" s="49"/>
      <c r="X26" s="49"/>
      <c r="Y26" s="49"/>
      <c r="Z26" s="49"/>
      <c r="AA26" s="49"/>
      <c r="AB26" s="49"/>
      <c r="AC26" s="49"/>
      <c r="AD26" s="49">
        <f>IFERROR(__xludf.DUMMYFUNCTION("""COMPUTED_VALUE"""),9.0)</f>
        <v>9</v>
      </c>
      <c r="AE26" s="49"/>
      <c r="AF26" s="49"/>
      <c r="AG26" s="49"/>
      <c r="AH26" s="49"/>
      <c r="AI26" s="49"/>
      <c r="AJ26" s="49"/>
      <c r="AK26" s="49"/>
      <c r="AL26" s="49"/>
      <c r="AM26" s="49"/>
      <c r="AN26" s="49"/>
      <c r="AO26" s="49"/>
      <c r="AP26" s="49"/>
      <c r="AQ26" s="49"/>
      <c r="AR26" s="49"/>
      <c r="AS26" s="49"/>
      <c r="AT26" s="49"/>
      <c r="AU26" s="49"/>
      <c r="AV26" s="49"/>
      <c r="AW26" s="49"/>
      <c r="AX26" s="49"/>
    </row>
    <row r="27">
      <c r="A27" s="49" t="str">
        <f>IFERROR(__xludf.DUMMYFUNCTION("""COMPUTED_VALUE"""),"Witch")</f>
        <v>Witch</v>
      </c>
      <c r="B27" s="49" t="str">
        <f>IFERROR(__xludf.DUMMYFUNCTION("""COMPUTED_VALUE"""),"Rank 6 Select 3 of any element. (excluding Zen and Acoustic)")</f>
        <v>Rank 6 Select 3 of any element. (excluding Zen and Acoustic)</v>
      </c>
      <c r="C27" s="49"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49"/>
      <c r="E27" s="49"/>
      <c r="F27" s="49"/>
      <c r="G27" s="49"/>
      <c r="H27" s="49"/>
      <c r="I27" s="49"/>
      <c r="J27" s="49"/>
      <c r="K27" s="49"/>
      <c r="L27" s="49"/>
      <c r="M27" s="49"/>
      <c r="N27" s="49"/>
      <c r="O27" s="49"/>
      <c r="P27" s="49"/>
      <c r="Q27" s="49"/>
      <c r="R27" s="49">
        <f>IFERROR(__xludf.DUMMYFUNCTION("""COMPUTED_VALUE"""),3.0)</f>
        <v>3</v>
      </c>
      <c r="S27" s="49">
        <f>IFERROR(__xludf.DUMMYFUNCTION("""COMPUTED_VALUE"""),6.0)</f>
        <v>6</v>
      </c>
      <c r="T27" s="49">
        <f>IFERROR(__xludf.DUMMYFUNCTION("""COMPUTED_VALUE"""),6.0)</f>
        <v>6</v>
      </c>
      <c r="U27" s="49">
        <f>IFERROR(__xludf.DUMMYFUNCTION("""COMPUTED_VALUE"""),6.0)</f>
        <v>6</v>
      </c>
      <c r="V27" s="49">
        <f>IFERROR(__xludf.DUMMYFUNCTION("""COMPUTED_VALUE"""),6.0)</f>
        <v>6</v>
      </c>
      <c r="W27" s="49">
        <f>IFERROR(__xludf.DUMMYFUNCTION("""COMPUTED_VALUE"""),6.0)</f>
        <v>6</v>
      </c>
      <c r="X27" s="49">
        <f>IFERROR(__xludf.DUMMYFUNCTION("""COMPUTED_VALUE"""),6.0)</f>
        <v>6</v>
      </c>
      <c r="Y27" s="49">
        <f>IFERROR(__xludf.DUMMYFUNCTION("""COMPUTED_VALUE"""),6.0)</f>
        <v>6</v>
      </c>
      <c r="Z27" s="49">
        <f>IFERROR(__xludf.DUMMYFUNCTION("""COMPUTED_VALUE"""),6.0)</f>
        <v>6</v>
      </c>
      <c r="AA27" s="49">
        <f>IFERROR(__xludf.DUMMYFUNCTION("""COMPUTED_VALUE"""),6.0)</f>
        <v>6</v>
      </c>
      <c r="AB27" s="49">
        <f>IFERROR(__xludf.DUMMYFUNCTION("""COMPUTED_VALUE"""),6.0)</f>
        <v>6</v>
      </c>
      <c r="AC27" s="49">
        <f>IFERROR(__xludf.DUMMYFUNCTION("""COMPUTED_VALUE"""),6.0)</f>
        <v>6</v>
      </c>
      <c r="AD27" s="49">
        <f>IFERROR(__xludf.DUMMYFUNCTION("""COMPUTED_VALUE"""),6.0)</f>
        <v>6</v>
      </c>
      <c r="AE27" s="49">
        <f>IFERROR(__xludf.DUMMYFUNCTION("""COMPUTED_VALUE"""),6.0)</f>
        <v>6</v>
      </c>
      <c r="AF27" s="49">
        <f>IFERROR(__xludf.DUMMYFUNCTION("""COMPUTED_VALUE"""),6.0)</f>
        <v>6</v>
      </c>
      <c r="AG27" s="49">
        <f>IFERROR(__xludf.DUMMYFUNCTION("""COMPUTED_VALUE"""),6.0)</f>
        <v>6</v>
      </c>
      <c r="AH27" s="49">
        <f>IFERROR(__xludf.DUMMYFUNCTION("""COMPUTED_VALUE"""),6.0)</f>
        <v>6</v>
      </c>
      <c r="AI27" s="49">
        <f>IFERROR(__xludf.DUMMYFUNCTION("""COMPUTED_VALUE"""),6.0)</f>
        <v>6</v>
      </c>
      <c r="AJ27" s="49">
        <f>IFERROR(__xludf.DUMMYFUNCTION("""COMPUTED_VALUE"""),6.0)</f>
        <v>6</v>
      </c>
      <c r="AK27" s="49"/>
      <c r="AL27" s="49"/>
      <c r="AM27" s="49">
        <f>IFERROR(__xludf.DUMMYFUNCTION("""COMPUTED_VALUE"""),9.0)</f>
        <v>9</v>
      </c>
      <c r="AN27" s="49"/>
      <c r="AO27" s="49"/>
      <c r="AP27" s="49"/>
      <c r="AQ27" s="49"/>
      <c r="AR27" s="49"/>
      <c r="AS27" s="49"/>
      <c r="AT27" s="49"/>
      <c r="AU27" s="49"/>
      <c r="AV27" s="49"/>
      <c r="AW27" s="49"/>
      <c r="AX27" s="49"/>
    </row>
    <row r="28">
      <c r="A28" s="49" t="str">
        <f>IFERROR(__xludf.DUMMYFUNCTION("""COMPUTED_VALUE"""),"Wizard")</f>
        <v>Wizard</v>
      </c>
      <c r="B28" s="49" t="str">
        <f>IFERROR(__xludf.DUMMYFUNCTION("""COMPUTED_VALUE"""),"Rank 6 select 3 of any element. (excluding Zen and Acoustic)")</f>
        <v>Rank 6 select 3 of any element. (excluding Zen and Acoustic)</v>
      </c>
      <c r="C28" s="49"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49"/>
      <c r="E28" s="49"/>
      <c r="F28" s="49"/>
      <c r="G28" s="49"/>
      <c r="H28" s="49"/>
      <c r="I28" s="49"/>
      <c r="J28" s="49"/>
      <c r="K28" s="49"/>
      <c r="L28" s="49"/>
      <c r="M28" s="49"/>
      <c r="N28" s="49"/>
      <c r="O28" s="49"/>
      <c r="P28" s="49"/>
      <c r="Q28" s="49"/>
      <c r="R28" s="49">
        <f>IFERROR(__xludf.DUMMYFUNCTION("""COMPUTED_VALUE"""),3.0)</f>
        <v>3</v>
      </c>
      <c r="S28" s="49">
        <f>IFERROR(__xludf.DUMMYFUNCTION("""COMPUTED_VALUE"""),6.0)</f>
        <v>6</v>
      </c>
      <c r="T28" s="49">
        <f>IFERROR(__xludf.DUMMYFUNCTION("""COMPUTED_VALUE"""),6.0)</f>
        <v>6</v>
      </c>
      <c r="U28" s="49">
        <f>IFERROR(__xludf.DUMMYFUNCTION("""COMPUTED_VALUE"""),6.0)</f>
        <v>6</v>
      </c>
      <c r="V28" s="49">
        <f>IFERROR(__xludf.DUMMYFUNCTION("""COMPUTED_VALUE"""),6.0)</f>
        <v>6</v>
      </c>
      <c r="W28" s="49">
        <f>IFERROR(__xludf.DUMMYFUNCTION("""COMPUTED_VALUE"""),6.0)</f>
        <v>6</v>
      </c>
      <c r="X28" s="49">
        <f>IFERROR(__xludf.DUMMYFUNCTION("""COMPUTED_VALUE"""),6.0)</f>
        <v>6</v>
      </c>
      <c r="Y28" s="49">
        <f>IFERROR(__xludf.DUMMYFUNCTION("""COMPUTED_VALUE"""),6.0)</f>
        <v>6</v>
      </c>
      <c r="Z28" s="49">
        <f>IFERROR(__xludf.DUMMYFUNCTION("""COMPUTED_VALUE"""),6.0)</f>
        <v>6</v>
      </c>
      <c r="AA28" s="49">
        <f>IFERROR(__xludf.DUMMYFUNCTION("""COMPUTED_VALUE"""),6.0)</f>
        <v>6</v>
      </c>
      <c r="AB28" s="49">
        <f>IFERROR(__xludf.DUMMYFUNCTION("""COMPUTED_VALUE"""),6.0)</f>
        <v>6</v>
      </c>
      <c r="AC28" s="49">
        <f>IFERROR(__xludf.DUMMYFUNCTION("""COMPUTED_VALUE"""),6.0)</f>
        <v>6</v>
      </c>
      <c r="AD28" s="49">
        <f>IFERROR(__xludf.DUMMYFUNCTION("""COMPUTED_VALUE"""),6.0)</f>
        <v>6</v>
      </c>
      <c r="AE28" s="49">
        <f>IFERROR(__xludf.DUMMYFUNCTION("""COMPUTED_VALUE"""),6.0)</f>
        <v>6</v>
      </c>
      <c r="AF28" s="49">
        <f>IFERROR(__xludf.DUMMYFUNCTION("""COMPUTED_VALUE"""),6.0)</f>
        <v>6</v>
      </c>
      <c r="AG28" s="49">
        <f>IFERROR(__xludf.DUMMYFUNCTION("""COMPUTED_VALUE"""),6.0)</f>
        <v>6</v>
      </c>
      <c r="AH28" s="49">
        <f>IFERROR(__xludf.DUMMYFUNCTION("""COMPUTED_VALUE"""),6.0)</f>
        <v>6</v>
      </c>
      <c r="AI28" s="49">
        <f>IFERROR(__xludf.DUMMYFUNCTION("""COMPUTED_VALUE"""),6.0)</f>
        <v>6</v>
      </c>
      <c r="AJ28" s="49">
        <f>IFERROR(__xludf.DUMMYFUNCTION("""COMPUTED_VALUE"""),6.0)</f>
        <v>6</v>
      </c>
      <c r="AK28" s="49"/>
      <c r="AL28" s="49"/>
      <c r="AM28" s="49">
        <f>IFERROR(__xludf.DUMMYFUNCTION("""COMPUTED_VALUE"""),6.0)</f>
        <v>6</v>
      </c>
      <c r="AN28" s="49"/>
      <c r="AO28" s="49"/>
      <c r="AP28" s="49"/>
      <c r="AQ28" s="49"/>
      <c r="AR28" s="49"/>
      <c r="AS28" s="49"/>
      <c r="AT28" s="49"/>
      <c r="AU28" s="49"/>
      <c r="AV28" s="49"/>
      <c r="AW28" s="49"/>
      <c r="AX28" s="49"/>
    </row>
    <row r="29">
      <c r="A29" s="49"/>
      <c r="B29" s="49"/>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9"/>
      <c r="AU29" s="49"/>
      <c r="AV29" s="49"/>
      <c r="AW29" s="49"/>
      <c r="AX29" s="49"/>
    </row>
    <row r="30">
      <c r="A30" s="49"/>
      <c r="B30" s="49"/>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9"/>
      <c r="AU30" s="49"/>
      <c r="AV30" s="49"/>
      <c r="AW30" s="49"/>
      <c r="AX30" s="49"/>
    </row>
    <row r="31">
      <c r="A31" s="49"/>
      <c r="B31" s="49"/>
      <c r="C31" s="49"/>
      <c r="D31" s="49"/>
      <c r="E31" s="49"/>
      <c r="F31" s="49"/>
      <c r="G31" s="49"/>
      <c r="H31" s="49"/>
      <c r="I31" s="49"/>
      <c r="J31" s="49"/>
      <c r="K31" s="49"/>
      <c r="L31" s="49"/>
      <c r="M31" s="49"/>
      <c r="N31" s="49"/>
      <c r="O31" s="49"/>
      <c r="P31" s="49"/>
      <c r="Q31" s="49"/>
      <c r="R31" s="49"/>
      <c r="S31" s="49"/>
      <c r="T31" s="49"/>
      <c r="U31" s="49"/>
      <c r="V31" s="49"/>
      <c r="W31" s="49"/>
      <c r="X31" s="49"/>
      <c r="Y31" s="49"/>
      <c r="Z31" s="49"/>
      <c r="AA31" s="49"/>
      <c r="AB31" s="49"/>
      <c r="AC31" s="49"/>
      <c r="AD31" s="49"/>
      <c r="AE31" s="49"/>
      <c r="AF31" s="49"/>
      <c r="AG31" s="49"/>
      <c r="AH31" s="49"/>
      <c r="AI31" s="49"/>
      <c r="AJ31" s="49"/>
      <c r="AK31" s="49"/>
      <c r="AL31" s="49"/>
      <c r="AM31" s="49"/>
      <c r="AN31" s="49"/>
      <c r="AO31" s="49"/>
      <c r="AP31" s="49"/>
      <c r="AQ31" s="49"/>
      <c r="AR31" s="49"/>
      <c r="AS31" s="49"/>
      <c r="AT31" s="49"/>
      <c r="AU31" s="49"/>
      <c r="AV31" s="49"/>
      <c r="AW31" s="49"/>
      <c r="AX31" s="49"/>
    </row>
    <row r="32">
      <c r="A32" s="49"/>
      <c r="B32" s="49"/>
      <c r="C32" s="49"/>
      <c r="D32" s="49"/>
      <c r="E32" s="49"/>
      <c r="F32" s="49"/>
      <c r="G32" s="49"/>
      <c r="H32" s="49"/>
      <c r="I32" s="49"/>
      <c r="J32" s="49"/>
      <c r="K32" s="49"/>
      <c r="L32" s="49"/>
      <c r="M32" s="49"/>
      <c r="N32" s="49"/>
      <c r="O32" s="49"/>
      <c r="P32" s="49"/>
      <c r="Q32" s="49"/>
      <c r="R32" s="49"/>
      <c r="S32" s="49"/>
      <c r="T32" s="49"/>
      <c r="U32" s="49"/>
      <c r="V32" s="49"/>
      <c r="W32" s="49"/>
      <c r="X32" s="49"/>
      <c r="Y32" s="49"/>
      <c r="Z32" s="49"/>
      <c r="AA32" s="49"/>
      <c r="AB32" s="49"/>
      <c r="AC32" s="49"/>
      <c r="AD32" s="49"/>
      <c r="AE32" s="49"/>
      <c r="AF32" s="49"/>
      <c r="AG32" s="49"/>
      <c r="AH32" s="49"/>
      <c r="AI32" s="49"/>
      <c r="AJ32" s="49"/>
      <c r="AK32" s="49"/>
      <c r="AL32" s="49"/>
      <c r="AM32" s="49"/>
      <c r="AN32" s="49"/>
      <c r="AO32" s="49"/>
      <c r="AP32" s="49"/>
      <c r="AQ32" s="49"/>
      <c r="AR32" s="49"/>
      <c r="AS32" s="49"/>
      <c r="AT32" s="49"/>
      <c r="AU32" s="49"/>
      <c r="AV32" s="49"/>
      <c r="AW32" s="49"/>
      <c r="AX32" s="49"/>
    </row>
    <row r="33">
      <c r="A33" s="49"/>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49"/>
      <c r="AJ33" s="49"/>
      <c r="AK33" s="49"/>
      <c r="AL33" s="49"/>
      <c r="AM33" s="49"/>
      <c r="AN33" s="49"/>
      <c r="AO33" s="49"/>
      <c r="AP33" s="49"/>
      <c r="AQ33" s="49"/>
      <c r="AR33" s="49"/>
      <c r="AS33" s="49"/>
      <c r="AT33" s="49"/>
      <c r="AU33" s="49"/>
      <c r="AV33" s="49"/>
      <c r="AW33" s="49"/>
      <c r="AX33" s="49"/>
    </row>
    <row r="34">
      <c r="A34" s="49"/>
      <c r="B34" s="49"/>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49"/>
      <c r="AJ34" s="49"/>
      <c r="AK34" s="49"/>
      <c r="AL34" s="49"/>
      <c r="AM34" s="49"/>
      <c r="AN34" s="49"/>
      <c r="AO34" s="49"/>
      <c r="AP34" s="49"/>
      <c r="AQ34" s="49"/>
      <c r="AR34" s="49"/>
      <c r="AS34" s="49"/>
      <c r="AT34" s="49"/>
      <c r="AU34" s="49"/>
      <c r="AV34" s="49"/>
      <c r="AW34" s="49"/>
      <c r="AX34" s="49"/>
    </row>
    <row r="35">
      <c r="A35" s="49"/>
      <c r="B35" s="49"/>
      <c r="C35" s="49"/>
      <c r="D35" s="49"/>
      <c r="E35" s="49"/>
      <c r="F35" s="49"/>
      <c r="G35" s="49"/>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49"/>
      <c r="AJ35" s="49"/>
      <c r="AK35" s="49"/>
      <c r="AL35" s="49"/>
      <c r="AM35" s="49"/>
      <c r="AN35" s="49"/>
      <c r="AO35" s="49"/>
      <c r="AP35" s="49"/>
      <c r="AQ35" s="49"/>
      <c r="AR35" s="49"/>
      <c r="AS35" s="49"/>
      <c r="AT35" s="49"/>
      <c r="AU35" s="49"/>
      <c r="AV35" s="49"/>
      <c r="AW35" s="49"/>
      <c r="AX35" s="49"/>
    </row>
    <row r="36">
      <c r="A36" s="49"/>
      <c r="B36" s="49"/>
      <c r="C36" s="49"/>
      <c r="D36" s="49"/>
      <c r="E36" s="49"/>
      <c r="F36" s="49"/>
      <c r="G36" s="49"/>
      <c r="H36" s="49"/>
      <c r="I36" s="49"/>
      <c r="J36" s="49"/>
      <c r="K36" s="49"/>
      <c r="L36" s="49"/>
      <c r="M36" s="49"/>
      <c r="N36" s="49"/>
      <c r="O36" s="49"/>
      <c r="P36" s="49"/>
      <c r="Q36" s="49"/>
      <c r="R36" s="49"/>
      <c r="S36" s="49"/>
      <c r="T36" s="49"/>
      <c r="U36" s="49"/>
      <c r="V36" s="49"/>
      <c r="W36" s="49"/>
      <c r="X36" s="49"/>
      <c r="Y36" s="49"/>
      <c r="Z36" s="49"/>
      <c r="AA36" s="49"/>
      <c r="AB36" s="49"/>
      <c r="AC36" s="49"/>
      <c r="AD36" s="49"/>
      <c r="AE36" s="49"/>
      <c r="AF36" s="49"/>
      <c r="AG36" s="49"/>
      <c r="AH36" s="49"/>
      <c r="AI36" s="49"/>
      <c r="AJ36" s="49"/>
      <c r="AK36" s="49"/>
      <c r="AL36" s="49"/>
      <c r="AM36" s="49"/>
      <c r="AN36" s="49"/>
      <c r="AO36" s="49"/>
      <c r="AP36" s="49"/>
      <c r="AQ36" s="49"/>
      <c r="AR36" s="49"/>
      <c r="AS36" s="49"/>
      <c r="AT36" s="49"/>
      <c r="AU36" s="49"/>
      <c r="AV36" s="49"/>
      <c r="AW36" s="49"/>
      <c r="AX36" s="49"/>
    </row>
    <row r="37">
      <c r="A37" s="49"/>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c r="AH37" s="49"/>
      <c r="AI37" s="49"/>
      <c r="AJ37" s="49"/>
      <c r="AK37" s="49"/>
      <c r="AL37" s="49"/>
      <c r="AM37" s="49"/>
      <c r="AN37" s="49"/>
      <c r="AO37" s="49"/>
      <c r="AP37" s="49"/>
      <c r="AQ37" s="49"/>
      <c r="AR37" s="49"/>
      <c r="AS37" s="49"/>
      <c r="AT37" s="49"/>
      <c r="AU37" s="49"/>
      <c r="AV37" s="49"/>
      <c r="AW37" s="49"/>
      <c r="AX37" s="49"/>
    </row>
    <row r="38">
      <c r="A38" s="49"/>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c r="AH38" s="49"/>
      <c r="AI38" s="49"/>
      <c r="AJ38" s="49"/>
      <c r="AK38" s="49"/>
      <c r="AL38" s="49"/>
      <c r="AM38" s="49"/>
      <c r="AN38" s="49"/>
      <c r="AO38" s="49"/>
      <c r="AP38" s="49"/>
      <c r="AQ38" s="49"/>
      <c r="AR38" s="49"/>
      <c r="AS38" s="49"/>
      <c r="AT38" s="49"/>
      <c r="AU38" s="49"/>
      <c r="AV38" s="49"/>
      <c r="AW38" s="49"/>
      <c r="AX38" s="49"/>
    </row>
    <row r="39">
      <c r="A39" s="49"/>
      <c r="B39" s="49"/>
      <c r="C39" s="49"/>
      <c r="D39" s="49"/>
      <c r="E39" s="49"/>
      <c r="F39" s="49"/>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9"/>
      <c r="AU39" s="49"/>
      <c r="AV39" s="49"/>
      <c r="AW39" s="49"/>
      <c r="AX39" s="49"/>
    </row>
    <row r="40">
      <c r="A40" s="49"/>
      <c r="B40" s="49"/>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9"/>
      <c r="AU40" s="49"/>
      <c r="AV40" s="49"/>
      <c r="AW40" s="49"/>
      <c r="AX40" s="49"/>
    </row>
    <row r="41">
      <c r="A41" s="49"/>
      <c r="B41" s="49"/>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9"/>
      <c r="AU41" s="49"/>
      <c r="AV41" s="49"/>
      <c r="AW41" s="49"/>
      <c r="AX41" s="49"/>
    </row>
    <row r="42">
      <c r="A42" s="49"/>
      <c r="B42" s="49"/>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9"/>
      <c r="AU42" s="49"/>
      <c r="AV42" s="49"/>
      <c r="AW42" s="49"/>
      <c r="AX42" s="49"/>
    </row>
    <row r="43">
      <c r="A43" s="49"/>
      <c r="B43" s="49"/>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c r="AH43" s="49"/>
      <c r="AI43" s="49"/>
      <c r="AJ43" s="49"/>
      <c r="AK43" s="49"/>
      <c r="AL43" s="49"/>
      <c r="AM43" s="49"/>
      <c r="AN43" s="49"/>
      <c r="AO43" s="49"/>
      <c r="AP43" s="49"/>
      <c r="AQ43" s="49"/>
      <c r="AR43" s="49"/>
      <c r="AS43" s="49"/>
      <c r="AT43" s="49"/>
      <c r="AU43" s="49"/>
      <c r="AV43" s="49"/>
      <c r="AW43" s="49"/>
      <c r="AX43" s="49"/>
    </row>
    <row r="44">
      <c r="A44" s="49"/>
      <c r="B44" s="49"/>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c r="AH44" s="49"/>
      <c r="AI44" s="49"/>
      <c r="AJ44" s="49"/>
      <c r="AK44" s="49"/>
      <c r="AL44" s="49"/>
      <c r="AM44" s="49"/>
      <c r="AN44" s="49"/>
      <c r="AO44" s="49"/>
      <c r="AP44" s="49"/>
      <c r="AQ44" s="49"/>
      <c r="AR44" s="49"/>
      <c r="AS44" s="49"/>
      <c r="AT44" s="49"/>
      <c r="AU44" s="49"/>
      <c r="AV44" s="49"/>
      <c r="AW44" s="49"/>
      <c r="AX44" s="49"/>
    </row>
    <row r="45">
      <c r="A45" s="49"/>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c r="AH45" s="49"/>
      <c r="AI45" s="49"/>
      <c r="AJ45" s="49"/>
      <c r="AK45" s="49"/>
      <c r="AL45" s="49"/>
      <c r="AM45" s="49"/>
      <c r="AN45" s="49"/>
      <c r="AO45" s="49"/>
      <c r="AP45" s="49"/>
      <c r="AQ45" s="49"/>
      <c r="AR45" s="49"/>
      <c r="AS45" s="49"/>
      <c r="AT45" s="49"/>
      <c r="AU45" s="49"/>
      <c r="AV45" s="49"/>
      <c r="AW45" s="49"/>
      <c r="AX45" s="49"/>
    </row>
    <row r="46">
      <c r="A46" s="49"/>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c r="AH46" s="49"/>
      <c r="AI46" s="49"/>
      <c r="AJ46" s="49"/>
      <c r="AK46" s="49"/>
      <c r="AL46" s="49"/>
      <c r="AM46" s="49"/>
      <c r="AN46" s="49"/>
      <c r="AO46" s="49"/>
      <c r="AP46" s="49"/>
      <c r="AQ46" s="49"/>
      <c r="AR46" s="49"/>
      <c r="AS46" s="49"/>
      <c r="AT46" s="49"/>
      <c r="AU46" s="49"/>
      <c r="AV46" s="49"/>
      <c r="AW46" s="49"/>
      <c r="AX46" s="49"/>
    </row>
    <row r="47">
      <c r="A47" s="49"/>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49"/>
      <c r="AI47" s="49"/>
      <c r="AJ47" s="49"/>
      <c r="AK47" s="49"/>
      <c r="AL47" s="49"/>
      <c r="AM47" s="49"/>
      <c r="AN47" s="49"/>
      <c r="AO47" s="49"/>
      <c r="AP47" s="49"/>
      <c r="AQ47" s="49"/>
      <c r="AR47" s="49"/>
      <c r="AS47" s="49"/>
      <c r="AT47" s="49"/>
      <c r="AU47" s="49"/>
      <c r="AV47" s="49"/>
      <c r="AW47" s="49"/>
      <c r="AX47" s="49"/>
    </row>
    <row r="48">
      <c r="A48" s="49"/>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c r="AH48" s="49"/>
      <c r="AI48" s="49"/>
      <c r="AJ48" s="49"/>
      <c r="AK48" s="49"/>
      <c r="AL48" s="49"/>
      <c r="AM48" s="49"/>
      <c r="AN48" s="49"/>
      <c r="AO48" s="49"/>
      <c r="AP48" s="49"/>
      <c r="AQ48" s="49"/>
      <c r="AR48" s="49"/>
      <c r="AS48" s="49"/>
      <c r="AT48" s="49"/>
      <c r="AU48" s="49"/>
      <c r="AV48" s="49"/>
      <c r="AW48" s="49"/>
      <c r="AX48" s="49"/>
    </row>
    <row r="49">
      <c r="A49" s="49"/>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c r="AH49" s="49"/>
      <c r="AI49" s="49"/>
      <c r="AJ49" s="49"/>
      <c r="AK49" s="49"/>
      <c r="AL49" s="49"/>
      <c r="AM49" s="49"/>
      <c r="AN49" s="49"/>
      <c r="AO49" s="49"/>
      <c r="AP49" s="49"/>
      <c r="AQ49" s="49"/>
      <c r="AR49" s="49"/>
      <c r="AS49" s="49"/>
      <c r="AT49" s="49"/>
      <c r="AU49" s="49"/>
      <c r="AV49" s="49"/>
      <c r="AW49" s="49"/>
      <c r="AX49" s="49"/>
    </row>
    <row r="50">
      <c r="A50" s="49"/>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49"/>
      <c r="AI50" s="49"/>
      <c r="AJ50" s="49"/>
      <c r="AK50" s="49"/>
      <c r="AL50" s="49"/>
      <c r="AM50" s="49"/>
      <c r="AN50" s="49"/>
      <c r="AO50" s="49"/>
      <c r="AP50" s="49"/>
      <c r="AQ50" s="49"/>
      <c r="AR50" s="49"/>
      <c r="AS50" s="49"/>
      <c r="AT50" s="49"/>
      <c r="AU50" s="49"/>
      <c r="AV50" s="49"/>
      <c r="AW50" s="49"/>
      <c r="AX50" s="49"/>
    </row>
    <row r="51">
      <c r="A51" s="49"/>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c r="AH51" s="49"/>
      <c r="AI51" s="49"/>
      <c r="AJ51" s="49"/>
      <c r="AK51" s="49"/>
      <c r="AL51" s="49"/>
      <c r="AM51" s="49"/>
      <c r="AN51" s="49"/>
      <c r="AO51" s="49"/>
      <c r="AP51" s="49"/>
      <c r="AQ51" s="49"/>
      <c r="AR51" s="49"/>
      <c r="AS51" s="49"/>
      <c r="AT51" s="49"/>
      <c r="AU51" s="49"/>
      <c r="AV51" s="49"/>
      <c r="AW51" s="49"/>
      <c r="AX51" s="49"/>
    </row>
    <row r="52">
      <c r="A52" s="49"/>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49"/>
      <c r="AI52" s="49"/>
      <c r="AJ52" s="49"/>
      <c r="AK52" s="49"/>
      <c r="AL52" s="49"/>
      <c r="AM52" s="49"/>
      <c r="AN52" s="49"/>
      <c r="AO52" s="49"/>
      <c r="AP52" s="49"/>
      <c r="AQ52" s="49"/>
      <c r="AR52" s="49"/>
      <c r="AS52" s="49"/>
      <c r="AT52" s="49"/>
      <c r="AU52" s="49"/>
      <c r="AV52" s="49"/>
      <c r="AW52" s="49"/>
      <c r="AX52" s="49"/>
    </row>
    <row r="53">
      <c r="A53" s="49"/>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49"/>
      <c r="AI53" s="49"/>
      <c r="AJ53" s="49"/>
      <c r="AK53" s="49"/>
      <c r="AL53" s="49"/>
      <c r="AM53" s="49"/>
      <c r="AN53" s="49"/>
      <c r="AO53" s="49"/>
      <c r="AP53" s="49"/>
      <c r="AQ53" s="49"/>
      <c r="AR53" s="49"/>
      <c r="AS53" s="49"/>
      <c r="AT53" s="49"/>
      <c r="AU53" s="49"/>
      <c r="AV53" s="49"/>
      <c r="AW53" s="49"/>
      <c r="AX53" s="49"/>
    </row>
    <row r="54">
      <c r="A54" s="49"/>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49"/>
      <c r="AI54" s="49"/>
      <c r="AJ54" s="49"/>
      <c r="AK54" s="49"/>
      <c r="AL54" s="49"/>
      <c r="AM54" s="49"/>
      <c r="AN54" s="49"/>
      <c r="AO54" s="49"/>
      <c r="AP54" s="49"/>
      <c r="AQ54" s="49"/>
      <c r="AR54" s="49"/>
      <c r="AS54" s="49"/>
      <c r="AT54" s="49"/>
      <c r="AU54" s="49"/>
      <c r="AV54" s="49"/>
      <c r="AW54" s="49"/>
      <c r="AX54" s="49"/>
    </row>
    <row r="55">
      <c r="A55" s="49"/>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c r="AH55" s="49"/>
      <c r="AI55" s="49"/>
      <c r="AJ55" s="49"/>
      <c r="AK55" s="49"/>
      <c r="AL55" s="49"/>
      <c r="AM55" s="49"/>
      <c r="AN55" s="49"/>
      <c r="AO55" s="49"/>
      <c r="AP55" s="49"/>
      <c r="AQ55" s="49"/>
      <c r="AR55" s="49"/>
      <c r="AS55" s="49"/>
      <c r="AT55" s="49"/>
      <c r="AU55" s="49"/>
      <c r="AV55" s="49"/>
      <c r="AW55" s="49"/>
      <c r="AX55" s="49"/>
    </row>
    <row r="56">
      <c r="A56" s="49"/>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49"/>
      <c r="AI56" s="49"/>
      <c r="AJ56" s="49"/>
      <c r="AK56" s="49"/>
      <c r="AL56" s="49"/>
      <c r="AM56" s="49"/>
      <c r="AN56" s="49"/>
      <c r="AO56" s="49"/>
      <c r="AP56" s="49"/>
      <c r="AQ56" s="49"/>
      <c r="AR56" s="49"/>
      <c r="AS56" s="49"/>
      <c r="AT56" s="49"/>
      <c r="AU56" s="49"/>
      <c r="AV56" s="49"/>
      <c r="AW56" s="49"/>
      <c r="AX56" s="49"/>
    </row>
    <row r="57">
      <c r="A57" s="49"/>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49"/>
      <c r="AI57" s="49"/>
      <c r="AJ57" s="49"/>
      <c r="AK57" s="49"/>
      <c r="AL57" s="49"/>
      <c r="AM57" s="49"/>
      <c r="AN57" s="49"/>
      <c r="AO57" s="49"/>
      <c r="AP57" s="49"/>
      <c r="AQ57" s="49"/>
      <c r="AR57" s="49"/>
      <c r="AS57" s="49"/>
      <c r="AT57" s="49"/>
      <c r="AU57" s="49"/>
      <c r="AV57" s="49"/>
      <c r="AW57" s="49"/>
      <c r="AX57" s="49"/>
    </row>
    <row r="58">
      <c r="A58" s="49"/>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49"/>
      <c r="AI58" s="49"/>
      <c r="AJ58" s="49"/>
      <c r="AK58" s="49"/>
      <c r="AL58" s="49"/>
      <c r="AM58" s="49"/>
      <c r="AN58" s="49"/>
      <c r="AO58" s="49"/>
      <c r="AP58" s="49"/>
      <c r="AQ58" s="49"/>
      <c r="AR58" s="49"/>
      <c r="AS58" s="49"/>
      <c r="AT58" s="49"/>
      <c r="AU58" s="49"/>
      <c r="AV58" s="49"/>
      <c r="AW58" s="49"/>
      <c r="AX58" s="49"/>
    </row>
    <row r="59">
      <c r="A59" s="49"/>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49"/>
      <c r="AI59" s="49"/>
      <c r="AJ59" s="49"/>
      <c r="AK59" s="49"/>
      <c r="AL59" s="49"/>
      <c r="AM59" s="49"/>
      <c r="AN59" s="49"/>
      <c r="AO59" s="49"/>
      <c r="AP59" s="49"/>
      <c r="AQ59" s="49"/>
      <c r="AR59" s="49"/>
      <c r="AS59" s="49"/>
      <c r="AT59" s="49"/>
      <c r="AU59" s="49"/>
      <c r="AV59" s="49"/>
      <c r="AW59" s="49"/>
      <c r="AX59" s="49"/>
    </row>
    <row r="60">
      <c r="A60" s="49"/>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49"/>
      <c r="AI60" s="49"/>
      <c r="AJ60" s="49"/>
      <c r="AK60" s="49"/>
      <c r="AL60" s="49"/>
      <c r="AM60" s="49"/>
      <c r="AN60" s="49"/>
      <c r="AO60" s="49"/>
      <c r="AP60" s="49"/>
      <c r="AQ60" s="49"/>
      <c r="AR60" s="49"/>
      <c r="AS60" s="49"/>
      <c r="AT60" s="49"/>
      <c r="AU60" s="49"/>
      <c r="AV60" s="49"/>
      <c r="AW60" s="49"/>
      <c r="AX60" s="49"/>
    </row>
    <row r="61">
      <c r="A61" s="49"/>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49"/>
      <c r="AI61" s="49"/>
      <c r="AJ61" s="49"/>
      <c r="AK61" s="49"/>
      <c r="AL61" s="49"/>
      <c r="AM61" s="49"/>
      <c r="AN61" s="49"/>
      <c r="AO61" s="49"/>
      <c r="AP61" s="49"/>
      <c r="AQ61" s="49"/>
      <c r="AR61" s="49"/>
      <c r="AS61" s="49"/>
      <c r="AT61" s="49"/>
      <c r="AU61" s="49"/>
      <c r="AV61" s="49"/>
      <c r="AW61" s="49"/>
      <c r="AX61" s="49"/>
    </row>
    <row r="62">
      <c r="A62" s="49"/>
      <c r="B62" s="49"/>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49"/>
      <c r="AI62" s="49"/>
      <c r="AJ62" s="49"/>
      <c r="AK62" s="49"/>
      <c r="AL62" s="49"/>
      <c r="AM62" s="49"/>
      <c r="AN62" s="49"/>
      <c r="AO62" s="49"/>
      <c r="AP62" s="49"/>
      <c r="AQ62" s="49"/>
      <c r="AR62" s="49"/>
      <c r="AS62" s="49"/>
      <c r="AT62" s="49"/>
      <c r="AU62" s="49"/>
      <c r="AV62" s="49"/>
      <c r="AW62" s="49"/>
      <c r="AX62" s="49"/>
    </row>
    <row r="63">
      <c r="A63" s="49"/>
      <c r="B63" s="49"/>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49"/>
      <c r="AI63" s="49"/>
      <c r="AJ63" s="49"/>
      <c r="AK63" s="49"/>
      <c r="AL63" s="49"/>
      <c r="AM63" s="49"/>
      <c r="AN63" s="49"/>
      <c r="AO63" s="49"/>
      <c r="AP63" s="49"/>
      <c r="AQ63" s="49"/>
      <c r="AR63" s="49"/>
      <c r="AS63" s="49"/>
      <c r="AT63" s="49"/>
      <c r="AU63" s="49"/>
      <c r="AV63" s="49"/>
      <c r="AW63" s="49"/>
      <c r="AX63" s="49"/>
    </row>
    <row r="64">
      <c r="A64" s="49"/>
      <c r="B64" s="49"/>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49"/>
      <c r="AI64" s="49"/>
      <c r="AJ64" s="49"/>
      <c r="AK64" s="49"/>
      <c r="AL64" s="49"/>
      <c r="AM64" s="49"/>
      <c r="AN64" s="49"/>
      <c r="AO64" s="49"/>
      <c r="AP64" s="49"/>
      <c r="AQ64" s="49"/>
      <c r="AR64" s="49"/>
      <c r="AS64" s="49"/>
      <c r="AT64" s="49"/>
      <c r="AU64" s="49"/>
      <c r="AV64" s="49"/>
      <c r="AW64" s="49"/>
      <c r="AX64" s="49"/>
    </row>
    <row r="65">
      <c r="A65" s="49"/>
      <c r="B65" s="49"/>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c r="AE65" s="49"/>
      <c r="AF65" s="49"/>
      <c r="AG65" s="49"/>
      <c r="AH65" s="49"/>
      <c r="AI65" s="49"/>
      <c r="AJ65" s="49"/>
      <c r="AK65" s="49"/>
      <c r="AL65" s="49"/>
      <c r="AM65" s="49"/>
      <c r="AN65" s="49"/>
      <c r="AO65" s="49"/>
      <c r="AP65" s="49"/>
      <c r="AQ65" s="49"/>
      <c r="AR65" s="49"/>
      <c r="AS65" s="49"/>
      <c r="AT65" s="49"/>
      <c r="AU65" s="49"/>
      <c r="AV65" s="49"/>
      <c r="AW65" s="49"/>
      <c r="AX65" s="49"/>
    </row>
    <row r="66">
      <c r="A66" s="49"/>
      <c r="B66" s="49"/>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c r="AE66" s="49"/>
      <c r="AF66" s="49"/>
      <c r="AG66" s="49"/>
      <c r="AH66" s="49"/>
      <c r="AI66" s="49"/>
      <c r="AJ66" s="49"/>
      <c r="AK66" s="49"/>
      <c r="AL66" s="49"/>
      <c r="AM66" s="49"/>
      <c r="AN66" s="49"/>
      <c r="AO66" s="49"/>
      <c r="AP66" s="49"/>
      <c r="AQ66" s="49"/>
      <c r="AR66" s="49"/>
      <c r="AS66" s="49"/>
      <c r="AT66" s="49"/>
      <c r="AU66" s="49"/>
      <c r="AV66" s="49"/>
      <c r="AW66" s="49"/>
      <c r="AX66" s="49"/>
    </row>
    <row r="67">
      <c r="A67" s="49"/>
      <c r="B67" s="49"/>
      <c r="C67" s="49"/>
      <c r="D67" s="49"/>
      <c r="E67" s="49"/>
      <c r="F67" s="49"/>
      <c r="G67" s="49"/>
      <c r="H67" s="49"/>
      <c r="I67" s="49"/>
      <c r="J67" s="49"/>
      <c r="K67" s="49"/>
      <c r="L67" s="49"/>
      <c r="M67" s="49"/>
      <c r="N67" s="49"/>
      <c r="O67" s="49"/>
      <c r="P67" s="49"/>
      <c r="Q67" s="49"/>
      <c r="R67" s="49"/>
      <c r="S67" s="49"/>
      <c r="T67" s="49"/>
      <c r="U67" s="49"/>
      <c r="V67" s="49"/>
      <c r="W67" s="49"/>
      <c r="X67" s="49"/>
      <c r="Y67" s="49"/>
      <c r="Z67" s="49"/>
      <c r="AA67" s="49"/>
      <c r="AB67" s="49"/>
      <c r="AC67" s="49"/>
      <c r="AD67" s="49"/>
      <c r="AE67" s="49"/>
      <c r="AF67" s="49"/>
      <c r="AG67" s="49"/>
      <c r="AH67" s="49"/>
      <c r="AI67" s="49"/>
      <c r="AJ67" s="49"/>
      <c r="AK67" s="49"/>
      <c r="AL67" s="49"/>
      <c r="AM67" s="49"/>
      <c r="AN67" s="49"/>
      <c r="AO67" s="49"/>
      <c r="AP67" s="49"/>
      <c r="AQ67" s="49"/>
      <c r="AR67" s="49"/>
      <c r="AS67" s="49"/>
      <c r="AT67" s="49"/>
      <c r="AU67" s="49"/>
      <c r="AV67" s="49"/>
      <c r="AW67" s="49"/>
      <c r="AX67" s="49"/>
    </row>
    <row r="68">
      <c r="A68" s="49"/>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c r="AH68" s="49"/>
      <c r="AI68" s="49"/>
      <c r="AJ68" s="49"/>
      <c r="AK68" s="49"/>
      <c r="AL68" s="49"/>
      <c r="AM68" s="49"/>
      <c r="AN68" s="49"/>
      <c r="AO68" s="49"/>
      <c r="AP68" s="49"/>
      <c r="AQ68" s="49"/>
      <c r="AR68" s="49"/>
      <c r="AS68" s="49"/>
      <c r="AT68" s="49"/>
      <c r="AU68" s="49"/>
      <c r="AV68" s="49"/>
      <c r="AW68" s="49"/>
      <c r="AX68" s="49"/>
    </row>
    <row r="69">
      <c r="A69" s="49"/>
      <c r="B69" s="49"/>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c r="AH69" s="49"/>
      <c r="AI69" s="49"/>
      <c r="AJ69" s="49"/>
      <c r="AK69" s="49"/>
      <c r="AL69" s="49"/>
      <c r="AM69" s="49"/>
      <c r="AN69" s="49"/>
      <c r="AO69" s="49"/>
      <c r="AP69" s="49"/>
      <c r="AQ69" s="49"/>
      <c r="AR69" s="49"/>
      <c r="AS69" s="49"/>
      <c r="AT69" s="49"/>
      <c r="AU69" s="49"/>
      <c r="AV69" s="49"/>
      <c r="AW69" s="49"/>
      <c r="AX69" s="49"/>
    </row>
    <row r="70">
      <c r="A70" s="49"/>
      <c r="B70" s="49"/>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c r="AH70" s="49"/>
      <c r="AI70" s="49"/>
      <c r="AJ70" s="49"/>
      <c r="AK70" s="49"/>
      <c r="AL70" s="49"/>
      <c r="AM70" s="49"/>
      <c r="AN70" s="49"/>
      <c r="AO70" s="49"/>
      <c r="AP70" s="49"/>
      <c r="AQ70" s="49"/>
      <c r="AR70" s="49"/>
      <c r="AS70" s="49"/>
      <c r="AT70" s="49"/>
      <c r="AU70" s="49"/>
      <c r="AV70" s="49"/>
      <c r="AW70" s="49"/>
      <c r="AX70" s="49"/>
    </row>
    <row r="71">
      <c r="A71" s="49"/>
      <c r="B71" s="49"/>
      <c r="C71" s="49"/>
      <c r="D71" s="49"/>
      <c r="E71" s="49"/>
      <c r="F71" s="49"/>
      <c r="G71" s="49"/>
      <c r="H71" s="49"/>
      <c r="I71" s="49"/>
      <c r="J71" s="49"/>
      <c r="K71" s="49"/>
      <c r="L71" s="49"/>
      <c r="M71" s="49"/>
      <c r="N71" s="49"/>
      <c r="O71" s="49"/>
      <c r="P71" s="49"/>
      <c r="Q71" s="49"/>
      <c r="R71" s="49"/>
      <c r="S71" s="49"/>
      <c r="T71" s="49"/>
      <c r="U71" s="49"/>
      <c r="V71" s="49"/>
      <c r="W71" s="49"/>
      <c r="X71" s="49"/>
      <c r="Y71" s="49"/>
      <c r="Z71" s="49"/>
      <c r="AA71" s="49"/>
      <c r="AB71" s="49"/>
      <c r="AC71" s="49"/>
      <c r="AD71" s="49"/>
      <c r="AE71" s="49"/>
      <c r="AF71" s="49"/>
      <c r="AG71" s="49"/>
      <c r="AH71" s="49"/>
      <c r="AI71" s="49"/>
      <c r="AJ71" s="49"/>
      <c r="AK71" s="49"/>
      <c r="AL71" s="49"/>
      <c r="AM71" s="49"/>
      <c r="AN71" s="49"/>
      <c r="AO71" s="49"/>
      <c r="AP71" s="49"/>
      <c r="AQ71" s="49"/>
      <c r="AR71" s="49"/>
      <c r="AS71" s="49"/>
      <c r="AT71" s="49"/>
      <c r="AU71" s="49"/>
      <c r="AV71" s="49"/>
      <c r="AW71" s="49"/>
      <c r="AX71" s="49"/>
    </row>
    <row r="72">
      <c r="A72" s="49"/>
      <c r="B72" s="49"/>
      <c r="C72" s="49"/>
      <c r="D72" s="49"/>
      <c r="E72" s="49"/>
      <c r="F72" s="49"/>
      <c r="G72" s="49"/>
      <c r="H72" s="49"/>
      <c r="I72" s="49"/>
      <c r="J72" s="49"/>
      <c r="K72" s="49"/>
      <c r="L72" s="49"/>
      <c r="M72" s="49"/>
      <c r="N72" s="49"/>
      <c r="O72" s="49"/>
      <c r="P72" s="49"/>
      <c r="Q72" s="49"/>
      <c r="R72" s="49"/>
      <c r="S72" s="49"/>
      <c r="T72" s="49"/>
      <c r="U72" s="49"/>
      <c r="V72" s="49"/>
      <c r="W72" s="49"/>
      <c r="X72" s="49"/>
      <c r="Y72" s="49"/>
      <c r="Z72" s="49"/>
      <c r="AA72" s="49"/>
      <c r="AB72" s="49"/>
      <c r="AC72" s="49"/>
      <c r="AD72" s="49"/>
      <c r="AE72" s="49"/>
      <c r="AF72" s="49"/>
      <c r="AG72" s="49"/>
      <c r="AH72" s="49"/>
      <c r="AI72" s="49"/>
      <c r="AJ72" s="49"/>
      <c r="AK72" s="49"/>
      <c r="AL72" s="49"/>
      <c r="AM72" s="49"/>
      <c r="AN72" s="49"/>
      <c r="AO72" s="49"/>
      <c r="AP72" s="49"/>
      <c r="AQ72" s="49"/>
      <c r="AR72" s="49"/>
      <c r="AS72" s="49"/>
      <c r="AT72" s="49"/>
      <c r="AU72" s="49"/>
      <c r="AV72" s="49"/>
      <c r="AW72" s="49"/>
      <c r="AX72" s="49"/>
    </row>
    <row r="73">
      <c r="A73" s="49"/>
      <c r="B73" s="49"/>
      <c r="C73" s="49"/>
      <c r="D73" s="49"/>
      <c r="E73" s="49"/>
      <c r="F73" s="49"/>
      <c r="G73" s="49"/>
      <c r="H73" s="49"/>
      <c r="I73" s="49"/>
      <c r="J73" s="49"/>
      <c r="K73" s="49"/>
      <c r="L73" s="49"/>
      <c r="M73" s="49"/>
      <c r="N73" s="49"/>
      <c r="O73" s="49"/>
      <c r="P73" s="49"/>
      <c r="Q73" s="49"/>
      <c r="R73" s="49"/>
      <c r="S73" s="49"/>
      <c r="T73" s="49"/>
      <c r="U73" s="49"/>
      <c r="V73" s="49"/>
      <c r="W73" s="49"/>
      <c r="X73" s="49"/>
      <c r="Y73" s="49"/>
      <c r="Z73" s="49"/>
      <c r="AA73" s="49"/>
      <c r="AB73" s="49"/>
      <c r="AC73" s="49"/>
      <c r="AD73" s="49"/>
      <c r="AE73" s="49"/>
      <c r="AF73" s="49"/>
      <c r="AG73" s="49"/>
      <c r="AH73" s="49"/>
      <c r="AI73" s="49"/>
      <c r="AJ73" s="49"/>
      <c r="AK73" s="49"/>
      <c r="AL73" s="49"/>
      <c r="AM73" s="49"/>
      <c r="AN73" s="49"/>
      <c r="AO73" s="49"/>
      <c r="AP73" s="49"/>
      <c r="AQ73" s="49"/>
      <c r="AR73" s="49"/>
      <c r="AS73" s="49"/>
      <c r="AT73" s="49"/>
      <c r="AU73" s="49"/>
      <c r="AV73" s="49"/>
      <c r="AW73" s="49"/>
      <c r="AX73" s="49"/>
    </row>
    <row r="74">
      <c r="A74" s="49"/>
      <c r="B74" s="49"/>
      <c r="C74" s="49"/>
      <c r="D74" s="49"/>
      <c r="E74" s="49"/>
      <c r="F74" s="49"/>
      <c r="G74" s="49"/>
      <c r="H74" s="49"/>
      <c r="I74" s="49"/>
      <c r="J74" s="49"/>
      <c r="K74" s="49"/>
      <c r="L74" s="49"/>
      <c r="M74" s="49"/>
      <c r="N74" s="49"/>
      <c r="O74" s="49"/>
      <c r="P74" s="49"/>
      <c r="Q74" s="49"/>
      <c r="R74" s="49"/>
      <c r="S74" s="49"/>
      <c r="T74" s="49"/>
      <c r="U74" s="49"/>
      <c r="V74" s="49"/>
      <c r="W74" s="49"/>
      <c r="X74" s="49"/>
      <c r="Y74" s="49"/>
      <c r="Z74" s="49"/>
      <c r="AA74" s="49"/>
      <c r="AB74" s="49"/>
      <c r="AC74" s="49"/>
      <c r="AD74" s="49"/>
      <c r="AE74" s="49"/>
      <c r="AF74" s="49"/>
      <c r="AG74" s="49"/>
      <c r="AH74" s="49"/>
      <c r="AI74" s="49"/>
      <c r="AJ74" s="49"/>
      <c r="AK74" s="49"/>
      <c r="AL74" s="49"/>
      <c r="AM74" s="49"/>
      <c r="AN74" s="49"/>
      <c r="AO74" s="49"/>
      <c r="AP74" s="49"/>
      <c r="AQ74" s="49"/>
      <c r="AR74" s="49"/>
      <c r="AS74" s="49"/>
      <c r="AT74" s="49"/>
      <c r="AU74" s="49"/>
      <c r="AV74" s="49"/>
      <c r="AW74" s="49"/>
      <c r="AX74" s="49"/>
    </row>
    <row r="75">
      <c r="A75" s="49"/>
      <c r="B75" s="49"/>
      <c r="C75" s="49"/>
      <c r="D75" s="49"/>
      <c r="E75" s="49"/>
      <c r="F75" s="49"/>
      <c r="G75" s="49"/>
      <c r="H75" s="49"/>
      <c r="I75" s="49"/>
      <c r="J75" s="49"/>
      <c r="K75" s="49"/>
      <c r="L75" s="49"/>
      <c r="M75" s="49"/>
      <c r="N75" s="49"/>
      <c r="O75" s="49"/>
      <c r="P75" s="49"/>
      <c r="Q75" s="49"/>
      <c r="R75" s="49"/>
      <c r="S75" s="49"/>
      <c r="T75" s="49"/>
      <c r="U75" s="49"/>
      <c r="V75" s="49"/>
      <c r="W75" s="49"/>
      <c r="X75" s="49"/>
      <c r="Y75" s="49"/>
      <c r="Z75" s="49"/>
      <c r="AA75" s="49"/>
      <c r="AB75" s="49"/>
      <c r="AC75" s="49"/>
      <c r="AD75" s="49"/>
      <c r="AE75" s="49"/>
      <c r="AF75" s="49"/>
      <c r="AG75" s="49"/>
      <c r="AH75" s="49"/>
      <c r="AI75" s="49"/>
      <c r="AJ75" s="49"/>
      <c r="AK75" s="49"/>
      <c r="AL75" s="49"/>
      <c r="AM75" s="49"/>
      <c r="AN75" s="49"/>
      <c r="AO75" s="49"/>
      <c r="AP75" s="49"/>
      <c r="AQ75" s="49"/>
      <c r="AR75" s="49"/>
      <c r="AS75" s="49"/>
      <c r="AT75" s="49"/>
      <c r="AU75" s="49"/>
      <c r="AV75" s="49"/>
      <c r="AW75" s="49"/>
      <c r="AX75" s="49"/>
    </row>
    <row r="76">
      <c r="A76" s="49"/>
      <c r="B76" s="49"/>
      <c r="C76" s="49"/>
      <c r="D76" s="49"/>
      <c r="E76" s="49"/>
      <c r="F76" s="49"/>
      <c r="G76" s="49"/>
      <c r="H76" s="49"/>
      <c r="I76" s="49"/>
      <c r="J76" s="49"/>
      <c r="K76" s="49"/>
      <c r="L76" s="49"/>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row>
    <row r="77">
      <c r="A77" s="49"/>
      <c r="B77" s="49"/>
      <c r="C77" s="49"/>
      <c r="D77" s="49"/>
      <c r="E77" s="49"/>
      <c r="F77" s="49"/>
      <c r="G77" s="49"/>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49"/>
      <c r="AJ77" s="49"/>
      <c r="AK77" s="49"/>
      <c r="AL77" s="49"/>
      <c r="AM77" s="49"/>
      <c r="AN77" s="49"/>
      <c r="AO77" s="49"/>
      <c r="AP77" s="49"/>
      <c r="AQ77" s="49"/>
      <c r="AR77" s="49"/>
      <c r="AS77" s="49"/>
      <c r="AT77" s="49"/>
      <c r="AU77" s="49"/>
      <c r="AV77" s="49"/>
      <c r="AW77" s="49"/>
      <c r="AX77" s="49"/>
    </row>
    <row r="78">
      <c r="A78" s="49"/>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49"/>
      <c r="AJ78" s="49"/>
      <c r="AK78" s="49"/>
      <c r="AL78" s="49"/>
      <c r="AM78" s="49"/>
      <c r="AN78" s="49"/>
      <c r="AO78" s="49"/>
      <c r="AP78" s="49"/>
      <c r="AQ78" s="49"/>
      <c r="AR78" s="49"/>
      <c r="AS78" s="49"/>
      <c r="AT78" s="49"/>
      <c r="AU78" s="49"/>
      <c r="AV78" s="49"/>
      <c r="AW78" s="49"/>
      <c r="AX78" s="49"/>
    </row>
    <row r="79">
      <c r="A79" s="49"/>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49"/>
      <c r="AJ79" s="49"/>
      <c r="AK79" s="49"/>
      <c r="AL79" s="49"/>
      <c r="AM79" s="49"/>
      <c r="AN79" s="49"/>
      <c r="AO79" s="49"/>
      <c r="AP79" s="49"/>
      <c r="AQ79" s="49"/>
      <c r="AR79" s="49"/>
      <c r="AS79" s="49"/>
      <c r="AT79" s="49"/>
      <c r="AU79" s="49"/>
      <c r="AV79" s="49"/>
      <c r="AW79" s="49"/>
      <c r="AX79" s="49"/>
    </row>
    <row r="80">
      <c r="A80" s="49"/>
      <c r="B80" s="49"/>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c r="AH80" s="49"/>
      <c r="AI80" s="49"/>
      <c r="AJ80" s="49"/>
      <c r="AK80" s="49"/>
      <c r="AL80" s="49"/>
      <c r="AM80" s="49"/>
      <c r="AN80" s="49"/>
      <c r="AO80" s="49"/>
      <c r="AP80" s="49"/>
      <c r="AQ80" s="49"/>
      <c r="AR80" s="49"/>
      <c r="AS80" s="49"/>
      <c r="AT80" s="49"/>
      <c r="AU80" s="49"/>
      <c r="AV80" s="49"/>
      <c r="AW80" s="49"/>
      <c r="AX80" s="49"/>
    </row>
    <row r="81">
      <c r="A81" s="49"/>
      <c r="B81" s="49"/>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c r="AH81" s="49"/>
      <c r="AI81" s="49"/>
      <c r="AJ81" s="49"/>
      <c r="AK81" s="49"/>
      <c r="AL81" s="49"/>
      <c r="AM81" s="49"/>
      <c r="AN81" s="49"/>
      <c r="AO81" s="49"/>
      <c r="AP81" s="49"/>
      <c r="AQ81" s="49"/>
      <c r="AR81" s="49"/>
      <c r="AS81" s="49"/>
      <c r="AT81" s="49"/>
      <c r="AU81" s="49"/>
      <c r="AV81" s="49"/>
      <c r="AW81" s="49"/>
      <c r="AX81" s="49"/>
    </row>
    <row r="82">
      <c r="A82" s="49"/>
      <c r="B82" s="49"/>
      <c r="C82" s="49"/>
      <c r="D82" s="49"/>
      <c r="E82" s="49"/>
      <c r="F82" s="49"/>
      <c r="G82" s="49"/>
      <c r="H82" s="49"/>
      <c r="I82" s="49"/>
      <c r="J82" s="49"/>
      <c r="K82" s="49"/>
      <c r="L82" s="49"/>
      <c r="M82" s="49"/>
      <c r="N82" s="49"/>
      <c r="O82" s="49"/>
      <c r="P82" s="49"/>
      <c r="Q82" s="49"/>
      <c r="R82" s="49"/>
      <c r="S82" s="49"/>
      <c r="T82" s="49"/>
      <c r="U82" s="49"/>
      <c r="V82" s="49"/>
      <c r="W82" s="49"/>
      <c r="X82" s="49"/>
      <c r="Y82" s="49"/>
      <c r="Z82" s="49"/>
      <c r="AA82" s="49"/>
      <c r="AB82" s="49"/>
      <c r="AC82" s="49"/>
      <c r="AD82" s="49"/>
      <c r="AE82" s="49"/>
      <c r="AF82" s="49"/>
      <c r="AG82" s="49"/>
      <c r="AH82" s="49"/>
      <c r="AI82" s="49"/>
      <c r="AJ82" s="49"/>
      <c r="AK82" s="49"/>
      <c r="AL82" s="49"/>
      <c r="AM82" s="49"/>
      <c r="AN82" s="49"/>
      <c r="AO82" s="49"/>
      <c r="AP82" s="49"/>
      <c r="AQ82" s="49"/>
      <c r="AR82" s="49"/>
      <c r="AS82" s="49"/>
      <c r="AT82" s="49"/>
      <c r="AU82" s="49"/>
      <c r="AV82" s="49"/>
      <c r="AW82" s="49"/>
      <c r="AX82" s="49"/>
    </row>
    <row r="83">
      <c r="A83" s="49"/>
      <c r="B83" s="49"/>
      <c r="C83" s="49"/>
      <c r="D83" s="49"/>
      <c r="E83" s="49"/>
      <c r="F83" s="49"/>
      <c r="G83" s="49"/>
      <c r="H83" s="49"/>
      <c r="I83" s="49"/>
      <c r="J83" s="49"/>
      <c r="K83" s="49"/>
      <c r="L83" s="49"/>
      <c r="M83" s="49"/>
      <c r="N83" s="49"/>
      <c r="O83" s="49"/>
      <c r="P83" s="49"/>
      <c r="Q83" s="49"/>
      <c r="R83" s="49"/>
      <c r="S83" s="49"/>
      <c r="T83" s="49"/>
      <c r="U83" s="49"/>
      <c r="V83" s="49"/>
      <c r="W83" s="49"/>
      <c r="X83" s="49"/>
      <c r="Y83" s="49"/>
      <c r="Z83" s="49"/>
      <c r="AA83" s="49"/>
      <c r="AB83" s="49"/>
      <c r="AC83" s="49"/>
      <c r="AD83" s="49"/>
      <c r="AE83" s="49"/>
      <c r="AF83" s="49"/>
      <c r="AG83" s="49"/>
      <c r="AH83" s="49"/>
      <c r="AI83" s="49"/>
      <c r="AJ83" s="49"/>
      <c r="AK83" s="49"/>
      <c r="AL83" s="49"/>
      <c r="AM83" s="49"/>
      <c r="AN83" s="49"/>
      <c r="AO83" s="49"/>
      <c r="AP83" s="49"/>
      <c r="AQ83" s="49"/>
      <c r="AR83" s="49"/>
      <c r="AS83" s="49"/>
      <c r="AT83" s="49"/>
      <c r="AU83" s="49"/>
      <c r="AV83" s="49"/>
      <c r="AW83" s="49"/>
      <c r="AX83" s="49"/>
    </row>
    <row r="84">
      <c r="A84" s="49"/>
      <c r="B84" s="49"/>
      <c r="C84" s="49"/>
      <c r="D84" s="49"/>
      <c r="E84" s="49"/>
      <c r="F84" s="49"/>
      <c r="G84" s="49"/>
      <c r="H84" s="49"/>
      <c r="I84" s="49"/>
      <c r="J84" s="49"/>
      <c r="K84" s="49"/>
      <c r="L84" s="49"/>
      <c r="M84" s="49"/>
      <c r="N84" s="49"/>
      <c r="O84" s="49"/>
      <c r="P84" s="49"/>
      <c r="Q84" s="49"/>
      <c r="R84" s="49"/>
      <c r="S84" s="49"/>
      <c r="T84" s="49"/>
      <c r="U84" s="49"/>
      <c r="V84" s="49"/>
      <c r="W84" s="49"/>
      <c r="X84" s="49"/>
      <c r="Y84" s="49"/>
      <c r="Z84" s="49"/>
      <c r="AA84" s="49"/>
      <c r="AB84" s="49"/>
      <c r="AC84" s="49"/>
      <c r="AD84" s="49"/>
      <c r="AE84" s="49"/>
      <c r="AF84" s="49"/>
      <c r="AG84" s="49"/>
      <c r="AH84" s="49"/>
      <c r="AI84" s="49"/>
      <c r="AJ84" s="49"/>
      <c r="AK84" s="49"/>
      <c r="AL84" s="49"/>
      <c r="AM84" s="49"/>
      <c r="AN84" s="49"/>
      <c r="AO84" s="49"/>
      <c r="AP84" s="49"/>
      <c r="AQ84" s="49"/>
      <c r="AR84" s="49"/>
      <c r="AS84" s="49"/>
      <c r="AT84" s="49"/>
      <c r="AU84" s="49"/>
      <c r="AV84" s="49"/>
      <c r="AW84" s="49"/>
      <c r="AX84" s="49"/>
    </row>
    <row r="85">
      <c r="A85" s="49"/>
      <c r="B85" s="49"/>
      <c r="C85" s="49"/>
      <c r="D85" s="49"/>
      <c r="E85" s="49"/>
      <c r="F85" s="49"/>
      <c r="G85" s="49"/>
      <c r="H85" s="49"/>
      <c r="I85" s="49"/>
      <c r="J85" s="49"/>
      <c r="K85" s="49"/>
      <c r="L85" s="49"/>
      <c r="M85" s="49"/>
      <c r="N85" s="49"/>
      <c r="O85" s="49"/>
      <c r="P85" s="49"/>
      <c r="Q85" s="49"/>
      <c r="R85" s="49"/>
      <c r="S85" s="49"/>
      <c r="T85" s="49"/>
      <c r="U85" s="49"/>
      <c r="V85" s="49"/>
      <c r="W85" s="49"/>
      <c r="X85" s="49"/>
      <c r="Y85" s="49"/>
      <c r="Z85" s="49"/>
      <c r="AA85" s="49"/>
      <c r="AB85" s="49"/>
      <c r="AC85" s="49"/>
      <c r="AD85" s="49"/>
      <c r="AE85" s="49"/>
      <c r="AF85" s="49"/>
      <c r="AG85" s="49"/>
      <c r="AH85" s="49"/>
      <c r="AI85" s="49"/>
      <c r="AJ85" s="49"/>
      <c r="AK85" s="49"/>
      <c r="AL85" s="49"/>
      <c r="AM85" s="49"/>
      <c r="AN85" s="49"/>
      <c r="AO85" s="49"/>
      <c r="AP85" s="49"/>
      <c r="AQ85" s="49"/>
      <c r="AR85" s="49"/>
      <c r="AS85" s="49"/>
      <c r="AT85" s="49"/>
      <c r="AU85" s="49"/>
      <c r="AV85" s="49"/>
      <c r="AW85" s="49"/>
      <c r="AX85" s="49"/>
    </row>
    <row r="86">
      <c r="A86" s="49"/>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c r="AP86" s="49"/>
      <c r="AQ86" s="49"/>
      <c r="AR86" s="49"/>
      <c r="AS86" s="49"/>
      <c r="AT86" s="49"/>
      <c r="AU86" s="49"/>
      <c r="AV86" s="49"/>
      <c r="AW86" s="49"/>
      <c r="AX86" s="49"/>
    </row>
    <row r="87">
      <c r="A87" s="49"/>
      <c r="B87" s="49"/>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c r="AP87" s="49"/>
      <c r="AQ87" s="49"/>
      <c r="AR87" s="49"/>
      <c r="AS87" s="49"/>
      <c r="AT87" s="49"/>
      <c r="AU87" s="49"/>
      <c r="AV87" s="49"/>
      <c r="AW87" s="49"/>
      <c r="AX87" s="49"/>
    </row>
    <row r="88">
      <c r="A88" s="49"/>
      <c r="B88" s="49"/>
      <c r="C88" s="49"/>
      <c r="D88" s="49"/>
      <c r="E88" s="49"/>
      <c r="F88" s="49"/>
      <c r="G88" s="49"/>
      <c r="H88" s="49"/>
      <c r="I88" s="49"/>
      <c r="J88" s="49"/>
      <c r="K88" s="49"/>
      <c r="L88" s="49"/>
      <c r="M88" s="49"/>
      <c r="N88" s="49"/>
      <c r="O88" s="49"/>
      <c r="P88" s="49"/>
      <c r="Q88" s="49"/>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c r="AP88" s="49"/>
      <c r="AQ88" s="49"/>
      <c r="AR88" s="49"/>
      <c r="AS88" s="49"/>
      <c r="AT88" s="49"/>
      <c r="AU88" s="49"/>
      <c r="AV88" s="49"/>
      <c r="AW88" s="49"/>
      <c r="AX88" s="49"/>
    </row>
    <row r="89">
      <c r="A89" s="49"/>
      <c r="B89" s="49"/>
      <c r="C89" s="49"/>
      <c r="D89" s="49"/>
      <c r="E89" s="49"/>
      <c r="F89" s="49"/>
      <c r="G89" s="49"/>
      <c r="H89" s="49"/>
      <c r="I89" s="49"/>
      <c r="J89" s="49"/>
      <c r="K89" s="49"/>
      <c r="L89" s="49"/>
      <c r="M89" s="49"/>
      <c r="N89" s="49"/>
      <c r="O89" s="49"/>
      <c r="P89" s="49"/>
      <c r="Q89" s="49"/>
      <c r="R89" s="49"/>
      <c r="S89" s="49"/>
      <c r="T89" s="49"/>
      <c r="U89" s="49"/>
      <c r="V89" s="49"/>
      <c r="W89" s="49"/>
      <c r="X89" s="49"/>
      <c r="Y89" s="49"/>
      <c r="Z89" s="49"/>
      <c r="AA89" s="49"/>
      <c r="AB89" s="49"/>
      <c r="AC89" s="49"/>
      <c r="AD89" s="49"/>
      <c r="AE89" s="49"/>
      <c r="AF89" s="49"/>
      <c r="AG89" s="49"/>
      <c r="AH89" s="49"/>
      <c r="AI89" s="49"/>
      <c r="AJ89" s="49"/>
      <c r="AK89" s="49"/>
      <c r="AL89" s="49"/>
      <c r="AM89" s="49"/>
      <c r="AN89" s="49"/>
      <c r="AO89" s="49"/>
      <c r="AP89" s="49"/>
      <c r="AQ89" s="49"/>
      <c r="AR89" s="49"/>
      <c r="AS89" s="49"/>
      <c r="AT89" s="49"/>
      <c r="AU89" s="49"/>
      <c r="AV89" s="49"/>
      <c r="AW89" s="49"/>
      <c r="AX89" s="49"/>
    </row>
    <row r="90">
      <c r="A90" s="49"/>
      <c r="B90" s="49"/>
      <c r="C90" s="49"/>
      <c r="D90" s="49"/>
      <c r="E90" s="49"/>
      <c r="F90" s="49"/>
      <c r="G90" s="49"/>
      <c r="H90" s="49"/>
      <c r="I90" s="49"/>
      <c r="J90" s="49"/>
      <c r="K90" s="49"/>
      <c r="L90" s="49"/>
      <c r="M90" s="49"/>
      <c r="N90" s="49"/>
      <c r="O90" s="49"/>
      <c r="P90" s="49"/>
      <c r="Q90" s="49"/>
      <c r="R90" s="49"/>
      <c r="S90" s="49"/>
      <c r="T90" s="49"/>
      <c r="U90" s="49"/>
      <c r="V90" s="49"/>
      <c r="W90" s="49"/>
      <c r="X90" s="49"/>
      <c r="Y90" s="49"/>
      <c r="Z90" s="49"/>
      <c r="AA90" s="49"/>
      <c r="AB90" s="49"/>
      <c r="AC90" s="49"/>
      <c r="AD90" s="49"/>
      <c r="AE90" s="49"/>
      <c r="AF90" s="49"/>
      <c r="AG90" s="49"/>
      <c r="AH90" s="49"/>
      <c r="AI90" s="49"/>
      <c r="AJ90" s="49"/>
      <c r="AK90" s="49"/>
      <c r="AL90" s="49"/>
      <c r="AM90" s="49"/>
      <c r="AN90" s="49"/>
      <c r="AO90" s="49"/>
      <c r="AP90" s="49"/>
      <c r="AQ90" s="49"/>
      <c r="AR90" s="49"/>
      <c r="AS90" s="49"/>
      <c r="AT90" s="49"/>
      <c r="AU90" s="49"/>
      <c r="AV90" s="49"/>
      <c r="AW90" s="49"/>
      <c r="AX90" s="49"/>
    </row>
    <row r="91">
      <c r="A91" s="49"/>
      <c r="B91" s="49"/>
      <c r="C91" s="49"/>
      <c r="D91" s="49"/>
      <c r="E91" s="49"/>
      <c r="F91" s="49"/>
      <c r="G91" s="49"/>
      <c r="H91" s="49"/>
      <c r="I91" s="49"/>
      <c r="J91" s="49"/>
      <c r="K91" s="49"/>
      <c r="L91" s="49"/>
      <c r="M91" s="49"/>
      <c r="N91" s="49"/>
      <c r="O91" s="49"/>
      <c r="P91" s="49"/>
      <c r="Q91" s="49"/>
      <c r="R91" s="49"/>
      <c r="S91" s="49"/>
      <c r="T91" s="49"/>
      <c r="U91" s="49"/>
      <c r="V91" s="49"/>
      <c r="W91" s="49"/>
      <c r="X91" s="49"/>
      <c r="Y91" s="49"/>
      <c r="Z91" s="49"/>
      <c r="AA91" s="49"/>
      <c r="AB91" s="49"/>
      <c r="AC91" s="49"/>
      <c r="AD91" s="49"/>
      <c r="AE91" s="49"/>
      <c r="AF91" s="49"/>
      <c r="AG91" s="49"/>
      <c r="AH91" s="49"/>
      <c r="AI91" s="49"/>
      <c r="AJ91" s="49"/>
      <c r="AK91" s="49"/>
      <c r="AL91" s="49"/>
      <c r="AM91" s="49"/>
      <c r="AN91" s="49"/>
      <c r="AO91" s="49"/>
      <c r="AP91" s="49"/>
      <c r="AQ91" s="49"/>
      <c r="AR91" s="49"/>
      <c r="AS91" s="49"/>
      <c r="AT91" s="49"/>
      <c r="AU91" s="49"/>
      <c r="AV91" s="49"/>
      <c r="AW91" s="49"/>
      <c r="AX91" s="49"/>
    </row>
    <row r="92">
      <c r="A92" s="49"/>
      <c r="B92" s="49"/>
      <c r="C92" s="49"/>
      <c r="D92" s="49"/>
      <c r="E92" s="49"/>
      <c r="F92" s="49"/>
      <c r="G92" s="49"/>
      <c r="H92" s="49"/>
      <c r="I92" s="49"/>
      <c r="J92" s="49"/>
      <c r="K92" s="49"/>
      <c r="L92" s="49"/>
      <c r="M92" s="49"/>
      <c r="N92" s="49"/>
      <c r="O92" s="49"/>
      <c r="P92" s="49"/>
      <c r="Q92" s="49"/>
      <c r="R92" s="49"/>
      <c r="S92" s="49"/>
      <c r="T92" s="49"/>
      <c r="U92" s="49"/>
      <c r="V92" s="49"/>
      <c r="W92" s="49"/>
      <c r="X92" s="49"/>
      <c r="Y92" s="49"/>
      <c r="Z92" s="49"/>
      <c r="AA92" s="49"/>
      <c r="AB92" s="49"/>
      <c r="AC92" s="49"/>
      <c r="AD92" s="49"/>
      <c r="AE92" s="49"/>
      <c r="AF92" s="49"/>
      <c r="AG92" s="49"/>
      <c r="AH92" s="49"/>
      <c r="AI92" s="49"/>
      <c r="AJ92" s="49"/>
      <c r="AK92" s="49"/>
      <c r="AL92" s="49"/>
      <c r="AM92" s="49"/>
      <c r="AN92" s="49"/>
      <c r="AO92" s="49"/>
      <c r="AP92" s="49"/>
      <c r="AQ92" s="49"/>
      <c r="AR92" s="49"/>
      <c r="AS92" s="49"/>
      <c r="AT92" s="49"/>
      <c r="AU92" s="49"/>
      <c r="AV92" s="49"/>
      <c r="AW92" s="49"/>
      <c r="AX92" s="49"/>
    </row>
    <row r="93">
      <c r="A93" s="49"/>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c r="AH93" s="49"/>
      <c r="AI93" s="49"/>
      <c r="AJ93" s="49"/>
      <c r="AK93" s="49"/>
      <c r="AL93" s="49"/>
      <c r="AM93" s="49"/>
      <c r="AN93" s="49"/>
      <c r="AO93" s="49"/>
      <c r="AP93" s="49"/>
      <c r="AQ93" s="49"/>
      <c r="AR93" s="49"/>
      <c r="AS93" s="49"/>
      <c r="AT93" s="49"/>
      <c r="AU93" s="49"/>
      <c r="AV93" s="49"/>
      <c r="AW93" s="49"/>
      <c r="AX93" s="49"/>
    </row>
    <row r="94">
      <c r="A94" s="49"/>
      <c r="B94" s="49"/>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c r="AH94" s="49"/>
      <c r="AI94" s="49"/>
      <c r="AJ94" s="49"/>
      <c r="AK94" s="49"/>
      <c r="AL94" s="49"/>
      <c r="AM94" s="49"/>
      <c r="AN94" s="49"/>
      <c r="AO94" s="49"/>
      <c r="AP94" s="49"/>
      <c r="AQ94" s="49"/>
      <c r="AR94" s="49"/>
      <c r="AS94" s="49"/>
      <c r="AT94" s="49"/>
      <c r="AU94" s="49"/>
      <c r="AV94" s="49"/>
      <c r="AW94" s="49"/>
      <c r="AX94" s="49"/>
    </row>
    <row r="95">
      <c r="A95" s="49"/>
      <c r="B95" s="49"/>
      <c r="C95" s="49"/>
      <c r="D95" s="49"/>
      <c r="E95" s="49"/>
      <c r="F95" s="49"/>
      <c r="G95" s="49"/>
      <c r="H95" s="49"/>
      <c r="I95" s="49"/>
      <c r="J95" s="49"/>
      <c r="K95" s="49"/>
      <c r="L95" s="49"/>
      <c r="M95" s="49"/>
      <c r="N95" s="49"/>
      <c r="O95" s="49"/>
      <c r="P95" s="49"/>
      <c r="Q95" s="49"/>
      <c r="R95" s="49"/>
      <c r="S95" s="49"/>
      <c r="T95" s="49"/>
      <c r="U95" s="49"/>
      <c r="V95" s="49"/>
      <c r="W95" s="49"/>
      <c r="X95" s="49"/>
      <c r="Y95" s="49"/>
      <c r="Z95" s="49"/>
      <c r="AA95" s="49"/>
      <c r="AB95" s="49"/>
      <c r="AC95" s="49"/>
      <c r="AD95" s="49"/>
      <c r="AE95" s="49"/>
      <c r="AF95" s="49"/>
      <c r="AG95" s="49"/>
      <c r="AH95" s="49"/>
      <c r="AI95" s="49"/>
      <c r="AJ95" s="49"/>
      <c r="AK95" s="49"/>
      <c r="AL95" s="49"/>
      <c r="AM95" s="49"/>
      <c r="AN95" s="49"/>
      <c r="AO95" s="49"/>
      <c r="AP95" s="49"/>
      <c r="AQ95" s="49"/>
      <c r="AR95" s="49"/>
      <c r="AS95" s="49"/>
      <c r="AT95" s="49"/>
      <c r="AU95" s="49"/>
      <c r="AV95" s="49"/>
      <c r="AW95" s="49"/>
      <c r="AX95" s="49"/>
    </row>
    <row r="96">
      <c r="A96" s="49"/>
      <c r="B96" s="49"/>
      <c r="C96" s="49"/>
      <c r="D96" s="49"/>
      <c r="E96" s="49"/>
      <c r="F96" s="49"/>
      <c r="G96" s="49"/>
      <c r="H96" s="49"/>
      <c r="I96" s="49"/>
      <c r="J96" s="49"/>
      <c r="K96" s="49"/>
      <c r="L96" s="49"/>
      <c r="M96" s="49"/>
      <c r="N96" s="49"/>
      <c r="O96" s="49"/>
      <c r="P96" s="49"/>
      <c r="Q96" s="49"/>
      <c r="R96" s="49"/>
      <c r="S96" s="49"/>
      <c r="T96" s="49"/>
      <c r="U96" s="49"/>
      <c r="V96" s="49"/>
      <c r="W96" s="49"/>
      <c r="X96" s="49"/>
      <c r="Y96" s="49"/>
      <c r="Z96" s="49"/>
      <c r="AA96" s="49"/>
      <c r="AB96" s="49"/>
      <c r="AC96" s="49"/>
      <c r="AD96" s="49"/>
      <c r="AE96" s="49"/>
      <c r="AF96" s="49"/>
      <c r="AG96" s="49"/>
      <c r="AH96" s="49"/>
      <c r="AI96" s="49"/>
      <c r="AJ96" s="49"/>
      <c r="AK96" s="49"/>
      <c r="AL96" s="49"/>
      <c r="AM96" s="49"/>
      <c r="AN96" s="49"/>
      <c r="AO96" s="49"/>
      <c r="AP96" s="49"/>
      <c r="AQ96" s="49"/>
      <c r="AR96" s="49"/>
      <c r="AS96" s="49"/>
      <c r="AT96" s="49"/>
      <c r="AU96" s="49"/>
      <c r="AV96" s="49"/>
      <c r="AW96" s="49"/>
      <c r="AX96" s="49"/>
    </row>
    <row r="97">
      <c r="A97" s="49"/>
      <c r="B97" s="49"/>
      <c r="C97" s="49"/>
      <c r="D97" s="49"/>
      <c r="E97" s="49"/>
      <c r="F97" s="49"/>
      <c r="G97" s="49"/>
      <c r="H97" s="49"/>
      <c r="I97" s="49"/>
      <c r="J97" s="49"/>
      <c r="K97" s="49"/>
      <c r="L97" s="49"/>
      <c r="M97" s="49"/>
      <c r="N97" s="49"/>
      <c r="O97" s="49"/>
      <c r="P97" s="49"/>
      <c r="Q97" s="49"/>
      <c r="R97" s="49"/>
      <c r="S97" s="49"/>
      <c r="T97" s="49"/>
      <c r="U97" s="49"/>
      <c r="V97" s="49"/>
      <c r="W97" s="49"/>
      <c r="X97" s="49"/>
      <c r="Y97" s="49"/>
      <c r="Z97" s="49"/>
      <c r="AA97" s="49"/>
      <c r="AB97" s="49"/>
      <c r="AC97" s="49"/>
      <c r="AD97" s="49"/>
      <c r="AE97" s="49"/>
      <c r="AF97" s="49"/>
      <c r="AG97" s="49"/>
      <c r="AH97" s="49"/>
      <c r="AI97" s="49"/>
      <c r="AJ97" s="49"/>
      <c r="AK97" s="49"/>
      <c r="AL97" s="49"/>
      <c r="AM97" s="49"/>
      <c r="AN97" s="49"/>
      <c r="AO97" s="49"/>
      <c r="AP97" s="49"/>
      <c r="AQ97" s="49"/>
      <c r="AR97" s="49"/>
      <c r="AS97" s="49"/>
      <c r="AT97" s="49"/>
      <c r="AU97" s="49"/>
      <c r="AV97" s="49"/>
      <c r="AW97" s="49"/>
      <c r="AX97" s="49"/>
    </row>
    <row r="98">
      <c r="A98" s="49"/>
      <c r="B98" s="49"/>
      <c r="C98" s="49"/>
      <c r="D98" s="49"/>
      <c r="E98" s="49"/>
      <c r="F98" s="49"/>
      <c r="G98" s="49"/>
      <c r="H98" s="49"/>
      <c r="I98" s="49"/>
      <c r="J98" s="49"/>
      <c r="K98" s="49"/>
      <c r="L98" s="49"/>
      <c r="M98" s="49"/>
      <c r="N98" s="49"/>
      <c r="O98" s="49"/>
      <c r="P98" s="49"/>
      <c r="Q98" s="49"/>
      <c r="R98" s="49"/>
      <c r="S98" s="49"/>
      <c r="T98" s="49"/>
      <c r="U98" s="49"/>
      <c r="V98" s="49"/>
      <c r="W98" s="49"/>
      <c r="X98" s="49"/>
      <c r="Y98" s="49"/>
      <c r="Z98" s="49"/>
      <c r="AA98" s="49"/>
      <c r="AB98" s="49"/>
      <c r="AC98" s="49"/>
      <c r="AD98" s="49"/>
      <c r="AE98" s="49"/>
      <c r="AF98" s="49"/>
      <c r="AG98" s="49"/>
      <c r="AH98" s="49"/>
      <c r="AI98" s="49"/>
      <c r="AJ98" s="49"/>
      <c r="AK98" s="49"/>
      <c r="AL98" s="49"/>
      <c r="AM98" s="49"/>
      <c r="AN98" s="49"/>
      <c r="AO98" s="49"/>
      <c r="AP98" s="49"/>
      <c r="AQ98" s="49"/>
      <c r="AR98" s="49"/>
      <c r="AS98" s="49"/>
      <c r="AT98" s="49"/>
      <c r="AU98" s="49"/>
      <c r="AV98" s="49"/>
      <c r="AW98" s="49"/>
      <c r="AX98" s="49"/>
    </row>
    <row r="99">
      <c r="A99" s="49"/>
      <c r="B99" s="49"/>
      <c r="C99" s="49"/>
      <c r="D99" s="49"/>
      <c r="E99" s="49"/>
      <c r="F99" s="49"/>
      <c r="G99" s="49"/>
      <c r="H99" s="49"/>
      <c r="I99" s="49"/>
      <c r="J99" s="49"/>
      <c r="K99" s="49"/>
      <c r="L99" s="49"/>
      <c r="M99" s="49"/>
      <c r="N99" s="49"/>
      <c r="O99" s="49"/>
      <c r="P99" s="49"/>
      <c r="Q99" s="49"/>
      <c r="R99" s="49"/>
      <c r="S99" s="49"/>
      <c r="T99" s="49"/>
      <c r="U99" s="49"/>
      <c r="V99" s="49"/>
      <c r="W99" s="49"/>
      <c r="X99" s="49"/>
      <c r="Y99" s="49"/>
      <c r="Z99" s="49"/>
      <c r="AA99" s="49"/>
      <c r="AB99" s="49"/>
      <c r="AC99" s="49"/>
      <c r="AD99" s="49"/>
      <c r="AE99" s="49"/>
      <c r="AF99" s="49"/>
      <c r="AG99" s="49"/>
      <c r="AH99" s="49"/>
      <c r="AI99" s="49"/>
      <c r="AJ99" s="49"/>
      <c r="AK99" s="49"/>
      <c r="AL99" s="49"/>
      <c r="AM99" s="49"/>
      <c r="AN99" s="49"/>
      <c r="AO99" s="49"/>
      <c r="AP99" s="49"/>
      <c r="AQ99" s="49"/>
      <c r="AR99" s="49"/>
      <c r="AS99" s="49"/>
      <c r="AT99" s="49"/>
      <c r="AU99" s="49"/>
      <c r="AV99" s="49"/>
      <c r="AW99" s="49"/>
      <c r="AX99" s="49"/>
    </row>
    <row r="100">
      <c r="A100" s="49"/>
      <c r="B100" s="49"/>
      <c r="C100" s="49"/>
      <c r="D100" s="49"/>
      <c r="E100" s="49"/>
      <c r="F100" s="49"/>
      <c r="G100" s="49"/>
      <c r="H100" s="49"/>
      <c r="I100" s="49"/>
      <c r="J100" s="49"/>
      <c r="K100" s="49"/>
      <c r="L100" s="49"/>
      <c r="M100" s="49"/>
      <c r="N100" s="49"/>
      <c r="O100" s="49"/>
      <c r="P100" s="49"/>
      <c r="Q100" s="49"/>
      <c r="R100" s="49"/>
      <c r="S100" s="49"/>
      <c r="T100" s="49"/>
      <c r="U100" s="49"/>
      <c r="V100" s="49"/>
      <c r="W100" s="49"/>
      <c r="X100" s="49"/>
      <c r="Y100" s="49"/>
      <c r="Z100" s="49"/>
      <c r="AA100" s="49"/>
      <c r="AB100" s="49"/>
      <c r="AC100" s="49"/>
      <c r="AD100" s="49"/>
      <c r="AE100" s="49"/>
      <c r="AF100" s="49"/>
      <c r="AG100" s="49"/>
      <c r="AH100" s="49"/>
      <c r="AI100" s="49"/>
      <c r="AJ100" s="49"/>
      <c r="AK100" s="49"/>
      <c r="AL100" s="49"/>
      <c r="AM100" s="49"/>
      <c r="AN100" s="49"/>
      <c r="AO100" s="49"/>
      <c r="AP100" s="49"/>
      <c r="AQ100" s="49"/>
      <c r="AR100" s="49"/>
      <c r="AS100" s="49"/>
      <c r="AT100" s="49"/>
      <c r="AU100" s="49"/>
      <c r="AV100" s="49"/>
      <c r="AW100" s="49"/>
      <c r="AX100" s="49"/>
    </row>
    <row r="101">
      <c r="A101" s="49"/>
      <c r="B101" s="49"/>
      <c r="C101" s="49"/>
      <c r="D101" s="49"/>
      <c r="E101" s="49"/>
      <c r="F101" s="49"/>
      <c r="G101" s="49"/>
      <c r="H101" s="49"/>
      <c r="I101" s="49"/>
      <c r="J101" s="49"/>
      <c r="K101" s="49"/>
      <c r="L101" s="49"/>
      <c r="M101" s="49"/>
      <c r="N101" s="49"/>
      <c r="O101" s="49"/>
      <c r="P101" s="49"/>
      <c r="Q101" s="49"/>
      <c r="R101" s="49"/>
      <c r="S101" s="49"/>
      <c r="T101" s="49"/>
      <c r="U101" s="49"/>
      <c r="V101" s="49"/>
      <c r="W101" s="49"/>
      <c r="X101" s="49"/>
      <c r="Y101" s="49"/>
      <c r="Z101" s="49"/>
      <c r="AA101" s="49"/>
      <c r="AB101" s="49"/>
      <c r="AC101" s="49"/>
      <c r="AD101" s="49"/>
      <c r="AE101" s="49"/>
      <c r="AF101" s="49"/>
      <c r="AG101" s="49"/>
      <c r="AH101" s="49"/>
      <c r="AI101" s="49"/>
      <c r="AJ101" s="49"/>
      <c r="AK101" s="49"/>
      <c r="AL101" s="49"/>
      <c r="AM101" s="49"/>
      <c r="AN101" s="49"/>
      <c r="AO101" s="49"/>
      <c r="AP101" s="49"/>
      <c r="AQ101" s="49"/>
      <c r="AR101" s="49"/>
      <c r="AS101" s="49"/>
      <c r="AT101" s="49"/>
      <c r="AU101" s="49"/>
      <c r="AV101" s="49"/>
      <c r="AW101" s="49"/>
      <c r="AX101" s="49"/>
    </row>
    <row r="102">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c r="AA102" s="49"/>
      <c r="AB102" s="49"/>
      <c r="AC102" s="49"/>
      <c r="AD102" s="49"/>
      <c r="AE102" s="49"/>
      <c r="AF102" s="49"/>
      <c r="AG102" s="49"/>
      <c r="AH102" s="49"/>
      <c r="AI102" s="49"/>
      <c r="AJ102" s="49"/>
      <c r="AK102" s="49"/>
      <c r="AL102" s="49"/>
      <c r="AM102" s="49"/>
      <c r="AN102" s="49"/>
      <c r="AO102" s="49"/>
      <c r="AP102" s="49"/>
      <c r="AQ102" s="49"/>
      <c r="AR102" s="49"/>
      <c r="AS102" s="49"/>
      <c r="AT102" s="49"/>
      <c r="AU102" s="49"/>
      <c r="AV102" s="49"/>
      <c r="AW102" s="49"/>
      <c r="AX102" s="49"/>
    </row>
    <row r="103">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c r="AH103" s="49"/>
      <c r="AI103" s="49"/>
      <c r="AJ103" s="49"/>
      <c r="AK103" s="49"/>
      <c r="AL103" s="49"/>
      <c r="AM103" s="49"/>
      <c r="AN103" s="49"/>
      <c r="AO103" s="49"/>
      <c r="AP103" s="49"/>
      <c r="AQ103" s="49"/>
      <c r="AR103" s="49"/>
      <c r="AS103" s="49"/>
      <c r="AT103" s="49"/>
      <c r="AU103" s="49"/>
      <c r="AV103" s="49"/>
      <c r="AW103" s="49"/>
      <c r="AX103" s="49"/>
    </row>
    <row r="104">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c r="AH104" s="49"/>
      <c r="AI104" s="49"/>
      <c r="AJ104" s="49"/>
      <c r="AK104" s="49"/>
      <c r="AL104" s="49"/>
      <c r="AM104" s="49"/>
      <c r="AN104" s="49"/>
      <c r="AO104" s="49"/>
      <c r="AP104" s="49"/>
      <c r="AQ104" s="49"/>
      <c r="AR104" s="49"/>
      <c r="AS104" s="49"/>
      <c r="AT104" s="49"/>
      <c r="AU104" s="49"/>
      <c r="AV104" s="49"/>
      <c r="AW104" s="49"/>
      <c r="AX104" s="49"/>
    </row>
    <row r="10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c r="AH105" s="49"/>
      <c r="AI105" s="49"/>
      <c r="AJ105" s="49"/>
      <c r="AK105" s="49"/>
      <c r="AL105" s="49"/>
      <c r="AM105" s="49"/>
      <c r="AN105" s="49"/>
      <c r="AO105" s="49"/>
      <c r="AP105" s="49"/>
      <c r="AQ105" s="49"/>
      <c r="AR105" s="49"/>
      <c r="AS105" s="49"/>
      <c r="AT105" s="49"/>
      <c r="AU105" s="49"/>
      <c r="AV105" s="49"/>
      <c r="AW105" s="49"/>
      <c r="AX105" s="49"/>
    </row>
    <row r="106">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c r="AA106" s="49"/>
      <c r="AB106" s="49"/>
      <c r="AC106" s="49"/>
      <c r="AD106" s="49"/>
      <c r="AE106" s="49"/>
      <c r="AF106" s="49"/>
      <c r="AG106" s="49"/>
      <c r="AH106" s="49"/>
      <c r="AI106" s="49"/>
      <c r="AJ106" s="49"/>
      <c r="AK106" s="49"/>
      <c r="AL106" s="49"/>
      <c r="AM106" s="49"/>
      <c r="AN106" s="49"/>
      <c r="AO106" s="49"/>
      <c r="AP106" s="49"/>
      <c r="AQ106" s="49"/>
      <c r="AR106" s="49"/>
      <c r="AS106" s="49"/>
      <c r="AT106" s="49"/>
      <c r="AU106" s="49"/>
      <c r="AV106" s="49"/>
      <c r="AW106" s="49"/>
      <c r="AX106" s="49"/>
    </row>
    <row r="107">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c r="AA107" s="49"/>
      <c r="AB107" s="49"/>
      <c r="AC107" s="49"/>
      <c r="AD107" s="49"/>
      <c r="AE107" s="49"/>
      <c r="AF107" s="49"/>
      <c r="AG107" s="49"/>
      <c r="AH107" s="49"/>
      <c r="AI107" s="49"/>
      <c r="AJ107" s="49"/>
      <c r="AK107" s="49"/>
      <c r="AL107" s="49"/>
      <c r="AM107" s="49"/>
      <c r="AN107" s="49"/>
      <c r="AO107" s="49"/>
      <c r="AP107" s="49"/>
      <c r="AQ107" s="49"/>
      <c r="AR107" s="49"/>
      <c r="AS107" s="49"/>
      <c r="AT107" s="49"/>
      <c r="AU107" s="49"/>
      <c r="AV107" s="49"/>
      <c r="AW107" s="49"/>
      <c r="AX107" s="49"/>
    </row>
    <row r="108">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c r="AA108" s="49"/>
      <c r="AB108" s="49"/>
      <c r="AC108" s="49"/>
      <c r="AD108" s="49"/>
      <c r="AE108" s="49"/>
      <c r="AF108" s="49"/>
      <c r="AG108" s="49"/>
      <c r="AH108" s="49"/>
      <c r="AI108" s="49"/>
      <c r="AJ108" s="49"/>
      <c r="AK108" s="49"/>
      <c r="AL108" s="49"/>
      <c r="AM108" s="49"/>
      <c r="AN108" s="49"/>
      <c r="AO108" s="49"/>
      <c r="AP108" s="49"/>
      <c r="AQ108" s="49"/>
      <c r="AR108" s="49"/>
      <c r="AS108" s="49"/>
      <c r="AT108" s="49"/>
      <c r="AU108" s="49"/>
      <c r="AV108" s="49"/>
      <c r="AW108" s="49"/>
      <c r="AX108" s="49"/>
    </row>
    <row r="109">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c r="AA109" s="49"/>
      <c r="AB109" s="49"/>
      <c r="AC109" s="49"/>
      <c r="AD109" s="49"/>
      <c r="AE109" s="49"/>
      <c r="AF109" s="49"/>
      <c r="AG109" s="49"/>
      <c r="AH109" s="49"/>
      <c r="AI109" s="49"/>
      <c r="AJ109" s="49"/>
      <c r="AK109" s="49"/>
      <c r="AL109" s="49"/>
      <c r="AM109" s="49"/>
      <c r="AN109" s="49"/>
      <c r="AO109" s="49"/>
      <c r="AP109" s="49"/>
      <c r="AQ109" s="49"/>
      <c r="AR109" s="49"/>
      <c r="AS109" s="49"/>
      <c r="AT109" s="49"/>
      <c r="AU109" s="49"/>
      <c r="AV109" s="49"/>
      <c r="AW109" s="49"/>
      <c r="AX109" s="49"/>
    </row>
    <row r="110">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c r="AA110" s="49"/>
      <c r="AB110" s="49"/>
      <c r="AC110" s="49"/>
      <c r="AD110" s="49"/>
      <c r="AE110" s="49"/>
      <c r="AF110" s="49"/>
      <c r="AG110" s="49"/>
      <c r="AH110" s="49"/>
      <c r="AI110" s="49"/>
      <c r="AJ110" s="49"/>
      <c r="AK110" s="49"/>
      <c r="AL110" s="49"/>
      <c r="AM110" s="49"/>
      <c r="AN110" s="49"/>
      <c r="AO110" s="49"/>
      <c r="AP110" s="49"/>
      <c r="AQ110" s="49"/>
      <c r="AR110" s="49"/>
      <c r="AS110" s="49"/>
      <c r="AT110" s="49"/>
      <c r="AU110" s="49"/>
      <c r="AV110" s="49"/>
      <c r="AW110" s="49"/>
      <c r="AX110" s="49"/>
    </row>
    <row r="111">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c r="AA111" s="49"/>
      <c r="AB111" s="49"/>
      <c r="AC111" s="49"/>
      <c r="AD111" s="49"/>
      <c r="AE111" s="49"/>
      <c r="AF111" s="49"/>
      <c r="AG111" s="49"/>
      <c r="AH111" s="49"/>
      <c r="AI111" s="49"/>
      <c r="AJ111" s="49"/>
      <c r="AK111" s="49"/>
      <c r="AL111" s="49"/>
      <c r="AM111" s="49"/>
      <c r="AN111" s="49"/>
      <c r="AO111" s="49"/>
      <c r="AP111" s="49"/>
      <c r="AQ111" s="49"/>
      <c r="AR111" s="49"/>
      <c r="AS111" s="49"/>
      <c r="AT111" s="49"/>
      <c r="AU111" s="49"/>
      <c r="AV111" s="49"/>
      <c r="AW111" s="49"/>
      <c r="AX111" s="49"/>
    </row>
    <row r="112">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c r="AA112" s="49"/>
      <c r="AB112" s="49"/>
      <c r="AC112" s="49"/>
      <c r="AD112" s="49"/>
      <c r="AE112" s="49"/>
      <c r="AF112" s="49"/>
      <c r="AG112" s="49"/>
      <c r="AH112" s="49"/>
      <c r="AI112" s="49"/>
      <c r="AJ112" s="49"/>
      <c r="AK112" s="49"/>
      <c r="AL112" s="49"/>
      <c r="AM112" s="49"/>
      <c r="AN112" s="49"/>
      <c r="AO112" s="49"/>
      <c r="AP112" s="49"/>
      <c r="AQ112" s="49"/>
      <c r="AR112" s="49"/>
      <c r="AS112" s="49"/>
      <c r="AT112" s="49"/>
      <c r="AU112" s="49"/>
      <c r="AV112" s="49"/>
      <c r="AW112" s="49"/>
      <c r="AX112" s="49"/>
    </row>
    <row r="113">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c r="AA113" s="49"/>
      <c r="AB113" s="49"/>
      <c r="AC113" s="49"/>
      <c r="AD113" s="49"/>
      <c r="AE113" s="49"/>
      <c r="AF113" s="49"/>
      <c r="AG113" s="49"/>
      <c r="AH113" s="49"/>
      <c r="AI113" s="49"/>
      <c r="AJ113" s="49"/>
      <c r="AK113" s="49"/>
      <c r="AL113" s="49"/>
      <c r="AM113" s="49"/>
      <c r="AN113" s="49"/>
      <c r="AO113" s="49"/>
      <c r="AP113" s="49"/>
      <c r="AQ113" s="49"/>
      <c r="AR113" s="49"/>
      <c r="AS113" s="49"/>
      <c r="AT113" s="49"/>
      <c r="AU113" s="49"/>
      <c r="AV113" s="49"/>
      <c r="AW113" s="49"/>
      <c r="AX113" s="49"/>
    </row>
    <row r="114">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c r="AH114" s="49"/>
      <c r="AI114" s="49"/>
      <c r="AJ114" s="49"/>
      <c r="AK114" s="49"/>
      <c r="AL114" s="49"/>
      <c r="AM114" s="49"/>
      <c r="AN114" s="49"/>
      <c r="AO114" s="49"/>
      <c r="AP114" s="49"/>
      <c r="AQ114" s="49"/>
      <c r="AR114" s="49"/>
      <c r="AS114" s="49"/>
      <c r="AT114" s="49"/>
      <c r="AU114" s="49"/>
      <c r="AV114" s="49"/>
      <c r="AW114" s="49"/>
      <c r="AX114" s="49"/>
    </row>
    <row r="11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c r="AH115" s="49"/>
      <c r="AI115" s="49"/>
      <c r="AJ115" s="49"/>
      <c r="AK115" s="49"/>
      <c r="AL115" s="49"/>
      <c r="AM115" s="49"/>
      <c r="AN115" s="49"/>
      <c r="AO115" s="49"/>
      <c r="AP115" s="49"/>
      <c r="AQ115" s="49"/>
      <c r="AR115" s="49"/>
      <c r="AS115" s="49"/>
      <c r="AT115" s="49"/>
      <c r="AU115" s="49"/>
      <c r="AV115" s="49"/>
      <c r="AW115" s="49"/>
      <c r="AX115" s="49"/>
    </row>
    <row r="116">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c r="AA116" s="49"/>
      <c r="AB116" s="49"/>
      <c r="AC116" s="49"/>
      <c r="AD116" s="49"/>
      <c r="AE116" s="49"/>
      <c r="AF116" s="49"/>
      <c r="AG116" s="49"/>
      <c r="AH116" s="49"/>
      <c r="AI116" s="49"/>
      <c r="AJ116" s="49"/>
      <c r="AK116" s="49"/>
      <c r="AL116" s="49"/>
      <c r="AM116" s="49"/>
      <c r="AN116" s="49"/>
      <c r="AO116" s="49"/>
      <c r="AP116" s="49"/>
      <c r="AQ116" s="49"/>
      <c r="AR116" s="49"/>
      <c r="AS116" s="49"/>
      <c r="AT116" s="49"/>
      <c r="AU116" s="49"/>
      <c r="AV116" s="49"/>
      <c r="AW116" s="49"/>
      <c r="AX116" s="49"/>
    </row>
    <row r="117">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c r="AA117" s="49"/>
      <c r="AB117" s="49"/>
      <c r="AC117" s="49"/>
      <c r="AD117" s="49"/>
      <c r="AE117" s="49"/>
      <c r="AF117" s="49"/>
      <c r="AG117" s="49"/>
      <c r="AH117" s="49"/>
      <c r="AI117" s="49"/>
      <c r="AJ117" s="49"/>
      <c r="AK117" s="49"/>
      <c r="AL117" s="49"/>
      <c r="AM117" s="49"/>
      <c r="AN117" s="49"/>
      <c r="AO117" s="49"/>
      <c r="AP117" s="49"/>
      <c r="AQ117" s="49"/>
      <c r="AR117" s="49"/>
      <c r="AS117" s="49"/>
      <c r="AT117" s="49"/>
      <c r="AU117" s="49"/>
      <c r="AV117" s="49"/>
      <c r="AW117" s="49"/>
      <c r="AX117" s="49"/>
    </row>
    <row r="118">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c r="AA118" s="49"/>
      <c r="AB118" s="49"/>
      <c r="AC118" s="49"/>
      <c r="AD118" s="49"/>
      <c r="AE118" s="49"/>
      <c r="AF118" s="49"/>
      <c r="AG118" s="49"/>
      <c r="AH118" s="49"/>
      <c r="AI118" s="49"/>
      <c r="AJ118" s="49"/>
      <c r="AK118" s="49"/>
      <c r="AL118" s="49"/>
      <c r="AM118" s="49"/>
      <c r="AN118" s="49"/>
      <c r="AO118" s="49"/>
      <c r="AP118" s="49"/>
      <c r="AQ118" s="49"/>
      <c r="AR118" s="49"/>
      <c r="AS118" s="49"/>
      <c r="AT118" s="49"/>
      <c r="AU118" s="49"/>
      <c r="AV118" s="49"/>
      <c r="AW118" s="49"/>
      <c r="AX118" s="49"/>
    </row>
    <row r="119">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c r="AA119" s="49"/>
      <c r="AB119" s="49"/>
      <c r="AC119" s="49"/>
      <c r="AD119" s="49"/>
      <c r="AE119" s="49"/>
      <c r="AF119" s="49"/>
      <c r="AG119" s="49"/>
      <c r="AH119" s="49"/>
      <c r="AI119" s="49"/>
      <c r="AJ119" s="49"/>
      <c r="AK119" s="49"/>
      <c r="AL119" s="49"/>
      <c r="AM119" s="49"/>
      <c r="AN119" s="49"/>
      <c r="AO119" s="49"/>
      <c r="AP119" s="49"/>
      <c r="AQ119" s="49"/>
      <c r="AR119" s="49"/>
      <c r="AS119" s="49"/>
      <c r="AT119" s="49"/>
      <c r="AU119" s="49"/>
      <c r="AV119" s="49"/>
      <c r="AW119" s="49"/>
      <c r="AX119" s="49"/>
    </row>
    <row r="120">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c r="AA120" s="49"/>
      <c r="AB120" s="49"/>
      <c r="AC120" s="49"/>
      <c r="AD120" s="49"/>
      <c r="AE120" s="49"/>
      <c r="AF120" s="49"/>
      <c r="AG120" s="49"/>
      <c r="AH120" s="49"/>
      <c r="AI120" s="49"/>
      <c r="AJ120" s="49"/>
      <c r="AK120" s="49"/>
      <c r="AL120" s="49"/>
      <c r="AM120" s="49"/>
      <c r="AN120" s="49"/>
      <c r="AO120" s="49"/>
      <c r="AP120" s="49"/>
      <c r="AQ120" s="49"/>
      <c r="AR120" s="49"/>
      <c r="AS120" s="49"/>
      <c r="AT120" s="49"/>
      <c r="AU120" s="49"/>
      <c r="AV120" s="49"/>
      <c r="AW120" s="49"/>
      <c r="AX120" s="49"/>
    </row>
    <row r="121">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c r="AH121" s="49"/>
      <c r="AI121" s="49"/>
      <c r="AJ121" s="49"/>
      <c r="AK121" s="49"/>
      <c r="AL121" s="49"/>
      <c r="AM121" s="49"/>
      <c r="AN121" s="49"/>
      <c r="AO121" s="49"/>
      <c r="AP121" s="49"/>
      <c r="AQ121" s="49"/>
      <c r="AR121" s="49"/>
      <c r="AS121" s="49"/>
      <c r="AT121" s="49"/>
      <c r="AU121" s="49"/>
      <c r="AV121" s="49"/>
      <c r="AW121" s="49"/>
      <c r="AX121" s="49"/>
    </row>
    <row r="122">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c r="AH122" s="49"/>
      <c r="AI122" s="49"/>
      <c r="AJ122" s="49"/>
      <c r="AK122" s="49"/>
      <c r="AL122" s="49"/>
      <c r="AM122" s="49"/>
      <c r="AN122" s="49"/>
      <c r="AO122" s="49"/>
      <c r="AP122" s="49"/>
      <c r="AQ122" s="49"/>
      <c r="AR122" s="49"/>
      <c r="AS122" s="49"/>
      <c r="AT122" s="49"/>
      <c r="AU122" s="49"/>
      <c r="AV122" s="49"/>
      <c r="AW122" s="49"/>
      <c r="AX122" s="49"/>
    </row>
    <row r="123">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c r="AA123" s="49"/>
      <c r="AB123" s="49"/>
      <c r="AC123" s="49"/>
      <c r="AD123" s="49"/>
      <c r="AE123" s="49"/>
      <c r="AF123" s="49"/>
      <c r="AG123" s="49"/>
      <c r="AH123" s="49"/>
      <c r="AI123" s="49"/>
      <c r="AJ123" s="49"/>
      <c r="AK123" s="49"/>
      <c r="AL123" s="49"/>
      <c r="AM123" s="49"/>
      <c r="AN123" s="49"/>
      <c r="AO123" s="49"/>
      <c r="AP123" s="49"/>
      <c r="AQ123" s="49"/>
      <c r="AR123" s="49"/>
      <c r="AS123" s="49"/>
      <c r="AT123" s="49"/>
      <c r="AU123" s="49"/>
      <c r="AV123" s="49"/>
      <c r="AW123" s="49"/>
      <c r="AX123" s="49"/>
    </row>
    <row r="124">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c r="AA124" s="49"/>
      <c r="AB124" s="49"/>
      <c r="AC124" s="49"/>
      <c r="AD124" s="49"/>
      <c r="AE124" s="49"/>
      <c r="AF124" s="49"/>
      <c r="AG124" s="49"/>
      <c r="AH124" s="49"/>
      <c r="AI124" s="49"/>
      <c r="AJ124" s="49"/>
      <c r="AK124" s="49"/>
      <c r="AL124" s="49"/>
      <c r="AM124" s="49"/>
      <c r="AN124" s="49"/>
      <c r="AO124" s="49"/>
      <c r="AP124" s="49"/>
      <c r="AQ124" s="49"/>
      <c r="AR124" s="49"/>
      <c r="AS124" s="49"/>
      <c r="AT124" s="49"/>
      <c r="AU124" s="49"/>
      <c r="AV124" s="49"/>
      <c r="AW124" s="49"/>
      <c r="AX124" s="49"/>
    </row>
    <row r="1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c r="AA125" s="49"/>
      <c r="AB125" s="49"/>
      <c r="AC125" s="49"/>
      <c r="AD125" s="49"/>
      <c r="AE125" s="49"/>
      <c r="AF125" s="49"/>
      <c r="AG125" s="49"/>
      <c r="AH125" s="49"/>
      <c r="AI125" s="49"/>
      <c r="AJ125" s="49"/>
      <c r="AK125" s="49"/>
      <c r="AL125" s="49"/>
      <c r="AM125" s="49"/>
      <c r="AN125" s="49"/>
      <c r="AO125" s="49"/>
      <c r="AP125" s="49"/>
      <c r="AQ125" s="49"/>
      <c r="AR125" s="49"/>
      <c r="AS125" s="49"/>
      <c r="AT125" s="49"/>
      <c r="AU125" s="49"/>
      <c r="AV125" s="49"/>
      <c r="AW125" s="49"/>
      <c r="AX125" s="49"/>
    </row>
    <row r="126">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c r="AA126" s="49"/>
      <c r="AB126" s="49"/>
      <c r="AC126" s="49"/>
      <c r="AD126" s="49"/>
      <c r="AE126" s="49"/>
      <c r="AF126" s="49"/>
      <c r="AG126" s="49"/>
      <c r="AH126" s="49"/>
      <c r="AI126" s="49"/>
      <c r="AJ126" s="49"/>
      <c r="AK126" s="49"/>
      <c r="AL126" s="49"/>
      <c r="AM126" s="49"/>
      <c r="AN126" s="49"/>
      <c r="AO126" s="49"/>
      <c r="AP126" s="49"/>
      <c r="AQ126" s="49"/>
      <c r="AR126" s="49"/>
      <c r="AS126" s="49"/>
      <c r="AT126" s="49"/>
      <c r="AU126" s="49"/>
      <c r="AV126" s="49"/>
      <c r="AW126" s="49"/>
      <c r="AX126" s="49"/>
    </row>
    <row r="127">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c r="AA127" s="49"/>
      <c r="AB127" s="49"/>
      <c r="AC127" s="49"/>
      <c r="AD127" s="49"/>
      <c r="AE127" s="49"/>
      <c r="AF127" s="49"/>
      <c r="AG127" s="49"/>
      <c r="AH127" s="49"/>
      <c r="AI127" s="49"/>
      <c r="AJ127" s="49"/>
      <c r="AK127" s="49"/>
      <c r="AL127" s="49"/>
      <c r="AM127" s="49"/>
      <c r="AN127" s="49"/>
      <c r="AO127" s="49"/>
      <c r="AP127" s="49"/>
      <c r="AQ127" s="49"/>
      <c r="AR127" s="49"/>
      <c r="AS127" s="49"/>
      <c r="AT127" s="49"/>
      <c r="AU127" s="49"/>
      <c r="AV127" s="49"/>
      <c r="AW127" s="49"/>
      <c r="AX127" s="49"/>
    </row>
    <row r="128">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c r="AA128" s="49"/>
      <c r="AB128" s="49"/>
      <c r="AC128" s="49"/>
      <c r="AD128" s="49"/>
      <c r="AE128" s="49"/>
      <c r="AF128" s="49"/>
      <c r="AG128" s="49"/>
      <c r="AH128" s="49"/>
      <c r="AI128" s="49"/>
      <c r="AJ128" s="49"/>
      <c r="AK128" s="49"/>
      <c r="AL128" s="49"/>
      <c r="AM128" s="49"/>
      <c r="AN128" s="49"/>
      <c r="AO128" s="49"/>
      <c r="AP128" s="49"/>
      <c r="AQ128" s="49"/>
      <c r="AR128" s="49"/>
      <c r="AS128" s="49"/>
      <c r="AT128" s="49"/>
      <c r="AU128" s="49"/>
      <c r="AV128" s="49"/>
      <c r="AW128" s="49"/>
      <c r="AX128" s="49"/>
    </row>
    <row r="129">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c r="AA129" s="49"/>
      <c r="AB129" s="49"/>
      <c r="AC129" s="49"/>
      <c r="AD129" s="49"/>
      <c r="AE129" s="49"/>
      <c r="AF129" s="49"/>
      <c r="AG129" s="49"/>
      <c r="AH129" s="49"/>
      <c r="AI129" s="49"/>
      <c r="AJ129" s="49"/>
      <c r="AK129" s="49"/>
      <c r="AL129" s="49"/>
      <c r="AM129" s="49"/>
      <c r="AN129" s="49"/>
      <c r="AO129" s="49"/>
      <c r="AP129" s="49"/>
      <c r="AQ129" s="49"/>
      <c r="AR129" s="49"/>
      <c r="AS129" s="49"/>
      <c r="AT129" s="49"/>
      <c r="AU129" s="49"/>
      <c r="AV129" s="49"/>
      <c r="AW129" s="49"/>
      <c r="AX129" s="49"/>
    </row>
    <row r="130">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c r="AA130" s="49"/>
      <c r="AB130" s="49"/>
      <c r="AC130" s="49"/>
      <c r="AD130" s="49"/>
      <c r="AE130" s="49"/>
      <c r="AF130" s="49"/>
      <c r="AG130" s="49"/>
      <c r="AH130" s="49"/>
      <c r="AI130" s="49"/>
      <c r="AJ130" s="49"/>
      <c r="AK130" s="49"/>
      <c r="AL130" s="49"/>
      <c r="AM130" s="49"/>
      <c r="AN130" s="49"/>
      <c r="AO130" s="49"/>
      <c r="AP130" s="49"/>
      <c r="AQ130" s="49"/>
      <c r="AR130" s="49"/>
      <c r="AS130" s="49"/>
      <c r="AT130" s="49"/>
      <c r="AU130" s="49"/>
      <c r="AV130" s="49"/>
      <c r="AW130" s="49"/>
      <c r="AX130" s="49"/>
    </row>
    <row r="131">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c r="AA131" s="49"/>
      <c r="AB131" s="49"/>
      <c r="AC131" s="49"/>
      <c r="AD131" s="49"/>
      <c r="AE131" s="49"/>
      <c r="AF131" s="49"/>
      <c r="AG131" s="49"/>
      <c r="AH131" s="49"/>
      <c r="AI131" s="49"/>
      <c r="AJ131" s="49"/>
      <c r="AK131" s="49"/>
      <c r="AL131" s="49"/>
      <c r="AM131" s="49"/>
      <c r="AN131" s="49"/>
      <c r="AO131" s="49"/>
      <c r="AP131" s="49"/>
      <c r="AQ131" s="49"/>
      <c r="AR131" s="49"/>
      <c r="AS131" s="49"/>
      <c r="AT131" s="49"/>
      <c r="AU131" s="49"/>
      <c r="AV131" s="49"/>
      <c r="AW131" s="49"/>
      <c r="AX131" s="49"/>
    </row>
    <row r="132">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c r="AA132" s="49"/>
      <c r="AB132" s="49"/>
      <c r="AC132" s="49"/>
      <c r="AD132" s="49"/>
      <c r="AE132" s="49"/>
      <c r="AF132" s="49"/>
      <c r="AG132" s="49"/>
      <c r="AH132" s="49"/>
      <c r="AI132" s="49"/>
      <c r="AJ132" s="49"/>
      <c r="AK132" s="49"/>
      <c r="AL132" s="49"/>
      <c r="AM132" s="49"/>
      <c r="AN132" s="49"/>
      <c r="AO132" s="49"/>
      <c r="AP132" s="49"/>
      <c r="AQ132" s="49"/>
      <c r="AR132" s="49"/>
      <c r="AS132" s="49"/>
      <c r="AT132" s="49"/>
      <c r="AU132" s="49"/>
      <c r="AV132" s="49"/>
      <c r="AW132" s="49"/>
      <c r="AX132" s="49"/>
    </row>
    <row r="133">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c r="AA133" s="49"/>
      <c r="AB133" s="49"/>
      <c r="AC133" s="49"/>
      <c r="AD133" s="49"/>
      <c r="AE133" s="49"/>
      <c r="AF133" s="49"/>
      <c r="AG133" s="49"/>
      <c r="AH133" s="49"/>
      <c r="AI133" s="49"/>
      <c r="AJ133" s="49"/>
      <c r="AK133" s="49"/>
      <c r="AL133" s="49"/>
      <c r="AM133" s="49"/>
      <c r="AN133" s="49"/>
      <c r="AO133" s="49"/>
      <c r="AP133" s="49"/>
      <c r="AQ133" s="49"/>
      <c r="AR133" s="49"/>
      <c r="AS133" s="49"/>
      <c r="AT133" s="49"/>
      <c r="AU133" s="49"/>
      <c r="AV133" s="49"/>
      <c r="AW133" s="49"/>
      <c r="AX133" s="49"/>
    </row>
    <row r="134">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c r="AH134" s="49"/>
      <c r="AI134" s="49"/>
      <c r="AJ134" s="49"/>
      <c r="AK134" s="49"/>
      <c r="AL134" s="49"/>
      <c r="AM134" s="49"/>
      <c r="AN134" s="49"/>
      <c r="AO134" s="49"/>
      <c r="AP134" s="49"/>
      <c r="AQ134" s="49"/>
      <c r="AR134" s="49"/>
      <c r="AS134" s="49"/>
      <c r="AT134" s="49"/>
      <c r="AU134" s="49"/>
      <c r="AV134" s="49"/>
      <c r="AW134" s="49"/>
      <c r="AX134" s="49"/>
    </row>
    <row r="13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c r="AH135" s="49"/>
      <c r="AI135" s="49"/>
      <c r="AJ135" s="49"/>
      <c r="AK135" s="49"/>
      <c r="AL135" s="49"/>
      <c r="AM135" s="49"/>
      <c r="AN135" s="49"/>
      <c r="AO135" s="49"/>
      <c r="AP135" s="49"/>
      <c r="AQ135" s="49"/>
      <c r="AR135" s="49"/>
      <c r="AS135" s="49"/>
      <c r="AT135" s="49"/>
      <c r="AU135" s="49"/>
      <c r="AV135" s="49"/>
      <c r="AW135" s="49"/>
      <c r="AX135" s="49"/>
    </row>
    <row r="136">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c r="AH136" s="49"/>
      <c r="AI136" s="49"/>
      <c r="AJ136" s="49"/>
      <c r="AK136" s="49"/>
      <c r="AL136" s="49"/>
      <c r="AM136" s="49"/>
      <c r="AN136" s="49"/>
      <c r="AO136" s="49"/>
      <c r="AP136" s="49"/>
      <c r="AQ136" s="49"/>
      <c r="AR136" s="49"/>
      <c r="AS136" s="49"/>
      <c r="AT136" s="49"/>
      <c r="AU136" s="49"/>
      <c r="AV136" s="49"/>
      <c r="AW136" s="49"/>
      <c r="AX136" s="49"/>
    </row>
    <row r="137">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c r="AA137" s="49"/>
      <c r="AB137" s="49"/>
      <c r="AC137" s="49"/>
      <c r="AD137" s="49"/>
      <c r="AE137" s="49"/>
      <c r="AF137" s="49"/>
      <c r="AG137" s="49"/>
      <c r="AH137" s="49"/>
      <c r="AI137" s="49"/>
      <c r="AJ137" s="49"/>
      <c r="AK137" s="49"/>
      <c r="AL137" s="49"/>
      <c r="AM137" s="49"/>
      <c r="AN137" s="49"/>
      <c r="AO137" s="49"/>
      <c r="AP137" s="49"/>
      <c r="AQ137" s="49"/>
      <c r="AR137" s="49"/>
      <c r="AS137" s="49"/>
      <c r="AT137" s="49"/>
      <c r="AU137" s="49"/>
      <c r="AV137" s="49"/>
      <c r="AW137" s="49"/>
      <c r="AX137" s="49"/>
    </row>
    <row r="138">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c r="AA138" s="49"/>
      <c r="AB138" s="49"/>
      <c r="AC138" s="49"/>
      <c r="AD138" s="49"/>
      <c r="AE138" s="49"/>
      <c r="AF138" s="49"/>
      <c r="AG138" s="49"/>
      <c r="AH138" s="49"/>
      <c r="AI138" s="49"/>
      <c r="AJ138" s="49"/>
      <c r="AK138" s="49"/>
      <c r="AL138" s="49"/>
      <c r="AM138" s="49"/>
      <c r="AN138" s="49"/>
      <c r="AO138" s="49"/>
      <c r="AP138" s="49"/>
      <c r="AQ138" s="49"/>
      <c r="AR138" s="49"/>
      <c r="AS138" s="49"/>
      <c r="AT138" s="49"/>
      <c r="AU138" s="49"/>
      <c r="AV138" s="49"/>
      <c r="AW138" s="49"/>
      <c r="AX138" s="49"/>
    </row>
    <row r="139">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c r="AA139" s="49"/>
      <c r="AB139" s="49"/>
      <c r="AC139" s="49"/>
      <c r="AD139" s="49"/>
      <c r="AE139" s="49"/>
      <c r="AF139" s="49"/>
      <c r="AG139" s="49"/>
      <c r="AH139" s="49"/>
      <c r="AI139" s="49"/>
      <c r="AJ139" s="49"/>
      <c r="AK139" s="49"/>
      <c r="AL139" s="49"/>
      <c r="AM139" s="49"/>
      <c r="AN139" s="49"/>
      <c r="AO139" s="49"/>
      <c r="AP139" s="49"/>
      <c r="AQ139" s="49"/>
      <c r="AR139" s="49"/>
      <c r="AS139" s="49"/>
      <c r="AT139" s="49"/>
      <c r="AU139" s="49"/>
      <c r="AV139" s="49"/>
      <c r="AW139" s="49"/>
      <c r="AX139" s="49"/>
    </row>
    <row r="140">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c r="AA140" s="49"/>
      <c r="AB140" s="49"/>
      <c r="AC140" s="49"/>
      <c r="AD140" s="49"/>
      <c r="AE140" s="49"/>
      <c r="AF140" s="49"/>
      <c r="AG140" s="49"/>
      <c r="AH140" s="49"/>
      <c r="AI140" s="49"/>
      <c r="AJ140" s="49"/>
      <c r="AK140" s="49"/>
      <c r="AL140" s="49"/>
      <c r="AM140" s="49"/>
      <c r="AN140" s="49"/>
      <c r="AO140" s="49"/>
      <c r="AP140" s="49"/>
      <c r="AQ140" s="49"/>
      <c r="AR140" s="49"/>
      <c r="AS140" s="49"/>
      <c r="AT140" s="49"/>
      <c r="AU140" s="49"/>
      <c r="AV140" s="49"/>
      <c r="AW140" s="49"/>
      <c r="AX140" s="49"/>
    </row>
    <row r="141">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c r="AA141" s="49"/>
      <c r="AB141" s="49"/>
      <c r="AC141" s="49"/>
      <c r="AD141" s="49"/>
      <c r="AE141" s="49"/>
      <c r="AF141" s="49"/>
      <c r="AG141" s="49"/>
      <c r="AH141" s="49"/>
      <c r="AI141" s="49"/>
      <c r="AJ141" s="49"/>
      <c r="AK141" s="49"/>
      <c r="AL141" s="49"/>
      <c r="AM141" s="49"/>
      <c r="AN141" s="49"/>
      <c r="AO141" s="49"/>
      <c r="AP141" s="49"/>
      <c r="AQ141" s="49"/>
      <c r="AR141" s="49"/>
      <c r="AS141" s="49"/>
      <c r="AT141" s="49"/>
      <c r="AU141" s="49"/>
      <c r="AV141" s="49"/>
      <c r="AW141" s="49"/>
      <c r="AX141" s="49"/>
    </row>
    <row r="142">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c r="AA142" s="49"/>
      <c r="AB142" s="49"/>
      <c r="AC142" s="49"/>
      <c r="AD142" s="49"/>
      <c r="AE142" s="49"/>
      <c r="AF142" s="49"/>
      <c r="AG142" s="49"/>
      <c r="AH142" s="49"/>
      <c r="AI142" s="49"/>
      <c r="AJ142" s="49"/>
      <c r="AK142" s="49"/>
      <c r="AL142" s="49"/>
      <c r="AM142" s="49"/>
      <c r="AN142" s="49"/>
      <c r="AO142" s="49"/>
      <c r="AP142" s="49"/>
      <c r="AQ142" s="49"/>
      <c r="AR142" s="49"/>
      <c r="AS142" s="49"/>
      <c r="AT142" s="49"/>
      <c r="AU142" s="49"/>
      <c r="AV142" s="49"/>
      <c r="AW142" s="49"/>
      <c r="AX142" s="49"/>
    </row>
    <row r="143">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c r="AA143" s="49"/>
      <c r="AB143" s="49"/>
      <c r="AC143" s="49"/>
      <c r="AD143" s="49"/>
      <c r="AE143" s="49"/>
      <c r="AF143" s="49"/>
      <c r="AG143" s="49"/>
      <c r="AH143" s="49"/>
      <c r="AI143" s="49"/>
      <c r="AJ143" s="49"/>
      <c r="AK143" s="49"/>
      <c r="AL143" s="49"/>
      <c r="AM143" s="49"/>
      <c r="AN143" s="49"/>
      <c r="AO143" s="49"/>
      <c r="AP143" s="49"/>
      <c r="AQ143" s="49"/>
      <c r="AR143" s="49"/>
      <c r="AS143" s="49"/>
      <c r="AT143" s="49"/>
      <c r="AU143" s="49"/>
      <c r="AV143" s="49"/>
      <c r="AW143" s="49"/>
      <c r="AX143" s="49"/>
    </row>
    <row r="144">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c r="AH144" s="49"/>
      <c r="AI144" s="49"/>
      <c r="AJ144" s="49"/>
      <c r="AK144" s="49"/>
      <c r="AL144" s="49"/>
      <c r="AM144" s="49"/>
      <c r="AN144" s="49"/>
      <c r="AO144" s="49"/>
      <c r="AP144" s="49"/>
      <c r="AQ144" s="49"/>
      <c r="AR144" s="49"/>
      <c r="AS144" s="49"/>
      <c r="AT144" s="49"/>
      <c r="AU144" s="49"/>
      <c r="AV144" s="49"/>
      <c r="AW144" s="49"/>
      <c r="AX144" s="49"/>
    </row>
    <row r="14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9"/>
      <c r="AI145" s="49"/>
      <c r="AJ145" s="49"/>
      <c r="AK145" s="49"/>
      <c r="AL145" s="49"/>
      <c r="AM145" s="49"/>
      <c r="AN145" s="49"/>
      <c r="AO145" s="49"/>
      <c r="AP145" s="49"/>
      <c r="AQ145" s="49"/>
      <c r="AR145" s="49"/>
      <c r="AS145" s="49"/>
      <c r="AT145" s="49"/>
      <c r="AU145" s="49"/>
      <c r="AV145" s="49"/>
      <c r="AW145" s="49"/>
      <c r="AX145" s="49"/>
    </row>
    <row r="146">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c r="AA146" s="49"/>
      <c r="AB146" s="49"/>
      <c r="AC146" s="49"/>
      <c r="AD146" s="49"/>
      <c r="AE146" s="49"/>
      <c r="AF146" s="49"/>
      <c r="AG146" s="49"/>
      <c r="AH146" s="49"/>
      <c r="AI146" s="49"/>
      <c r="AJ146" s="49"/>
      <c r="AK146" s="49"/>
      <c r="AL146" s="49"/>
      <c r="AM146" s="49"/>
      <c r="AN146" s="49"/>
      <c r="AO146" s="49"/>
      <c r="AP146" s="49"/>
      <c r="AQ146" s="49"/>
      <c r="AR146" s="49"/>
      <c r="AS146" s="49"/>
      <c r="AT146" s="49"/>
      <c r="AU146" s="49"/>
      <c r="AV146" s="49"/>
      <c r="AW146" s="49"/>
      <c r="AX146" s="49"/>
    </row>
    <row r="147">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9"/>
      <c r="AI147" s="49"/>
      <c r="AJ147" s="49"/>
      <c r="AK147" s="49"/>
      <c r="AL147" s="49"/>
      <c r="AM147" s="49"/>
      <c r="AN147" s="49"/>
      <c r="AO147" s="49"/>
      <c r="AP147" s="49"/>
      <c r="AQ147" s="49"/>
      <c r="AR147" s="49"/>
      <c r="AS147" s="49"/>
      <c r="AT147" s="49"/>
      <c r="AU147" s="49"/>
      <c r="AV147" s="49"/>
      <c r="AW147" s="49"/>
      <c r="AX147" s="49"/>
    </row>
    <row r="148">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9"/>
      <c r="AI148" s="49"/>
      <c r="AJ148" s="49"/>
      <c r="AK148" s="49"/>
      <c r="AL148" s="49"/>
      <c r="AM148" s="49"/>
      <c r="AN148" s="49"/>
      <c r="AO148" s="49"/>
      <c r="AP148" s="49"/>
      <c r="AQ148" s="49"/>
      <c r="AR148" s="49"/>
      <c r="AS148" s="49"/>
      <c r="AT148" s="49"/>
      <c r="AU148" s="49"/>
      <c r="AV148" s="49"/>
      <c r="AW148" s="49"/>
      <c r="AX148" s="49"/>
    </row>
    <row r="149">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9"/>
      <c r="AI149" s="49"/>
      <c r="AJ149" s="49"/>
      <c r="AK149" s="49"/>
      <c r="AL149" s="49"/>
      <c r="AM149" s="49"/>
      <c r="AN149" s="49"/>
      <c r="AO149" s="49"/>
      <c r="AP149" s="49"/>
      <c r="AQ149" s="49"/>
      <c r="AR149" s="49"/>
      <c r="AS149" s="49"/>
      <c r="AT149" s="49"/>
      <c r="AU149" s="49"/>
      <c r="AV149" s="49"/>
      <c r="AW149" s="49"/>
      <c r="AX149" s="49"/>
    </row>
    <row r="150">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9"/>
      <c r="AI150" s="49"/>
      <c r="AJ150" s="49"/>
      <c r="AK150" s="49"/>
      <c r="AL150" s="49"/>
      <c r="AM150" s="49"/>
      <c r="AN150" s="49"/>
      <c r="AO150" s="49"/>
      <c r="AP150" s="49"/>
      <c r="AQ150" s="49"/>
      <c r="AR150" s="49"/>
      <c r="AS150" s="49"/>
      <c r="AT150" s="49"/>
      <c r="AU150" s="49"/>
      <c r="AV150" s="49"/>
      <c r="AW150" s="49"/>
      <c r="AX150" s="49"/>
    </row>
    <row r="151">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9"/>
      <c r="AI151" s="49"/>
      <c r="AJ151" s="49"/>
      <c r="AK151" s="49"/>
      <c r="AL151" s="49"/>
      <c r="AM151" s="49"/>
      <c r="AN151" s="49"/>
      <c r="AO151" s="49"/>
      <c r="AP151" s="49"/>
      <c r="AQ151" s="49"/>
      <c r="AR151" s="49"/>
      <c r="AS151" s="49"/>
      <c r="AT151" s="49"/>
      <c r="AU151" s="49"/>
      <c r="AV151" s="49"/>
      <c r="AW151" s="49"/>
      <c r="AX151" s="49"/>
    </row>
    <row r="152">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9"/>
      <c r="AI152" s="49"/>
      <c r="AJ152" s="49"/>
      <c r="AK152" s="49"/>
      <c r="AL152" s="49"/>
      <c r="AM152" s="49"/>
      <c r="AN152" s="49"/>
      <c r="AO152" s="49"/>
      <c r="AP152" s="49"/>
      <c r="AQ152" s="49"/>
      <c r="AR152" s="49"/>
      <c r="AS152" s="49"/>
      <c r="AT152" s="49"/>
      <c r="AU152" s="49"/>
      <c r="AV152" s="49"/>
      <c r="AW152" s="49"/>
      <c r="AX152" s="49"/>
    </row>
    <row r="153">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9"/>
      <c r="AI153" s="49"/>
      <c r="AJ153" s="49"/>
      <c r="AK153" s="49"/>
      <c r="AL153" s="49"/>
      <c r="AM153" s="49"/>
      <c r="AN153" s="49"/>
      <c r="AO153" s="49"/>
      <c r="AP153" s="49"/>
      <c r="AQ153" s="49"/>
      <c r="AR153" s="49"/>
      <c r="AS153" s="49"/>
      <c r="AT153" s="49"/>
      <c r="AU153" s="49"/>
      <c r="AV153" s="49"/>
      <c r="AW153" s="49"/>
      <c r="AX153" s="49"/>
    </row>
    <row r="154">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9"/>
      <c r="AI154" s="49"/>
      <c r="AJ154" s="49"/>
      <c r="AK154" s="49"/>
      <c r="AL154" s="49"/>
      <c r="AM154" s="49"/>
      <c r="AN154" s="49"/>
      <c r="AO154" s="49"/>
      <c r="AP154" s="49"/>
      <c r="AQ154" s="49"/>
      <c r="AR154" s="49"/>
      <c r="AS154" s="49"/>
      <c r="AT154" s="49"/>
      <c r="AU154" s="49"/>
      <c r="AV154" s="49"/>
      <c r="AW154" s="49"/>
      <c r="AX154" s="49"/>
    </row>
    <row r="15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9"/>
      <c r="AI155" s="49"/>
      <c r="AJ155" s="49"/>
      <c r="AK155" s="49"/>
      <c r="AL155" s="49"/>
      <c r="AM155" s="49"/>
      <c r="AN155" s="49"/>
      <c r="AO155" s="49"/>
      <c r="AP155" s="49"/>
      <c r="AQ155" s="49"/>
      <c r="AR155" s="49"/>
      <c r="AS155" s="49"/>
      <c r="AT155" s="49"/>
      <c r="AU155" s="49"/>
      <c r="AV155" s="49"/>
      <c r="AW155" s="49"/>
      <c r="AX155" s="49"/>
    </row>
    <row r="156">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9"/>
      <c r="AI156" s="49"/>
      <c r="AJ156" s="49"/>
      <c r="AK156" s="49"/>
      <c r="AL156" s="49"/>
      <c r="AM156" s="49"/>
      <c r="AN156" s="49"/>
      <c r="AO156" s="49"/>
      <c r="AP156" s="49"/>
      <c r="AQ156" s="49"/>
      <c r="AR156" s="49"/>
      <c r="AS156" s="49"/>
      <c r="AT156" s="49"/>
      <c r="AU156" s="49"/>
      <c r="AV156" s="49"/>
      <c r="AW156" s="49"/>
      <c r="AX156" s="49"/>
    </row>
    <row r="157">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9"/>
      <c r="AI157" s="49"/>
      <c r="AJ157" s="49"/>
      <c r="AK157" s="49"/>
      <c r="AL157" s="49"/>
      <c r="AM157" s="49"/>
      <c r="AN157" s="49"/>
      <c r="AO157" s="49"/>
      <c r="AP157" s="49"/>
      <c r="AQ157" s="49"/>
      <c r="AR157" s="49"/>
      <c r="AS157" s="49"/>
      <c r="AT157" s="49"/>
      <c r="AU157" s="49"/>
      <c r="AV157" s="49"/>
      <c r="AW157" s="49"/>
      <c r="AX157" s="49"/>
    </row>
    <row r="158">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9"/>
      <c r="AI158" s="49"/>
      <c r="AJ158" s="49"/>
      <c r="AK158" s="49"/>
      <c r="AL158" s="49"/>
      <c r="AM158" s="49"/>
      <c r="AN158" s="49"/>
      <c r="AO158" s="49"/>
      <c r="AP158" s="49"/>
      <c r="AQ158" s="49"/>
      <c r="AR158" s="49"/>
      <c r="AS158" s="49"/>
      <c r="AT158" s="49"/>
      <c r="AU158" s="49"/>
      <c r="AV158" s="49"/>
      <c r="AW158" s="49"/>
      <c r="AX158" s="49"/>
    </row>
    <row r="159">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9"/>
      <c r="AI159" s="49"/>
      <c r="AJ159" s="49"/>
      <c r="AK159" s="49"/>
      <c r="AL159" s="49"/>
      <c r="AM159" s="49"/>
      <c r="AN159" s="49"/>
      <c r="AO159" s="49"/>
      <c r="AP159" s="49"/>
      <c r="AQ159" s="49"/>
      <c r="AR159" s="49"/>
      <c r="AS159" s="49"/>
      <c r="AT159" s="49"/>
      <c r="AU159" s="49"/>
      <c r="AV159" s="49"/>
      <c r="AW159" s="49"/>
      <c r="AX159" s="49"/>
    </row>
    <row r="160">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9"/>
      <c r="AI160" s="49"/>
      <c r="AJ160" s="49"/>
      <c r="AK160" s="49"/>
      <c r="AL160" s="49"/>
      <c r="AM160" s="49"/>
      <c r="AN160" s="49"/>
      <c r="AO160" s="49"/>
      <c r="AP160" s="49"/>
      <c r="AQ160" s="49"/>
      <c r="AR160" s="49"/>
      <c r="AS160" s="49"/>
      <c r="AT160" s="49"/>
      <c r="AU160" s="49"/>
      <c r="AV160" s="49"/>
      <c r="AW160" s="49"/>
      <c r="AX160" s="49"/>
    </row>
    <row r="161">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c r="AH161" s="49"/>
      <c r="AI161" s="49"/>
      <c r="AJ161" s="49"/>
      <c r="AK161" s="49"/>
      <c r="AL161" s="49"/>
      <c r="AM161" s="49"/>
      <c r="AN161" s="49"/>
      <c r="AO161" s="49"/>
      <c r="AP161" s="49"/>
      <c r="AQ161" s="49"/>
      <c r="AR161" s="49"/>
      <c r="AS161" s="49"/>
      <c r="AT161" s="49"/>
      <c r="AU161" s="49"/>
      <c r="AV161" s="49"/>
      <c r="AW161" s="49"/>
      <c r="AX161" s="49"/>
    </row>
    <row r="162">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c r="AH162" s="49"/>
      <c r="AI162" s="49"/>
      <c r="AJ162" s="49"/>
      <c r="AK162" s="49"/>
      <c r="AL162" s="49"/>
      <c r="AM162" s="49"/>
      <c r="AN162" s="49"/>
      <c r="AO162" s="49"/>
      <c r="AP162" s="49"/>
      <c r="AQ162" s="49"/>
      <c r="AR162" s="49"/>
      <c r="AS162" s="49"/>
      <c r="AT162" s="49"/>
      <c r="AU162" s="49"/>
      <c r="AV162" s="49"/>
      <c r="AW162" s="49"/>
      <c r="AX162" s="49"/>
    </row>
    <row r="163">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c r="AH163" s="49"/>
      <c r="AI163" s="49"/>
      <c r="AJ163" s="49"/>
      <c r="AK163" s="49"/>
      <c r="AL163" s="49"/>
      <c r="AM163" s="49"/>
      <c r="AN163" s="49"/>
      <c r="AO163" s="49"/>
      <c r="AP163" s="49"/>
      <c r="AQ163" s="49"/>
      <c r="AR163" s="49"/>
      <c r="AS163" s="49"/>
      <c r="AT163" s="49"/>
      <c r="AU163" s="49"/>
      <c r="AV163" s="49"/>
      <c r="AW163" s="49"/>
      <c r="AX163" s="49"/>
    </row>
    <row r="164">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c r="AH164" s="49"/>
      <c r="AI164" s="49"/>
      <c r="AJ164" s="49"/>
      <c r="AK164" s="49"/>
      <c r="AL164" s="49"/>
      <c r="AM164" s="49"/>
      <c r="AN164" s="49"/>
      <c r="AO164" s="49"/>
      <c r="AP164" s="49"/>
      <c r="AQ164" s="49"/>
      <c r="AR164" s="49"/>
      <c r="AS164" s="49"/>
      <c r="AT164" s="49"/>
      <c r="AU164" s="49"/>
      <c r="AV164" s="49"/>
      <c r="AW164" s="49"/>
      <c r="AX164" s="49"/>
    </row>
    <row r="16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c r="AH165" s="49"/>
      <c r="AI165" s="49"/>
      <c r="AJ165" s="49"/>
      <c r="AK165" s="49"/>
      <c r="AL165" s="49"/>
      <c r="AM165" s="49"/>
      <c r="AN165" s="49"/>
      <c r="AO165" s="49"/>
      <c r="AP165" s="49"/>
      <c r="AQ165" s="49"/>
      <c r="AR165" s="49"/>
      <c r="AS165" s="49"/>
      <c r="AT165" s="49"/>
      <c r="AU165" s="49"/>
      <c r="AV165" s="49"/>
      <c r="AW165" s="49"/>
      <c r="AX165" s="49"/>
    </row>
    <row r="166">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c r="AH166" s="49"/>
      <c r="AI166" s="49"/>
      <c r="AJ166" s="49"/>
      <c r="AK166" s="49"/>
      <c r="AL166" s="49"/>
      <c r="AM166" s="49"/>
      <c r="AN166" s="49"/>
      <c r="AO166" s="49"/>
      <c r="AP166" s="49"/>
      <c r="AQ166" s="49"/>
      <c r="AR166" s="49"/>
      <c r="AS166" s="49"/>
      <c r="AT166" s="49"/>
      <c r="AU166" s="49"/>
      <c r="AV166" s="49"/>
      <c r="AW166" s="49"/>
      <c r="AX166" s="49"/>
    </row>
    <row r="167">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c r="AH167" s="49"/>
      <c r="AI167" s="49"/>
      <c r="AJ167" s="49"/>
      <c r="AK167" s="49"/>
      <c r="AL167" s="49"/>
      <c r="AM167" s="49"/>
      <c r="AN167" s="49"/>
      <c r="AO167" s="49"/>
      <c r="AP167" s="49"/>
      <c r="AQ167" s="49"/>
      <c r="AR167" s="49"/>
      <c r="AS167" s="49"/>
      <c r="AT167" s="49"/>
      <c r="AU167" s="49"/>
      <c r="AV167" s="49"/>
      <c r="AW167" s="49"/>
      <c r="AX167" s="49"/>
    </row>
    <row r="168">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c r="AH168" s="49"/>
      <c r="AI168" s="49"/>
      <c r="AJ168" s="49"/>
      <c r="AK168" s="49"/>
      <c r="AL168" s="49"/>
      <c r="AM168" s="49"/>
      <c r="AN168" s="49"/>
      <c r="AO168" s="49"/>
      <c r="AP168" s="49"/>
      <c r="AQ168" s="49"/>
      <c r="AR168" s="49"/>
      <c r="AS168" s="49"/>
      <c r="AT168" s="49"/>
      <c r="AU168" s="49"/>
      <c r="AV168" s="49"/>
      <c r="AW168" s="49"/>
      <c r="AX168" s="49"/>
    </row>
    <row r="169">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c r="AH169" s="49"/>
      <c r="AI169" s="49"/>
      <c r="AJ169" s="49"/>
      <c r="AK169" s="49"/>
      <c r="AL169" s="49"/>
      <c r="AM169" s="49"/>
      <c r="AN169" s="49"/>
      <c r="AO169" s="49"/>
      <c r="AP169" s="49"/>
      <c r="AQ169" s="49"/>
      <c r="AR169" s="49"/>
      <c r="AS169" s="49"/>
      <c r="AT169" s="49"/>
      <c r="AU169" s="49"/>
      <c r="AV169" s="49"/>
      <c r="AW169" s="49"/>
      <c r="AX169" s="49"/>
    </row>
    <row r="170">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c r="AH170" s="49"/>
      <c r="AI170" s="49"/>
      <c r="AJ170" s="49"/>
      <c r="AK170" s="49"/>
      <c r="AL170" s="49"/>
      <c r="AM170" s="49"/>
      <c r="AN170" s="49"/>
      <c r="AO170" s="49"/>
      <c r="AP170" s="49"/>
      <c r="AQ170" s="49"/>
      <c r="AR170" s="49"/>
      <c r="AS170" s="49"/>
      <c r="AT170" s="49"/>
      <c r="AU170" s="49"/>
      <c r="AV170" s="49"/>
      <c r="AW170" s="49"/>
      <c r="AX170" s="49"/>
    </row>
    <row r="171">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c r="AH171" s="49"/>
      <c r="AI171" s="49"/>
      <c r="AJ171" s="49"/>
      <c r="AK171" s="49"/>
      <c r="AL171" s="49"/>
      <c r="AM171" s="49"/>
      <c r="AN171" s="49"/>
      <c r="AO171" s="49"/>
      <c r="AP171" s="49"/>
      <c r="AQ171" s="49"/>
      <c r="AR171" s="49"/>
      <c r="AS171" s="49"/>
      <c r="AT171" s="49"/>
      <c r="AU171" s="49"/>
      <c r="AV171" s="49"/>
      <c r="AW171" s="49"/>
      <c r="AX171" s="49"/>
    </row>
    <row r="172">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c r="AH172" s="49"/>
      <c r="AI172" s="49"/>
      <c r="AJ172" s="49"/>
      <c r="AK172" s="49"/>
      <c r="AL172" s="49"/>
      <c r="AM172" s="49"/>
      <c r="AN172" s="49"/>
      <c r="AO172" s="49"/>
      <c r="AP172" s="49"/>
      <c r="AQ172" s="49"/>
      <c r="AR172" s="49"/>
      <c r="AS172" s="49"/>
      <c r="AT172" s="49"/>
      <c r="AU172" s="49"/>
      <c r="AV172" s="49"/>
      <c r="AW172" s="49"/>
      <c r="AX172" s="49"/>
    </row>
    <row r="173">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c r="AH173" s="49"/>
      <c r="AI173" s="49"/>
      <c r="AJ173" s="49"/>
      <c r="AK173" s="49"/>
      <c r="AL173" s="49"/>
      <c r="AM173" s="49"/>
      <c r="AN173" s="49"/>
      <c r="AO173" s="49"/>
      <c r="AP173" s="49"/>
      <c r="AQ173" s="49"/>
      <c r="AR173" s="49"/>
      <c r="AS173" s="49"/>
      <c r="AT173" s="49"/>
      <c r="AU173" s="49"/>
      <c r="AV173" s="49"/>
      <c r="AW173" s="49"/>
      <c r="AX173" s="49"/>
    </row>
    <row r="174">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c r="AH174" s="49"/>
      <c r="AI174" s="49"/>
      <c r="AJ174" s="49"/>
      <c r="AK174" s="49"/>
      <c r="AL174" s="49"/>
      <c r="AM174" s="49"/>
      <c r="AN174" s="49"/>
      <c r="AO174" s="49"/>
      <c r="AP174" s="49"/>
      <c r="AQ174" s="49"/>
      <c r="AR174" s="49"/>
      <c r="AS174" s="49"/>
      <c r="AT174" s="49"/>
      <c r="AU174" s="49"/>
      <c r="AV174" s="49"/>
      <c r="AW174" s="49"/>
      <c r="AX174" s="49"/>
    </row>
    <row r="17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c r="AH175" s="49"/>
      <c r="AI175" s="49"/>
      <c r="AJ175" s="49"/>
      <c r="AK175" s="49"/>
      <c r="AL175" s="49"/>
      <c r="AM175" s="49"/>
      <c r="AN175" s="49"/>
      <c r="AO175" s="49"/>
      <c r="AP175" s="49"/>
      <c r="AQ175" s="49"/>
      <c r="AR175" s="49"/>
      <c r="AS175" s="49"/>
      <c r="AT175" s="49"/>
      <c r="AU175" s="49"/>
      <c r="AV175" s="49"/>
      <c r="AW175" s="49"/>
      <c r="AX175" s="49"/>
    </row>
    <row r="176">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c r="AH176" s="49"/>
      <c r="AI176" s="49"/>
      <c r="AJ176" s="49"/>
      <c r="AK176" s="49"/>
      <c r="AL176" s="49"/>
      <c r="AM176" s="49"/>
      <c r="AN176" s="49"/>
      <c r="AO176" s="49"/>
      <c r="AP176" s="49"/>
      <c r="AQ176" s="49"/>
      <c r="AR176" s="49"/>
      <c r="AS176" s="49"/>
      <c r="AT176" s="49"/>
      <c r="AU176" s="49"/>
      <c r="AV176" s="49"/>
      <c r="AW176" s="49"/>
      <c r="AX176" s="49"/>
    </row>
    <row r="177">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c r="AH177" s="49"/>
      <c r="AI177" s="49"/>
      <c r="AJ177" s="49"/>
      <c r="AK177" s="49"/>
      <c r="AL177" s="49"/>
      <c r="AM177" s="49"/>
      <c r="AN177" s="49"/>
      <c r="AO177" s="49"/>
      <c r="AP177" s="49"/>
      <c r="AQ177" s="49"/>
      <c r="AR177" s="49"/>
      <c r="AS177" s="49"/>
      <c r="AT177" s="49"/>
      <c r="AU177" s="49"/>
      <c r="AV177" s="49"/>
      <c r="AW177" s="49"/>
      <c r="AX177" s="49"/>
    </row>
    <row r="178">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c r="AH178" s="49"/>
      <c r="AI178" s="49"/>
      <c r="AJ178" s="49"/>
      <c r="AK178" s="49"/>
      <c r="AL178" s="49"/>
      <c r="AM178" s="49"/>
      <c r="AN178" s="49"/>
      <c r="AO178" s="49"/>
      <c r="AP178" s="49"/>
      <c r="AQ178" s="49"/>
      <c r="AR178" s="49"/>
      <c r="AS178" s="49"/>
      <c r="AT178" s="49"/>
      <c r="AU178" s="49"/>
      <c r="AV178" s="49"/>
      <c r="AW178" s="49"/>
      <c r="AX178" s="49"/>
    </row>
    <row r="179">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c r="AH179" s="49"/>
      <c r="AI179" s="49"/>
      <c r="AJ179" s="49"/>
      <c r="AK179" s="49"/>
      <c r="AL179" s="49"/>
      <c r="AM179" s="49"/>
      <c r="AN179" s="49"/>
      <c r="AO179" s="49"/>
      <c r="AP179" s="49"/>
      <c r="AQ179" s="49"/>
      <c r="AR179" s="49"/>
      <c r="AS179" s="49"/>
      <c r="AT179" s="49"/>
      <c r="AU179" s="49"/>
      <c r="AV179" s="49"/>
      <c r="AW179" s="49"/>
      <c r="AX179" s="49"/>
    </row>
    <row r="180">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c r="AH180" s="49"/>
      <c r="AI180" s="49"/>
      <c r="AJ180" s="49"/>
      <c r="AK180" s="49"/>
      <c r="AL180" s="49"/>
      <c r="AM180" s="49"/>
      <c r="AN180" s="49"/>
      <c r="AO180" s="49"/>
      <c r="AP180" s="49"/>
      <c r="AQ180" s="49"/>
      <c r="AR180" s="49"/>
      <c r="AS180" s="49"/>
      <c r="AT180" s="49"/>
      <c r="AU180" s="49"/>
      <c r="AV180" s="49"/>
      <c r="AW180" s="49"/>
      <c r="AX180" s="49"/>
    </row>
    <row r="181">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c r="AH181" s="49"/>
      <c r="AI181" s="49"/>
      <c r="AJ181" s="49"/>
      <c r="AK181" s="49"/>
      <c r="AL181" s="49"/>
      <c r="AM181" s="49"/>
      <c r="AN181" s="49"/>
      <c r="AO181" s="49"/>
      <c r="AP181" s="49"/>
      <c r="AQ181" s="49"/>
      <c r="AR181" s="49"/>
      <c r="AS181" s="49"/>
      <c r="AT181" s="49"/>
      <c r="AU181" s="49"/>
      <c r="AV181" s="49"/>
      <c r="AW181" s="49"/>
      <c r="AX181" s="49"/>
    </row>
    <row r="182">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c r="AH182" s="49"/>
      <c r="AI182" s="49"/>
      <c r="AJ182" s="49"/>
      <c r="AK182" s="49"/>
      <c r="AL182" s="49"/>
      <c r="AM182" s="49"/>
      <c r="AN182" s="49"/>
      <c r="AO182" s="49"/>
      <c r="AP182" s="49"/>
      <c r="AQ182" s="49"/>
      <c r="AR182" s="49"/>
      <c r="AS182" s="49"/>
      <c r="AT182" s="49"/>
      <c r="AU182" s="49"/>
      <c r="AV182" s="49"/>
      <c r="AW182" s="49"/>
      <c r="AX182" s="49"/>
    </row>
    <row r="183">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c r="AH183" s="49"/>
      <c r="AI183" s="49"/>
      <c r="AJ183" s="49"/>
      <c r="AK183" s="49"/>
      <c r="AL183" s="49"/>
      <c r="AM183" s="49"/>
      <c r="AN183" s="49"/>
      <c r="AO183" s="49"/>
      <c r="AP183" s="49"/>
      <c r="AQ183" s="49"/>
      <c r="AR183" s="49"/>
      <c r="AS183" s="49"/>
      <c r="AT183" s="49"/>
      <c r="AU183" s="49"/>
      <c r="AV183" s="49"/>
      <c r="AW183" s="49"/>
      <c r="AX183" s="49"/>
    </row>
    <row r="184">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c r="AH184" s="49"/>
      <c r="AI184" s="49"/>
      <c r="AJ184" s="49"/>
      <c r="AK184" s="49"/>
      <c r="AL184" s="49"/>
      <c r="AM184" s="49"/>
      <c r="AN184" s="49"/>
      <c r="AO184" s="49"/>
      <c r="AP184" s="49"/>
      <c r="AQ184" s="49"/>
      <c r="AR184" s="49"/>
      <c r="AS184" s="49"/>
      <c r="AT184" s="49"/>
      <c r="AU184" s="49"/>
      <c r="AV184" s="49"/>
      <c r="AW184" s="49"/>
      <c r="AX184" s="49"/>
    </row>
    <row r="18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c r="AH185" s="49"/>
      <c r="AI185" s="49"/>
      <c r="AJ185" s="49"/>
      <c r="AK185" s="49"/>
      <c r="AL185" s="49"/>
      <c r="AM185" s="49"/>
      <c r="AN185" s="49"/>
      <c r="AO185" s="49"/>
      <c r="AP185" s="49"/>
      <c r="AQ185" s="49"/>
      <c r="AR185" s="49"/>
      <c r="AS185" s="49"/>
      <c r="AT185" s="49"/>
      <c r="AU185" s="49"/>
      <c r="AV185" s="49"/>
      <c r="AW185" s="49"/>
      <c r="AX185" s="49"/>
    </row>
    <row r="186">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c r="AH186" s="49"/>
      <c r="AI186" s="49"/>
      <c r="AJ186" s="49"/>
      <c r="AK186" s="49"/>
      <c r="AL186" s="49"/>
      <c r="AM186" s="49"/>
      <c r="AN186" s="49"/>
      <c r="AO186" s="49"/>
      <c r="AP186" s="49"/>
      <c r="AQ186" s="49"/>
      <c r="AR186" s="49"/>
      <c r="AS186" s="49"/>
      <c r="AT186" s="49"/>
      <c r="AU186" s="49"/>
      <c r="AV186" s="49"/>
      <c r="AW186" s="49"/>
      <c r="AX186" s="49"/>
    </row>
    <row r="187">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c r="AH187" s="49"/>
      <c r="AI187" s="49"/>
      <c r="AJ187" s="49"/>
      <c r="AK187" s="49"/>
      <c r="AL187" s="49"/>
      <c r="AM187" s="49"/>
      <c r="AN187" s="49"/>
      <c r="AO187" s="49"/>
      <c r="AP187" s="49"/>
      <c r="AQ187" s="49"/>
      <c r="AR187" s="49"/>
      <c r="AS187" s="49"/>
      <c r="AT187" s="49"/>
      <c r="AU187" s="49"/>
      <c r="AV187" s="49"/>
      <c r="AW187" s="49"/>
      <c r="AX187" s="49"/>
    </row>
    <row r="188">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c r="AH188" s="49"/>
      <c r="AI188" s="49"/>
      <c r="AJ188" s="49"/>
      <c r="AK188" s="49"/>
      <c r="AL188" s="49"/>
      <c r="AM188" s="49"/>
      <c r="AN188" s="49"/>
      <c r="AO188" s="49"/>
      <c r="AP188" s="49"/>
      <c r="AQ188" s="49"/>
      <c r="AR188" s="49"/>
      <c r="AS188" s="49"/>
      <c r="AT188" s="49"/>
      <c r="AU188" s="49"/>
      <c r="AV188" s="49"/>
      <c r="AW188" s="49"/>
      <c r="AX188" s="49"/>
    </row>
    <row r="189">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c r="AH189" s="49"/>
      <c r="AI189" s="49"/>
      <c r="AJ189" s="49"/>
      <c r="AK189" s="49"/>
      <c r="AL189" s="49"/>
      <c r="AM189" s="49"/>
      <c r="AN189" s="49"/>
      <c r="AO189" s="49"/>
      <c r="AP189" s="49"/>
      <c r="AQ189" s="49"/>
      <c r="AR189" s="49"/>
      <c r="AS189" s="49"/>
      <c r="AT189" s="49"/>
      <c r="AU189" s="49"/>
      <c r="AV189" s="49"/>
      <c r="AW189" s="49"/>
      <c r="AX189" s="49"/>
    </row>
    <row r="190">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c r="AH190" s="49"/>
      <c r="AI190" s="49"/>
      <c r="AJ190" s="49"/>
      <c r="AK190" s="49"/>
      <c r="AL190" s="49"/>
      <c r="AM190" s="49"/>
      <c r="AN190" s="49"/>
      <c r="AO190" s="49"/>
      <c r="AP190" s="49"/>
      <c r="AQ190" s="49"/>
      <c r="AR190" s="49"/>
      <c r="AS190" s="49"/>
      <c r="AT190" s="49"/>
      <c r="AU190" s="49"/>
      <c r="AV190" s="49"/>
      <c r="AW190" s="49"/>
      <c r="AX190" s="49"/>
    </row>
    <row r="191">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c r="AH191" s="49"/>
      <c r="AI191" s="49"/>
      <c r="AJ191" s="49"/>
      <c r="AK191" s="49"/>
      <c r="AL191" s="49"/>
      <c r="AM191" s="49"/>
      <c r="AN191" s="49"/>
      <c r="AO191" s="49"/>
      <c r="AP191" s="49"/>
      <c r="AQ191" s="49"/>
      <c r="AR191" s="49"/>
      <c r="AS191" s="49"/>
      <c r="AT191" s="49"/>
      <c r="AU191" s="49"/>
      <c r="AV191" s="49"/>
      <c r="AW191" s="49"/>
      <c r="AX191" s="49"/>
    </row>
    <row r="192">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c r="AH192" s="49"/>
      <c r="AI192" s="49"/>
      <c r="AJ192" s="49"/>
      <c r="AK192" s="49"/>
      <c r="AL192" s="49"/>
      <c r="AM192" s="49"/>
      <c r="AN192" s="49"/>
      <c r="AO192" s="49"/>
      <c r="AP192" s="49"/>
      <c r="AQ192" s="49"/>
      <c r="AR192" s="49"/>
      <c r="AS192" s="49"/>
      <c r="AT192" s="49"/>
      <c r="AU192" s="49"/>
      <c r="AV192" s="49"/>
      <c r="AW192" s="49"/>
      <c r="AX192" s="49"/>
    </row>
    <row r="193">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c r="AH193" s="49"/>
      <c r="AI193" s="49"/>
      <c r="AJ193" s="49"/>
      <c r="AK193" s="49"/>
      <c r="AL193" s="49"/>
      <c r="AM193" s="49"/>
      <c r="AN193" s="49"/>
      <c r="AO193" s="49"/>
      <c r="AP193" s="49"/>
      <c r="AQ193" s="49"/>
      <c r="AR193" s="49"/>
      <c r="AS193" s="49"/>
      <c r="AT193" s="49"/>
      <c r="AU193" s="49"/>
      <c r="AV193" s="49"/>
      <c r="AW193" s="49"/>
      <c r="AX193" s="49"/>
    </row>
    <row r="194">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c r="AH194" s="49"/>
      <c r="AI194" s="49"/>
      <c r="AJ194" s="49"/>
      <c r="AK194" s="49"/>
      <c r="AL194" s="49"/>
      <c r="AM194" s="49"/>
      <c r="AN194" s="49"/>
      <c r="AO194" s="49"/>
      <c r="AP194" s="49"/>
      <c r="AQ194" s="49"/>
      <c r="AR194" s="49"/>
      <c r="AS194" s="49"/>
      <c r="AT194" s="49"/>
      <c r="AU194" s="49"/>
      <c r="AV194" s="49"/>
      <c r="AW194" s="49"/>
      <c r="AX194" s="49"/>
    </row>
    <row r="19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c r="AH195" s="49"/>
      <c r="AI195" s="49"/>
      <c r="AJ195" s="49"/>
      <c r="AK195" s="49"/>
      <c r="AL195" s="49"/>
      <c r="AM195" s="49"/>
      <c r="AN195" s="49"/>
      <c r="AO195" s="49"/>
      <c r="AP195" s="49"/>
      <c r="AQ195" s="49"/>
      <c r="AR195" s="49"/>
      <c r="AS195" s="49"/>
      <c r="AT195" s="49"/>
      <c r="AU195" s="49"/>
      <c r="AV195" s="49"/>
      <c r="AW195" s="49"/>
      <c r="AX195" s="49"/>
    </row>
    <row r="196">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c r="AH196" s="49"/>
      <c r="AI196" s="49"/>
      <c r="AJ196" s="49"/>
      <c r="AK196" s="49"/>
      <c r="AL196" s="49"/>
      <c r="AM196" s="49"/>
      <c r="AN196" s="49"/>
      <c r="AO196" s="49"/>
      <c r="AP196" s="49"/>
      <c r="AQ196" s="49"/>
      <c r="AR196" s="49"/>
      <c r="AS196" s="49"/>
      <c r="AT196" s="49"/>
      <c r="AU196" s="49"/>
      <c r="AV196" s="49"/>
      <c r="AW196" s="49"/>
      <c r="AX196" s="49"/>
    </row>
    <row r="197">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c r="AH197" s="49"/>
      <c r="AI197" s="49"/>
      <c r="AJ197" s="49"/>
      <c r="AK197" s="49"/>
      <c r="AL197" s="49"/>
      <c r="AM197" s="49"/>
      <c r="AN197" s="49"/>
      <c r="AO197" s="49"/>
      <c r="AP197" s="49"/>
      <c r="AQ197" s="49"/>
      <c r="AR197" s="49"/>
      <c r="AS197" s="49"/>
      <c r="AT197" s="49"/>
      <c r="AU197" s="49"/>
      <c r="AV197" s="49"/>
      <c r="AW197" s="49"/>
      <c r="AX197" s="49"/>
    </row>
    <row r="198">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c r="AH198" s="49"/>
      <c r="AI198" s="49"/>
      <c r="AJ198" s="49"/>
      <c r="AK198" s="49"/>
      <c r="AL198" s="49"/>
      <c r="AM198" s="49"/>
      <c r="AN198" s="49"/>
      <c r="AO198" s="49"/>
      <c r="AP198" s="49"/>
      <c r="AQ198" s="49"/>
      <c r="AR198" s="49"/>
      <c r="AS198" s="49"/>
      <c r="AT198" s="49"/>
      <c r="AU198" s="49"/>
      <c r="AV198" s="49"/>
      <c r="AW198" s="49"/>
      <c r="AX198" s="49"/>
    </row>
    <row r="199">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c r="AH199" s="49"/>
      <c r="AI199" s="49"/>
      <c r="AJ199" s="49"/>
      <c r="AK199" s="49"/>
      <c r="AL199" s="49"/>
      <c r="AM199" s="49"/>
      <c r="AN199" s="49"/>
      <c r="AO199" s="49"/>
      <c r="AP199" s="49"/>
      <c r="AQ199" s="49"/>
      <c r="AR199" s="49"/>
      <c r="AS199" s="49"/>
      <c r="AT199" s="49"/>
      <c r="AU199" s="49"/>
      <c r="AV199" s="49"/>
      <c r="AW199" s="49"/>
      <c r="AX199" s="49"/>
    </row>
    <row r="200">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c r="AH200" s="49"/>
      <c r="AI200" s="49"/>
      <c r="AJ200" s="49"/>
      <c r="AK200" s="49"/>
      <c r="AL200" s="49"/>
      <c r="AM200" s="49"/>
      <c r="AN200" s="49"/>
      <c r="AO200" s="49"/>
      <c r="AP200" s="49"/>
      <c r="AQ200" s="49"/>
      <c r="AR200" s="49"/>
      <c r="AS200" s="49"/>
      <c r="AT200" s="49"/>
      <c r="AU200" s="49"/>
      <c r="AV200" s="49"/>
      <c r="AW200" s="49"/>
      <c r="AX200" s="49"/>
    </row>
    <row r="201">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c r="AH201" s="49"/>
      <c r="AI201" s="49"/>
      <c r="AJ201" s="49"/>
      <c r="AK201" s="49"/>
      <c r="AL201" s="49"/>
      <c r="AM201" s="49"/>
      <c r="AN201" s="49"/>
      <c r="AO201" s="49"/>
      <c r="AP201" s="49"/>
      <c r="AQ201" s="49"/>
      <c r="AR201" s="49"/>
      <c r="AS201" s="49"/>
      <c r="AT201" s="49"/>
      <c r="AU201" s="49"/>
      <c r="AV201" s="49"/>
      <c r="AW201" s="49"/>
      <c r="AX201" s="49"/>
    </row>
    <row r="202">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c r="AH202" s="49"/>
      <c r="AI202" s="49"/>
      <c r="AJ202" s="49"/>
      <c r="AK202" s="49"/>
      <c r="AL202" s="49"/>
      <c r="AM202" s="49"/>
      <c r="AN202" s="49"/>
      <c r="AO202" s="49"/>
      <c r="AP202" s="49"/>
      <c r="AQ202" s="49"/>
      <c r="AR202" s="49"/>
      <c r="AS202" s="49"/>
      <c r="AT202" s="49"/>
      <c r="AU202" s="49"/>
      <c r="AV202" s="49"/>
      <c r="AW202" s="49"/>
      <c r="AX202" s="49"/>
    </row>
    <row r="203">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c r="AH203" s="49"/>
      <c r="AI203" s="49"/>
      <c r="AJ203" s="49"/>
      <c r="AK203" s="49"/>
      <c r="AL203" s="49"/>
      <c r="AM203" s="49"/>
      <c r="AN203" s="49"/>
      <c r="AO203" s="49"/>
      <c r="AP203" s="49"/>
      <c r="AQ203" s="49"/>
      <c r="AR203" s="49"/>
      <c r="AS203" s="49"/>
      <c r="AT203" s="49"/>
      <c r="AU203" s="49"/>
      <c r="AV203" s="49"/>
      <c r="AW203" s="49"/>
      <c r="AX203" s="49"/>
    </row>
    <row r="204">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c r="AH204" s="49"/>
      <c r="AI204" s="49"/>
      <c r="AJ204" s="49"/>
      <c r="AK204" s="49"/>
      <c r="AL204" s="49"/>
      <c r="AM204" s="49"/>
      <c r="AN204" s="49"/>
      <c r="AO204" s="49"/>
      <c r="AP204" s="49"/>
      <c r="AQ204" s="49"/>
      <c r="AR204" s="49"/>
      <c r="AS204" s="49"/>
      <c r="AT204" s="49"/>
      <c r="AU204" s="49"/>
      <c r="AV204" s="49"/>
      <c r="AW204" s="49"/>
      <c r="AX204" s="49"/>
    </row>
    <row r="20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c r="AH205" s="49"/>
      <c r="AI205" s="49"/>
      <c r="AJ205" s="49"/>
      <c r="AK205" s="49"/>
      <c r="AL205" s="49"/>
      <c r="AM205" s="49"/>
      <c r="AN205" s="49"/>
      <c r="AO205" s="49"/>
      <c r="AP205" s="49"/>
      <c r="AQ205" s="49"/>
      <c r="AR205" s="49"/>
      <c r="AS205" s="49"/>
      <c r="AT205" s="49"/>
      <c r="AU205" s="49"/>
      <c r="AV205" s="49"/>
      <c r="AW205" s="49"/>
      <c r="AX205" s="49"/>
    </row>
    <row r="206">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c r="AH206" s="49"/>
      <c r="AI206" s="49"/>
      <c r="AJ206" s="49"/>
      <c r="AK206" s="49"/>
      <c r="AL206" s="49"/>
      <c r="AM206" s="49"/>
      <c r="AN206" s="49"/>
      <c r="AO206" s="49"/>
      <c r="AP206" s="49"/>
      <c r="AQ206" s="49"/>
      <c r="AR206" s="49"/>
      <c r="AS206" s="49"/>
      <c r="AT206" s="49"/>
      <c r="AU206" s="49"/>
      <c r="AV206" s="49"/>
      <c r="AW206" s="49"/>
      <c r="AX206" s="49"/>
    </row>
    <row r="207">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c r="AH207" s="49"/>
      <c r="AI207" s="49"/>
      <c r="AJ207" s="49"/>
      <c r="AK207" s="49"/>
      <c r="AL207" s="49"/>
      <c r="AM207" s="49"/>
      <c r="AN207" s="49"/>
      <c r="AO207" s="49"/>
      <c r="AP207" s="49"/>
      <c r="AQ207" s="49"/>
      <c r="AR207" s="49"/>
      <c r="AS207" s="49"/>
      <c r="AT207" s="49"/>
      <c r="AU207" s="49"/>
      <c r="AV207" s="49"/>
      <c r="AW207" s="49"/>
      <c r="AX207" s="49"/>
    </row>
    <row r="208">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c r="AH208" s="49"/>
      <c r="AI208" s="49"/>
      <c r="AJ208" s="49"/>
      <c r="AK208" s="49"/>
      <c r="AL208" s="49"/>
      <c r="AM208" s="49"/>
      <c r="AN208" s="49"/>
      <c r="AO208" s="49"/>
      <c r="AP208" s="49"/>
      <c r="AQ208" s="49"/>
      <c r="AR208" s="49"/>
      <c r="AS208" s="49"/>
      <c r="AT208" s="49"/>
      <c r="AU208" s="49"/>
      <c r="AV208" s="49"/>
      <c r="AW208" s="49"/>
      <c r="AX208" s="49"/>
    </row>
    <row r="209">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c r="AH209" s="49"/>
      <c r="AI209" s="49"/>
      <c r="AJ209" s="49"/>
      <c r="AK209" s="49"/>
      <c r="AL209" s="49"/>
      <c r="AM209" s="49"/>
      <c r="AN209" s="49"/>
      <c r="AO209" s="49"/>
      <c r="AP209" s="49"/>
      <c r="AQ209" s="49"/>
      <c r="AR209" s="49"/>
      <c r="AS209" s="49"/>
      <c r="AT209" s="49"/>
      <c r="AU209" s="49"/>
      <c r="AV209" s="49"/>
      <c r="AW209" s="49"/>
      <c r="AX209" s="49"/>
    </row>
    <row r="210">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9"/>
      <c r="AE210" s="49"/>
      <c r="AF210" s="49"/>
      <c r="AG210" s="49"/>
      <c r="AH210" s="49"/>
      <c r="AI210" s="49"/>
      <c r="AJ210" s="49"/>
      <c r="AK210" s="49"/>
      <c r="AL210" s="49"/>
      <c r="AM210" s="49"/>
      <c r="AN210" s="49"/>
      <c r="AO210" s="49"/>
      <c r="AP210" s="49"/>
      <c r="AQ210" s="49"/>
      <c r="AR210" s="49"/>
      <c r="AS210" s="49"/>
      <c r="AT210" s="49"/>
      <c r="AU210" s="49"/>
      <c r="AV210" s="49"/>
      <c r="AW210" s="49"/>
      <c r="AX210" s="49"/>
    </row>
    <row r="211">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c r="AA211" s="49"/>
      <c r="AB211" s="49"/>
      <c r="AC211" s="49"/>
      <c r="AD211" s="49"/>
      <c r="AE211" s="49"/>
      <c r="AF211" s="49"/>
      <c r="AG211" s="49"/>
      <c r="AH211" s="49"/>
      <c r="AI211" s="49"/>
      <c r="AJ211" s="49"/>
      <c r="AK211" s="49"/>
      <c r="AL211" s="49"/>
      <c r="AM211" s="49"/>
      <c r="AN211" s="49"/>
      <c r="AO211" s="49"/>
      <c r="AP211" s="49"/>
      <c r="AQ211" s="49"/>
      <c r="AR211" s="49"/>
      <c r="AS211" s="49"/>
      <c r="AT211" s="49"/>
      <c r="AU211" s="49"/>
      <c r="AV211" s="49"/>
      <c r="AW211" s="49"/>
      <c r="AX211" s="49"/>
    </row>
    <row r="212">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c r="AA212" s="49"/>
      <c r="AB212" s="49"/>
      <c r="AC212" s="49"/>
      <c r="AD212" s="49"/>
      <c r="AE212" s="49"/>
      <c r="AF212" s="49"/>
      <c r="AG212" s="49"/>
      <c r="AH212" s="49"/>
      <c r="AI212" s="49"/>
      <c r="AJ212" s="49"/>
      <c r="AK212" s="49"/>
      <c r="AL212" s="49"/>
      <c r="AM212" s="49"/>
      <c r="AN212" s="49"/>
      <c r="AO212" s="49"/>
      <c r="AP212" s="49"/>
      <c r="AQ212" s="49"/>
      <c r="AR212" s="49"/>
      <c r="AS212" s="49"/>
      <c r="AT212" s="49"/>
      <c r="AU212" s="49"/>
      <c r="AV212" s="49"/>
      <c r="AW212" s="49"/>
      <c r="AX212" s="49"/>
    </row>
    <row r="213">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c r="AA213" s="49"/>
      <c r="AB213" s="49"/>
      <c r="AC213" s="49"/>
      <c r="AD213" s="49"/>
      <c r="AE213" s="49"/>
      <c r="AF213" s="49"/>
      <c r="AG213" s="49"/>
      <c r="AH213" s="49"/>
      <c r="AI213" s="49"/>
      <c r="AJ213" s="49"/>
      <c r="AK213" s="49"/>
      <c r="AL213" s="49"/>
      <c r="AM213" s="49"/>
      <c r="AN213" s="49"/>
      <c r="AO213" s="49"/>
      <c r="AP213" s="49"/>
      <c r="AQ213" s="49"/>
      <c r="AR213" s="49"/>
      <c r="AS213" s="49"/>
      <c r="AT213" s="49"/>
      <c r="AU213" s="49"/>
      <c r="AV213" s="49"/>
      <c r="AW213" s="49"/>
      <c r="AX213" s="49"/>
    </row>
    <row r="214">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9"/>
      <c r="AE214" s="49"/>
      <c r="AF214" s="49"/>
      <c r="AG214" s="49"/>
      <c r="AH214" s="49"/>
      <c r="AI214" s="49"/>
      <c r="AJ214" s="49"/>
      <c r="AK214" s="49"/>
      <c r="AL214" s="49"/>
      <c r="AM214" s="49"/>
      <c r="AN214" s="49"/>
      <c r="AO214" s="49"/>
      <c r="AP214" s="49"/>
      <c r="AQ214" s="49"/>
      <c r="AR214" s="49"/>
      <c r="AS214" s="49"/>
      <c r="AT214" s="49"/>
      <c r="AU214" s="49"/>
      <c r="AV214" s="49"/>
      <c r="AW214" s="49"/>
      <c r="AX214" s="49"/>
    </row>
    <row r="21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c r="AA215" s="49"/>
      <c r="AB215" s="49"/>
      <c r="AC215" s="49"/>
      <c r="AD215" s="49"/>
      <c r="AE215" s="49"/>
      <c r="AF215" s="49"/>
      <c r="AG215" s="49"/>
      <c r="AH215" s="49"/>
      <c r="AI215" s="49"/>
      <c r="AJ215" s="49"/>
      <c r="AK215" s="49"/>
      <c r="AL215" s="49"/>
      <c r="AM215" s="49"/>
      <c r="AN215" s="49"/>
      <c r="AO215" s="49"/>
      <c r="AP215" s="49"/>
      <c r="AQ215" s="49"/>
      <c r="AR215" s="49"/>
      <c r="AS215" s="49"/>
      <c r="AT215" s="49"/>
      <c r="AU215" s="49"/>
      <c r="AV215" s="49"/>
      <c r="AW215" s="49"/>
      <c r="AX215" s="49"/>
    </row>
    <row r="216">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c r="AA216" s="49"/>
      <c r="AB216" s="49"/>
      <c r="AC216" s="49"/>
      <c r="AD216" s="49"/>
      <c r="AE216" s="49"/>
      <c r="AF216" s="49"/>
      <c r="AG216" s="49"/>
      <c r="AH216" s="49"/>
      <c r="AI216" s="49"/>
      <c r="AJ216" s="49"/>
      <c r="AK216" s="49"/>
      <c r="AL216" s="49"/>
      <c r="AM216" s="49"/>
      <c r="AN216" s="49"/>
      <c r="AO216" s="49"/>
      <c r="AP216" s="49"/>
      <c r="AQ216" s="49"/>
      <c r="AR216" s="49"/>
      <c r="AS216" s="49"/>
      <c r="AT216" s="49"/>
      <c r="AU216" s="49"/>
      <c r="AV216" s="49"/>
      <c r="AW216" s="49"/>
      <c r="AX216" s="49"/>
    </row>
    <row r="217">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c r="AA217" s="49"/>
      <c r="AB217" s="49"/>
      <c r="AC217" s="49"/>
      <c r="AD217" s="49"/>
      <c r="AE217" s="49"/>
      <c r="AF217" s="49"/>
      <c r="AG217" s="49"/>
      <c r="AH217" s="49"/>
      <c r="AI217" s="49"/>
      <c r="AJ217" s="49"/>
      <c r="AK217" s="49"/>
      <c r="AL217" s="49"/>
      <c r="AM217" s="49"/>
      <c r="AN217" s="49"/>
      <c r="AO217" s="49"/>
      <c r="AP217" s="49"/>
      <c r="AQ217" s="49"/>
      <c r="AR217" s="49"/>
      <c r="AS217" s="49"/>
      <c r="AT217" s="49"/>
      <c r="AU217" s="49"/>
      <c r="AV217" s="49"/>
      <c r="AW217" s="49"/>
      <c r="AX217" s="49"/>
    </row>
    <row r="218">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c r="AA218" s="49"/>
      <c r="AB218" s="49"/>
      <c r="AC218" s="49"/>
      <c r="AD218" s="49"/>
      <c r="AE218" s="49"/>
      <c r="AF218" s="49"/>
      <c r="AG218" s="49"/>
      <c r="AH218" s="49"/>
      <c r="AI218" s="49"/>
      <c r="AJ218" s="49"/>
      <c r="AK218" s="49"/>
      <c r="AL218" s="49"/>
      <c r="AM218" s="49"/>
      <c r="AN218" s="49"/>
      <c r="AO218" s="49"/>
      <c r="AP218" s="49"/>
      <c r="AQ218" s="49"/>
      <c r="AR218" s="49"/>
      <c r="AS218" s="49"/>
      <c r="AT218" s="49"/>
      <c r="AU218" s="49"/>
      <c r="AV218" s="49"/>
      <c r="AW218" s="49"/>
      <c r="AX218" s="49"/>
    </row>
    <row r="219">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c r="AA219" s="49"/>
      <c r="AB219" s="49"/>
      <c r="AC219" s="49"/>
      <c r="AD219" s="49"/>
      <c r="AE219" s="49"/>
      <c r="AF219" s="49"/>
      <c r="AG219" s="49"/>
      <c r="AH219" s="49"/>
      <c r="AI219" s="49"/>
      <c r="AJ219" s="49"/>
      <c r="AK219" s="49"/>
      <c r="AL219" s="49"/>
      <c r="AM219" s="49"/>
      <c r="AN219" s="49"/>
      <c r="AO219" s="49"/>
      <c r="AP219" s="49"/>
      <c r="AQ219" s="49"/>
      <c r="AR219" s="49"/>
      <c r="AS219" s="49"/>
      <c r="AT219" s="49"/>
      <c r="AU219" s="49"/>
      <c r="AV219" s="49"/>
      <c r="AW219" s="49"/>
      <c r="AX219" s="49"/>
    </row>
    <row r="220">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c r="AA220" s="49"/>
      <c r="AB220" s="49"/>
      <c r="AC220" s="49"/>
      <c r="AD220" s="49"/>
      <c r="AE220" s="49"/>
      <c r="AF220" s="49"/>
      <c r="AG220" s="49"/>
      <c r="AH220" s="49"/>
      <c r="AI220" s="49"/>
      <c r="AJ220" s="49"/>
      <c r="AK220" s="49"/>
      <c r="AL220" s="49"/>
      <c r="AM220" s="49"/>
      <c r="AN220" s="49"/>
      <c r="AO220" s="49"/>
      <c r="AP220" s="49"/>
      <c r="AQ220" s="49"/>
      <c r="AR220" s="49"/>
      <c r="AS220" s="49"/>
      <c r="AT220" s="49"/>
      <c r="AU220" s="49"/>
      <c r="AV220" s="49"/>
      <c r="AW220" s="49"/>
      <c r="AX220" s="49"/>
    </row>
    <row r="221">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c r="AA221" s="49"/>
      <c r="AB221" s="49"/>
      <c r="AC221" s="49"/>
      <c r="AD221" s="49"/>
      <c r="AE221" s="49"/>
      <c r="AF221" s="49"/>
      <c r="AG221" s="49"/>
      <c r="AH221" s="49"/>
      <c r="AI221" s="49"/>
      <c r="AJ221" s="49"/>
      <c r="AK221" s="49"/>
      <c r="AL221" s="49"/>
      <c r="AM221" s="49"/>
      <c r="AN221" s="49"/>
      <c r="AO221" s="49"/>
      <c r="AP221" s="49"/>
      <c r="AQ221" s="49"/>
      <c r="AR221" s="49"/>
      <c r="AS221" s="49"/>
      <c r="AT221" s="49"/>
      <c r="AU221" s="49"/>
      <c r="AV221" s="49"/>
      <c r="AW221" s="49"/>
      <c r="AX221" s="49"/>
    </row>
    <row r="222">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c r="AA222" s="49"/>
      <c r="AB222" s="49"/>
      <c r="AC222" s="49"/>
      <c r="AD222" s="49"/>
      <c r="AE222" s="49"/>
      <c r="AF222" s="49"/>
      <c r="AG222" s="49"/>
      <c r="AH222" s="49"/>
      <c r="AI222" s="49"/>
      <c r="AJ222" s="49"/>
      <c r="AK222" s="49"/>
      <c r="AL222" s="49"/>
      <c r="AM222" s="49"/>
      <c r="AN222" s="49"/>
      <c r="AO222" s="49"/>
      <c r="AP222" s="49"/>
      <c r="AQ222" s="49"/>
      <c r="AR222" s="49"/>
      <c r="AS222" s="49"/>
      <c r="AT222" s="49"/>
      <c r="AU222" s="49"/>
      <c r="AV222" s="49"/>
      <c r="AW222" s="49"/>
      <c r="AX222" s="49"/>
    </row>
    <row r="223">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9"/>
      <c r="AE223" s="49"/>
      <c r="AF223" s="49"/>
      <c r="AG223" s="49"/>
      <c r="AH223" s="49"/>
      <c r="AI223" s="49"/>
      <c r="AJ223" s="49"/>
      <c r="AK223" s="49"/>
      <c r="AL223" s="49"/>
      <c r="AM223" s="49"/>
      <c r="AN223" s="49"/>
      <c r="AO223" s="49"/>
      <c r="AP223" s="49"/>
      <c r="AQ223" s="49"/>
      <c r="AR223" s="49"/>
      <c r="AS223" s="49"/>
      <c r="AT223" s="49"/>
      <c r="AU223" s="49"/>
      <c r="AV223" s="49"/>
      <c r="AW223" s="49"/>
      <c r="AX223" s="49"/>
    </row>
    <row r="224">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c r="AA224" s="49"/>
      <c r="AB224" s="49"/>
      <c r="AC224" s="49"/>
      <c r="AD224" s="49"/>
      <c r="AE224" s="49"/>
      <c r="AF224" s="49"/>
      <c r="AG224" s="49"/>
      <c r="AH224" s="49"/>
      <c r="AI224" s="49"/>
      <c r="AJ224" s="49"/>
      <c r="AK224" s="49"/>
      <c r="AL224" s="49"/>
      <c r="AM224" s="49"/>
      <c r="AN224" s="49"/>
      <c r="AO224" s="49"/>
      <c r="AP224" s="49"/>
      <c r="AQ224" s="49"/>
      <c r="AR224" s="49"/>
      <c r="AS224" s="49"/>
      <c r="AT224" s="49"/>
      <c r="AU224" s="49"/>
      <c r="AV224" s="49"/>
      <c r="AW224" s="49"/>
      <c r="AX224" s="49"/>
    </row>
    <row r="2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c r="AA225" s="49"/>
      <c r="AB225" s="49"/>
      <c r="AC225" s="49"/>
      <c r="AD225" s="49"/>
      <c r="AE225" s="49"/>
      <c r="AF225" s="49"/>
      <c r="AG225" s="49"/>
      <c r="AH225" s="49"/>
      <c r="AI225" s="49"/>
      <c r="AJ225" s="49"/>
      <c r="AK225" s="49"/>
      <c r="AL225" s="49"/>
      <c r="AM225" s="49"/>
      <c r="AN225" s="49"/>
      <c r="AO225" s="49"/>
      <c r="AP225" s="49"/>
      <c r="AQ225" s="49"/>
      <c r="AR225" s="49"/>
      <c r="AS225" s="49"/>
      <c r="AT225" s="49"/>
      <c r="AU225" s="49"/>
      <c r="AV225" s="49"/>
      <c r="AW225" s="49"/>
      <c r="AX225" s="49"/>
    </row>
    <row r="226">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c r="AA226" s="49"/>
      <c r="AB226" s="49"/>
      <c r="AC226" s="49"/>
      <c r="AD226" s="49"/>
      <c r="AE226" s="49"/>
      <c r="AF226" s="49"/>
      <c r="AG226" s="49"/>
      <c r="AH226" s="49"/>
      <c r="AI226" s="49"/>
      <c r="AJ226" s="49"/>
      <c r="AK226" s="49"/>
      <c r="AL226" s="49"/>
      <c r="AM226" s="49"/>
      <c r="AN226" s="49"/>
      <c r="AO226" s="49"/>
      <c r="AP226" s="49"/>
      <c r="AQ226" s="49"/>
      <c r="AR226" s="49"/>
      <c r="AS226" s="49"/>
      <c r="AT226" s="49"/>
      <c r="AU226" s="49"/>
      <c r="AV226" s="49"/>
      <c r="AW226" s="49"/>
      <c r="AX226" s="49"/>
    </row>
    <row r="227">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c r="AA227" s="49"/>
      <c r="AB227" s="49"/>
      <c r="AC227" s="49"/>
      <c r="AD227" s="49"/>
      <c r="AE227" s="49"/>
      <c r="AF227" s="49"/>
      <c r="AG227" s="49"/>
      <c r="AH227" s="49"/>
      <c r="AI227" s="49"/>
      <c r="AJ227" s="49"/>
      <c r="AK227" s="49"/>
      <c r="AL227" s="49"/>
      <c r="AM227" s="49"/>
      <c r="AN227" s="49"/>
      <c r="AO227" s="49"/>
      <c r="AP227" s="49"/>
      <c r="AQ227" s="49"/>
      <c r="AR227" s="49"/>
      <c r="AS227" s="49"/>
      <c r="AT227" s="49"/>
      <c r="AU227" s="49"/>
      <c r="AV227" s="49"/>
      <c r="AW227" s="49"/>
      <c r="AX227" s="49"/>
    </row>
    <row r="228">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c r="AA228" s="49"/>
      <c r="AB228" s="49"/>
      <c r="AC228" s="49"/>
      <c r="AD228" s="49"/>
      <c r="AE228" s="49"/>
      <c r="AF228" s="49"/>
      <c r="AG228" s="49"/>
      <c r="AH228" s="49"/>
      <c r="AI228" s="49"/>
      <c r="AJ228" s="49"/>
      <c r="AK228" s="49"/>
      <c r="AL228" s="49"/>
      <c r="AM228" s="49"/>
      <c r="AN228" s="49"/>
      <c r="AO228" s="49"/>
      <c r="AP228" s="49"/>
      <c r="AQ228" s="49"/>
      <c r="AR228" s="49"/>
      <c r="AS228" s="49"/>
      <c r="AT228" s="49"/>
      <c r="AU228" s="49"/>
      <c r="AV228" s="49"/>
      <c r="AW228" s="49"/>
      <c r="AX228" s="49"/>
    </row>
    <row r="229">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c r="AA229" s="49"/>
      <c r="AB229" s="49"/>
      <c r="AC229" s="49"/>
      <c r="AD229" s="49"/>
      <c r="AE229" s="49"/>
      <c r="AF229" s="49"/>
      <c r="AG229" s="49"/>
      <c r="AH229" s="49"/>
      <c r="AI229" s="49"/>
      <c r="AJ229" s="49"/>
      <c r="AK229" s="49"/>
      <c r="AL229" s="49"/>
      <c r="AM229" s="49"/>
      <c r="AN229" s="49"/>
      <c r="AO229" s="49"/>
      <c r="AP229" s="49"/>
      <c r="AQ229" s="49"/>
      <c r="AR229" s="49"/>
      <c r="AS229" s="49"/>
      <c r="AT229" s="49"/>
      <c r="AU229" s="49"/>
      <c r="AV229" s="49"/>
      <c r="AW229" s="49"/>
      <c r="AX229" s="49"/>
    </row>
    <row r="230">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c r="AA230" s="49"/>
      <c r="AB230" s="49"/>
      <c r="AC230" s="49"/>
      <c r="AD230" s="49"/>
      <c r="AE230" s="49"/>
      <c r="AF230" s="49"/>
      <c r="AG230" s="49"/>
      <c r="AH230" s="49"/>
      <c r="AI230" s="49"/>
      <c r="AJ230" s="49"/>
      <c r="AK230" s="49"/>
      <c r="AL230" s="49"/>
      <c r="AM230" s="49"/>
      <c r="AN230" s="49"/>
      <c r="AO230" s="49"/>
      <c r="AP230" s="49"/>
      <c r="AQ230" s="49"/>
      <c r="AR230" s="49"/>
      <c r="AS230" s="49"/>
      <c r="AT230" s="49"/>
      <c r="AU230" s="49"/>
      <c r="AV230" s="49"/>
      <c r="AW230" s="49"/>
      <c r="AX230" s="49"/>
    </row>
    <row r="231">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c r="AA231" s="49"/>
      <c r="AB231" s="49"/>
      <c r="AC231" s="49"/>
      <c r="AD231" s="49"/>
      <c r="AE231" s="49"/>
      <c r="AF231" s="49"/>
      <c r="AG231" s="49"/>
      <c r="AH231" s="49"/>
      <c r="AI231" s="49"/>
      <c r="AJ231" s="49"/>
      <c r="AK231" s="49"/>
      <c r="AL231" s="49"/>
      <c r="AM231" s="49"/>
      <c r="AN231" s="49"/>
      <c r="AO231" s="49"/>
      <c r="AP231" s="49"/>
      <c r="AQ231" s="49"/>
      <c r="AR231" s="49"/>
      <c r="AS231" s="49"/>
      <c r="AT231" s="49"/>
      <c r="AU231" s="49"/>
      <c r="AV231" s="49"/>
      <c r="AW231" s="49"/>
      <c r="AX231" s="49"/>
    </row>
    <row r="232">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c r="AA232" s="49"/>
      <c r="AB232" s="49"/>
      <c r="AC232" s="49"/>
      <c r="AD232" s="49"/>
      <c r="AE232" s="49"/>
      <c r="AF232" s="49"/>
      <c r="AG232" s="49"/>
      <c r="AH232" s="49"/>
      <c r="AI232" s="49"/>
      <c r="AJ232" s="49"/>
      <c r="AK232" s="49"/>
      <c r="AL232" s="49"/>
      <c r="AM232" s="49"/>
      <c r="AN232" s="49"/>
      <c r="AO232" s="49"/>
      <c r="AP232" s="49"/>
      <c r="AQ232" s="49"/>
      <c r="AR232" s="49"/>
      <c r="AS232" s="49"/>
      <c r="AT232" s="49"/>
      <c r="AU232" s="49"/>
      <c r="AV232" s="49"/>
      <c r="AW232" s="49"/>
      <c r="AX232" s="49"/>
    </row>
    <row r="233">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c r="AA233" s="49"/>
      <c r="AB233" s="49"/>
      <c r="AC233" s="49"/>
      <c r="AD233" s="49"/>
      <c r="AE233" s="49"/>
      <c r="AF233" s="49"/>
      <c r="AG233" s="49"/>
      <c r="AH233" s="49"/>
      <c r="AI233" s="49"/>
      <c r="AJ233" s="49"/>
      <c r="AK233" s="49"/>
      <c r="AL233" s="49"/>
      <c r="AM233" s="49"/>
      <c r="AN233" s="49"/>
      <c r="AO233" s="49"/>
      <c r="AP233" s="49"/>
      <c r="AQ233" s="49"/>
      <c r="AR233" s="49"/>
      <c r="AS233" s="49"/>
      <c r="AT233" s="49"/>
      <c r="AU233" s="49"/>
      <c r="AV233" s="49"/>
      <c r="AW233" s="49"/>
      <c r="AX233" s="49"/>
    </row>
    <row r="234">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c r="AA234" s="49"/>
      <c r="AB234" s="49"/>
      <c r="AC234" s="49"/>
      <c r="AD234" s="49"/>
      <c r="AE234" s="49"/>
      <c r="AF234" s="49"/>
      <c r="AG234" s="49"/>
      <c r="AH234" s="49"/>
      <c r="AI234" s="49"/>
      <c r="AJ234" s="49"/>
      <c r="AK234" s="49"/>
      <c r="AL234" s="49"/>
      <c r="AM234" s="49"/>
      <c r="AN234" s="49"/>
      <c r="AO234" s="49"/>
      <c r="AP234" s="49"/>
      <c r="AQ234" s="49"/>
      <c r="AR234" s="49"/>
      <c r="AS234" s="49"/>
      <c r="AT234" s="49"/>
      <c r="AU234" s="49"/>
      <c r="AV234" s="49"/>
      <c r="AW234" s="49"/>
      <c r="AX234" s="49"/>
    </row>
    <row r="23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c r="AA235" s="49"/>
      <c r="AB235" s="49"/>
      <c r="AC235" s="49"/>
      <c r="AD235" s="49"/>
      <c r="AE235" s="49"/>
      <c r="AF235" s="49"/>
      <c r="AG235" s="49"/>
      <c r="AH235" s="49"/>
      <c r="AI235" s="49"/>
      <c r="AJ235" s="49"/>
      <c r="AK235" s="49"/>
      <c r="AL235" s="49"/>
      <c r="AM235" s="49"/>
      <c r="AN235" s="49"/>
      <c r="AO235" s="49"/>
      <c r="AP235" s="49"/>
      <c r="AQ235" s="49"/>
      <c r="AR235" s="49"/>
      <c r="AS235" s="49"/>
      <c r="AT235" s="49"/>
      <c r="AU235" s="49"/>
      <c r="AV235" s="49"/>
      <c r="AW235" s="49"/>
      <c r="AX235" s="49"/>
    </row>
    <row r="236">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c r="AA236" s="49"/>
      <c r="AB236" s="49"/>
      <c r="AC236" s="49"/>
      <c r="AD236" s="49"/>
      <c r="AE236" s="49"/>
      <c r="AF236" s="49"/>
      <c r="AG236" s="49"/>
      <c r="AH236" s="49"/>
      <c r="AI236" s="49"/>
      <c r="AJ236" s="49"/>
      <c r="AK236" s="49"/>
      <c r="AL236" s="49"/>
      <c r="AM236" s="49"/>
      <c r="AN236" s="49"/>
      <c r="AO236" s="49"/>
      <c r="AP236" s="49"/>
      <c r="AQ236" s="49"/>
      <c r="AR236" s="49"/>
      <c r="AS236" s="49"/>
      <c r="AT236" s="49"/>
      <c r="AU236" s="49"/>
      <c r="AV236" s="49"/>
      <c r="AW236" s="49"/>
      <c r="AX236" s="49"/>
    </row>
    <row r="237">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c r="AA237" s="49"/>
      <c r="AB237" s="49"/>
      <c r="AC237" s="49"/>
      <c r="AD237" s="49"/>
      <c r="AE237" s="49"/>
      <c r="AF237" s="49"/>
      <c r="AG237" s="49"/>
      <c r="AH237" s="49"/>
      <c r="AI237" s="49"/>
      <c r="AJ237" s="49"/>
      <c r="AK237" s="49"/>
      <c r="AL237" s="49"/>
      <c r="AM237" s="49"/>
      <c r="AN237" s="49"/>
      <c r="AO237" s="49"/>
      <c r="AP237" s="49"/>
      <c r="AQ237" s="49"/>
      <c r="AR237" s="49"/>
      <c r="AS237" s="49"/>
      <c r="AT237" s="49"/>
      <c r="AU237" s="49"/>
      <c r="AV237" s="49"/>
      <c r="AW237" s="49"/>
      <c r="AX237" s="49"/>
    </row>
    <row r="238">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c r="AA238" s="49"/>
      <c r="AB238" s="49"/>
      <c r="AC238" s="49"/>
      <c r="AD238" s="49"/>
      <c r="AE238" s="49"/>
      <c r="AF238" s="49"/>
      <c r="AG238" s="49"/>
      <c r="AH238" s="49"/>
      <c r="AI238" s="49"/>
      <c r="AJ238" s="49"/>
      <c r="AK238" s="49"/>
      <c r="AL238" s="49"/>
      <c r="AM238" s="49"/>
      <c r="AN238" s="49"/>
      <c r="AO238" s="49"/>
      <c r="AP238" s="49"/>
      <c r="AQ238" s="49"/>
      <c r="AR238" s="49"/>
      <c r="AS238" s="49"/>
      <c r="AT238" s="49"/>
      <c r="AU238" s="49"/>
      <c r="AV238" s="49"/>
      <c r="AW238" s="49"/>
      <c r="AX238" s="49"/>
    </row>
    <row r="239">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c r="AA239" s="49"/>
      <c r="AB239" s="49"/>
      <c r="AC239" s="49"/>
      <c r="AD239" s="49"/>
      <c r="AE239" s="49"/>
      <c r="AF239" s="49"/>
      <c r="AG239" s="49"/>
      <c r="AH239" s="49"/>
      <c r="AI239" s="49"/>
      <c r="AJ239" s="49"/>
      <c r="AK239" s="49"/>
      <c r="AL239" s="49"/>
      <c r="AM239" s="49"/>
      <c r="AN239" s="49"/>
      <c r="AO239" s="49"/>
      <c r="AP239" s="49"/>
      <c r="AQ239" s="49"/>
      <c r="AR239" s="49"/>
      <c r="AS239" s="49"/>
      <c r="AT239" s="49"/>
      <c r="AU239" s="49"/>
      <c r="AV239" s="49"/>
      <c r="AW239" s="49"/>
      <c r="AX239" s="49"/>
    </row>
    <row r="240">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c r="AA240" s="49"/>
      <c r="AB240" s="49"/>
      <c r="AC240" s="49"/>
      <c r="AD240" s="49"/>
      <c r="AE240" s="49"/>
      <c r="AF240" s="49"/>
      <c r="AG240" s="49"/>
      <c r="AH240" s="49"/>
      <c r="AI240" s="49"/>
      <c r="AJ240" s="49"/>
      <c r="AK240" s="49"/>
      <c r="AL240" s="49"/>
      <c r="AM240" s="49"/>
      <c r="AN240" s="49"/>
      <c r="AO240" s="49"/>
      <c r="AP240" s="49"/>
      <c r="AQ240" s="49"/>
      <c r="AR240" s="49"/>
      <c r="AS240" s="49"/>
      <c r="AT240" s="49"/>
      <c r="AU240" s="49"/>
      <c r="AV240" s="49"/>
      <c r="AW240" s="49"/>
      <c r="AX240" s="49"/>
    </row>
    <row r="241">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c r="AA241" s="49"/>
      <c r="AB241" s="49"/>
      <c r="AC241" s="49"/>
      <c r="AD241" s="49"/>
      <c r="AE241" s="49"/>
      <c r="AF241" s="49"/>
      <c r="AG241" s="49"/>
      <c r="AH241" s="49"/>
      <c r="AI241" s="49"/>
      <c r="AJ241" s="49"/>
      <c r="AK241" s="49"/>
      <c r="AL241" s="49"/>
      <c r="AM241" s="49"/>
      <c r="AN241" s="49"/>
      <c r="AO241" s="49"/>
      <c r="AP241" s="49"/>
      <c r="AQ241" s="49"/>
      <c r="AR241" s="49"/>
      <c r="AS241" s="49"/>
      <c r="AT241" s="49"/>
      <c r="AU241" s="49"/>
      <c r="AV241" s="49"/>
      <c r="AW241" s="49"/>
      <c r="AX241" s="49"/>
    </row>
    <row r="242">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c r="AA242" s="49"/>
      <c r="AB242" s="49"/>
      <c r="AC242" s="49"/>
      <c r="AD242" s="49"/>
      <c r="AE242" s="49"/>
      <c r="AF242" s="49"/>
      <c r="AG242" s="49"/>
      <c r="AH242" s="49"/>
      <c r="AI242" s="49"/>
      <c r="AJ242" s="49"/>
      <c r="AK242" s="49"/>
      <c r="AL242" s="49"/>
      <c r="AM242" s="49"/>
      <c r="AN242" s="49"/>
      <c r="AO242" s="49"/>
      <c r="AP242" s="49"/>
      <c r="AQ242" s="49"/>
      <c r="AR242" s="49"/>
      <c r="AS242" s="49"/>
      <c r="AT242" s="49"/>
      <c r="AU242" s="49"/>
      <c r="AV242" s="49"/>
      <c r="AW242" s="49"/>
      <c r="AX242" s="49"/>
    </row>
    <row r="243">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c r="AA243" s="49"/>
      <c r="AB243" s="49"/>
      <c r="AC243" s="49"/>
      <c r="AD243" s="49"/>
      <c r="AE243" s="49"/>
      <c r="AF243" s="49"/>
      <c r="AG243" s="49"/>
      <c r="AH243" s="49"/>
      <c r="AI243" s="49"/>
      <c r="AJ243" s="49"/>
      <c r="AK243" s="49"/>
      <c r="AL243" s="49"/>
      <c r="AM243" s="49"/>
      <c r="AN243" s="49"/>
      <c r="AO243" s="49"/>
      <c r="AP243" s="49"/>
      <c r="AQ243" s="49"/>
      <c r="AR243" s="49"/>
      <c r="AS243" s="49"/>
      <c r="AT243" s="49"/>
      <c r="AU243" s="49"/>
      <c r="AV243" s="49"/>
      <c r="AW243" s="49"/>
      <c r="AX243" s="49"/>
    </row>
    <row r="244">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c r="AA244" s="49"/>
      <c r="AB244" s="49"/>
      <c r="AC244" s="49"/>
      <c r="AD244" s="49"/>
      <c r="AE244" s="49"/>
      <c r="AF244" s="49"/>
      <c r="AG244" s="49"/>
      <c r="AH244" s="49"/>
      <c r="AI244" s="49"/>
      <c r="AJ244" s="49"/>
      <c r="AK244" s="49"/>
      <c r="AL244" s="49"/>
      <c r="AM244" s="49"/>
      <c r="AN244" s="49"/>
      <c r="AO244" s="49"/>
      <c r="AP244" s="49"/>
      <c r="AQ244" s="49"/>
      <c r="AR244" s="49"/>
      <c r="AS244" s="49"/>
      <c r="AT244" s="49"/>
      <c r="AU244" s="49"/>
      <c r="AV244" s="49"/>
      <c r="AW244" s="49"/>
      <c r="AX244" s="49"/>
    </row>
    <row r="24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c r="AA245" s="49"/>
      <c r="AB245" s="49"/>
      <c r="AC245" s="49"/>
      <c r="AD245" s="49"/>
      <c r="AE245" s="49"/>
      <c r="AF245" s="49"/>
      <c r="AG245" s="49"/>
      <c r="AH245" s="49"/>
      <c r="AI245" s="49"/>
      <c r="AJ245" s="49"/>
      <c r="AK245" s="49"/>
      <c r="AL245" s="49"/>
      <c r="AM245" s="49"/>
      <c r="AN245" s="49"/>
      <c r="AO245" s="49"/>
      <c r="AP245" s="49"/>
      <c r="AQ245" s="49"/>
      <c r="AR245" s="49"/>
      <c r="AS245" s="49"/>
      <c r="AT245" s="49"/>
      <c r="AU245" s="49"/>
      <c r="AV245" s="49"/>
      <c r="AW245" s="49"/>
      <c r="AX245" s="49"/>
    </row>
    <row r="246">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c r="AA246" s="49"/>
      <c r="AB246" s="49"/>
      <c r="AC246" s="49"/>
      <c r="AD246" s="49"/>
      <c r="AE246" s="49"/>
      <c r="AF246" s="49"/>
      <c r="AG246" s="49"/>
      <c r="AH246" s="49"/>
      <c r="AI246" s="49"/>
      <c r="AJ246" s="49"/>
      <c r="AK246" s="49"/>
      <c r="AL246" s="49"/>
      <c r="AM246" s="49"/>
      <c r="AN246" s="49"/>
      <c r="AO246" s="49"/>
      <c r="AP246" s="49"/>
      <c r="AQ246" s="49"/>
      <c r="AR246" s="49"/>
      <c r="AS246" s="49"/>
      <c r="AT246" s="49"/>
      <c r="AU246" s="49"/>
      <c r="AV246" s="49"/>
      <c r="AW246" s="49"/>
      <c r="AX246" s="49"/>
    </row>
    <row r="247">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c r="AA247" s="49"/>
      <c r="AB247" s="49"/>
      <c r="AC247" s="49"/>
      <c r="AD247" s="49"/>
      <c r="AE247" s="49"/>
      <c r="AF247" s="49"/>
      <c r="AG247" s="49"/>
      <c r="AH247" s="49"/>
      <c r="AI247" s="49"/>
      <c r="AJ247" s="49"/>
      <c r="AK247" s="49"/>
      <c r="AL247" s="49"/>
      <c r="AM247" s="49"/>
      <c r="AN247" s="49"/>
      <c r="AO247" s="49"/>
      <c r="AP247" s="49"/>
      <c r="AQ247" s="49"/>
      <c r="AR247" s="49"/>
      <c r="AS247" s="49"/>
      <c r="AT247" s="49"/>
      <c r="AU247" s="49"/>
      <c r="AV247" s="49"/>
      <c r="AW247" s="49"/>
      <c r="AX247" s="49"/>
    </row>
    <row r="248">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c r="AA248" s="49"/>
      <c r="AB248" s="49"/>
      <c r="AC248" s="49"/>
      <c r="AD248" s="49"/>
      <c r="AE248" s="49"/>
      <c r="AF248" s="49"/>
      <c r="AG248" s="49"/>
      <c r="AH248" s="49"/>
      <c r="AI248" s="49"/>
      <c r="AJ248" s="49"/>
      <c r="AK248" s="49"/>
      <c r="AL248" s="49"/>
      <c r="AM248" s="49"/>
      <c r="AN248" s="49"/>
      <c r="AO248" s="49"/>
      <c r="AP248" s="49"/>
      <c r="AQ248" s="49"/>
      <c r="AR248" s="49"/>
      <c r="AS248" s="49"/>
      <c r="AT248" s="49"/>
      <c r="AU248" s="49"/>
      <c r="AV248" s="49"/>
      <c r="AW248" s="49"/>
      <c r="AX248" s="49"/>
    </row>
    <row r="249">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c r="AA249" s="49"/>
      <c r="AB249" s="49"/>
      <c r="AC249" s="49"/>
      <c r="AD249" s="49"/>
      <c r="AE249" s="49"/>
      <c r="AF249" s="49"/>
      <c r="AG249" s="49"/>
      <c r="AH249" s="49"/>
      <c r="AI249" s="49"/>
      <c r="AJ249" s="49"/>
      <c r="AK249" s="49"/>
      <c r="AL249" s="49"/>
      <c r="AM249" s="49"/>
      <c r="AN249" s="49"/>
      <c r="AO249" s="49"/>
      <c r="AP249" s="49"/>
      <c r="AQ249" s="49"/>
      <c r="AR249" s="49"/>
      <c r="AS249" s="49"/>
      <c r="AT249" s="49"/>
      <c r="AU249" s="49"/>
      <c r="AV249" s="49"/>
      <c r="AW249" s="49"/>
      <c r="AX249" s="49"/>
    </row>
    <row r="250">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c r="AA250" s="49"/>
      <c r="AB250" s="49"/>
      <c r="AC250" s="49"/>
      <c r="AD250" s="49"/>
      <c r="AE250" s="49"/>
      <c r="AF250" s="49"/>
      <c r="AG250" s="49"/>
      <c r="AH250" s="49"/>
      <c r="AI250" s="49"/>
      <c r="AJ250" s="49"/>
      <c r="AK250" s="49"/>
      <c r="AL250" s="49"/>
      <c r="AM250" s="49"/>
      <c r="AN250" s="49"/>
      <c r="AO250" s="49"/>
      <c r="AP250" s="49"/>
      <c r="AQ250" s="49"/>
      <c r="AR250" s="49"/>
      <c r="AS250" s="49"/>
      <c r="AT250" s="49"/>
      <c r="AU250" s="49"/>
      <c r="AV250" s="49"/>
      <c r="AW250" s="49"/>
      <c r="AX250" s="49"/>
    </row>
    <row r="251">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c r="AA251" s="49"/>
      <c r="AB251" s="49"/>
      <c r="AC251" s="49"/>
      <c r="AD251" s="49"/>
      <c r="AE251" s="49"/>
      <c r="AF251" s="49"/>
      <c r="AG251" s="49"/>
      <c r="AH251" s="49"/>
      <c r="AI251" s="49"/>
      <c r="AJ251" s="49"/>
      <c r="AK251" s="49"/>
      <c r="AL251" s="49"/>
      <c r="AM251" s="49"/>
      <c r="AN251" s="49"/>
      <c r="AO251" s="49"/>
      <c r="AP251" s="49"/>
      <c r="AQ251" s="49"/>
      <c r="AR251" s="49"/>
      <c r="AS251" s="49"/>
      <c r="AT251" s="49"/>
      <c r="AU251" s="49"/>
      <c r="AV251" s="49"/>
      <c r="AW251" s="49"/>
      <c r="AX251" s="49"/>
    </row>
    <row r="252">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c r="AA252" s="49"/>
      <c r="AB252" s="49"/>
      <c r="AC252" s="49"/>
      <c r="AD252" s="49"/>
      <c r="AE252" s="49"/>
      <c r="AF252" s="49"/>
      <c r="AG252" s="49"/>
      <c r="AH252" s="49"/>
      <c r="AI252" s="49"/>
      <c r="AJ252" s="49"/>
      <c r="AK252" s="49"/>
      <c r="AL252" s="49"/>
      <c r="AM252" s="49"/>
      <c r="AN252" s="49"/>
      <c r="AO252" s="49"/>
      <c r="AP252" s="49"/>
      <c r="AQ252" s="49"/>
      <c r="AR252" s="49"/>
      <c r="AS252" s="49"/>
      <c r="AT252" s="49"/>
      <c r="AU252" s="49"/>
      <c r="AV252" s="49"/>
      <c r="AW252" s="49"/>
      <c r="AX252" s="49"/>
    </row>
    <row r="253">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c r="AA253" s="49"/>
      <c r="AB253" s="49"/>
      <c r="AC253" s="49"/>
      <c r="AD253" s="49"/>
      <c r="AE253" s="49"/>
      <c r="AF253" s="49"/>
      <c r="AG253" s="49"/>
      <c r="AH253" s="49"/>
      <c r="AI253" s="49"/>
      <c r="AJ253" s="49"/>
      <c r="AK253" s="49"/>
      <c r="AL253" s="49"/>
      <c r="AM253" s="49"/>
      <c r="AN253" s="49"/>
      <c r="AO253" s="49"/>
      <c r="AP253" s="49"/>
      <c r="AQ253" s="49"/>
      <c r="AR253" s="49"/>
      <c r="AS253" s="49"/>
      <c r="AT253" s="49"/>
      <c r="AU253" s="49"/>
      <c r="AV253" s="49"/>
      <c r="AW253" s="49"/>
      <c r="AX253" s="49"/>
    </row>
    <row r="254">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c r="AA254" s="49"/>
      <c r="AB254" s="49"/>
      <c r="AC254" s="49"/>
      <c r="AD254" s="49"/>
      <c r="AE254" s="49"/>
      <c r="AF254" s="49"/>
      <c r="AG254" s="49"/>
      <c r="AH254" s="49"/>
      <c r="AI254" s="49"/>
      <c r="AJ254" s="49"/>
      <c r="AK254" s="49"/>
      <c r="AL254" s="49"/>
      <c r="AM254" s="49"/>
      <c r="AN254" s="49"/>
      <c r="AO254" s="49"/>
      <c r="AP254" s="49"/>
      <c r="AQ254" s="49"/>
      <c r="AR254" s="49"/>
      <c r="AS254" s="49"/>
      <c r="AT254" s="49"/>
      <c r="AU254" s="49"/>
      <c r="AV254" s="49"/>
      <c r="AW254" s="49"/>
      <c r="AX254" s="49"/>
    </row>
    <row r="25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c r="AA255" s="49"/>
      <c r="AB255" s="49"/>
      <c r="AC255" s="49"/>
      <c r="AD255" s="49"/>
      <c r="AE255" s="49"/>
      <c r="AF255" s="49"/>
      <c r="AG255" s="49"/>
      <c r="AH255" s="49"/>
      <c r="AI255" s="49"/>
      <c r="AJ255" s="49"/>
      <c r="AK255" s="49"/>
      <c r="AL255" s="49"/>
      <c r="AM255" s="49"/>
      <c r="AN255" s="49"/>
      <c r="AO255" s="49"/>
      <c r="AP255" s="49"/>
      <c r="AQ255" s="49"/>
      <c r="AR255" s="49"/>
      <c r="AS255" s="49"/>
      <c r="AT255" s="49"/>
      <c r="AU255" s="49"/>
      <c r="AV255" s="49"/>
      <c r="AW255" s="49"/>
      <c r="AX255" s="49"/>
    </row>
    <row r="256">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c r="AA256" s="49"/>
      <c r="AB256" s="49"/>
      <c r="AC256" s="49"/>
      <c r="AD256" s="49"/>
      <c r="AE256" s="49"/>
      <c r="AF256" s="49"/>
      <c r="AG256" s="49"/>
      <c r="AH256" s="49"/>
      <c r="AI256" s="49"/>
      <c r="AJ256" s="49"/>
      <c r="AK256" s="49"/>
      <c r="AL256" s="49"/>
      <c r="AM256" s="49"/>
      <c r="AN256" s="49"/>
      <c r="AO256" s="49"/>
      <c r="AP256" s="49"/>
      <c r="AQ256" s="49"/>
      <c r="AR256" s="49"/>
      <c r="AS256" s="49"/>
      <c r="AT256" s="49"/>
      <c r="AU256" s="49"/>
      <c r="AV256" s="49"/>
      <c r="AW256" s="49"/>
      <c r="AX256" s="49"/>
    </row>
    <row r="257">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c r="AA257" s="49"/>
      <c r="AB257" s="49"/>
      <c r="AC257" s="49"/>
      <c r="AD257" s="49"/>
      <c r="AE257" s="49"/>
      <c r="AF257" s="49"/>
      <c r="AG257" s="49"/>
      <c r="AH257" s="49"/>
      <c r="AI257" s="49"/>
      <c r="AJ257" s="49"/>
      <c r="AK257" s="49"/>
      <c r="AL257" s="49"/>
      <c r="AM257" s="49"/>
      <c r="AN257" s="49"/>
      <c r="AO257" s="49"/>
      <c r="AP257" s="49"/>
      <c r="AQ257" s="49"/>
      <c r="AR257" s="49"/>
      <c r="AS257" s="49"/>
      <c r="AT257" s="49"/>
      <c r="AU257" s="49"/>
      <c r="AV257" s="49"/>
      <c r="AW257" s="49"/>
      <c r="AX257" s="49"/>
    </row>
    <row r="258">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c r="AA258" s="49"/>
      <c r="AB258" s="49"/>
      <c r="AC258" s="49"/>
      <c r="AD258" s="49"/>
      <c r="AE258" s="49"/>
      <c r="AF258" s="49"/>
      <c r="AG258" s="49"/>
      <c r="AH258" s="49"/>
      <c r="AI258" s="49"/>
      <c r="AJ258" s="49"/>
      <c r="AK258" s="49"/>
      <c r="AL258" s="49"/>
      <c r="AM258" s="49"/>
      <c r="AN258" s="49"/>
      <c r="AO258" s="49"/>
      <c r="AP258" s="49"/>
      <c r="AQ258" s="49"/>
      <c r="AR258" s="49"/>
      <c r="AS258" s="49"/>
      <c r="AT258" s="49"/>
      <c r="AU258" s="49"/>
      <c r="AV258" s="49"/>
      <c r="AW258" s="49"/>
      <c r="AX258" s="49"/>
    </row>
    <row r="259">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c r="AA259" s="49"/>
      <c r="AB259" s="49"/>
      <c r="AC259" s="49"/>
      <c r="AD259" s="49"/>
      <c r="AE259" s="49"/>
      <c r="AF259" s="49"/>
      <c r="AG259" s="49"/>
      <c r="AH259" s="49"/>
      <c r="AI259" s="49"/>
      <c r="AJ259" s="49"/>
      <c r="AK259" s="49"/>
      <c r="AL259" s="49"/>
      <c r="AM259" s="49"/>
      <c r="AN259" s="49"/>
      <c r="AO259" s="49"/>
      <c r="AP259" s="49"/>
      <c r="AQ259" s="49"/>
      <c r="AR259" s="49"/>
      <c r="AS259" s="49"/>
      <c r="AT259" s="49"/>
      <c r="AU259" s="49"/>
      <c r="AV259" s="49"/>
      <c r="AW259" s="49"/>
      <c r="AX259" s="49"/>
    </row>
    <row r="260">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c r="AA260" s="49"/>
      <c r="AB260" s="49"/>
      <c r="AC260" s="49"/>
      <c r="AD260" s="49"/>
      <c r="AE260" s="49"/>
      <c r="AF260" s="49"/>
      <c r="AG260" s="49"/>
      <c r="AH260" s="49"/>
      <c r="AI260" s="49"/>
      <c r="AJ260" s="49"/>
      <c r="AK260" s="49"/>
      <c r="AL260" s="49"/>
      <c r="AM260" s="49"/>
      <c r="AN260" s="49"/>
      <c r="AO260" s="49"/>
      <c r="AP260" s="49"/>
      <c r="AQ260" s="49"/>
      <c r="AR260" s="49"/>
      <c r="AS260" s="49"/>
      <c r="AT260" s="49"/>
      <c r="AU260" s="49"/>
      <c r="AV260" s="49"/>
      <c r="AW260" s="49"/>
      <c r="AX260" s="49"/>
    </row>
    <row r="261">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c r="AA261" s="49"/>
      <c r="AB261" s="49"/>
      <c r="AC261" s="49"/>
      <c r="AD261" s="49"/>
      <c r="AE261" s="49"/>
      <c r="AF261" s="49"/>
      <c r="AG261" s="49"/>
      <c r="AH261" s="49"/>
      <c r="AI261" s="49"/>
      <c r="AJ261" s="49"/>
      <c r="AK261" s="49"/>
      <c r="AL261" s="49"/>
      <c r="AM261" s="49"/>
      <c r="AN261" s="49"/>
      <c r="AO261" s="49"/>
      <c r="AP261" s="49"/>
      <c r="AQ261" s="49"/>
      <c r="AR261" s="49"/>
      <c r="AS261" s="49"/>
      <c r="AT261" s="49"/>
      <c r="AU261" s="49"/>
      <c r="AV261" s="49"/>
      <c r="AW261" s="49"/>
      <c r="AX261" s="49"/>
    </row>
    <row r="262">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c r="AA262" s="49"/>
      <c r="AB262" s="49"/>
      <c r="AC262" s="49"/>
      <c r="AD262" s="49"/>
      <c r="AE262" s="49"/>
      <c r="AF262" s="49"/>
      <c r="AG262" s="49"/>
      <c r="AH262" s="49"/>
      <c r="AI262" s="49"/>
      <c r="AJ262" s="49"/>
      <c r="AK262" s="49"/>
      <c r="AL262" s="49"/>
      <c r="AM262" s="49"/>
      <c r="AN262" s="49"/>
      <c r="AO262" s="49"/>
      <c r="AP262" s="49"/>
      <c r="AQ262" s="49"/>
      <c r="AR262" s="49"/>
      <c r="AS262" s="49"/>
      <c r="AT262" s="49"/>
      <c r="AU262" s="49"/>
      <c r="AV262" s="49"/>
      <c r="AW262" s="49"/>
      <c r="AX262" s="49"/>
    </row>
    <row r="263">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c r="AA263" s="49"/>
      <c r="AB263" s="49"/>
      <c r="AC263" s="49"/>
      <c r="AD263" s="49"/>
      <c r="AE263" s="49"/>
      <c r="AF263" s="49"/>
      <c r="AG263" s="49"/>
      <c r="AH263" s="49"/>
      <c r="AI263" s="49"/>
      <c r="AJ263" s="49"/>
      <c r="AK263" s="49"/>
      <c r="AL263" s="49"/>
      <c r="AM263" s="49"/>
      <c r="AN263" s="49"/>
      <c r="AO263" s="49"/>
      <c r="AP263" s="49"/>
      <c r="AQ263" s="49"/>
      <c r="AR263" s="49"/>
      <c r="AS263" s="49"/>
      <c r="AT263" s="49"/>
      <c r="AU263" s="49"/>
      <c r="AV263" s="49"/>
      <c r="AW263" s="49"/>
      <c r="AX263" s="49"/>
    </row>
    <row r="264">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c r="AA264" s="49"/>
      <c r="AB264" s="49"/>
      <c r="AC264" s="49"/>
      <c r="AD264" s="49"/>
      <c r="AE264" s="49"/>
      <c r="AF264" s="49"/>
      <c r="AG264" s="49"/>
      <c r="AH264" s="49"/>
      <c r="AI264" s="49"/>
      <c r="AJ264" s="49"/>
      <c r="AK264" s="49"/>
      <c r="AL264" s="49"/>
      <c r="AM264" s="49"/>
      <c r="AN264" s="49"/>
      <c r="AO264" s="49"/>
      <c r="AP264" s="49"/>
      <c r="AQ264" s="49"/>
      <c r="AR264" s="49"/>
      <c r="AS264" s="49"/>
      <c r="AT264" s="49"/>
      <c r="AU264" s="49"/>
      <c r="AV264" s="49"/>
      <c r="AW264" s="49"/>
      <c r="AX264" s="49"/>
    </row>
    <row r="26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c r="AA265" s="49"/>
      <c r="AB265" s="49"/>
      <c r="AC265" s="49"/>
      <c r="AD265" s="49"/>
      <c r="AE265" s="49"/>
      <c r="AF265" s="49"/>
      <c r="AG265" s="49"/>
      <c r="AH265" s="49"/>
      <c r="AI265" s="49"/>
      <c r="AJ265" s="49"/>
      <c r="AK265" s="49"/>
      <c r="AL265" s="49"/>
      <c r="AM265" s="49"/>
      <c r="AN265" s="49"/>
      <c r="AO265" s="49"/>
      <c r="AP265" s="49"/>
      <c r="AQ265" s="49"/>
      <c r="AR265" s="49"/>
      <c r="AS265" s="49"/>
      <c r="AT265" s="49"/>
      <c r="AU265" s="49"/>
      <c r="AV265" s="49"/>
      <c r="AW265" s="49"/>
      <c r="AX265" s="49"/>
    </row>
    <row r="266">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c r="AA266" s="49"/>
      <c r="AB266" s="49"/>
      <c r="AC266" s="49"/>
      <c r="AD266" s="49"/>
      <c r="AE266" s="49"/>
      <c r="AF266" s="49"/>
      <c r="AG266" s="49"/>
      <c r="AH266" s="49"/>
      <c r="AI266" s="49"/>
      <c r="AJ266" s="49"/>
      <c r="AK266" s="49"/>
      <c r="AL266" s="49"/>
      <c r="AM266" s="49"/>
      <c r="AN266" s="49"/>
      <c r="AO266" s="49"/>
      <c r="AP266" s="49"/>
      <c r="AQ266" s="49"/>
      <c r="AR266" s="49"/>
      <c r="AS266" s="49"/>
      <c r="AT266" s="49"/>
      <c r="AU266" s="49"/>
      <c r="AV266" s="49"/>
      <c r="AW266" s="49"/>
      <c r="AX266" s="49"/>
    </row>
    <row r="267">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c r="AA267" s="49"/>
      <c r="AB267" s="49"/>
      <c r="AC267" s="49"/>
      <c r="AD267" s="49"/>
      <c r="AE267" s="49"/>
      <c r="AF267" s="49"/>
      <c r="AG267" s="49"/>
      <c r="AH267" s="49"/>
      <c r="AI267" s="49"/>
      <c r="AJ267" s="49"/>
      <c r="AK267" s="49"/>
      <c r="AL267" s="49"/>
      <c r="AM267" s="49"/>
      <c r="AN267" s="49"/>
      <c r="AO267" s="49"/>
      <c r="AP267" s="49"/>
      <c r="AQ267" s="49"/>
      <c r="AR267" s="49"/>
      <c r="AS267" s="49"/>
      <c r="AT267" s="49"/>
      <c r="AU267" s="49"/>
      <c r="AV267" s="49"/>
      <c r="AW267" s="49"/>
      <c r="AX267" s="49"/>
    </row>
    <row r="268">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c r="AA268" s="49"/>
      <c r="AB268" s="49"/>
      <c r="AC268" s="49"/>
      <c r="AD268" s="49"/>
      <c r="AE268" s="49"/>
      <c r="AF268" s="49"/>
      <c r="AG268" s="49"/>
      <c r="AH268" s="49"/>
      <c r="AI268" s="49"/>
      <c r="AJ268" s="49"/>
      <c r="AK268" s="49"/>
      <c r="AL268" s="49"/>
      <c r="AM268" s="49"/>
      <c r="AN268" s="49"/>
      <c r="AO268" s="49"/>
      <c r="AP268" s="49"/>
      <c r="AQ268" s="49"/>
      <c r="AR268" s="49"/>
      <c r="AS268" s="49"/>
      <c r="AT268" s="49"/>
      <c r="AU268" s="49"/>
      <c r="AV268" s="49"/>
      <c r="AW268" s="49"/>
      <c r="AX268" s="49"/>
    </row>
    <row r="269">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c r="AA269" s="49"/>
      <c r="AB269" s="49"/>
      <c r="AC269" s="49"/>
      <c r="AD269" s="49"/>
      <c r="AE269" s="49"/>
      <c r="AF269" s="49"/>
      <c r="AG269" s="49"/>
      <c r="AH269" s="49"/>
      <c r="AI269" s="49"/>
      <c r="AJ269" s="49"/>
      <c r="AK269" s="49"/>
      <c r="AL269" s="49"/>
      <c r="AM269" s="49"/>
      <c r="AN269" s="49"/>
      <c r="AO269" s="49"/>
      <c r="AP269" s="49"/>
      <c r="AQ269" s="49"/>
      <c r="AR269" s="49"/>
      <c r="AS269" s="49"/>
      <c r="AT269" s="49"/>
      <c r="AU269" s="49"/>
      <c r="AV269" s="49"/>
      <c r="AW269" s="49"/>
      <c r="AX269" s="49"/>
    </row>
    <row r="270">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c r="AA270" s="49"/>
      <c r="AB270" s="49"/>
      <c r="AC270" s="49"/>
      <c r="AD270" s="49"/>
      <c r="AE270" s="49"/>
      <c r="AF270" s="49"/>
      <c r="AG270" s="49"/>
      <c r="AH270" s="49"/>
      <c r="AI270" s="49"/>
      <c r="AJ270" s="49"/>
      <c r="AK270" s="49"/>
      <c r="AL270" s="49"/>
      <c r="AM270" s="49"/>
      <c r="AN270" s="49"/>
      <c r="AO270" s="49"/>
      <c r="AP270" s="49"/>
      <c r="AQ270" s="49"/>
      <c r="AR270" s="49"/>
      <c r="AS270" s="49"/>
      <c r="AT270" s="49"/>
      <c r="AU270" s="49"/>
      <c r="AV270" s="49"/>
      <c r="AW270" s="49"/>
      <c r="AX270" s="49"/>
    </row>
    <row r="271">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c r="AA271" s="49"/>
      <c r="AB271" s="49"/>
      <c r="AC271" s="49"/>
      <c r="AD271" s="49"/>
      <c r="AE271" s="49"/>
      <c r="AF271" s="49"/>
      <c r="AG271" s="49"/>
      <c r="AH271" s="49"/>
      <c r="AI271" s="49"/>
      <c r="AJ271" s="49"/>
      <c r="AK271" s="49"/>
      <c r="AL271" s="49"/>
      <c r="AM271" s="49"/>
      <c r="AN271" s="49"/>
      <c r="AO271" s="49"/>
      <c r="AP271" s="49"/>
      <c r="AQ271" s="49"/>
      <c r="AR271" s="49"/>
      <c r="AS271" s="49"/>
      <c r="AT271" s="49"/>
      <c r="AU271" s="49"/>
      <c r="AV271" s="49"/>
      <c r="AW271" s="49"/>
      <c r="AX271" s="49"/>
    </row>
    <row r="272">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c r="AA272" s="49"/>
      <c r="AB272" s="49"/>
      <c r="AC272" s="49"/>
      <c r="AD272" s="49"/>
      <c r="AE272" s="49"/>
      <c r="AF272" s="49"/>
      <c r="AG272" s="49"/>
      <c r="AH272" s="49"/>
      <c r="AI272" s="49"/>
      <c r="AJ272" s="49"/>
      <c r="AK272" s="49"/>
      <c r="AL272" s="49"/>
      <c r="AM272" s="49"/>
      <c r="AN272" s="49"/>
      <c r="AO272" s="49"/>
      <c r="AP272" s="49"/>
      <c r="AQ272" s="49"/>
      <c r="AR272" s="49"/>
      <c r="AS272" s="49"/>
      <c r="AT272" s="49"/>
      <c r="AU272" s="49"/>
      <c r="AV272" s="49"/>
      <c r="AW272" s="49"/>
      <c r="AX272" s="49"/>
    </row>
    <row r="273">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c r="AA273" s="49"/>
      <c r="AB273" s="49"/>
      <c r="AC273" s="49"/>
      <c r="AD273" s="49"/>
      <c r="AE273" s="49"/>
      <c r="AF273" s="49"/>
      <c r="AG273" s="49"/>
      <c r="AH273" s="49"/>
      <c r="AI273" s="49"/>
      <c r="AJ273" s="49"/>
      <c r="AK273" s="49"/>
      <c r="AL273" s="49"/>
      <c r="AM273" s="49"/>
      <c r="AN273" s="49"/>
      <c r="AO273" s="49"/>
      <c r="AP273" s="49"/>
      <c r="AQ273" s="49"/>
      <c r="AR273" s="49"/>
      <c r="AS273" s="49"/>
      <c r="AT273" s="49"/>
      <c r="AU273" s="49"/>
      <c r="AV273" s="49"/>
      <c r="AW273" s="49"/>
      <c r="AX273" s="49"/>
    </row>
    <row r="274">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c r="AA274" s="49"/>
      <c r="AB274" s="49"/>
      <c r="AC274" s="49"/>
      <c r="AD274" s="49"/>
      <c r="AE274" s="49"/>
      <c r="AF274" s="49"/>
      <c r="AG274" s="49"/>
      <c r="AH274" s="49"/>
      <c r="AI274" s="49"/>
      <c r="AJ274" s="49"/>
      <c r="AK274" s="49"/>
      <c r="AL274" s="49"/>
      <c r="AM274" s="49"/>
      <c r="AN274" s="49"/>
      <c r="AO274" s="49"/>
      <c r="AP274" s="49"/>
      <c r="AQ274" s="49"/>
      <c r="AR274" s="49"/>
      <c r="AS274" s="49"/>
      <c r="AT274" s="49"/>
      <c r="AU274" s="49"/>
      <c r="AV274" s="49"/>
      <c r="AW274" s="49"/>
      <c r="AX274" s="49"/>
    </row>
    <row r="27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c r="AA275" s="49"/>
      <c r="AB275" s="49"/>
      <c r="AC275" s="49"/>
      <c r="AD275" s="49"/>
      <c r="AE275" s="49"/>
      <c r="AF275" s="49"/>
      <c r="AG275" s="49"/>
      <c r="AH275" s="49"/>
      <c r="AI275" s="49"/>
      <c r="AJ275" s="49"/>
      <c r="AK275" s="49"/>
      <c r="AL275" s="49"/>
      <c r="AM275" s="49"/>
      <c r="AN275" s="49"/>
      <c r="AO275" s="49"/>
      <c r="AP275" s="49"/>
      <c r="AQ275" s="49"/>
      <c r="AR275" s="49"/>
      <c r="AS275" s="49"/>
      <c r="AT275" s="49"/>
      <c r="AU275" s="49"/>
      <c r="AV275" s="49"/>
      <c r="AW275" s="49"/>
      <c r="AX275" s="49"/>
    </row>
    <row r="276">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c r="AA276" s="49"/>
      <c r="AB276" s="49"/>
      <c r="AC276" s="49"/>
      <c r="AD276" s="49"/>
      <c r="AE276" s="49"/>
      <c r="AF276" s="49"/>
      <c r="AG276" s="49"/>
      <c r="AH276" s="49"/>
      <c r="AI276" s="49"/>
      <c r="AJ276" s="49"/>
      <c r="AK276" s="49"/>
      <c r="AL276" s="49"/>
      <c r="AM276" s="49"/>
      <c r="AN276" s="49"/>
      <c r="AO276" s="49"/>
      <c r="AP276" s="49"/>
      <c r="AQ276" s="49"/>
      <c r="AR276" s="49"/>
      <c r="AS276" s="49"/>
      <c r="AT276" s="49"/>
      <c r="AU276" s="49"/>
      <c r="AV276" s="49"/>
      <c r="AW276" s="49"/>
      <c r="AX276" s="49"/>
    </row>
    <row r="277">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c r="AA277" s="49"/>
      <c r="AB277" s="49"/>
      <c r="AC277" s="49"/>
      <c r="AD277" s="49"/>
      <c r="AE277" s="49"/>
      <c r="AF277" s="49"/>
      <c r="AG277" s="49"/>
      <c r="AH277" s="49"/>
      <c r="AI277" s="49"/>
      <c r="AJ277" s="49"/>
      <c r="AK277" s="49"/>
      <c r="AL277" s="49"/>
      <c r="AM277" s="49"/>
      <c r="AN277" s="49"/>
      <c r="AO277" s="49"/>
      <c r="AP277" s="49"/>
      <c r="AQ277" s="49"/>
      <c r="AR277" s="49"/>
      <c r="AS277" s="49"/>
      <c r="AT277" s="49"/>
      <c r="AU277" s="49"/>
      <c r="AV277" s="49"/>
      <c r="AW277" s="49"/>
      <c r="AX277" s="49"/>
    </row>
    <row r="278">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c r="AA278" s="49"/>
      <c r="AB278" s="49"/>
      <c r="AC278" s="49"/>
      <c r="AD278" s="49"/>
      <c r="AE278" s="49"/>
      <c r="AF278" s="49"/>
      <c r="AG278" s="49"/>
      <c r="AH278" s="49"/>
      <c r="AI278" s="49"/>
      <c r="AJ278" s="49"/>
      <c r="AK278" s="49"/>
      <c r="AL278" s="49"/>
      <c r="AM278" s="49"/>
      <c r="AN278" s="49"/>
      <c r="AO278" s="49"/>
      <c r="AP278" s="49"/>
      <c r="AQ278" s="49"/>
      <c r="AR278" s="49"/>
      <c r="AS278" s="49"/>
      <c r="AT278" s="49"/>
      <c r="AU278" s="49"/>
      <c r="AV278" s="49"/>
      <c r="AW278" s="49"/>
      <c r="AX278" s="49"/>
    </row>
    <row r="279">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c r="AA279" s="49"/>
      <c r="AB279" s="49"/>
      <c r="AC279" s="49"/>
      <c r="AD279" s="49"/>
      <c r="AE279" s="49"/>
      <c r="AF279" s="49"/>
      <c r="AG279" s="49"/>
      <c r="AH279" s="49"/>
      <c r="AI279" s="49"/>
      <c r="AJ279" s="49"/>
      <c r="AK279" s="49"/>
      <c r="AL279" s="49"/>
      <c r="AM279" s="49"/>
      <c r="AN279" s="49"/>
      <c r="AO279" s="49"/>
      <c r="AP279" s="49"/>
      <c r="AQ279" s="49"/>
      <c r="AR279" s="49"/>
      <c r="AS279" s="49"/>
      <c r="AT279" s="49"/>
      <c r="AU279" s="49"/>
      <c r="AV279" s="49"/>
      <c r="AW279" s="49"/>
      <c r="AX279" s="49"/>
    </row>
    <row r="280">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c r="AA280" s="49"/>
      <c r="AB280" s="49"/>
      <c r="AC280" s="49"/>
      <c r="AD280" s="49"/>
      <c r="AE280" s="49"/>
      <c r="AF280" s="49"/>
      <c r="AG280" s="49"/>
      <c r="AH280" s="49"/>
      <c r="AI280" s="49"/>
      <c r="AJ280" s="49"/>
      <c r="AK280" s="49"/>
      <c r="AL280" s="49"/>
      <c r="AM280" s="49"/>
      <c r="AN280" s="49"/>
      <c r="AO280" s="49"/>
      <c r="AP280" s="49"/>
      <c r="AQ280" s="49"/>
      <c r="AR280" s="49"/>
      <c r="AS280" s="49"/>
      <c r="AT280" s="49"/>
      <c r="AU280" s="49"/>
      <c r="AV280" s="49"/>
      <c r="AW280" s="49"/>
      <c r="AX280" s="49"/>
    </row>
    <row r="281">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c r="AA281" s="49"/>
      <c r="AB281" s="49"/>
      <c r="AC281" s="49"/>
      <c r="AD281" s="49"/>
      <c r="AE281" s="49"/>
      <c r="AF281" s="49"/>
      <c r="AG281" s="49"/>
      <c r="AH281" s="49"/>
      <c r="AI281" s="49"/>
      <c r="AJ281" s="49"/>
      <c r="AK281" s="49"/>
      <c r="AL281" s="49"/>
      <c r="AM281" s="49"/>
      <c r="AN281" s="49"/>
      <c r="AO281" s="49"/>
      <c r="AP281" s="49"/>
      <c r="AQ281" s="49"/>
      <c r="AR281" s="49"/>
      <c r="AS281" s="49"/>
      <c r="AT281" s="49"/>
      <c r="AU281" s="49"/>
      <c r="AV281" s="49"/>
      <c r="AW281" s="49"/>
      <c r="AX281" s="49"/>
    </row>
    <row r="282">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c r="AA282" s="49"/>
      <c r="AB282" s="49"/>
      <c r="AC282" s="49"/>
      <c r="AD282" s="49"/>
      <c r="AE282" s="49"/>
      <c r="AF282" s="49"/>
      <c r="AG282" s="49"/>
      <c r="AH282" s="49"/>
      <c r="AI282" s="49"/>
      <c r="AJ282" s="49"/>
      <c r="AK282" s="49"/>
      <c r="AL282" s="49"/>
      <c r="AM282" s="49"/>
      <c r="AN282" s="49"/>
      <c r="AO282" s="49"/>
      <c r="AP282" s="49"/>
      <c r="AQ282" s="49"/>
      <c r="AR282" s="49"/>
      <c r="AS282" s="49"/>
      <c r="AT282" s="49"/>
      <c r="AU282" s="49"/>
      <c r="AV282" s="49"/>
      <c r="AW282" s="49"/>
      <c r="AX282" s="49"/>
    </row>
    <row r="283">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c r="AA283" s="49"/>
      <c r="AB283" s="49"/>
      <c r="AC283" s="49"/>
      <c r="AD283" s="49"/>
      <c r="AE283" s="49"/>
      <c r="AF283" s="49"/>
      <c r="AG283" s="49"/>
      <c r="AH283" s="49"/>
      <c r="AI283" s="49"/>
      <c r="AJ283" s="49"/>
      <c r="AK283" s="49"/>
      <c r="AL283" s="49"/>
      <c r="AM283" s="49"/>
      <c r="AN283" s="49"/>
      <c r="AO283" s="49"/>
      <c r="AP283" s="49"/>
      <c r="AQ283" s="49"/>
      <c r="AR283" s="49"/>
      <c r="AS283" s="49"/>
      <c r="AT283" s="49"/>
      <c r="AU283" s="49"/>
      <c r="AV283" s="49"/>
      <c r="AW283" s="49"/>
      <c r="AX283" s="49"/>
    </row>
    <row r="284">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c r="AA284" s="49"/>
      <c r="AB284" s="49"/>
      <c r="AC284" s="49"/>
      <c r="AD284" s="49"/>
      <c r="AE284" s="49"/>
      <c r="AF284" s="49"/>
      <c r="AG284" s="49"/>
      <c r="AH284" s="49"/>
      <c r="AI284" s="49"/>
      <c r="AJ284" s="49"/>
      <c r="AK284" s="49"/>
      <c r="AL284" s="49"/>
      <c r="AM284" s="49"/>
      <c r="AN284" s="49"/>
      <c r="AO284" s="49"/>
      <c r="AP284" s="49"/>
      <c r="AQ284" s="49"/>
      <c r="AR284" s="49"/>
      <c r="AS284" s="49"/>
      <c r="AT284" s="49"/>
      <c r="AU284" s="49"/>
      <c r="AV284" s="49"/>
      <c r="AW284" s="49"/>
      <c r="AX284" s="49"/>
    </row>
    <row r="28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c r="AA285" s="49"/>
      <c r="AB285" s="49"/>
      <c r="AC285" s="49"/>
      <c r="AD285" s="49"/>
      <c r="AE285" s="49"/>
      <c r="AF285" s="49"/>
      <c r="AG285" s="49"/>
      <c r="AH285" s="49"/>
      <c r="AI285" s="49"/>
      <c r="AJ285" s="49"/>
      <c r="AK285" s="49"/>
      <c r="AL285" s="49"/>
      <c r="AM285" s="49"/>
      <c r="AN285" s="49"/>
      <c r="AO285" s="49"/>
      <c r="AP285" s="49"/>
      <c r="AQ285" s="49"/>
      <c r="AR285" s="49"/>
      <c r="AS285" s="49"/>
      <c r="AT285" s="49"/>
      <c r="AU285" s="49"/>
      <c r="AV285" s="49"/>
      <c r="AW285" s="49"/>
      <c r="AX285" s="49"/>
    </row>
    <row r="286">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c r="AA286" s="49"/>
      <c r="AB286" s="49"/>
      <c r="AC286" s="49"/>
      <c r="AD286" s="49"/>
      <c r="AE286" s="49"/>
      <c r="AF286" s="49"/>
      <c r="AG286" s="49"/>
      <c r="AH286" s="49"/>
      <c r="AI286" s="49"/>
      <c r="AJ286" s="49"/>
      <c r="AK286" s="49"/>
      <c r="AL286" s="49"/>
      <c r="AM286" s="49"/>
      <c r="AN286" s="49"/>
      <c r="AO286" s="49"/>
      <c r="AP286" s="49"/>
      <c r="AQ286" s="49"/>
      <c r="AR286" s="49"/>
      <c r="AS286" s="49"/>
      <c r="AT286" s="49"/>
      <c r="AU286" s="49"/>
      <c r="AV286" s="49"/>
      <c r="AW286" s="49"/>
      <c r="AX286" s="49"/>
    </row>
    <row r="287">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c r="AA287" s="49"/>
      <c r="AB287" s="49"/>
      <c r="AC287" s="49"/>
      <c r="AD287" s="49"/>
      <c r="AE287" s="49"/>
      <c r="AF287" s="49"/>
      <c r="AG287" s="49"/>
      <c r="AH287" s="49"/>
      <c r="AI287" s="49"/>
      <c r="AJ287" s="49"/>
      <c r="AK287" s="49"/>
      <c r="AL287" s="49"/>
      <c r="AM287" s="49"/>
      <c r="AN287" s="49"/>
      <c r="AO287" s="49"/>
      <c r="AP287" s="49"/>
      <c r="AQ287" s="49"/>
      <c r="AR287" s="49"/>
      <c r="AS287" s="49"/>
      <c r="AT287" s="49"/>
      <c r="AU287" s="49"/>
      <c r="AV287" s="49"/>
      <c r="AW287" s="49"/>
      <c r="AX287" s="49"/>
    </row>
    <row r="288">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c r="AA288" s="49"/>
      <c r="AB288" s="49"/>
      <c r="AC288" s="49"/>
      <c r="AD288" s="49"/>
      <c r="AE288" s="49"/>
      <c r="AF288" s="49"/>
      <c r="AG288" s="49"/>
      <c r="AH288" s="49"/>
      <c r="AI288" s="49"/>
      <c r="AJ288" s="49"/>
      <c r="AK288" s="49"/>
      <c r="AL288" s="49"/>
      <c r="AM288" s="49"/>
      <c r="AN288" s="49"/>
      <c r="AO288" s="49"/>
      <c r="AP288" s="49"/>
      <c r="AQ288" s="49"/>
      <c r="AR288" s="49"/>
      <c r="AS288" s="49"/>
      <c r="AT288" s="49"/>
      <c r="AU288" s="49"/>
      <c r="AV288" s="49"/>
      <c r="AW288" s="49"/>
      <c r="AX288" s="49"/>
    </row>
    <row r="289">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c r="AA289" s="49"/>
      <c r="AB289" s="49"/>
      <c r="AC289" s="49"/>
      <c r="AD289" s="49"/>
      <c r="AE289" s="49"/>
      <c r="AF289" s="49"/>
      <c r="AG289" s="49"/>
      <c r="AH289" s="49"/>
      <c r="AI289" s="49"/>
      <c r="AJ289" s="49"/>
      <c r="AK289" s="49"/>
      <c r="AL289" s="49"/>
      <c r="AM289" s="49"/>
      <c r="AN289" s="49"/>
      <c r="AO289" s="49"/>
      <c r="AP289" s="49"/>
      <c r="AQ289" s="49"/>
      <c r="AR289" s="49"/>
      <c r="AS289" s="49"/>
      <c r="AT289" s="49"/>
      <c r="AU289" s="49"/>
      <c r="AV289" s="49"/>
      <c r="AW289" s="49"/>
      <c r="AX289" s="49"/>
    </row>
    <row r="290">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c r="AA290" s="49"/>
      <c r="AB290" s="49"/>
      <c r="AC290" s="49"/>
      <c r="AD290" s="49"/>
      <c r="AE290" s="49"/>
      <c r="AF290" s="49"/>
      <c r="AG290" s="49"/>
      <c r="AH290" s="49"/>
      <c r="AI290" s="49"/>
      <c r="AJ290" s="49"/>
      <c r="AK290" s="49"/>
      <c r="AL290" s="49"/>
      <c r="AM290" s="49"/>
      <c r="AN290" s="49"/>
      <c r="AO290" s="49"/>
      <c r="AP290" s="49"/>
      <c r="AQ290" s="49"/>
      <c r="AR290" s="49"/>
      <c r="AS290" s="49"/>
      <c r="AT290" s="49"/>
      <c r="AU290" s="49"/>
      <c r="AV290" s="49"/>
      <c r="AW290" s="49"/>
      <c r="AX290" s="49"/>
    </row>
    <row r="291">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c r="AA291" s="49"/>
      <c r="AB291" s="49"/>
      <c r="AC291" s="49"/>
      <c r="AD291" s="49"/>
      <c r="AE291" s="49"/>
      <c r="AF291" s="49"/>
      <c r="AG291" s="49"/>
      <c r="AH291" s="49"/>
      <c r="AI291" s="49"/>
      <c r="AJ291" s="49"/>
      <c r="AK291" s="49"/>
      <c r="AL291" s="49"/>
      <c r="AM291" s="49"/>
      <c r="AN291" s="49"/>
      <c r="AO291" s="49"/>
      <c r="AP291" s="49"/>
      <c r="AQ291" s="49"/>
      <c r="AR291" s="49"/>
      <c r="AS291" s="49"/>
      <c r="AT291" s="49"/>
      <c r="AU291" s="49"/>
      <c r="AV291" s="49"/>
      <c r="AW291" s="49"/>
      <c r="AX291" s="49"/>
    </row>
    <row r="292">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c r="AA292" s="49"/>
      <c r="AB292" s="49"/>
      <c r="AC292" s="49"/>
      <c r="AD292" s="49"/>
      <c r="AE292" s="49"/>
      <c r="AF292" s="49"/>
      <c r="AG292" s="49"/>
      <c r="AH292" s="49"/>
      <c r="AI292" s="49"/>
      <c r="AJ292" s="49"/>
      <c r="AK292" s="49"/>
      <c r="AL292" s="49"/>
      <c r="AM292" s="49"/>
      <c r="AN292" s="49"/>
      <c r="AO292" s="49"/>
      <c r="AP292" s="49"/>
      <c r="AQ292" s="49"/>
      <c r="AR292" s="49"/>
      <c r="AS292" s="49"/>
      <c r="AT292" s="49"/>
      <c r="AU292" s="49"/>
      <c r="AV292" s="49"/>
      <c r="AW292" s="49"/>
      <c r="AX292" s="49"/>
    </row>
    <row r="293">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c r="AA293" s="49"/>
      <c r="AB293" s="49"/>
      <c r="AC293" s="49"/>
      <c r="AD293" s="49"/>
      <c r="AE293" s="49"/>
      <c r="AF293" s="49"/>
      <c r="AG293" s="49"/>
      <c r="AH293" s="49"/>
      <c r="AI293" s="49"/>
      <c r="AJ293" s="49"/>
      <c r="AK293" s="49"/>
      <c r="AL293" s="49"/>
      <c r="AM293" s="49"/>
      <c r="AN293" s="49"/>
      <c r="AO293" s="49"/>
      <c r="AP293" s="49"/>
      <c r="AQ293" s="49"/>
      <c r="AR293" s="49"/>
      <c r="AS293" s="49"/>
      <c r="AT293" s="49"/>
      <c r="AU293" s="49"/>
      <c r="AV293" s="49"/>
      <c r="AW293" s="49"/>
      <c r="AX293" s="49"/>
    </row>
    <row r="294">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c r="AA294" s="49"/>
      <c r="AB294" s="49"/>
      <c r="AC294" s="49"/>
      <c r="AD294" s="49"/>
      <c r="AE294" s="49"/>
      <c r="AF294" s="49"/>
      <c r="AG294" s="49"/>
      <c r="AH294" s="49"/>
      <c r="AI294" s="49"/>
      <c r="AJ294" s="49"/>
      <c r="AK294" s="49"/>
      <c r="AL294" s="49"/>
      <c r="AM294" s="49"/>
      <c r="AN294" s="49"/>
      <c r="AO294" s="49"/>
      <c r="AP294" s="49"/>
      <c r="AQ294" s="49"/>
      <c r="AR294" s="49"/>
      <c r="AS294" s="49"/>
      <c r="AT294" s="49"/>
      <c r="AU294" s="49"/>
      <c r="AV294" s="49"/>
      <c r="AW294" s="49"/>
      <c r="AX294" s="49"/>
    </row>
    <row r="29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c r="AA295" s="49"/>
      <c r="AB295" s="49"/>
      <c r="AC295" s="49"/>
      <c r="AD295" s="49"/>
      <c r="AE295" s="49"/>
      <c r="AF295" s="49"/>
      <c r="AG295" s="49"/>
      <c r="AH295" s="49"/>
      <c r="AI295" s="49"/>
      <c r="AJ295" s="49"/>
      <c r="AK295" s="49"/>
      <c r="AL295" s="49"/>
      <c r="AM295" s="49"/>
      <c r="AN295" s="49"/>
      <c r="AO295" s="49"/>
      <c r="AP295" s="49"/>
      <c r="AQ295" s="49"/>
      <c r="AR295" s="49"/>
      <c r="AS295" s="49"/>
      <c r="AT295" s="49"/>
      <c r="AU295" s="49"/>
      <c r="AV295" s="49"/>
      <c r="AW295" s="49"/>
      <c r="AX295" s="49"/>
    </row>
    <row r="296">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c r="AA296" s="49"/>
      <c r="AB296" s="49"/>
      <c r="AC296" s="49"/>
      <c r="AD296" s="49"/>
      <c r="AE296" s="49"/>
      <c r="AF296" s="49"/>
      <c r="AG296" s="49"/>
      <c r="AH296" s="49"/>
      <c r="AI296" s="49"/>
      <c r="AJ296" s="49"/>
      <c r="AK296" s="49"/>
      <c r="AL296" s="49"/>
      <c r="AM296" s="49"/>
      <c r="AN296" s="49"/>
      <c r="AO296" s="49"/>
      <c r="AP296" s="49"/>
      <c r="AQ296" s="49"/>
      <c r="AR296" s="49"/>
      <c r="AS296" s="49"/>
      <c r="AT296" s="49"/>
      <c r="AU296" s="49"/>
      <c r="AV296" s="49"/>
      <c r="AW296" s="49"/>
      <c r="AX296" s="49"/>
    </row>
    <row r="297">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c r="AA297" s="49"/>
      <c r="AB297" s="49"/>
      <c r="AC297" s="49"/>
      <c r="AD297" s="49"/>
      <c r="AE297" s="49"/>
      <c r="AF297" s="49"/>
      <c r="AG297" s="49"/>
      <c r="AH297" s="49"/>
      <c r="AI297" s="49"/>
      <c r="AJ297" s="49"/>
      <c r="AK297" s="49"/>
      <c r="AL297" s="49"/>
      <c r="AM297" s="49"/>
      <c r="AN297" s="49"/>
      <c r="AO297" s="49"/>
      <c r="AP297" s="49"/>
      <c r="AQ297" s="49"/>
      <c r="AR297" s="49"/>
      <c r="AS297" s="49"/>
      <c r="AT297" s="49"/>
      <c r="AU297" s="49"/>
      <c r="AV297" s="49"/>
      <c r="AW297" s="49"/>
      <c r="AX297" s="49"/>
    </row>
    <row r="298">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c r="AA298" s="49"/>
      <c r="AB298" s="49"/>
      <c r="AC298" s="49"/>
      <c r="AD298" s="49"/>
      <c r="AE298" s="49"/>
      <c r="AF298" s="49"/>
      <c r="AG298" s="49"/>
      <c r="AH298" s="49"/>
      <c r="AI298" s="49"/>
      <c r="AJ298" s="49"/>
      <c r="AK298" s="49"/>
      <c r="AL298" s="49"/>
      <c r="AM298" s="49"/>
      <c r="AN298" s="49"/>
      <c r="AO298" s="49"/>
      <c r="AP298" s="49"/>
      <c r="AQ298" s="49"/>
      <c r="AR298" s="49"/>
      <c r="AS298" s="49"/>
      <c r="AT298" s="49"/>
      <c r="AU298" s="49"/>
      <c r="AV298" s="49"/>
      <c r="AW298" s="49"/>
      <c r="AX298" s="49"/>
    </row>
    <row r="299">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c r="AA299" s="49"/>
      <c r="AB299" s="49"/>
      <c r="AC299" s="49"/>
      <c r="AD299" s="49"/>
      <c r="AE299" s="49"/>
      <c r="AF299" s="49"/>
      <c r="AG299" s="49"/>
      <c r="AH299" s="49"/>
      <c r="AI299" s="49"/>
      <c r="AJ299" s="49"/>
      <c r="AK299" s="49"/>
      <c r="AL299" s="49"/>
      <c r="AM299" s="49"/>
      <c r="AN299" s="49"/>
      <c r="AO299" s="49"/>
      <c r="AP299" s="49"/>
      <c r="AQ299" s="49"/>
      <c r="AR299" s="49"/>
      <c r="AS299" s="49"/>
      <c r="AT299" s="49"/>
      <c r="AU299" s="49"/>
      <c r="AV299" s="49"/>
      <c r="AW299" s="49"/>
      <c r="AX299" s="49"/>
    </row>
    <row r="300">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c r="AA300" s="49"/>
      <c r="AB300" s="49"/>
      <c r="AC300" s="49"/>
      <c r="AD300" s="49"/>
      <c r="AE300" s="49"/>
      <c r="AF300" s="49"/>
      <c r="AG300" s="49"/>
      <c r="AH300" s="49"/>
      <c r="AI300" s="49"/>
      <c r="AJ300" s="49"/>
      <c r="AK300" s="49"/>
      <c r="AL300" s="49"/>
      <c r="AM300" s="49"/>
      <c r="AN300" s="49"/>
      <c r="AO300" s="49"/>
      <c r="AP300" s="49"/>
      <c r="AQ300" s="49"/>
      <c r="AR300" s="49"/>
      <c r="AS300" s="49"/>
      <c r="AT300" s="49"/>
      <c r="AU300" s="49"/>
      <c r="AV300" s="49"/>
      <c r="AW300" s="49"/>
      <c r="AX300" s="49"/>
    </row>
    <row r="301">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c r="AA301" s="49"/>
      <c r="AB301" s="49"/>
      <c r="AC301" s="49"/>
      <c r="AD301" s="49"/>
      <c r="AE301" s="49"/>
      <c r="AF301" s="49"/>
      <c r="AG301" s="49"/>
      <c r="AH301" s="49"/>
      <c r="AI301" s="49"/>
      <c r="AJ301" s="49"/>
      <c r="AK301" s="49"/>
      <c r="AL301" s="49"/>
      <c r="AM301" s="49"/>
      <c r="AN301" s="49"/>
      <c r="AO301" s="49"/>
      <c r="AP301" s="49"/>
      <c r="AQ301" s="49"/>
      <c r="AR301" s="49"/>
      <c r="AS301" s="49"/>
      <c r="AT301" s="49"/>
      <c r="AU301" s="49"/>
      <c r="AV301" s="49"/>
      <c r="AW301" s="49"/>
      <c r="AX301" s="49"/>
    </row>
    <row r="302">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c r="AA302" s="49"/>
      <c r="AB302" s="49"/>
      <c r="AC302" s="49"/>
      <c r="AD302" s="49"/>
      <c r="AE302" s="49"/>
      <c r="AF302" s="49"/>
      <c r="AG302" s="49"/>
      <c r="AH302" s="49"/>
      <c r="AI302" s="49"/>
      <c r="AJ302" s="49"/>
      <c r="AK302" s="49"/>
      <c r="AL302" s="49"/>
      <c r="AM302" s="49"/>
      <c r="AN302" s="49"/>
      <c r="AO302" s="49"/>
      <c r="AP302" s="49"/>
      <c r="AQ302" s="49"/>
      <c r="AR302" s="49"/>
      <c r="AS302" s="49"/>
      <c r="AT302" s="49"/>
      <c r="AU302" s="49"/>
      <c r="AV302" s="49"/>
      <c r="AW302" s="49"/>
      <c r="AX302" s="49"/>
    </row>
    <row r="303">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c r="AA303" s="49"/>
      <c r="AB303" s="49"/>
      <c r="AC303" s="49"/>
      <c r="AD303" s="49"/>
      <c r="AE303" s="49"/>
      <c r="AF303" s="49"/>
      <c r="AG303" s="49"/>
      <c r="AH303" s="49"/>
      <c r="AI303" s="49"/>
      <c r="AJ303" s="49"/>
      <c r="AK303" s="49"/>
      <c r="AL303" s="49"/>
      <c r="AM303" s="49"/>
      <c r="AN303" s="49"/>
      <c r="AO303" s="49"/>
      <c r="AP303" s="49"/>
      <c r="AQ303" s="49"/>
      <c r="AR303" s="49"/>
      <c r="AS303" s="49"/>
      <c r="AT303" s="49"/>
      <c r="AU303" s="49"/>
      <c r="AV303" s="49"/>
      <c r="AW303" s="49"/>
      <c r="AX303" s="49"/>
    </row>
    <row r="304">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c r="AA304" s="49"/>
      <c r="AB304" s="49"/>
      <c r="AC304" s="49"/>
      <c r="AD304" s="49"/>
      <c r="AE304" s="49"/>
      <c r="AF304" s="49"/>
      <c r="AG304" s="49"/>
      <c r="AH304" s="49"/>
      <c r="AI304" s="49"/>
      <c r="AJ304" s="49"/>
      <c r="AK304" s="49"/>
      <c r="AL304" s="49"/>
      <c r="AM304" s="49"/>
      <c r="AN304" s="49"/>
      <c r="AO304" s="49"/>
      <c r="AP304" s="49"/>
      <c r="AQ304" s="49"/>
      <c r="AR304" s="49"/>
      <c r="AS304" s="49"/>
      <c r="AT304" s="49"/>
      <c r="AU304" s="49"/>
      <c r="AV304" s="49"/>
      <c r="AW304" s="49"/>
      <c r="AX304" s="49"/>
    </row>
    <row r="30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c r="AA305" s="49"/>
      <c r="AB305" s="49"/>
      <c r="AC305" s="49"/>
      <c r="AD305" s="49"/>
      <c r="AE305" s="49"/>
      <c r="AF305" s="49"/>
      <c r="AG305" s="49"/>
      <c r="AH305" s="49"/>
      <c r="AI305" s="49"/>
      <c r="AJ305" s="49"/>
      <c r="AK305" s="49"/>
      <c r="AL305" s="49"/>
      <c r="AM305" s="49"/>
      <c r="AN305" s="49"/>
      <c r="AO305" s="49"/>
      <c r="AP305" s="49"/>
      <c r="AQ305" s="49"/>
      <c r="AR305" s="49"/>
      <c r="AS305" s="49"/>
      <c r="AT305" s="49"/>
      <c r="AU305" s="49"/>
      <c r="AV305" s="49"/>
      <c r="AW305" s="49"/>
      <c r="AX305" s="49"/>
    </row>
    <row r="306">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c r="AA306" s="49"/>
      <c r="AB306" s="49"/>
      <c r="AC306" s="49"/>
      <c r="AD306" s="49"/>
      <c r="AE306" s="49"/>
      <c r="AF306" s="49"/>
      <c r="AG306" s="49"/>
      <c r="AH306" s="49"/>
      <c r="AI306" s="49"/>
      <c r="AJ306" s="49"/>
      <c r="AK306" s="49"/>
      <c r="AL306" s="49"/>
      <c r="AM306" s="49"/>
      <c r="AN306" s="49"/>
      <c r="AO306" s="49"/>
      <c r="AP306" s="49"/>
      <c r="AQ306" s="49"/>
      <c r="AR306" s="49"/>
      <c r="AS306" s="49"/>
      <c r="AT306" s="49"/>
      <c r="AU306" s="49"/>
      <c r="AV306" s="49"/>
      <c r="AW306" s="49"/>
      <c r="AX306" s="49"/>
    </row>
    <row r="307">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c r="AA307" s="49"/>
      <c r="AB307" s="49"/>
      <c r="AC307" s="49"/>
      <c r="AD307" s="49"/>
      <c r="AE307" s="49"/>
      <c r="AF307" s="49"/>
      <c r="AG307" s="49"/>
      <c r="AH307" s="49"/>
      <c r="AI307" s="49"/>
      <c r="AJ307" s="49"/>
      <c r="AK307" s="49"/>
      <c r="AL307" s="49"/>
      <c r="AM307" s="49"/>
      <c r="AN307" s="49"/>
      <c r="AO307" s="49"/>
      <c r="AP307" s="49"/>
      <c r="AQ307" s="49"/>
      <c r="AR307" s="49"/>
      <c r="AS307" s="49"/>
      <c r="AT307" s="49"/>
      <c r="AU307" s="49"/>
      <c r="AV307" s="49"/>
      <c r="AW307" s="49"/>
      <c r="AX307" s="49"/>
    </row>
    <row r="308">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c r="AA308" s="49"/>
      <c r="AB308" s="49"/>
      <c r="AC308" s="49"/>
      <c r="AD308" s="49"/>
      <c r="AE308" s="49"/>
      <c r="AF308" s="49"/>
      <c r="AG308" s="49"/>
      <c r="AH308" s="49"/>
      <c r="AI308" s="49"/>
      <c r="AJ308" s="49"/>
      <c r="AK308" s="49"/>
      <c r="AL308" s="49"/>
      <c r="AM308" s="49"/>
      <c r="AN308" s="49"/>
      <c r="AO308" s="49"/>
      <c r="AP308" s="49"/>
      <c r="AQ308" s="49"/>
      <c r="AR308" s="49"/>
      <c r="AS308" s="49"/>
      <c r="AT308" s="49"/>
      <c r="AU308" s="49"/>
      <c r="AV308" s="49"/>
      <c r="AW308" s="49"/>
      <c r="AX308" s="49"/>
    </row>
    <row r="309">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c r="AA309" s="49"/>
      <c r="AB309" s="49"/>
      <c r="AC309" s="49"/>
      <c r="AD309" s="49"/>
      <c r="AE309" s="49"/>
      <c r="AF309" s="49"/>
      <c r="AG309" s="49"/>
      <c r="AH309" s="49"/>
      <c r="AI309" s="49"/>
      <c r="AJ309" s="49"/>
      <c r="AK309" s="49"/>
      <c r="AL309" s="49"/>
      <c r="AM309" s="49"/>
      <c r="AN309" s="49"/>
      <c r="AO309" s="49"/>
      <c r="AP309" s="49"/>
      <c r="AQ309" s="49"/>
      <c r="AR309" s="49"/>
      <c r="AS309" s="49"/>
      <c r="AT309" s="49"/>
      <c r="AU309" s="49"/>
      <c r="AV309" s="49"/>
      <c r="AW309" s="49"/>
      <c r="AX309" s="49"/>
    </row>
    <row r="310">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c r="AA310" s="49"/>
      <c r="AB310" s="49"/>
      <c r="AC310" s="49"/>
      <c r="AD310" s="49"/>
      <c r="AE310" s="49"/>
      <c r="AF310" s="49"/>
      <c r="AG310" s="49"/>
      <c r="AH310" s="49"/>
      <c r="AI310" s="49"/>
      <c r="AJ310" s="49"/>
      <c r="AK310" s="49"/>
      <c r="AL310" s="49"/>
      <c r="AM310" s="49"/>
      <c r="AN310" s="49"/>
      <c r="AO310" s="49"/>
      <c r="AP310" s="49"/>
      <c r="AQ310" s="49"/>
      <c r="AR310" s="49"/>
      <c r="AS310" s="49"/>
      <c r="AT310" s="49"/>
      <c r="AU310" s="49"/>
      <c r="AV310" s="49"/>
      <c r="AW310" s="49"/>
      <c r="AX310" s="49"/>
    </row>
    <row r="311">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c r="AA311" s="49"/>
      <c r="AB311" s="49"/>
      <c r="AC311" s="49"/>
      <c r="AD311" s="49"/>
      <c r="AE311" s="49"/>
      <c r="AF311" s="49"/>
      <c r="AG311" s="49"/>
      <c r="AH311" s="49"/>
      <c r="AI311" s="49"/>
      <c r="AJ311" s="49"/>
      <c r="AK311" s="49"/>
      <c r="AL311" s="49"/>
      <c r="AM311" s="49"/>
      <c r="AN311" s="49"/>
      <c r="AO311" s="49"/>
      <c r="AP311" s="49"/>
      <c r="AQ311" s="49"/>
      <c r="AR311" s="49"/>
      <c r="AS311" s="49"/>
      <c r="AT311" s="49"/>
      <c r="AU311" s="49"/>
      <c r="AV311" s="49"/>
      <c r="AW311" s="49"/>
      <c r="AX311" s="49"/>
    </row>
    <row r="312">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c r="AA312" s="49"/>
      <c r="AB312" s="49"/>
      <c r="AC312" s="49"/>
      <c r="AD312" s="49"/>
      <c r="AE312" s="49"/>
      <c r="AF312" s="49"/>
      <c r="AG312" s="49"/>
      <c r="AH312" s="49"/>
      <c r="AI312" s="49"/>
      <c r="AJ312" s="49"/>
      <c r="AK312" s="49"/>
      <c r="AL312" s="49"/>
      <c r="AM312" s="49"/>
      <c r="AN312" s="49"/>
      <c r="AO312" s="49"/>
      <c r="AP312" s="49"/>
      <c r="AQ312" s="49"/>
      <c r="AR312" s="49"/>
      <c r="AS312" s="49"/>
      <c r="AT312" s="49"/>
      <c r="AU312" s="49"/>
      <c r="AV312" s="49"/>
      <c r="AW312" s="49"/>
      <c r="AX312" s="49"/>
    </row>
    <row r="313">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c r="AA313" s="49"/>
      <c r="AB313" s="49"/>
      <c r="AC313" s="49"/>
      <c r="AD313" s="49"/>
      <c r="AE313" s="49"/>
      <c r="AF313" s="49"/>
      <c r="AG313" s="49"/>
      <c r="AH313" s="49"/>
      <c r="AI313" s="49"/>
      <c r="AJ313" s="49"/>
      <c r="AK313" s="49"/>
      <c r="AL313" s="49"/>
      <c r="AM313" s="49"/>
      <c r="AN313" s="49"/>
      <c r="AO313" s="49"/>
      <c r="AP313" s="49"/>
      <c r="AQ313" s="49"/>
      <c r="AR313" s="49"/>
      <c r="AS313" s="49"/>
      <c r="AT313" s="49"/>
      <c r="AU313" s="49"/>
      <c r="AV313" s="49"/>
      <c r="AW313" s="49"/>
      <c r="AX313" s="49"/>
    </row>
    <row r="314">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c r="AA314" s="49"/>
      <c r="AB314" s="49"/>
      <c r="AC314" s="49"/>
      <c r="AD314" s="49"/>
      <c r="AE314" s="49"/>
      <c r="AF314" s="49"/>
      <c r="AG314" s="49"/>
      <c r="AH314" s="49"/>
      <c r="AI314" s="49"/>
      <c r="AJ314" s="49"/>
      <c r="AK314" s="49"/>
      <c r="AL314" s="49"/>
      <c r="AM314" s="49"/>
      <c r="AN314" s="49"/>
      <c r="AO314" s="49"/>
      <c r="AP314" s="49"/>
      <c r="AQ314" s="49"/>
      <c r="AR314" s="49"/>
      <c r="AS314" s="49"/>
      <c r="AT314" s="49"/>
      <c r="AU314" s="49"/>
      <c r="AV314" s="49"/>
      <c r="AW314" s="49"/>
      <c r="AX314" s="49"/>
    </row>
    <row r="31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c r="AA315" s="49"/>
      <c r="AB315" s="49"/>
      <c r="AC315" s="49"/>
      <c r="AD315" s="49"/>
      <c r="AE315" s="49"/>
      <c r="AF315" s="49"/>
      <c r="AG315" s="49"/>
      <c r="AH315" s="49"/>
      <c r="AI315" s="49"/>
      <c r="AJ315" s="49"/>
      <c r="AK315" s="49"/>
      <c r="AL315" s="49"/>
      <c r="AM315" s="49"/>
      <c r="AN315" s="49"/>
      <c r="AO315" s="49"/>
      <c r="AP315" s="49"/>
      <c r="AQ315" s="49"/>
      <c r="AR315" s="49"/>
      <c r="AS315" s="49"/>
      <c r="AT315" s="49"/>
      <c r="AU315" s="49"/>
      <c r="AV315" s="49"/>
      <c r="AW315" s="49"/>
      <c r="AX315" s="49"/>
    </row>
    <row r="316">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c r="AA316" s="49"/>
      <c r="AB316" s="49"/>
      <c r="AC316" s="49"/>
      <c r="AD316" s="49"/>
      <c r="AE316" s="49"/>
      <c r="AF316" s="49"/>
      <c r="AG316" s="49"/>
      <c r="AH316" s="49"/>
      <c r="AI316" s="49"/>
      <c r="AJ316" s="49"/>
      <c r="AK316" s="49"/>
      <c r="AL316" s="49"/>
      <c r="AM316" s="49"/>
      <c r="AN316" s="49"/>
      <c r="AO316" s="49"/>
      <c r="AP316" s="49"/>
      <c r="AQ316" s="49"/>
      <c r="AR316" s="49"/>
      <c r="AS316" s="49"/>
      <c r="AT316" s="49"/>
      <c r="AU316" s="49"/>
      <c r="AV316" s="49"/>
      <c r="AW316" s="49"/>
      <c r="AX316" s="49"/>
    </row>
    <row r="317">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c r="AA317" s="49"/>
      <c r="AB317" s="49"/>
      <c r="AC317" s="49"/>
      <c r="AD317" s="49"/>
      <c r="AE317" s="49"/>
      <c r="AF317" s="49"/>
      <c r="AG317" s="49"/>
      <c r="AH317" s="49"/>
      <c r="AI317" s="49"/>
      <c r="AJ317" s="49"/>
      <c r="AK317" s="49"/>
      <c r="AL317" s="49"/>
      <c r="AM317" s="49"/>
      <c r="AN317" s="49"/>
      <c r="AO317" s="49"/>
      <c r="AP317" s="49"/>
      <c r="AQ317" s="49"/>
      <c r="AR317" s="49"/>
      <c r="AS317" s="49"/>
      <c r="AT317" s="49"/>
      <c r="AU317" s="49"/>
      <c r="AV317" s="49"/>
      <c r="AW317" s="49"/>
      <c r="AX317" s="49"/>
    </row>
    <row r="318">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c r="AA318" s="49"/>
      <c r="AB318" s="49"/>
      <c r="AC318" s="49"/>
      <c r="AD318" s="49"/>
      <c r="AE318" s="49"/>
      <c r="AF318" s="49"/>
      <c r="AG318" s="49"/>
      <c r="AH318" s="49"/>
      <c r="AI318" s="49"/>
      <c r="AJ318" s="49"/>
      <c r="AK318" s="49"/>
      <c r="AL318" s="49"/>
      <c r="AM318" s="49"/>
      <c r="AN318" s="49"/>
      <c r="AO318" s="49"/>
      <c r="AP318" s="49"/>
      <c r="AQ318" s="49"/>
      <c r="AR318" s="49"/>
      <c r="AS318" s="49"/>
      <c r="AT318" s="49"/>
      <c r="AU318" s="49"/>
      <c r="AV318" s="49"/>
      <c r="AW318" s="49"/>
      <c r="AX318" s="49"/>
    </row>
    <row r="319">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c r="AA319" s="49"/>
      <c r="AB319" s="49"/>
      <c r="AC319" s="49"/>
      <c r="AD319" s="49"/>
      <c r="AE319" s="49"/>
      <c r="AF319" s="49"/>
      <c r="AG319" s="49"/>
      <c r="AH319" s="49"/>
      <c r="AI319" s="49"/>
      <c r="AJ319" s="49"/>
      <c r="AK319" s="49"/>
      <c r="AL319" s="49"/>
      <c r="AM319" s="49"/>
      <c r="AN319" s="49"/>
      <c r="AO319" s="49"/>
      <c r="AP319" s="49"/>
      <c r="AQ319" s="49"/>
      <c r="AR319" s="49"/>
      <c r="AS319" s="49"/>
      <c r="AT319" s="49"/>
      <c r="AU319" s="49"/>
      <c r="AV319" s="49"/>
      <c r="AW319" s="49"/>
      <c r="AX319" s="49"/>
    </row>
    <row r="320">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c r="AA320" s="49"/>
      <c r="AB320" s="49"/>
      <c r="AC320" s="49"/>
      <c r="AD320" s="49"/>
      <c r="AE320" s="49"/>
      <c r="AF320" s="49"/>
      <c r="AG320" s="49"/>
      <c r="AH320" s="49"/>
      <c r="AI320" s="49"/>
      <c r="AJ320" s="49"/>
      <c r="AK320" s="49"/>
      <c r="AL320" s="49"/>
      <c r="AM320" s="49"/>
      <c r="AN320" s="49"/>
      <c r="AO320" s="49"/>
      <c r="AP320" s="49"/>
      <c r="AQ320" s="49"/>
      <c r="AR320" s="49"/>
      <c r="AS320" s="49"/>
      <c r="AT320" s="49"/>
      <c r="AU320" s="49"/>
      <c r="AV320" s="49"/>
      <c r="AW320" s="49"/>
      <c r="AX320" s="49"/>
    </row>
    <row r="321">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c r="AA321" s="49"/>
      <c r="AB321" s="49"/>
      <c r="AC321" s="49"/>
      <c r="AD321" s="49"/>
      <c r="AE321" s="49"/>
      <c r="AF321" s="49"/>
      <c r="AG321" s="49"/>
      <c r="AH321" s="49"/>
      <c r="AI321" s="49"/>
      <c r="AJ321" s="49"/>
      <c r="AK321" s="49"/>
      <c r="AL321" s="49"/>
      <c r="AM321" s="49"/>
      <c r="AN321" s="49"/>
      <c r="AO321" s="49"/>
      <c r="AP321" s="49"/>
      <c r="AQ321" s="49"/>
      <c r="AR321" s="49"/>
      <c r="AS321" s="49"/>
      <c r="AT321" s="49"/>
      <c r="AU321" s="49"/>
      <c r="AV321" s="49"/>
      <c r="AW321" s="49"/>
      <c r="AX321" s="49"/>
    </row>
    <row r="322">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c r="AA322" s="49"/>
      <c r="AB322" s="49"/>
      <c r="AC322" s="49"/>
      <c r="AD322" s="49"/>
      <c r="AE322" s="49"/>
      <c r="AF322" s="49"/>
      <c r="AG322" s="49"/>
      <c r="AH322" s="49"/>
      <c r="AI322" s="49"/>
      <c r="AJ322" s="49"/>
      <c r="AK322" s="49"/>
      <c r="AL322" s="49"/>
      <c r="AM322" s="49"/>
      <c r="AN322" s="49"/>
      <c r="AO322" s="49"/>
      <c r="AP322" s="49"/>
      <c r="AQ322" s="49"/>
      <c r="AR322" s="49"/>
      <c r="AS322" s="49"/>
      <c r="AT322" s="49"/>
      <c r="AU322" s="49"/>
      <c r="AV322" s="49"/>
      <c r="AW322" s="49"/>
      <c r="AX322" s="49"/>
    </row>
    <row r="323">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c r="AA323" s="49"/>
      <c r="AB323" s="49"/>
      <c r="AC323" s="49"/>
      <c r="AD323" s="49"/>
      <c r="AE323" s="49"/>
      <c r="AF323" s="49"/>
      <c r="AG323" s="49"/>
      <c r="AH323" s="49"/>
      <c r="AI323" s="49"/>
      <c r="AJ323" s="49"/>
      <c r="AK323" s="49"/>
      <c r="AL323" s="49"/>
      <c r="AM323" s="49"/>
      <c r="AN323" s="49"/>
      <c r="AO323" s="49"/>
      <c r="AP323" s="49"/>
      <c r="AQ323" s="49"/>
      <c r="AR323" s="49"/>
      <c r="AS323" s="49"/>
      <c r="AT323" s="49"/>
      <c r="AU323" s="49"/>
      <c r="AV323" s="49"/>
      <c r="AW323" s="49"/>
      <c r="AX323" s="49"/>
    </row>
    <row r="324">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c r="AA324" s="49"/>
      <c r="AB324" s="49"/>
      <c r="AC324" s="49"/>
      <c r="AD324" s="49"/>
      <c r="AE324" s="49"/>
      <c r="AF324" s="49"/>
      <c r="AG324" s="49"/>
      <c r="AH324" s="49"/>
      <c r="AI324" s="49"/>
      <c r="AJ324" s="49"/>
      <c r="AK324" s="49"/>
      <c r="AL324" s="49"/>
      <c r="AM324" s="49"/>
      <c r="AN324" s="49"/>
      <c r="AO324" s="49"/>
      <c r="AP324" s="49"/>
      <c r="AQ324" s="49"/>
      <c r="AR324" s="49"/>
      <c r="AS324" s="49"/>
      <c r="AT324" s="49"/>
      <c r="AU324" s="49"/>
      <c r="AV324" s="49"/>
      <c r="AW324" s="49"/>
      <c r="AX324" s="49"/>
    </row>
    <row r="3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c r="AA325" s="49"/>
      <c r="AB325" s="49"/>
      <c r="AC325" s="49"/>
      <c r="AD325" s="49"/>
      <c r="AE325" s="49"/>
      <c r="AF325" s="49"/>
      <c r="AG325" s="49"/>
      <c r="AH325" s="49"/>
      <c r="AI325" s="49"/>
      <c r="AJ325" s="49"/>
      <c r="AK325" s="49"/>
      <c r="AL325" s="49"/>
      <c r="AM325" s="49"/>
      <c r="AN325" s="49"/>
      <c r="AO325" s="49"/>
      <c r="AP325" s="49"/>
      <c r="AQ325" s="49"/>
      <c r="AR325" s="49"/>
      <c r="AS325" s="49"/>
      <c r="AT325" s="49"/>
      <c r="AU325" s="49"/>
      <c r="AV325" s="49"/>
      <c r="AW325" s="49"/>
      <c r="AX325" s="49"/>
    </row>
    <row r="326">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c r="AA326" s="49"/>
      <c r="AB326" s="49"/>
      <c r="AC326" s="49"/>
      <c r="AD326" s="49"/>
      <c r="AE326" s="49"/>
      <c r="AF326" s="49"/>
      <c r="AG326" s="49"/>
      <c r="AH326" s="49"/>
      <c r="AI326" s="49"/>
      <c r="AJ326" s="49"/>
      <c r="AK326" s="49"/>
      <c r="AL326" s="49"/>
      <c r="AM326" s="49"/>
      <c r="AN326" s="49"/>
      <c r="AO326" s="49"/>
      <c r="AP326" s="49"/>
      <c r="AQ326" s="49"/>
      <c r="AR326" s="49"/>
      <c r="AS326" s="49"/>
      <c r="AT326" s="49"/>
      <c r="AU326" s="49"/>
      <c r="AV326" s="49"/>
      <c r="AW326" s="49"/>
      <c r="AX326" s="49"/>
    </row>
    <row r="327">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c r="AA327" s="49"/>
      <c r="AB327" s="49"/>
      <c r="AC327" s="49"/>
      <c r="AD327" s="49"/>
      <c r="AE327" s="49"/>
      <c r="AF327" s="49"/>
      <c r="AG327" s="49"/>
      <c r="AH327" s="49"/>
      <c r="AI327" s="49"/>
      <c r="AJ327" s="49"/>
      <c r="AK327" s="49"/>
      <c r="AL327" s="49"/>
      <c r="AM327" s="49"/>
      <c r="AN327" s="49"/>
      <c r="AO327" s="49"/>
      <c r="AP327" s="49"/>
      <c r="AQ327" s="49"/>
      <c r="AR327" s="49"/>
      <c r="AS327" s="49"/>
      <c r="AT327" s="49"/>
      <c r="AU327" s="49"/>
      <c r="AV327" s="49"/>
      <c r="AW327" s="49"/>
      <c r="AX327" s="49"/>
    </row>
    <row r="328">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c r="AA328" s="49"/>
      <c r="AB328" s="49"/>
      <c r="AC328" s="49"/>
      <c r="AD328" s="49"/>
      <c r="AE328" s="49"/>
      <c r="AF328" s="49"/>
      <c r="AG328" s="49"/>
      <c r="AH328" s="49"/>
      <c r="AI328" s="49"/>
      <c r="AJ328" s="49"/>
      <c r="AK328" s="49"/>
      <c r="AL328" s="49"/>
      <c r="AM328" s="49"/>
      <c r="AN328" s="49"/>
      <c r="AO328" s="49"/>
      <c r="AP328" s="49"/>
      <c r="AQ328" s="49"/>
      <c r="AR328" s="49"/>
      <c r="AS328" s="49"/>
      <c r="AT328" s="49"/>
      <c r="AU328" s="49"/>
      <c r="AV328" s="49"/>
      <c r="AW328" s="49"/>
      <c r="AX328" s="49"/>
    </row>
    <row r="329">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c r="AA329" s="49"/>
      <c r="AB329" s="49"/>
      <c r="AC329" s="49"/>
      <c r="AD329" s="49"/>
      <c r="AE329" s="49"/>
      <c r="AF329" s="49"/>
      <c r="AG329" s="49"/>
      <c r="AH329" s="49"/>
      <c r="AI329" s="49"/>
      <c r="AJ329" s="49"/>
      <c r="AK329" s="49"/>
      <c r="AL329" s="49"/>
      <c r="AM329" s="49"/>
      <c r="AN329" s="49"/>
      <c r="AO329" s="49"/>
      <c r="AP329" s="49"/>
      <c r="AQ329" s="49"/>
      <c r="AR329" s="49"/>
      <c r="AS329" s="49"/>
      <c r="AT329" s="49"/>
      <c r="AU329" s="49"/>
      <c r="AV329" s="49"/>
      <c r="AW329" s="49"/>
      <c r="AX329" s="49"/>
    </row>
    <row r="330">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c r="AA330" s="49"/>
      <c r="AB330" s="49"/>
      <c r="AC330" s="49"/>
      <c r="AD330" s="49"/>
      <c r="AE330" s="49"/>
      <c r="AF330" s="49"/>
      <c r="AG330" s="49"/>
      <c r="AH330" s="49"/>
      <c r="AI330" s="49"/>
      <c r="AJ330" s="49"/>
      <c r="AK330" s="49"/>
      <c r="AL330" s="49"/>
      <c r="AM330" s="49"/>
      <c r="AN330" s="49"/>
      <c r="AO330" s="49"/>
      <c r="AP330" s="49"/>
      <c r="AQ330" s="49"/>
      <c r="AR330" s="49"/>
      <c r="AS330" s="49"/>
      <c r="AT330" s="49"/>
      <c r="AU330" s="49"/>
      <c r="AV330" s="49"/>
      <c r="AW330" s="49"/>
      <c r="AX330" s="49"/>
    </row>
    <row r="331">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c r="AA331" s="49"/>
      <c r="AB331" s="49"/>
      <c r="AC331" s="49"/>
      <c r="AD331" s="49"/>
      <c r="AE331" s="49"/>
      <c r="AF331" s="49"/>
      <c r="AG331" s="49"/>
      <c r="AH331" s="49"/>
      <c r="AI331" s="49"/>
      <c r="AJ331" s="49"/>
      <c r="AK331" s="49"/>
      <c r="AL331" s="49"/>
      <c r="AM331" s="49"/>
      <c r="AN331" s="49"/>
      <c r="AO331" s="49"/>
      <c r="AP331" s="49"/>
      <c r="AQ331" s="49"/>
      <c r="AR331" s="49"/>
      <c r="AS331" s="49"/>
      <c r="AT331" s="49"/>
      <c r="AU331" s="49"/>
      <c r="AV331" s="49"/>
      <c r="AW331" s="49"/>
      <c r="AX331" s="49"/>
    </row>
    <row r="332">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c r="AA332" s="49"/>
      <c r="AB332" s="49"/>
      <c r="AC332" s="49"/>
      <c r="AD332" s="49"/>
      <c r="AE332" s="49"/>
      <c r="AF332" s="49"/>
      <c r="AG332" s="49"/>
      <c r="AH332" s="49"/>
      <c r="AI332" s="49"/>
      <c r="AJ332" s="49"/>
      <c r="AK332" s="49"/>
      <c r="AL332" s="49"/>
      <c r="AM332" s="49"/>
      <c r="AN332" s="49"/>
      <c r="AO332" s="49"/>
      <c r="AP332" s="49"/>
      <c r="AQ332" s="49"/>
      <c r="AR332" s="49"/>
      <c r="AS332" s="49"/>
      <c r="AT332" s="49"/>
      <c r="AU332" s="49"/>
      <c r="AV332" s="49"/>
      <c r="AW332" s="49"/>
      <c r="AX332" s="49"/>
    </row>
    <row r="333">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c r="AA333" s="49"/>
      <c r="AB333" s="49"/>
      <c r="AC333" s="49"/>
      <c r="AD333" s="49"/>
      <c r="AE333" s="49"/>
      <c r="AF333" s="49"/>
      <c r="AG333" s="49"/>
      <c r="AH333" s="49"/>
      <c r="AI333" s="49"/>
      <c r="AJ333" s="49"/>
      <c r="AK333" s="49"/>
      <c r="AL333" s="49"/>
      <c r="AM333" s="49"/>
      <c r="AN333" s="49"/>
      <c r="AO333" s="49"/>
      <c r="AP333" s="49"/>
      <c r="AQ333" s="49"/>
      <c r="AR333" s="49"/>
      <c r="AS333" s="49"/>
      <c r="AT333" s="49"/>
      <c r="AU333" s="49"/>
      <c r="AV333" s="49"/>
      <c r="AW333" s="49"/>
      <c r="AX333" s="49"/>
    </row>
    <row r="334">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c r="AA334" s="49"/>
      <c r="AB334" s="49"/>
      <c r="AC334" s="49"/>
      <c r="AD334" s="49"/>
      <c r="AE334" s="49"/>
      <c r="AF334" s="49"/>
      <c r="AG334" s="49"/>
      <c r="AH334" s="49"/>
      <c r="AI334" s="49"/>
      <c r="AJ334" s="49"/>
      <c r="AK334" s="49"/>
      <c r="AL334" s="49"/>
      <c r="AM334" s="49"/>
      <c r="AN334" s="49"/>
      <c r="AO334" s="49"/>
      <c r="AP334" s="49"/>
      <c r="AQ334" s="49"/>
      <c r="AR334" s="49"/>
      <c r="AS334" s="49"/>
      <c r="AT334" s="49"/>
      <c r="AU334" s="49"/>
      <c r="AV334" s="49"/>
      <c r="AW334" s="49"/>
      <c r="AX334" s="49"/>
    </row>
    <row r="33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c r="AA335" s="49"/>
      <c r="AB335" s="49"/>
      <c r="AC335" s="49"/>
      <c r="AD335" s="49"/>
      <c r="AE335" s="49"/>
      <c r="AF335" s="49"/>
      <c r="AG335" s="49"/>
      <c r="AH335" s="49"/>
      <c r="AI335" s="49"/>
      <c r="AJ335" s="49"/>
      <c r="AK335" s="49"/>
      <c r="AL335" s="49"/>
      <c r="AM335" s="49"/>
      <c r="AN335" s="49"/>
      <c r="AO335" s="49"/>
      <c r="AP335" s="49"/>
      <c r="AQ335" s="49"/>
      <c r="AR335" s="49"/>
      <c r="AS335" s="49"/>
      <c r="AT335" s="49"/>
      <c r="AU335" s="49"/>
      <c r="AV335" s="49"/>
      <c r="AW335" s="49"/>
      <c r="AX335" s="49"/>
    </row>
    <row r="336">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c r="AA336" s="49"/>
      <c r="AB336" s="49"/>
      <c r="AC336" s="49"/>
      <c r="AD336" s="49"/>
      <c r="AE336" s="49"/>
      <c r="AF336" s="49"/>
      <c r="AG336" s="49"/>
      <c r="AH336" s="49"/>
      <c r="AI336" s="49"/>
      <c r="AJ336" s="49"/>
      <c r="AK336" s="49"/>
      <c r="AL336" s="49"/>
      <c r="AM336" s="49"/>
      <c r="AN336" s="49"/>
      <c r="AO336" s="49"/>
      <c r="AP336" s="49"/>
      <c r="AQ336" s="49"/>
      <c r="AR336" s="49"/>
      <c r="AS336" s="49"/>
      <c r="AT336" s="49"/>
      <c r="AU336" s="49"/>
      <c r="AV336" s="49"/>
      <c r="AW336" s="49"/>
      <c r="AX336" s="49"/>
    </row>
    <row r="337">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c r="AA337" s="49"/>
      <c r="AB337" s="49"/>
      <c r="AC337" s="49"/>
      <c r="AD337" s="49"/>
      <c r="AE337" s="49"/>
      <c r="AF337" s="49"/>
      <c r="AG337" s="49"/>
      <c r="AH337" s="49"/>
      <c r="AI337" s="49"/>
      <c r="AJ337" s="49"/>
      <c r="AK337" s="49"/>
      <c r="AL337" s="49"/>
      <c r="AM337" s="49"/>
      <c r="AN337" s="49"/>
      <c r="AO337" s="49"/>
      <c r="AP337" s="49"/>
      <c r="AQ337" s="49"/>
      <c r="AR337" s="49"/>
      <c r="AS337" s="49"/>
      <c r="AT337" s="49"/>
      <c r="AU337" s="49"/>
      <c r="AV337" s="49"/>
      <c r="AW337" s="49"/>
      <c r="AX337" s="49"/>
    </row>
    <row r="338">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c r="AA338" s="49"/>
      <c r="AB338" s="49"/>
      <c r="AC338" s="49"/>
      <c r="AD338" s="49"/>
      <c r="AE338" s="49"/>
      <c r="AF338" s="49"/>
      <c r="AG338" s="49"/>
      <c r="AH338" s="49"/>
      <c r="AI338" s="49"/>
      <c r="AJ338" s="49"/>
      <c r="AK338" s="49"/>
      <c r="AL338" s="49"/>
      <c r="AM338" s="49"/>
      <c r="AN338" s="49"/>
      <c r="AO338" s="49"/>
      <c r="AP338" s="49"/>
      <c r="AQ338" s="49"/>
      <c r="AR338" s="49"/>
      <c r="AS338" s="49"/>
      <c r="AT338" s="49"/>
      <c r="AU338" s="49"/>
      <c r="AV338" s="49"/>
      <c r="AW338" s="49"/>
      <c r="AX338" s="49"/>
    </row>
    <row r="339">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c r="AA339" s="49"/>
      <c r="AB339" s="49"/>
      <c r="AC339" s="49"/>
      <c r="AD339" s="49"/>
      <c r="AE339" s="49"/>
      <c r="AF339" s="49"/>
      <c r="AG339" s="49"/>
      <c r="AH339" s="49"/>
      <c r="AI339" s="49"/>
      <c r="AJ339" s="49"/>
      <c r="AK339" s="49"/>
      <c r="AL339" s="49"/>
      <c r="AM339" s="49"/>
      <c r="AN339" s="49"/>
      <c r="AO339" s="49"/>
      <c r="AP339" s="49"/>
      <c r="AQ339" s="49"/>
      <c r="AR339" s="49"/>
      <c r="AS339" s="49"/>
      <c r="AT339" s="49"/>
      <c r="AU339" s="49"/>
      <c r="AV339" s="49"/>
      <c r="AW339" s="49"/>
      <c r="AX339" s="49"/>
    </row>
    <row r="340">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c r="AA340" s="49"/>
      <c r="AB340" s="49"/>
      <c r="AC340" s="49"/>
      <c r="AD340" s="49"/>
      <c r="AE340" s="49"/>
      <c r="AF340" s="49"/>
      <c r="AG340" s="49"/>
      <c r="AH340" s="49"/>
      <c r="AI340" s="49"/>
      <c r="AJ340" s="49"/>
      <c r="AK340" s="49"/>
      <c r="AL340" s="49"/>
      <c r="AM340" s="49"/>
      <c r="AN340" s="49"/>
      <c r="AO340" s="49"/>
      <c r="AP340" s="49"/>
      <c r="AQ340" s="49"/>
      <c r="AR340" s="49"/>
      <c r="AS340" s="49"/>
      <c r="AT340" s="49"/>
      <c r="AU340" s="49"/>
      <c r="AV340" s="49"/>
      <c r="AW340" s="49"/>
      <c r="AX340" s="49"/>
    </row>
    <row r="341">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c r="AA341" s="49"/>
      <c r="AB341" s="49"/>
      <c r="AC341" s="49"/>
      <c r="AD341" s="49"/>
      <c r="AE341" s="49"/>
      <c r="AF341" s="49"/>
      <c r="AG341" s="49"/>
      <c r="AH341" s="49"/>
      <c r="AI341" s="49"/>
      <c r="AJ341" s="49"/>
      <c r="AK341" s="49"/>
      <c r="AL341" s="49"/>
      <c r="AM341" s="49"/>
      <c r="AN341" s="49"/>
      <c r="AO341" s="49"/>
      <c r="AP341" s="49"/>
      <c r="AQ341" s="49"/>
      <c r="AR341" s="49"/>
      <c r="AS341" s="49"/>
      <c r="AT341" s="49"/>
      <c r="AU341" s="49"/>
      <c r="AV341" s="49"/>
      <c r="AW341" s="49"/>
      <c r="AX341" s="49"/>
    </row>
    <row r="342">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c r="AA342" s="49"/>
      <c r="AB342" s="49"/>
      <c r="AC342" s="49"/>
      <c r="AD342" s="49"/>
      <c r="AE342" s="49"/>
      <c r="AF342" s="49"/>
      <c r="AG342" s="49"/>
      <c r="AH342" s="49"/>
      <c r="AI342" s="49"/>
      <c r="AJ342" s="49"/>
      <c r="AK342" s="49"/>
      <c r="AL342" s="49"/>
      <c r="AM342" s="49"/>
      <c r="AN342" s="49"/>
      <c r="AO342" s="49"/>
      <c r="AP342" s="49"/>
      <c r="AQ342" s="49"/>
      <c r="AR342" s="49"/>
      <c r="AS342" s="49"/>
      <c r="AT342" s="49"/>
      <c r="AU342" s="49"/>
      <c r="AV342" s="49"/>
      <c r="AW342" s="49"/>
      <c r="AX342" s="49"/>
    </row>
    <row r="343">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c r="AA343" s="49"/>
      <c r="AB343" s="49"/>
      <c r="AC343" s="49"/>
      <c r="AD343" s="49"/>
      <c r="AE343" s="49"/>
      <c r="AF343" s="49"/>
      <c r="AG343" s="49"/>
      <c r="AH343" s="49"/>
      <c r="AI343" s="49"/>
      <c r="AJ343" s="49"/>
      <c r="AK343" s="49"/>
      <c r="AL343" s="49"/>
      <c r="AM343" s="49"/>
      <c r="AN343" s="49"/>
      <c r="AO343" s="49"/>
      <c r="AP343" s="49"/>
      <c r="AQ343" s="49"/>
      <c r="AR343" s="49"/>
      <c r="AS343" s="49"/>
      <c r="AT343" s="49"/>
      <c r="AU343" s="49"/>
      <c r="AV343" s="49"/>
      <c r="AW343" s="49"/>
      <c r="AX343" s="49"/>
    </row>
    <row r="344">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c r="AA344" s="49"/>
      <c r="AB344" s="49"/>
      <c r="AC344" s="49"/>
      <c r="AD344" s="49"/>
      <c r="AE344" s="49"/>
      <c r="AF344" s="49"/>
      <c r="AG344" s="49"/>
      <c r="AH344" s="49"/>
      <c r="AI344" s="49"/>
      <c r="AJ344" s="49"/>
      <c r="AK344" s="49"/>
      <c r="AL344" s="49"/>
      <c r="AM344" s="49"/>
      <c r="AN344" s="49"/>
      <c r="AO344" s="49"/>
      <c r="AP344" s="49"/>
      <c r="AQ344" s="49"/>
      <c r="AR344" s="49"/>
      <c r="AS344" s="49"/>
      <c r="AT344" s="49"/>
      <c r="AU344" s="49"/>
      <c r="AV344" s="49"/>
      <c r="AW344" s="49"/>
      <c r="AX344" s="49"/>
    </row>
    <row r="34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c r="AA345" s="49"/>
      <c r="AB345" s="49"/>
      <c r="AC345" s="49"/>
      <c r="AD345" s="49"/>
      <c r="AE345" s="49"/>
      <c r="AF345" s="49"/>
      <c r="AG345" s="49"/>
      <c r="AH345" s="49"/>
      <c r="AI345" s="49"/>
      <c r="AJ345" s="49"/>
      <c r="AK345" s="49"/>
      <c r="AL345" s="49"/>
      <c r="AM345" s="49"/>
      <c r="AN345" s="49"/>
      <c r="AO345" s="49"/>
      <c r="AP345" s="49"/>
      <c r="AQ345" s="49"/>
      <c r="AR345" s="49"/>
      <c r="AS345" s="49"/>
      <c r="AT345" s="49"/>
      <c r="AU345" s="49"/>
      <c r="AV345" s="49"/>
      <c r="AW345" s="49"/>
      <c r="AX345" s="49"/>
    </row>
    <row r="346">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c r="AA346" s="49"/>
      <c r="AB346" s="49"/>
      <c r="AC346" s="49"/>
      <c r="AD346" s="49"/>
      <c r="AE346" s="49"/>
      <c r="AF346" s="49"/>
      <c r="AG346" s="49"/>
      <c r="AH346" s="49"/>
      <c r="AI346" s="49"/>
      <c r="AJ346" s="49"/>
      <c r="AK346" s="49"/>
      <c r="AL346" s="49"/>
      <c r="AM346" s="49"/>
      <c r="AN346" s="49"/>
      <c r="AO346" s="49"/>
      <c r="AP346" s="49"/>
      <c r="AQ346" s="49"/>
      <c r="AR346" s="49"/>
      <c r="AS346" s="49"/>
      <c r="AT346" s="49"/>
      <c r="AU346" s="49"/>
      <c r="AV346" s="49"/>
      <c r="AW346" s="49"/>
      <c r="AX346" s="49"/>
    </row>
    <row r="347">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c r="AA347" s="49"/>
      <c r="AB347" s="49"/>
      <c r="AC347" s="49"/>
      <c r="AD347" s="49"/>
      <c r="AE347" s="49"/>
      <c r="AF347" s="49"/>
      <c r="AG347" s="49"/>
      <c r="AH347" s="49"/>
      <c r="AI347" s="49"/>
      <c r="AJ347" s="49"/>
      <c r="AK347" s="49"/>
      <c r="AL347" s="49"/>
      <c r="AM347" s="49"/>
      <c r="AN347" s="49"/>
      <c r="AO347" s="49"/>
      <c r="AP347" s="49"/>
      <c r="AQ347" s="49"/>
      <c r="AR347" s="49"/>
      <c r="AS347" s="49"/>
      <c r="AT347" s="49"/>
      <c r="AU347" s="49"/>
      <c r="AV347" s="49"/>
      <c r="AW347" s="49"/>
      <c r="AX347" s="49"/>
    </row>
    <row r="348">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c r="AA348" s="49"/>
      <c r="AB348" s="49"/>
      <c r="AC348" s="49"/>
      <c r="AD348" s="49"/>
      <c r="AE348" s="49"/>
      <c r="AF348" s="49"/>
      <c r="AG348" s="49"/>
      <c r="AH348" s="49"/>
      <c r="AI348" s="49"/>
      <c r="AJ348" s="49"/>
      <c r="AK348" s="49"/>
      <c r="AL348" s="49"/>
      <c r="AM348" s="49"/>
      <c r="AN348" s="49"/>
      <c r="AO348" s="49"/>
      <c r="AP348" s="49"/>
      <c r="AQ348" s="49"/>
      <c r="AR348" s="49"/>
      <c r="AS348" s="49"/>
      <c r="AT348" s="49"/>
      <c r="AU348" s="49"/>
      <c r="AV348" s="49"/>
      <c r="AW348" s="49"/>
      <c r="AX348" s="49"/>
    </row>
    <row r="349">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c r="AA349" s="49"/>
      <c r="AB349" s="49"/>
      <c r="AC349" s="49"/>
      <c r="AD349" s="49"/>
      <c r="AE349" s="49"/>
      <c r="AF349" s="49"/>
      <c r="AG349" s="49"/>
      <c r="AH349" s="49"/>
      <c r="AI349" s="49"/>
      <c r="AJ349" s="49"/>
      <c r="AK349" s="49"/>
      <c r="AL349" s="49"/>
      <c r="AM349" s="49"/>
      <c r="AN349" s="49"/>
      <c r="AO349" s="49"/>
      <c r="AP349" s="49"/>
      <c r="AQ349" s="49"/>
      <c r="AR349" s="49"/>
      <c r="AS349" s="49"/>
      <c r="AT349" s="49"/>
      <c r="AU349" s="49"/>
      <c r="AV349" s="49"/>
      <c r="AW349" s="49"/>
      <c r="AX349" s="49"/>
    </row>
    <row r="350">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c r="AA350" s="49"/>
      <c r="AB350" s="49"/>
      <c r="AC350" s="49"/>
      <c r="AD350" s="49"/>
      <c r="AE350" s="49"/>
      <c r="AF350" s="49"/>
      <c r="AG350" s="49"/>
      <c r="AH350" s="49"/>
      <c r="AI350" s="49"/>
      <c r="AJ350" s="49"/>
      <c r="AK350" s="49"/>
      <c r="AL350" s="49"/>
      <c r="AM350" s="49"/>
      <c r="AN350" s="49"/>
      <c r="AO350" s="49"/>
      <c r="AP350" s="49"/>
      <c r="AQ350" s="49"/>
      <c r="AR350" s="49"/>
      <c r="AS350" s="49"/>
      <c r="AT350" s="49"/>
      <c r="AU350" s="49"/>
      <c r="AV350" s="49"/>
      <c r="AW350" s="49"/>
      <c r="AX350" s="49"/>
    </row>
    <row r="351">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c r="AA351" s="49"/>
      <c r="AB351" s="49"/>
      <c r="AC351" s="49"/>
      <c r="AD351" s="49"/>
      <c r="AE351" s="49"/>
      <c r="AF351" s="49"/>
      <c r="AG351" s="49"/>
      <c r="AH351" s="49"/>
      <c r="AI351" s="49"/>
      <c r="AJ351" s="49"/>
      <c r="AK351" s="49"/>
      <c r="AL351" s="49"/>
      <c r="AM351" s="49"/>
      <c r="AN351" s="49"/>
      <c r="AO351" s="49"/>
      <c r="AP351" s="49"/>
      <c r="AQ351" s="49"/>
      <c r="AR351" s="49"/>
      <c r="AS351" s="49"/>
      <c r="AT351" s="49"/>
      <c r="AU351" s="49"/>
      <c r="AV351" s="49"/>
      <c r="AW351" s="49"/>
      <c r="AX351" s="49"/>
    </row>
    <row r="352">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c r="AA352" s="49"/>
      <c r="AB352" s="49"/>
      <c r="AC352" s="49"/>
      <c r="AD352" s="49"/>
      <c r="AE352" s="49"/>
      <c r="AF352" s="49"/>
      <c r="AG352" s="49"/>
      <c r="AH352" s="49"/>
      <c r="AI352" s="49"/>
      <c r="AJ352" s="49"/>
      <c r="AK352" s="49"/>
      <c r="AL352" s="49"/>
      <c r="AM352" s="49"/>
      <c r="AN352" s="49"/>
      <c r="AO352" s="49"/>
      <c r="AP352" s="49"/>
      <c r="AQ352" s="49"/>
      <c r="AR352" s="49"/>
      <c r="AS352" s="49"/>
      <c r="AT352" s="49"/>
      <c r="AU352" s="49"/>
      <c r="AV352" s="49"/>
      <c r="AW352" s="49"/>
      <c r="AX352" s="49"/>
    </row>
    <row r="353">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c r="AA353" s="49"/>
      <c r="AB353" s="49"/>
      <c r="AC353" s="49"/>
      <c r="AD353" s="49"/>
      <c r="AE353" s="49"/>
      <c r="AF353" s="49"/>
      <c r="AG353" s="49"/>
      <c r="AH353" s="49"/>
      <c r="AI353" s="49"/>
      <c r="AJ353" s="49"/>
      <c r="AK353" s="49"/>
      <c r="AL353" s="49"/>
      <c r="AM353" s="49"/>
      <c r="AN353" s="49"/>
      <c r="AO353" s="49"/>
      <c r="AP353" s="49"/>
      <c r="AQ353" s="49"/>
      <c r="AR353" s="49"/>
      <c r="AS353" s="49"/>
      <c r="AT353" s="49"/>
      <c r="AU353" s="49"/>
      <c r="AV353" s="49"/>
      <c r="AW353" s="49"/>
      <c r="AX353" s="49"/>
    </row>
    <row r="354">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c r="AA354" s="49"/>
      <c r="AB354" s="49"/>
      <c r="AC354" s="49"/>
      <c r="AD354" s="49"/>
      <c r="AE354" s="49"/>
      <c r="AF354" s="49"/>
      <c r="AG354" s="49"/>
      <c r="AH354" s="49"/>
      <c r="AI354" s="49"/>
      <c r="AJ354" s="49"/>
      <c r="AK354" s="49"/>
      <c r="AL354" s="49"/>
      <c r="AM354" s="49"/>
      <c r="AN354" s="49"/>
      <c r="AO354" s="49"/>
      <c r="AP354" s="49"/>
      <c r="AQ354" s="49"/>
      <c r="AR354" s="49"/>
      <c r="AS354" s="49"/>
      <c r="AT354" s="49"/>
      <c r="AU354" s="49"/>
      <c r="AV354" s="49"/>
      <c r="AW354" s="49"/>
      <c r="AX354" s="49"/>
    </row>
    <row r="35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c r="AA355" s="49"/>
      <c r="AB355" s="49"/>
      <c r="AC355" s="49"/>
      <c r="AD355" s="49"/>
      <c r="AE355" s="49"/>
      <c r="AF355" s="49"/>
      <c r="AG355" s="49"/>
      <c r="AH355" s="49"/>
      <c r="AI355" s="49"/>
      <c r="AJ355" s="49"/>
      <c r="AK355" s="49"/>
      <c r="AL355" s="49"/>
      <c r="AM355" s="49"/>
      <c r="AN355" s="49"/>
      <c r="AO355" s="49"/>
      <c r="AP355" s="49"/>
      <c r="AQ355" s="49"/>
      <c r="AR355" s="49"/>
      <c r="AS355" s="49"/>
      <c r="AT355" s="49"/>
      <c r="AU355" s="49"/>
      <c r="AV355" s="49"/>
      <c r="AW355" s="49"/>
      <c r="AX355" s="49"/>
    </row>
    <row r="356">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c r="AA356" s="49"/>
      <c r="AB356" s="49"/>
      <c r="AC356" s="49"/>
      <c r="AD356" s="49"/>
      <c r="AE356" s="49"/>
      <c r="AF356" s="49"/>
      <c r="AG356" s="49"/>
      <c r="AH356" s="49"/>
      <c r="AI356" s="49"/>
      <c r="AJ356" s="49"/>
      <c r="AK356" s="49"/>
      <c r="AL356" s="49"/>
      <c r="AM356" s="49"/>
      <c r="AN356" s="49"/>
      <c r="AO356" s="49"/>
      <c r="AP356" s="49"/>
      <c r="AQ356" s="49"/>
      <c r="AR356" s="49"/>
      <c r="AS356" s="49"/>
      <c r="AT356" s="49"/>
      <c r="AU356" s="49"/>
      <c r="AV356" s="49"/>
      <c r="AW356" s="49"/>
      <c r="AX356" s="49"/>
    </row>
    <row r="357">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c r="AA357" s="49"/>
      <c r="AB357" s="49"/>
      <c r="AC357" s="49"/>
      <c r="AD357" s="49"/>
      <c r="AE357" s="49"/>
      <c r="AF357" s="49"/>
      <c r="AG357" s="49"/>
      <c r="AH357" s="49"/>
      <c r="AI357" s="49"/>
      <c r="AJ357" s="49"/>
      <c r="AK357" s="49"/>
      <c r="AL357" s="49"/>
      <c r="AM357" s="49"/>
      <c r="AN357" s="49"/>
      <c r="AO357" s="49"/>
      <c r="AP357" s="49"/>
      <c r="AQ357" s="49"/>
      <c r="AR357" s="49"/>
      <c r="AS357" s="49"/>
      <c r="AT357" s="49"/>
      <c r="AU357" s="49"/>
      <c r="AV357" s="49"/>
      <c r="AW357" s="49"/>
      <c r="AX357" s="49"/>
    </row>
    <row r="358">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c r="AA358" s="49"/>
      <c r="AB358" s="49"/>
      <c r="AC358" s="49"/>
      <c r="AD358" s="49"/>
      <c r="AE358" s="49"/>
      <c r="AF358" s="49"/>
      <c r="AG358" s="49"/>
      <c r="AH358" s="49"/>
      <c r="AI358" s="49"/>
      <c r="AJ358" s="49"/>
      <c r="AK358" s="49"/>
      <c r="AL358" s="49"/>
      <c r="AM358" s="49"/>
      <c r="AN358" s="49"/>
      <c r="AO358" s="49"/>
      <c r="AP358" s="49"/>
      <c r="AQ358" s="49"/>
      <c r="AR358" s="49"/>
      <c r="AS358" s="49"/>
      <c r="AT358" s="49"/>
      <c r="AU358" s="49"/>
      <c r="AV358" s="49"/>
      <c r="AW358" s="49"/>
      <c r="AX358" s="49"/>
    </row>
    <row r="359">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c r="AA359" s="49"/>
      <c r="AB359" s="49"/>
      <c r="AC359" s="49"/>
      <c r="AD359" s="49"/>
      <c r="AE359" s="49"/>
      <c r="AF359" s="49"/>
      <c r="AG359" s="49"/>
      <c r="AH359" s="49"/>
      <c r="AI359" s="49"/>
      <c r="AJ359" s="49"/>
      <c r="AK359" s="49"/>
      <c r="AL359" s="49"/>
      <c r="AM359" s="49"/>
      <c r="AN359" s="49"/>
      <c r="AO359" s="49"/>
      <c r="AP359" s="49"/>
      <c r="AQ359" s="49"/>
      <c r="AR359" s="49"/>
      <c r="AS359" s="49"/>
      <c r="AT359" s="49"/>
      <c r="AU359" s="49"/>
      <c r="AV359" s="49"/>
      <c r="AW359" s="49"/>
      <c r="AX359" s="49"/>
    </row>
    <row r="360">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c r="AA360" s="49"/>
      <c r="AB360" s="49"/>
      <c r="AC360" s="49"/>
      <c r="AD360" s="49"/>
      <c r="AE360" s="49"/>
      <c r="AF360" s="49"/>
      <c r="AG360" s="49"/>
      <c r="AH360" s="49"/>
      <c r="AI360" s="49"/>
      <c r="AJ360" s="49"/>
      <c r="AK360" s="49"/>
      <c r="AL360" s="49"/>
      <c r="AM360" s="49"/>
      <c r="AN360" s="49"/>
      <c r="AO360" s="49"/>
      <c r="AP360" s="49"/>
      <c r="AQ360" s="49"/>
      <c r="AR360" s="49"/>
      <c r="AS360" s="49"/>
      <c r="AT360" s="49"/>
      <c r="AU360" s="49"/>
      <c r="AV360" s="49"/>
      <c r="AW360" s="49"/>
      <c r="AX360" s="49"/>
    </row>
    <row r="361">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c r="AA361" s="49"/>
      <c r="AB361" s="49"/>
      <c r="AC361" s="49"/>
      <c r="AD361" s="49"/>
      <c r="AE361" s="49"/>
      <c r="AF361" s="49"/>
      <c r="AG361" s="49"/>
      <c r="AH361" s="49"/>
      <c r="AI361" s="49"/>
      <c r="AJ361" s="49"/>
      <c r="AK361" s="49"/>
      <c r="AL361" s="49"/>
      <c r="AM361" s="49"/>
      <c r="AN361" s="49"/>
      <c r="AO361" s="49"/>
      <c r="AP361" s="49"/>
      <c r="AQ361" s="49"/>
      <c r="AR361" s="49"/>
      <c r="AS361" s="49"/>
      <c r="AT361" s="49"/>
      <c r="AU361" s="49"/>
      <c r="AV361" s="49"/>
      <c r="AW361" s="49"/>
      <c r="AX361" s="49"/>
    </row>
    <row r="362">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c r="AA362" s="49"/>
      <c r="AB362" s="49"/>
      <c r="AC362" s="49"/>
      <c r="AD362" s="49"/>
      <c r="AE362" s="49"/>
      <c r="AF362" s="49"/>
      <c r="AG362" s="49"/>
      <c r="AH362" s="49"/>
      <c r="AI362" s="49"/>
      <c r="AJ362" s="49"/>
      <c r="AK362" s="49"/>
      <c r="AL362" s="49"/>
      <c r="AM362" s="49"/>
      <c r="AN362" s="49"/>
      <c r="AO362" s="49"/>
      <c r="AP362" s="49"/>
      <c r="AQ362" s="49"/>
      <c r="AR362" s="49"/>
      <c r="AS362" s="49"/>
      <c r="AT362" s="49"/>
      <c r="AU362" s="49"/>
      <c r="AV362" s="49"/>
      <c r="AW362" s="49"/>
      <c r="AX362" s="49"/>
    </row>
    <row r="363">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c r="AA363" s="49"/>
      <c r="AB363" s="49"/>
      <c r="AC363" s="49"/>
      <c r="AD363" s="49"/>
      <c r="AE363" s="49"/>
      <c r="AF363" s="49"/>
      <c r="AG363" s="49"/>
      <c r="AH363" s="49"/>
      <c r="AI363" s="49"/>
      <c r="AJ363" s="49"/>
      <c r="AK363" s="49"/>
      <c r="AL363" s="49"/>
      <c r="AM363" s="49"/>
      <c r="AN363" s="49"/>
      <c r="AO363" s="49"/>
      <c r="AP363" s="49"/>
      <c r="AQ363" s="49"/>
      <c r="AR363" s="49"/>
      <c r="AS363" s="49"/>
      <c r="AT363" s="49"/>
      <c r="AU363" s="49"/>
      <c r="AV363" s="49"/>
      <c r="AW363" s="49"/>
      <c r="AX363" s="49"/>
    </row>
    <row r="364">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c r="AA364" s="49"/>
      <c r="AB364" s="49"/>
      <c r="AC364" s="49"/>
      <c r="AD364" s="49"/>
      <c r="AE364" s="49"/>
      <c r="AF364" s="49"/>
      <c r="AG364" s="49"/>
      <c r="AH364" s="49"/>
      <c r="AI364" s="49"/>
      <c r="AJ364" s="49"/>
      <c r="AK364" s="49"/>
      <c r="AL364" s="49"/>
      <c r="AM364" s="49"/>
      <c r="AN364" s="49"/>
      <c r="AO364" s="49"/>
      <c r="AP364" s="49"/>
      <c r="AQ364" s="49"/>
      <c r="AR364" s="49"/>
      <c r="AS364" s="49"/>
      <c r="AT364" s="49"/>
      <c r="AU364" s="49"/>
      <c r="AV364" s="49"/>
      <c r="AW364" s="49"/>
      <c r="AX364" s="49"/>
    </row>
    <row r="36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c r="AA365" s="49"/>
      <c r="AB365" s="49"/>
      <c r="AC365" s="49"/>
      <c r="AD365" s="49"/>
      <c r="AE365" s="49"/>
      <c r="AF365" s="49"/>
      <c r="AG365" s="49"/>
      <c r="AH365" s="49"/>
      <c r="AI365" s="49"/>
      <c r="AJ365" s="49"/>
      <c r="AK365" s="49"/>
      <c r="AL365" s="49"/>
      <c r="AM365" s="49"/>
      <c r="AN365" s="49"/>
      <c r="AO365" s="49"/>
      <c r="AP365" s="49"/>
      <c r="AQ365" s="49"/>
      <c r="AR365" s="49"/>
      <c r="AS365" s="49"/>
      <c r="AT365" s="49"/>
      <c r="AU365" s="49"/>
      <c r="AV365" s="49"/>
      <c r="AW365" s="49"/>
      <c r="AX365" s="49"/>
    </row>
    <row r="366">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c r="AA366" s="49"/>
      <c r="AB366" s="49"/>
      <c r="AC366" s="49"/>
      <c r="AD366" s="49"/>
      <c r="AE366" s="49"/>
      <c r="AF366" s="49"/>
      <c r="AG366" s="49"/>
      <c r="AH366" s="49"/>
      <c r="AI366" s="49"/>
      <c r="AJ366" s="49"/>
      <c r="AK366" s="49"/>
      <c r="AL366" s="49"/>
      <c r="AM366" s="49"/>
      <c r="AN366" s="49"/>
      <c r="AO366" s="49"/>
      <c r="AP366" s="49"/>
      <c r="AQ366" s="49"/>
      <c r="AR366" s="49"/>
      <c r="AS366" s="49"/>
      <c r="AT366" s="49"/>
      <c r="AU366" s="49"/>
      <c r="AV366" s="49"/>
      <c r="AW366" s="49"/>
      <c r="AX366" s="49"/>
    </row>
    <row r="367">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c r="AA367" s="49"/>
      <c r="AB367" s="49"/>
      <c r="AC367" s="49"/>
      <c r="AD367" s="49"/>
      <c r="AE367" s="49"/>
      <c r="AF367" s="49"/>
      <c r="AG367" s="49"/>
      <c r="AH367" s="49"/>
      <c r="AI367" s="49"/>
      <c r="AJ367" s="49"/>
      <c r="AK367" s="49"/>
      <c r="AL367" s="49"/>
      <c r="AM367" s="49"/>
      <c r="AN367" s="49"/>
      <c r="AO367" s="49"/>
      <c r="AP367" s="49"/>
      <c r="AQ367" s="49"/>
      <c r="AR367" s="49"/>
      <c r="AS367" s="49"/>
      <c r="AT367" s="49"/>
      <c r="AU367" s="49"/>
      <c r="AV367" s="49"/>
      <c r="AW367" s="49"/>
      <c r="AX367" s="49"/>
    </row>
    <row r="368">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c r="AA368" s="49"/>
      <c r="AB368" s="49"/>
      <c r="AC368" s="49"/>
      <c r="AD368" s="49"/>
      <c r="AE368" s="49"/>
      <c r="AF368" s="49"/>
      <c r="AG368" s="49"/>
      <c r="AH368" s="49"/>
      <c r="AI368" s="49"/>
      <c r="AJ368" s="49"/>
      <c r="AK368" s="49"/>
      <c r="AL368" s="49"/>
      <c r="AM368" s="49"/>
      <c r="AN368" s="49"/>
      <c r="AO368" s="49"/>
      <c r="AP368" s="49"/>
      <c r="AQ368" s="49"/>
      <c r="AR368" s="49"/>
      <c r="AS368" s="49"/>
      <c r="AT368" s="49"/>
      <c r="AU368" s="49"/>
      <c r="AV368" s="49"/>
      <c r="AW368" s="49"/>
      <c r="AX368" s="49"/>
    </row>
    <row r="369">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c r="AA369" s="49"/>
      <c r="AB369" s="49"/>
      <c r="AC369" s="49"/>
      <c r="AD369" s="49"/>
      <c r="AE369" s="49"/>
      <c r="AF369" s="49"/>
      <c r="AG369" s="49"/>
      <c r="AH369" s="49"/>
      <c r="AI369" s="49"/>
      <c r="AJ369" s="49"/>
      <c r="AK369" s="49"/>
      <c r="AL369" s="49"/>
      <c r="AM369" s="49"/>
      <c r="AN369" s="49"/>
      <c r="AO369" s="49"/>
      <c r="AP369" s="49"/>
      <c r="AQ369" s="49"/>
      <c r="AR369" s="49"/>
      <c r="AS369" s="49"/>
      <c r="AT369" s="49"/>
      <c r="AU369" s="49"/>
      <c r="AV369" s="49"/>
      <c r="AW369" s="49"/>
      <c r="AX369" s="49"/>
    </row>
    <row r="370">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c r="AA370" s="49"/>
      <c r="AB370" s="49"/>
      <c r="AC370" s="49"/>
      <c r="AD370" s="49"/>
      <c r="AE370" s="49"/>
      <c r="AF370" s="49"/>
      <c r="AG370" s="49"/>
      <c r="AH370" s="49"/>
      <c r="AI370" s="49"/>
      <c r="AJ370" s="49"/>
      <c r="AK370" s="49"/>
      <c r="AL370" s="49"/>
      <c r="AM370" s="49"/>
      <c r="AN370" s="49"/>
      <c r="AO370" s="49"/>
      <c r="AP370" s="49"/>
      <c r="AQ370" s="49"/>
      <c r="AR370" s="49"/>
      <c r="AS370" s="49"/>
      <c r="AT370" s="49"/>
      <c r="AU370" s="49"/>
      <c r="AV370" s="49"/>
      <c r="AW370" s="49"/>
      <c r="AX370" s="49"/>
    </row>
    <row r="371">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c r="AA371" s="49"/>
      <c r="AB371" s="49"/>
      <c r="AC371" s="49"/>
      <c r="AD371" s="49"/>
      <c r="AE371" s="49"/>
      <c r="AF371" s="49"/>
      <c r="AG371" s="49"/>
      <c r="AH371" s="49"/>
      <c r="AI371" s="49"/>
      <c r="AJ371" s="49"/>
      <c r="AK371" s="49"/>
      <c r="AL371" s="49"/>
      <c r="AM371" s="49"/>
      <c r="AN371" s="49"/>
      <c r="AO371" s="49"/>
      <c r="AP371" s="49"/>
      <c r="AQ371" s="49"/>
      <c r="AR371" s="49"/>
      <c r="AS371" s="49"/>
      <c r="AT371" s="49"/>
      <c r="AU371" s="49"/>
      <c r="AV371" s="49"/>
      <c r="AW371" s="49"/>
      <c r="AX371" s="49"/>
    </row>
    <row r="372">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c r="AA372" s="49"/>
      <c r="AB372" s="49"/>
      <c r="AC372" s="49"/>
      <c r="AD372" s="49"/>
      <c r="AE372" s="49"/>
      <c r="AF372" s="49"/>
      <c r="AG372" s="49"/>
      <c r="AH372" s="49"/>
      <c r="AI372" s="49"/>
      <c r="AJ372" s="49"/>
      <c r="AK372" s="49"/>
      <c r="AL372" s="49"/>
      <c r="AM372" s="49"/>
      <c r="AN372" s="49"/>
      <c r="AO372" s="49"/>
      <c r="AP372" s="49"/>
      <c r="AQ372" s="49"/>
      <c r="AR372" s="49"/>
      <c r="AS372" s="49"/>
      <c r="AT372" s="49"/>
      <c r="AU372" s="49"/>
      <c r="AV372" s="49"/>
      <c r="AW372" s="49"/>
      <c r="AX372" s="49"/>
    </row>
    <row r="373">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c r="AA373" s="49"/>
      <c r="AB373" s="49"/>
      <c r="AC373" s="49"/>
      <c r="AD373" s="49"/>
      <c r="AE373" s="49"/>
      <c r="AF373" s="49"/>
      <c r="AG373" s="49"/>
      <c r="AH373" s="49"/>
      <c r="AI373" s="49"/>
      <c r="AJ373" s="49"/>
      <c r="AK373" s="49"/>
      <c r="AL373" s="49"/>
      <c r="AM373" s="49"/>
      <c r="AN373" s="49"/>
      <c r="AO373" s="49"/>
      <c r="AP373" s="49"/>
      <c r="AQ373" s="49"/>
      <c r="AR373" s="49"/>
      <c r="AS373" s="49"/>
      <c r="AT373" s="49"/>
      <c r="AU373" s="49"/>
      <c r="AV373" s="49"/>
      <c r="AW373" s="49"/>
      <c r="AX373" s="49"/>
    </row>
    <row r="374">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c r="AA374" s="49"/>
      <c r="AB374" s="49"/>
      <c r="AC374" s="49"/>
      <c r="AD374" s="49"/>
      <c r="AE374" s="49"/>
      <c r="AF374" s="49"/>
      <c r="AG374" s="49"/>
      <c r="AH374" s="49"/>
      <c r="AI374" s="49"/>
      <c r="AJ374" s="49"/>
      <c r="AK374" s="49"/>
      <c r="AL374" s="49"/>
      <c r="AM374" s="49"/>
      <c r="AN374" s="49"/>
      <c r="AO374" s="49"/>
      <c r="AP374" s="49"/>
      <c r="AQ374" s="49"/>
      <c r="AR374" s="49"/>
      <c r="AS374" s="49"/>
      <c r="AT374" s="49"/>
      <c r="AU374" s="49"/>
      <c r="AV374" s="49"/>
      <c r="AW374" s="49"/>
      <c r="AX374" s="49"/>
    </row>
    <row r="37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c r="AA375" s="49"/>
      <c r="AB375" s="49"/>
      <c r="AC375" s="49"/>
      <c r="AD375" s="49"/>
      <c r="AE375" s="49"/>
      <c r="AF375" s="49"/>
      <c r="AG375" s="49"/>
      <c r="AH375" s="49"/>
      <c r="AI375" s="49"/>
      <c r="AJ375" s="49"/>
      <c r="AK375" s="49"/>
      <c r="AL375" s="49"/>
      <c r="AM375" s="49"/>
      <c r="AN375" s="49"/>
      <c r="AO375" s="49"/>
      <c r="AP375" s="49"/>
      <c r="AQ375" s="49"/>
      <c r="AR375" s="49"/>
      <c r="AS375" s="49"/>
      <c r="AT375" s="49"/>
      <c r="AU375" s="49"/>
      <c r="AV375" s="49"/>
      <c r="AW375" s="49"/>
      <c r="AX375" s="49"/>
    </row>
    <row r="376">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c r="AA376" s="49"/>
      <c r="AB376" s="49"/>
      <c r="AC376" s="49"/>
      <c r="AD376" s="49"/>
      <c r="AE376" s="49"/>
      <c r="AF376" s="49"/>
      <c r="AG376" s="49"/>
      <c r="AH376" s="49"/>
      <c r="AI376" s="49"/>
      <c r="AJ376" s="49"/>
      <c r="AK376" s="49"/>
      <c r="AL376" s="49"/>
      <c r="AM376" s="49"/>
      <c r="AN376" s="49"/>
      <c r="AO376" s="49"/>
      <c r="AP376" s="49"/>
      <c r="AQ376" s="49"/>
      <c r="AR376" s="49"/>
      <c r="AS376" s="49"/>
      <c r="AT376" s="49"/>
      <c r="AU376" s="49"/>
      <c r="AV376" s="49"/>
      <c r="AW376" s="49"/>
      <c r="AX376" s="49"/>
    </row>
    <row r="377">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c r="AA377" s="49"/>
      <c r="AB377" s="49"/>
      <c r="AC377" s="49"/>
      <c r="AD377" s="49"/>
      <c r="AE377" s="49"/>
      <c r="AF377" s="49"/>
      <c r="AG377" s="49"/>
      <c r="AH377" s="49"/>
      <c r="AI377" s="49"/>
      <c r="AJ377" s="49"/>
      <c r="AK377" s="49"/>
      <c r="AL377" s="49"/>
      <c r="AM377" s="49"/>
      <c r="AN377" s="49"/>
      <c r="AO377" s="49"/>
      <c r="AP377" s="49"/>
      <c r="AQ377" s="49"/>
      <c r="AR377" s="49"/>
      <c r="AS377" s="49"/>
      <c r="AT377" s="49"/>
      <c r="AU377" s="49"/>
      <c r="AV377" s="49"/>
      <c r="AW377" s="49"/>
      <c r="AX377" s="49"/>
    </row>
    <row r="378">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c r="AA378" s="49"/>
      <c r="AB378" s="49"/>
      <c r="AC378" s="49"/>
      <c r="AD378" s="49"/>
      <c r="AE378" s="49"/>
      <c r="AF378" s="49"/>
      <c r="AG378" s="49"/>
      <c r="AH378" s="49"/>
      <c r="AI378" s="49"/>
      <c r="AJ378" s="49"/>
      <c r="AK378" s="49"/>
      <c r="AL378" s="49"/>
      <c r="AM378" s="49"/>
      <c r="AN378" s="49"/>
      <c r="AO378" s="49"/>
      <c r="AP378" s="49"/>
      <c r="AQ378" s="49"/>
      <c r="AR378" s="49"/>
      <c r="AS378" s="49"/>
      <c r="AT378" s="49"/>
      <c r="AU378" s="49"/>
      <c r="AV378" s="49"/>
      <c r="AW378" s="49"/>
      <c r="AX378" s="49"/>
    </row>
    <row r="379">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c r="AA379" s="49"/>
      <c r="AB379" s="49"/>
      <c r="AC379" s="49"/>
      <c r="AD379" s="49"/>
      <c r="AE379" s="49"/>
      <c r="AF379" s="49"/>
      <c r="AG379" s="49"/>
      <c r="AH379" s="49"/>
      <c r="AI379" s="49"/>
      <c r="AJ379" s="49"/>
      <c r="AK379" s="49"/>
      <c r="AL379" s="49"/>
      <c r="AM379" s="49"/>
      <c r="AN379" s="49"/>
      <c r="AO379" s="49"/>
      <c r="AP379" s="49"/>
      <c r="AQ379" s="49"/>
      <c r="AR379" s="49"/>
      <c r="AS379" s="49"/>
      <c r="AT379" s="49"/>
      <c r="AU379" s="49"/>
      <c r="AV379" s="49"/>
      <c r="AW379" s="49"/>
      <c r="AX379" s="49"/>
    </row>
    <row r="380">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c r="AA380" s="49"/>
      <c r="AB380" s="49"/>
      <c r="AC380" s="49"/>
      <c r="AD380" s="49"/>
      <c r="AE380" s="49"/>
      <c r="AF380" s="49"/>
      <c r="AG380" s="49"/>
      <c r="AH380" s="49"/>
      <c r="AI380" s="49"/>
      <c r="AJ380" s="49"/>
      <c r="AK380" s="49"/>
      <c r="AL380" s="49"/>
      <c r="AM380" s="49"/>
      <c r="AN380" s="49"/>
      <c r="AO380" s="49"/>
      <c r="AP380" s="49"/>
      <c r="AQ380" s="49"/>
      <c r="AR380" s="49"/>
      <c r="AS380" s="49"/>
      <c r="AT380" s="49"/>
      <c r="AU380" s="49"/>
      <c r="AV380" s="49"/>
      <c r="AW380" s="49"/>
      <c r="AX380" s="49"/>
    </row>
    <row r="381">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c r="AA381" s="49"/>
      <c r="AB381" s="49"/>
      <c r="AC381" s="49"/>
      <c r="AD381" s="49"/>
      <c r="AE381" s="49"/>
      <c r="AF381" s="49"/>
      <c r="AG381" s="49"/>
      <c r="AH381" s="49"/>
      <c r="AI381" s="49"/>
      <c r="AJ381" s="49"/>
      <c r="AK381" s="49"/>
      <c r="AL381" s="49"/>
      <c r="AM381" s="49"/>
      <c r="AN381" s="49"/>
      <c r="AO381" s="49"/>
      <c r="AP381" s="49"/>
      <c r="AQ381" s="49"/>
      <c r="AR381" s="49"/>
      <c r="AS381" s="49"/>
      <c r="AT381" s="49"/>
      <c r="AU381" s="49"/>
      <c r="AV381" s="49"/>
      <c r="AW381" s="49"/>
      <c r="AX381" s="49"/>
    </row>
    <row r="382">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c r="AA382" s="49"/>
      <c r="AB382" s="49"/>
      <c r="AC382" s="49"/>
      <c r="AD382" s="49"/>
      <c r="AE382" s="49"/>
      <c r="AF382" s="49"/>
      <c r="AG382" s="49"/>
      <c r="AH382" s="49"/>
      <c r="AI382" s="49"/>
      <c r="AJ382" s="49"/>
      <c r="AK382" s="49"/>
      <c r="AL382" s="49"/>
      <c r="AM382" s="49"/>
      <c r="AN382" s="49"/>
      <c r="AO382" s="49"/>
      <c r="AP382" s="49"/>
      <c r="AQ382" s="49"/>
      <c r="AR382" s="49"/>
      <c r="AS382" s="49"/>
      <c r="AT382" s="49"/>
      <c r="AU382" s="49"/>
      <c r="AV382" s="49"/>
      <c r="AW382" s="49"/>
      <c r="AX382" s="49"/>
    </row>
    <row r="383">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c r="AA383" s="49"/>
      <c r="AB383" s="49"/>
      <c r="AC383" s="49"/>
      <c r="AD383" s="49"/>
      <c r="AE383" s="49"/>
      <c r="AF383" s="49"/>
      <c r="AG383" s="49"/>
      <c r="AH383" s="49"/>
      <c r="AI383" s="49"/>
      <c r="AJ383" s="49"/>
      <c r="AK383" s="49"/>
      <c r="AL383" s="49"/>
      <c r="AM383" s="49"/>
      <c r="AN383" s="49"/>
      <c r="AO383" s="49"/>
      <c r="AP383" s="49"/>
      <c r="AQ383" s="49"/>
      <c r="AR383" s="49"/>
      <c r="AS383" s="49"/>
      <c r="AT383" s="49"/>
      <c r="AU383" s="49"/>
      <c r="AV383" s="49"/>
      <c r="AW383" s="49"/>
      <c r="AX383" s="49"/>
    </row>
    <row r="384">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c r="AA384" s="49"/>
      <c r="AB384" s="49"/>
      <c r="AC384" s="49"/>
      <c r="AD384" s="49"/>
      <c r="AE384" s="49"/>
      <c r="AF384" s="49"/>
      <c r="AG384" s="49"/>
      <c r="AH384" s="49"/>
      <c r="AI384" s="49"/>
      <c r="AJ384" s="49"/>
      <c r="AK384" s="49"/>
      <c r="AL384" s="49"/>
      <c r="AM384" s="49"/>
      <c r="AN384" s="49"/>
      <c r="AO384" s="49"/>
      <c r="AP384" s="49"/>
      <c r="AQ384" s="49"/>
      <c r="AR384" s="49"/>
      <c r="AS384" s="49"/>
      <c r="AT384" s="49"/>
      <c r="AU384" s="49"/>
      <c r="AV384" s="49"/>
      <c r="AW384" s="49"/>
      <c r="AX384" s="49"/>
    </row>
    <row r="38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c r="AA385" s="49"/>
      <c r="AB385" s="49"/>
      <c r="AC385" s="49"/>
      <c r="AD385" s="49"/>
      <c r="AE385" s="49"/>
      <c r="AF385" s="49"/>
      <c r="AG385" s="49"/>
      <c r="AH385" s="49"/>
      <c r="AI385" s="49"/>
      <c r="AJ385" s="49"/>
      <c r="AK385" s="49"/>
      <c r="AL385" s="49"/>
      <c r="AM385" s="49"/>
      <c r="AN385" s="49"/>
      <c r="AO385" s="49"/>
      <c r="AP385" s="49"/>
      <c r="AQ385" s="49"/>
      <c r="AR385" s="49"/>
      <c r="AS385" s="49"/>
      <c r="AT385" s="49"/>
      <c r="AU385" s="49"/>
      <c r="AV385" s="49"/>
      <c r="AW385" s="49"/>
      <c r="AX385" s="49"/>
    </row>
    <row r="386">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c r="AA386" s="49"/>
      <c r="AB386" s="49"/>
      <c r="AC386" s="49"/>
      <c r="AD386" s="49"/>
      <c r="AE386" s="49"/>
      <c r="AF386" s="49"/>
      <c r="AG386" s="49"/>
      <c r="AH386" s="49"/>
      <c r="AI386" s="49"/>
      <c r="AJ386" s="49"/>
      <c r="AK386" s="49"/>
      <c r="AL386" s="49"/>
      <c r="AM386" s="49"/>
      <c r="AN386" s="49"/>
      <c r="AO386" s="49"/>
      <c r="AP386" s="49"/>
      <c r="AQ386" s="49"/>
      <c r="AR386" s="49"/>
      <c r="AS386" s="49"/>
      <c r="AT386" s="49"/>
      <c r="AU386" s="49"/>
      <c r="AV386" s="49"/>
      <c r="AW386" s="49"/>
      <c r="AX386" s="49"/>
    </row>
    <row r="387">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c r="AA387" s="49"/>
      <c r="AB387" s="49"/>
      <c r="AC387" s="49"/>
      <c r="AD387" s="49"/>
      <c r="AE387" s="49"/>
      <c r="AF387" s="49"/>
      <c r="AG387" s="49"/>
      <c r="AH387" s="49"/>
      <c r="AI387" s="49"/>
      <c r="AJ387" s="49"/>
      <c r="AK387" s="49"/>
      <c r="AL387" s="49"/>
      <c r="AM387" s="49"/>
      <c r="AN387" s="49"/>
      <c r="AO387" s="49"/>
      <c r="AP387" s="49"/>
      <c r="AQ387" s="49"/>
      <c r="AR387" s="49"/>
      <c r="AS387" s="49"/>
      <c r="AT387" s="49"/>
      <c r="AU387" s="49"/>
      <c r="AV387" s="49"/>
      <c r="AW387" s="49"/>
      <c r="AX387" s="49"/>
    </row>
    <row r="388">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c r="AA388" s="49"/>
      <c r="AB388" s="49"/>
      <c r="AC388" s="49"/>
      <c r="AD388" s="49"/>
      <c r="AE388" s="49"/>
      <c r="AF388" s="49"/>
      <c r="AG388" s="49"/>
      <c r="AH388" s="49"/>
      <c r="AI388" s="49"/>
      <c r="AJ388" s="49"/>
      <c r="AK388" s="49"/>
      <c r="AL388" s="49"/>
      <c r="AM388" s="49"/>
      <c r="AN388" s="49"/>
      <c r="AO388" s="49"/>
      <c r="AP388" s="49"/>
      <c r="AQ388" s="49"/>
      <c r="AR388" s="49"/>
      <c r="AS388" s="49"/>
      <c r="AT388" s="49"/>
      <c r="AU388" s="49"/>
      <c r="AV388" s="49"/>
      <c r="AW388" s="49"/>
      <c r="AX388" s="49"/>
    </row>
    <row r="389">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c r="AA389" s="49"/>
      <c r="AB389" s="49"/>
      <c r="AC389" s="49"/>
      <c r="AD389" s="49"/>
      <c r="AE389" s="49"/>
      <c r="AF389" s="49"/>
      <c r="AG389" s="49"/>
      <c r="AH389" s="49"/>
      <c r="AI389" s="49"/>
      <c r="AJ389" s="49"/>
      <c r="AK389" s="49"/>
      <c r="AL389" s="49"/>
      <c r="AM389" s="49"/>
      <c r="AN389" s="49"/>
      <c r="AO389" s="49"/>
      <c r="AP389" s="49"/>
      <c r="AQ389" s="49"/>
      <c r="AR389" s="49"/>
      <c r="AS389" s="49"/>
      <c r="AT389" s="49"/>
      <c r="AU389" s="49"/>
      <c r="AV389" s="49"/>
      <c r="AW389" s="49"/>
      <c r="AX389" s="49"/>
    </row>
    <row r="390">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c r="AA390" s="49"/>
      <c r="AB390" s="49"/>
      <c r="AC390" s="49"/>
      <c r="AD390" s="49"/>
      <c r="AE390" s="49"/>
      <c r="AF390" s="49"/>
      <c r="AG390" s="49"/>
      <c r="AH390" s="49"/>
      <c r="AI390" s="49"/>
      <c r="AJ390" s="49"/>
      <c r="AK390" s="49"/>
      <c r="AL390" s="49"/>
      <c r="AM390" s="49"/>
      <c r="AN390" s="49"/>
      <c r="AO390" s="49"/>
      <c r="AP390" s="49"/>
      <c r="AQ390" s="49"/>
      <c r="AR390" s="49"/>
      <c r="AS390" s="49"/>
      <c r="AT390" s="49"/>
      <c r="AU390" s="49"/>
      <c r="AV390" s="49"/>
      <c r="AW390" s="49"/>
      <c r="AX390" s="49"/>
    </row>
    <row r="391">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c r="AA391" s="49"/>
      <c r="AB391" s="49"/>
      <c r="AC391" s="49"/>
      <c r="AD391" s="49"/>
      <c r="AE391" s="49"/>
      <c r="AF391" s="49"/>
      <c r="AG391" s="49"/>
      <c r="AH391" s="49"/>
      <c r="AI391" s="49"/>
      <c r="AJ391" s="49"/>
      <c r="AK391" s="49"/>
      <c r="AL391" s="49"/>
      <c r="AM391" s="49"/>
      <c r="AN391" s="49"/>
      <c r="AO391" s="49"/>
      <c r="AP391" s="49"/>
      <c r="AQ391" s="49"/>
      <c r="AR391" s="49"/>
      <c r="AS391" s="49"/>
      <c r="AT391" s="49"/>
      <c r="AU391" s="49"/>
      <c r="AV391" s="49"/>
      <c r="AW391" s="49"/>
      <c r="AX391" s="49"/>
    </row>
    <row r="392">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c r="AA392" s="49"/>
      <c r="AB392" s="49"/>
      <c r="AC392" s="49"/>
      <c r="AD392" s="49"/>
      <c r="AE392" s="49"/>
      <c r="AF392" s="49"/>
      <c r="AG392" s="49"/>
      <c r="AH392" s="49"/>
      <c r="AI392" s="49"/>
      <c r="AJ392" s="49"/>
      <c r="AK392" s="49"/>
      <c r="AL392" s="49"/>
      <c r="AM392" s="49"/>
      <c r="AN392" s="49"/>
      <c r="AO392" s="49"/>
      <c r="AP392" s="49"/>
      <c r="AQ392" s="49"/>
      <c r="AR392" s="49"/>
      <c r="AS392" s="49"/>
      <c r="AT392" s="49"/>
      <c r="AU392" s="49"/>
      <c r="AV392" s="49"/>
      <c r="AW392" s="49"/>
      <c r="AX392" s="49"/>
    </row>
    <row r="393">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c r="AA393" s="49"/>
      <c r="AB393" s="49"/>
      <c r="AC393" s="49"/>
      <c r="AD393" s="49"/>
      <c r="AE393" s="49"/>
      <c r="AF393" s="49"/>
      <c r="AG393" s="49"/>
      <c r="AH393" s="49"/>
      <c r="AI393" s="49"/>
      <c r="AJ393" s="49"/>
      <c r="AK393" s="49"/>
      <c r="AL393" s="49"/>
      <c r="AM393" s="49"/>
      <c r="AN393" s="49"/>
      <c r="AO393" s="49"/>
      <c r="AP393" s="49"/>
      <c r="AQ393" s="49"/>
      <c r="AR393" s="49"/>
      <c r="AS393" s="49"/>
      <c r="AT393" s="49"/>
      <c r="AU393" s="49"/>
      <c r="AV393" s="49"/>
      <c r="AW393" s="49"/>
      <c r="AX393" s="49"/>
    </row>
    <row r="394">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c r="AA394" s="49"/>
      <c r="AB394" s="49"/>
      <c r="AC394" s="49"/>
      <c r="AD394" s="49"/>
      <c r="AE394" s="49"/>
      <c r="AF394" s="49"/>
      <c r="AG394" s="49"/>
      <c r="AH394" s="49"/>
      <c r="AI394" s="49"/>
      <c r="AJ394" s="49"/>
      <c r="AK394" s="49"/>
      <c r="AL394" s="49"/>
      <c r="AM394" s="49"/>
      <c r="AN394" s="49"/>
      <c r="AO394" s="49"/>
      <c r="AP394" s="49"/>
      <c r="AQ394" s="49"/>
      <c r="AR394" s="49"/>
      <c r="AS394" s="49"/>
      <c r="AT394" s="49"/>
      <c r="AU394" s="49"/>
      <c r="AV394" s="49"/>
      <c r="AW394" s="49"/>
      <c r="AX394" s="49"/>
    </row>
    <row r="39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c r="AA395" s="49"/>
      <c r="AB395" s="49"/>
      <c r="AC395" s="49"/>
      <c r="AD395" s="49"/>
      <c r="AE395" s="49"/>
      <c r="AF395" s="49"/>
      <c r="AG395" s="49"/>
      <c r="AH395" s="49"/>
      <c r="AI395" s="49"/>
      <c r="AJ395" s="49"/>
      <c r="AK395" s="49"/>
      <c r="AL395" s="49"/>
      <c r="AM395" s="49"/>
      <c r="AN395" s="49"/>
      <c r="AO395" s="49"/>
      <c r="AP395" s="49"/>
      <c r="AQ395" s="49"/>
      <c r="AR395" s="49"/>
      <c r="AS395" s="49"/>
      <c r="AT395" s="49"/>
      <c r="AU395" s="49"/>
      <c r="AV395" s="49"/>
      <c r="AW395" s="49"/>
      <c r="AX395" s="49"/>
    </row>
    <row r="396">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c r="AA396" s="49"/>
      <c r="AB396" s="49"/>
      <c r="AC396" s="49"/>
      <c r="AD396" s="49"/>
      <c r="AE396" s="49"/>
      <c r="AF396" s="49"/>
      <c r="AG396" s="49"/>
      <c r="AH396" s="49"/>
      <c r="AI396" s="49"/>
      <c r="AJ396" s="49"/>
      <c r="AK396" s="49"/>
      <c r="AL396" s="49"/>
      <c r="AM396" s="49"/>
      <c r="AN396" s="49"/>
      <c r="AO396" s="49"/>
      <c r="AP396" s="49"/>
      <c r="AQ396" s="49"/>
      <c r="AR396" s="49"/>
      <c r="AS396" s="49"/>
      <c r="AT396" s="49"/>
      <c r="AU396" s="49"/>
      <c r="AV396" s="49"/>
      <c r="AW396" s="49"/>
      <c r="AX396" s="49"/>
    </row>
    <row r="397">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c r="AA397" s="49"/>
      <c r="AB397" s="49"/>
      <c r="AC397" s="49"/>
      <c r="AD397" s="49"/>
      <c r="AE397" s="49"/>
      <c r="AF397" s="49"/>
      <c r="AG397" s="49"/>
      <c r="AH397" s="49"/>
      <c r="AI397" s="49"/>
      <c r="AJ397" s="49"/>
      <c r="AK397" s="49"/>
      <c r="AL397" s="49"/>
      <c r="AM397" s="49"/>
      <c r="AN397" s="49"/>
      <c r="AO397" s="49"/>
      <c r="AP397" s="49"/>
      <c r="AQ397" s="49"/>
      <c r="AR397" s="49"/>
      <c r="AS397" s="49"/>
      <c r="AT397" s="49"/>
      <c r="AU397" s="49"/>
      <c r="AV397" s="49"/>
      <c r="AW397" s="49"/>
      <c r="AX397" s="49"/>
    </row>
    <row r="398">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c r="AA398" s="49"/>
      <c r="AB398" s="49"/>
      <c r="AC398" s="49"/>
      <c r="AD398" s="49"/>
      <c r="AE398" s="49"/>
      <c r="AF398" s="49"/>
      <c r="AG398" s="49"/>
      <c r="AH398" s="49"/>
      <c r="AI398" s="49"/>
      <c r="AJ398" s="49"/>
      <c r="AK398" s="49"/>
      <c r="AL398" s="49"/>
      <c r="AM398" s="49"/>
      <c r="AN398" s="49"/>
      <c r="AO398" s="49"/>
      <c r="AP398" s="49"/>
      <c r="AQ398" s="49"/>
      <c r="AR398" s="49"/>
      <c r="AS398" s="49"/>
      <c r="AT398" s="49"/>
      <c r="AU398" s="49"/>
      <c r="AV398" s="49"/>
      <c r="AW398" s="49"/>
      <c r="AX398" s="49"/>
    </row>
    <row r="399">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c r="AA399" s="49"/>
      <c r="AB399" s="49"/>
      <c r="AC399" s="49"/>
      <c r="AD399" s="49"/>
      <c r="AE399" s="49"/>
      <c r="AF399" s="49"/>
      <c r="AG399" s="49"/>
      <c r="AH399" s="49"/>
      <c r="AI399" s="49"/>
      <c r="AJ399" s="49"/>
      <c r="AK399" s="49"/>
      <c r="AL399" s="49"/>
      <c r="AM399" s="49"/>
      <c r="AN399" s="49"/>
      <c r="AO399" s="49"/>
      <c r="AP399" s="49"/>
      <c r="AQ399" s="49"/>
      <c r="AR399" s="49"/>
      <c r="AS399" s="49"/>
      <c r="AT399" s="49"/>
      <c r="AU399" s="49"/>
      <c r="AV399" s="49"/>
      <c r="AW399" s="49"/>
      <c r="AX399" s="49"/>
    </row>
    <row r="400">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c r="AA400" s="49"/>
      <c r="AB400" s="49"/>
      <c r="AC400" s="49"/>
      <c r="AD400" s="49"/>
      <c r="AE400" s="49"/>
      <c r="AF400" s="49"/>
      <c r="AG400" s="49"/>
      <c r="AH400" s="49"/>
      <c r="AI400" s="49"/>
      <c r="AJ400" s="49"/>
      <c r="AK400" s="49"/>
      <c r="AL400" s="49"/>
      <c r="AM400" s="49"/>
      <c r="AN400" s="49"/>
      <c r="AO400" s="49"/>
      <c r="AP400" s="49"/>
      <c r="AQ400" s="49"/>
      <c r="AR400" s="49"/>
      <c r="AS400" s="49"/>
      <c r="AT400" s="49"/>
      <c r="AU400" s="49"/>
      <c r="AV400" s="49"/>
      <c r="AW400" s="49"/>
      <c r="AX400" s="49"/>
    </row>
    <row r="401">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c r="AA401" s="49"/>
      <c r="AB401" s="49"/>
      <c r="AC401" s="49"/>
      <c r="AD401" s="49"/>
      <c r="AE401" s="49"/>
      <c r="AF401" s="49"/>
      <c r="AG401" s="49"/>
      <c r="AH401" s="49"/>
      <c r="AI401" s="49"/>
      <c r="AJ401" s="49"/>
      <c r="AK401" s="49"/>
      <c r="AL401" s="49"/>
      <c r="AM401" s="49"/>
      <c r="AN401" s="49"/>
      <c r="AO401" s="49"/>
      <c r="AP401" s="49"/>
      <c r="AQ401" s="49"/>
      <c r="AR401" s="49"/>
      <c r="AS401" s="49"/>
      <c r="AT401" s="49"/>
      <c r="AU401" s="49"/>
      <c r="AV401" s="49"/>
      <c r="AW401" s="49"/>
      <c r="AX401" s="49"/>
    </row>
    <row r="402">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c r="AA402" s="49"/>
      <c r="AB402" s="49"/>
      <c r="AC402" s="49"/>
      <c r="AD402" s="49"/>
      <c r="AE402" s="49"/>
      <c r="AF402" s="49"/>
      <c r="AG402" s="49"/>
      <c r="AH402" s="49"/>
      <c r="AI402" s="49"/>
      <c r="AJ402" s="49"/>
      <c r="AK402" s="49"/>
      <c r="AL402" s="49"/>
      <c r="AM402" s="49"/>
      <c r="AN402" s="49"/>
      <c r="AO402" s="49"/>
      <c r="AP402" s="49"/>
      <c r="AQ402" s="49"/>
      <c r="AR402" s="49"/>
      <c r="AS402" s="49"/>
      <c r="AT402" s="49"/>
      <c r="AU402" s="49"/>
      <c r="AV402" s="49"/>
      <c r="AW402" s="49"/>
      <c r="AX402" s="49"/>
    </row>
    <row r="403">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c r="AA403" s="49"/>
      <c r="AB403" s="49"/>
      <c r="AC403" s="49"/>
      <c r="AD403" s="49"/>
      <c r="AE403" s="49"/>
      <c r="AF403" s="49"/>
      <c r="AG403" s="49"/>
      <c r="AH403" s="49"/>
      <c r="AI403" s="49"/>
      <c r="AJ403" s="49"/>
      <c r="AK403" s="49"/>
      <c r="AL403" s="49"/>
      <c r="AM403" s="49"/>
      <c r="AN403" s="49"/>
      <c r="AO403" s="49"/>
      <c r="AP403" s="49"/>
      <c r="AQ403" s="49"/>
      <c r="AR403" s="49"/>
      <c r="AS403" s="49"/>
      <c r="AT403" s="49"/>
      <c r="AU403" s="49"/>
      <c r="AV403" s="49"/>
      <c r="AW403" s="49"/>
      <c r="AX403" s="49"/>
    </row>
    <row r="404">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c r="AA404" s="49"/>
      <c r="AB404" s="49"/>
      <c r="AC404" s="49"/>
      <c r="AD404" s="49"/>
      <c r="AE404" s="49"/>
      <c r="AF404" s="49"/>
      <c r="AG404" s="49"/>
      <c r="AH404" s="49"/>
      <c r="AI404" s="49"/>
      <c r="AJ404" s="49"/>
      <c r="AK404" s="49"/>
      <c r="AL404" s="49"/>
      <c r="AM404" s="49"/>
      <c r="AN404" s="49"/>
      <c r="AO404" s="49"/>
      <c r="AP404" s="49"/>
      <c r="AQ404" s="49"/>
      <c r="AR404" s="49"/>
      <c r="AS404" s="49"/>
      <c r="AT404" s="49"/>
      <c r="AU404" s="49"/>
      <c r="AV404" s="49"/>
      <c r="AW404" s="49"/>
      <c r="AX404" s="49"/>
    </row>
    <row r="40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c r="AA405" s="49"/>
      <c r="AB405" s="49"/>
      <c r="AC405" s="49"/>
      <c r="AD405" s="49"/>
      <c r="AE405" s="49"/>
      <c r="AF405" s="49"/>
      <c r="AG405" s="49"/>
      <c r="AH405" s="49"/>
      <c r="AI405" s="49"/>
      <c r="AJ405" s="49"/>
      <c r="AK405" s="49"/>
      <c r="AL405" s="49"/>
      <c r="AM405" s="49"/>
      <c r="AN405" s="49"/>
      <c r="AO405" s="49"/>
      <c r="AP405" s="49"/>
      <c r="AQ405" s="49"/>
      <c r="AR405" s="49"/>
      <c r="AS405" s="49"/>
      <c r="AT405" s="49"/>
      <c r="AU405" s="49"/>
      <c r="AV405" s="49"/>
      <c r="AW405" s="49"/>
      <c r="AX405" s="49"/>
    </row>
    <row r="406">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c r="AA406" s="49"/>
      <c r="AB406" s="49"/>
      <c r="AC406" s="49"/>
      <c r="AD406" s="49"/>
      <c r="AE406" s="49"/>
      <c r="AF406" s="49"/>
      <c r="AG406" s="49"/>
      <c r="AH406" s="49"/>
      <c r="AI406" s="49"/>
      <c r="AJ406" s="49"/>
      <c r="AK406" s="49"/>
      <c r="AL406" s="49"/>
      <c r="AM406" s="49"/>
      <c r="AN406" s="49"/>
      <c r="AO406" s="49"/>
      <c r="AP406" s="49"/>
      <c r="AQ406" s="49"/>
      <c r="AR406" s="49"/>
      <c r="AS406" s="49"/>
      <c r="AT406" s="49"/>
      <c r="AU406" s="49"/>
      <c r="AV406" s="49"/>
      <c r="AW406" s="49"/>
      <c r="AX406" s="49"/>
    </row>
    <row r="407">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c r="AA407" s="49"/>
      <c r="AB407" s="49"/>
      <c r="AC407" s="49"/>
      <c r="AD407" s="49"/>
      <c r="AE407" s="49"/>
      <c r="AF407" s="49"/>
      <c r="AG407" s="49"/>
      <c r="AH407" s="49"/>
      <c r="AI407" s="49"/>
      <c r="AJ407" s="49"/>
      <c r="AK407" s="49"/>
      <c r="AL407" s="49"/>
      <c r="AM407" s="49"/>
      <c r="AN407" s="49"/>
      <c r="AO407" s="49"/>
      <c r="AP407" s="49"/>
      <c r="AQ407" s="49"/>
      <c r="AR407" s="49"/>
      <c r="AS407" s="49"/>
      <c r="AT407" s="49"/>
      <c r="AU407" s="49"/>
      <c r="AV407" s="49"/>
      <c r="AW407" s="49"/>
      <c r="AX407" s="49"/>
    </row>
    <row r="408">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c r="AA408" s="49"/>
      <c r="AB408" s="49"/>
      <c r="AC408" s="49"/>
      <c r="AD408" s="49"/>
      <c r="AE408" s="49"/>
      <c r="AF408" s="49"/>
      <c r="AG408" s="49"/>
      <c r="AH408" s="49"/>
      <c r="AI408" s="49"/>
      <c r="AJ408" s="49"/>
      <c r="AK408" s="49"/>
      <c r="AL408" s="49"/>
      <c r="AM408" s="49"/>
      <c r="AN408" s="49"/>
      <c r="AO408" s="49"/>
      <c r="AP408" s="49"/>
      <c r="AQ408" s="49"/>
      <c r="AR408" s="49"/>
      <c r="AS408" s="49"/>
      <c r="AT408" s="49"/>
      <c r="AU408" s="49"/>
      <c r="AV408" s="49"/>
      <c r="AW408" s="49"/>
      <c r="AX408" s="49"/>
    </row>
    <row r="409">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c r="AA409" s="49"/>
      <c r="AB409" s="49"/>
      <c r="AC409" s="49"/>
      <c r="AD409" s="49"/>
      <c r="AE409" s="49"/>
      <c r="AF409" s="49"/>
      <c r="AG409" s="49"/>
      <c r="AH409" s="49"/>
      <c r="AI409" s="49"/>
      <c r="AJ409" s="49"/>
      <c r="AK409" s="49"/>
      <c r="AL409" s="49"/>
      <c r="AM409" s="49"/>
      <c r="AN409" s="49"/>
      <c r="AO409" s="49"/>
      <c r="AP409" s="49"/>
      <c r="AQ409" s="49"/>
      <c r="AR409" s="49"/>
      <c r="AS409" s="49"/>
      <c r="AT409" s="49"/>
      <c r="AU409" s="49"/>
      <c r="AV409" s="49"/>
      <c r="AW409" s="49"/>
      <c r="AX409" s="49"/>
    </row>
    <row r="410">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c r="AA410" s="49"/>
      <c r="AB410" s="49"/>
      <c r="AC410" s="49"/>
      <c r="AD410" s="49"/>
      <c r="AE410" s="49"/>
      <c r="AF410" s="49"/>
      <c r="AG410" s="49"/>
      <c r="AH410" s="49"/>
      <c r="AI410" s="49"/>
      <c r="AJ410" s="49"/>
      <c r="AK410" s="49"/>
      <c r="AL410" s="49"/>
      <c r="AM410" s="49"/>
      <c r="AN410" s="49"/>
      <c r="AO410" s="49"/>
      <c r="AP410" s="49"/>
      <c r="AQ410" s="49"/>
      <c r="AR410" s="49"/>
      <c r="AS410" s="49"/>
      <c r="AT410" s="49"/>
      <c r="AU410" s="49"/>
      <c r="AV410" s="49"/>
      <c r="AW410" s="49"/>
      <c r="AX410" s="49"/>
    </row>
    <row r="411">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c r="AA411" s="49"/>
      <c r="AB411" s="49"/>
      <c r="AC411" s="49"/>
      <c r="AD411" s="49"/>
      <c r="AE411" s="49"/>
      <c r="AF411" s="49"/>
      <c r="AG411" s="49"/>
      <c r="AH411" s="49"/>
      <c r="AI411" s="49"/>
      <c r="AJ411" s="49"/>
      <c r="AK411" s="49"/>
      <c r="AL411" s="49"/>
      <c r="AM411" s="49"/>
      <c r="AN411" s="49"/>
      <c r="AO411" s="49"/>
      <c r="AP411" s="49"/>
      <c r="AQ411" s="49"/>
      <c r="AR411" s="49"/>
      <c r="AS411" s="49"/>
      <c r="AT411" s="49"/>
      <c r="AU411" s="49"/>
      <c r="AV411" s="49"/>
      <c r="AW411" s="49"/>
      <c r="AX411" s="49"/>
    </row>
    <row r="412">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c r="AA412" s="49"/>
      <c r="AB412" s="49"/>
      <c r="AC412" s="49"/>
      <c r="AD412" s="49"/>
      <c r="AE412" s="49"/>
      <c r="AF412" s="49"/>
      <c r="AG412" s="49"/>
      <c r="AH412" s="49"/>
      <c r="AI412" s="49"/>
      <c r="AJ412" s="49"/>
      <c r="AK412" s="49"/>
      <c r="AL412" s="49"/>
      <c r="AM412" s="49"/>
      <c r="AN412" s="49"/>
      <c r="AO412" s="49"/>
      <c r="AP412" s="49"/>
      <c r="AQ412" s="49"/>
      <c r="AR412" s="49"/>
      <c r="AS412" s="49"/>
      <c r="AT412" s="49"/>
      <c r="AU412" s="49"/>
      <c r="AV412" s="49"/>
      <c r="AW412" s="49"/>
      <c r="AX412" s="49"/>
    </row>
    <row r="413">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c r="AA413" s="49"/>
      <c r="AB413" s="49"/>
      <c r="AC413" s="49"/>
      <c r="AD413" s="49"/>
      <c r="AE413" s="49"/>
      <c r="AF413" s="49"/>
      <c r="AG413" s="49"/>
      <c r="AH413" s="49"/>
      <c r="AI413" s="49"/>
      <c r="AJ413" s="49"/>
      <c r="AK413" s="49"/>
      <c r="AL413" s="49"/>
      <c r="AM413" s="49"/>
      <c r="AN413" s="49"/>
      <c r="AO413" s="49"/>
      <c r="AP413" s="49"/>
      <c r="AQ413" s="49"/>
      <c r="AR413" s="49"/>
      <c r="AS413" s="49"/>
      <c r="AT413" s="49"/>
      <c r="AU413" s="49"/>
      <c r="AV413" s="49"/>
      <c r="AW413" s="49"/>
      <c r="AX413" s="49"/>
    </row>
    <row r="414">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c r="AA414" s="49"/>
      <c r="AB414" s="49"/>
      <c r="AC414" s="49"/>
      <c r="AD414" s="49"/>
      <c r="AE414" s="49"/>
      <c r="AF414" s="49"/>
      <c r="AG414" s="49"/>
      <c r="AH414" s="49"/>
      <c r="AI414" s="49"/>
      <c r="AJ414" s="49"/>
      <c r="AK414" s="49"/>
      <c r="AL414" s="49"/>
      <c r="AM414" s="49"/>
      <c r="AN414" s="49"/>
      <c r="AO414" s="49"/>
      <c r="AP414" s="49"/>
      <c r="AQ414" s="49"/>
      <c r="AR414" s="49"/>
      <c r="AS414" s="49"/>
      <c r="AT414" s="49"/>
      <c r="AU414" s="49"/>
      <c r="AV414" s="49"/>
      <c r="AW414" s="49"/>
      <c r="AX414" s="49"/>
    </row>
    <row r="41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c r="AF415" s="49"/>
      <c r="AG415" s="49"/>
      <c r="AH415" s="49"/>
      <c r="AI415" s="49"/>
      <c r="AJ415" s="49"/>
      <c r="AK415" s="49"/>
      <c r="AL415" s="49"/>
      <c r="AM415" s="49"/>
      <c r="AN415" s="49"/>
      <c r="AO415" s="49"/>
      <c r="AP415" s="49"/>
      <c r="AQ415" s="49"/>
      <c r="AR415" s="49"/>
      <c r="AS415" s="49"/>
      <c r="AT415" s="49"/>
      <c r="AU415" s="49"/>
      <c r="AV415" s="49"/>
      <c r="AW415" s="49"/>
      <c r="AX415" s="49"/>
    </row>
    <row r="416">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c r="AF416" s="49"/>
      <c r="AG416" s="49"/>
      <c r="AH416" s="49"/>
      <c r="AI416" s="49"/>
      <c r="AJ416" s="49"/>
      <c r="AK416" s="49"/>
      <c r="AL416" s="49"/>
      <c r="AM416" s="49"/>
      <c r="AN416" s="49"/>
      <c r="AO416" s="49"/>
      <c r="AP416" s="49"/>
      <c r="AQ416" s="49"/>
      <c r="AR416" s="49"/>
      <c r="AS416" s="49"/>
      <c r="AT416" s="49"/>
      <c r="AU416" s="49"/>
      <c r="AV416" s="49"/>
      <c r="AW416" s="49"/>
      <c r="AX416" s="49"/>
    </row>
    <row r="417">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c r="AF417" s="49"/>
      <c r="AG417" s="49"/>
      <c r="AH417" s="49"/>
      <c r="AI417" s="49"/>
      <c r="AJ417" s="49"/>
      <c r="AK417" s="49"/>
      <c r="AL417" s="49"/>
      <c r="AM417" s="49"/>
      <c r="AN417" s="49"/>
      <c r="AO417" s="49"/>
      <c r="AP417" s="49"/>
      <c r="AQ417" s="49"/>
      <c r="AR417" s="49"/>
      <c r="AS417" s="49"/>
      <c r="AT417" s="49"/>
      <c r="AU417" s="49"/>
      <c r="AV417" s="49"/>
      <c r="AW417" s="49"/>
      <c r="AX417" s="49"/>
    </row>
    <row r="418">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c r="AF418" s="49"/>
      <c r="AG418" s="49"/>
      <c r="AH418" s="49"/>
      <c r="AI418" s="49"/>
      <c r="AJ418" s="49"/>
      <c r="AK418" s="49"/>
      <c r="AL418" s="49"/>
      <c r="AM418" s="49"/>
      <c r="AN418" s="49"/>
      <c r="AO418" s="49"/>
      <c r="AP418" s="49"/>
      <c r="AQ418" s="49"/>
      <c r="AR418" s="49"/>
      <c r="AS418" s="49"/>
      <c r="AT418" s="49"/>
      <c r="AU418" s="49"/>
      <c r="AV418" s="49"/>
      <c r="AW418" s="49"/>
      <c r="AX418" s="49"/>
    </row>
    <row r="419">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c r="AF419" s="49"/>
      <c r="AG419" s="49"/>
      <c r="AH419" s="49"/>
      <c r="AI419" s="49"/>
      <c r="AJ419" s="49"/>
      <c r="AK419" s="49"/>
      <c r="AL419" s="49"/>
      <c r="AM419" s="49"/>
      <c r="AN419" s="49"/>
      <c r="AO419" s="49"/>
      <c r="AP419" s="49"/>
      <c r="AQ419" s="49"/>
      <c r="AR419" s="49"/>
      <c r="AS419" s="49"/>
      <c r="AT419" s="49"/>
      <c r="AU419" s="49"/>
      <c r="AV419" s="49"/>
      <c r="AW419" s="49"/>
      <c r="AX419" s="49"/>
    </row>
    <row r="420">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c r="AF420" s="49"/>
      <c r="AG420" s="49"/>
      <c r="AH420" s="49"/>
      <c r="AI420" s="49"/>
      <c r="AJ420" s="49"/>
      <c r="AK420" s="49"/>
      <c r="AL420" s="49"/>
      <c r="AM420" s="49"/>
      <c r="AN420" s="49"/>
      <c r="AO420" s="49"/>
      <c r="AP420" s="49"/>
      <c r="AQ420" s="49"/>
      <c r="AR420" s="49"/>
      <c r="AS420" s="49"/>
      <c r="AT420" s="49"/>
      <c r="AU420" s="49"/>
      <c r="AV420" s="49"/>
      <c r="AW420" s="49"/>
      <c r="AX420" s="49"/>
    </row>
    <row r="421">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c r="AF421" s="49"/>
      <c r="AG421" s="49"/>
      <c r="AH421" s="49"/>
      <c r="AI421" s="49"/>
      <c r="AJ421" s="49"/>
      <c r="AK421" s="49"/>
      <c r="AL421" s="49"/>
      <c r="AM421" s="49"/>
      <c r="AN421" s="49"/>
      <c r="AO421" s="49"/>
      <c r="AP421" s="49"/>
      <c r="AQ421" s="49"/>
      <c r="AR421" s="49"/>
      <c r="AS421" s="49"/>
      <c r="AT421" s="49"/>
      <c r="AU421" s="49"/>
      <c r="AV421" s="49"/>
      <c r="AW421" s="49"/>
      <c r="AX421" s="49"/>
    </row>
    <row r="422">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c r="AF422" s="49"/>
      <c r="AG422" s="49"/>
      <c r="AH422" s="49"/>
      <c r="AI422" s="49"/>
      <c r="AJ422" s="49"/>
      <c r="AK422" s="49"/>
      <c r="AL422" s="49"/>
      <c r="AM422" s="49"/>
      <c r="AN422" s="49"/>
      <c r="AO422" s="49"/>
      <c r="AP422" s="49"/>
      <c r="AQ422" s="49"/>
      <c r="AR422" s="49"/>
      <c r="AS422" s="49"/>
      <c r="AT422" s="49"/>
      <c r="AU422" s="49"/>
      <c r="AV422" s="49"/>
      <c r="AW422" s="49"/>
      <c r="AX422" s="49"/>
    </row>
    <row r="423">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c r="AF423" s="49"/>
      <c r="AG423" s="49"/>
      <c r="AH423" s="49"/>
      <c r="AI423" s="49"/>
      <c r="AJ423" s="49"/>
      <c r="AK423" s="49"/>
      <c r="AL423" s="49"/>
      <c r="AM423" s="49"/>
      <c r="AN423" s="49"/>
      <c r="AO423" s="49"/>
      <c r="AP423" s="49"/>
      <c r="AQ423" s="49"/>
      <c r="AR423" s="49"/>
      <c r="AS423" s="49"/>
      <c r="AT423" s="49"/>
      <c r="AU423" s="49"/>
      <c r="AV423" s="49"/>
      <c r="AW423" s="49"/>
      <c r="AX423" s="49"/>
    </row>
    <row r="424">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c r="AF424" s="49"/>
      <c r="AG424" s="49"/>
      <c r="AH424" s="49"/>
      <c r="AI424" s="49"/>
      <c r="AJ424" s="49"/>
      <c r="AK424" s="49"/>
      <c r="AL424" s="49"/>
      <c r="AM424" s="49"/>
      <c r="AN424" s="49"/>
      <c r="AO424" s="49"/>
      <c r="AP424" s="49"/>
      <c r="AQ424" s="49"/>
      <c r="AR424" s="49"/>
      <c r="AS424" s="49"/>
      <c r="AT424" s="49"/>
      <c r="AU424" s="49"/>
      <c r="AV424" s="49"/>
      <c r="AW424" s="49"/>
      <c r="AX424" s="49"/>
    </row>
    <row r="4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c r="AF425" s="49"/>
      <c r="AG425" s="49"/>
      <c r="AH425" s="49"/>
      <c r="AI425" s="49"/>
      <c r="AJ425" s="49"/>
      <c r="AK425" s="49"/>
      <c r="AL425" s="49"/>
      <c r="AM425" s="49"/>
      <c r="AN425" s="49"/>
      <c r="AO425" s="49"/>
      <c r="AP425" s="49"/>
      <c r="AQ425" s="49"/>
      <c r="AR425" s="49"/>
      <c r="AS425" s="49"/>
      <c r="AT425" s="49"/>
      <c r="AU425" s="49"/>
      <c r="AV425" s="49"/>
      <c r="AW425" s="49"/>
      <c r="AX425" s="49"/>
    </row>
    <row r="426">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c r="AF426" s="49"/>
      <c r="AG426" s="49"/>
      <c r="AH426" s="49"/>
      <c r="AI426" s="49"/>
      <c r="AJ426" s="49"/>
      <c r="AK426" s="49"/>
      <c r="AL426" s="49"/>
      <c r="AM426" s="49"/>
      <c r="AN426" s="49"/>
      <c r="AO426" s="49"/>
      <c r="AP426" s="49"/>
      <c r="AQ426" s="49"/>
      <c r="AR426" s="49"/>
      <c r="AS426" s="49"/>
      <c r="AT426" s="49"/>
      <c r="AU426" s="49"/>
      <c r="AV426" s="49"/>
      <c r="AW426" s="49"/>
      <c r="AX426" s="49"/>
    </row>
    <row r="427">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c r="AF427" s="49"/>
      <c r="AG427" s="49"/>
      <c r="AH427" s="49"/>
      <c r="AI427" s="49"/>
      <c r="AJ427" s="49"/>
      <c r="AK427" s="49"/>
      <c r="AL427" s="49"/>
      <c r="AM427" s="49"/>
      <c r="AN427" s="49"/>
      <c r="AO427" s="49"/>
      <c r="AP427" s="49"/>
      <c r="AQ427" s="49"/>
      <c r="AR427" s="49"/>
      <c r="AS427" s="49"/>
      <c r="AT427" s="49"/>
      <c r="AU427" s="49"/>
      <c r="AV427" s="49"/>
      <c r="AW427" s="49"/>
      <c r="AX427" s="49"/>
    </row>
    <row r="428">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c r="AF428" s="49"/>
      <c r="AG428" s="49"/>
      <c r="AH428" s="49"/>
      <c r="AI428" s="49"/>
      <c r="AJ428" s="49"/>
      <c r="AK428" s="49"/>
      <c r="AL428" s="49"/>
      <c r="AM428" s="49"/>
      <c r="AN428" s="49"/>
      <c r="AO428" s="49"/>
      <c r="AP428" s="49"/>
      <c r="AQ428" s="49"/>
      <c r="AR428" s="49"/>
      <c r="AS428" s="49"/>
      <c r="AT428" s="49"/>
      <c r="AU428" s="49"/>
      <c r="AV428" s="49"/>
      <c r="AW428" s="49"/>
      <c r="AX428" s="49"/>
    </row>
    <row r="429">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c r="AF429" s="49"/>
      <c r="AG429" s="49"/>
      <c r="AH429" s="49"/>
      <c r="AI429" s="49"/>
      <c r="AJ429" s="49"/>
      <c r="AK429" s="49"/>
      <c r="AL429" s="49"/>
      <c r="AM429" s="49"/>
      <c r="AN429" s="49"/>
      <c r="AO429" s="49"/>
      <c r="AP429" s="49"/>
      <c r="AQ429" s="49"/>
      <c r="AR429" s="49"/>
      <c r="AS429" s="49"/>
      <c r="AT429" s="49"/>
      <c r="AU429" s="49"/>
      <c r="AV429" s="49"/>
      <c r="AW429" s="49"/>
      <c r="AX429" s="49"/>
    </row>
    <row r="430">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c r="AF430" s="49"/>
      <c r="AG430" s="49"/>
      <c r="AH430" s="49"/>
      <c r="AI430" s="49"/>
      <c r="AJ430" s="49"/>
      <c r="AK430" s="49"/>
      <c r="AL430" s="49"/>
      <c r="AM430" s="49"/>
      <c r="AN430" s="49"/>
      <c r="AO430" s="49"/>
      <c r="AP430" s="49"/>
      <c r="AQ430" s="49"/>
      <c r="AR430" s="49"/>
      <c r="AS430" s="49"/>
      <c r="AT430" s="49"/>
      <c r="AU430" s="49"/>
      <c r="AV430" s="49"/>
      <c r="AW430" s="49"/>
      <c r="AX430" s="49"/>
    </row>
    <row r="431">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c r="AF431" s="49"/>
      <c r="AG431" s="49"/>
      <c r="AH431" s="49"/>
      <c r="AI431" s="49"/>
      <c r="AJ431" s="49"/>
      <c r="AK431" s="49"/>
      <c r="AL431" s="49"/>
      <c r="AM431" s="49"/>
      <c r="AN431" s="49"/>
      <c r="AO431" s="49"/>
      <c r="AP431" s="49"/>
      <c r="AQ431" s="49"/>
      <c r="AR431" s="49"/>
      <c r="AS431" s="49"/>
      <c r="AT431" s="49"/>
      <c r="AU431" s="49"/>
      <c r="AV431" s="49"/>
      <c r="AW431" s="49"/>
      <c r="AX431" s="49"/>
    </row>
    <row r="432">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c r="AF432" s="49"/>
      <c r="AG432" s="49"/>
      <c r="AH432" s="49"/>
      <c r="AI432" s="49"/>
      <c r="AJ432" s="49"/>
      <c r="AK432" s="49"/>
      <c r="AL432" s="49"/>
      <c r="AM432" s="49"/>
      <c r="AN432" s="49"/>
      <c r="AO432" s="49"/>
      <c r="AP432" s="49"/>
      <c r="AQ432" s="49"/>
      <c r="AR432" s="49"/>
      <c r="AS432" s="49"/>
      <c r="AT432" s="49"/>
      <c r="AU432" s="49"/>
      <c r="AV432" s="49"/>
      <c r="AW432" s="49"/>
      <c r="AX432" s="49"/>
    </row>
    <row r="433">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c r="AF433" s="49"/>
      <c r="AG433" s="49"/>
      <c r="AH433" s="49"/>
      <c r="AI433" s="49"/>
      <c r="AJ433" s="49"/>
      <c r="AK433" s="49"/>
      <c r="AL433" s="49"/>
      <c r="AM433" s="49"/>
      <c r="AN433" s="49"/>
      <c r="AO433" s="49"/>
      <c r="AP433" s="49"/>
      <c r="AQ433" s="49"/>
      <c r="AR433" s="49"/>
      <c r="AS433" s="49"/>
      <c r="AT433" s="49"/>
      <c r="AU433" s="49"/>
      <c r="AV433" s="49"/>
      <c r="AW433" s="49"/>
      <c r="AX433" s="49"/>
    </row>
    <row r="434">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c r="AF434" s="49"/>
      <c r="AG434" s="49"/>
      <c r="AH434" s="49"/>
      <c r="AI434" s="49"/>
      <c r="AJ434" s="49"/>
      <c r="AK434" s="49"/>
      <c r="AL434" s="49"/>
      <c r="AM434" s="49"/>
      <c r="AN434" s="49"/>
      <c r="AO434" s="49"/>
      <c r="AP434" s="49"/>
      <c r="AQ434" s="49"/>
      <c r="AR434" s="49"/>
      <c r="AS434" s="49"/>
      <c r="AT434" s="49"/>
      <c r="AU434" s="49"/>
      <c r="AV434" s="49"/>
      <c r="AW434" s="49"/>
      <c r="AX434" s="49"/>
    </row>
    <row r="4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c r="AF435" s="49"/>
      <c r="AG435" s="49"/>
      <c r="AH435" s="49"/>
      <c r="AI435" s="49"/>
      <c r="AJ435" s="49"/>
      <c r="AK435" s="49"/>
      <c r="AL435" s="49"/>
      <c r="AM435" s="49"/>
      <c r="AN435" s="49"/>
      <c r="AO435" s="49"/>
      <c r="AP435" s="49"/>
      <c r="AQ435" s="49"/>
      <c r="AR435" s="49"/>
      <c r="AS435" s="49"/>
      <c r="AT435" s="49"/>
      <c r="AU435" s="49"/>
      <c r="AV435" s="49"/>
      <c r="AW435" s="49"/>
      <c r="AX435" s="49"/>
    </row>
    <row r="436">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c r="AF436" s="49"/>
      <c r="AG436" s="49"/>
      <c r="AH436" s="49"/>
      <c r="AI436" s="49"/>
      <c r="AJ436" s="49"/>
      <c r="AK436" s="49"/>
      <c r="AL436" s="49"/>
      <c r="AM436" s="49"/>
      <c r="AN436" s="49"/>
      <c r="AO436" s="49"/>
      <c r="AP436" s="49"/>
      <c r="AQ436" s="49"/>
      <c r="AR436" s="49"/>
      <c r="AS436" s="49"/>
      <c r="AT436" s="49"/>
      <c r="AU436" s="49"/>
      <c r="AV436" s="49"/>
      <c r="AW436" s="49"/>
      <c r="AX436" s="49"/>
    </row>
    <row r="437">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c r="AF437" s="49"/>
      <c r="AG437" s="49"/>
      <c r="AH437" s="49"/>
      <c r="AI437" s="49"/>
      <c r="AJ437" s="49"/>
      <c r="AK437" s="49"/>
      <c r="AL437" s="49"/>
      <c r="AM437" s="49"/>
      <c r="AN437" s="49"/>
      <c r="AO437" s="49"/>
      <c r="AP437" s="49"/>
      <c r="AQ437" s="49"/>
      <c r="AR437" s="49"/>
      <c r="AS437" s="49"/>
      <c r="AT437" s="49"/>
      <c r="AU437" s="49"/>
      <c r="AV437" s="49"/>
      <c r="AW437" s="49"/>
      <c r="AX437" s="49"/>
    </row>
    <row r="438">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c r="AF438" s="49"/>
      <c r="AG438" s="49"/>
      <c r="AH438" s="49"/>
      <c r="AI438" s="49"/>
      <c r="AJ438" s="49"/>
      <c r="AK438" s="49"/>
      <c r="AL438" s="49"/>
      <c r="AM438" s="49"/>
      <c r="AN438" s="49"/>
      <c r="AO438" s="49"/>
      <c r="AP438" s="49"/>
      <c r="AQ438" s="49"/>
      <c r="AR438" s="49"/>
      <c r="AS438" s="49"/>
      <c r="AT438" s="49"/>
      <c r="AU438" s="49"/>
      <c r="AV438" s="49"/>
      <c r="AW438" s="49"/>
      <c r="AX438" s="49"/>
    </row>
    <row r="439">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c r="AF439" s="49"/>
      <c r="AG439" s="49"/>
      <c r="AH439" s="49"/>
      <c r="AI439" s="49"/>
      <c r="AJ439" s="49"/>
      <c r="AK439" s="49"/>
      <c r="AL439" s="49"/>
      <c r="AM439" s="49"/>
      <c r="AN439" s="49"/>
      <c r="AO439" s="49"/>
      <c r="AP439" s="49"/>
      <c r="AQ439" s="49"/>
      <c r="AR439" s="49"/>
      <c r="AS439" s="49"/>
      <c r="AT439" s="49"/>
      <c r="AU439" s="49"/>
      <c r="AV439" s="49"/>
      <c r="AW439" s="49"/>
      <c r="AX439" s="49"/>
    </row>
    <row r="440">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c r="AF440" s="49"/>
      <c r="AG440" s="49"/>
      <c r="AH440" s="49"/>
      <c r="AI440" s="49"/>
      <c r="AJ440" s="49"/>
      <c r="AK440" s="49"/>
      <c r="AL440" s="49"/>
      <c r="AM440" s="49"/>
      <c r="AN440" s="49"/>
      <c r="AO440" s="49"/>
      <c r="AP440" s="49"/>
      <c r="AQ440" s="49"/>
      <c r="AR440" s="49"/>
      <c r="AS440" s="49"/>
      <c r="AT440" s="49"/>
      <c r="AU440" s="49"/>
      <c r="AV440" s="49"/>
      <c r="AW440" s="49"/>
      <c r="AX440" s="49"/>
    </row>
    <row r="441">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c r="AF441" s="49"/>
      <c r="AG441" s="49"/>
      <c r="AH441" s="49"/>
      <c r="AI441" s="49"/>
      <c r="AJ441" s="49"/>
      <c r="AK441" s="49"/>
      <c r="AL441" s="49"/>
      <c r="AM441" s="49"/>
      <c r="AN441" s="49"/>
      <c r="AO441" s="49"/>
      <c r="AP441" s="49"/>
      <c r="AQ441" s="49"/>
      <c r="AR441" s="49"/>
      <c r="AS441" s="49"/>
      <c r="AT441" s="49"/>
      <c r="AU441" s="49"/>
      <c r="AV441" s="49"/>
      <c r="AW441" s="49"/>
      <c r="AX441" s="49"/>
    </row>
    <row r="442">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c r="AF442" s="49"/>
      <c r="AG442" s="49"/>
      <c r="AH442" s="49"/>
      <c r="AI442" s="49"/>
      <c r="AJ442" s="49"/>
      <c r="AK442" s="49"/>
      <c r="AL442" s="49"/>
      <c r="AM442" s="49"/>
      <c r="AN442" s="49"/>
      <c r="AO442" s="49"/>
      <c r="AP442" s="49"/>
      <c r="AQ442" s="49"/>
      <c r="AR442" s="49"/>
      <c r="AS442" s="49"/>
      <c r="AT442" s="49"/>
      <c r="AU442" s="49"/>
      <c r="AV442" s="49"/>
      <c r="AW442" s="49"/>
      <c r="AX442" s="49"/>
    </row>
    <row r="443">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c r="AF443" s="49"/>
      <c r="AG443" s="49"/>
      <c r="AH443" s="49"/>
      <c r="AI443" s="49"/>
      <c r="AJ443" s="49"/>
      <c r="AK443" s="49"/>
      <c r="AL443" s="49"/>
      <c r="AM443" s="49"/>
      <c r="AN443" s="49"/>
      <c r="AO443" s="49"/>
      <c r="AP443" s="49"/>
      <c r="AQ443" s="49"/>
      <c r="AR443" s="49"/>
      <c r="AS443" s="49"/>
      <c r="AT443" s="49"/>
      <c r="AU443" s="49"/>
      <c r="AV443" s="49"/>
      <c r="AW443" s="49"/>
      <c r="AX443" s="49"/>
    </row>
    <row r="444">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c r="AF444" s="49"/>
      <c r="AG444" s="49"/>
      <c r="AH444" s="49"/>
      <c r="AI444" s="49"/>
      <c r="AJ444" s="49"/>
      <c r="AK444" s="49"/>
      <c r="AL444" s="49"/>
      <c r="AM444" s="49"/>
      <c r="AN444" s="49"/>
      <c r="AO444" s="49"/>
      <c r="AP444" s="49"/>
      <c r="AQ444" s="49"/>
      <c r="AR444" s="49"/>
      <c r="AS444" s="49"/>
      <c r="AT444" s="49"/>
      <c r="AU444" s="49"/>
      <c r="AV444" s="49"/>
      <c r="AW444" s="49"/>
      <c r="AX444" s="49"/>
    </row>
    <row r="44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c r="AF445" s="49"/>
      <c r="AG445" s="49"/>
      <c r="AH445" s="49"/>
      <c r="AI445" s="49"/>
      <c r="AJ445" s="49"/>
      <c r="AK445" s="49"/>
      <c r="AL445" s="49"/>
      <c r="AM445" s="49"/>
      <c r="AN445" s="49"/>
      <c r="AO445" s="49"/>
      <c r="AP445" s="49"/>
      <c r="AQ445" s="49"/>
      <c r="AR445" s="49"/>
      <c r="AS445" s="49"/>
      <c r="AT445" s="49"/>
      <c r="AU445" s="49"/>
      <c r="AV445" s="49"/>
      <c r="AW445" s="49"/>
      <c r="AX445" s="49"/>
    </row>
    <row r="446">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c r="AF446" s="49"/>
      <c r="AG446" s="49"/>
      <c r="AH446" s="49"/>
      <c r="AI446" s="49"/>
      <c r="AJ446" s="49"/>
      <c r="AK446" s="49"/>
      <c r="AL446" s="49"/>
      <c r="AM446" s="49"/>
      <c r="AN446" s="49"/>
      <c r="AO446" s="49"/>
      <c r="AP446" s="49"/>
      <c r="AQ446" s="49"/>
      <c r="AR446" s="49"/>
      <c r="AS446" s="49"/>
      <c r="AT446" s="49"/>
      <c r="AU446" s="49"/>
      <c r="AV446" s="49"/>
      <c r="AW446" s="49"/>
      <c r="AX446" s="49"/>
    </row>
    <row r="447">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c r="AF447" s="49"/>
      <c r="AG447" s="49"/>
      <c r="AH447" s="49"/>
      <c r="AI447" s="49"/>
      <c r="AJ447" s="49"/>
      <c r="AK447" s="49"/>
      <c r="AL447" s="49"/>
      <c r="AM447" s="49"/>
      <c r="AN447" s="49"/>
      <c r="AO447" s="49"/>
      <c r="AP447" s="49"/>
      <c r="AQ447" s="49"/>
      <c r="AR447" s="49"/>
      <c r="AS447" s="49"/>
      <c r="AT447" s="49"/>
      <c r="AU447" s="49"/>
      <c r="AV447" s="49"/>
      <c r="AW447" s="49"/>
      <c r="AX447" s="49"/>
    </row>
    <row r="448">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c r="AF448" s="49"/>
      <c r="AG448" s="49"/>
      <c r="AH448" s="49"/>
      <c r="AI448" s="49"/>
      <c r="AJ448" s="49"/>
      <c r="AK448" s="49"/>
      <c r="AL448" s="49"/>
      <c r="AM448" s="49"/>
      <c r="AN448" s="49"/>
      <c r="AO448" s="49"/>
      <c r="AP448" s="49"/>
      <c r="AQ448" s="49"/>
      <c r="AR448" s="49"/>
      <c r="AS448" s="49"/>
      <c r="AT448" s="49"/>
      <c r="AU448" s="49"/>
      <c r="AV448" s="49"/>
      <c r="AW448" s="49"/>
      <c r="AX448" s="49"/>
    </row>
    <row r="449">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c r="AF449" s="49"/>
      <c r="AG449" s="49"/>
      <c r="AH449" s="49"/>
      <c r="AI449" s="49"/>
      <c r="AJ449" s="49"/>
      <c r="AK449" s="49"/>
      <c r="AL449" s="49"/>
      <c r="AM449" s="49"/>
      <c r="AN449" s="49"/>
      <c r="AO449" s="49"/>
      <c r="AP449" s="49"/>
      <c r="AQ449" s="49"/>
      <c r="AR449" s="49"/>
      <c r="AS449" s="49"/>
      <c r="AT449" s="49"/>
      <c r="AU449" s="49"/>
      <c r="AV449" s="49"/>
      <c r="AW449" s="49"/>
      <c r="AX449" s="49"/>
    </row>
    <row r="450">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c r="AF450" s="49"/>
      <c r="AG450" s="49"/>
      <c r="AH450" s="49"/>
      <c r="AI450" s="49"/>
      <c r="AJ450" s="49"/>
      <c r="AK450" s="49"/>
      <c r="AL450" s="49"/>
      <c r="AM450" s="49"/>
      <c r="AN450" s="49"/>
      <c r="AO450" s="49"/>
      <c r="AP450" s="49"/>
      <c r="AQ450" s="49"/>
      <c r="AR450" s="49"/>
      <c r="AS450" s="49"/>
      <c r="AT450" s="49"/>
      <c r="AU450" s="49"/>
      <c r="AV450" s="49"/>
      <c r="AW450" s="49"/>
      <c r="AX450" s="49"/>
    </row>
    <row r="451">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c r="AF451" s="49"/>
      <c r="AG451" s="49"/>
      <c r="AH451" s="49"/>
      <c r="AI451" s="49"/>
      <c r="AJ451" s="49"/>
      <c r="AK451" s="49"/>
      <c r="AL451" s="49"/>
      <c r="AM451" s="49"/>
      <c r="AN451" s="49"/>
      <c r="AO451" s="49"/>
      <c r="AP451" s="49"/>
      <c r="AQ451" s="49"/>
      <c r="AR451" s="49"/>
      <c r="AS451" s="49"/>
      <c r="AT451" s="49"/>
      <c r="AU451" s="49"/>
      <c r="AV451" s="49"/>
      <c r="AW451" s="49"/>
      <c r="AX451" s="49"/>
    </row>
    <row r="452">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c r="AF452" s="49"/>
      <c r="AG452" s="49"/>
      <c r="AH452" s="49"/>
      <c r="AI452" s="49"/>
      <c r="AJ452" s="49"/>
      <c r="AK452" s="49"/>
      <c r="AL452" s="49"/>
      <c r="AM452" s="49"/>
      <c r="AN452" s="49"/>
      <c r="AO452" s="49"/>
      <c r="AP452" s="49"/>
      <c r="AQ452" s="49"/>
      <c r="AR452" s="49"/>
      <c r="AS452" s="49"/>
      <c r="AT452" s="49"/>
      <c r="AU452" s="49"/>
      <c r="AV452" s="49"/>
      <c r="AW452" s="49"/>
      <c r="AX452" s="49"/>
    </row>
    <row r="453">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c r="AF453" s="49"/>
      <c r="AG453" s="49"/>
      <c r="AH453" s="49"/>
      <c r="AI453" s="49"/>
      <c r="AJ453" s="49"/>
      <c r="AK453" s="49"/>
      <c r="AL453" s="49"/>
      <c r="AM453" s="49"/>
      <c r="AN453" s="49"/>
      <c r="AO453" s="49"/>
      <c r="AP453" s="49"/>
      <c r="AQ453" s="49"/>
      <c r="AR453" s="49"/>
      <c r="AS453" s="49"/>
      <c r="AT453" s="49"/>
      <c r="AU453" s="49"/>
      <c r="AV453" s="49"/>
      <c r="AW453" s="49"/>
      <c r="AX453" s="49"/>
    </row>
    <row r="454">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c r="AF454" s="49"/>
      <c r="AG454" s="49"/>
      <c r="AH454" s="49"/>
      <c r="AI454" s="49"/>
      <c r="AJ454" s="49"/>
      <c r="AK454" s="49"/>
      <c r="AL454" s="49"/>
      <c r="AM454" s="49"/>
      <c r="AN454" s="49"/>
      <c r="AO454" s="49"/>
      <c r="AP454" s="49"/>
      <c r="AQ454" s="49"/>
      <c r="AR454" s="49"/>
      <c r="AS454" s="49"/>
      <c r="AT454" s="49"/>
      <c r="AU454" s="49"/>
      <c r="AV454" s="49"/>
      <c r="AW454" s="49"/>
      <c r="AX454" s="49"/>
    </row>
    <row r="45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c r="AF455" s="49"/>
      <c r="AG455" s="49"/>
      <c r="AH455" s="49"/>
      <c r="AI455" s="49"/>
      <c r="AJ455" s="49"/>
      <c r="AK455" s="49"/>
      <c r="AL455" s="49"/>
      <c r="AM455" s="49"/>
      <c r="AN455" s="49"/>
      <c r="AO455" s="49"/>
      <c r="AP455" s="49"/>
      <c r="AQ455" s="49"/>
      <c r="AR455" s="49"/>
      <c r="AS455" s="49"/>
      <c r="AT455" s="49"/>
      <c r="AU455" s="49"/>
      <c r="AV455" s="49"/>
      <c r="AW455" s="49"/>
      <c r="AX455" s="49"/>
    </row>
    <row r="456">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c r="AF456" s="49"/>
      <c r="AG456" s="49"/>
      <c r="AH456" s="49"/>
      <c r="AI456" s="49"/>
      <c r="AJ456" s="49"/>
      <c r="AK456" s="49"/>
      <c r="AL456" s="49"/>
      <c r="AM456" s="49"/>
      <c r="AN456" s="49"/>
      <c r="AO456" s="49"/>
      <c r="AP456" s="49"/>
      <c r="AQ456" s="49"/>
      <c r="AR456" s="49"/>
      <c r="AS456" s="49"/>
      <c r="AT456" s="49"/>
      <c r="AU456" s="49"/>
      <c r="AV456" s="49"/>
      <c r="AW456" s="49"/>
      <c r="AX456" s="49"/>
    </row>
    <row r="457">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c r="AF457" s="49"/>
      <c r="AG457" s="49"/>
      <c r="AH457" s="49"/>
      <c r="AI457" s="49"/>
      <c r="AJ457" s="49"/>
      <c r="AK457" s="49"/>
      <c r="AL457" s="49"/>
      <c r="AM457" s="49"/>
      <c r="AN457" s="49"/>
      <c r="AO457" s="49"/>
      <c r="AP457" s="49"/>
      <c r="AQ457" s="49"/>
      <c r="AR457" s="49"/>
      <c r="AS457" s="49"/>
      <c r="AT457" s="49"/>
      <c r="AU457" s="49"/>
      <c r="AV457" s="49"/>
      <c r="AW457" s="49"/>
      <c r="AX457" s="49"/>
    </row>
    <row r="458">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c r="AF458" s="49"/>
      <c r="AG458" s="49"/>
      <c r="AH458" s="49"/>
      <c r="AI458" s="49"/>
      <c r="AJ458" s="49"/>
      <c r="AK458" s="49"/>
      <c r="AL458" s="49"/>
      <c r="AM458" s="49"/>
      <c r="AN458" s="49"/>
      <c r="AO458" s="49"/>
      <c r="AP458" s="49"/>
      <c r="AQ458" s="49"/>
      <c r="AR458" s="49"/>
      <c r="AS458" s="49"/>
      <c r="AT458" s="49"/>
      <c r="AU458" s="49"/>
      <c r="AV458" s="49"/>
      <c r="AW458" s="49"/>
      <c r="AX458" s="49"/>
    </row>
    <row r="459">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c r="AF459" s="49"/>
      <c r="AG459" s="49"/>
      <c r="AH459" s="49"/>
      <c r="AI459" s="49"/>
      <c r="AJ459" s="49"/>
      <c r="AK459" s="49"/>
      <c r="AL459" s="49"/>
      <c r="AM459" s="49"/>
      <c r="AN459" s="49"/>
      <c r="AO459" s="49"/>
      <c r="AP459" s="49"/>
      <c r="AQ459" s="49"/>
      <c r="AR459" s="49"/>
      <c r="AS459" s="49"/>
      <c r="AT459" s="49"/>
      <c r="AU459" s="49"/>
      <c r="AV459" s="49"/>
      <c r="AW459" s="49"/>
      <c r="AX459" s="49"/>
    </row>
    <row r="460">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c r="AF460" s="49"/>
      <c r="AG460" s="49"/>
      <c r="AH460" s="49"/>
      <c r="AI460" s="49"/>
      <c r="AJ460" s="49"/>
      <c r="AK460" s="49"/>
      <c r="AL460" s="49"/>
      <c r="AM460" s="49"/>
      <c r="AN460" s="49"/>
      <c r="AO460" s="49"/>
      <c r="AP460" s="49"/>
      <c r="AQ460" s="49"/>
      <c r="AR460" s="49"/>
      <c r="AS460" s="49"/>
      <c r="AT460" s="49"/>
      <c r="AU460" s="49"/>
      <c r="AV460" s="49"/>
      <c r="AW460" s="49"/>
      <c r="AX460" s="49"/>
    </row>
    <row r="461">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c r="AF461" s="49"/>
      <c r="AG461" s="49"/>
      <c r="AH461" s="49"/>
      <c r="AI461" s="49"/>
      <c r="AJ461" s="49"/>
      <c r="AK461" s="49"/>
      <c r="AL461" s="49"/>
      <c r="AM461" s="49"/>
      <c r="AN461" s="49"/>
      <c r="AO461" s="49"/>
      <c r="AP461" s="49"/>
      <c r="AQ461" s="49"/>
      <c r="AR461" s="49"/>
      <c r="AS461" s="49"/>
      <c r="AT461" s="49"/>
      <c r="AU461" s="49"/>
      <c r="AV461" s="49"/>
      <c r="AW461" s="49"/>
      <c r="AX461" s="49"/>
    </row>
    <row r="462">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c r="AF462" s="49"/>
      <c r="AG462" s="49"/>
      <c r="AH462" s="49"/>
      <c r="AI462" s="49"/>
      <c r="AJ462" s="49"/>
      <c r="AK462" s="49"/>
      <c r="AL462" s="49"/>
      <c r="AM462" s="49"/>
      <c r="AN462" s="49"/>
      <c r="AO462" s="49"/>
      <c r="AP462" s="49"/>
      <c r="AQ462" s="49"/>
      <c r="AR462" s="49"/>
      <c r="AS462" s="49"/>
      <c r="AT462" s="49"/>
      <c r="AU462" s="49"/>
      <c r="AV462" s="49"/>
      <c r="AW462" s="49"/>
      <c r="AX462" s="49"/>
    </row>
    <row r="463">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c r="AF463" s="49"/>
      <c r="AG463" s="49"/>
      <c r="AH463" s="49"/>
      <c r="AI463" s="49"/>
      <c r="AJ463" s="49"/>
      <c r="AK463" s="49"/>
      <c r="AL463" s="49"/>
      <c r="AM463" s="49"/>
      <c r="AN463" s="49"/>
      <c r="AO463" s="49"/>
      <c r="AP463" s="49"/>
      <c r="AQ463" s="49"/>
      <c r="AR463" s="49"/>
      <c r="AS463" s="49"/>
      <c r="AT463" s="49"/>
      <c r="AU463" s="49"/>
      <c r="AV463" s="49"/>
      <c r="AW463" s="49"/>
      <c r="AX463" s="49"/>
    </row>
    <row r="464">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c r="AF464" s="49"/>
      <c r="AG464" s="49"/>
      <c r="AH464" s="49"/>
      <c r="AI464" s="49"/>
      <c r="AJ464" s="49"/>
      <c r="AK464" s="49"/>
      <c r="AL464" s="49"/>
      <c r="AM464" s="49"/>
      <c r="AN464" s="49"/>
      <c r="AO464" s="49"/>
      <c r="AP464" s="49"/>
      <c r="AQ464" s="49"/>
      <c r="AR464" s="49"/>
      <c r="AS464" s="49"/>
      <c r="AT464" s="49"/>
      <c r="AU464" s="49"/>
      <c r="AV464" s="49"/>
      <c r="AW464" s="49"/>
      <c r="AX464" s="49"/>
    </row>
    <row r="46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c r="AF465" s="49"/>
      <c r="AG465" s="49"/>
      <c r="AH465" s="49"/>
      <c r="AI465" s="49"/>
      <c r="AJ465" s="49"/>
      <c r="AK465" s="49"/>
      <c r="AL465" s="49"/>
      <c r="AM465" s="49"/>
      <c r="AN465" s="49"/>
      <c r="AO465" s="49"/>
      <c r="AP465" s="49"/>
      <c r="AQ465" s="49"/>
      <c r="AR465" s="49"/>
      <c r="AS465" s="49"/>
      <c r="AT465" s="49"/>
      <c r="AU465" s="49"/>
      <c r="AV465" s="49"/>
      <c r="AW465" s="49"/>
      <c r="AX465" s="49"/>
    </row>
    <row r="466">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c r="AF466" s="49"/>
      <c r="AG466" s="49"/>
      <c r="AH466" s="49"/>
      <c r="AI466" s="49"/>
      <c r="AJ466" s="49"/>
      <c r="AK466" s="49"/>
      <c r="AL466" s="49"/>
      <c r="AM466" s="49"/>
      <c r="AN466" s="49"/>
      <c r="AO466" s="49"/>
      <c r="AP466" s="49"/>
      <c r="AQ466" s="49"/>
      <c r="AR466" s="49"/>
      <c r="AS466" s="49"/>
      <c r="AT466" s="49"/>
      <c r="AU466" s="49"/>
      <c r="AV466" s="49"/>
      <c r="AW466" s="49"/>
      <c r="AX466" s="49"/>
    </row>
    <row r="467">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c r="AF467" s="49"/>
      <c r="AG467" s="49"/>
      <c r="AH467" s="49"/>
      <c r="AI467" s="49"/>
      <c r="AJ467" s="49"/>
      <c r="AK467" s="49"/>
      <c r="AL467" s="49"/>
      <c r="AM467" s="49"/>
      <c r="AN467" s="49"/>
      <c r="AO467" s="49"/>
      <c r="AP467" s="49"/>
      <c r="AQ467" s="49"/>
      <c r="AR467" s="49"/>
      <c r="AS467" s="49"/>
      <c r="AT467" s="49"/>
      <c r="AU467" s="49"/>
      <c r="AV467" s="49"/>
      <c r="AW467" s="49"/>
      <c r="AX467" s="49"/>
    </row>
    <row r="468">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c r="AF468" s="49"/>
      <c r="AG468" s="49"/>
      <c r="AH468" s="49"/>
      <c r="AI468" s="49"/>
      <c r="AJ468" s="49"/>
      <c r="AK468" s="49"/>
      <c r="AL468" s="49"/>
      <c r="AM468" s="49"/>
      <c r="AN468" s="49"/>
      <c r="AO468" s="49"/>
      <c r="AP468" s="49"/>
      <c r="AQ468" s="49"/>
      <c r="AR468" s="49"/>
      <c r="AS468" s="49"/>
      <c r="AT468" s="49"/>
      <c r="AU468" s="49"/>
      <c r="AV468" s="49"/>
      <c r="AW468" s="49"/>
      <c r="AX468" s="49"/>
    </row>
    <row r="469">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c r="AF469" s="49"/>
      <c r="AG469" s="49"/>
      <c r="AH469" s="49"/>
      <c r="AI469" s="49"/>
      <c r="AJ469" s="49"/>
      <c r="AK469" s="49"/>
      <c r="AL469" s="49"/>
      <c r="AM469" s="49"/>
      <c r="AN469" s="49"/>
      <c r="AO469" s="49"/>
      <c r="AP469" s="49"/>
      <c r="AQ469" s="49"/>
      <c r="AR469" s="49"/>
      <c r="AS469" s="49"/>
      <c r="AT469" s="49"/>
      <c r="AU469" s="49"/>
      <c r="AV469" s="49"/>
      <c r="AW469" s="49"/>
      <c r="AX469" s="49"/>
    </row>
    <row r="470">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c r="AF470" s="49"/>
      <c r="AG470" s="49"/>
      <c r="AH470" s="49"/>
      <c r="AI470" s="49"/>
      <c r="AJ470" s="49"/>
      <c r="AK470" s="49"/>
      <c r="AL470" s="49"/>
      <c r="AM470" s="49"/>
      <c r="AN470" s="49"/>
      <c r="AO470" s="49"/>
      <c r="AP470" s="49"/>
      <c r="AQ470" s="49"/>
      <c r="AR470" s="49"/>
      <c r="AS470" s="49"/>
      <c r="AT470" s="49"/>
      <c r="AU470" s="49"/>
      <c r="AV470" s="49"/>
      <c r="AW470" s="49"/>
      <c r="AX470" s="49"/>
    </row>
    <row r="471">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c r="AF471" s="49"/>
      <c r="AG471" s="49"/>
      <c r="AH471" s="49"/>
      <c r="AI471" s="49"/>
      <c r="AJ471" s="49"/>
      <c r="AK471" s="49"/>
      <c r="AL471" s="49"/>
      <c r="AM471" s="49"/>
      <c r="AN471" s="49"/>
      <c r="AO471" s="49"/>
      <c r="AP471" s="49"/>
      <c r="AQ471" s="49"/>
      <c r="AR471" s="49"/>
      <c r="AS471" s="49"/>
      <c r="AT471" s="49"/>
      <c r="AU471" s="49"/>
      <c r="AV471" s="49"/>
      <c r="AW471" s="49"/>
      <c r="AX471" s="49"/>
    </row>
    <row r="472">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c r="AF472" s="49"/>
      <c r="AG472" s="49"/>
      <c r="AH472" s="49"/>
      <c r="AI472" s="49"/>
      <c r="AJ472" s="49"/>
      <c r="AK472" s="49"/>
      <c r="AL472" s="49"/>
      <c r="AM472" s="49"/>
      <c r="AN472" s="49"/>
      <c r="AO472" s="49"/>
      <c r="AP472" s="49"/>
      <c r="AQ472" s="49"/>
      <c r="AR472" s="49"/>
      <c r="AS472" s="49"/>
      <c r="AT472" s="49"/>
      <c r="AU472" s="49"/>
      <c r="AV472" s="49"/>
      <c r="AW472" s="49"/>
      <c r="AX472" s="49"/>
    </row>
    <row r="473">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c r="AF473" s="49"/>
      <c r="AG473" s="49"/>
      <c r="AH473" s="49"/>
      <c r="AI473" s="49"/>
      <c r="AJ473" s="49"/>
      <c r="AK473" s="49"/>
      <c r="AL473" s="49"/>
      <c r="AM473" s="49"/>
      <c r="AN473" s="49"/>
      <c r="AO473" s="49"/>
      <c r="AP473" s="49"/>
      <c r="AQ473" s="49"/>
      <c r="AR473" s="49"/>
      <c r="AS473" s="49"/>
      <c r="AT473" s="49"/>
      <c r="AU473" s="49"/>
      <c r="AV473" s="49"/>
      <c r="AW473" s="49"/>
      <c r="AX473" s="49"/>
    </row>
    <row r="474">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c r="AF474" s="49"/>
      <c r="AG474" s="49"/>
      <c r="AH474" s="49"/>
      <c r="AI474" s="49"/>
      <c r="AJ474" s="49"/>
      <c r="AK474" s="49"/>
      <c r="AL474" s="49"/>
      <c r="AM474" s="49"/>
      <c r="AN474" s="49"/>
      <c r="AO474" s="49"/>
      <c r="AP474" s="49"/>
      <c r="AQ474" s="49"/>
      <c r="AR474" s="49"/>
      <c r="AS474" s="49"/>
      <c r="AT474" s="49"/>
      <c r="AU474" s="49"/>
      <c r="AV474" s="49"/>
      <c r="AW474" s="49"/>
      <c r="AX474" s="49"/>
    </row>
    <row r="47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c r="AF475" s="49"/>
      <c r="AG475" s="49"/>
      <c r="AH475" s="49"/>
      <c r="AI475" s="49"/>
      <c r="AJ475" s="49"/>
      <c r="AK475" s="49"/>
      <c r="AL475" s="49"/>
      <c r="AM475" s="49"/>
      <c r="AN475" s="49"/>
      <c r="AO475" s="49"/>
      <c r="AP475" s="49"/>
      <c r="AQ475" s="49"/>
      <c r="AR475" s="49"/>
      <c r="AS475" s="49"/>
      <c r="AT475" s="49"/>
      <c r="AU475" s="49"/>
      <c r="AV475" s="49"/>
      <c r="AW475" s="49"/>
      <c r="AX475" s="49"/>
    </row>
    <row r="476">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c r="AF476" s="49"/>
      <c r="AG476" s="49"/>
      <c r="AH476" s="49"/>
      <c r="AI476" s="49"/>
      <c r="AJ476" s="49"/>
      <c r="AK476" s="49"/>
      <c r="AL476" s="49"/>
      <c r="AM476" s="49"/>
      <c r="AN476" s="49"/>
      <c r="AO476" s="49"/>
      <c r="AP476" s="49"/>
      <c r="AQ476" s="49"/>
      <c r="AR476" s="49"/>
      <c r="AS476" s="49"/>
      <c r="AT476" s="49"/>
      <c r="AU476" s="49"/>
      <c r="AV476" s="49"/>
      <c r="AW476" s="49"/>
      <c r="AX476" s="49"/>
    </row>
    <row r="477">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c r="AF477" s="49"/>
      <c r="AG477" s="49"/>
      <c r="AH477" s="49"/>
      <c r="AI477" s="49"/>
      <c r="AJ477" s="49"/>
      <c r="AK477" s="49"/>
      <c r="AL477" s="49"/>
      <c r="AM477" s="49"/>
      <c r="AN477" s="49"/>
      <c r="AO477" s="49"/>
      <c r="AP477" s="49"/>
      <c r="AQ477" s="49"/>
      <c r="AR477" s="49"/>
      <c r="AS477" s="49"/>
      <c r="AT477" s="49"/>
      <c r="AU477" s="49"/>
      <c r="AV477" s="49"/>
      <c r="AW477" s="49"/>
      <c r="AX477" s="49"/>
    </row>
    <row r="478">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c r="AF478" s="49"/>
      <c r="AG478" s="49"/>
      <c r="AH478" s="49"/>
      <c r="AI478" s="49"/>
      <c r="AJ478" s="49"/>
      <c r="AK478" s="49"/>
      <c r="AL478" s="49"/>
      <c r="AM478" s="49"/>
      <c r="AN478" s="49"/>
      <c r="AO478" s="49"/>
      <c r="AP478" s="49"/>
      <c r="AQ478" s="49"/>
      <c r="AR478" s="49"/>
      <c r="AS478" s="49"/>
      <c r="AT478" s="49"/>
      <c r="AU478" s="49"/>
      <c r="AV478" s="49"/>
      <c r="AW478" s="49"/>
      <c r="AX478" s="49"/>
    </row>
    <row r="479">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c r="AF479" s="49"/>
      <c r="AG479" s="49"/>
      <c r="AH479" s="49"/>
      <c r="AI479" s="49"/>
      <c r="AJ479" s="49"/>
      <c r="AK479" s="49"/>
      <c r="AL479" s="49"/>
      <c r="AM479" s="49"/>
      <c r="AN479" s="49"/>
      <c r="AO479" s="49"/>
      <c r="AP479" s="49"/>
      <c r="AQ479" s="49"/>
      <c r="AR479" s="49"/>
      <c r="AS479" s="49"/>
      <c r="AT479" s="49"/>
      <c r="AU479" s="49"/>
      <c r="AV479" s="49"/>
      <c r="AW479" s="49"/>
      <c r="AX479" s="49"/>
    </row>
    <row r="480">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c r="AF480" s="49"/>
      <c r="AG480" s="49"/>
      <c r="AH480" s="49"/>
      <c r="AI480" s="49"/>
      <c r="AJ480" s="49"/>
      <c r="AK480" s="49"/>
      <c r="AL480" s="49"/>
      <c r="AM480" s="49"/>
      <c r="AN480" s="49"/>
      <c r="AO480" s="49"/>
      <c r="AP480" s="49"/>
      <c r="AQ480" s="49"/>
      <c r="AR480" s="49"/>
      <c r="AS480" s="49"/>
      <c r="AT480" s="49"/>
      <c r="AU480" s="49"/>
      <c r="AV480" s="49"/>
      <c r="AW480" s="49"/>
      <c r="AX480" s="49"/>
    </row>
    <row r="481">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c r="AF481" s="49"/>
      <c r="AG481" s="49"/>
      <c r="AH481" s="49"/>
      <c r="AI481" s="49"/>
      <c r="AJ481" s="49"/>
      <c r="AK481" s="49"/>
      <c r="AL481" s="49"/>
      <c r="AM481" s="49"/>
      <c r="AN481" s="49"/>
      <c r="AO481" s="49"/>
      <c r="AP481" s="49"/>
      <c r="AQ481" s="49"/>
      <c r="AR481" s="49"/>
      <c r="AS481" s="49"/>
      <c r="AT481" s="49"/>
      <c r="AU481" s="49"/>
      <c r="AV481" s="49"/>
      <c r="AW481" s="49"/>
      <c r="AX481" s="49"/>
    </row>
    <row r="482">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c r="AF482" s="49"/>
      <c r="AG482" s="49"/>
      <c r="AH482" s="49"/>
      <c r="AI482" s="49"/>
      <c r="AJ482" s="49"/>
      <c r="AK482" s="49"/>
      <c r="AL482" s="49"/>
      <c r="AM482" s="49"/>
      <c r="AN482" s="49"/>
      <c r="AO482" s="49"/>
      <c r="AP482" s="49"/>
      <c r="AQ482" s="49"/>
      <c r="AR482" s="49"/>
      <c r="AS482" s="49"/>
      <c r="AT482" s="49"/>
      <c r="AU482" s="49"/>
      <c r="AV482" s="49"/>
      <c r="AW482" s="49"/>
      <c r="AX482" s="49"/>
    </row>
    <row r="483">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c r="AF483" s="49"/>
      <c r="AG483" s="49"/>
      <c r="AH483" s="49"/>
      <c r="AI483" s="49"/>
      <c r="AJ483" s="49"/>
      <c r="AK483" s="49"/>
      <c r="AL483" s="49"/>
      <c r="AM483" s="49"/>
      <c r="AN483" s="49"/>
      <c r="AO483" s="49"/>
      <c r="AP483" s="49"/>
      <c r="AQ483" s="49"/>
      <c r="AR483" s="49"/>
      <c r="AS483" s="49"/>
      <c r="AT483" s="49"/>
      <c r="AU483" s="49"/>
      <c r="AV483" s="49"/>
      <c r="AW483" s="49"/>
      <c r="AX483" s="49"/>
    </row>
    <row r="484">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c r="AF484" s="49"/>
      <c r="AG484" s="49"/>
      <c r="AH484" s="49"/>
      <c r="AI484" s="49"/>
      <c r="AJ484" s="49"/>
      <c r="AK484" s="49"/>
      <c r="AL484" s="49"/>
      <c r="AM484" s="49"/>
      <c r="AN484" s="49"/>
      <c r="AO484" s="49"/>
      <c r="AP484" s="49"/>
      <c r="AQ484" s="49"/>
      <c r="AR484" s="49"/>
      <c r="AS484" s="49"/>
      <c r="AT484" s="49"/>
      <c r="AU484" s="49"/>
      <c r="AV484" s="49"/>
      <c r="AW484" s="49"/>
      <c r="AX484" s="49"/>
    </row>
    <row r="48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c r="AF485" s="49"/>
      <c r="AG485" s="49"/>
      <c r="AH485" s="49"/>
      <c r="AI485" s="49"/>
      <c r="AJ485" s="49"/>
      <c r="AK485" s="49"/>
      <c r="AL485" s="49"/>
      <c r="AM485" s="49"/>
      <c r="AN485" s="49"/>
      <c r="AO485" s="49"/>
      <c r="AP485" s="49"/>
      <c r="AQ485" s="49"/>
      <c r="AR485" s="49"/>
      <c r="AS485" s="49"/>
      <c r="AT485" s="49"/>
      <c r="AU485" s="49"/>
      <c r="AV485" s="49"/>
      <c r="AW485" s="49"/>
      <c r="AX485" s="49"/>
    </row>
    <row r="486">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c r="AF486" s="49"/>
      <c r="AG486" s="49"/>
      <c r="AH486" s="49"/>
      <c r="AI486" s="49"/>
      <c r="AJ486" s="49"/>
      <c r="AK486" s="49"/>
      <c r="AL486" s="49"/>
      <c r="AM486" s="49"/>
      <c r="AN486" s="49"/>
      <c r="AO486" s="49"/>
      <c r="AP486" s="49"/>
      <c r="AQ486" s="49"/>
      <c r="AR486" s="49"/>
      <c r="AS486" s="49"/>
      <c r="AT486" s="49"/>
      <c r="AU486" s="49"/>
      <c r="AV486" s="49"/>
      <c r="AW486" s="49"/>
      <c r="AX486" s="49"/>
    </row>
    <row r="487">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c r="AF487" s="49"/>
      <c r="AG487" s="49"/>
      <c r="AH487" s="49"/>
      <c r="AI487" s="49"/>
      <c r="AJ487" s="49"/>
      <c r="AK487" s="49"/>
      <c r="AL487" s="49"/>
      <c r="AM487" s="49"/>
      <c r="AN487" s="49"/>
      <c r="AO487" s="49"/>
      <c r="AP487" s="49"/>
      <c r="AQ487" s="49"/>
      <c r="AR487" s="49"/>
      <c r="AS487" s="49"/>
      <c r="AT487" s="49"/>
      <c r="AU487" s="49"/>
      <c r="AV487" s="49"/>
      <c r="AW487" s="49"/>
      <c r="AX487" s="49"/>
    </row>
    <row r="488">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c r="AF488" s="49"/>
      <c r="AG488" s="49"/>
      <c r="AH488" s="49"/>
      <c r="AI488" s="49"/>
      <c r="AJ488" s="49"/>
      <c r="AK488" s="49"/>
      <c r="AL488" s="49"/>
      <c r="AM488" s="49"/>
      <c r="AN488" s="49"/>
      <c r="AO488" s="49"/>
      <c r="AP488" s="49"/>
      <c r="AQ488" s="49"/>
      <c r="AR488" s="49"/>
      <c r="AS488" s="49"/>
      <c r="AT488" s="49"/>
      <c r="AU488" s="49"/>
      <c r="AV488" s="49"/>
      <c r="AW488" s="49"/>
      <c r="AX488" s="49"/>
    </row>
    <row r="489">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c r="AF489" s="49"/>
      <c r="AG489" s="49"/>
      <c r="AH489" s="49"/>
      <c r="AI489" s="49"/>
      <c r="AJ489" s="49"/>
      <c r="AK489" s="49"/>
      <c r="AL489" s="49"/>
      <c r="AM489" s="49"/>
      <c r="AN489" s="49"/>
      <c r="AO489" s="49"/>
      <c r="AP489" s="49"/>
      <c r="AQ489" s="49"/>
      <c r="AR489" s="49"/>
      <c r="AS489" s="49"/>
      <c r="AT489" s="49"/>
      <c r="AU489" s="49"/>
      <c r="AV489" s="49"/>
      <c r="AW489" s="49"/>
      <c r="AX489" s="49"/>
    </row>
    <row r="490">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c r="AF490" s="49"/>
      <c r="AG490" s="49"/>
      <c r="AH490" s="49"/>
      <c r="AI490" s="49"/>
      <c r="AJ490" s="49"/>
      <c r="AK490" s="49"/>
      <c r="AL490" s="49"/>
      <c r="AM490" s="49"/>
      <c r="AN490" s="49"/>
      <c r="AO490" s="49"/>
      <c r="AP490" s="49"/>
      <c r="AQ490" s="49"/>
      <c r="AR490" s="49"/>
      <c r="AS490" s="49"/>
      <c r="AT490" s="49"/>
      <c r="AU490" s="49"/>
      <c r="AV490" s="49"/>
      <c r="AW490" s="49"/>
      <c r="AX490" s="49"/>
    </row>
    <row r="491">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c r="AF491" s="49"/>
      <c r="AG491" s="49"/>
      <c r="AH491" s="49"/>
      <c r="AI491" s="49"/>
      <c r="AJ491" s="49"/>
      <c r="AK491" s="49"/>
      <c r="AL491" s="49"/>
      <c r="AM491" s="49"/>
      <c r="AN491" s="49"/>
      <c r="AO491" s="49"/>
      <c r="AP491" s="49"/>
      <c r="AQ491" s="49"/>
      <c r="AR491" s="49"/>
      <c r="AS491" s="49"/>
      <c r="AT491" s="49"/>
      <c r="AU491" s="49"/>
      <c r="AV491" s="49"/>
      <c r="AW491" s="49"/>
      <c r="AX491" s="49"/>
    </row>
    <row r="492">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c r="AF492" s="49"/>
      <c r="AG492" s="49"/>
      <c r="AH492" s="49"/>
      <c r="AI492" s="49"/>
      <c r="AJ492" s="49"/>
      <c r="AK492" s="49"/>
      <c r="AL492" s="49"/>
      <c r="AM492" s="49"/>
      <c r="AN492" s="49"/>
      <c r="AO492" s="49"/>
      <c r="AP492" s="49"/>
      <c r="AQ492" s="49"/>
      <c r="AR492" s="49"/>
      <c r="AS492" s="49"/>
      <c r="AT492" s="49"/>
      <c r="AU492" s="49"/>
      <c r="AV492" s="49"/>
      <c r="AW492" s="49"/>
      <c r="AX492" s="49"/>
    </row>
    <row r="493">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c r="AF493" s="49"/>
      <c r="AG493" s="49"/>
      <c r="AH493" s="49"/>
      <c r="AI493" s="49"/>
      <c r="AJ493" s="49"/>
      <c r="AK493" s="49"/>
      <c r="AL493" s="49"/>
      <c r="AM493" s="49"/>
      <c r="AN493" s="49"/>
      <c r="AO493" s="49"/>
      <c r="AP493" s="49"/>
      <c r="AQ493" s="49"/>
      <c r="AR493" s="49"/>
      <c r="AS493" s="49"/>
      <c r="AT493" s="49"/>
      <c r="AU493" s="49"/>
      <c r="AV493" s="49"/>
      <c r="AW493" s="49"/>
      <c r="AX493" s="49"/>
    </row>
    <row r="494">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c r="AF494" s="49"/>
      <c r="AG494" s="49"/>
      <c r="AH494" s="49"/>
      <c r="AI494" s="49"/>
      <c r="AJ494" s="49"/>
      <c r="AK494" s="49"/>
      <c r="AL494" s="49"/>
      <c r="AM494" s="49"/>
      <c r="AN494" s="49"/>
      <c r="AO494" s="49"/>
      <c r="AP494" s="49"/>
      <c r="AQ494" s="49"/>
      <c r="AR494" s="49"/>
      <c r="AS494" s="49"/>
      <c r="AT494" s="49"/>
      <c r="AU494" s="49"/>
      <c r="AV494" s="49"/>
      <c r="AW494" s="49"/>
      <c r="AX494" s="49"/>
    </row>
    <row r="49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c r="AF495" s="49"/>
      <c r="AG495" s="49"/>
      <c r="AH495" s="49"/>
      <c r="AI495" s="49"/>
      <c r="AJ495" s="49"/>
      <c r="AK495" s="49"/>
      <c r="AL495" s="49"/>
      <c r="AM495" s="49"/>
      <c r="AN495" s="49"/>
      <c r="AO495" s="49"/>
      <c r="AP495" s="49"/>
      <c r="AQ495" s="49"/>
      <c r="AR495" s="49"/>
      <c r="AS495" s="49"/>
      <c r="AT495" s="49"/>
      <c r="AU495" s="49"/>
      <c r="AV495" s="49"/>
      <c r="AW495" s="49"/>
      <c r="AX495" s="49"/>
    </row>
    <row r="496">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c r="AF496" s="49"/>
      <c r="AG496" s="49"/>
      <c r="AH496" s="49"/>
      <c r="AI496" s="49"/>
      <c r="AJ496" s="49"/>
      <c r="AK496" s="49"/>
      <c r="AL496" s="49"/>
      <c r="AM496" s="49"/>
      <c r="AN496" s="49"/>
      <c r="AO496" s="49"/>
      <c r="AP496" s="49"/>
      <c r="AQ496" s="49"/>
      <c r="AR496" s="49"/>
      <c r="AS496" s="49"/>
      <c r="AT496" s="49"/>
      <c r="AU496" s="49"/>
      <c r="AV496" s="49"/>
      <c r="AW496" s="49"/>
      <c r="AX496" s="49"/>
    </row>
    <row r="497">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c r="AF497" s="49"/>
      <c r="AG497" s="49"/>
      <c r="AH497" s="49"/>
      <c r="AI497" s="49"/>
      <c r="AJ497" s="49"/>
      <c r="AK497" s="49"/>
      <c r="AL497" s="49"/>
      <c r="AM497" s="49"/>
      <c r="AN497" s="49"/>
      <c r="AO497" s="49"/>
      <c r="AP497" s="49"/>
      <c r="AQ497" s="49"/>
      <c r="AR497" s="49"/>
      <c r="AS497" s="49"/>
      <c r="AT497" s="49"/>
      <c r="AU497" s="49"/>
      <c r="AV497" s="49"/>
      <c r="AW497" s="49"/>
      <c r="AX497" s="49"/>
    </row>
    <row r="498">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c r="AF498" s="49"/>
      <c r="AG498" s="49"/>
      <c r="AH498" s="49"/>
      <c r="AI498" s="49"/>
      <c r="AJ498" s="49"/>
      <c r="AK498" s="49"/>
      <c r="AL498" s="49"/>
      <c r="AM498" s="49"/>
      <c r="AN498" s="49"/>
      <c r="AO498" s="49"/>
      <c r="AP498" s="49"/>
      <c r="AQ498" s="49"/>
      <c r="AR498" s="49"/>
      <c r="AS498" s="49"/>
      <c r="AT498" s="49"/>
      <c r="AU498" s="49"/>
      <c r="AV498" s="49"/>
      <c r="AW498" s="49"/>
      <c r="AX498" s="49"/>
    </row>
    <row r="499">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c r="AF499" s="49"/>
      <c r="AG499" s="49"/>
      <c r="AH499" s="49"/>
      <c r="AI499" s="49"/>
      <c r="AJ499" s="49"/>
      <c r="AK499" s="49"/>
      <c r="AL499" s="49"/>
      <c r="AM499" s="49"/>
      <c r="AN499" s="49"/>
      <c r="AO499" s="49"/>
      <c r="AP499" s="49"/>
      <c r="AQ499" s="49"/>
      <c r="AR499" s="49"/>
      <c r="AS499" s="49"/>
      <c r="AT499" s="49"/>
      <c r="AU499" s="49"/>
      <c r="AV499" s="49"/>
      <c r="AW499" s="49"/>
      <c r="AX499" s="49"/>
    </row>
    <row r="500">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c r="AF500" s="49"/>
      <c r="AG500" s="49"/>
      <c r="AH500" s="49"/>
      <c r="AI500" s="49"/>
      <c r="AJ500" s="49"/>
      <c r="AK500" s="49"/>
      <c r="AL500" s="49"/>
      <c r="AM500" s="49"/>
      <c r="AN500" s="49"/>
      <c r="AO500" s="49"/>
      <c r="AP500" s="49"/>
      <c r="AQ500" s="49"/>
      <c r="AR500" s="49"/>
      <c r="AS500" s="49"/>
      <c r="AT500" s="49"/>
      <c r="AU500" s="49"/>
      <c r="AV500" s="49"/>
      <c r="AW500" s="49"/>
      <c r="AX500" s="49"/>
    </row>
    <row r="501">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c r="AF501" s="49"/>
      <c r="AG501" s="49"/>
      <c r="AH501" s="49"/>
      <c r="AI501" s="49"/>
      <c r="AJ501" s="49"/>
      <c r="AK501" s="49"/>
      <c r="AL501" s="49"/>
      <c r="AM501" s="49"/>
      <c r="AN501" s="49"/>
      <c r="AO501" s="49"/>
      <c r="AP501" s="49"/>
      <c r="AQ501" s="49"/>
      <c r="AR501" s="49"/>
      <c r="AS501" s="49"/>
      <c r="AT501" s="49"/>
      <c r="AU501" s="49"/>
      <c r="AV501" s="49"/>
      <c r="AW501" s="49"/>
      <c r="AX501" s="49"/>
    </row>
    <row r="502">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c r="AF502" s="49"/>
      <c r="AG502" s="49"/>
      <c r="AH502" s="49"/>
      <c r="AI502" s="49"/>
      <c r="AJ502" s="49"/>
      <c r="AK502" s="49"/>
      <c r="AL502" s="49"/>
      <c r="AM502" s="49"/>
      <c r="AN502" s="49"/>
      <c r="AO502" s="49"/>
      <c r="AP502" s="49"/>
      <c r="AQ502" s="49"/>
      <c r="AR502" s="49"/>
      <c r="AS502" s="49"/>
      <c r="AT502" s="49"/>
      <c r="AU502" s="49"/>
      <c r="AV502" s="49"/>
      <c r="AW502" s="49"/>
      <c r="AX502" s="49"/>
    </row>
    <row r="503">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c r="AF503" s="49"/>
      <c r="AG503" s="49"/>
      <c r="AH503" s="49"/>
      <c r="AI503" s="49"/>
      <c r="AJ503" s="49"/>
      <c r="AK503" s="49"/>
      <c r="AL503" s="49"/>
      <c r="AM503" s="49"/>
      <c r="AN503" s="49"/>
      <c r="AO503" s="49"/>
      <c r="AP503" s="49"/>
      <c r="AQ503" s="49"/>
      <c r="AR503" s="49"/>
      <c r="AS503" s="49"/>
      <c r="AT503" s="49"/>
      <c r="AU503" s="49"/>
      <c r="AV503" s="49"/>
      <c r="AW503" s="49"/>
      <c r="AX503" s="49"/>
    </row>
    <row r="504">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c r="AF504" s="49"/>
      <c r="AG504" s="49"/>
      <c r="AH504" s="49"/>
      <c r="AI504" s="49"/>
      <c r="AJ504" s="49"/>
      <c r="AK504" s="49"/>
      <c r="AL504" s="49"/>
      <c r="AM504" s="49"/>
      <c r="AN504" s="49"/>
      <c r="AO504" s="49"/>
      <c r="AP504" s="49"/>
      <c r="AQ504" s="49"/>
      <c r="AR504" s="49"/>
      <c r="AS504" s="49"/>
      <c r="AT504" s="49"/>
      <c r="AU504" s="49"/>
      <c r="AV504" s="49"/>
      <c r="AW504" s="49"/>
      <c r="AX504" s="49"/>
    </row>
    <row r="50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c r="AF505" s="49"/>
      <c r="AG505" s="49"/>
      <c r="AH505" s="49"/>
      <c r="AI505" s="49"/>
      <c r="AJ505" s="49"/>
      <c r="AK505" s="49"/>
      <c r="AL505" s="49"/>
      <c r="AM505" s="49"/>
      <c r="AN505" s="49"/>
      <c r="AO505" s="49"/>
      <c r="AP505" s="49"/>
      <c r="AQ505" s="49"/>
      <c r="AR505" s="49"/>
      <c r="AS505" s="49"/>
      <c r="AT505" s="49"/>
      <c r="AU505" s="49"/>
      <c r="AV505" s="49"/>
      <c r="AW505" s="49"/>
      <c r="AX505" s="49"/>
    </row>
    <row r="506">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c r="AF506" s="49"/>
      <c r="AG506" s="49"/>
      <c r="AH506" s="49"/>
      <c r="AI506" s="49"/>
      <c r="AJ506" s="49"/>
      <c r="AK506" s="49"/>
      <c r="AL506" s="49"/>
      <c r="AM506" s="49"/>
      <c r="AN506" s="49"/>
      <c r="AO506" s="49"/>
      <c r="AP506" s="49"/>
      <c r="AQ506" s="49"/>
      <c r="AR506" s="49"/>
      <c r="AS506" s="49"/>
      <c r="AT506" s="49"/>
      <c r="AU506" s="49"/>
      <c r="AV506" s="49"/>
      <c r="AW506" s="49"/>
      <c r="AX506" s="49"/>
    </row>
    <row r="507">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c r="AF507" s="49"/>
      <c r="AG507" s="49"/>
      <c r="AH507" s="49"/>
      <c r="AI507" s="49"/>
      <c r="AJ507" s="49"/>
      <c r="AK507" s="49"/>
      <c r="AL507" s="49"/>
      <c r="AM507" s="49"/>
      <c r="AN507" s="49"/>
      <c r="AO507" s="49"/>
      <c r="AP507" s="49"/>
      <c r="AQ507" s="49"/>
      <c r="AR507" s="49"/>
      <c r="AS507" s="49"/>
      <c r="AT507" s="49"/>
      <c r="AU507" s="49"/>
      <c r="AV507" s="49"/>
      <c r="AW507" s="49"/>
      <c r="AX507" s="49"/>
    </row>
    <row r="508">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c r="AF508" s="49"/>
      <c r="AG508" s="49"/>
      <c r="AH508" s="49"/>
      <c r="AI508" s="49"/>
      <c r="AJ508" s="49"/>
      <c r="AK508" s="49"/>
      <c r="AL508" s="49"/>
      <c r="AM508" s="49"/>
      <c r="AN508" s="49"/>
      <c r="AO508" s="49"/>
      <c r="AP508" s="49"/>
      <c r="AQ508" s="49"/>
      <c r="AR508" s="49"/>
      <c r="AS508" s="49"/>
      <c r="AT508" s="49"/>
      <c r="AU508" s="49"/>
      <c r="AV508" s="49"/>
      <c r="AW508" s="49"/>
      <c r="AX508" s="49"/>
    </row>
    <row r="509">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c r="AF509" s="49"/>
      <c r="AG509" s="49"/>
      <c r="AH509" s="49"/>
      <c r="AI509" s="49"/>
      <c r="AJ509" s="49"/>
      <c r="AK509" s="49"/>
      <c r="AL509" s="49"/>
      <c r="AM509" s="49"/>
      <c r="AN509" s="49"/>
      <c r="AO509" s="49"/>
      <c r="AP509" s="49"/>
      <c r="AQ509" s="49"/>
      <c r="AR509" s="49"/>
      <c r="AS509" s="49"/>
      <c r="AT509" s="49"/>
      <c r="AU509" s="49"/>
      <c r="AV509" s="49"/>
      <c r="AW509" s="49"/>
      <c r="AX509" s="49"/>
    </row>
    <row r="510">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c r="AF510" s="49"/>
      <c r="AG510" s="49"/>
      <c r="AH510" s="49"/>
      <c r="AI510" s="49"/>
      <c r="AJ510" s="49"/>
      <c r="AK510" s="49"/>
      <c r="AL510" s="49"/>
      <c r="AM510" s="49"/>
      <c r="AN510" s="49"/>
      <c r="AO510" s="49"/>
      <c r="AP510" s="49"/>
      <c r="AQ510" s="49"/>
      <c r="AR510" s="49"/>
      <c r="AS510" s="49"/>
      <c r="AT510" s="49"/>
      <c r="AU510" s="49"/>
      <c r="AV510" s="49"/>
      <c r="AW510" s="49"/>
      <c r="AX510" s="49"/>
    </row>
    <row r="511">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c r="AF511" s="49"/>
      <c r="AG511" s="49"/>
      <c r="AH511" s="49"/>
      <c r="AI511" s="49"/>
      <c r="AJ511" s="49"/>
      <c r="AK511" s="49"/>
      <c r="AL511" s="49"/>
      <c r="AM511" s="49"/>
      <c r="AN511" s="49"/>
      <c r="AO511" s="49"/>
      <c r="AP511" s="49"/>
      <c r="AQ511" s="49"/>
      <c r="AR511" s="49"/>
      <c r="AS511" s="49"/>
      <c r="AT511" s="49"/>
      <c r="AU511" s="49"/>
      <c r="AV511" s="49"/>
      <c r="AW511" s="49"/>
      <c r="AX511" s="49"/>
    </row>
    <row r="512">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c r="AF512" s="49"/>
      <c r="AG512" s="49"/>
      <c r="AH512" s="49"/>
      <c r="AI512" s="49"/>
      <c r="AJ512" s="49"/>
      <c r="AK512" s="49"/>
      <c r="AL512" s="49"/>
      <c r="AM512" s="49"/>
      <c r="AN512" s="49"/>
      <c r="AO512" s="49"/>
      <c r="AP512" s="49"/>
      <c r="AQ512" s="49"/>
      <c r="AR512" s="49"/>
      <c r="AS512" s="49"/>
      <c r="AT512" s="49"/>
      <c r="AU512" s="49"/>
      <c r="AV512" s="49"/>
      <c r="AW512" s="49"/>
      <c r="AX512" s="49"/>
    </row>
    <row r="513">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c r="AF513" s="49"/>
      <c r="AG513" s="49"/>
      <c r="AH513" s="49"/>
      <c r="AI513" s="49"/>
      <c r="AJ513" s="49"/>
      <c r="AK513" s="49"/>
      <c r="AL513" s="49"/>
      <c r="AM513" s="49"/>
      <c r="AN513" s="49"/>
      <c r="AO513" s="49"/>
      <c r="AP513" s="49"/>
      <c r="AQ513" s="49"/>
      <c r="AR513" s="49"/>
      <c r="AS513" s="49"/>
      <c r="AT513" s="49"/>
      <c r="AU513" s="49"/>
      <c r="AV513" s="49"/>
      <c r="AW513" s="49"/>
      <c r="AX513" s="49"/>
    </row>
    <row r="514">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c r="AF514" s="49"/>
      <c r="AG514" s="49"/>
      <c r="AH514" s="49"/>
      <c r="AI514" s="49"/>
      <c r="AJ514" s="49"/>
      <c r="AK514" s="49"/>
      <c r="AL514" s="49"/>
      <c r="AM514" s="49"/>
      <c r="AN514" s="49"/>
      <c r="AO514" s="49"/>
      <c r="AP514" s="49"/>
      <c r="AQ514" s="49"/>
      <c r="AR514" s="49"/>
      <c r="AS514" s="49"/>
      <c r="AT514" s="49"/>
      <c r="AU514" s="49"/>
      <c r="AV514" s="49"/>
      <c r="AW514" s="49"/>
      <c r="AX514" s="49"/>
    </row>
    <row r="51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c r="AF515" s="49"/>
      <c r="AG515" s="49"/>
      <c r="AH515" s="49"/>
      <c r="AI515" s="49"/>
      <c r="AJ515" s="49"/>
      <c r="AK515" s="49"/>
      <c r="AL515" s="49"/>
      <c r="AM515" s="49"/>
      <c r="AN515" s="49"/>
      <c r="AO515" s="49"/>
      <c r="AP515" s="49"/>
      <c r="AQ515" s="49"/>
      <c r="AR515" s="49"/>
      <c r="AS515" s="49"/>
      <c r="AT515" s="49"/>
      <c r="AU515" s="49"/>
      <c r="AV515" s="49"/>
      <c r="AW515" s="49"/>
      <c r="AX515" s="49"/>
    </row>
    <row r="516">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c r="AF516" s="49"/>
      <c r="AG516" s="49"/>
      <c r="AH516" s="49"/>
      <c r="AI516" s="49"/>
      <c r="AJ516" s="49"/>
      <c r="AK516" s="49"/>
      <c r="AL516" s="49"/>
      <c r="AM516" s="49"/>
      <c r="AN516" s="49"/>
      <c r="AO516" s="49"/>
      <c r="AP516" s="49"/>
      <c r="AQ516" s="49"/>
      <c r="AR516" s="49"/>
      <c r="AS516" s="49"/>
      <c r="AT516" s="49"/>
      <c r="AU516" s="49"/>
      <c r="AV516" s="49"/>
      <c r="AW516" s="49"/>
      <c r="AX516" s="49"/>
    </row>
    <row r="517">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c r="AF517" s="49"/>
      <c r="AG517" s="49"/>
      <c r="AH517" s="49"/>
      <c r="AI517" s="49"/>
      <c r="AJ517" s="49"/>
      <c r="AK517" s="49"/>
      <c r="AL517" s="49"/>
      <c r="AM517" s="49"/>
      <c r="AN517" s="49"/>
      <c r="AO517" s="49"/>
      <c r="AP517" s="49"/>
      <c r="AQ517" s="49"/>
      <c r="AR517" s="49"/>
      <c r="AS517" s="49"/>
      <c r="AT517" s="49"/>
      <c r="AU517" s="49"/>
      <c r="AV517" s="49"/>
      <c r="AW517" s="49"/>
      <c r="AX517" s="49"/>
    </row>
    <row r="518">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c r="AF518" s="49"/>
      <c r="AG518" s="49"/>
      <c r="AH518" s="49"/>
      <c r="AI518" s="49"/>
      <c r="AJ518" s="49"/>
      <c r="AK518" s="49"/>
      <c r="AL518" s="49"/>
      <c r="AM518" s="49"/>
      <c r="AN518" s="49"/>
      <c r="AO518" s="49"/>
      <c r="AP518" s="49"/>
      <c r="AQ518" s="49"/>
      <c r="AR518" s="49"/>
      <c r="AS518" s="49"/>
      <c r="AT518" s="49"/>
      <c r="AU518" s="49"/>
      <c r="AV518" s="49"/>
      <c r="AW518" s="49"/>
      <c r="AX518" s="49"/>
    </row>
    <row r="519">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c r="AF519" s="49"/>
      <c r="AG519" s="49"/>
      <c r="AH519" s="49"/>
      <c r="AI519" s="49"/>
      <c r="AJ519" s="49"/>
      <c r="AK519" s="49"/>
      <c r="AL519" s="49"/>
      <c r="AM519" s="49"/>
      <c r="AN519" s="49"/>
      <c r="AO519" s="49"/>
      <c r="AP519" s="49"/>
      <c r="AQ519" s="49"/>
      <c r="AR519" s="49"/>
      <c r="AS519" s="49"/>
      <c r="AT519" s="49"/>
      <c r="AU519" s="49"/>
      <c r="AV519" s="49"/>
      <c r="AW519" s="49"/>
      <c r="AX519" s="49"/>
    </row>
    <row r="520">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c r="AF520" s="49"/>
      <c r="AG520" s="49"/>
      <c r="AH520" s="49"/>
      <c r="AI520" s="49"/>
      <c r="AJ520" s="49"/>
      <c r="AK520" s="49"/>
      <c r="AL520" s="49"/>
      <c r="AM520" s="49"/>
      <c r="AN520" s="49"/>
      <c r="AO520" s="49"/>
      <c r="AP520" s="49"/>
      <c r="AQ520" s="49"/>
      <c r="AR520" s="49"/>
      <c r="AS520" s="49"/>
      <c r="AT520" s="49"/>
      <c r="AU520" s="49"/>
      <c r="AV520" s="49"/>
      <c r="AW520" s="49"/>
      <c r="AX520" s="49"/>
    </row>
    <row r="521">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c r="AF521" s="49"/>
      <c r="AG521" s="49"/>
      <c r="AH521" s="49"/>
      <c r="AI521" s="49"/>
      <c r="AJ521" s="49"/>
      <c r="AK521" s="49"/>
      <c r="AL521" s="49"/>
      <c r="AM521" s="49"/>
      <c r="AN521" s="49"/>
      <c r="AO521" s="49"/>
      <c r="AP521" s="49"/>
      <c r="AQ521" s="49"/>
      <c r="AR521" s="49"/>
      <c r="AS521" s="49"/>
      <c r="AT521" s="49"/>
      <c r="AU521" s="49"/>
      <c r="AV521" s="49"/>
      <c r="AW521" s="49"/>
      <c r="AX521" s="49"/>
    </row>
    <row r="522">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c r="AF522" s="49"/>
      <c r="AG522" s="49"/>
      <c r="AH522" s="49"/>
      <c r="AI522" s="49"/>
      <c r="AJ522" s="49"/>
      <c r="AK522" s="49"/>
      <c r="AL522" s="49"/>
      <c r="AM522" s="49"/>
      <c r="AN522" s="49"/>
      <c r="AO522" s="49"/>
      <c r="AP522" s="49"/>
      <c r="AQ522" s="49"/>
      <c r="AR522" s="49"/>
      <c r="AS522" s="49"/>
      <c r="AT522" s="49"/>
      <c r="AU522" s="49"/>
      <c r="AV522" s="49"/>
      <c r="AW522" s="49"/>
      <c r="AX522" s="49"/>
    </row>
    <row r="523">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c r="AF523" s="49"/>
      <c r="AG523" s="49"/>
      <c r="AH523" s="49"/>
      <c r="AI523" s="49"/>
      <c r="AJ523" s="49"/>
      <c r="AK523" s="49"/>
      <c r="AL523" s="49"/>
      <c r="AM523" s="49"/>
      <c r="AN523" s="49"/>
      <c r="AO523" s="49"/>
      <c r="AP523" s="49"/>
      <c r="AQ523" s="49"/>
      <c r="AR523" s="49"/>
      <c r="AS523" s="49"/>
      <c r="AT523" s="49"/>
      <c r="AU523" s="49"/>
      <c r="AV523" s="49"/>
      <c r="AW523" s="49"/>
      <c r="AX523" s="49"/>
    </row>
    <row r="524">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c r="AF524" s="49"/>
      <c r="AG524" s="49"/>
      <c r="AH524" s="49"/>
      <c r="AI524" s="49"/>
      <c r="AJ524" s="49"/>
      <c r="AK524" s="49"/>
      <c r="AL524" s="49"/>
      <c r="AM524" s="49"/>
      <c r="AN524" s="49"/>
      <c r="AO524" s="49"/>
      <c r="AP524" s="49"/>
      <c r="AQ524" s="49"/>
      <c r="AR524" s="49"/>
      <c r="AS524" s="49"/>
      <c r="AT524" s="49"/>
      <c r="AU524" s="49"/>
      <c r="AV524" s="49"/>
      <c r="AW524" s="49"/>
      <c r="AX524" s="49"/>
    </row>
    <row r="5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c r="AF525" s="49"/>
      <c r="AG525" s="49"/>
      <c r="AH525" s="49"/>
      <c r="AI525" s="49"/>
      <c r="AJ525" s="49"/>
      <c r="AK525" s="49"/>
      <c r="AL525" s="49"/>
      <c r="AM525" s="49"/>
      <c r="AN525" s="49"/>
      <c r="AO525" s="49"/>
      <c r="AP525" s="49"/>
      <c r="AQ525" s="49"/>
      <c r="AR525" s="49"/>
      <c r="AS525" s="49"/>
      <c r="AT525" s="49"/>
      <c r="AU525" s="49"/>
      <c r="AV525" s="49"/>
      <c r="AW525" s="49"/>
      <c r="AX525" s="49"/>
    </row>
    <row r="526">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c r="AF526" s="49"/>
      <c r="AG526" s="49"/>
      <c r="AH526" s="49"/>
      <c r="AI526" s="49"/>
      <c r="AJ526" s="49"/>
      <c r="AK526" s="49"/>
      <c r="AL526" s="49"/>
      <c r="AM526" s="49"/>
      <c r="AN526" s="49"/>
      <c r="AO526" s="49"/>
      <c r="AP526" s="49"/>
      <c r="AQ526" s="49"/>
      <c r="AR526" s="49"/>
      <c r="AS526" s="49"/>
      <c r="AT526" s="49"/>
      <c r="AU526" s="49"/>
      <c r="AV526" s="49"/>
      <c r="AW526" s="49"/>
      <c r="AX526" s="49"/>
    </row>
    <row r="527">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c r="AF527" s="49"/>
      <c r="AG527" s="49"/>
      <c r="AH527" s="49"/>
      <c r="AI527" s="49"/>
      <c r="AJ527" s="49"/>
      <c r="AK527" s="49"/>
      <c r="AL527" s="49"/>
      <c r="AM527" s="49"/>
      <c r="AN527" s="49"/>
      <c r="AO527" s="49"/>
      <c r="AP527" s="49"/>
      <c r="AQ527" s="49"/>
      <c r="AR527" s="49"/>
      <c r="AS527" s="49"/>
      <c r="AT527" s="49"/>
      <c r="AU527" s="49"/>
      <c r="AV527" s="49"/>
      <c r="AW527" s="49"/>
      <c r="AX527" s="49"/>
    </row>
    <row r="528">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c r="AF528" s="49"/>
      <c r="AG528" s="49"/>
      <c r="AH528" s="49"/>
      <c r="AI528" s="49"/>
      <c r="AJ528" s="49"/>
      <c r="AK528" s="49"/>
      <c r="AL528" s="49"/>
      <c r="AM528" s="49"/>
      <c r="AN528" s="49"/>
      <c r="AO528" s="49"/>
      <c r="AP528" s="49"/>
      <c r="AQ528" s="49"/>
      <c r="AR528" s="49"/>
      <c r="AS528" s="49"/>
      <c r="AT528" s="49"/>
      <c r="AU528" s="49"/>
      <c r="AV528" s="49"/>
      <c r="AW528" s="49"/>
      <c r="AX528" s="49"/>
    </row>
    <row r="529">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c r="AF529" s="49"/>
      <c r="AG529" s="49"/>
      <c r="AH529" s="49"/>
      <c r="AI529" s="49"/>
      <c r="AJ529" s="49"/>
      <c r="AK529" s="49"/>
      <c r="AL529" s="49"/>
      <c r="AM529" s="49"/>
      <c r="AN529" s="49"/>
      <c r="AO529" s="49"/>
      <c r="AP529" s="49"/>
      <c r="AQ529" s="49"/>
      <c r="AR529" s="49"/>
      <c r="AS529" s="49"/>
      <c r="AT529" s="49"/>
      <c r="AU529" s="49"/>
      <c r="AV529" s="49"/>
      <c r="AW529" s="49"/>
      <c r="AX529" s="49"/>
    </row>
    <row r="530">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c r="AF530" s="49"/>
      <c r="AG530" s="49"/>
      <c r="AH530" s="49"/>
      <c r="AI530" s="49"/>
      <c r="AJ530" s="49"/>
      <c r="AK530" s="49"/>
      <c r="AL530" s="49"/>
      <c r="AM530" s="49"/>
      <c r="AN530" s="49"/>
      <c r="AO530" s="49"/>
      <c r="AP530" s="49"/>
      <c r="AQ530" s="49"/>
      <c r="AR530" s="49"/>
      <c r="AS530" s="49"/>
      <c r="AT530" s="49"/>
      <c r="AU530" s="49"/>
      <c r="AV530" s="49"/>
      <c r="AW530" s="49"/>
      <c r="AX530" s="49"/>
    </row>
    <row r="531">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c r="AF531" s="49"/>
      <c r="AG531" s="49"/>
      <c r="AH531" s="49"/>
      <c r="AI531" s="49"/>
      <c r="AJ531" s="49"/>
      <c r="AK531" s="49"/>
      <c r="AL531" s="49"/>
      <c r="AM531" s="49"/>
      <c r="AN531" s="49"/>
      <c r="AO531" s="49"/>
      <c r="AP531" s="49"/>
      <c r="AQ531" s="49"/>
      <c r="AR531" s="49"/>
      <c r="AS531" s="49"/>
      <c r="AT531" s="49"/>
      <c r="AU531" s="49"/>
      <c r="AV531" s="49"/>
      <c r="AW531" s="49"/>
      <c r="AX531" s="49"/>
    </row>
    <row r="532">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c r="AF532" s="49"/>
      <c r="AG532" s="49"/>
      <c r="AH532" s="49"/>
      <c r="AI532" s="49"/>
      <c r="AJ532" s="49"/>
      <c r="AK532" s="49"/>
      <c r="AL532" s="49"/>
      <c r="AM532" s="49"/>
      <c r="AN532" s="49"/>
      <c r="AO532" s="49"/>
      <c r="AP532" s="49"/>
      <c r="AQ532" s="49"/>
      <c r="AR532" s="49"/>
      <c r="AS532" s="49"/>
      <c r="AT532" s="49"/>
      <c r="AU532" s="49"/>
      <c r="AV532" s="49"/>
      <c r="AW532" s="49"/>
      <c r="AX532" s="49"/>
    </row>
    <row r="533">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c r="AF533" s="49"/>
      <c r="AG533" s="49"/>
      <c r="AH533" s="49"/>
      <c r="AI533" s="49"/>
      <c r="AJ533" s="49"/>
      <c r="AK533" s="49"/>
      <c r="AL533" s="49"/>
      <c r="AM533" s="49"/>
      <c r="AN533" s="49"/>
      <c r="AO533" s="49"/>
      <c r="AP533" s="49"/>
      <c r="AQ533" s="49"/>
      <c r="AR533" s="49"/>
      <c r="AS533" s="49"/>
      <c r="AT533" s="49"/>
      <c r="AU533" s="49"/>
      <c r="AV533" s="49"/>
      <c r="AW533" s="49"/>
      <c r="AX533" s="49"/>
    </row>
    <row r="534">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c r="AF534" s="49"/>
      <c r="AG534" s="49"/>
      <c r="AH534" s="49"/>
      <c r="AI534" s="49"/>
      <c r="AJ534" s="49"/>
      <c r="AK534" s="49"/>
      <c r="AL534" s="49"/>
      <c r="AM534" s="49"/>
      <c r="AN534" s="49"/>
      <c r="AO534" s="49"/>
      <c r="AP534" s="49"/>
      <c r="AQ534" s="49"/>
      <c r="AR534" s="49"/>
      <c r="AS534" s="49"/>
      <c r="AT534" s="49"/>
      <c r="AU534" s="49"/>
      <c r="AV534" s="49"/>
      <c r="AW534" s="49"/>
      <c r="AX534" s="49"/>
    </row>
    <row r="5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c r="AF535" s="49"/>
      <c r="AG535" s="49"/>
      <c r="AH535" s="49"/>
      <c r="AI535" s="49"/>
      <c r="AJ535" s="49"/>
      <c r="AK535" s="49"/>
      <c r="AL535" s="49"/>
      <c r="AM535" s="49"/>
      <c r="AN535" s="49"/>
      <c r="AO535" s="49"/>
      <c r="AP535" s="49"/>
      <c r="AQ535" s="49"/>
      <c r="AR535" s="49"/>
      <c r="AS535" s="49"/>
      <c r="AT535" s="49"/>
      <c r="AU535" s="49"/>
      <c r="AV535" s="49"/>
      <c r="AW535" s="49"/>
      <c r="AX535" s="49"/>
    </row>
    <row r="536">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c r="AF536" s="49"/>
      <c r="AG536" s="49"/>
      <c r="AH536" s="49"/>
      <c r="AI536" s="49"/>
      <c r="AJ536" s="49"/>
      <c r="AK536" s="49"/>
      <c r="AL536" s="49"/>
      <c r="AM536" s="49"/>
      <c r="AN536" s="49"/>
      <c r="AO536" s="49"/>
      <c r="AP536" s="49"/>
      <c r="AQ536" s="49"/>
      <c r="AR536" s="49"/>
      <c r="AS536" s="49"/>
      <c r="AT536" s="49"/>
      <c r="AU536" s="49"/>
      <c r="AV536" s="49"/>
      <c r="AW536" s="49"/>
      <c r="AX536" s="49"/>
    </row>
    <row r="537">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c r="AF537" s="49"/>
      <c r="AG537" s="49"/>
      <c r="AH537" s="49"/>
      <c r="AI537" s="49"/>
      <c r="AJ537" s="49"/>
      <c r="AK537" s="49"/>
      <c r="AL537" s="49"/>
      <c r="AM537" s="49"/>
      <c r="AN537" s="49"/>
      <c r="AO537" s="49"/>
      <c r="AP537" s="49"/>
      <c r="AQ537" s="49"/>
      <c r="AR537" s="49"/>
      <c r="AS537" s="49"/>
      <c r="AT537" s="49"/>
      <c r="AU537" s="49"/>
      <c r="AV537" s="49"/>
      <c r="AW537" s="49"/>
      <c r="AX537" s="49"/>
    </row>
    <row r="538">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c r="AF538" s="49"/>
      <c r="AG538" s="49"/>
      <c r="AH538" s="49"/>
      <c r="AI538" s="49"/>
      <c r="AJ538" s="49"/>
      <c r="AK538" s="49"/>
      <c r="AL538" s="49"/>
      <c r="AM538" s="49"/>
      <c r="AN538" s="49"/>
      <c r="AO538" s="49"/>
      <c r="AP538" s="49"/>
      <c r="AQ538" s="49"/>
      <c r="AR538" s="49"/>
      <c r="AS538" s="49"/>
      <c r="AT538" s="49"/>
      <c r="AU538" s="49"/>
      <c r="AV538" s="49"/>
      <c r="AW538" s="49"/>
      <c r="AX538" s="49"/>
    </row>
    <row r="539">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c r="AF539" s="49"/>
      <c r="AG539" s="49"/>
      <c r="AH539" s="49"/>
      <c r="AI539" s="49"/>
      <c r="AJ539" s="49"/>
      <c r="AK539" s="49"/>
      <c r="AL539" s="49"/>
      <c r="AM539" s="49"/>
      <c r="AN539" s="49"/>
      <c r="AO539" s="49"/>
      <c r="AP539" s="49"/>
      <c r="AQ539" s="49"/>
      <c r="AR539" s="49"/>
      <c r="AS539" s="49"/>
      <c r="AT539" s="49"/>
      <c r="AU539" s="49"/>
      <c r="AV539" s="49"/>
      <c r="AW539" s="49"/>
      <c r="AX539" s="49"/>
    </row>
    <row r="540">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c r="AF540" s="49"/>
      <c r="AG540" s="49"/>
      <c r="AH540" s="49"/>
      <c r="AI540" s="49"/>
      <c r="AJ540" s="49"/>
      <c r="AK540" s="49"/>
      <c r="AL540" s="49"/>
      <c r="AM540" s="49"/>
      <c r="AN540" s="49"/>
      <c r="AO540" s="49"/>
      <c r="AP540" s="49"/>
      <c r="AQ540" s="49"/>
      <c r="AR540" s="49"/>
      <c r="AS540" s="49"/>
      <c r="AT540" s="49"/>
      <c r="AU540" s="49"/>
      <c r="AV540" s="49"/>
      <c r="AW540" s="49"/>
      <c r="AX540" s="49"/>
    </row>
    <row r="541">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c r="AF541" s="49"/>
      <c r="AG541" s="49"/>
      <c r="AH541" s="49"/>
      <c r="AI541" s="49"/>
      <c r="AJ541" s="49"/>
      <c r="AK541" s="49"/>
      <c r="AL541" s="49"/>
      <c r="AM541" s="49"/>
      <c r="AN541" s="49"/>
      <c r="AO541" s="49"/>
      <c r="AP541" s="49"/>
      <c r="AQ541" s="49"/>
      <c r="AR541" s="49"/>
      <c r="AS541" s="49"/>
      <c r="AT541" s="49"/>
      <c r="AU541" s="49"/>
      <c r="AV541" s="49"/>
      <c r="AW541" s="49"/>
      <c r="AX541" s="49"/>
    </row>
    <row r="542">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c r="AF542" s="49"/>
      <c r="AG542" s="49"/>
      <c r="AH542" s="49"/>
      <c r="AI542" s="49"/>
      <c r="AJ542" s="49"/>
      <c r="AK542" s="49"/>
      <c r="AL542" s="49"/>
      <c r="AM542" s="49"/>
      <c r="AN542" s="49"/>
      <c r="AO542" s="49"/>
      <c r="AP542" s="49"/>
      <c r="AQ542" s="49"/>
      <c r="AR542" s="49"/>
      <c r="AS542" s="49"/>
      <c r="AT542" s="49"/>
      <c r="AU542" s="49"/>
      <c r="AV542" s="49"/>
      <c r="AW542" s="49"/>
      <c r="AX542" s="49"/>
    </row>
    <row r="543">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c r="AF543" s="49"/>
      <c r="AG543" s="49"/>
      <c r="AH543" s="49"/>
      <c r="AI543" s="49"/>
      <c r="AJ543" s="49"/>
      <c r="AK543" s="49"/>
      <c r="AL543" s="49"/>
      <c r="AM543" s="49"/>
      <c r="AN543" s="49"/>
      <c r="AO543" s="49"/>
      <c r="AP543" s="49"/>
      <c r="AQ543" s="49"/>
      <c r="AR543" s="49"/>
      <c r="AS543" s="49"/>
      <c r="AT543" s="49"/>
      <c r="AU543" s="49"/>
      <c r="AV543" s="49"/>
      <c r="AW543" s="49"/>
      <c r="AX543" s="49"/>
    </row>
    <row r="544">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c r="AF544" s="49"/>
      <c r="AG544" s="49"/>
      <c r="AH544" s="49"/>
      <c r="AI544" s="49"/>
      <c r="AJ544" s="49"/>
      <c r="AK544" s="49"/>
      <c r="AL544" s="49"/>
      <c r="AM544" s="49"/>
      <c r="AN544" s="49"/>
      <c r="AO544" s="49"/>
      <c r="AP544" s="49"/>
      <c r="AQ544" s="49"/>
      <c r="AR544" s="49"/>
      <c r="AS544" s="49"/>
      <c r="AT544" s="49"/>
      <c r="AU544" s="49"/>
      <c r="AV544" s="49"/>
      <c r="AW544" s="49"/>
      <c r="AX544" s="49"/>
    </row>
    <row r="54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c r="AF545" s="49"/>
      <c r="AG545" s="49"/>
      <c r="AH545" s="49"/>
      <c r="AI545" s="49"/>
      <c r="AJ545" s="49"/>
      <c r="AK545" s="49"/>
      <c r="AL545" s="49"/>
      <c r="AM545" s="49"/>
      <c r="AN545" s="49"/>
      <c r="AO545" s="49"/>
      <c r="AP545" s="49"/>
      <c r="AQ545" s="49"/>
      <c r="AR545" s="49"/>
      <c r="AS545" s="49"/>
      <c r="AT545" s="49"/>
      <c r="AU545" s="49"/>
      <c r="AV545" s="49"/>
      <c r="AW545" s="49"/>
      <c r="AX545" s="49"/>
    </row>
    <row r="546">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c r="AF546" s="49"/>
      <c r="AG546" s="49"/>
      <c r="AH546" s="49"/>
      <c r="AI546" s="49"/>
      <c r="AJ546" s="49"/>
      <c r="AK546" s="49"/>
      <c r="AL546" s="49"/>
      <c r="AM546" s="49"/>
      <c r="AN546" s="49"/>
      <c r="AO546" s="49"/>
      <c r="AP546" s="49"/>
      <c r="AQ546" s="49"/>
      <c r="AR546" s="49"/>
      <c r="AS546" s="49"/>
      <c r="AT546" s="49"/>
      <c r="AU546" s="49"/>
      <c r="AV546" s="49"/>
      <c r="AW546" s="49"/>
      <c r="AX546" s="49"/>
    </row>
    <row r="547">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c r="AF547" s="49"/>
      <c r="AG547" s="49"/>
      <c r="AH547" s="49"/>
      <c r="AI547" s="49"/>
      <c r="AJ547" s="49"/>
      <c r="AK547" s="49"/>
      <c r="AL547" s="49"/>
      <c r="AM547" s="49"/>
      <c r="AN547" s="49"/>
      <c r="AO547" s="49"/>
      <c r="AP547" s="49"/>
      <c r="AQ547" s="49"/>
      <c r="AR547" s="49"/>
      <c r="AS547" s="49"/>
      <c r="AT547" s="49"/>
      <c r="AU547" s="49"/>
      <c r="AV547" s="49"/>
      <c r="AW547" s="49"/>
      <c r="AX547" s="49"/>
    </row>
    <row r="548">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c r="AF548" s="49"/>
      <c r="AG548" s="49"/>
      <c r="AH548" s="49"/>
      <c r="AI548" s="49"/>
      <c r="AJ548" s="49"/>
      <c r="AK548" s="49"/>
      <c r="AL548" s="49"/>
      <c r="AM548" s="49"/>
      <c r="AN548" s="49"/>
      <c r="AO548" s="49"/>
      <c r="AP548" s="49"/>
      <c r="AQ548" s="49"/>
      <c r="AR548" s="49"/>
      <c r="AS548" s="49"/>
      <c r="AT548" s="49"/>
      <c r="AU548" s="49"/>
      <c r="AV548" s="49"/>
      <c r="AW548" s="49"/>
      <c r="AX548" s="49"/>
    </row>
    <row r="549">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c r="AF549" s="49"/>
      <c r="AG549" s="49"/>
      <c r="AH549" s="49"/>
      <c r="AI549" s="49"/>
      <c r="AJ549" s="49"/>
      <c r="AK549" s="49"/>
      <c r="AL549" s="49"/>
      <c r="AM549" s="49"/>
      <c r="AN549" s="49"/>
      <c r="AO549" s="49"/>
      <c r="AP549" s="49"/>
      <c r="AQ549" s="49"/>
      <c r="AR549" s="49"/>
      <c r="AS549" s="49"/>
      <c r="AT549" s="49"/>
      <c r="AU549" s="49"/>
      <c r="AV549" s="49"/>
      <c r="AW549" s="49"/>
      <c r="AX549" s="49"/>
    </row>
    <row r="550">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c r="AF550" s="49"/>
      <c r="AG550" s="49"/>
      <c r="AH550" s="49"/>
      <c r="AI550" s="49"/>
      <c r="AJ550" s="49"/>
      <c r="AK550" s="49"/>
      <c r="AL550" s="49"/>
      <c r="AM550" s="49"/>
      <c r="AN550" s="49"/>
      <c r="AO550" s="49"/>
      <c r="AP550" s="49"/>
      <c r="AQ550" s="49"/>
      <c r="AR550" s="49"/>
      <c r="AS550" s="49"/>
      <c r="AT550" s="49"/>
      <c r="AU550" s="49"/>
      <c r="AV550" s="49"/>
      <c r="AW550" s="49"/>
      <c r="AX550" s="49"/>
    </row>
    <row r="551">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c r="AF551" s="49"/>
      <c r="AG551" s="49"/>
      <c r="AH551" s="49"/>
      <c r="AI551" s="49"/>
      <c r="AJ551" s="49"/>
      <c r="AK551" s="49"/>
      <c r="AL551" s="49"/>
      <c r="AM551" s="49"/>
      <c r="AN551" s="49"/>
      <c r="AO551" s="49"/>
      <c r="AP551" s="49"/>
      <c r="AQ551" s="49"/>
      <c r="AR551" s="49"/>
      <c r="AS551" s="49"/>
      <c r="AT551" s="49"/>
      <c r="AU551" s="49"/>
      <c r="AV551" s="49"/>
      <c r="AW551" s="49"/>
      <c r="AX551" s="49"/>
    </row>
    <row r="552">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c r="AF552" s="49"/>
      <c r="AG552" s="49"/>
      <c r="AH552" s="49"/>
      <c r="AI552" s="49"/>
      <c r="AJ552" s="49"/>
      <c r="AK552" s="49"/>
      <c r="AL552" s="49"/>
      <c r="AM552" s="49"/>
      <c r="AN552" s="49"/>
      <c r="AO552" s="49"/>
      <c r="AP552" s="49"/>
      <c r="AQ552" s="49"/>
      <c r="AR552" s="49"/>
      <c r="AS552" s="49"/>
      <c r="AT552" s="49"/>
      <c r="AU552" s="49"/>
      <c r="AV552" s="49"/>
      <c r="AW552" s="49"/>
      <c r="AX552" s="49"/>
    </row>
    <row r="553">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c r="AF553" s="49"/>
      <c r="AG553" s="49"/>
      <c r="AH553" s="49"/>
      <c r="AI553" s="49"/>
      <c r="AJ553" s="49"/>
      <c r="AK553" s="49"/>
      <c r="AL553" s="49"/>
      <c r="AM553" s="49"/>
      <c r="AN553" s="49"/>
      <c r="AO553" s="49"/>
      <c r="AP553" s="49"/>
      <c r="AQ553" s="49"/>
      <c r="AR553" s="49"/>
      <c r="AS553" s="49"/>
      <c r="AT553" s="49"/>
      <c r="AU553" s="49"/>
      <c r="AV553" s="49"/>
      <c r="AW553" s="49"/>
      <c r="AX553" s="49"/>
    </row>
    <row r="554">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c r="AF554" s="49"/>
      <c r="AG554" s="49"/>
      <c r="AH554" s="49"/>
      <c r="AI554" s="49"/>
      <c r="AJ554" s="49"/>
      <c r="AK554" s="49"/>
      <c r="AL554" s="49"/>
      <c r="AM554" s="49"/>
      <c r="AN554" s="49"/>
      <c r="AO554" s="49"/>
      <c r="AP554" s="49"/>
      <c r="AQ554" s="49"/>
      <c r="AR554" s="49"/>
      <c r="AS554" s="49"/>
      <c r="AT554" s="49"/>
      <c r="AU554" s="49"/>
      <c r="AV554" s="49"/>
      <c r="AW554" s="49"/>
      <c r="AX554" s="49"/>
    </row>
    <row r="55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c r="AF555" s="49"/>
      <c r="AG555" s="49"/>
      <c r="AH555" s="49"/>
      <c r="AI555" s="49"/>
      <c r="AJ555" s="49"/>
      <c r="AK555" s="49"/>
      <c r="AL555" s="49"/>
      <c r="AM555" s="49"/>
      <c r="AN555" s="49"/>
      <c r="AO555" s="49"/>
      <c r="AP555" s="49"/>
      <c r="AQ555" s="49"/>
      <c r="AR555" s="49"/>
      <c r="AS555" s="49"/>
      <c r="AT555" s="49"/>
      <c r="AU555" s="49"/>
      <c r="AV555" s="49"/>
      <c r="AW555" s="49"/>
      <c r="AX555" s="49"/>
    </row>
    <row r="556">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c r="AF556" s="49"/>
      <c r="AG556" s="49"/>
      <c r="AH556" s="49"/>
      <c r="AI556" s="49"/>
      <c r="AJ556" s="49"/>
      <c r="AK556" s="49"/>
      <c r="AL556" s="49"/>
      <c r="AM556" s="49"/>
      <c r="AN556" s="49"/>
      <c r="AO556" s="49"/>
      <c r="AP556" s="49"/>
      <c r="AQ556" s="49"/>
      <c r="AR556" s="49"/>
      <c r="AS556" s="49"/>
      <c r="AT556" s="49"/>
      <c r="AU556" s="49"/>
      <c r="AV556" s="49"/>
      <c r="AW556" s="49"/>
      <c r="AX556" s="49"/>
    </row>
    <row r="557">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c r="AF557" s="49"/>
      <c r="AG557" s="49"/>
      <c r="AH557" s="49"/>
      <c r="AI557" s="49"/>
      <c r="AJ557" s="49"/>
      <c r="AK557" s="49"/>
      <c r="AL557" s="49"/>
      <c r="AM557" s="49"/>
      <c r="AN557" s="49"/>
      <c r="AO557" s="49"/>
      <c r="AP557" s="49"/>
      <c r="AQ557" s="49"/>
      <c r="AR557" s="49"/>
      <c r="AS557" s="49"/>
      <c r="AT557" s="49"/>
      <c r="AU557" s="49"/>
      <c r="AV557" s="49"/>
      <c r="AW557" s="49"/>
      <c r="AX557" s="49"/>
    </row>
    <row r="558">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c r="AF558" s="49"/>
      <c r="AG558" s="49"/>
      <c r="AH558" s="49"/>
      <c r="AI558" s="49"/>
      <c r="AJ558" s="49"/>
      <c r="AK558" s="49"/>
      <c r="AL558" s="49"/>
      <c r="AM558" s="49"/>
      <c r="AN558" s="49"/>
      <c r="AO558" s="49"/>
      <c r="AP558" s="49"/>
      <c r="AQ558" s="49"/>
      <c r="AR558" s="49"/>
      <c r="AS558" s="49"/>
      <c r="AT558" s="49"/>
      <c r="AU558" s="49"/>
      <c r="AV558" s="49"/>
      <c r="AW558" s="49"/>
      <c r="AX558" s="49"/>
    </row>
    <row r="559">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c r="AF559" s="49"/>
      <c r="AG559" s="49"/>
      <c r="AH559" s="49"/>
      <c r="AI559" s="49"/>
      <c r="AJ559" s="49"/>
      <c r="AK559" s="49"/>
      <c r="AL559" s="49"/>
      <c r="AM559" s="49"/>
      <c r="AN559" s="49"/>
      <c r="AO559" s="49"/>
      <c r="AP559" s="49"/>
      <c r="AQ559" s="49"/>
      <c r="AR559" s="49"/>
      <c r="AS559" s="49"/>
      <c r="AT559" s="49"/>
      <c r="AU559" s="49"/>
      <c r="AV559" s="49"/>
      <c r="AW559" s="49"/>
      <c r="AX559" s="49"/>
    </row>
    <row r="560">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c r="AF560" s="49"/>
      <c r="AG560" s="49"/>
      <c r="AH560" s="49"/>
      <c r="AI560" s="49"/>
      <c r="AJ560" s="49"/>
      <c r="AK560" s="49"/>
      <c r="AL560" s="49"/>
      <c r="AM560" s="49"/>
      <c r="AN560" s="49"/>
      <c r="AO560" s="49"/>
      <c r="AP560" s="49"/>
      <c r="AQ560" s="49"/>
      <c r="AR560" s="49"/>
      <c r="AS560" s="49"/>
      <c r="AT560" s="49"/>
      <c r="AU560" s="49"/>
      <c r="AV560" s="49"/>
      <c r="AW560" s="49"/>
      <c r="AX560" s="49"/>
    </row>
    <row r="561">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c r="AF561" s="49"/>
      <c r="AG561" s="49"/>
      <c r="AH561" s="49"/>
      <c r="AI561" s="49"/>
      <c r="AJ561" s="49"/>
      <c r="AK561" s="49"/>
      <c r="AL561" s="49"/>
      <c r="AM561" s="49"/>
      <c r="AN561" s="49"/>
      <c r="AO561" s="49"/>
      <c r="AP561" s="49"/>
      <c r="AQ561" s="49"/>
      <c r="AR561" s="49"/>
      <c r="AS561" s="49"/>
      <c r="AT561" s="49"/>
      <c r="AU561" s="49"/>
      <c r="AV561" s="49"/>
      <c r="AW561" s="49"/>
      <c r="AX561" s="49"/>
    </row>
    <row r="562">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c r="AF562" s="49"/>
      <c r="AG562" s="49"/>
      <c r="AH562" s="49"/>
      <c r="AI562" s="49"/>
      <c r="AJ562" s="49"/>
      <c r="AK562" s="49"/>
      <c r="AL562" s="49"/>
      <c r="AM562" s="49"/>
      <c r="AN562" s="49"/>
      <c r="AO562" s="49"/>
      <c r="AP562" s="49"/>
      <c r="AQ562" s="49"/>
      <c r="AR562" s="49"/>
      <c r="AS562" s="49"/>
      <c r="AT562" s="49"/>
      <c r="AU562" s="49"/>
      <c r="AV562" s="49"/>
      <c r="AW562" s="49"/>
      <c r="AX562" s="49"/>
    </row>
    <row r="563">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c r="AF563" s="49"/>
      <c r="AG563" s="49"/>
      <c r="AH563" s="49"/>
      <c r="AI563" s="49"/>
      <c r="AJ563" s="49"/>
      <c r="AK563" s="49"/>
      <c r="AL563" s="49"/>
      <c r="AM563" s="49"/>
      <c r="AN563" s="49"/>
      <c r="AO563" s="49"/>
      <c r="AP563" s="49"/>
      <c r="AQ563" s="49"/>
      <c r="AR563" s="49"/>
      <c r="AS563" s="49"/>
      <c r="AT563" s="49"/>
      <c r="AU563" s="49"/>
      <c r="AV563" s="49"/>
      <c r="AW563" s="49"/>
      <c r="AX563" s="49"/>
    </row>
    <row r="564">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c r="AF564" s="49"/>
      <c r="AG564" s="49"/>
      <c r="AH564" s="49"/>
      <c r="AI564" s="49"/>
      <c r="AJ564" s="49"/>
      <c r="AK564" s="49"/>
      <c r="AL564" s="49"/>
      <c r="AM564" s="49"/>
      <c r="AN564" s="49"/>
      <c r="AO564" s="49"/>
      <c r="AP564" s="49"/>
      <c r="AQ564" s="49"/>
      <c r="AR564" s="49"/>
      <c r="AS564" s="49"/>
      <c r="AT564" s="49"/>
      <c r="AU564" s="49"/>
      <c r="AV564" s="49"/>
      <c r="AW564" s="49"/>
      <c r="AX564" s="49"/>
    </row>
    <row r="56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c r="AF565" s="49"/>
      <c r="AG565" s="49"/>
      <c r="AH565" s="49"/>
      <c r="AI565" s="49"/>
      <c r="AJ565" s="49"/>
      <c r="AK565" s="49"/>
      <c r="AL565" s="49"/>
      <c r="AM565" s="49"/>
      <c r="AN565" s="49"/>
      <c r="AO565" s="49"/>
      <c r="AP565" s="49"/>
      <c r="AQ565" s="49"/>
      <c r="AR565" s="49"/>
      <c r="AS565" s="49"/>
      <c r="AT565" s="49"/>
      <c r="AU565" s="49"/>
      <c r="AV565" s="49"/>
      <c r="AW565" s="49"/>
      <c r="AX565" s="49"/>
    </row>
    <row r="566">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c r="AF566" s="49"/>
      <c r="AG566" s="49"/>
      <c r="AH566" s="49"/>
      <c r="AI566" s="49"/>
      <c r="AJ566" s="49"/>
      <c r="AK566" s="49"/>
      <c r="AL566" s="49"/>
      <c r="AM566" s="49"/>
      <c r="AN566" s="49"/>
      <c r="AO566" s="49"/>
      <c r="AP566" s="49"/>
      <c r="AQ566" s="49"/>
      <c r="AR566" s="49"/>
      <c r="AS566" s="49"/>
      <c r="AT566" s="49"/>
      <c r="AU566" s="49"/>
      <c r="AV566" s="49"/>
      <c r="AW566" s="49"/>
      <c r="AX566" s="49"/>
    </row>
    <row r="567">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c r="AF567" s="49"/>
      <c r="AG567" s="49"/>
      <c r="AH567" s="49"/>
      <c r="AI567" s="49"/>
      <c r="AJ567" s="49"/>
      <c r="AK567" s="49"/>
      <c r="AL567" s="49"/>
      <c r="AM567" s="49"/>
      <c r="AN567" s="49"/>
      <c r="AO567" s="49"/>
      <c r="AP567" s="49"/>
      <c r="AQ567" s="49"/>
      <c r="AR567" s="49"/>
      <c r="AS567" s="49"/>
      <c r="AT567" s="49"/>
      <c r="AU567" s="49"/>
      <c r="AV567" s="49"/>
      <c r="AW567" s="49"/>
      <c r="AX567" s="49"/>
    </row>
    <row r="568">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c r="AF568" s="49"/>
      <c r="AG568" s="49"/>
      <c r="AH568" s="49"/>
      <c r="AI568" s="49"/>
      <c r="AJ568" s="49"/>
      <c r="AK568" s="49"/>
      <c r="AL568" s="49"/>
      <c r="AM568" s="49"/>
      <c r="AN568" s="49"/>
      <c r="AO568" s="49"/>
      <c r="AP568" s="49"/>
      <c r="AQ568" s="49"/>
      <c r="AR568" s="49"/>
      <c r="AS568" s="49"/>
      <c r="AT568" s="49"/>
      <c r="AU568" s="49"/>
      <c r="AV568" s="49"/>
      <c r="AW568" s="49"/>
      <c r="AX568" s="49"/>
    </row>
    <row r="569">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c r="AF569" s="49"/>
      <c r="AG569" s="49"/>
      <c r="AH569" s="49"/>
      <c r="AI569" s="49"/>
      <c r="AJ569" s="49"/>
      <c r="AK569" s="49"/>
      <c r="AL569" s="49"/>
      <c r="AM569" s="49"/>
      <c r="AN569" s="49"/>
      <c r="AO569" s="49"/>
      <c r="AP569" s="49"/>
      <c r="AQ569" s="49"/>
      <c r="AR569" s="49"/>
      <c r="AS569" s="49"/>
      <c r="AT569" s="49"/>
      <c r="AU569" s="49"/>
      <c r="AV569" s="49"/>
      <c r="AW569" s="49"/>
      <c r="AX569" s="49"/>
    </row>
    <row r="570">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c r="AF570" s="49"/>
      <c r="AG570" s="49"/>
      <c r="AH570" s="49"/>
      <c r="AI570" s="49"/>
      <c r="AJ570" s="49"/>
      <c r="AK570" s="49"/>
      <c r="AL570" s="49"/>
      <c r="AM570" s="49"/>
      <c r="AN570" s="49"/>
      <c r="AO570" s="49"/>
      <c r="AP570" s="49"/>
      <c r="AQ570" s="49"/>
      <c r="AR570" s="49"/>
      <c r="AS570" s="49"/>
      <c r="AT570" s="49"/>
      <c r="AU570" s="49"/>
      <c r="AV570" s="49"/>
      <c r="AW570" s="49"/>
      <c r="AX570" s="49"/>
    </row>
    <row r="571">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c r="AF571" s="49"/>
      <c r="AG571" s="49"/>
      <c r="AH571" s="49"/>
      <c r="AI571" s="49"/>
      <c r="AJ571" s="49"/>
      <c r="AK571" s="49"/>
      <c r="AL571" s="49"/>
      <c r="AM571" s="49"/>
      <c r="AN571" s="49"/>
      <c r="AO571" s="49"/>
      <c r="AP571" s="49"/>
      <c r="AQ571" s="49"/>
      <c r="AR571" s="49"/>
      <c r="AS571" s="49"/>
      <c r="AT571" s="49"/>
      <c r="AU571" s="49"/>
      <c r="AV571" s="49"/>
      <c r="AW571" s="49"/>
      <c r="AX571" s="49"/>
    </row>
    <row r="572">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c r="AF572" s="49"/>
      <c r="AG572" s="49"/>
      <c r="AH572" s="49"/>
      <c r="AI572" s="49"/>
      <c r="AJ572" s="49"/>
      <c r="AK572" s="49"/>
      <c r="AL572" s="49"/>
      <c r="AM572" s="49"/>
      <c r="AN572" s="49"/>
      <c r="AO572" s="49"/>
      <c r="AP572" s="49"/>
      <c r="AQ572" s="49"/>
      <c r="AR572" s="49"/>
      <c r="AS572" s="49"/>
      <c r="AT572" s="49"/>
      <c r="AU572" s="49"/>
      <c r="AV572" s="49"/>
      <c r="AW572" s="49"/>
      <c r="AX572" s="49"/>
    </row>
    <row r="573">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c r="AF573" s="49"/>
      <c r="AG573" s="49"/>
      <c r="AH573" s="49"/>
      <c r="AI573" s="49"/>
      <c r="AJ573" s="49"/>
      <c r="AK573" s="49"/>
      <c r="AL573" s="49"/>
      <c r="AM573" s="49"/>
      <c r="AN573" s="49"/>
      <c r="AO573" s="49"/>
      <c r="AP573" s="49"/>
      <c r="AQ573" s="49"/>
      <c r="AR573" s="49"/>
      <c r="AS573" s="49"/>
      <c r="AT573" s="49"/>
      <c r="AU573" s="49"/>
      <c r="AV573" s="49"/>
      <c r="AW573" s="49"/>
      <c r="AX573" s="49"/>
    </row>
    <row r="574">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c r="AF574" s="49"/>
      <c r="AG574" s="49"/>
      <c r="AH574" s="49"/>
      <c r="AI574" s="49"/>
      <c r="AJ574" s="49"/>
      <c r="AK574" s="49"/>
      <c r="AL574" s="49"/>
      <c r="AM574" s="49"/>
      <c r="AN574" s="49"/>
      <c r="AO574" s="49"/>
      <c r="AP574" s="49"/>
      <c r="AQ574" s="49"/>
      <c r="AR574" s="49"/>
      <c r="AS574" s="49"/>
      <c r="AT574" s="49"/>
      <c r="AU574" s="49"/>
      <c r="AV574" s="49"/>
      <c r="AW574" s="49"/>
      <c r="AX574" s="49"/>
    </row>
    <row r="57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c r="AF575" s="49"/>
      <c r="AG575" s="49"/>
      <c r="AH575" s="49"/>
      <c r="AI575" s="49"/>
      <c r="AJ575" s="49"/>
      <c r="AK575" s="49"/>
      <c r="AL575" s="49"/>
      <c r="AM575" s="49"/>
      <c r="AN575" s="49"/>
      <c r="AO575" s="49"/>
      <c r="AP575" s="49"/>
      <c r="AQ575" s="49"/>
      <c r="AR575" s="49"/>
      <c r="AS575" s="49"/>
      <c r="AT575" s="49"/>
      <c r="AU575" s="49"/>
      <c r="AV575" s="49"/>
      <c r="AW575" s="49"/>
      <c r="AX575" s="49"/>
    </row>
    <row r="576">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c r="AF576" s="49"/>
      <c r="AG576" s="49"/>
      <c r="AH576" s="49"/>
      <c r="AI576" s="49"/>
      <c r="AJ576" s="49"/>
      <c r="AK576" s="49"/>
      <c r="AL576" s="49"/>
      <c r="AM576" s="49"/>
      <c r="AN576" s="49"/>
      <c r="AO576" s="49"/>
      <c r="AP576" s="49"/>
      <c r="AQ576" s="49"/>
      <c r="AR576" s="49"/>
      <c r="AS576" s="49"/>
      <c r="AT576" s="49"/>
      <c r="AU576" s="49"/>
      <c r="AV576" s="49"/>
      <c r="AW576" s="49"/>
      <c r="AX576" s="49"/>
    </row>
    <row r="577">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c r="AF577" s="49"/>
      <c r="AG577" s="49"/>
      <c r="AH577" s="49"/>
      <c r="AI577" s="49"/>
      <c r="AJ577" s="49"/>
      <c r="AK577" s="49"/>
      <c r="AL577" s="49"/>
      <c r="AM577" s="49"/>
      <c r="AN577" s="49"/>
      <c r="AO577" s="49"/>
      <c r="AP577" s="49"/>
      <c r="AQ577" s="49"/>
      <c r="AR577" s="49"/>
      <c r="AS577" s="49"/>
      <c r="AT577" s="49"/>
      <c r="AU577" s="49"/>
      <c r="AV577" s="49"/>
      <c r="AW577" s="49"/>
      <c r="AX577" s="49"/>
    </row>
    <row r="578">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c r="AF578" s="49"/>
      <c r="AG578" s="49"/>
      <c r="AH578" s="49"/>
      <c r="AI578" s="49"/>
      <c r="AJ578" s="49"/>
      <c r="AK578" s="49"/>
      <c r="AL578" s="49"/>
      <c r="AM578" s="49"/>
      <c r="AN578" s="49"/>
      <c r="AO578" s="49"/>
      <c r="AP578" s="49"/>
      <c r="AQ578" s="49"/>
      <c r="AR578" s="49"/>
      <c r="AS578" s="49"/>
      <c r="AT578" s="49"/>
      <c r="AU578" s="49"/>
      <c r="AV578" s="49"/>
      <c r="AW578" s="49"/>
      <c r="AX578" s="49"/>
    </row>
    <row r="579">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c r="AF579" s="49"/>
      <c r="AG579" s="49"/>
      <c r="AH579" s="49"/>
      <c r="AI579" s="49"/>
      <c r="AJ579" s="49"/>
      <c r="AK579" s="49"/>
      <c r="AL579" s="49"/>
      <c r="AM579" s="49"/>
      <c r="AN579" s="49"/>
      <c r="AO579" s="49"/>
      <c r="AP579" s="49"/>
      <c r="AQ579" s="49"/>
      <c r="AR579" s="49"/>
      <c r="AS579" s="49"/>
      <c r="AT579" s="49"/>
      <c r="AU579" s="49"/>
      <c r="AV579" s="49"/>
      <c r="AW579" s="49"/>
      <c r="AX579" s="49"/>
    </row>
    <row r="580">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c r="AF580" s="49"/>
      <c r="AG580" s="49"/>
      <c r="AH580" s="49"/>
      <c r="AI580" s="49"/>
      <c r="AJ580" s="49"/>
      <c r="AK580" s="49"/>
      <c r="AL580" s="49"/>
      <c r="AM580" s="49"/>
      <c r="AN580" s="49"/>
      <c r="AO580" s="49"/>
      <c r="AP580" s="49"/>
      <c r="AQ580" s="49"/>
      <c r="AR580" s="49"/>
      <c r="AS580" s="49"/>
      <c r="AT580" s="49"/>
      <c r="AU580" s="49"/>
      <c r="AV580" s="49"/>
      <c r="AW580" s="49"/>
      <c r="AX580" s="49"/>
    </row>
    <row r="581">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c r="AF581" s="49"/>
      <c r="AG581" s="49"/>
      <c r="AH581" s="49"/>
      <c r="AI581" s="49"/>
      <c r="AJ581" s="49"/>
      <c r="AK581" s="49"/>
      <c r="AL581" s="49"/>
      <c r="AM581" s="49"/>
      <c r="AN581" s="49"/>
      <c r="AO581" s="49"/>
      <c r="AP581" s="49"/>
      <c r="AQ581" s="49"/>
      <c r="AR581" s="49"/>
      <c r="AS581" s="49"/>
      <c r="AT581" s="49"/>
      <c r="AU581" s="49"/>
      <c r="AV581" s="49"/>
      <c r="AW581" s="49"/>
      <c r="AX581" s="49"/>
    </row>
    <row r="582">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c r="AF582" s="49"/>
      <c r="AG582" s="49"/>
      <c r="AH582" s="49"/>
      <c r="AI582" s="49"/>
      <c r="AJ582" s="49"/>
      <c r="AK582" s="49"/>
      <c r="AL582" s="49"/>
      <c r="AM582" s="49"/>
      <c r="AN582" s="49"/>
      <c r="AO582" s="49"/>
      <c r="AP582" s="49"/>
      <c r="AQ582" s="49"/>
      <c r="AR582" s="49"/>
      <c r="AS582" s="49"/>
      <c r="AT582" s="49"/>
      <c r="AU582" s="49"/>
      <c r="AV582" s="49"/>
      <c r="AW582" s="49"/>
      <c r="AX582" s="49"/>
    </row>
    <row r="583">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c r="AF583" s="49"/>
      <c r="AG583" s="49"/>
      <c r="AH583" s="49"/>
      <c r="AI583" s="49"/>
      <c r="AJ583" s="49"/>
      <c r="AK583" s="49"/>
      <c r="AL583" s="49"/>
      <c r="AM583" s="49"/>
      <c r="AN583" s="49"/>
      <c r="AO583" s="49"/>
      <c r="AP583" s="49"/>
      <c r="AQ583" s="49"/>
      <c r="AR583" s="49"/>
      <c r="AS583" s="49"/>
      <c r="AT583" s="49"/>
      <c r="AU583" s="49"/>
      <c r="AV583" s="49"/>
      <c r="AW583" s="49"/>
      <c r="AX583" s="49"/>
    </row>
    <row r="584">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c r="AF584" s="49"/>
      <c r="AG584" s="49"/>
      <c r="AH584" s="49"/>
      <c r="AI584" s="49"/>
      <c r="AJ584" s="49"/>
      <c r="AK584" s="49"/>
      <c r="AL584" s="49"/>
      <c r="AM584" s="49"/>
      <c r="AN584" s="49"/>
      <c r="AO584" s="49"/>
      <c r="AP584" s="49"/>
      <c r="AQ584" s="49"/>
      <c r="AR584" s="49"/>
      <c r="AS584" s="49"/>
      <c r="AT584" s="49"/>
      <c r="AU584" s="49"/>
      <c r="AV584" s="49"/>
      <c r="AW584" s="49"/>
      <c r="AX584" s="49"/>
    </row>
    <row r="58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c r="AF585" s="49"/>
      <c r="AG585" s="49"/>
      <c r="AH585" s="49"/>
      <c r="AI585" s="49"/>
      <c r="AJ585" s="49"/>
      <c r="AK585" s="49"/>
      <c r="AL585" s="49"/>
      <c r="AM585" s="49"/>
      <c r="AN585" s="49"/>
      <c r="AO585" s="49"/>
      <c r="AP585" s="49"/>
      <c r="AQ585" s="49"/>
      <c r="AR585" s="49"/>
      <c r="AS585" s="49"/>
      <c r="AT585" s="49"/>
      <c r="AU585" s="49"/>
      <c r="AV585" s="49"/>
      <c r="AW585" s="49"/>
      <c r="AX585" s="49"/>
    </row>
    <row r="586">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c r="AF586" s="49"/>
      <c r="AG586" s="49"/>
      <c r="AH586" s="49"/>
      <c r="AI586" s="49"/>
      <c r="AJ586" s="49"/>
      <c r="AK586" s="49"/>
      <c r="AL586" s="49"/>
      <c r="AM586" s="49"/>
      <c r="AN586" s="49"/>
      <c r="AO586" s="49"/>
      <c r="AP586" s="49"/>
      <c r="AQ586" s="49"/>
      <c r="AR586" s="49"/>
      <c r="AS586" s="49"/>
      <c r="AT586" s="49"/>
      <c r="AU586" s="49"/>
      <c r="AV586" s="49"/>
      <c r="AW586" s="49"/>
      <c r="AX586" s="49"/>
    </row>
    <row r="587">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c r="AF587" s="49"/>
      <c r="AG587" s="49"/>
      <c r="AH587" s="49"/>
      <c r="AI587" s="49"/>
      <c r="AJ587" s="49"/>
      <c r="AK587" s="49"/>
      <c r="AL587" s="49"/>
      <c r="AM587" s="49"/>
      <c r="AN587" s="49"/>
      <c r="AO587" s="49"/>
      <c r="AP587" s="49"/>
      <c r="AQ587" s="49"/>
      <c r="AR587" s="49"/>
      <c r="AS587" s="49"/>
      <c r="AT587" s="49"/>
      <c r="AU587" s="49"/>
      <c r="AV587" s="49"/>
      <c r="AW587" s="49"/>
      <c r="AX587" s="49"/>
    </row>
    <row r="588">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c r="AF588" s="49"/>
      <c r="AG588" s="49"/>
      <c r="AH588" s="49"/>
      <c r="AI588" s="49"/>
      <c r="AJ588" s="49"/>
      <c r="AK588" s="49"/>
      <c r="AL588" s="49"/>
      <c r="AM588" s="49"/>
      <c r="AN588" s="49"/>
      <c r="AO588" s="49"/>
      <c r="AP588" s="49"/>
      <c r="AQ588" s="49"/>
      <c r="AR588" s="49"/>
      <c r="AS588" s="49"/>
      <c r="AT588" s="49"/>
      <c r="AU588" s="49"/>
      <c r="AV588" s="49"/>
      <c r="AW588" s="49"/>
      <c r="AX588" s="49"/>
    </row>
    <row r="589">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c r="AF589" s="49"/>
      <c r="AG589" s="49"/>
      <c r="AH589" s="49"/>
      <c r="AI589" s="49"/>
      <c r="AJ589" s="49"/>
      <c r="AK589" s="49"/>
      <c r="AL589" s="49"/>
      <c r="AM589" s="49"/>
      <c r="AN589" s="49"/>
      <c r="AO589" s="49"/>
      <c r="AP589" s="49"/>
      <c r="AQ589" s="49"/>
      <c r="AR589" s="49"/>
      <c r="AS589" s="49"/>
      <c r="AT589" s="49"/>
      <c r="AU589" s="49"/>
      <c r="AV589" s="49"/>
      <c r="AW589" s="49"/>
      <c r="AX589" s="49"/>
    </row>
    <row r="590">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c r="AF590" s="49"/>
      <c r="AG590" s="49"/>
      <c r="AH590" s="49"/>
      <c r="AI590" s="49"/>
      <c r="AJ590" s="49"/>
      <c r="AK590" s="49"/>
      <c r="AL590" s="49"/>
      <c r="AM590" s="49"/>
      <c r="AN590" s="49"/>
      <c r="AO590" s="49"/>
      <c r="AP590" s="49"/>
      <c r="AQ590" s="49"/>
      <c r="AR590" s="49"/>
      <c r="AS590" s="49"/>
      <c r="AT590" s="49"/>
      <c r="AU590" s="49"/>
      <c r="AV590" s="49"/>
      <c r="AW590" s="49"/>
      <c r="AX590" s="49"/>
    </row>
    <row r="591">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c r="AF591" s="49"/>
      <c r="AG591" s="49"/>
      <c r="AH591" s="49"/>
      <c r="AI591" s="49"/>
      <c r="AJ591" s="49"/>
      <c r="AK591" s="49"/>
      <c r="AL591" s="49"/>
      <c r="AM591" s="49"/>
      <c r="AN591" s="49"/>
      <c r="AO591" s="49"/>
      <c r="AP591" s="49"/>
      <c r="AQ591" s="49"/>
      <c r="AR591" s="49"/>
      <c r="AS591" s="49"/>
      <c r="AT591" s="49"/>
      <c r="AU591" s="49"/>
      <c r="AV591" s="49"/>
      <c r="AW591" s="49"/>
      <c r="AX591" s="49"/>
    </row>
    <row r="592">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c r="AF592" s="49"/>
      <c r="AG592" s="49"/>
      <c r="AH592" s="49"/>
      <c r="AI592" s="49"/>
      <c r="AJ592" s="49"/>
      <c r="AK592" s="49"/>
      <c r="AL592" s="49"/>
      <c r="AM592" s="49"/>
      <c r="AN592" s="49"/>
      <c r="AO592" s="49"/>
      <c r="AP592" s="49"/>
      <c r="AQ592" s="49"/>
      <c r="AR592" s="49"/>
      <c r="AS592" s="49"/>
      <c r="AT592" s="49"/>
      <c r="AU592" s="49"/>
      <c r="AV592" s="49"/>
      <c r="AW592" s="49"/>
      <c r="AX592" s="49"/>
    </row>
    <row r="593">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c r="AF593" s="49"/>
      <c r="AG593" s="49"/>
      <c r="AH593" s="49"/>
      <c r="AI593" s="49"/>
      <c r="AJ593" s="49"/>
      <c r="AK593" s="49"/>
      <c r="AL593" s="49"/>
      <c r="AM593" s="49"/>
      <c r="AN593" s="49"/>
      <c r="AO593" s="49"/>
      <c r="AP593" s="49"/>
      <c r="AQ593" s="49"/>
      <c r="AR593" s="49"/>
      <c r="AS593" s="49"/>
      <c r="AT593" s="49"/>
      <c r="AU593" s="49"/>
      <c r="AV593" s="49"/>
      <c r="AW593" s="49"/>
      <c r="AX593" s="49"/>
    </row>
    <row r="594">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c r="AF594" s="49"/>
      <c r="AG594" s="49"/>
      <c r="AH594" s="49"/>
      <c r="AI594" s="49"/>
      <c r="AJ594" s="49"/>
      <c r="AK594" s="49"/>
      <c r="AL594" s="49"/>
      <c r="AM594" s="49"/>
      <c r="AN594" s="49"/>
      <c r="AO594" s="49"/>
      <c r="AP594" s="49"/>
      <c r="AQ594" s="49"/>
      <c r="AR594" s="49"/>
      <c r="AS594" s="49"/>
      <c r="AT594" s="49"/>
      <c r="AU594" s="49"/>
      <c r="AV594" s="49"/>
      <c r="AW594" s="49"/>
      <c r="AX594" s="49"/>
    </row>
    <row r="59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c r="AF595" s="49"/>
      <c r="AG595" s="49"/>
      <c r="AH595" s="49"/>
      <c r="AI595" s="49"/>
      <c r="AJ595" s="49"/>
      <c r="AK595" s="49"/>
      <c r="AL595" s="49"/>
      <c r="AM595" s="49"/>
      <c r="AN595" s="49"/>
      <c r="AO595" s="49"/>
      <c r="AP595" s="49"/>
      <c r="AQ595" s="49"/>
      <c r="AR595" s="49"/>
      <c r="AS595" s="49"/>
      <c r="AT595" s="49"/>
      <c r="AU595" s="49"/>
      <c r="AV595" s="49"/>
      <c r="AW595" s="49"/>
      <c r="AX595" s="49"/>
    </row>
    <row r="596">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c r="AF596" s="49"/>
      <c r="AG596" s="49"/>
      <c r="AH596" s="49"/>
      <c r="AI596" s="49"/>
      <c r="AJ596" s="49"/>
      <c r="AK596" s="49"/>
      <c r="AL596" s="49"/>
      <c r="AM596" s="49"/>
      <c r="AN596" s="49"/>
      <c r="AO596" s="49"/>
      <c r="AP596" s="49"/>
      <c r="AQ596" s="49"/>
      <c r="AR596" s="49"/>
      <c r="AS596" s="49"/>
      <c r="AT596" s="49"/>
      <c r="AU596" s="49"/>
      <c r="AV596" s="49"/>
      <c r="AW596" s="49"/>
      <c r="AX596" s="49"/>
    </row>
    <row r="597">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c r="AF597" s="49"/>
      <c r="AG597" s="49"/>
      <c r="AH597" s="49"/>
      <c r="AI597" s="49"/>
      <c r="AJ597" s="49"/>
      <c r="AK597" s="49"/>
      <c r="AL597" s="49"/>
      <c r="AM597" s="49"/>
      <c r="AN597" s="49"/>
      <c r="AO597" s="49"/>
      <c r="AP597" s="49"/>
      <c r="AQ597" s="49"/>
      <c r="AR597" s="49"/>
      <c r="AS597" s="49"/>
      <c r="AT597" s="49"/>
      <c r="AU597" s="49"/>
      <c r="AV597" s="49"/>
      <c r="AW597" s="49"/>
      <c r="AX597" s="49"/>
    </row>
    <row r="598">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c r="AF598" s="49"/>
      <c r="AG598" s="49"/>
      <c r="AH598" s="49"/>
      <c r="AI598" s="49"/>
      <c r="AJ598" s="49"/>
      <c r="AK598" s="49"/>
      <c r="AL598" s="49"/>
      <c r="AM598" s="49"/>
      <c r="AN598" s="49"/>
      <c r="AO598" s="49"/>
      <c r="AP598" s="49"/>
      <c r="AQ598" s="49"/>
      <c r="AR598" s="49"/>
      <c r="AS598" s="49"/>
      <c r="AT598" s="49"/>
      <c r="AU598" s="49"/>
      <c r="AV598" s="49"/>
      <c r="AW598" s="49"/>
      <c r="AX598" s="49"/>
    </row>
    <row r="599">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c r="AF599" s="49"/>
      <c r="AG599" s="49"/>
      <c r="AH599" s="49"/>
      <c r="AI599" s="49"/>
      <c r="AJ599" s="49"/>
      <c r="AK599" s="49"/>
      <c r="AL599" s="49"/>
      <c r="AM599" s="49"/>
      <c r="AN599" s="49"/>
      <c r="AO599" s="49"/>
      <c r="AP599" s="49"/>
      <c r="AQ599" s="49"/>
      <c r="AR599" s="49"/>
      <c r="AS599" s="49"/>
      <c r="AT599" s="49"/>
      <c r="AU599" s="49"/>
      <c r="AV599" s="49"/>
      <c r="AW599" s="49"/>
      <c r="AX599" s="49"/>
    </row>
    <row r="600">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c r="AF600" s="49"/>
      <c r="AG600" s="49"/>
      <c r="AH600" s="49"/>
      <c r="AI600" s="49"/>
      <c r="AJ600" s="49"/>
      <c r="AK600" s="49"/>
      <c r="AL600" s="49"/>
      <c r="AM600" s="49"/>
      <c r="AN600" s="49"/>
      <c r="AO600" s="49"/>
      <c r="AP600" s="49"/>
      <c r="AQ600" s="49"/>
      <c r="AR600" s="49"/>
      <c r="AS600" s="49"/>
      <c r="AT600" s="49"/>
      <c r="AU600" s="49"/>
      <c r="AV600" s="49"/>
      <c r="AW600" s="49"/>
      <c r="AX600" s="49"/>
    </row>
    <row r="601">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c r="AF601" s="49"/>
      <c r="AG601" s="49"/>
      <c r="AH601" s="49"/>
      <c r="AI601" s="49"/>
      <c r="AJ601" s="49"/>
      <c r="AK601" s="49"/>
      <c r="AL601" s="49"/>
      <c r="AM601" s="49"/>
      <c r="AN601" s="49"/>
      <c r="AO601" s="49"/>
      <c r="AP601" s="49"/>
      <c r="AQ601" s="49"/>
      <c r="AR601" s="49"/>
      <c r="AS601" s="49"/>
      <c r="AT601" s="49"/>
      <c r="AU601" s="49"/>
      <c r="AV601" s="49"/>
      <c r="AW601" s="49"/>
      <c r="AX601" s="49"/>
    </row>
    <row r="602">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c r="AF602" s="49"/>
      <c r="AG602" s="49"/>
      <c r="AH602" s="49"/>
      <c r="AI602" s="49"/>
      <c r="AJ602" s="49"/>
      <c r="AK602" s="49"/>
      <c r="AL602" s="49"/>
      <c r="AM602" s="49"/>
      <c r="AN602" s="49"/>
      <c r="AO602" s="49"/>
      <c r="AP602" s="49"/>
      <c r="AQ602" s="49"/>
      <c r="AR602" s="49"/>
      <c r="AS602" s="49"/>
      <c r="AT602" s="49"/>
      <c r="AU602" s="49"/>
      <c r="AV602" s="49"/>
      <c r="AW602" s="49"/>
      <c r="AX602" s="49"/>
    </row>
    <row r="603">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c r="AF603" s="49"/>
      <c r="AG603" s="49"/>
      <c r="AH603" s="49"/>
      <c r="AI603" s="49"/>
      <c r="AJ603" s="49"/>
      <c r="AK603" s="49"/>
      <c r="AL603" s="49"/>
      <c r="AM603" s="49"/>
      <c r="AN603" s="49"/>
      <c r="AO603" s="49"/>
      <c r="AP603" s="49"/>
      <c r="AQ603" s="49"/>
      <c r="AR603" s="49"/>
      <c r="AS603" s="49"/>
      <c r="AT603" s="49"/>
      <c r="AU603" s="49"/>
      <c r="AV603" s="49"/>
      <c r="AW603" s="49"/>
      <c r="AX603" s="49"/>
    </row>
    <row r="604">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c r="AF604" s="49"/>
      <c r="AG604" s="49"/>
      <c r="AH604" s="49"/>
      <c r="AI604" s="49"/>
      <c r="AJ604" s="49"/>
      <c r="AK604" s="49"/>
      <c r="AL604" s="49"/>
      <c r="AM604" s="49"/>
      <c r="AN604" s="49"/>
      <c r="AO604" s="49"/>
      <c r="AP604" s="49"/>
      <c r="AQ604" s="49"/>
      <c r="AR604" s="49"/>
      <c r="AS604" s="49"/>
      <c r="AT604" s="49"/>
      <c r="AU604" s="49"/>
      <c r="AV604" s="49"/>
      <c r="AW604" s="49"/>
      <c r="AX604" s="49"/>
    </row>
    <row r="60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c r="AF605" s="49"/>
      <c r="AG605" s="49"/>
      <c r="AH605" s="49"/>
      <c r="AI605" s="49"/>
      <c r="AJ605" s="49"/>
      <c r="AK605" s="49"/>
      <c r="AL605" s="49"/>
      <c r="AM605" s="49"/>
      <c r="AN605" s="49"/>
      <c r="AO605" s="49"/>
      <c r="AP605" s="49"/>
      <c r="AQ605" s="49"/>
      <c r="AR605" s="49"/>
      <c r="AS605" s="49"/>
      <c r="AT605" s="49"/>
      <c r="AU605" s="49"/>
      <c r="AV605" s="49"/>
      <c r="AW605" s="49"/>
      <c r="AX605" s="49"/>
    </row>
    <row r="606">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c r="AF606" s="49"/>
      <c r="AG606" s="49"/>
      <c r="AH606" s="49"/>
      <c r="AI606" s="49"/>
      <c r="AJ606" s="49"/>
      <c r="AK606" s="49"/>
      <c r="AL606" s="49"/>
      <c r="AM606" s="49"/>
      <c r="AN606" s="49"/>
      <c r="AO606" s="49"/>
      <c r="AP606" s="49"/>
      <c r="AQ606" s="49"/>
      <c r="AR606" s="49"/>
      <c r="AS606" s="49"/>
      <c r="AT606" s="49"/>
      <c r="AU606" s="49"/>
      <c r="AV606" s="49"/>
      <c r="AW606" s="49"/>
      <c r="AX606" s="49"/>
    </row>
    <row r="607">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c r="AF607" s="49"/>
      <c r="AG607" s="49"/>
      <c r="AH607" s="49"/>
      <c r="AI607" s="49"/>
      <c r="AJ607" s="49"/>
      <c r="AK607" s="49"/>
      <c r="AL607" s="49"/>
      <c r="AM607" s="49"/>
      <c r="AN607" s="49"/>
      <c r="AO607" s="49"/>
      <c r="AP607" s="49"/>
      <c r="AQ607" s="49"/>
      <c r="AR607" s="49"/>
      <c r="AS607" s="49"/>
      <c r="AT607" s="49"/>
      <c r="AU607" s="49"/>
      <c r="AV607" s="49"/>
      <c r="AW607" s="49"/>
      <c r="AX607" s="49"/>
    </row>
    <row r="608">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c r="AF608" s="49"/>
      <c r="AG608" s="49"/>
      <c r="AH608" s="49"/>
      <c r="AI608" s="49"/>
      <c r="AJ608" s="49"/>
      <c r="AK608" s="49"/>
      <c r="AL608" s="49"/>
      <c r="AM608" s="49"/>
      <c r="AN608" s="49"/>
      <c r="AO608" s="49"/>
      <c r="AP608" s="49"/>
      <c r="AQ608" s="49"/>
      <c r="AR608" s="49"/>
      <c r="AS608" s="49"/>
      <c r="AT608" s="49"/>
      <c r="AU608" s="49"/>
      <c r="AV608" s="49"/>
      <c r="AW608" s="49"/>
      <c r="AX608" s="49"/>
    </row>
    <row r="609">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c r="AF609" s="49"/>
      <c r="AG609" s="49"/>
      <c r="AH609" s="49"/>
      <c r="AI609" s="49"/>
      <c r="AJ609" s="49"/>
      <c r="AK609" s="49"/>
      <c r="AL609" s="49"/>
      <c r="AM609" s="49"/>
      <c r="AN609" s="49"/>
      <c r="AO609" s="49"/>
      <c r="AP609" s="49"/>
      <c r="AQ609" s="49"/>
      <c r="AR609" s="49"/>
      <c r="AS609" s="49"/>
      <c r="AT609" s="49"/>
      <c r="AU609" s="49"/>
      <c r="AV609" s="49"/>
      <c r="AW609" s="49"/>
      <c r="AX609" s="49"/>
    </row>
    <row r="610">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c r="AF610" s="49"/>
      <c r="AG610" s="49"/>
      <c r="AH610" s="49"/>
      <c r="AI610" s="49"/>
      <c r="AJ610" s="49"/>
      <c r="AK610" s="49"/>
      <c r="AL610" s="49"/>
      <c r="AM610" s="49"/>
      <c r="AN610" s="49"/>
      <c r="AO610" s="49"/>
      <c r="AP610" s="49"/>
      <c r="AQ610" s="49"/>
      <c r="AR610" s="49"/>
      <c r="AS610" s="49"/>
      <c r="AT610" s="49"/>
      <c r="AU610" s="49"/>
      <c r="AV610" s="49"/>
      <c r="AW610" s="49"/>
      <c r="AX610" s="49"/>
    </row>
    <row r="611">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c r="AF611" s="49"/>
      <c r="AG611" s="49"/>
      <c r="AH611" s="49"/>
      <c r="AI611" s="49"/>
      <c r="AJ611" s="49"/>
      <c r="AK611" s="49"/>
      <c r="AL611" s="49"/>
      <c r="AM611" s="49"/>
      <c r="AN611" s="49"/>
      <c r="AO611" s="49"/>
      <c r="AP611" s="49"/>
      <c r="AQ611" s="49"/>
      <c r="AR611" s="49"/>
      <c r="AS611" s="49"/>
      <c r="AT611" s="49"/>
      <c r="AU611" s="49"/>
      <c r="AV611" s="49"/>
      <c r="AW611" s="49"/>
      <c r="AX611" s="49"/>
    </row>
    <row r="612">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c r="AF612" s="49"/>
      <c r="AG612" s="49"/>
      <c r="AH612" s="49"/>
      <c r="AI612" s="49"/>
      <c r="AJ612" s="49"/>
      <c r="AK612" s="49"/>
      <c r="AL612" s="49"/>
      <c r="AM612" s="49"/>
      <c r="AN612" s="49"/>
      <c r="AO612" s="49"/>
      <c r="AP612" s="49"/>
      <c r="AQ612" s="49"/>
      <c r="AR612" s="49"/>
      <c r="AS612" s="49"/>
      <c r="AT612" s="49"/>
      <c r="AU612" s="49"/>
      <c r="AV612" s="49"/>
      <c r="AW612" s="49"/>
      <c r="AX612" s="49"/>
    </row>
    <row r="613">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c r="AF613" s="49"/>
      <c r="AG613" s="49"/>
      <c r="AH613" s="49"/>
      <c r="AI613" s="49"/>
      <c r="AJ613" s="49"/>
      <c r="AK613" s="49"/>
      <c r="AL613" s="49"/>
      <c r="AM613" s="49"/>
      <c r="AN613" s="49"/>
      <c r="AO613" s="49"/>
      <c r="AP613" s="49"/>
      <c r="AQ613" s="49"/>
      <c r="AR613" s="49"/>
      <c r="AS613" s="49"/>
      <c r="AT613" s="49"/>
      <c r="AU613" s="49"/>
      <c r="AV613" s="49"/>
      <c r="AW613" s="49"/>
      <c r="AX613" s="49"/>
    </row>
    <row r="614">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c r="AF614" s="49"/>
      <c r="AG614" s="49"/>
      <c r="AH614" s="49"/>
      <c r="AI614" s="49"/>
      <c r="AJ614" s="49"/>
      <c r="AK614" s="49"/>
      <c r="AL614" s="49"/>
      <c r="AM614" s="49"/>
      <c r="AN614" s="49"/>
      <c r="AO614" s="49"/>
      <c r="AP614" s="49"/>
      <c r="AQ614" s="49"/>
      <c r="AR614" s="49"/>
      <c r="AS614" s="49"/>
      <c r="AT614" s="49"/>
      <c r="AU614" s="49"/>
      <c r="AV614" s="49"/>
      <c r="AW614" s="49"/>
      <c r="AX614" s="49"/>
    </row>
    <row r="61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c r="AF615" s="49"/>
      <c r="AG615" s="49"/>
      <c r="AH615" s="49"/>
      <c r="AI615" s="49"/>
      <c r="AJ615" s="49"/>
      <c r="AK615" s="49"/>
      <c r="AL615" s="49"/>
      <c r="AM615" s="49"/>
      <c r="AN615" s="49"/>
      <c r="AO615" s="49"/>
      <c r="AP615" s="49"/>
      <c r="AQ615" s="49"/>
      <c r="AR615" s="49"/>
      <c r="AS615" s="49"/>
      <c r="AT615" s="49"/>
      <c r="AU615" s="49"/>
      <c r="AV615" s="49"/>
      <c r="AW615" s="49"/>
      <c r="AX615" s="49"/>
    </row>
    <row r="616">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c r="AF616" s="49"/>
      <c r="AG616" s="49"/>
      <c r="AH616" s="49"/>
      <c r="AI616" s="49"/>
      <c r="AJ616" s="49"/>
      <c r="AK616" s="49"/>
      <c r="AL616" s="49"/>
      <c r="AM616" s="49"/>
      <c r="AN616" s="49"/>
      <c r="AO616" s="49"/>
      <c r="AP616" s="49"/>
      <c r="AQ616" s="49"/>
      <c r="AR616" s="49"/>
      <c r="AS616" s="49"/>
      <c r="AT616" s="49"/>
      <c r="AU616" s="49"/>
      <c r="AV616" s="49"/>
      <c r="AW616" s="49"/>
      <c r="AX616" s="49"/>
    </row>
    <row r="617">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c r="AF617" s="49"/>
      <c r="AG617" s="49"/>
      <c r="AH617" s="49"/>
      <c r="AI617" s="49"/>
      <c r="AJ617" s="49"/>
      <c r="AK617" s="49"/>
      <c r="AL617" s="49"/>
      <c r="AM617" s="49"/>
      <c r="AN617" s="49"/>
      <c r="AO617" s="49"/>
      <c r="AP617" s="49"/>
      <c r="AQ617" s="49"/>
      <c r="AR617" s="49"/>
      <c r="AS617" s="49"/>
      <c r="AT617" s="49"/>
      <c r="AU617" s="49"/>
      <c r="AV617" s="49"/>
      <c r="AW617" s="49"/>
      <c r="AX617" s="49"/>
    </row>
    <row r="618">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c r="AF618" s="49"/>
      <c r="AG618" s="49"/>
      <c r="AH618" s="49"/>
      <c r="AI618" s="49"/>
      <c r="AJ618" s="49"/>
      <c r="AK618" s="49"/>
      <c r="AL618" s="49"/>
      <c r="AM618" s="49"/>
      <c r="AN618" s="49"/>
      <c r="AO618" s="49"/>
      <c r="AP618" s="49"/>
      <c r="AQ618" s="49"/>
      <c r="AR618" s="49"/>
      <c r="AS618" s="49"/>
      <c r="AT618" s="49"/>
      <c r="AU618" s="49"/>
      <c r="AV618" s="49"/>
      <c r="AW618" s="49"/>
      <c r="AX618" s="49"/>
    </row>
    <row r="619">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c r="AF619" s="49"/>
      <c r="AG619" s="49"/>
      <c r="AH619" s="49"/>
      <c r="AI619" s="49"/>
      <c r="AJ619" s="49"/>
      <c r="AK619" s="49"/>
      <c r="AL619" s="49"/>
      <c r="AM619" s="49"/>
      <c r="AN619" s="49"/>
      <c r="AO619" s="49"/>
      <c r="AP619" s="49"/>
      <c r="AQ619" s="49"/>
      <c r="AR619" s="49"/>
      <c r="AS619" s="49"/>
      <c r="AT619" s="49"/>
      <c r="AU619" s="49"/>
      <c r="AV619" s="49"/>
      <c r="AW619" s="49"/>
      <c r="AX619" s="49"/>
    </row>
    <row r="620">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c r="AF620" s="49"/>
      <c r="AG620" s="49"/>
      <c r="AH620" s="49"/>
      <c r="AI620" s="49"/>
      <c r="AJ620" s="49"/>
      <c r="AK620" s="49"/>
      <c r="AL620" s="49"/>
      <c r="AM620" s="49"/>
      <c r="AN620" s="49"/>
      <c r="AO620" s="49"/>
      <c r="AP620" s="49"/>
      <c r="AQ620" s="49"/>
      <c r="AR620" s="49"/>
      <c r="AS620" s="49"/>
      <c r="AT620" s="49"/>
      <c r="AU620" s="49"/>
      <c r="AV620" s="49"/>
      <c r="AW620" s="49"/>
      <c r="AX620" s="49"/>
    </row>
    <row r="621">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c r="AF621" s="49"/>
      <c r="AG621" s="49"/>
      <c r="AH621" s="49"/>
      <c r="AI621" s="49"/>
      <c r="AJ621" s="49"/>
      <c r="AK621" s="49"/>
      <c r="AL621" s="49"/>
      <c r="AM621" s="49"/>
      <c r="AN621" s="49"/>
      <c r="AO621" s="49"/>
      <c r="AP621" s="49"/>
      <c r="AQ621" s="49"/>
      <c r="AR621" s="49"/>
      <c r="AS621" s="49"/>
      <c r="AT621" s="49"/>
      <c r="AU621" s="49"/>
      <c r="AV621" s="49"/>
      <c r="AW621" s="49"/>
      <c r="AX621" s="49"/>
    </row>
    <row r="622">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c r="AF622" s="49"/>
      <c r="AG622" s="49"/>
      <c r="AH622" s="49"/>
      <c r="AI622" s="49"/>
      <c r="AJ622" s="49"/>
      <c r="AK622" s="49"/>
      <c r="AL622" s="49"/>
      <c r="AM622" s="49"/>
      <c r="AN622" s="49"/>
      <c r="AO622" s="49"/>
      <c r="AP622" s="49"/>
      <c r="AQ622" s="49"/>
      <c r="AR622" s="49"/>
      <c r="AS622" s="49"/>
      <c r="AT622" s="49"/>
      <c r="AU622" s="49"/>
      <c r="AV622" s="49"/>
      <c r="AW622" s="49"/>
      <c r="AX622" s="49"/>
    </row>
    <row r="623">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c r="AF623" s="49"/>
      <c r="AG623" s="49"/>
      <c r="AH623" s="49"/>
      <c r="AI623" s="49"/>
      <c r="AJ623" s="49"/>
      <c r="AK623" s="49"/>
      <c r="AL623" s="49"/>
      <c r="AM623" s="49"/>
      <c r="AN623" s="49"/>
      <c r="AO623" s="49"/>
      <c r="AP623" s="49"/>
      <c r="AQ623" s="49"/>
      <c r="AR623" s="49"/>
      <c r="AS623" s="49"/>
      <c r="AT623" s="49"/>
      <c r="AU623" s="49"/>
      <c r="AV623" s="49"/>
      <c r="AW623" s="49"/>
      <c r="AX623" s="49"/>
    </row>
    <row r="624">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c r="AF624" s="49"/>
      <c r="AG624" s="49"/>
      <c r="AH624" s="49"/>
      <c r="AI624" s="49"/>
      <c r="AJ624" s="49"/>
      <c r="AK624" s="49"/>
      <c r="AL624" s="49"/>
      <c r="AM624" s="49"/>
      <c r="AN624" s="49"/>
      <c r="AO624" s="49"/>
      <c r="AP624" s="49"/>
      <c r="AQ624" s="49"/>
      <c r="AR624" s="49"/>
      <c r="AS624" s="49"/>
      <c r="AT624" s="49"/>
      <c r="AU624" s="49"/>
      <c r="AV624" s="49"/>
      <c r="AW624" s="49"/>
      <c r="AX624" s="49"/>
    </row>
    <row r="6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c r="AF625" s="49"/>
      <c r="AG625" s="49"/>
      <c r="AH625" s="49"/>
      <c r="AI625" s="49"/>
      <c r="AJ625" s="49"/>
      <c r="AK625" s="49"/>
      <c r="AL625" s="49"/>
      <c r="AM625" s="49"/>
      <c r="AN625" s="49"/>
      <c r="AO625" s="49"/>
      <c r="AP625" s="49"/>
      <c r="AQ625" s="49"/>
      <c r="AR625" s="49"/>
      <c r="AS625" s="49"/>
      <c r="AT625" s="49"/>
      <c r="AU625" s="49"/>
      <c r="AV625" s="49"/>
      <c r="AW625" s="49"/>
      <c r="AX625" s="49"/>
    </row>
    <row r="626">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c r="AF626" s="49"/>
      <c r="AG626" s="49"/>
      <c r="AH626" s="49"/>
      <c r="AI626" s="49"/>
      <c r="AJ626" s="49"/>
      <c r="AK626" s="49"/>
      <c r="AL626" s="49"/>
      <c r="AM626" s="49"/>
      <c r="AN626" s="49"/>
      <c r="AO626" s="49"/>
      <c r="AP626" s="49"/>
      <c r="AQ626" s="49"/>
      <c r="AR626" s="49"/>
      <c r="AS626" s="49"/>
      <c r="AT626" s="49"/>
      <c r="AU626" s="49"/>
      <c r="AV626" s="49"/>
      <c r="AW626" s="49"/>
      <c r="AX626" s="49"/>
    </row>
    <row r="627">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c r="AF627" s="49"/>
      <c r="AG627" s="49"/>
      <c r="AH627" s="49"/>
      <c r="AI627" s="49"/>
      <c r="AJ627" s="49"/>
      <c r="AK627" s="49"/>
      <c r="AL627" s="49"/>
      <c r="AM627" s="49"/>
      <c r="AN627" s="49"/>
      <c r="AO627" s="49"/>
      <c r="AP627" s="49"/>
      <c r="AQ627" s="49"/>
      <c r="AR627" s="49"/>
      <c r="AS627" s="49"/>
      <c r="AT627" s="49"/>
      <c r="AU627" s="49"/>
      <c r="AV627" s="49"/>
      <c r="AW627" s="49"/>
      <c r="AX627" s="49"/>
    </row>
    <row r="628">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c r="AF628" s="49"/>
      <c r="AG628" s="49"/>
      <c r="AH628" s="49"/>
      <c r="AI628" s="49"/>
      <c r="AJ628" s="49"/>
      <c r="AK628" s="49"/>
      <c r="AL628" s="49"/>
      <c r="AM628" s="49"/>
      <c r="AN628" s="49"/>
      <c r="AO628" s="49"/>
      <c r="AP628" s="49"/>
      <c r="AQ628" s="49"/>
      <c r="AR628" s="49"/>
      <c r="AS628" s="49"/>
      <c r="AT628" s="49"/>
      <c r="AU628" s="49"/>
      <c r="AV628" s="49"/>
      <c r="AW628" s="49"/>
      <c r="AX628" s="49"/>
    </row>
    <row r="629">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c r="AF629" s="49"/>
      <c r="AG629" s="49"/>
      <c r="AH629" s="49"/>
      <c r="AI629" s="49"/>
      <c r="AJ629" s="49"/>
      <c r="AK629" s="49"/>
      <c r="AL629" s="49"/>
      <c r="AM629" s="49"/>
      <c r="AN629" s="49"/>
      <c r="AO629" s="49"/>
      <c r="AP629" s="49"/>
      <c r="AQ629" s="49"/>
      <c r="AR629" s="49"/>
      <c r="AS629" s="49"/>
      <c r="AT629" s="49"/>
      <c r="AU629" s="49"/>
      <c r="AV629" s="49"/>
      <c r="AW629" s="49"/>
      <c r="AX629" s="49"/>
    </row>
    <row r="630">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c r="AF630" s="49"/>
      <c r="AG630" s="49"/>
      <c r="AH630" s="49"/>
      <c r="AI630" s="49"/>
      <c r="AJ630" s="49"/>
      <c r="AK630" s="49"/>
      <c r="AL630" s="49"/>
      <c r="AM630" s="49"/>
      <c r="AN630" s="49"/>
      <c r="AO630" s="49"/>
      <c r="AP630" s="49"/>
      <c r="AQ630" s="49"/>
      <c r="AR630" s="49"/>
      <c r="AS630" s="49"/>
      <c r="AT630" s="49"/>
      <c r="AU630" s="49"/>
      <c r="AV630" s="49"/>
      <c r="AW630" s="49"/>
      <c r="AX630" s="49"/>
    </row>
    <row r="631">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c r="AF631" s="49"/>
      <c r="AG631" s="49"/>
      <c r="AH631" s="49"/>
      <c r="AI631" s="49"/>
      <c r="AJ631" s="49"/>
      <c r="AK631" s="49"/>
      <c r="AL631" s="49"/>
      <c r="AM631" s="49"/>
      <c r="AN631" s="49"/>
      <c r="AO631" s="49"/>
      <c r="AP631" s="49"/>
      <c r="AQ631" s="49"/>
      <c r="AR631" s="49"/>
      <c r="AS631" s="49"/>
      <c r="AT631" s="49"/>
      <c r="AU631" s="49"/>
      <c r="AV631" s="49"/>
      <c r="AW631" s="49"/>
      <c r="AX631" s="49"/>
    </row>
    <row r="632">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c r="AF632" s="49"/>
      <c r="AG632" s="49"/>
      <c r="AH632" s="49"/>
      <c r="AI632" s="49"/>
      <c r="AJ632" s="49"/>
      <c r="AK632" s="49"/>
      <c r="AL632" s="49"/>
      <c r="AM632" s="49"/>
      <c r="AN632" s="49"/>
      <c r="AO632" s="49"/>
      <c r="AP632" s="49"/>
      <c r="AQ632" s="49"/>
      <c r="AR632" s="49"/>
      <c r="AS632" s="49"/>
      <c r="AT632" s="49"/>
      <c r="AU632" s="49"/>
      <c r="AV632" s="49"/>
      <c r="AW632" s="49"/>
      <c r="AX632" s="49"/>
    </row>
    <row r="633">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c r="AF633" s="49"/>
      <c r="AG633" s="49"/>
      <c r="AH633" s="49"/>
      <c r="AI633" s="49"/>
      <c r="AJ633" s="49"/>
      <c r="AK633" s="49"/>
      <c r="AL633" s="49"/>
      <c r="AM633" s="49"/>
      <c r="AN633" s="49"/>
      <c r="AO633" s="49"/>
      <c r="AP633" s="49"/>
      <c r="AQ633" s="49"/>
      <c r="AR633" s="49"/>
      <c r="AS633" s="49"/>
      <c r="AT633" s="49"/>
      <c r="AU633" s="49"/>
      <c r="AV633" s="49"/>
      <c r="AW633" s="49"/>
      <c r="AX633" s="49"/>
    </row>
    <row r="634">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c r="AF634" s="49"/>
      <c r="AG634" s="49"/>
      <c r="AH634" s="49"/>
      <c r="AI634" s="49"/>
      <c r="AJ634" s="49"/>
      <c r="AK634" s="49"/>
      <c r="AL634" s="49"/>
      <c r="AM634" s="49"/>
      <c r="AN634" s="49"/>
      <c r="AO634" s="49"/>
      <c r="AP634" s="49"/>
      <c r="AQ634" s="49"/>
      <c r="AR634" s="49"/>
      <c r="AS634" s="49"/>
      <c r="AT634" s="49"/>
      <c r="AU634" s="49"/>
      <c r="AV634" s="49"/>
      <c r="AW634" s="49"/>
      <c r="AX634" s="49"/>
    </row>
    <row r="6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c r="AF635" s="49"/>
      <c r="AG635" s="49"/>
      <c r="AH635" s="49"/>
      <c r="AI635" s="49"/>
      <c r="AJ635" s="49"/>
      <c r="AK635" s="49"/>
      <c r="AL635" s="49"/>
      <c r="AM635" s="49"/>
      <c r="AN635" s="49"/>
      <c r="AO635" s="49"/>
      <c r="AP635" s="49"/>
      <c r="AQ635" s="49"/>
      <c r="AR635" s="49"/>
      <c r="AS635" s="49"/>
      <c r="AT635" s="49"/>
      <c r="AU635" s="49"/>
      <c r="AV635" s="49"/>
      <c r="AW635" s="49"/>
      <c r="AX635" s="49"/>
    </row>
    <row r="636">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c r="AF636" s="49"/>
      <c r="AG636" s="49"/>
      <c r="AH636" s="49"/>
      <c r="AI636" s="49"/>
      <c r="AJ636" s="49"/>
      <c r="AK636" s="49"/>
      <c r="AL636" s="49"/>
      <c r="AM636" s="49"/>
      <c r="AN636" s="49"/>
      <c r="AO636" s="49"/>
      <c r="AP636" s="49"/>
      <c r="AQ636" s="49"/>
      <c r="AR636" s="49"/>
      <c r="AS636" s="49"/>
      <c r="AT636" s="49"/>
      <c r="AU636" s="49"/>
      <c r="AV636" s="49"/>
      <c r="AW636" s="49"/>
      <c r="AX636" s="49"/>
    </row>
    <row r="637">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c r="AF637" s="49"/>
      <c r="AG637" s="49"/>
      <c r="AH637" s="49"/>
      <c r="AI637" s="49"/>
      <c r="AJ637" s="49"/>
      <c r="AK637" s="49"/>
      <c r="AL637" s="49"/>
      <c r="AM637" s="49"/>
      <c r="AN637" s="49"/>
      <c r="AO637" s="49"/>
      <c r="AP637" s="49"/>
      <c r="AQ637" s="49"/>
      <c r="AR637" s="49"/>
      <c r="AS637" s="49"/>
      <c r="AT637" s="49"/>
      <c r="AU637" s="49"/>
      <c r="AV637" s="49"/>
      <c r="AW637" s="49"/>
      <c r="AX637" s="49"/>
    </row>
    <row r="638">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c r="AF638" s="49"/>
      <c r="AG638" s="49"/>
      <c r="AH638" s="49"/>
      <c r="AI638" s="49"/>
      <c r="AJ638" s="49"/>
      <c r="AK638" s="49"/>
      <c r="AL638" s="49"/>
      <c r="AM638" s="49"/>
      <c r="AN638" s="49"/>
      <c r="AO638" s="49"/>
      <c r="AP638" s="49"/>
      <c r="AQ638" s="49"/>
      <c r="AR638" s="49"/>
      <c r="AS638" s="49"/>
      <c r="AT638" s="49"/>
      <c r="AU638" s="49"/>
      <c r="AV638" s="49"/>
      <c r="AW638" s="49"/>
      <c r="AX638" s="49"/>
    </row>
    <row r="639">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c r="AF639" s="49"/>
      <c r="AG639" s="49"/>
      <c r="AH639" s="49"/>
      <c r="AI639" s="49"/>
      <c r="AJ639" s="49"/>
      <c r="AK639" s="49"/>
      <c r="AL639" s="49"/>
      <c r="AM639" s="49"/>
      <c r="AN639" s="49"/>
      <c r="AO639" s="49"/>
      <c r="AP639" s="49"/>
      <c r="AQ639" s="49"/>
      <c r="AR639" s="49"/>
      <c r="AS639" s="49"/>
      <c r="AT639" s="49"/>
      <c r="AU639" s="49"/>
      <c r="AV639" s="49"/>
      <c r="AW639" s="49"/>
      <c r="AX639" s="49"/>
    </row>
    <row r="640">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c r="AF640" s="49"/>
      <c r="AG640" s="49"/>
      <c r="AH640" s="49"/>
      <c r="AI640" s="49"/>
      <c r="AJ640" s="49"/>
      <c r="AK640" s="49"/>
      <c r="AL640" s="49"/>
      <c r="AM640" s="49"/>
      <c r="AN640" s="49"/>
      <c r="AO640" s="49"/>
      <c r="AP640" s="49"/>
      <c r="AQ640" s="49"/>
      <c r="AR640" s="49"/>
      <c r="AS640" s="49"/>
      <c r="AT640" s="49"/>
      <c r="AU640" s="49"/>
      <c r="AV640" s="49"/>
      <c r="AW640" s="49"/>
      <c r="AX640" s="49"/>
    </row>
    <row r="641">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c r="AF641" s="49"/>
      <c r="AG641" s="49"/>
      <c r="AH641" s="49"/>
      <c r="AI641" s="49"/>
      <c r="AJ641" s="49"/>
      <c r="AK641" s="49"/>
      <c r="AL641" s="49"/>
      <c r="AM641" s="49"/>
      <c r="AN641" s="49"/>
      <c r="AO641" s="49"/>
      <c r="AP641" s="49"/>
      <c r="AQ641" s="49"/>
      <c r="AR641" s="49"/>
      <c r="AS641" s="49"/>
      <c r="AT641" s="49"/>
      <c r="AU641" s="49"/>
      <c r="AV641" s="49"/>
      <c r="AW641" s="49"/>
      <c r="AX641" s="49"/>
    </row>
    <row r="642">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c r="AF642" s="49"/>
      <c r="AG642" s="49"/>
      <c r="AH642" s="49"/>
      <c r="AI642" s="49"/>
      <c r="AJ642" s="49"/>
      <c r="AK642" s="49"/>
      <c r="AL642" s="49"/>
      <c r="AM642" s="49"/>
      <c r="AN642" s="49"/>
      <c r="AO642" s="49"/>
      <c r="AP642" s="49"/>
      <c r="AQ642" s="49"/>
      <c r="AR642" s="49"/>
      <c r="AS642" s="49"/>
      <c r="AT642" s="49"/>
      <c r="AU642" s="49"/>
      <c r="AV642" s="49"/>
      <c r="AW642" s="49"/>
      <c r="AX642" s="49"/>
    </row>
    <row r="643">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c r="AF643" s="49"/>
      <c r="AG643" s="49"/>
      <c r="AH643" s="49"/>
      <c r="AI643" s="49"/>
      <c r="AJ643" s="49"/>
      <c r="AK643" s="49"/>
      <c r="AL643" s="49"/>
      <c r="AM643" s="49"/>
      <c r="AN643" s="49"/>
      <c r="AO643" s="49"/>
      <c r="AP643" s="49"/>
      <c r="AQ643" s="49"/>
      <c r="AR643" s="49"/>
      <c r="AS643" s="49"/>
      <c r="AT643" s="49"/>
      <c r="AU643" s="49"/>
      <c r="AV643" s="49"/>
      <c r="AW643" s="49"/>
      <c r="AX643" s="49"/>
    </row>
    <row r="644">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c r="AF644" s="49"/>
      <c r="AG644" s="49"/>
      <c r="AH644" s="49"/>
      <c r="AI644" s="49"/>
      <c r="AJ644" s="49"/>
      <c r="AK644" s="49"/>
      <c r="AL644" s="49"/>
      <c r="AM644" s="49"/>
      <c r="AN644" s="49"/>
      <c r="AO644" s="49"/>
      <c r="AP644" s="49"/>
      <c r="AQ644" s="49"/>
      <c r="AR644" s="49"/>
      <c r="AS644" s="49"/>
      <c r="AT644" s="49"/>
      <c r="AU644" s="49"/>
      <c r="AV644" s="49"/>
      <c r="AW644" s="49"/>
      <c r="AX644" s="49"/>
    </row>
    <row r="64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c r="AF645" s="49"/>
      <c r="AG645" s="49"/>
      <c r="AH645" s="49"/>
      <c r="AI645" s="49"/>
      <c r="AJ645" s="49"/>
      <c r="AK645" s="49"/>
      <c r="AL645" s="49"/>
      <c r="AM645" s="49"/>
      <c r="AN645" s="49"/>
      <c r="AO645" s="49"/>
      <c r="AP645" s="49"/>
      <c r="AQ645" s="49"/>
      <c r="AR645" s="49"/>
      <c r="AS645" s="49"/>
      <c r="AT645" s="49"/>
      <c r="AU645" s="49"/>
      <c r="AV645" s="49"/>
      <c r="AW645" s="49"/>
      <c r="AX645" s="49"/>
    </row>
    <row r="646">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c r="AF646" s="49"/>
      <c r="AG646" s="49"/>
      <c r="AH646" s="49"/>
      <c r="AI646" s="49"/>
      <c r="AJ646" s="49"/>
      <c r="AK646" s="49"/>
      <c r="AL646" s="49"/>
      <c r="AM646" s="49"/>
      <c r="AN646" s="49"/>
      <c r="AO646" s="49"/>
      <c r="AP646" s="49"/>
      <c r="AQ646" s="49"/>
      <c r="AR646" s="49"/>
      <c r="AS646" s="49"/>
      <c r="AT646" s="49"/>
      <c r="AU646" s="49"/>
      <c r="AV646" s="49"/>
      <c r="AW646" s="49"/>
      <c r="AX646" s="49"/>
    </row>
    <row r="647">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c r="AF647" s="49"/>
      <c r="AG647" s="49"/>
      <c r="AH647" s="49"/>
      <c r="AI647" s="49"/>
      <c r="AJ647" s="49"/>
      <c r="AK647" s="49"/>
      <c r="AL647" s="49"/>
      <c r="AM647" s="49"/>
      <c r="AN647" s="49"/>
      <c r="AO647" s="49"/>
      <c r="AP647" s="49"/>
      <c r="AQ647" s="49"/>
      <c r="AR647" s="49"/>
      <c r="AS647" s="49"/>
      <c r="AT647" s="49"/>
      <c r="AU647" s="49"/>
      <c r="AV647" s="49"/>
      <c r="AW647" s="49"/>
      <c r="AX647" s="49"/>
    </row>
    <row r="648">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c r="AF648" s="49"/>
      <c r="AG648" s="49"/>
      <c r="AH648" s="49"/>
      <c r="AI648" s="49"/>
      <c r="AJ648" s="49"/>
      <c r="AK648" s="49"/>
      <c r="AL648" s="49"/>
      <c r="AM648" s="49"/>
      <c r="AN648" s="49"/>
      <c r="AO648" s="49"/>
      <c r="AP648" s="49"/>
      <c r="AQ648" s="49"/>
      <c r="AR648" s="49"/>
      <c r="AS648" s="49"/>
      <c r="AT648" s="49"/>
      <c r="AU648" s="49"/>
      <c r="AV648" s="49"/>
      <c r="AW648" s="49"/>
      <c r="AX648" s="49"/>
    </row>
    <row r="649">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c r="AF649" s="49"/>
      <c r="AG649" s="49"/>
      <c r="AH649" s="49"/>
      <c r="AI649" s="49"/>
      <c r="AJ649" s="49"/>
      <c r="AK649" s="49"/>
      <c r="AL649" s="49"/>
      <c r="AM649" s="49"/>
      <c r="AN649" s="49"/>
      <c r="AO649" s="49"/>
      <c r="AP649" s="49"/>
      <c r="AQ649" s="49"/>
      <c r="AR649" s="49"/>
      <c r="AS649" s="49"/>
      <c r="AT649" s="49"/>
      <c r="AU649" s="49"/>
      <c r="AV649" s="49"/>
      <c r="AW649" s="49"/>
      <c r="AX649" s="49"/>
    </row>
    <row r="650">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c r="AF650" s="49"/>
      <c r="AG650" s="49"/>
      <c r="AH650" s="49"/>
      <c r="AI650" s="49"/>
      <c r="AJ650" s="49"/>
      <c r="AK650" s="49"/>
      <c r="AL650" s="49"/>
      <c r="AM650" s="49"/>
      <c r="AN650" s="49"/>
      <c r="AO650" s="49"/>
      <c r="AP650" s="49"/>
      <c r="AQ650" s="49"/>
      <c r="AR650" s="49"/>
      <c r="AS650" s="49"/>
      <c r="AT650" s="49"/>
      <c r="AU650" s="49"/>
      <c r="AV650" s="49"/>
      <c r="AW650" s="49"/>
      <c r="AX650" s="49"/>
    </row>
    <row r="651">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c r="AF651" s="49"/>
      <c r="AG651" s="49"/>
      <c r="AH651" s="49"/>
      <c r="AI651" s="49"/>
      <c r="AJ651" s="49"/>
      <c r="AK651" s="49"/>
      <c r="AL651" s="49"/>
      <c r="AM651" s="49"/>
      <c r="AN651" s="49"/>
      <c r="AO651" s="49"/>
      <c r="AP651" s="49"/>
      <c r="AQ651" s="49"/>
      <c r="AR651" s="49"/>
      <c r="AS651" s="49"/>
      <c r="AT651" s="49"/>
      <c r="AU651" s="49"/>
      <c r="AV651" s="49"/>
      <c r="AW651" s="49"/>
      <c r="AX651" s="49"/>
    </row>
    <row r="652">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c r="AF652" s="49"/>
      <c r="AG652" s="49"/>
      <c r="AH652" s="49"/>
      <c r="AI652" s="49"/>
      <c r="AJ652" s="49"/>
      <c r="AK652" s="49"/>
      <c r="AL652" s="49"/>
      <c r="AM652" s="49"/>
      <c r="AN652" s="49"/>
      <c r="AO652" s="49"/>
      <c r="AP652" s="49"/>
      <c r="AQ652" s="49"/>
      <c r="AR652" s="49"/>
      <c r="AS652" s="49"/>
      <c r="AT652" s="49"/>
      <c r="AU652" s="49"/>
      <c r="AV652" s="49"/>
      <c r="AW652" s="49"/>
      <c r="AX652" s="49"/>
    </row>
    <row r="653">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c r="AF653" s="49"/>
      <c r="AG653" s="49"/>
      <c r="AH653" s="49"/>
      <c r="AI653" s="49"/>
      <c r="AJ653" s="49"/>
      <c r="AK653" s="49"/>
      <c r="AL653" s="49"/>
      <c r="AM653" s="49"/>
      <c r="AN653" s="49"/>
      <c r="AO653" s="49"/>
      <c r="AP653" s="49"/>
      <c r="AQ653" s="49"/>
      <c r="AR653" s="49"/>
      <c r="AS653" s="49"/>
      <c r="AT653" s="49"/>
      <c r="AU653" s="49"/>
      <c r="AV653" s="49"/>
      <c r="AW653" s="49"/>
      <c r="AX653" s="49"/>
    </row>
    <row r="654">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c r="AF654" s="49"/>
      <c r="AG654" s="49"/>
      <c r="AH654" s="49"/>
      <c r="AI654" s="49"/>
      <c r="AJ654" s="49"/>
      <c r="AK654" s="49"/>
      <c r="AL654" s="49"/>
      <c r="AM654" s="49"/>
      <c r="AN654" s="49"/>
      <c r="AO654" s="49"/>
      <c r="AP654" s="49"/>
      <c r="AQ654" s="49"/>
      <c r="AR654" s="49"/>
      <c r="AS654" s="49"/>
      <c r="AT654" s="49"/>
      <c r="AU654" s="49"/>
      <c r="AV654" s="49"/>
      <c r="AW654" s="49"/>
      <c r="AX654" s="49"/>
    </row>
    <row r="65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c r="AF655" s="49"/>
      <c r="AG655" s="49"/>
      <c r="AH655" s="49"/>
      <c r="AI655" s="49"/>
      <c r="AJ655" s="49"/>
      <c r="AK655" s="49"/>
      <c r="AL655" s="49"/>
      <c r="AM655" s="49"/>
      <c r="AN655" s="49"/>
      <c r="AO655" s="49"/>
      <c r="AP655" s="49"/>
      <c r="AQ655" s="49"/>
      <c r="AR655" s="49"/>
      <c r="AS655" s="49"/>
      <c r="AT655" s="49"/>
      <c r="AU655" s="49"/>
      <c r="AV655" s="49"/>
      <c r="AW655" s="49"/>
      <c r="AX655" s="49"/>
    </row>
    <row r="656">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c r="AF656" s="49"/>
      <c r="AG656" s="49"/>
      <c r="AH656" s="49"/>
      <c r="AI656" s="49"/>
      <c r="AJ656" s="49"/>
      <c r="AK656" s="49"/>
      <c r="AL656" s="49"/>
      <c r="AM656" s="49"/>
      <c r="AN656" s="49"/>
      <c r="AO656" s="49"/>
      <c r="AP656" s="49"/>
      <c r="AQ656" s="49"/>
      <c r="AR656" s="49"/>
      <c r="AS656" s="49"/>
      <c r="AT656" s="49"/>
      <c r="AU656" s="49"/>
      <c r="AV656" s="49"/>
      <c r="AW656" s="49"/>
      <c r="AX656" s="49"/>
    </row>
    <row r="657">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c r="AF657" s="49"/>
      <c r="AG657" s="49"/>
      <c r="AH657" s="49"/>
      <c r="AI657" s="49"/>
      <c r="AJ657" s="49"/>
      <c r="AK657" s="49"/>
      <c r="AL657" s="49"/>
      <c r="AM657" s="49"/>
      <c r="AN657" s="49"/>
      <c r="AO657" s="49"/>
      <c r="AP657" s="49"/>
      <c r="AQ657" s="49"/>
      <c r="AR657" s="49"/>
      <c r="AS657" s="49"/>
      <c r="AT657" s="49"/>
      <c r="AU657" s="49"/>
      <c r="AV657" s="49"/>
      <c r="AW657" s="49"/>
      <c r="AX657" s="49"/>
    </row>
    <row r="658">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c r="AF658" s="49"/>
      <c r="AG658" s="49"/>
      <c r="AH658" s="49"/>
      <c r="AI658" s="49"/>
      <c r="AJ658" s="49"/>
      <c r="AK658" s="49"/>
      <c r="AL658" s="49"/>
      <c r="AM658" s="49"/>
      <c r="AN658" s="49"/>
      <c r="AO658" s="49"/>
      <c r="AP658" s="49"/>
      <c r="AQ658" s="49"/>
      <c r="AR658" s="49"/>
      <c r="AS658" s="49"/>
      <c r="AT658" s="49"/>
      <c r="AU658" s="49"/>
      <c r="AV658" s="49"/>
      <c r="AW658" s="49"/>
      <c r="AX658" s="49"/>
    </row>
    <row r="659">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c r="AF659" s="49"/>
      <c r="AG659" s="49"/>
      <c r="AH659" s="49"/>
      <c r="AI659" s="49"/>
      <c r="AJ659" s="49"/>
      <c r="AK659" s="49"/>
      <c r="AL659" s="49"/>
      <c r="AM659" s="49"/>
      <c r="AN659" s="49"/>
      <c r="AO659" s="49"/>
      <c r="AP659" s="49"/>
      <c r="AQ659" s="49"/>
      <c r="AR659" s="49"/>
      <c r="AS659" s="49"/>
      <c r="AT659" s="49"/>
      <c r="AU659" s="49"/>
      <c r="AV659" s="49"/>
      <c r="AW659" s="49"/>
      <c r="AX659" s="49"/>
    </row>
    <row r="660">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c r="AF660" s="49"/>
      <c r="AG660" s="49"/>
      <c r="AH660" s="49"/>
      <c r="AI660" s="49"/>
      <c r="AJ660" s="49"/>
      <c r="AK660" s="49"/>
      <c r="AL660" s="49"/>
      <c r="AM660" s="49"/>
      <c r="AN660" s="49"/>
      <c r="AO660" s="49"/>
      <c r="AP660" s="49"/>
      <c r="AQ660" s="49"/>
      <c r="AR660" s="49"/>
      <c r="AS660" s="49"/>
      <c r="AT660" s="49"/>
      <c r="AU660" s="49"/>
      <c r="AV660" s="49"/>
      <c r="AW660" s="49"/>
      <c r="AX660" s="49"/>
    </row>
    <row r="661">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c r="AF661" s="49"/>
      <c r="AG661" s="49"/>
      <c r="AH661" s="49"/>
      <c r="AI661" s="49"/>
      <c r="AJ661" s="49"/>
      <c r="AK661" s="49"/>
      <c r="AL661" s="49"/>
      <c r="AM661" s="49"/>
      <c r="AN661" s="49"/>
      <c r="AO661" s="49"/>
      <c r="AP661" s="49"/>
      <c r="AQ661" s="49"/>
      <c r="AR661" s="49"/>
      <c r="AS661" s="49"/>
      <c r="AT661" s="49"/>
      <c r="AU661" s="49"/>
      <c r="AV661" s="49"/>
      <c r="AW661" s="49"/>
      <c r="AX661" s="49"/>
    </row>
    <row r="662">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c r="AF662" s="49"/>
      <c r="AG662" s="49"/>
      <c r="AH662" s="49"/>
      <c r="AI662" s="49"/>
      <c r="AJ662" s="49"/>
      <c r="AK662" s="49"/>
      <c r="AL662" s="49"/>
      <c r="AM662" s="49"/>
      <c r="AN662" s="49"/>
      <c r="AO662" s="49"/>
      <c r="AP662" s="49"/>
      <c r="AQ662" s="49"/>
      <c r="AR662" s="49"/>
      <c r="AS662" s="49"/>
      <c r="AT662" s="49"/>
      <c r="AU662" s="49"/>
      <c r="AV662" s="49"/>
      <c r="AW662" s="49"/>
      <c r="AX662" s="49"/>
    </row>
    <row r="663">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c r="AF663" s="49"/>
      <c r="AG663" s="49"/>
      <c r="AH663" s="49"/>
      <c r="AI663" s="49"/>
      <c r="AJ663" s="49"/>
      <c r="AK663" s="49"/>
      <c r="AL663" s="49"/>
      <c r="AM663" s="49"/>
      <c r="AN663" s="49"/>
      <c r="AO663" s="49"/>
      <c r="AP663" s="49"/>
      <c r="AQ663" s="49"/>
      <c r="AR663" s="49"/>
      <c r="AS663" s="49"/>
      <c r="AT663" s="49"/>
      <c r="AU663" s="49"/>
      <c r="AV663" s="49"/>
      <c r="AW663" s="49"/>
      <c r="AX663" s="49"/>
    </row>
    <row r="664">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c r="AF664" s="49"/>
      <c r="AG664" s="49"/>
      <c r="AH664" s="49"/>
      <c r="AI664" s="49"/>
      <c r="AJ664" s="49"/>
      <c r="AK664" s="49"/>
      <c r="AL664" s="49"/>
      <c r="AM664" s="49"/>
      <c r="AN664" s="49"/>
      <c r="AO664" s="49"/>
      <c r="AP664" s="49"/>
      <c r="AQ664" s="49"/>
      <c r="AR664" s="49"/>
      <c r="AS664" s="49"/>
      <c r="AT664" s="49"/>
      <c r="AU664" s="49"/>
      <c r="AV664" s="49"/>
      <c r="AW664" s="49"/>
      <c r="AX664" s="49"/>
    </row>
    <row r="66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c r="AF665" s="49"/>
      <c r="AG665" s="49"/>
      <c r="AH665" s="49"/>
      <c r="AI665" s="49"/>
      <c r="AJ665" s="49"/>
      <c r="AK665" s="49"/>
      <c r="AL665" s="49"/>
      <c r="AM665" s="49"/>
      <c r="AN665" s="49"/>
      <c r="AO665" s="49"/>
      <c r="AP665" s="49"/>
      <c r="AQ665" s="49"/>
      <c r="AR665" s="49"/>
      <c r="AS665" s="49"/>
      <c r="AT665" s="49"/>
      <c r="AU665" s="49"/>
      <c r="AV665" s="49"/>
      <c r="AW665" s="49"/>
      <c r="AX665" s="49"/>
    </row>
    <row r="666">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c r="AF666" s="49"/>
      <c r="AG666" s="49"/>
      <c r="AH666" s="49"/>
      <c r="AI666" s="49"/>
      <c r="AJ666" s="49"/>
      <c r="AK666" s="49"/>
      <c r="AL666" s="49"/>
      <c r="AM666" s="49"/>
      <c r="AN666" s="49"/>
      <c r="AO666" s="49"/>
      <c r="AP666" s="49"/>
      <c r="AQ666" s="49"/>
      <c r="AR666" s="49"/>
      <c r="AS666" s="49"/>
      <c r="AT666" s="49"/>
      <c r="AU666" s="49"/>
      <c r="AV666" s="49"/>
      <c r="AW666" s="49"/>
      <c r="AX666" s="49"/>
    </row>
    <row r="667">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c r="AF667" s="49"/>
      <c r="AG667" s="49"/>
      <c r="AH667" s="49"/>
      <c r="AI667" s="49"/>
      <c r="AJ667" s="49"/>
      <c r="AK667" s="49"/>
      <c r="AL667" s="49"/>
      <c r="AM667" s="49"/>
      <c r="AN667" s="49"/>
      <c r="AO667" s="49"/>
      <c r="AP667" s="49"/>
      <c r="AQ667" s="49"/>
      <c r="AR667" s="49"/>
      <c r="AS667" s="49"/>
      <c r="AT667" s="49"/>
      <c r="AU667" s="49"/>
      <c r="AV667" s="49"/>
      <c r="AW667" s="49"/>
      <c r="AX667" s="49"/>
    </row>
    <row r="668">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c r="AF668" s="49"/>
      <c r="AG668" s="49"/>
      <c r="AH668" s="49"/>
      <c r="AI668" s="49"/>
      <c r="AJ668" s="49"/>
      <c r="AK668" s="49"/>
      <c r="AL668" s="49"/>
      <c r="AM668" s="49"/>
      <c r="AN668" s="49"/>
      <c r="AO668" s="49"/>
      <c r="AP668" s="49"/>
      <c r="AQ668" s="49"/>
      <c r="AR668" s="49"/>
      <c r="AS668" s="49"/>
      <c r="AT668" s="49"/>
      <c r="AU668" s="49"/>
      <c r="AV668" s="49"/>
      <c r="AW668" s="49"/>
      <c r="AX668" s="49"/>
    </row>
    <row r="669">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c r="AF669" s="49"/>
      <c r="AG669" s="49"/>
      <c r="AH669" s="49"/>
      <c r="AI669" s="49"/>
      <c r="AJ669" s="49"/>
      <c r="AK669" s="49"/>
      <c r="AL669" s="49"/>
      <c r="AM669" s="49"/>
      <c r="AN669" s="49"/>
      <c r="AO669" s="49"/>
      <c r="AP669" s="49"/>
      <c r="AQ669" s="49"/>
      <c r="AR669" s="49"/>
      <c r="AS669" s="49"/>
      <c r="AT669" s="49"/>
      <c r="AU669" s="49"/>
      <c r="AV669" s="49"/>
      <c r="AW669" s="49"/>
      <c r="AX669" s="49"/>
    </row>
    <row r="670">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c r="AF670" s="49"/>
      <c r="AG670" s="49"/>
      <c r="AH670" s="49"/>
      <c r="AI670" s="49"/>
      <c r="AJ670" s="49"/>
      <c r="AK670" s="49"/>
      <c r="AL670" s="49"/>
      <c r="AM670" s="49"/>
      <c r="AN670" s="49"/>
      <c r="AO670" s="49"/>
      <c r="AP670" s="49"/>
      <c r="AQ670" s="49"/>
      <c r="AR670" s="49"/>
      <c r="AS670" s="49"/>
      <c r="AT670" s="49"/>
      <c r="AU670" s="49"/>
      <c r="AV670" s="49"/>
      <c r="AW670" s="49"/>
      <c r="AX670" s="49"/>
    </row>
    <row r="671">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c r="AF671" s="49"/>
      <c r="AG671" s="49"/>
      <c r="AH671" s="49"/>
      <c r="AI671" s="49"/>
      <c r="AJ671" s="49"/>
      <c r="AK671" s="49"/>
      <c r="AL671" s="49"/>
      <c r="AM671" s="49"/>
      <c r="AN671" s="49"/>
      <c r="AO671" s="49"/>
      <c r="AP671" s="49"/>
      <c r="AQ671" s="49"/>
      <c r="AR671" s="49"/>
      <c r="AS671" s="49"/>
      <c r="AT671" s="49"/>
      <c r="AU671" s="49"/>
      <c r="AV671" s="49"/>
      <c r="AW671" s="49"/>
      <c r="AX671" s="49"/>
    </row>
    <row r="672">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c r="AF672" s="49"/>
      <c r="AG672" s="49"/>
      <c r="AH672" s="49"/>
      <c r="AI672" s="49"/>
      <c r="AJ672" s="49"/>
      <c r="AK672" s="49"/>
      <c r="AL672" s="49"/>
      <c r="AM672" s="49"/>
      <c r="AN672" s="49"/>
      <c r="AO672" s="49"/>
      <c r="AP672" s="49"/>
      <c r="AQ672" s="49"/>
      <c r="AR672" s="49"/>
      <c r="AS672" s="49"/>
      <c r="AT672" s="49"/>
      <c r="AU672" s="49"/>
      <c r="AV672" s="49"/>
      <c r="AW672" s="49"/>
      <c r="AX672" s="49"/>
    </row>
    <row r="673">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c r="AF673" s="49"/>
      <c r="AG673" s="49"/>
      <c r="AH673" s="49"/>
      <c r="AI673" s="49"/>
      <c r="AJ673" s="49"/>
      <c r="AK673" s="49"/>
      <c r="AL673" s="49"/>
      <c r="AM673" s="49"/>
      <c r="AN673" s="49"/>
      <c r="AO673" s="49"/>
      <c r="AP673" s="49"/>
      <c r="AQ673" s="49"/>
      <c r="AR673" s="49"/>
      <c r="AS673" s="49"/>
      <c r="AT673" s="49"/>
      <c r="AU673" s="49"/>
      <c r="AV673" s="49"/>
      <c r="AW673" s="49"/>
      <c r="AX673" s="49"/>
    </row>
    <row r="674">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c r="AF674" s="49"/>
      <c r="AG674" s="49"/>
      <c r="AH674" s="49"/>
      <c r="AI674" s="49"/>
      <c r="AJ674" s="49"/>
      <c r="AK674" s="49"/>
      <c r="AL674" s="49"/>
      <c r="AM674" s="49"/>
      <c r="AN674" s="49"/>
      <c r="AO674" s="49"/>
      <c r="AP674" s="49"/>
      <c r="AQ674" s="49"/>
      <c r="AR674" s="49"/>
      <c r="AS674" s="49"/>
      <c r="AT674" s="49"/>
      <c r="AU674" s="49"/>
      <c r="AV674" s="49"/>
      <c r="AW674" s="49"/>
      <c r="AX674" s="49"/>
    </row>
    <row r="67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c r="AF675" s="49"/>
      <c r="AG675" s="49"/>
      <c r="AH675" s="49"/>
      <c r="AI675" s="49"/>
      <c r="AJ675" s="49"/>
      <c r="AK675" s="49"/>
      <c r="AL675" s="49"/>
      <c r="AM675" s="49"/>
      <c r="AN675" s="49"/>
      <c r="AO675" s="49"/>
      <c r="AP675" s="49"/>
      <c r="AQ675" s="49"/>
      <c r="AR675" s="49"/>
      <c r="AS675" s="49"/>
      <c r="AT675" s="49"/>
      <c r="AU675" s="49"/>
      <c r="AV675" s="49"/>
      <c r="AW675" s="49"/>
      <c r="AX675" s="49"/>
    </row>
    <row r="676">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c r="AF676" s="49"/>
      <c r="AG676" s="49"/>
      <c r="AH676" s="49"/>
      <c r="AI676" s="49"/>
      <c r="AJ676" s="49"/>
      <c r="AK676" s="49"/>
      <c r="AL676" s="49"/>
      <c r="AM676" s="49"/>
      <c r="AN676" s="49"/>
      <c r="AO676" s="49"/>
      <c r="AP676" s="49"/>
      <c r="AQ676" s="49"/>
      <c r="AR676" s="49"/>
      <c r="AS676" s="49"/>
      <c r="AT676" s="49"/>
      <c r="AU676" s="49"/>
      <c r="AV676" s="49"/>
      <c r="AW676" s="49"/>
      <c r="AX676" s="49"/>
    </row>
    <row r="677">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c r="AF677" s="49"/>
      <c r="AG677" s="49"/>
      <c r="AH677" s="49"/>
      <c r="AI677" s="49"/>
      <c r="AJ677" s="49"/>
      <c r="AK677" s="49"/>
      <c r="AL677" s="49"/>
      <c r="AM677" s="49"/>
      <c r="AN677" s="49"/>
      <c r="AO677" s="49"/>
      <c r="AP677" s="49"/>
      <c r="AQ677" s="49"/>
      <c r="AR677" s="49"/>
      <c r="AS677" s="49"/>
      <c r="AT677" s="49"/>
      <c r="AU677" s="49"/>
      <c r="AV677" s="49"/>
      <c r="AW677" s="49"/>
      <c r="AX677" s="49"/>
    </row>
    <row r="678">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c r="AF678" s="49"/>
      <c r="AG678" s="49"/>
      <c r="AH678" s="49"/>
      <c r="AI678" s="49"/>
      <c r="AJ678" s="49"/>
      <c r="AK678" s="49"/>
      <c r="AL678" s="49"/>
      <c r="AM678" s="49"/>
      <c r="AN678" s="49"/>
      <c r="AO678" s="49"/>
      <c r="AP678" s="49"/>
      <c r="AQ678" s="49"/>
      <c r="AR678" s="49"/>
      <c r="AS678" s="49"/>
      <c r="AT678" s="49"/>
      <c r="AU678" s="49"/>
      <c r="AV678" s="49"/>
      <c r="AW678" s="49"/>
      <c r="AX678" s="49"/>
    </row>
    <row r="679">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c r="AF679" s="49"/>
      <c r="AG679" s="49"/>
      <c r="AH679" s="49"/>
      <c r="AI679" s="49"/>
      <c r="AJ679" s="49"/>
      <c r="AK679" s="49"/>
      <c r="AL679" s="49"/>
      <c r="AM679" s="49"/>
      <c r="AN679" s="49"/>
      <c r="AO679" s="49"/>
      <c r="AP679" s="49"/>
      <c r="AQ679" s="49"/>
      <c r="AR679" s="49"/>
      <c r="AS679" s="49"/>
      <c r="AT679" s="49"/>
      <c r="AU679" s="49"/>
      <c r="AV679" s="49"/>
      <c r="AW679" s="49"/>
      <c r="AX679" s="49"/>
    </row>
    <row r="680">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c r="AF680" s="49"/>
      <c r="AG680" s="49"/>
      <c r="AH680" s="49"/>
      <c r="AI680" s="49"/>
      <c r="AJ680" s="49"/>
      <c r="AK680" s="49"/>
      <c r="AL680" s="49"/>
      <c r="AM680" s="49"/>
      <c r="AN680" s="49"/>
      <c r="AO680" s="49"/>
      <c r="AP680" s="49"/>
      <c r="AQ680" s="49"/>
      <c r="AR680" s="49"/>
      <c r="AS680" s="49"/>
      <c r="AT680" s="49"/>
      <c r="AU680" s="49"/>
      <c r="AV680" s="49"/>
      <c r="AW680" s="49"/>
      <c r="AX680" s="49"/>
    </row>
    <row r="681">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c r="AF681" s="49"/>
      <c r="AG681" s="49"/>
      <c r="AH681" s="49"/>
      <c r="AI681" s="49"/>
      <c r="AJ681" s="49"/>
      <c r="AK681" s="49"/>
      <c r="AL681" s="49"/>
      <c r="AM681" s="49"/>
      <c r="AN681" s="49"/>
      <c r="AO681" s="49"/>
      <c r="AP681" s="49"/>
      <c r="AQ681" s="49"/>
      <c r="AR681" s="49"/>
      <c r="AS681" s="49"/>
      <c r="AT681" s="49"/>
      <c r="AU681" s="49"/>
      <c r="AV681" s="49"/>
      <c r="AW681" s="49"/>
      <c r="AX681" s="49"/>
    </row>
    <row r="682">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c r="AF682" s="49"/>
      <c r="AG682" s="49"/>
      <c r="AH682" s="49"/>
      <c r="AI682" s="49"/>
      <c r="AJ682" s="49"/>
      <c r="AK682" s="49"/>
      <c r="AL682" s="49"/>
      <c r="AM682" s="49"/>
      <c r="AN682" s="49"/>
      <c r="AO682" s="49"/>
      <c r="AP682" s="49"/>
      <c r="AQ682" s="49"/>
      <c r="AR682" s="49"/>
      <c r="AS682" s="49"/>
      <c r="AT682" s="49"/>
      <c r="AU682" s="49"/>
      <c r="AV682" s="49"/>
      <c r="AW682" s="49"/>
      <c r="AX682" s="49"/>
    </row>
    <row r="683">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c r="AF683" s="49"/>
      <c r="AG683" s="49"/>
      <c r="AH683" s="49"/>
      <c r="AI683" s="49"/>
      <c r="AJ683" s="49"/>
      <c r="AK683" s="49"/>
      <c r="AL683" s="49"/>
      <c r="AM683" s="49"/>
      <c r="AN683" s="49"/>
      <c r="AO683" s="49"/>
      <c r="AP683" s="49"/>
      <c r="AQ683" s="49"/>
      <c r="AR683" s="49"/>
      <c r="AS683" s="49"/>
      <c r="AT683" s="49"/>
      <c r="AU683" s="49"/>
      <c r="AV683" s="49"/>
      <c r="AW683" s="49"/>
      <c r="AX683" s="49"/>
    </row>
    <row r="684">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c r="AF684" s="49"/>
      <c r="AG684" s="49"/>
      <c r="AH684" s="49"/>
      <c r="AI684" s="49"/>
      <c r="AJ684" s="49"/>
      <c r="AK684" s="49"/>
      <c r="AL684" s="49"/>
      <c r="AM684" s="49"/>
      <c r="AN684" s="49"/>
      <c r="AO684" s="49"/>
      <c r="AP684" s="49"/>
      <c r="AQ684" s="49"/>
      <c r="AR684" s="49"/>
      <c r="AS684" s="49"/>
      <c r="AT684" s="49"/>
      <c r="AU684" s="49"/>
      <c r="AV684" s="49"/>
      <c r="AW684" s="49"/>
      <c r="AX684" s="49"/>
    </row>
    <row r="68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c r="AF685" s="49"/>
      <c r="AG685" s="49"/>
      <c r="AH685" s="49"/>
      <c r="AI685" s="49"/>
      <c r="AJ685" s="49"/>
      <c r="AK685" s="49"/>
      <c r="AL685" s="49"/>
      <c r="AM685" s="49"/>
      <c r="AN685" s="49"/>
      <c r="AO685" s="49"/>
      <c r="AP685" s="49"/>
      <c r="AQ685" s="49"/>
      <c r="AR685" s="49"/>
      <c r="AS685" s="49"/>
      <c r="AT685" s="49"/>
      <c r="AU685" s="49"/>
      <c r="AV685" s="49"/>
      <c r="AW685" s="49"/>
      <c r="AX685" s="49"/>
    </row>
    <row r="686">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c r="AF686" s="49"/>
      <c r="AG686" s="49"/>
      <c r="AH686" s="49"/>
      <c r="AI686" s="49"/>
      <c r="AJ686" s="49"/>
      <c r="AK686" s="49"/>
      <c r="AL686" s="49"/>
      <c r="AM686" s="49"/>
      <c r="AN686" s="49"/>
      <c r="AO686" s="49"/>
      <c r="AP686" s="49"/>
      <c r="AQ686" s="49"/>
      <c r="AR686" s="49"/>
      <c r="AS686" s="49"/>
      <c r="AT686" s="49"/>
      <c r="AU686" s="49"/>
      <c r="AV686" s="49"/>
      <c r="AW686" s="49"/>
      <c r="AX686" s="49"/>
    </row>
    <row r="687">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c r="AF687" s="49"/>
      <c r="AG687" s="49"/>
      <c r="AH687" s="49"/>
      <c r="AI687" s="49"/>
      <c r="AJ687" s="49"/>
      <c r="AK687" s="49"/>
      <c r="AL687" s="49"/>
      <c r="AM687" s="49"/>
      <c r="AN687" s="49"/>
      <c r="AO687" s="49"/>
      <c r="AP687" s="49"/>
      <c r="AQ687" s="49"/>
      <c r="AR687" s="49"/>
      <c r="AS687" s="49"/>
      <c r="AT687" s="49"/>
      <c r="AU687" s="49"/>
      <c r="AV687" s="49"/>
      <c r="AW687" s="49"/>
      <c r="AX687" s="49"/>
    </row>
    <row r="688">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c r="AF688" s="49"/>
      <c r="AG688" s="49"/>
      <c r="AH688" s="49"/>
      <c r="AI688" s="49"/>
      <c r="AJ688" s="49"/>
      <c r="AK688" s="49"/>
      <c r="AL688" s="49"/>
      <c r="AM688" s="49"/>
      <c r="AN688" s="49"/>
      <c r="AO688" s="49"/>
      <c r="AP688" s="49"/>
      <c r="AQ688" s="49"/>
      <c r="AR688" s="49"/>
      <c r="AS688" s="49"/>
      <c r="AT688" s="49"/>
      <c r="AU688" s="49"/>
      <c r="AV688" s="49"/>
      <c r="AW688" s="49"/>
      <c r="AX688" s="49"/>
    </row>
    <row r="689">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c r="AF689" s="49"/>
      <c r="AG689" s="49"/>
      <c r="AH689" s="49"/>
      <c r="AI689" s="49"/>
      <c r="AJ689" s="49"/>
      <c r="AK689" s="49"/>
      <c r="AL689" s="49"/>
      <c r="AM689" s="49"/>
      <c r="AN689" s="49"/>
      <c r="AO689" s="49"/>
      <c r="AP689" s="49"/>
      <c r="AQ689" s="49"/>
      <c r="AR689" s="49"/>
      <c r="AS689" s="49"/>
      <c r="AT689" s="49"/>
      <c r="AU689" s="49"/>
      <c r="AV689" s="49"/>
      <c r="AW689" s="49"/>
      <c r="AX689" s="49"/>
    </row>
    <row r="690">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c r="AF690" s="49"/>
      <c r="AG690" s="49"/>
      <c r="AH690" s="49"/>
      <c r="AI690" s="49"/>
      <c r="AJ690" s="49"/>
      <c r="AK690" s="49"/>
      <c r="AL690" s="49"/>
      <c r="AM690" s="49"/>
      <c r="AN690" s="49"/>
      <c r="AO690" s="49"/>
      <c r="AP690" s="49"/>
      <c r="AQ690" s="49"/>
      <c r="AR690" s="49"/>
      <c r="AS690" s="49"/>
      <c r="AT690" s="49"/>
      <c r="AU690" s="49"/>
      <c r="AV690" s="49"/>
      <c r="AW690" s="49"/>
      <c r="AX690" s="49"/>
    </row>
    <row r="691">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c r="AF691" s="49"/>
      <c r="AG691" s="49"/>
      <c r="AH691" s="49"/>
      <c r="AI691" s="49"/>
      <c r="AJ691" s="49"/>
      <c r="AK691" s="49"/>
      <c r="AL691" s="49"/>
      <c r="AM691" s="49"/>
      <c r="AN691" s="49"/>
      <c r="AO691" s="49"/>
      <c r="AP691" s="49"/>
      <c r="AQ691" s="49"/>
      <c r="AR691" s="49"/>
      <c r="AS691" s="49"/>
      <c r="AT691" s="49"/>
      <c r="AU691" s="49"/>
      <c r="AV691" s="49"/>
      <c r="AW691" s="49"/>
      <c r="AX691" s="49"/>
    </row>
    <row r="692">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c r="AF692" s="49"/>
      <c r="AG692" s="49"/>
      <c r="AH692" s="49"/>
      <c r="AI692" s="49"/>
      <c r="AJ692" s="49"/>
      <c r="AK692" s="49"/>
      <c r="AL692" s="49"/>
      <c r="AM692" s="49"/>
      <c r="AN692" s="49"/>
      <c r="AO692" s="49"/>
      <c r="AP692" s="49"/>
      <c r="AQ692" s="49"/>
      <c r="AR692" s="49"/>
      <c r="AS692" s="49"/>
      <c r="AT692" s="49"/>
      <c r="AU692" s="49"/>
      <c r="AV692" s="49"/>
      <c r="AW692" s="49"/>
      <c r="AX692" s="49"/>
    </row>
    <row r="693">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c r="AF693" s="49"/>
      <c r="AG693" s="49"/>
      <c r="AH693" s="49"/>
      <c r="AI693" s="49"/>
      <c r="AJ693" s="49"/>
      <c r="AK693" s="49"/>
      <c r="AL693" s="49"/>
      <c r="AM693" s="49"/>
      <c r="AN693" s="49"/>
      <c r="AO693" s="49"/>
      <c r="AP693" s="49"/>
      <c r="AQ693" s="49"/>
      <c r="AR693" s="49"/>
      <c r="AS693" s="49"/>
      <c r="AT693" s="49"/>
      <c r="AU693" s="49"/>
      <c r="AV693" s="49"/>
      <c r="AW693" s="49"/>
      <c r="AX693" s="49"/>
    </row>
    <row r="694">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c r="AF694" s="49"/>
      <c r="AG694" s="49"/>
      <c r="AH694" s="49"/>
      <c r="AI694" s="49"/>
      <c r="AJ694" s="49"/>
      <c r="AK694" s="49"/>
      <c r="AL694" s="49"/>
      <c r="AM694" s="49"/>
      <c r="AN694" s="49"/>
      <c r="AO694" s="49"/>
      <c r="AP694" s="49"/>
      <c r="AQ694" s="49"/>
      <c r="AR694" s="49"/>
      <c r="AS694" s="49"/>
      <c r="AT694" s="49"/>
      <c r="AU694" s="49"/>
      <c r="AV694" s="49"/>
      <c r="AW694" s="49"/>
      <c r="AX694" s="49"/>
    </row>
    <row r="69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c r="AF695" s="49"/>
      <c r="AG695" s="49"/>
      <c r="AH695" s="49"/>
      <c r="AI695" s="49"/>
      <c r="AJ695" s="49"/>
      <c r="AK695" s="49"/>
      <c r="AL695" s="49"/>
      <c r="AM695" s="49"/>
      <c r="AN695" s="49"/>
      <c r="AO695" s="49"/>
      <c r="AP695" s="49"/>
      <c r="AQ695" s="49"/>
      <c r="AR695" s="49"/>
      <c r="AS695" s="49"/>
      <c r="AT695" s="49"/>
      <c r="AU695" s="49"/>
      <c r="AV695" s="49"/>
      <c r="AW695" s="49"/>
      <c r="AX695" s="49"/>
    </row>
    <row r="696">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c r="AF696" s="49"/>
      <c r="AG696" s="49"/>
      <c r="AH696" s="49"/>
      <c r="AI696" s="49"/>
      <c r="AJ696" s="49"/>
      <c r="AK696" s="49"/>
      <c r="AL696" s="49"/>
      <c r="AM696" s="49"/>
      <c r="AN696" s="49"/>
      <c r="AO696" s="49"/>
      <c r="AP696" s="49"/>
      <c r="AQ696" s="49"/>
      <c r="AR696" s="49"/>
      <c r="AS696" s="49"/>
      <c r="AT696" s="49"/>
      <c r="AU696" s="49"/>
      <c r="AV696" s="49"/>
      <c r="AW696" s="49"/>
      <c r="AX696" s="49"/>
    </row>
    <row r="697">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c r="AF697" s="49"/>
      <c r="AG697" s="49"/>
      <c r="AH697" s="49"/>
      <c r="AI697" s="49"/>
      <c r="AJ697" s="49"/>
      <c r="AK697" s="49"/>
      <c r="AL697" s="49"/>
      <c r="AM697" s="49"/>
      <c r="AN697" s="49"/>
      <c r="AO697" s="49"/>
      <c r="AP697" s="49"/>
      <c r="AQ697" s="49"/>
      <c r="AR697" s="49"/>
      <c r="AS697" s="49"/>
      <c r="AT697" s="49"/>
      <c r="AU697" s="49"/>
      <c r="AV697" s="49"/>
      <c r="AW697" s="49"/>
      <c r="AX697" s="49"/>
    </row>
    <row r="698">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c r="AF698" s="49"/>
      <c r="AG698" s="49"/>
      <c r="AH698" s="49"/>
      <c r="AI698" s="49"/>
      <c r="AJ698" s="49"/>
      <c r="AK698" s="49"/>
      <c r="AL698" s="49"/>
      <c r="AM698" s="49"/>
      <c r="AN698" s="49"/>
      <c r="AO698" s="49"/>
      <c r="AP698" s="49"/>
      <c r="AQ698" s="49"/>
      <c r="AR698" s="49"/>
      <c r="AS698" s="49"/>
      <c r="AT698" s="49"/>
      <c r="AU698" s="49"/>
      <c r="AV698" s="49"/>
      <c r="AW698" s="49"/>
      <c r="AX698" s="49"/>
    </row>
    <row r="699">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c r="AF699" s="49"/>
      <c r="AG699" s="49"/>
      <c r="AH699" s="49"/>
      <c r="AI699" s="49"/>
      <c r="AJ699" s="49"/>
      <c r="AK699" s="49"/>
      <c r="AL699" s="49"/>
      <c r="AM699" s="49"/>
      <c r="AN699" s="49"/>
      <c r="AO699" s="49"/>
      <c r="AP699" s="49"/>
      <c r="AQ699" s="49"/>
      <c r="AR699" s="49"/>
      <c r="AS699" s="49"/>
      <c r="AT699" s="49"/>
      <c r="AU699" s="49"/>
      <c r="AV699" s="49"/>
      <c r="AW699" s="49"/>
      <c r="AX699" s="49"/>
    </row>
    <row r="700">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c r="AF700" s="49"/>
      <c r="AG700" s="49"/>
      <c r="AH700" s="49"/>
      <c r="AI700" s="49"/>
      <c r="AJ700" s="49"/>
      <c r="AK700" s="49"/>
      <c r="AL700" s="49"/>
      <c r="AM700" s="49"/>
      <c r="AN700" s="49"/>
      <c r="AO700" s="49"/>
      <c r="AP700" s="49"/>
      <c r="AQ700" s="49"/>
      <c r="AR700" s="49"/>
      <c r="AS700" s="49"/>
      <c r="AT700" s="49"/>
      <c r="AU700" s="49"/>
      <c r="AV700" s="49"/>
      <c r="AW700" s="49"/>
      <c r="AX700" s="49"/>
    </row>
    <row r="701">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c r="AF701" s="49"/>
      <c r="AG701" s="49"/>
      <c r="AH701" s="49"/>
      <c r="AI701" s="49"/>
      <c r="AJ701" s="49"/>
      <c r="AK701" s="49"/>
      <c r="AL701" s="49"/>
      <c r="AM701" s="49"/>
      <c r="AN701" s="49"/>
      <c r="AO701" s="49"/>
      <c r="AP701" s="49"/>
      <c r="AQ701" s="49"/>
      <c r="AR701" s="49"/>
      <c r="AS701" s="49"/>
      <c r="AT701" s="49"/>
      <c r="AU701" s="49"/>
      <c r="AV701" s="49"/>
      <c r="AW701" s="49"/>
      <c r="AX701" s="49"/>
    </row>
    <row r="702">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c r="AF702" s="49"/>
      <c r="AG702" s="49"/>
      <c r="AH702" s="49"/>
      <c r="AI702" s="49"/>
      <c r="AJ702" s="49"/>
      <c r="AK702" s="49"/>
      <c r="AL702" s="49"/>
      <c r="AM702" s="49"/>
      <c r="AN702" s="49"/>
      <c r="AO702" s="49"/>
      <c r="AP702" s="49"/>
      <c r="AQ702" s="49"/>
      <c r="AR702" s="49"/>
      <c r="AS702" s="49"/>
      <c r="AT702" s="49"/>
      <c r="AU702" s="49"/>
      <c r="AV702" s="49"/>
      <c r="AW702" s="49"/>
      <c r="AX702" s="49"/>
    </row>
    <row r="703">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c r="AF703" s="49"/>
      <c r="AG703" s="49"/>
      <c r="AH703" s="49"/>
      <c r="AI703" s="49"/>
      <c r="AJ703" s="49"/>
      <c r="AK703" s="49"/>
      <c r="AL703" s="49"/>
      <c r="AM703" s="49"/>
      <c r="AN703" s="49"/>
      <c r="AO703" s="49"/>
      <c r="AP703" s="49"/>
      <c r="AQ703" s="49"/>
      <c r="AR703" s="49"/>
      <c r="AS703" s="49"/>
      <c r="AT703" s="49"/>
      <c r="AU703" s="49"/>
      <c r="AV703" s="49"/>
      <c r="AW703" s="49"/>
      <c r="AX703" s="49"/>
    </row>
    <row r="704">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c r="AF704" s="49"/>
      <c r="AG704" s="49"/>
      <c r="AH704" s="49"/>
      <c r="AI704" s="49"/>
      <c r="AJ704" s="49"/>
      <c r="AK704" s="49"/>
      <c r="AL704" s="49"/>
      <c r="AM704" s="49"/>
      <c r="AN704" s="49"/>
      <c r="AO704" s="49"/>
      <c r="AP704" s="49"/>
      <c r="AQ704" s="49"/>
      <c r="AR704" s="49"/>
      <c r="AS704" s="49"/>
      <c r="AT704" s="49"/>
      <c r="AU704" s="49"/>
      <c r="AV704" s="49"/>
      <c r="AW704" s="49"/>
      <c r="AX704" s="49"/>
    </row>
    <row r="70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c r="AF705" s="49"/>
      <c r="AG705" s="49"/>
      <c r="AH705" s="49"/>
      <c r="AI705" s="49"/>
      <c r="AJ705" s="49"/>
      <c r="AK705" s="49"/>
      <c r="AL705" s="49"/>
      <c r="AM705" s="49"/>
      <c r="AN705" s="49"/>
      <c r="AO705" s="49"/>
      <c r="AP705" s="49"/>
      <c r="AQ705" s="49"/>
      <c r="AR705" s="49"/>
      <c r="AS705" s="49"/>
      <c r="AT705" s="49"/>
      <c r="AU705" s="49"/>
      <c r="AV705" s="49"/>
      <c r="AW705" s="49"/>
      <c r="AX705" s="49"/>
    </row>
    <row r="706">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c r="AF706" s="49"/>
      <c r="AG706" s="49"/>
      <c r="AH706" s="49"/>
      <c r="AI706" s="49"/>
      <c r="AJ706" s="49"/>
      <c r="AK706" s="49"/>
      <c r="AL706" s="49"/>
      <c r="AM706" s="49"/>
      <c r="AN706" s="49"/>
      <c r="AO706" s="49"/>
      <c r="AP706" s="49"/>
      <c r="AQ706" s="49"/>
      <c r="AR706" s="49"/>
      <c r="AS706" s="49"/>
      <c r="AT706" s="49"/>
      <c r="AU706" s="49"/>
      <c r="AV706" s="49"/>
      <c r="AW706" s="49"/>
      <c r="AX706" s="49"/>
    </row>
    <row r="707">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c r="AF707" s="49"/>
      <c r="AG707" s="49"/>
      <c r="AH707" s="49"/>
      <c r="AI707" s="49"/>
      <c r="AJ707" s="49"/>
      <c r="AK707" s="49"/>
      <c r="AL707" s="49"/>
      <c r="AM707" s="49"/>
      <c r="AN707" s="49"/>
      <c r="AO707" s="49"/>
      <c r="AP707" s="49"/>
      <c r="AQ707" s="49"/>
      <c r="AR707" s="49"/>
      <c r="AS707" s="49"/>
      <c r="AT707" s="49"/>
      <c r="AU707" s="49"/>
      <c r="AV707" s="49"/>
      <c r="AW707" s="49"/>
      <c r="AX707" s="49"/>
    </row>
    <row r="708">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c r="AF708" s="49"/>
      <c r="AG708" s="49"/>
      <c r="AH708" s="49"/>
      <c r="AI708" s="49"/>
      <c r="AJ708" s="49"/>
      <c r="AK708" s="49"/>
      <c r="AL708" s="49"/>
      <c r="AM708" s="49"/>
      <c r="AN708" s="49"/>
      <c r="AO708" s="49"/>
      <c r="AP708" s="49"/>
      <c r="AQ708" s="49"/>
      <c r="AR708" s="49"/>
      <c r="AS708" s="49"/>
      <c r="AT708" s="49"/>
      <c r="AU708" s="49"/>
      <c r="AV708" s="49"/>
      <c r="AW708" s="49"/>
      <c r="AX708" s="49"/>
    </row>
    <row r="709">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c r="AF709" s="49"/>
      <c r="AG709" s="49"/>
      <c r="AH709" s="49"/>
      <c r="AI709" s="49"/>
      <c r="AJ709" s="49"/>
      <c r="AK709" s="49"/>
      <c r="AL709" s="49"/>
      <c r="AM709" s="49"/>
      <c r="AN709" s="49"/>
      <c r="AO709" s="49"/>
      <c r="AP709" s="49"/>
      <c r="AQ709" s="49"/>
      <c r="AR709" s="49"/>
      <c r="AS709" s="49"/>
      <c r="AT709" s="49"/>
      <c r="AU709" s="49"/>
      <c r="AV709" s="49"/>
      <c r="AW709" s="49"/>
      <c r="AX709" s="49"/>
    </row>
    <row r="710">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c r="AF710" s="49"/>
      <c r="AG710" s="49"/>
      <c r="AH710" s="49"/>
      <c r="AI710" s="49"/>
      <c r="AJ710" s="49"/>
      <c r="AK710" s="49"/>
      <c r="AL710" s="49"/>
      <c r="AM710" s="49"/>
      <c r="AN710" s="49"/>
      <c r="AO710" s="49"/>
      <c r="AP710" s="49"/>
      <c r="AQ710" s="49"/>
      <c r="AR710" s="49"/>
      <c r="AS710" s="49"/>
      <c r="AT710" s="49"/>
      <c r="AU710" s="49"/>
      <c r="AV710" s="49"/>
      <c r="AW710" s="49"/>
      <c r="AX710" s="49"/>
    </row>
    <row r="711">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c r="AF711" s="49"/>
      <c r="AG711" s="49"/>
      <c r="AH711" s="49"/>
      <c r="AI711" s="49"/>
      <c r="AJ711" s="49"/>
      <c r="AK711" s="49"/>
      <c r="AL711" s="49"/>
      <c r="AM711" s="49"/>
      <c r="AN711" s="49"/>
      <c r="AO711" s="49"/>
      <c r="AP711" s="49"/>
      <c r="AQ711" s="49"/>
      <c r="AR711" s="49"/>
      <c r="AS711" s="49"/>
      <c r="AT711" s="49"/>
      <c r="AU711" s="49"/>
      <c r="AV711" s="49"/>
      <c r="AW711" s="49"/>
      <c r="AX711" s="49"/>
    </row>
    <row r="712">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c r="AF712" s="49"/>
      <c r="AG712" s="49"/>
      <c r="AH712" s="49"/>
      <c r="AI712" s="49"/>
      <c r="AJ712" s="49"/>
      <c r="AK712" s="49"/>
      <c r="AL712" s="49"/>
      <c r="AM712" s="49"/>
      <c r="AN712" s="49"/>
      <c r="AO712" s="49"/>
      <c r="AP712" s="49"/>
      <c r="AQ712" s="49"/>
      <c r="AR712" s="49"/>
      <c r="AS712" s="49"/>
      <c r="AT712" s="49"/>
      <c r="AU712" s="49"/>
      <c r="AV712" s="49"/>
      <c r="AW712" s="49"/>
      <c r="AX712" s="49"/>
    </row>
    <row r="713">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c r="AF713" s="49"/>
      <c r="AG713" s="49"/>
      <c r="AH713" s="49"/>
      <c r="AI713" s="49"/>
      <c r="AJ713" s="49"/>
      <c r="AK713" s="49"/>
      <c r="AL713" s="49"/>
      <c r="AM713" s="49"/>
      <c r="AN713" s="49"/>
      <c r="AO713" s="49"/>
      <c r="AP713" s="49"/>
      <c r="AQ713" s="49"/>
      <c r="AR713" s="49"/>
      <c r="AS713" s="49"/>
      <c r="AT713" s="49"/>
      <c r="AU713" s="49"/>
      <c r="AV713" s="49"/>
      <c r="AW713" s="49"/>
      <c r="AX713" s="49"/>
    </row>
    <row r="714">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c r="AF714" s="49"/>
      <c r="AG714" s="49"/>
      <c r="AH714" s="49"/>
      <c r="AI714" s="49"/>
      <c r="AJ714" s="49"/>
      <c r="AK714" s="49"/>
      <c r="AL714" s="49"/>
      <c r="AM714" s="49"/>
      <c r="AN714" s="49"/>
      <c r="AO714" s="49"/>
      <c r="AP714" s="49"/>
      <c r="AQ714" s="49"/>
      <c r="AR714" s="49"/>
      <c r="AS714" s="49"/>
      <c r="AT714" s="49"/>
      <c r="AU714" s="49"/>
      <c r="AV714" s="49"/>
      <c r="AW714" s="49"/>
      <c r="AX714" s="49"/>
    </row>
    <row r="71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c r="AF715" s="49"/>
      <c r="AG715" s="49"/>
      <c r="AH715" s="49"/>
      <c r="AI715" s="49"/>
      <c r="AJ715" s="49"/>
      <c r="AK715" s="49"/>
      <c r="AL715" s="49"/>
      <c r="AM715" s="49"/>
      <c r="AN715" s="49"/>
      <c r="AO715" s="49"/>
      <c r="AP715" s="49"/>
      <c r="AQ715" s="49"/>
      <c r="AR715" s="49"/>
      <c r="AS715" s="49"/>
      <c r="AT715" s="49"/>
      <c r="AU715" s="49"/>
      <c r="AV715" s="49"/>
      <c r="AW715" s="49"/>
      <c r="AX715" s="49"/>
    </row>
    <row r="716">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c r="AF716" s="49"/>
      <c r="AG716" s="49"/>
      <c r="AH716" s="49"/>
      <c r="AI716" s="49"/>
      <c r="AJ716" s="49"/>
      <c r="AK716" s="49"/>
      <c r="AL716" s="49"/>
      <c r="AM716" s="49"/>
      <c r="AN716" s="49"/>
      <c r="AO716" s="49"/>
      <c r="AP716" s="49"/>
      <c r="AQ716" s="49"/>
      <c r="AR716" s="49"/>
      <c r="AS716" s="49"/>
      <c r="AT716" s="49"/>
      <c r="AU716" s="49"/>
      <c r="AV716" s="49"/>
      <c r="AW716" s="49"/>
      <c r="AX716" s="49"/>
    </row>
    <row r="717">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c r="AF717" s="49"/>
      <c r="AG717" s="49"/>
      <c r="AH717" s="49"/>
      <c r="AI717" s="49"/>
      <c r="AJ717" s="49"/>
      <c r="AK717" s="49"/>
      <c r="AL717" s="49"/>
      <c r="AM717" s="49"/>
      <c r="AN717" s="49"/>
      <c r="AO717" s="49"/>
      <c r="AP717" s="49"/>
      <c r="AQ717" s="49"/>
      <c r="AR717" s="49"/>
      <c r="AS717" s="49"/>
      <c r="AT717" s="49"/>
      <c r="AU717" s="49"/>
      <c r="AV717" s="49"/>
      <c r="AW717" s="49"/>
      <c r="AX717" s="49"/>
    </row>
    <row r="718">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c r="AF718" s="49"/>
      <c r="AG718" s="49"/>
      <c r="AH718" s="49"/>
      <c r="AI718" s="49"/>
      <c r="AJ718" s="49"/>
      <c r="AK718" s="49"/>
      <c r="AL718" s="49"/>
      <c r="AM718" s="49"/>
      <c r="AN718" s="49"/>
      <c r="AO718" s="49"/>
      <c r="AP718" s="49"/>
      <c r="AQ718" s="49"/>
      <c r="AR718" s="49"/>
      <c r="AS718" s="49"/>
      <c r="AT718" s="49"/>
      <c r="AU718" s="49"/>
      <c r="AV718" s="49"/>
      <c r="AW718" s="49"/>
      <c r="AX718" s="49"/>
    </row>
    <row r="719">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c r="AF719" s="49"/>
      <c r="AG719" s="49"/>
      <c r="AH719" s="49"/>
      <c r="AI719" s="49"/>
      <c r="AJ719" s="49"/>
      <c r="AK719" s="49"/>
      <c r="AL719" s="49"/>
      <c r="AM719" s="49"/>
      <c r="AN719" s="49"/>
      <c r="AO719" s="49"/>
      <c r="AP719" s="49"/>
      <c r="AQ719" s="49"/>
      <c r="AR719" s="49"/>
      <c r="AS719" s="49"/>
      <c r="AT719" s="49"/>
      <c r="AU719" s="49"/>
      <c r="AV719" s="49"/>
      <c r="AW719" s="49"/>
      <c r="AX719" s="49"/>
    </row>
    <row r="720">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c r="AF720" s="49"/>
      <c r="AG720" s="49"/>
      <c r="AH720" s="49"/>
      <c r="AI720" s="49"/>
      <c r="AJ720" s="49"/>
      <c r="AK720" s="49"/>
      <c r="AL720" s="49"/>
      <c r="AM720" s="49"/>
      <c r="AN720" s="49"/>
      <c r="AO720" s="49"/>
      <c r="AP720" s="49"/>
      <c r="AQ720" s="49"/>
      <c r="AR720" s="49"/>
      <c r="AS720" s="49"/>
      <c r="AT720" s="49"/>
      <c r="AU720" s="49"/>
      <c r="AV720" s="49"/>
      <c r="AW720" s="49"/>
      <c r="AX720" s="49"/>
    </row>
    <row r="721">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c r="AF721" s="49"/>
      <c r="AG721" s="49"/>
      <c r="AH721" s="49"/>
      <c r="AI721" s="49"/>
      <c r="AJ721" s="49"/>
      <c r="AK721" s="49"/>
      <c r="AL721" s="49"/>
      <c r="AM721" s="49"/>
      <c r="AN721" s="49"/>
      <c r="AO721" s="49"/>
      <c r="AP721" s="49"/>
      <c r="AQ721" s="49"/>
      <c r="AR721" s="49"/>
      <c r="AS721" s="49"/>
      <c r="AT721" s="49"/>
      <c r="AU721" s="49"/>
      <c r="AV721" s="49"/>
      <c r="AW721" s="49"/>
      <c r="AX721" s="49"/>
    </row>
    <row r="722">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c r="AF722" s="49"/>
      <c r="AG722" s="49"/>
      <c r="AH722" s="49"/>
      <c r="AI722" s="49"/>
      <c r="AJ722" s="49"/>
      <c r="AK722" s="49"/>
      <c r="AL722" s="49"/>
      <c r="AM722" s="49"/>
      <c r="AN722" s="49"/>
      <c r="AO722" s="49"/>
      <c r="AP722" s="49"/>
      <c r="AQ722" s="49"/>
      <c r="AR722" s="49"/>
      <c r="AS722" s="49"/>
      <c r="AT722" s="49"/>
      <c r="AU722" s="49"/>
      <c r="AV722" s="49"/>
      <c r="AW722" s="49"/>
      <c r="AX722" s="49"/>
    </row>
    <row r="723">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c r="AF723" s="49"/>
      <c r="AG723" s="49"/>
      <c r="AH723" s="49"/>
      <c r="AI723" s="49"/>
      <c r="AJ723" s="49"/>
      <c r="AK723" s="49"/>
      <c r="AL723" s="49"/>
      <c r="AM723" s="49"/>
      <c r="AN723" s="49"/>
      <c r="AO723" s="49"/>
      <c r="AP723" s="49"/>
      <c r="AQ723" s="49"/>
      <c r="AR723" s="49"/>
      <c r="AS723" s="49"/>
      <c r="AT723" s="49"/>
      <c r="AU723" s="49"/>
      <c r="AV723" s="49"/>
      <c r="AW723" s="49"/>
      <c r="AX723" s="49"/>
    </row>
    <row r="724">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c r="AF724" s="49"/>
      <c r="AG724" s="49"/>
      <c r="AH724" s="49"/>
      <c r="AI724" s="49"/>
      <c r="AJ724" s="49"/>
      <c r="AK724" s="49"/>
      <c r="AL724" s="49"/>
      <c r="AM724" s="49"/>
      <c r="AN724" s="49"/>
      <c r="AO724" s="49"/>
      <c r="AP724" s="49"/>
      <c r="AQ724" s="49"/>
      <c r="AR724" s="49"/>
      <c r="AS724" s="49"/>
      <c r="AT724" s="49"/>
      <c r="AU724" s="49"/>
      <c r="AV724" s="49"/>
      <c r="AW724" s="49"/>
      <c r="AX724" s="49"/>
    </row>
    <row r="7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c r="AF725" s="49"/>
      <c r="AG725" s="49"/>
      <c r="AH725" s="49"/>
      <c r="AI725" s="49"/>
      <c r="AJ725" s="49"/>
      <c r="AK725" s="49"/>
      <c r="AL725" s="49"/>
      <c r="AM725" s="49"/>
      <c r="AN725" s="49"/>
      <c r="AO725" s="49"/>
      <c r="AP725" s="49"/>
      <c r="AQ725" s="49"/>
      <c r="AR725" s="49"/>
      <c r="AS725" s="49"/>
      <c r="AT725" s="49"/>
      <c r="AU725" s="49"/>
      <c r="AV725" s="49"/>
      <c r="AW725" s="49"/>
      <c r="AX725" s="49"/>
    </row>
    <row r="726">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c r="AF726" s="49"/>
      <c r="AG726" s="49"/>
      <c r="AH726" s="49"/>
      <c r="AI726" s="49"/>
      <c r="AJ726" s="49"/>
      <c r="AK726" s="49"/>
      <c r="AL726" s="49"/>
      <c r="AM726" s="49"/>
      <c r="AN726" s="49"/>
      <c r="AO726" s="49"/>
      <c r="AP726" s="49"/>
      <c r="AQ726" s="49"/>
      <c r="AR726" s="49"/>
      <c r="AS726" s="49"/>
      <c r="AT726" s="49"/>
      <c r="AU726" s="49"/>
      <c r="AV726" s="49"/>
      <c r="AW726" s="49"/>
      <c r="AX726" s="49"/>
    </row>
    <row r="727">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c r="AF727" s="49"/>
      <c r="AG727" s="49"/>
      <c r="AH727" s="49"/>
      <c r="AI727" s="49"/>
      <c r="AJ727" s="49"/>
      <c r="AK727" s="49"/>
      <c r="AL727" s="49"/>
      <c r="AM727" s="49"/>
      <c r="AN727" s="49"/>
      <c r="AO727" s="49"/>
      <c r="AP727" s="49"/>
      <c r="AQ727" s="49"/>
      <c r="AR727" s="49"/>
      <c r="AS727" s="49"/>
      <c r="AT727" s="49"/>
      <c r="AU727" s="49"/>
      <c r="AV727" s="49"/>
      <c r="AW727" s="49"/>
      <c r="AX727" s="49"/>
    </row>
    <row r="728">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c r="AF728" s="49"/>
      <c r="AG728" s="49"/>
      <c r="AH728" s="49"/>
      <c r="AI728" s="49"/>
      <c r="AJ728" s="49"/>
      <c r="AK728" s="49"/>
      <c r="AL728" s="49"/>
      <c r="AM728" s="49"/>
      <c r="AN728" s="49"/>
      <c r="AO728" s="49"/>
      <c r="AP728" s="49"/>
      <c r="AQ728" s="49"/>
      <c r="AR728" s="49"/>
      <c r="AS728" s="49"/>
      <c r="AT728" s="49"/>
      <c r="AU728" s="49"/>
      <c r="AV728" s="49"/>
      <c r="AW728" s="49"/>
      <c r="AX728" s="49"/>
    </row>
    <row r="729">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c r="AF729" s="49"/>
      <c r="AG729" s="49"/>
      <c r="AH729" s="49"/>
      <c r="AI729" s="49"/>
      <c r="AJ729" s="49"/>
      <c r="AK729" s="49"/>
      <c r="AL729" s="49"/>
      <c r="AM729" s="49"/>
      <c r="AN729" s="49"/>
      <c r="AO729" s="49"/>
      <c r="AP729" s="49"/>
      <c r="AQ729" s="49"/>
      <c r="AR729" s="49"/>
      <c r="AS729" s="49"/>
      <c r="AT729" s="49"/>
      <c r="AU729" s="49"/>
      <c r="AV729" s="49"/>
      <c r="AW729" s="49"/>
      <c r="AX729" s="49"/>
    </row>
    <row r="730">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c r="AF730" s="49"/>
      <c r="AG730" s="49"/>
      <c r="AH730" s="49"/>
      <c r="AI730" s="49"/>
      <c r="AJ730" s="49"/>
      <c r="AK730" s="49"/>
      <c r="AL730" s="49"/>
      <c r="AM730" s="49"/>
      <c r="AN730" s="49"/>
      <c r="AO730" s="49"/>
      <c r="AP730" s="49"/>
      <c r="AQ730" s="49"/>
      <c r="AR730" s="49"/>
      <c r="AS730" s="49"/>
      <c r="AT730" s="49"/>
      <c r="AU730" s="49"/>
      <c r="AV730" s="49"/>
      <c r="AW730" s="49"/>
      <c r="AX730" s="49"/>
    </row>
    <row r="731">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c r="AF731" s="49"/>
      <c r="AG731" s="49"/>
      <c r="AH731" s="49"/>
      <c r="AI731" s="49"/>
      <c r="AJ731" s="49"/>
      <c r="AK731" s="49"/>
      <c r="AL731" s="49"/>
      <c r="AM731" s="49"/>
      <c r="AN731" s="49"/>
      <c r="AO731" s="49"/>
      <c r="AP731" s="49"/>
      <c r="AQ731" s="49"/>
      <c r="AR731" s="49"/>
      <c r="AS731" s="49"/>
      <c r="AT731" s="49"/>
      <c r="AU731" s="49"/>
      <c r="AV731" s="49"/>
      <c r="AW731" s="49"/>
      <c r="AX731" s="49"/>
    </row>
    <row r="732">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c r="AF732" s="49"/>
      <c r="AG732" s="49"/>
      <c r="AH732" s="49"/>
      <c r="AI732" s="49"/>
      <c r="AJ732" s="49"/>
      <c r="AK732" s="49"/>
      <c r="AL732" s="49"/>
      <c r="AM732" s="49"/>
      <c r="AN732" s="49"/>
      <c r="AO732" s="49"/>
      <c r="AP732" s="49"/>
      <c r="AQ732" s="49"/>
      <c r="AR732" s="49"/>
      <c r="AS732" s="49"/>
      <c r="AT732" s="49"/>
      <c r="AU732" s="49"/>
      <c r="AV732" s="49"/>
      <c r="AW732" s="49"/>
      <c r="AX732" s="49"/>
    </row>
    <row r="733">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c r="AF733" s="49"/>
      <c r="AG733" s="49"/>
      <c r="AH733" s="49"/>
      <c r="AI733" s="49"/>
      <c r="AJ733" s="49"/>
      <c r="AK733" s="49"/>
      <c r="AL733" s="49"/>
      <c r="AM733" s="49"/>
      <c r="AN733" s="49"/>
      <c r="AO733" s="49"/>
      <c r="AP733" s="49"/>
      <c r="AQ733" s="49"/>
      <c r="AR733" s="49"/>
      <c r="AS733" s="49"/>
      <c r="AT733" s="49"/>
      <c r="AU733" s="49"/>
      <c r="AV733" s="49"/>
      <c r="AW733" s="49"/>
      <c r="AX733" s="49"/>
    </row>
    <row r="734">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c r="AF734" s="49"/>
      <c r="AG734" s="49"/>
      <c r="AH734" s="49"/>
      <c r="AI734" s="49"/>
      <c r="AJ734" s="49"/>
      <c r="AK734" s="49"/>
      <c r="AL734" s="49"/>
      <c r="AM734" s="49"/>
      <c r="AN734" s="49"/>
      <c r="AO734" s="49"/>
      <c r="AP734" s="49"/>
      <c r="AQ734" s="49"/>
      <c r="AR734" s="49"/>
      <c r="AS734" s="49"/>
      <c r="AT734" s="49"/>
      <c r="AU734" s="49"/>
      <c r="AV734" s="49"/>
      <c r="AW734" s="49"/>
      <c r="AX734" s="49"/>
    </row>
    <row r="7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c r="AF735" s="49"/>
      <c r="AG735" s="49"/>
      <c r="AH735" s="49"/>
      <c r="AI735" s="49"/>
      <c r="AJ735" s="49"/>
      <c r="AK735" s="49"/>
      <c r="AL735" s="49"/>
      <c r="AM735" s="49"/>
      <c r="AN735" s="49"/>
      <c r="AO735" s="49"/>
      <c r="AP735" s="49"/>
      <c r="AQ735" s="49"/>
      <c r="AR735" s="49"/>
      <c r="AS735" s="49"/>
      <c r="AT735" s="49"/>
      <c r="AU735" s="49"/>
      <c r="AV735" s="49"/>
      <c r="AW735" s="49"/>
      <c r="AX735" s="49"/>
    </row>
    <row r="736">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c r="AF736" s="49"/>
      <c r="AG736" s="49"/>
      <c r="AH736" s="49"/>
      <c r="AI736" s="49"/>
      <c r="AJ736" s="49"/>
      <c r="AK736" s="49"/>
      <c r="AL736" s="49"/>
      <c r="AM736" s="49"/>
      <c r="AN736" s="49"/>
      <c r="AO736" s="49"/>
      <c r="AP736" s="49"/>
      <c r="AQ736" s="49"/>
      <c r="AR736" s="49"/>
      <c r="AS736" s="49"/>
      <c r="AT736" s="49"/>
      <c r="AU736" s="49"/>
      <c r="AV736" s="49"/>
      <c r="AW736" s="49"/>
      <c r="AX736" s="49"/>
    </row>
    <row r="737">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c r="AF737" s="49"/>
      <c r="AG737" s="49"/>
      <c r="AH737" s="49"/>
      <c r="AI737" s="49"/>
      <c r="AJ737" s="49"/>
      <c r="AK737" s="49"/>
      <c r="AL737" s="49"/>
      <c r="AM737" s="49"/>
      <c r="AN737" s="49"/>
      <c r="AO737" s="49"/>
      <c r="AP737" s="49"/>
      <c r="AQ737" s="49"/>
      <c r="AR737" s="49"/>
      <c r="AS737" s="49"/>
      <c r="AT737" s="49"/>
      <c r="AU737" s="49"/>
      <c r="AV737" s="49"/>
      <c r="AW737" s="49"/>
      <c r="AX737" s="49"/>
    </row>
    <row r="738">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c r="AF738" s="49"/>
      <c r="AG738" s="49"/>
      <c r="AH738" s="49"/>
      <c r="AI738" s="49"/>
      <c r="AJ738" s="49"/>
      <c r="AK738" s="49"/>
      <c r="AL738" s="49"/>
      <c r="AM738" s="49"/>
      <c r="AN738" s="49"/>
      <c r="AO738" s="49"/>
      <c r="AP738" s="49"/>
      <c r="AQ738" s="49"/>
      <c r="AR738" s="49"/>
      <c r="AS738" s="49"/>
      <c r="AT738" s="49"/>
      <c r="AU738" s="49"/>
      <c r="AV738" s="49"/>
      <c r="AW738" s="49"/>
      <c r="AX738" s="49"/>
    </row>
    <row r="739">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c r="AF739" s="49"/>
      <c r="AG739" s="49"/>
      <c r="AH739" s="49"/>
      <c r="AI739" s="49"/>
      <c r="AJ739" s="49"/>
      <c r="AK739" s="49"/>
      <c r="AL739" s="49"/>
      <c r="AM739" s="49"/>
      <c r="AN739" s="49"/>
      <c r="AO739" s="49"/>
      <c r="AP739" s="49"/>
      <c r="AQ739" s="49"/>
      <c r="AR739" s="49"/>
      <c r="AS739" s="49"/>
      <c r="AT739" s="49"/>
      <c r="AU739" s="49"/>
      <c r="AV739" s="49"/>
      <c r="AW739" s="49"/>
      <c r="AX739" s="49"/>
    </row>
    <row r="740">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c r="AF740" s="49"/>
      <c r="AG740" s="49"/>
      <c r="AH740" s="49"/>
      <c r="AI740" s="49"/>
      <c r="AJ740" s="49"/>
      <c r="AK740" s="49"/>
      <c r="AL740" s="49"/>
      <c r="AM740" s="49"/>
      <c r="AN740" s="49"/>
      <c r="AO740" s="49"/>
      <c r="AP740" s="49"/>
      <c r="AQ740" s="49"/>
      <c r="AR740" s="49"/>
      <c r="AS740" s="49"/>
      <c r="AT740" s="49"/>
      <c r="AU740" s="49"/>
      <c r="AV740" s="49"/>
      <c r="AW740" s="49"/>
      <c r="AX740" s="49"/>
    </row>
    <row r="741">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c r="AF741" s="49"/>
      <c r="AG741" s="49"/>
      <c r="AH741" s="49"/>
      <c r="AI741" s="49"/>
      <c r="AJ741" s="49"/>
      <c r="AK741" s="49"/>
      <c r="AL741" s="49"/>
      <c r="AM741" s="49"/>
      <c r="AN741" s="49"/>
      <c r="AO741" s="49"/>
      <c r="AP741" s="49"/>
      <c r="AQ741" s="49"/>
      <c r="AR741" s="49"/>
      <c r="AS741" s="49"/>
      <c r="AT741" s="49"/>
      <c r="AU741" s="49"/>
      <c r="AV741" s="49"/>
      <c r="AW741" s="49"/>
      <c r="AX741" s="49"/>
    </row>
    <row r="742">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c r="AF742" s="49"/>
      <c r="AG742" s="49"/>
      <c r="AH742" s="49"/>
      <c r="AI742" s="49"/>
      <c r="AJ742" s="49"/>
      <c r="AK742" s="49"/>
      <c r="AL742" s="49"/>
      <c r="AM742" s="49"/>
      <c r="AN742" s="49"/>
      <c r="AO742" s="49"/>
      <c r="AP742" s="49"/>
      <c r="AQ742" s="49"/>
      <c r="AR742" s="49"/>
      <c r="AS742" s="49"/>
      <c r="AT742" s="49"/>
      <c r="AU742" s="49"/>
      <c r="AV742" s="49"/>
      <c r="AW742" s="49"/>
      <c r="AX742" s="49"/>
    </row>
    <row r="743">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c r="AF743" s="49"/>
      <c r="AG743" s="49"/>
      <c r="AH743" s="49"/>
      <c r="AI743" s="49"/>
      <c r="AJ743" s="49"/>
      <c r="AK743" s="49"/>
      <c r="AL743" s="49"/>
      <c r="AM743" s="49"/>
      <c r="AN743" s="49"/>
      <c r="AO743" s="49"/>
      <c r="AP743" s="49"/>
      <c r="AQ743" s="49"/>
      <c r="AR743" s="49"/>
      <c r="AS743" s="49"/>
      <c r="AT743" s="49"/>
      <c r="AU743" s="49"/>
      <c r="AV743" s="49"/>
      <c r="AW743" s="49"/>
      <c r="AX743" s="49"/>
    </row>
    <row r="744">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c r="AF744" s="49"/>
      <c r="AG744" s="49"/>
      <c r="AH744" s="49"/>
      <c r="AI744" s="49"/>
      <c r="AJ744" s="49"/>
      <c r="AK744" s="49"/>
      <c r="AL744" s="49"/>
      <c r="AM744" s="49"/>
      <c r="AN744" s="49"/>
      <c r="AO744" s="49"/>
      <c r="AP744" s="49"/>
      <c r="AQ744" s="49"/>
      <c r="AR744" s="49"/>
      <c r="AS744" s="49"/>
      <c r="AT744" s="49"/>
      <c r="AU744" s="49"/>
      <c r="AV744" s="49"/>
      <c r="AW744" s="49"/>
      <c r="AX744" s="49"/>
    </row>
    <row r="74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c r="AF745" s="49"/>
      <c r="AG745" s="49"/>
      <c r="AH745" s="49"/>
      <c r="AI745" s="49"/>
      <c r="AJ745" s="49"/>
      <c r="AK745" s="49"/>
      <c r="AL745" s="49"/>
      <c r="AM745" s="49"/>
      <c r="AN745" s="49"/>
      <c r="AO745" s="49"/>
      <c r="AP745" s="49"/>
      <c r="AQ745" s="49"/>
      <c r="AR745" s="49"/>
      <c r="AS745" s="49"/>
      <c r="AT745" s="49"/>
      <c r="AU745" s="49"/>
      <c r="AV745" s="49"/>
      <c r="AW745" s="49"/>
      <c r="AX745" s="49"/>
    </row>
    <row r="746">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c r="AF746" s="49"/>
      <c r="AG746" s="49"/>
      <c r="AH746" s="49"/>
      <c r="AI746" s="49"/>
      <c r="AJ746" s="49"/>
      <c r="AK746" s="49"/>
      <c r="AL746" s="49"/>
      <c r="AM746" s="49"/>
      <c r="AN746" s="49"/>
      <c r="AO746" s="49"/>
      <c r="AP746" s="49"/>
      <c r="AQ746" s="49"/>
      <c r="AR746" s="49"/>
      <c r="AS746" s="49"/>
      <c r="AT746" s="49"/>
      <c r="AU746" s="49"/>
      <c r="AV746" s="49"/>
      <c r="AW746" s="49"/>
      <c r="AX746" s="49"/>
    </row>
    <row r="747">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c r="AF747" s="49"/>
      <c r="AG747" s="49"/>
      <c r="AH747" s="49"/>
      <c r="AI747" s="49"/>
      <c r="AJ747" s="49"/>
      <c r="AK747" s="49"/>
      <c r="AL747" s="49"/>
      <c r="AM747" s="49"/>
      <c r="AN747" s="49"/>
      <c r="AO747" s="49"/>
      <c r="AP747" s="49"/>
      <c r="AQ747" s="49"/>
      <c r="AR747" s="49"/>
      <c r="AS747" s="49"/>
      <c r="AT747" s="49"/>
      <c r="AU747" s="49"/>
      <c r="AV747" s="49"/>
      <c r="AW747" s="49"/>
      <c r="AX747" s="49"/>
    </row>
    <row r="748">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c r="AF748" s="49"/>
      <c r="AG748" s="49"/>
      <c r="AH748" s="49"/>
      <c r="AI748" s="49"/>
      <c r="AJ748" s="49"/>
      <c r="AK748" s="49"/>
      <c r="AL748" s="49"/>
      <c r="AM748" s="49"/>
      <c r="AN748" s="49"/>
      <c r="AO748" s="49"/>
      <c r="AP748" s="49"/>
      <c r="AQ748" s="49"/>
      <c r="AR748" s="49"/>
      <c r="AS748" s="49"/>
      <c r="AT748" s="49"/>
      <c r="AU748" s="49"/>
      <c r="AV748" s="49"/>
      <c r="AW748" s="49"/>
      <c r="AX748" s="49"/>
    </row>
    <row r="749">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c r="AF749" s="49"/>
      <c r="AG749" s="49"/>
      <c r="AH749" s="49"/>
      <c r="AI749" s="49"/>
      <c r="AJ749" s="49"/>
      <c r="AK749" s="49"/>
      <c r="AL749" s="49"/>
      <c r="AM749" s="49"/>
      <c r="AN749" s="49"/>
      <c r="AO749" s="49"/>
      <c r="AP749" s="49"/>
      <c r="AQ749" s="49"/>
      <c r="AR749" s="49"/>
      <c r="AS749" s="49"/>
      <c r="AT749" s="49"/>
      <c r="AU749" s="49"/>
      <c r="AV749" s="49"/>
      <c r="AW749" s="49"/>
      <c r="AX749" s="49"/>
    </row>
    <row r="750">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c r="AF750" s="49"/>
      <c r="AG750" s="49"/>
      <c r="AH750" s="49"/>
      <c r="AI750" s="49"/>
      <c r="AJ750" s="49"/>
      <c r="AK750" s="49"/>
      <c r="AL750" s="49"/>
      <c r="AM750" s="49"/>
      <c r="AN750" s="49"/>
      <c r="AO750" s="49"/>
      <c r="AP750" s="49"/>
      <c r="AQ750" s="49"/>
      <c r="AR750" s="49"/>
      <c r="AS750" s="49"/>
      <c r="AT750" s="49"/>
      <c r="AU750" s="49"/>
      <c r="AV750" s="49"/>
      <c r="AW750" s="49"/>
      <c r="AX750" s="49"/>
    </row>
    <row r="751">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c r="AF751" s="49"/>
      <c r="AG751" s="49"/>
      <c r="AH751" s="49"/>
      <c r="AI751" s="49"/>
      <c r="AJ751" s="49"/>
      <c r="AK751" s="49"/>
      <c r="AL751" s="49"/>
      <c r="AM751" s="49"/>
      <c r="AN751" s="49"/>
      <c r="AO751" s="49"/>
      <c r="AP751" s="49"/>
      <c r="AQ751" s="49"/>
      <c r="AR751" s="49"/>
      <c r="AS751" s="49"/>
      <c r="AT751" s="49"/>
      <c r="AU751" s="49"/>
      <c r="AV751" s="49"/>
      <c r="AW751" s="49"/>
      <c r="AX751" s="49"/>
    </row>
    <row r="752">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c r="AF752" s="49"/>
      <c r="AG752" s="49"/>
      <c r="AH752" s="49"/>
      <c r="AI752" s="49"/>
      <c r="AJ752" s="49"/>
      <c r="AK752" s="49"/>
      <c r="AL752" s="49"/>
      <c r="AM752" s="49"/>
      <c r="AN752" s="49"/>
      <c r="AO752" s="49"/>
      <c r="AP752" s="49"/>
      <c r="AQ752" s="49"/>
      <c r="AR752" s="49"/>
      <c r="AS752" s="49"/>
      <c r="AT752" s="49"/>
      <c r="AU752" s="49"/>
      <c r="AV752" s="49"/>
      <c r="AW752" s="49"/>
      <c r="AX752" s="49"/>
    </row>
    <row r="753">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c r="AF753" s="49"/>
      <c r="AG753" s="49"/>
      <c r="AH753" s="49"/>
      <c r="AI753" s="49"/>
      <c r="AJ753" s="49"/>
      <c r="AK753" s="49"/>
      <c r="AL753" s="49"/>
      <c r="AM753" s="49"/>
      <c r="AN753" s="49"/>
      <c r="AO753" s="49"/>
      <c r="AP753" s="49"/>
      <c r="AQ753" s="49"/>
      <c r="AR753" s="49"/>
      <c r="AS753" s="49"/>
      <c r="AT753" s="49"/>
      <c r="AU753" s="49"/>
      <c r="AV753" s="49"/>
      <c r="AW753" s="49"/>
      <c r="AX753" s="49"/>
    </row>
    <row r="754">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c r="AF754" s="49"/>
      <c r="AG754" s="49"/>
      <c r="AH754" s="49"/>
      <c r="AI754" s="49"/>
      <c r="AJ754" s="49"/>
      <c r="AK754" s="49"/>
      <c r="AL754" s="49"/>
      <c r="AM754" s="49"/>
      <c r="AN754" s="49"/>
      <c r="AO754" s="49"/>
      <c r="AP754" s="49"/>
      <c r="AQ754" s="49"/>
      <c r="AR754" s="49"/>
      <c r="AS754" s="49"/>
      <c r="AT754" s="49"/>
      <c r="AU754" s="49"/>
      <c r="AV754" s="49"/>
      <c r="AW754" s="49"/>
      <c r="AX754" s="49"/>
    </row>
    <row r="75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c r="AF755" s="49"/>
      <c r="AG755" s="49"/>
      <c r="AH755" s="49"/>
      <c r="AI755" s="49"/>
      <c r="AJ755" s="49"/>
      <c r="AK755" s="49"/>
      <c r="AL755" s="49"/>
      <c r="AM755" s="49"/>
      <c r="AN755" s="49"/>
      <c r="AO755" s="49"/>
      <c r="AP755" s="49"/>
      <c r="AQ755" s="49"/>
      <c r="AR755" s="49"/>
      <c r="AS755" s="49"/>
      <c r="AT755" s="49"/>
      <c r="AU755" s="49"/>
      <c r="AV755" s="49"/>
      <c r="AW755" s="49"/>
      <c r="AX755" s="49"/>
    </row>
    <row r="756">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c r="AF756" s="49"/>
      <c r="AG756" s="49"/>
      <c r="AH756" s="49"/>
      <c r="AI756" s="49"/>
      <c r="AJ756" s="49"/>
      <c r="AK756" s="49"/>
      <c r="AL756" s="49"/>
      <c r="AM756" s="49"/>
      <c r="AN756" s="49"/>
      <c r="AO756" s="49"/>
      <c r="AP756" s="49"/>
      <c r="AQ756" s="49"/>
      <c r="AR756" s="49"/>
      <c r="AS756" s="49"/>
      <c r="AT756" s="49"/>
      <c r="AU756" s="49"/>
      <c r="AV756" s="49"/>
      <c r="AW756" s="49"/>
      <c r="AX756" s="49"/>
    </row>
    <row r="757">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c r="AF757" s="49"/>
      <c r="AG757" s="49"/>
      <c r="AH757" s="49"/>
      <c r="AI757" s="49"/>
      <c r="AJ757" s="49"/>
      <c r="AK757" s="49"/>
      <c r="AL757" s="49"/>
      <c r="AM757" s="49"/>
      <c r="AN757" s="49"/>
      <c r="AO757" s="49"/>
      <c r="AP757" s="49"/>
      <c r="AQ757" s="49"/>
      <c r="AR757" s="49"/>
      <c r="AS757" s="49"/>
      <c r="AT757" s="49"/>
      <c r="AU757" s="49"/>
      <c r="AV757" s="49"/>
      <c r="AW757" s="49"/>
      <c r="AX757" s="49"/>
    </row>
    <row r="758">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c r="AF758" s="49"/>
      <c r="AG758" s="49"/>
      <c r="AH758" s="49"/>
      <c r="AI758" s="49"/>
      <c r="AJ758" s="49"/>
      <c r="AK758" s="49"/>
      <c r="AL758" s="49"/>
      <c r="AM758" s="49"/>
      <c r="AN758" s="49"/>
      <c r="AO758" s="49"/>
      <c r="AP758" s="49"/>
      <c r="AQ758" s="49"/>
      <c r="AR758" s="49"/>
      <c r="AS758" s="49"/>
      <c r="AT758" s="49"/>
      <c r="AU758" s="49"/>
      <c r="AV758" s="49"/>
      <c r="AW758" s="49"/>
      <c r="AX758" s="49"/>
    </row>
    <row r="759">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c r="AF759" s="49"/>
      <c r="AG759" s="49"/>
      <c r="AH759" s="49"/>
      <c r="AI759" s="49"/>
      <c r="AJ759" s="49"/>
      <c r="AK759" s="49"/>
      <c r="AL759" s="49"/>
      <c r="AM759" s="49"/>
      <c r="AN759" s="49"/>
      <c r="AO759" s="49"/>
      <c r="AP759" s="49"/>
      <c r="AQ759" s="49"/>
      <c r="AR759" s="49"/>
      <c r="AS759" s="49"/>
      <c r="AT759" s="49"/>
      <c r="AU759" s="49"/>
      <c r="AV759" s="49"/>
      <c r="AW759" s="49"/>
      <c r="AX759" s="49"/>
    </row>
    <row r="760">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c r="AF760" s="49"/>
      <c r="AG760" s="49"/>
      <c r="AH760" s="49"/>
      <c r="AI760" s="49"/>
      <c r="AJ760" s="49"/>
      <c r="AK760" s="49"/>
      <c r="AL760" s="49"/>
      <c r="AM760" s="49"/>
      <c r="AN760" s="49"/>
      <c r="AO760" s="49"/>
      <c r="AP760" s="49"/>
      <c r="AQ760" s="49"/>
      <c r="AR760" s="49"/>
      <c r="AS760" s="49"/>
      <c r="AT760" s="49"/>
      <c r="AU760" s="49"/>
      <c r="AV760" s="49"/>
      <c r="AW760" s="49"/>
      <c r="AX760" s="49"/>
    </row>
    <row r="761">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c r="AF761" s="49"/>
      <c r="AG761" s="49"/>
      <c r="AH761" s="49"/>
      <c r="AI761" s="49"/>
      <c r="AJ761" s="49"/>
      <c r="AK761" s="49"/>
      <c r="AL761" s="49"/>
      <c r="AM761" s="49"/>
      <c r="AN761" s="49"/>
      <c r="AO761" s="49"/>
      <c r="AP761" s="49"/>
      <c r="AQ761" s="49"/>
      <c r="AR761" s="49"/>
      <c r="AS761" s="49"/>
      <c r="AT761" s="49"/>
      <c r="AU761" s="49"/>
      <c r="AV761" s="49"/>
      <c r="AW761" s="49"/>
      <c r="AX761" s="49"/>
    </row>
    <row r="762">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c r="AF762" s="49"/>
      <c r="AG762" s="49"/>
      <c r="AH762" s="49"/>
      <c r="AI762" s="49"/>
      <c r="AJ762" s="49"/>
      <c r="AK762" s="49"/>
      <c r="AL762" s="49"/>
      <c r="AM762" s="49"/>
      <c r="AN762" s="49"/>
      <c r="AO762" s="49"/>
      <c r="AP762" s="49"/>
      <c r="AQ762" s="49"/>
      <c r="AR762" s="49"/>
      <c r="AS762" s="49"/>
      <c r="AT762" s="49"/>
      <c r="AU762" s="49"/>
      <c r="AV762" s="49"/>
      <c r="AW762" s="49"/>
      <c r="AX762" s="49"/>
    </row>
    <row r="763">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c r="AF763" s="49"/>
      <c r="AG763" s="49"/>
      <c r="AH763" s="49"/>
      <c r="AI763" s="49"/>
      <c r="AJ763" s="49"/>
      <c r="AK763" s="49"/>
      <c r="AL763" s="49"/>
      <c r="AM763" s="49"/>
      <c r="AN763" s="49"/>
      <c r="AO763" s="49"/>
      <c r="AP763" s="49"/>
      <c r="AQ763" s="49"/>
      <c r="AR763" s="49"/>
      <c r="AS763" s="49"/>
      <c r="AT763" s="49"/>
      <c r="AU763" s="49"/>
      <c r="AV763" s="49"/>
      <c r="AW763" s="49"/>
      <c r="AX763" s="49"/>
    </row>
    <row r="764">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c r="AF764" s="49"/>
      <c r="AG764" s="49"/>
      <c r="AH764" s="49"/>
      <c r="AI764" s="49"/>
      <c r="AJ764" s="49"/>
      <c r="AK764" s="49"/>
      <c r="AL764" s="49"/>
      <c r="AM764" s="49"/>
      <c r="AN764" s="49"/>
      <c r="AO764" s="49"/>
      <c r="AP764" s="49"/>
      <c r="AQ764" s="49"/>
      <c r="AR764" s="49"/>
      <c r="AS764" s="49"/>
      <c r="AT764" s="49"/>
      <c r="AU764" s="49"/>
      <c r="AV764" s="49"/>
      <c r="AW764" s="49"/>
      <c r="AX764" s="49"/>
    </row>
    <row r="76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c r="AF765" s="49"/>
      <c r="AG765" s="49"/>
      <c r="AH765" s="49"/>
      <c r="AI765" s="49"/>
      <c r="AJ765" s="49"/>
      <c r="AK765" s="49"/>
      <c r="AL765" s="49"/>
      <c r="AM765" s="49"/>
      <c r="AN765" s="49"/>
      <c r="AO765" s="49"/>
      <c r="AP765" s="49"/>
      <c r="AQ765" s="49"/>
      <c r="AR765" s="49"/>
      <c r="AS765" s="49"/>
      <c r="AT765" s="49"/>
      <c r="AU765" s="49"/>
      <c r="AV765" s="49"/>
      <c r="AW765" s="49"/>
      <c r="AX765" s="49"/>
    </row>
    <row r="766">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c r="AF766" s="49"/>
      <c r="AG766" s="49"/>
      <c r="AH766" s="49"/>
      <c r="AI766" s="49"/>
      <c r="AJ766" s="49"/>
      <c r="AK766" s="49"/>
      <c r="AL766" s="49"/>
      <c r="AM766" s="49"/>
      <c r="AN766" s="49"/>
      <c r="AO766" s="49"/>
      <c r="AP766" s="49"/>
      <c r="AQ766" s="49"/>
      <c r="AR766" s="49"/>
      <c r="AS766" s="49"/>
      <c r="AT766" s="49"/>
      <c r="AU766" s="49"/>
      <c r="AV766" s="49"/>
      <c r="AW766" s="49"/>
      <c r="AX766" s="49"/>
    </row>
    <row r="767">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c r="AF767" s="49"/>
      <c r="AG767" s="49"/>
      <c r="AH767" s="49"/>
      <c r="AI767" s="49"/>
      <c r="AJ767" s="49"/>
      <c r="AK767" s="49"/>
      <c r="AL767" s="49"/>
      <c r="AM767" s="49"/>
      <c r="AN767" s="49"/>
      <c r="AO767" s="49"/>
      <c r="AP767" s="49"/>
      <c r="AQ767" s="49"/>
      <c r="AR767" s="49"/>
      <c r="AS767" s="49"/>
      <c r="AT767" s="49"/>
      <c r="AU767" s="49"/>
      <c r="AV767" s="49"/>
      <c r="AW767" s="49"/>
      <c r="AX767" s="49"/>
    </row>
    <row r="768">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c r="AF768" s="49"/>
      <c r="AG768" s="49"/>
      <c r="AH768" s="49"/>
      <c r="AI768" s="49"/>
      <c r="AJ768" s="49"/>
      <c r="AK768" s="49"/>
      <c r="AL768" s="49"/>
      <c r="AM768" s="49"/>
      <c r="AN768" s="49"/>
      <c r="AO768" s="49"/>
      <c r="AP768" s="49"/>
      <c r="AQ768" s="49"/>
      <c r="AR768" s="49"/>
      <c r="AS768" s="49"/>
      <c r="AT768" s="49"/>
      <c r="AU768" s="49"/>
      <c r="AV768" s="49"/>
      <c r="AW768" s="49"/>
      <c r="AX768" s="49"/>
    </row>
    <row r="769">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c r="AF769" s="49"/>
      <c r="AG769" s="49"/>
      <c r="AH769" s="49"/>
      <c r="AI769" s="49"/>
      <c r="AJ769" s="49"/>
      <c r="AK769" s="49"/>
      <c r="AL769" s="49"/>
      <c r="AM769" s="49"/>
      <c r="AN769" s="49"/>
      <c r="AO769" s="49"/>
      <c r="AP769" s="49"/>
      <c r="AQ769" s="49"/>
      <c r="AR769" s="49"/>
      <c r="AS769" s="49"/>
      <c r="AT769" s="49"/>
      <c r="AU769" s="49"/>
      <c r="AV769" s="49"/>
      <c r="AW769" s="49"/>
      <c r="AX769" s="49"/>
    </row>
    <row r="770">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c r="AF770" s="49"/>
      <c r="AG770" s="49"/>
      <c r="AH770" s="49"/>
      <c r="AI770" s="49"/>
      <c r="AJ770" s="49"/>
      <c r="AK770" s="49"/>
      <c r="AL770" s="49"/>
      <c r="AM770" s="49"/>
      <c r="AN770" s="49"/>
      <c r="AO770" s="49"/>
      <c r="AP770" s="49"/>
      <c r="AQ770" s="49"/>
      <c r="AR770" s="49"/>
      <c r="AS770" s="49"/>
      <c r="AT770" s="49"/>
      <c r="AU770" s="49"/>
      <c r="AV770" s="49"/>
      <c r="AW770" s="49"/>
      <c r="AX770" s="49"/>
    </row>
    <row r="771">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c r="AF771" s="49"/>
      <c r="AG771" s="49"/>
      <c r="AH771" s="49"/>
      <c r="AI771" s="49"/>
      <c r="AJ771" s="49"/>
      <c r="AK771" s="49"/>
      <c r="AL771" s="49"/>
      <c r="AM771" s="49"/>
      <c r="AN771" s="49"/>
      <c r="AO771" s="49"/>
      <c r="AP771" s="49"/>
      <c r="AQ771" s="49"/>
      <c r="AR771" s="49"/>
      <c r="AS771" s="49"/>
      <c r="AT771" s="49"/>
      <c r="AU771" s="49"/>
      <c r="AV771" s="49"/>
      <c r="AW771" s="49"/>
      <c r="AX771" s="49"/>
    </row>
    <row r="772">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c r="AF772" s="49"/>
      <c r="AG772" s="49"/>
      <c r="AH772" s="49"/>
      <c r="AI772" s="49"/>
      <c r="AJ772" s="49"/>
      <c r="AK772" s="49"/>
      <c r="AL772" s="49"/>
      <c r="AM772" s="49"/>
      <c r="AN772" s="49"/>
      <c r="AO772" s="49"/>
      <c r="AP772" s="49"/>
      <c r="AQ772" s="49"/>
      <c r="AR772" s="49"/>
      <c r="AS772" s="49"/>
      <c r="AT772" s="49"/>
      <c r="AU772" s="49"/>
      <c r="AV772" s="49"/>
      <c r="AW772" s="49"/>
      <c r="AX772" s="49"/>
    </row>
    <row r="773">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c r="AF773" s="49"/>
      <c r="AG773" s="49"/>
      <c r="AH773" s="49"/>
      <c r="AI773" s="49"/>
      <c r="AJ773" s="49"/>
      <c r="AK773" s="49"/>
      <c r="AL773" s="49"/>
      <c r="AM773" s="49"/>
      <c r="AN773" s="49"/>
      <c r="AO773" s="49"/>
      <c r="AP773" s="49"/>
      <c r="AQ773" s="49"/>
      <c r="AR773" s="49"/>
      <c r="AS773" s="49"/>
      <c r="AT773" s="49"/>
      <c r="AU773" s="49"/>
      <c r="AV773" s="49"/>
      <c r="AW773" s="49"/>
      <c r="AX773" s="49"/>
    </row>
    <row r="774">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c r="AF774" s="49"/>
      <c r="AG774" s="49"/>
      <c r="AH774" s="49"/>
      <c r="AI774" s="49"/>
      <c r="AJ774" s="49"/>
      <c r="AK774" s="49"/>
      <c r="AL774" s="49"/>
      <c r="AM774" s="49"/>
      <c r="AN774" s="49"/>
      <c r="AO774" s="49"/>
      <c r="AP774" s="49"/>
      <c r="AQ774" s="49"/>
      <c r="AR774" s="49"/>
      <c r="AS774" s="49"/>
      <c r="AT774" s="49"/>
      <c r="AU774" s="49"/>
      <c r="AV774" s="49"/>
      <c r="AW774" s="49"/>
      <c r="AX774" s="49"/>
    </row>
    <row r="77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c r="AF775" s="49"/>
      <c r="AG775" s="49"/>
      <c r="AH775" s="49"/>
      <c r="AI775" s="49"/>
      <c r="AJ775" s="49"/>
      <c r="AK775" s="49"/>
      <c r="AL775" s="49"/>
      <c r="AM775" s="49"/>
      <c r="AN775" s="49"/>
      <c r="AO775" s="49"/>
      <c r="AP775" s="49"/>
      <c r="AQ775" s="49"/>
      <c r="AR775" s="49"/>
      <c r="AS775" s="49"/>
      <c r="AT775" s="49"/>
      <c r="AU775" s="49"/>
      <c r="AV775" s="49"/>
      <c r="AW775" s="49"/>
      <c r="AX775" s="49"/>
    </row>
    <row r="776">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c r="AF776" s="49"/>
      <c r="AG776" s="49"/>
      <c r="AH776" s="49"/>
      <c r="AI776" s="49"/>
      <c r="AJ776" s="49"/>
      <c r="AK776" s="49"/>
      <c r="AL776" s="49"/>
      <c r="AM776" s="49"/>
      <c r="AN776" s="49"/>
      <c r="AO776" s="49"/>
      <c r="AP776" s="49"/>
      <c r="AQ776" s="49"/>
      <c r="AR776" s="49"/>
      <c r="AS776" s="49"/>
      <c r="AT776" s="49"/>
      <c r="AU776" s="49"/>
      <c r="AV776" s="49"/>
      <c r="AW776" s="49"/>
      <c r="AX776" s="49"/>
    </row>
    <row r="777">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c r="AF777" s="49"/>
      <c r="AG777" s="49"/>
      <c r="AH777" s="49"/>
      <c r="AI777" s="49"/>
      <c r="AJ777" s="49"/>
      <c r="AK777" s="49"/>
      <c r="AL777" s="49"/>
      <c r="AM777" s="49"/>
      <c r="AN777" s="49"/>
      <c r="AO777" s="49"/>
      <c r="AP777" s="49"/>
      <c r="AQ777" s="49"/>
      <c r="AR777" s="49"/>
      <c r="AS777" s="49"/>
      <c r="AT777" s="49"/>
      <c r="AU777" s="49"/>
      <c r="AV777" s="49"/>
      <c r="AW777" s="49"/>
      <c r="AX777" s="49"/>
    </row>
    <row r="778">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c r="AF778" s="49"/>
      <c r="AG778" s="49"/>
      <c r="AH778" s="49"/>
      <c r="AI778" s="49"/>
      <c r="AJ778" s="49"/>
      <c r="AK778" s="49"/>
      <c r="AL778" s="49"/>
      <c r="AM778" s="49"/>
      <c r="AN778" s="49"/>
      <c r="AO778" s="49"/>
      <c r="AP778" s="49"/>
      <c r="AQ778" s="49"/>
      <c r="AR778" s="49"/>
      <c r="AS778" s="49"/>
      <c r="AT778" s="49"/>
      <c r="AU778" s="49"/>
      <c r="AV778" s="49"/>
      <c r="AW778" s="49"/>
      <c r="AX778" s="49"/>
    </row>
    <row r="779">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c r="AF779" s="49"/>
      <c r="AG779" s="49"/>
      <c r="AH779" s="49"/>
      <c r="AI779" s="49"/>
      <c r="AJ779" s="49"/>
      <c r="AK779" s="49"/>
      <c r="AL779" s="49"/>
      <c r="AM779" s="49"/>
      <c r="AN779" s="49"/>
      <c r="AO779" s="49"/>
      <c r="AP779" s="49"/>
      <c r="AQ779" s="49"/>
      <c r="AR779" s="49"/>
      <c r="AS779" s="49"/>
      <c r="AT779" s="49"/>
      <c r="AU779" s="49"/>
      <c r="AV779" s="49"/>
      <c r="AW779" s="49"/>
      <c r="AX779" s="49"/>
    </row>
    <row r="780">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c r="AF780" s="49"/>
      <c r="AG780" s="49"/>
      <c r="AH780" s="49"/>
      <c r="AI780" s="49"/>
      <c r="AJ780" s="49"/>
      <c r="AK780" s="49"/>
      <c r="AL780" s="49"/>
      <c r="AM780" s="49"/>
      <c r="AN780" s="49"/>
      <c r="AO780" s="49"/>
      <c r="AP780" s="49"/>
      <c r="AQ780" s="49"/>
      <c r="AR780" s="49"/>
      <c r="AS780" s="49"/>
      <c r="AT780" s="49"/>
      <c r="AU780" s="49"/>
      <c r="AV780" s="49"/>
      <c r="AW780" s="49"/>
      <c r="AX780" s="49"/>
    </row>
    <row r="781">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c r="AF781" s="49"/>
      <c r="AG781" s="49"/>
      <c r="AH781" s="49"/>
      <c r="AI781" s="49"/>
      <c r="AJ781" s="49"/>
      <c r="AK781" s="49"/>
      <c r="AL781" s="49"/>
      <c r="AM781" s="49"/>
      <c r="AN781" s="49"/>
      <c r="AO781" s="49"/>
      <c r="AP781" s="49"/>
      <c r="AQ781" s="49"/>
      <c r="AR781" s="49"/>
      <c r="AS781" s="49"/>
      <c r="AT781" s="49"/>
      <c r="AU781" s="49"/>
      <c r="AV781" s="49"/>
      <c r="AW781" s="49"/>
      <c r="AX781" s="49"/>
    </row>
    <row r="782">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c r="AF782" s="49"/>
      <c r="AG782" s="49"/>
      <c r="AH782" s="49"/>
      <c r="AI782" s="49"/>
      <c r="AJ782" s="49"/>
      <c r="AK782" s="49"/>
      <c r="AL782" s="49"/>
      <c r="AM782" s="49"/>
      <c r="AN782" s="49"/>
      <c r="AO782" s="49"/>
      <c r="AP782" s="49"/>
      <c r="AQ782" s="49"/>
      <c r="AR782" s="49"/>
      <c r="AS782" s="49"/>
      <c r="AT782" s="49"/>
      <c r="AU782" s="49"/>
      <c r="AV782" s="49"/>
      <c r="AW782" s="49"/>
      <c r="AX782" s="49"/>
    </row>
    <row r="783">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c r="AF783" s="49"/>
      <c r="AG783" s="49"/>
      <c r="AH783" s="49"/>
      <c r="AI783" s="49"/>
      <c r="AJ783" s="49"/>
      <c r="AK783" s="49"/>
      <c r="AL783" s="49"/>
      <c r="AM783" s="49"/>
      <c r="AN783" s="49"/>
      <c r="AO783" s="49"/>
      <c r="AP783" s="49"/>
      <c r="AQ783" s="49"/>
      <c r="AR783" s="49"/>
      <c r="AS783" s="49"/>
      <c r="AT783" s="49"/>
      <c r="AU783" s="49"/>
      <c r="AV783" s="49"/>
      <c r="AW783" s="49"/>
      <c r="AX783" s="49"/>
    </row>
    <row r="784">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c r="AF784" s="49"/>
      <c r="AG784" s="49"/>
      <c r="AH784" s="49"/>
      <c r="AI784" s="49"/>
      <c r="AJ784" s="49"/>
      <c r="AK784" s="49"/>
      <c r="AL784" s="49"/>
      <c r="AM784" s="49"/>
      <c r="AN784" s="49"/>
      <c r="AO784" s="49"/>
      <c r="AP784" s="49"/>
      <c r="AQ784" s="49"/>
      <c r="AR784" s="49"/>
      <c r="AS784" s="49"/>
      <c r="AT784" s="49"/>
      <c r="AU784" s="49"/>
      <c r="AV784" s="49"/>
      <c r="AW784" s="49"/>
      <c r="AX784" s="49"/>
    </row>
    <row r="78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c r="AF785" s="49"/>
      <c r="AG785" s="49"/>
      <c r="AH785" s="49"/>
      <c r="AI785" s="49"/>
      <c r="AJ785" s="49"/>
      <c r="AK785" s="49"/>
      <c r="AL785" s="49"/>
      <c r="AM785" s="49"/>
      <c r="AN785" s="49"/>
      <c r="AO785" s="49"/>
      <c r="AP785" s="49"/>
      <c r="AQ785" s="49"/>
      <c r="AR785" s="49"/>
      <c r="AS785" s="49"/>
      <c r="AT785" s="49"/>
      <c r="AU785" s="49"/>
      <c r="AV785" s="49"/>
      <c r="AW785" s="49"/>
      <c r="AX785" s="49"/>
    </row>
    <row r="786">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c r="AF786" s="49"/>
      <c r="AG786" s="49"/>
      <c r="AH786" s="49"/>
      <c r="AI786" s="49"/>
      <c r="AJ786" s="49"/>
      <c r="AK786" s="49"/>
      <c r="AL786" s="49"/>
      <c r="AM786" s="49"/>
      <c r="AN786" s="49"/>
      <c r="AO786" s="49"/>
      <c r="AP786" s="49"/>
      <c r="AQ786" s="49"/>
      <c r="AR786" s="49"/>
      <c r="AS786" s="49"/>
      <c r="AT786" s="49"/>
      <c r="AU786" s="49"/>
      <c r="AV786" s="49"/>
      <c r="AW786" s="49"/>
      <c r="AX786" s="49"/>
    </row>
    <row r="787">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c r="AF787" s="49"/>
      <c r="AG787" s="49"/>
      <c r="AH787" s="49"/>
      <c r="AI787" s="49"/>
      <c r="AJ787" s="49"/>
      <c r="AK787" s="49"/>
      <c r="AL787" s="49"/>
      <c r="AM787" s="49"/>
      <c r="AN787" s="49"/>
      <c r="AO787" s="49"/>
      <c r="AP787" s="49"/>
      <c r="AQ787" s="49"/>
      <c r="AR787" s="49"/>
      <c r="AS787" s="49"/>
      <c r="AT787" s="49"/>
      <c r="AU787" s="49"/>
      <c r="AV787" s="49"/>
      <c r="AW787" s="49"/>
      <c r="AX787" s="49"/>
    </row>
    <row r="788">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c r="AF788" s="49"/>
      <c r="AG788" s="49"/>
      <c r="AH788" s="49"/>
      <c r="AI788" s="49"/>
      <c r="AJ788" s="49"/>
      <c r="AK788" s="49"/>
      <c r="AL788" s="49"/>
      <c r="AM788" s="49"/>
      <c r="AN788" s="49"/>
      <c r="AO788" s="49"/>
      <c r="AP788" s="49"/>
      <c r="AQ788" s="49"/>
      <c r="AR788" s="49"/>
      <c r="AS788" s="49"/>
      <c r="AT788" s="49"/>
      <c r="AU788" s="49"/>
      <c r="AV788" s="49"/>
      <c r="AW788" s="49"/>
      <c r="AX788" s="49"/>
    </row>
    <row r="789">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c r="AF789" s="49"/>
      <c r="AG789" s="49"/>
      <c r="AH789" s="49"/>
      <c r="AI789" s="49"/>
      <c r="AJ789" s="49"/>
      <c r="AK789" s="49"/>
      <c r="AL789" s="49"/>
      <c r="AM789" s="49"/>
      <c r="AN789" s="49"/>
      <c r="AO789" s="49"/>
      <c r="AP789" s="49"/>
      <c r="AQ789" s="49"/>
      <c r="AR789" s="49"/>
      <c r="AS789" s="49"/>
      <c r="AT789" s="49"/>
      <c r="AU789" s="49"/>
      <c r="AV789" s="49"/>
      <c r="AW789" s="49"/>
      <c r="AX789" s="49"/>
    </row>
    <row r="790">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c r="AF790" s="49"/>
      <c r="AG790" s="49"/>
      <c r="AH790" s="49"/>
      <c r="AI790" s="49"/>
      <c r="AJ790" s="49"/>
      <c r="AK790" s="49"/>
      <c r="AL790" s="49"/>
      <c r="AM790" s="49"/>
      <c r="AN790" s="49"/>
      <c r="AO790" s="49"/>
      <c r="AP790" s="49"/>
      <c r="AQ790" s="49"/>
      <c r="AR790" s="49"/>
      <c r="AS790" s="49"/>
      <c r="AT790" s="49"/>
      <c r="AU790" s="49"/>
      <c r="AV790" s="49"/>
      <c r="AW790" s="49"/>
      <c r="AX790" s="49"/>
    </row>
    <row r="791">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c r="AF791" s="49"/>
      <c r="AG791" s="49"/>
      <c r="AH791" s="49"/>
      <c r="AI791" s="49"/>
      <c r="AJ791" s="49"/>
      <c r="AK791" s="49"/>
      <c r="AL791" s="49"/>
      <c r="AM791" s="49"/>
      <c r="AN791" s="49"/>
      <c r="AO791" s="49"/>
      <c r="AP791" s="49"/>
      <c r="AQ791" s="49"/>
      <c r="AR791" s="49"/>
      <c r="AS791" s="49"/>
      <c r="AT791" s="49"/>
      <c r="AU791" s="49"/>
      <c r="AV791" s="49"/>
      <c r="AW791" s="49"/>
      <c r="AX791" s="49"/>
    </row>
    <row r="792">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c r="AF792" s="49"/>
      <c r="AG792" s="49"/>
      <c r="AH792" s="49"/>
      <c r="AI792" s="49"/>
      <c r="AJ792" s="49"/>
      <c r="AK792" s="49"/>
      <c r="AL792" s="49"/>
      <c r="AM792" s="49"/>
      <c r="AN792" s="49"/>
      <c r="AO792" s="49"/>
      <c r="AP792" s="49"/>
      <c r="AQ792" s="49"/>
      <c r="AR792" s="49"/>
      <c r="AS792" s="49"/>
      <c r="AT792" s="49"/>
      <c r="AU792" s="49"/>
      <c r="AV792" s="49"/>
      <c r="AW792" s="49"/>
      <c r="AX792" s="49"/>
    </row>
    <row r="793">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c r="AF793" s="49"/>
      <c r="AG793" s="49"/>
      <c r="AH793" s="49"/>
      <c r="AI793" s="49"/>
      <c r="AJ793" s="49"/>
      <c r="AK793" s="49"/>
      <c r="AL793" s="49"/>
      <c r="AM793" s="49"/>
      <c r="AN793" s="49"/>
      <c r="AO793" s="49"/>
      <c r="AP793" s="49"/>
      <c r="AQ793" s="49"/>
      <c r="AR793" s="49"/>
      <c r="AS793" s="49"/>
      <c r="AT793" s="49"/>
      <c r="AU793" s="49"/>
      <c r="AV793" s="49"/>
      <c r="AW793" s="49"/>
      <c r="AX793" s="49"/>
    </row>
    <row r="794">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c r="AF794" s="49"/>
      <c r="AG794" s="49"/>
      <c r="AH794" s="49"/>
      <c r="AI794" s="49"/>
      <c r="AJ794" s="49"/>
      <c r="AK794" s="49"/>
      <c r="AL794" s="49"/>
      <c r="AM794" s="49"/>
      <c r="AN794" s="49"/>
      <c r="AO794" s="49"/>
      <c r="AP794" s="49"/>
      <c r="AQ794" s="49"/>
      <c r="AR794" s="49"/>
      <c r="AS794" s="49"/>
      <c r="AT794" s="49"/>
      <c r="AU794" s="49"/>
      <c r="AV794" s="49"/>
      <c r="AW794" s="49"/>
      <c r="AX794" s="49"/>
    </row>
    <row r="79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c r="AF795" s="49"/>
      <c r="AG795" s="49"/>
      <c r="AH795" s="49"/>
      <c r="AI795" s="49"/>
      <c r="AJ795" s="49"/>
      <c r="AK795" s="49"/>
      <c r="AL795" s="49"/>
      <c r="AM795" s="49"/>
      <c r="AN795" s="49"/>
      <c r="AO795" s="49"/>
      <c r="AP795" s="49"/>
      <c r="AQ795" s="49"/>
      <c r="AR795" s="49"/>
      <c r="AS795" s="49"/>
      <c r="AT795" s="49"/>
      <c r="AU795" s="49"/>
      <c r="AV795" s="49"/>
      <c r="AW795" s="49"/>
      <c r="AX795" s="49"/>
    </row>
    <row r="796">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c r="AF796" s="49"/>
      <c r="AG796" s="49"/>
      <c r="AH796" s="49"/>
      <c r="AI796" s="49"/>
      <c r="AJ796" s="49"/>
      <c r="AK796" s="49"/>
      <c r="AL796" s="49"/>
      <c r="AM796" s="49"/>
      <c r="AN796" s="49"/>
      <c r="AO796" s="49"/>
      <c r="AP796" s="49"/>
      <c r="AQ796" s="49"/>
      <c r="AR796" s="49"/>
      <c r="AS796" s="49"/>
      <c r="AT796" s="49"/>
      <c r="AU796" s="49"/>
      <c r="AV796" s="49"/>
      <c r="AW796" s="49"/>
      <c r="AX796" s="49"/>
    </row>
    <row r="797">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c r="AF797" s="49"/>
      <c r="AG797" s="49"/>
      <c r="AH797" s="49"/>
      <c r="AI797" s="49"/>
      <c r="AJ797" s="49"/>
      <c r="AK797" s="49"/>
      <c r="AL797" s="49"/>
      <c r="AM797" s="49"/>
      <c r="AN797" s="49"/>
      <c r="AO797" s="49"/>
      <c r="AP797" s="49"/>
      <c r="AQ797" s="49"/>
      <c r="AR797" s="49"/>
      <c r="AS797" s="49"/>
      <c r="AT797" s="49"/>
      <c r="AU797" s="49"/>
      <c r="AV797" s="49"/>
      <c r="AW797" s="49"/>
      <c r="AX797" s="49"/>
    </row>
    <row r="798">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c r="AF798" s="49"/>
      <c r="AG798" s="49"/>
      <c r="AH798" s="49"/>
      <c r="AI798" s="49"/>
      <c r="AJ798" s="49"/>
      <c r="AK798" s="49"/>
      <c r="AL798" s="49"/>
      <c r="AM798" s="49"/>
      <c r="AN798" s="49"/>
      <c r="AO798" s="49"/>
      <c r="AP798" s="49"/>
      <c r="AQ798" s="49"/>
      <c r="AR798" s="49"/>
      <c r="AS798" s="49"/>
      <c r="AT798" s="49"/>
      <c r="AU798" s="49"/>
      <c r="AV798" s="49"/>
      <c r="AW798" s="49"/>
      <c r="AX798" s="49"/>
    </row>
    <row r="799">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c r="AF799" s="49"/>
      <c r="AG799" s="49"/>
      <c r="AH799" s="49"/>
      <c r="AI799" s="49"/>
      <c r="AJ799" s="49"/>
      <c r="AK799" s="49"/>
      <c r="AL799" s="49"/>
      <c r="AM799" s="49"/>
      <c r="AN799" s="49"/>
      <c r="AO799" s="49"/>
      <c r="AP799" s="49"/>
      <c r="AQ799" s="49"/>
      <c r="AR799" s="49"/>
      <c r="AS799" s="49"/>
      <c r="AT799" s="49"/>
      <c r="AU799" s="49"/>
      <c r="AV799" s="49"/>
      <c r="AW799" s="49"/>
      <c r="AX799" s="49"/>
    </row>
    <row r="800">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c r="AF800" s="49"/>
      <c r="AG800" s="49"/>
      <c r="AH800" s="49"/>
      <c r="AI800" s="49"/>
      <c r="AJ800" s="49"/>
      <c r="AK800" s="49"/>
      <c r="AL800" s="49"/>
      <c r="AM800" s="49"/>
      <c r="AN800" s="49"/>
      <c r="AO800" s="49"/>
      <c r="AP800" s="49"/>
      <c r="AQ800" s="49"/>
      <c r="AR800" s="49"/>
      <c r="AS800" s="49"/>
      <c r="AT800" s="49"/>
      <c r="AU800" s="49"/>
      <c r="AV800" s="49"/>
      <c r="AW800" s="49"/>
      <c r="AX800" s="49"/>
    </row>
    <row r="801">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c r="AF801" s="49"/>
      <c r="AG801" s="49"/>
      <c r="AH801" s="49"/>
      <c r="AI801" s="49"/>
      <c r="AJ801" s="49"/>
      <c r="AK801" s="49"/>
      <c r="AL801" s="49"/>
      <c r="AM801" s="49"/>
      <c r="AN801" s="49"/>
      <c r="AO801" s="49"/>
      <c r="AP801" s="49"/>
      <c r="AQ801" s="49"/>
      <c r="AR801" s="49"/>
      <c r="AS801" s="49"/>
      <c r="AT801" s="49"/>
      <c r="AU801" s="49"/>
      <c r="AV801" s="49"/>
      <c r="AW801" s="49"/>
      <c r="AX801" s="49"/>
    </row>
    <row r="802">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c r="AF802" s="49"/>
      <c r="AG802" s="49"/>
      <c r="AH802" s="49"/>
      <c r="AI802" s="49"/>
      <c r="AJ802" s="49"/>
      <c r="AK802" s="49"/>
      <c r="AL802" s="49"/>
      <c r="AM802" s="49"/>
      <c r="AN802" s="49"/>
      <c r="AO802" s="49"/>
      <c r="AP802" s="49"/>
      <c r="AQ802" s="49"/>
      <c r="AR802" s="49"/>
      <c r="AS802" s="49"/>
      <c r="AT802" s="49"/>
      <c r="AU802" s="49"/>
      <c r="AV802" s="49"/>
      <c r="AW802" s="49"/>
      <c r="AX802" s="49"/>
    </row>
    <row r="803">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c r="AF803" s="49"/>
      <c r="AG803" s="49"/>
      <c r="AH803" s="49"/>
      <c r="AI803" s="49"/>
      <c r="AJ803" s="49"/>
      <c r="AK803" s="49"/>
      <c r="AL803" s="49"/>
      <c r="AM803" s="49"/>
      <c r="AN803" s="49"/>
      <c r="AO803" s="49"/>
      <c r="AP803" s="49"/>
      <c r="AQ803" s="49"/>
      <c r="AR803" s="49"/>
      <c r="AS803" s="49"/>
      <c r="AT803" s="49"/>
      <c r="AU803" s="49"/>
      <c r="AV803" s="49"/>
      <c r="AW803" s="49"/>
      <c r="AX803" s="49"/>
    </row>
    <row r="804">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c r="AF804" s="49"/>
      <c r="AG804" s="49"/>
      <c r="AH804" s="49"/>
      <c r="AI804" s="49"/>
      <c r="AJ804" s="49"/>
      <c r="AK804" s="49"/>
      <c r="AL804" s="49"/>
      <c r="AM804" s="49"/>
      <c r="AN804" s="49"/>
      <c r="AO804" s="49"/>
      <c r="AP804" s="49"/>
      <c r="AQ804" s="49"/>
      <c r="AR804" s="49"/>
      <c r="AS804" s="49"/>
      <c r="AT804" s="49"/>
      <c r="AU804" s="49"/>
      <c r="AV804" s="49"/>
      <c r="AW804" s="49"/>
      <c r="AX804" s="49"/>
    </row>
    <row r="80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c r="AF805" s="49"/>
      <c r="AG805" s="49"/>
      <c r="AH805" s="49"/>
      <c r="AI805" s="49"/>
      <c r="AJ805" s="49"/>
      <c r="AK805" s="49"/>
      <c r="AL805" s="49"/>
      <c r="AM805" s="49"/>
      <c r="AN805" s="49"/>
      <c r="AO805" s="49"/>
      <c r="AP805" s="49"/>
      <c r="AQ805" s="49"/>
      <c r="AR805" s="49"/>
      <c r="AS805" s="49"/>
      <c r="AT805" s="49"/>
      <c r="AU805" s="49"/>
      <c r="AV805" s="49"/>
      <c r="AW805" s="49"/>
      <c r="AX805" s="49"/>
    </row>
    <row r="806">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c r="AF806" s="49"/>
      <c r="AG806" s="49"/>
      <c r="AH806" s="49"/>
      <c r="AI806" s="49"/>
      <c r="AJ806" s="49"/>
      <c r="AK806" s="49"/>
      <c r="AL806" s="49"/>
      <c r="AM806" s="49"/>
      <c r="AN806" s="49"/>
      <c r="AO806" s="49"/>
      <c r="AP806" s="49"/>
      <c r="AQ806" s="49"/>
      <c r="AR806" s="49"/>
      <c r="AS806" s="49"/>
      <c r="AT806" s="49"/>
      <c r="AU806" s="49"/>
      <c r="AV806" s="49"/>
      <c r="AW806" s="49"/>
      <c r="AX806" s="49"/>
    </row>
    <row r="807">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c r="AF807" s="49"/>
      <c r="AG807" s="49"/>
      <c r="AH807" s="49"/>
      <c r="AI807" s="49"/>
      <c r="AJ807" s="49"/>
      <c r="AK807" s="49"/>
      <c r="AL807" s="49"/>
      <c r="AM807" s="49"/>
      <c r="AN807" s="49"/>
      <c r="AO807" s="49"/>
      <c r="AP807" s="49"/>
      <c r="AQ807" s="49"/>
      <c r="AR807" s="49"/>
      <c r="AS807" s="49"/>
      <c r="AT807" s="49"/>
      <c r="AU807" s="49"/>
      <c r="AV807" s="49"/>
      <c r="AW807" s="49"/>
      <c r="AX807" s="49"/>
    </row>
    <row r="808">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c r="AF808" s="49"/>
      <c r="AG808" s="49"/>
      <c r="AH808" s="49"/>
      <c r="AI808" s="49"/>
      <c r="AJ808" s="49"/>
      <c r="AK808" s="49"/>
      <c r="AL808" s="49"/>
      <c r="AM808" s="49"/>
      <c r="AN808" s="49"/>
      <c r="AO808" s="49"/>
      <c r="AP808" s="49"/>
      <c r="AQ808" s="49"/>
      <c r="AR808" s="49"/>
      <c r="AS808" s="49"/>
      <c r="AT808" s="49"/>
      <c r="AU808" s="49"/>
      <c r="AV808" s="49"/>
      <c r="AW808" s="49"/>
      <c r="AX808" s="49"/>
    </row>
    <row r="809">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c r="AF809" s="49"/>
      <c r="AG809" s="49"/>
      <c r="AH809" s="49"/>
      <c r="AI809" s="49"/>
      <c r="AJ809" s="49"/>
      <c r="AK809" s="49"/>
      <c r="AL809" s="49"/>
      <c r="AM809" s="49"/>
      <c r="AN809" s="49"/>
      <c r="AO809" s="49"/>
      <c r="AP809" s="49"/>
      <c r="AQ809" s="49"/>
      <c r="AR809" s="49"/>
      <c r="AS809" s="49"/>
      <c r="AT809" s="49"/>
      <c r="AU809" s="49"/>
      <c r="AV809" s="49"/>
      <c r="AW809" s="49"/>
      <c r="AX809" s="49"/>
    </row>
    <row r="810">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c r="AF810" s="49"/>
      <c r="AG810" s="49"/>
      <c r="AH810" s="49"/>
      <c r="AI810" s="49"/>
      <c r="AJ810" s="49"/>
      <c r="AK810" s="49"/>
      <c r="AL810" s="49"/>
      <c r="AM810" s="49"/>
      <c r="AN810" s="49"/>
      <c r="AO810" s="49"/>
      <c r="AP810" s="49"/>
      <c r="AQ810" s="49"/>
      <c r="AR810" s="49"/>
      <c r="AS810" s="49"/>
      <c r="AT810" s="49"/>
      <c r="AU810" s="49"/>
      <c r="AV810" s="49"/>
      <c r="AW810" s="49"/>
      <c r="AX810" s="49"/>
    </row>
    <row r="811">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c r="AF811" s="49"/>
      <c r="AG811" s="49"/>
      <c r="AH811" s="49"/>
      <c r="AI811" s="49"/>
      <c r="AJ811" s="49"/>
      <c r="AK811" s="49"/>
      <c r="AL811" s="49"/>
      <c r="AM811" s="49"/>
      <c r="AN811" s="49"/>
      <c r="AO811" s="49"/>
      <c r="AP811" s="49"/>
      <c r="AQ811" s="49"/>
      <c r="AR811" s="49"/>
      <c r="AS811" s="49"/>
      <c r="AT811" s="49"/>
      <c r="AU811" s="49"/>
      <c r="AV811" s="49"/>
      <c r="AW811" s="49"/>
      <c r="AX811" s="49"/>
    </row>
    <row r="812">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c r="AF812" s="49"/>
      <c r="AG812" s="49"/>
      <c r="AH812" s="49"/>
      <c r="AI812" s="49"/>
      <c r="AJ812" s="49"/>
      <c r="AK812" s="49"/>
      <c r="AL812" s="49"/>
      <c r="AM812" s="49"/>
      <c r="AN812" s="49"/>
      <c r="AO812" s="49"/>
      <c r="AP812" s="49"/>
      <c r="AQ812" s="49"/>
      <c r="AR812" s="49"/>
      <c r="AS812" s="49"/>
      <c r="AT812" s="49"/>
      <c r="AU812" s="49"/>
      <c r="AV812" s="49"/>
      <c r="AW812" s="49"/>
      <c r="AX812" s="49"/>
    </row>
    <row r="813">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c r="AF813" s="49"/>
      <c r="AG813" s="49"/>
      <c r="AH813" s="49"/>
      <c r="AI813" s="49"/>
      <c r="AJ813" s="49"/>
      <c r="AK813" s="49"/>
      <c r="AL813" s="49"/>
      <c r="AM813" s="49"/>
      <c r="AN813" s="49"/>
      <c r="AO813" s="49"/>
      <c r="AP813" s="49"/>
      <c r="AQ813" s="49"/>
      <c r="AR813" s="49"/>
      <c r="AS813" s="49"/>
      <c r="AT813" s="49"/>
      <c r="AU813" s="49"/>
      <c r="AV813" s="49"/>
      <c r="AW813" s="49"/>
      <c r="AX813" s="49"/>
    </row>
    <row r="814">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c r="AF814" s="49"/>
      <c r="AG814" s="49"/>
      <c r="AH814" s="49"/>
      <c r="AI814" s="49"/>
      <c r="AJ814" s="49"/>
      <c r="AK814" s="49"/>
      <c r="AL814" s="49"/>
      <c r="AM814" s="49"/>
      <c r="AN814" s="49"/>
      <c r="AO814" s="49"/>
      <c r="AP814" s="49"/>
      <c r="AQ814" s="49"/>
      <c r="AR814" s="49"/>
      <c r="AS814" s="49"/>
      <c r="AT814" s="49"/>
      <c r="AU814" s="49"/>
      <c r="AV814" s="49"/>
      <c r="AW814" s="49"/>
      <c r="AX814" s="49"/>
    </row>
    <row r="81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c r="AF815" s="49"/>
      <c r="AG815" s="49"/>
      <c r="AH815" s="49"/>
      <c r="AI815" s="49"/>
      <c r="AJ815" s="49"/>
      <c r="AK815" s="49"/>
      <c r="AL815" s="49"/>
      <c r="AM815" s="49"/>
      <c r="AN815" s="49"/>
      <c r="AO815" s="49"/>
      <c r="AP815" s="49"/>
      <c r="AQ815" s="49"/>
      <c r="AR815" s="49"/>
      <c r="AS815" s="49"/>
      <c r="AT815" s="49"/>
      <c r="AU815" s="49"/>
      <c r="AV815" s="49"/>
      <c r="AW815" s="49"/>
      <c r="AX815" s="49"/>
    </row>
    <row r="816">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c r="AF816" s="49"/>
      <c r="AG816" s="49"/>
      <c r="AH816" s="49"/>
      <c r="AI816" s="49"/>
      <c r="AJ816" s="49"/>
      <c r="AK816" s="49"/>
      <c r="AL816" s="49"/>
      <c r="AM816" s="49"/>
      <c r="AN816" s="49"/>
      <c r="AO816" s="49"/>
      <c r="AP816" s="49"/>
      <c r="AQ816" s="49"/>
      <c r="AR816" s="49"/>
      <c r="AS816" s="49"/>
      <c r="AT816" s="49"/>
      <c r="AU816" s="49"/>
      <c r="AV816" s="49"/>
      <c r="AW816" s="49"/>
      <c r="AX816" s="49"/>
    </row>
    <row r="817">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c r="AF817" s="49"/>
      <c r="AG817" s="49"/>
      <c r="AH817" s="49"/>
      <c r="AI817" s="49"/>
      <c r="AJ817" s="49"/>
      <c r="AK817" s="49"/>
      <c r="AL817" s="49"/>
      <c r="AM817" s="49"/>
      <c r="AN817" s="49"/>
      <c r="AO817" s="49"/>
      <c r="AP817" s="49"/>
      <c r="AQ817" s="49"/>
      <c r="AR817" s="49"/>
      <c r="AS817" s="49"/>
      <c r="AT817" s="49"/>
      <c r="AU817" s="49"/>
      <c r="AV817" s="49"/>
      <c r="AW817" s="49"/>
      <c r="AX817" s="49"/>
    </row>
    <row r="818">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c r="AF818" s="49"/>
      <c r="AG818" s="49"/>
      <c r="AH818" s="49"/>
      <c r="AI818" s="49"/>
      <c r="AJ818" s="49"/>
      <c r="AK818" s="49"/>
      <c r="AL818" s="49"/>
      <c r="AM818" s="49"/>
      <c r="AN818" s="49"/>
      <c r="AO818" s="49"/>
      <c r="AP818" s="49"/>
      <c r="AQ818" s="49"/>
      <c r="AR818" s="49"/>
      <c r="AS818" s="49"/>
      <c r="AT818" s="49"/>
      <c r="AU818" s="49"/>
      <c r="AV818" s="49"/>
      <c r="AW818" s="49"/>
      <c r="AX818" s="49"/>
    </row>
    <row r="819">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c r="AF819" s="49"/>
      <c r="AG819" s="49"/>
      <c r="AH819" s="49"/>
      <c r="AI819" s="49"/>
      <c r="AJ819" s="49"/>
      <c r="AK819" s="49"/>
      <c r="AL819" s="49"/>
      <c r="AM819" s="49"/>
      <c r="AN819" s="49"/>
      <c r="AO819" s="49"/>
      <c r="AP819" s="49"/>
      <c r="AQ819" s="49"/>
      <c r="AR819" s="49"/>
      <c r="AS819" s="49"/>
      <c r="AT819" s="49"/>
      <c r="AU819" s="49"/>
      <c r="AV819" s="49"/>
      <c r="AW819" s="49"/>
      <c r="AX819" s="49"/>
    </row>
    <row r="820">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c r="AF820" s="49"/>
      <c r="AG820" s="49"/>
      <c r="AH820" s="49"/>
      <c r="AI820" s="49"/>
      <c r="AJ820" s="49"/>
      <c r="AK820" s="49"/>
      <c r="AL820" s="49"/>
      <c r="AM820" s="49"/>
      <c r="AN820" s="49"/>
      <c r="AO820" s="49"/>
      <c r="AP820" s="49"/>
      <c r="AQ820" s="49"/>
      <c r="AR820" s="49"/>
      <c r="AS820" s="49"/>
      <c r="AT820" s="49"/>
      <c r="AU820" s="49"/>
      <c r="AV820" s="49"/>
      <c r="AW820" s="49"/>
      <c r="AX820" s="49"/>
    </row>
    <row r="821">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c r="AF821" s="49"/>
      <c r="AG821" s="49"/>
      <c r="AH821" s="49"/>
      <c r="AI821" s="49"/>
      <c r="AJ821" s="49"/>
      <c r="AK821" s="49"/>
      <c r="AL821" s="49"/>
      <c r="AM821" s="49"/>
      <c r="AN821" s="49"/>
      <c r="AO821" s="49"/>
      <c r="AP821" s="49"/>
      <c r="AQ821" s="49"/>
      <c r="AR821" s="49"/>
      <c r="AS821" s="49"/>
      <c r="AT821" s="49"/>
      <c r="AU821" s="49"/>
      <c r="AV821" s="49"/>
      <c r="AW821" s="49"/>
      <c r="AX821" s="49"/>
    </row>
    <row r="822">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c r="AF822" s="49"/>
      <c r="AG822" s="49"/>
      <c r="AH822" s="49"/>
      <c r="AI822" s="49"/>
      <c r="AJ822" s="49"/>
      <c r="AK822" s="49"/>
      <c r="AL822" s="49"/>
      <c r="AM822" s="49"/>
      <c r="AN822" s="49"/>
      <c r="AO822" s="49"/>
      <c r="AP822" s="49"/>
      <c r="AQ822" s="49"/>
      <c r="AR822" s="49"/>
      <c r="AS822" s="49"/>
      <c r="AT822" s="49"/>
      <c r="AU822" s="49"/>
      <c r="AV822" s="49"/>
      <c r="AW822" s="49"/>
      <c r="AX822" s="49"/>
    </row>
    <row r="823">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c r="AF823" s="49"/>
      <c r="AG823" s="49"/>
      <c r="AH823" s="49"/>
      <c r="AI823" s="49"/>
      <c r="AJ823" s="49"/>
      <c r="AK823" s="49"/>
      <c r="AL823" s="49"/>
      <c r="AM823" s="49"/>
      <c r="AN823" s="49"/>
      <c r="AO823" s="49"/>
      <c r="AP823" s="49"/>
      <c r="AQ823" s="49"/>
      <c r="AR823" s="49"/>
      <c r="AS823" s="49"/>
      <c r="AT823" s="49"/>
      <c r="AU823" s="49"/>
      <c r="AV823" s="49"/>
      <c r="AW823" s="49"/>
      <c r="AX823" s="49"/>
    </row>
    <row r="824">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c r="AF824" s="49"/>
      <c r="AG824" s="49"/>
      <c r="AH824" s="49"/>
      <c r="AI824" s="49"/>
      <c r="AJ824" s="49"/>
      <c r="AK824" s="49"/>
      <c r="AL824" s="49"/>
      <c r="AM824" s="49"/>
      <c r="AN824" s="49"/>
      <c r="AO824" s="49"/>
      <c r="AP824" s="49"/>
      <c r="AQ824" s="49"/>
      <c r="AR824" s="49"/>
      <c r="AS824" s="49"/>
      <c r="AT824" s="49"/>
      <c r="AU824" s="49"/>
      <c r="AV824" s="49"/>
      <c r="AW824" s="49"/>
      <c r="AX824" s="49"/>
    </row>
    <row r="8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c r="AF825" s="49"/>
      <c r="AG825" s="49"/>
      <c r="AH825" s="49"/>
      <c r="AI825" s="49"/>
      <c r="AJ825" s="49"/>
      <c r="AK825" s="49"/>
      <c r="AL825" s="49"/>
      <c r="AM825" s="49"/>
      <c r="AN825" s="49"/>
      <c r="AO825" s="49"/>
      <c r="AP825" s="49"/>
      <c r="AQ825" s="49"/>
      <c r="AR825" s="49"/>
      <c r="AS825" s="49"/>
      <c r="AT825" s="49"/>
      <c r="AU825" s="49"/>
      <c r="AV825" s="49"/>
      <c r="AW825" s="49"/>
      <c r="AX825" s="49"/>
    </row>
    <row r="826">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c r="AF826" s="49"/>
      <c r="AG826" s="49"/>
      <c r="AH826" s="49"/>
      <c r="AI826" s="49"/>
      <c r="AJ826" s="49"/>
      <c r="AK826" s="49"/>
      <c r="AL826" s="49"/>
      <c r="AM826" s="49"/>
      <c r="AN826" s="49"/>
      <c r="AO826" s="49"/>
      <c r="AP826" s="49"/>
      <c r="AQ826" s="49"/>
      <c r="AR826" s="49"/>
      <c r="AS826" s="49"/>
      <c r="AT826" s="49"/>
      <c r="AU826" s="49"/>
      <c r="AV826" s="49"/>
      <c r="AW826" s="49"/>
      <c r="AX826" s="49"/>
    </row>
    <row r="827">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c r="AF827" s="49"/>
      <c r="AG827" s="49"/>
      <c r="AH827" s="49"/>
      <c r="AI827" s="49"/>
      <c r="AJ827" s="49"/>
      <c r="AK827" s="49"/>
      <c r="AL827" s="49"/>
      <c r="AM827" s="49"/>
      <c r="AN827" s="49"/>
      <c r="AO827" s="49"/>
      <c r="AP827" s="49"/>
      <c r="AQ827" s="49"/>
      <c r="AR827" s="49"/>
      <c r="AS827" s="49"/>
      <c r="AT827" s="49"/>
      <c r="AU827" s="49"/>
      <c r="AV827" s="49"/>
      <c r="AW827" s="49"/>
      <c r="AX827" s="49"/>
    </row>
    <row r="828">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c r="AF828" s="49"/>
      <c r="AG828" s="49"/>
      <c r="AH828" s="49"/>
      <c r="AI828" s="49"/>
      <c r="AJ828" s="49"/>
      <c r="AK828" s="49"/>
      <c r="AL828" s="49"/>
      <c r="AM828" s="49"/>
      <c r="AN828" s="49"/>
      <c r="AO828" s="49"/>
      <c r="AP828" s="49"/>
      <c r="AQ828" s="49"/>
      <c r="AR828" s="49"/>
      <c r="AS828" s="49"/>
      <c r="AT828" s="49"/>
      <c r="AU828" s="49"/>
      <c r="AV828" s="49"/>
      <c r="AW828" s="49"/>
      <c r="AX828" s="49"/>
    </row>
    <row r="829">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c r="AF829" s="49"/>
      <c r="AG829" s="49"/>
      <c r="AH829" s="49"/>
      <c r="AI829" s="49"/>
      <c r="AJ829" s="49"/>
      <c r="AK829" s="49"/>
      <c r="AL829" s="49"/>
      <c r="AM829" s="49"/>
      <c r="AN829" s="49"/>
      <c r="AO829" s="49"/>
      <c r="AP829" s="49"/>
      <c r="AQ829" s="49"/>
      <c r="AR829" s="49"/>
      <c r="AS829" s="49"/>
      <c r="AT829" s="49"/>
      <c r="AU829" s="49"/>
      <c r="AV829" s="49"/>
      <c r="AW829" s="49"/>
      <c r="AX829" s="49"/>
    </row>
    <row r="830">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c r="AF830" s="49"/>
      <c r="AG830" s="49"/>
      <c r="AH830" s="49"/>
      <c r="AI830" s="49"/>
      <c r="AJ830" s="49"/>
      <c r="AK830" s="49"/>
      <c r="AL830" s="49"/>
      <c r="AM830" s="49"/>
      <c r="AN830" s="49"/>
      <c r="AO830" s="49"/>
      <c r="AP830" s="49"/>
      <c r="AQ830" s="49"/>
      <c r="AR830" s="49"/>
      <c r="AS830" s="49"/>
      <c r="AT830" s="49"/>
      <c r="AU830" s="49"/>
      <c r="AV830" s="49"/>
      <c r="AW830" s="49"/>
      <c r="AX830" s="49"/>
    </row>
    <row r="831">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c r="AF831" s="49"/>
      <c r="AG831" s="49"/>
      <c r="AH831" s="49"/>
      <c r="AI831" s="49"/>
      <c r="AJ831" s="49"/>
      <c r="AK831" s="49"/>
      <c r="AL831" s="49"/>
      <c r="AM831" s="49"/>
      <c r="AN831" s="49"/>
      <c r="AO831" s="49"/>
      <c r="AP831" s="49"/>
      <c r="AQ831" s="49"/>
      <c r="AR831" s="49"/>
      <c r="AS831" s="49"/>
      <c r="AT831" s="49"/>
      <c r="AU831" s="49"/>
      <c r="AV831" s="49"/>
      <c r="AW831" s="49"/>
      <c r="AX831" s="49"/>
    </row>
    <row r="832">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c r="AF832" s="49"/>
      <c r="AG832" s="49"/>
      <c r="AH832" s="49"/>
      <c r="AI832" s="49"/>
      <c r="AJ832" s="49"/>
      <c r="AK832" s="49"/>
      <c r="AL832" s="49"/>
      <c r="AM832" s="49"/>
      <c r="AN832" s="49"/>
      <c r="AO832" s="49"/>
      <c r="AP832" s="49"/>
      <c r="AQ832" s="49"/>
      <c r="AR832" s="49"/>
      <c r="AS832" s="49"/>
      <c r="AT832" s="49"/>
      <c r="AU832" s="49"/>
      <c r="AV832" s="49"/>
      <c r="AW832" s="49"/>
      <c r="AX832" s="49"/>
    </row>
    <row r="833">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c r="AF833" s="49"/>
      <c r="AG833" s="49"/>
      <c r="AH833" s="49"/>
      <c r="AI833" s="49"/>
      <c r="AJ833" s="49"/>
      <c r="AK833" s="49"/>
      <c r="AL833" s="49"/>
      <c r="AM833" s="49"/>
      <c r="AN833" s="49"/>
      <c r="AO833" s="49"/>
      <c r="AP833" s="49"/>
      <c r="AQ833" s="49"/>
      <c r="AR833" s="49"/>
      <c r="AS833" s="49"/>
      <c r="AT833" s="49"/>
      <c r="AU833" s="49"/>
      <c r="AV833" s="49"/>
      <c r="AW833" s="49"/>
      <c r="AX833" s="49"/>
    </row>
    <row r="834">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c r="AF834" s="49"/>
      <c r="AG834" s="49"/>
      <c r="AH834" s="49"/>
      <c r="AI834" s="49"/>
      <c r="AJ834" s="49"/>
      <c r="AK834" s="49"/>
      <c r="AL834" s="49"/>
      <c r="AM834" s="49"/>
      <c r="AN834" s="49"/>
      <c r="AO834" s="49"/>
      <c r="AP834" s="49"/>
      <c r="AQ834" s="49"/>
      <c r="AR834" s="49"/>
      <c r="AS834" s="49"/>
      <c r="AT834" s="49"/>
      <c r="AU834" s="49"/>
      <c r="AV834" s="49"/>
      <c r="AW834" s="49"/>
      <c r="AX834" s="49"/>
    </row>
    <row r="8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c r="AF835" s="49"/>
      <c r="AG835" s="49"/>
      <c r="AH835" s="49"/>
      <c r="AI835" s="49"/>
      <c r="AJ835" s="49"/>
      <c r="AK835" s="49"/>
      <c r="AL835" s="49"/>
      <c r="AM835" s="49"/>
      <c r="AN835" s="49"/>
      <c r="AO835" s="49"/>
      <c r="AP835" s="49"/>
      <c r="AQ835" s="49"/>
      <c r="AR835" s="49"/>
      <c r="AS835" s="49"/>
      <c r="AT835" s="49"/>
      <c r="AU835" s="49"/>
      <c r="AV835" s="49"/>
      <c r="AW835" s="49"/>
      <c r="AX835" s="49"/>
    </row>
    <row r="836">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c r="AF836" s="49"/>
      <c r="AG836" s="49"/>
      <c r="AH836" s="49"/>
      <c r="AI836" s="49"/>
      <c r="AJ836" s="49"/>
      <c r="AK836" s="49"/>
      <c r="AL836" s="49"/>
      <c r="AM836" s="49"/>
      <c r="AN836" s="49"/>
      <c r="AO836" s="49"/>
      <c r="AP836" s="49"/>
      <c r="AQ836" s="49"/>
      <c r="AR836" s="49"/>
      <c r="AS836" s="49"/>
      <c r="AT836" s="49"/>
      <c r="AU836" s="49"/>
      <c r="AV836" s="49"/>
      <c r="AW836" s="49"/>
      <c r="AX836" s="49"/>
    </row>
    <row r="837">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c r="AF837" s="49"/>
      <c r="AG837" s="49"/>
      <c r="AH837" s="49"/>
      <c r="AI837" s="49"/>
      <c r="AJ837" s="49"/>
      <c r="AK837" s="49"/>
      <c r="AL837" s="49"/>
      <c r="AM837" s="49"/>
      <c r="AN837" s="49"/>
      <c r="AO837" s="49"/>
      <c r="AP837" s="49"/>
      <c r="AQ837" s="49"/>
      <c r="AR837" s="49"/>
      <c r="AS837" s="49"/>
      <c r="AT837" s="49"/>
      <c r="AU837" s="49"/>
      <c r="AV837" s="49"/>
      <c r="AW837" s="49"/>
      <c r="AX837" s="49"/>
    </row>
    <row r="838">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c r="AF838" s="49"/>
      <c r="AG838" s="49"/>
      <c r="AH838" s="49"/>
      <c r="AI838" s="49"/>
      <c r="AJ838" s="49"/>
      <c r="AK838" s="49"/>
      <c r="AL838" s="49"/>
      <c r="AM838" s="49"/>
      <c r="AN838" s="49"/>
      <c r="AO838" s="49"/>
      <c r="AP838" s="49"/>
      <c r="AQ838" s="49"/>
      <c r="AR838" s="49"/>
      <c r="AS838" s="49"/>
      <c r="AT838" s="49"/>
      <c r="AU838" s="49"/>
      <c r="AV838" s="49"/>
      <c r="AW838" s="49"/>
      <c r="AX838" s="49"/>
    </row>
    <row r="839">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c r="AF839" s="49"/>
      <c r="AG839" s="49"/>
      <c r="AH839" s="49"/>
      <c r="AI839" s="49"/>
      <c r="AJ839" s="49"/>
      <c r="AK839" s="49"/>
      <c r="AL839" s="49"/>
      <c r="AM839" s="49"/>
      <c r="AN839" s="49"/>
      <c r="AO839" s="49"/>
      <c r="AP839" s="49"/>
      <c r="AQ839" s="49"/>
      <c r="AR839" s="49"/>
      <c r="AS839" s="49"/>
      <c r="AT839" s="49"/>
      <c r="AU839" s="49"/>
      <c r="AV839" s="49"/>
      <c r="AW839" s="49"/>
      <c r="AX839" s="49"/>
    </row>
    <row r="840">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c r="AF840" s="49"/>
      <c r="AG840" s="49"/>
      <c r="AH840" s="49"/>
      <c r="AI840" s="49"/>
      <c r="AJ840" s="49"/>
      <c r="AK840" s="49"/>
      <c r="AL840" s="49"/>
      <c r="AM840" s="49"/>
      <c r="AN840" s="49"/>
      <c r="AO840" s="49"/>
      <c r="AP840" s="49"/>
      <c r="AQ840" s="49"/>
      <c r="AR840" s="49"/>
      <c r="AS840" s="49"/>
      <c r="AT840" s="49"/>
      <c r="AU840" s="49"/>
      <c r="AV840" s="49"/>
      <c r="AW840" s="49"/>
      <c r="AX840" s="49"/>
    </row>
    <row r="841">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c r="AF841" s="49"/>
      <c r="AG841" s="49"/>
      <c r="AH841" s="49"/>
      <c r="AI841" s="49"/>
      <c r="AJ841" s="49"/>
      <c r="AK841" s="49"/>
      <c r="AL841" s="49"/>
      <c r="AM841" s="49"/>
      <c r="AN841" s="49"/>
      <c r="AO841" s="49"/>
      <c r="AP841" s="49"/>
      <c r="AQ841" s="49"/>
      <c r="AR841" s="49"/>
      <c r="AS841" s="49"/>
      <c r="AT841" s="49"/>
      <c r="AU841" s="49"/>
      <c r="AV841" s="49"/>
      <c r="AW841" s="49"/>
      <c r="AX841" s="49"/>
    </row>
    <row r="842">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c r="AF842" s="49"/>
      <c r="AG842" s="49"/>
      <c r="AH842" s="49"/>
      <c r="AI842" s="49"/>
      <c r="AJ842" s="49"/>
      <c r="AK842" s="49"/>
      <c r="AL842" s="49"/>
      <c r="AM842" s="49"/>
      <c r="AN842" s="49"/>
      <c r="AO842" s="49"/>
      <c r="AP842" s="49"/>
      <c r="AQ842" s="49"/>
      <c r="AR842" s="49"/>
      <c r="AS842" s="49"/>
      <c r="AT842" s="49"/>
      <c r="AU842" s="49"/>
      <c r="AV842" s="49"/>
      <c r="AW842" s="49"/>
      <c r="AX842" s="49"/>
    </row>
    <row r="843">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c r="AF843" s="49"/>
      <c r="AG843" s="49"/>
      <c r="AH843" s="49"/>
      <c r="AI843" s="49"/>
      <c r="AJ843" s="49"/>
      <c r="AK843" s="49"/>
      <c r="AL843" s="49"/>
      <c r="AM843" s="49"/>
      <c r="AN843" s="49"/>
      <c r="AO843" s="49"/>
      <c r="AP843" s="49"/>
      <c r="AQ843" s="49"/>
      <c r="AR843" s="49"/>
      <c r="AS843" s="49"/>
      <c r="AT843" s="49"/>
      <c r="AU843" s="49"/>
      <c r="AV843" s="49"/>
      <c r="AW843" s="49"/>
      <c r="AX843" s="49"/>
    </row>
    <row r="844">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c r="AF844" s="49"/>
      <c r="AG844" s="49"/>
      <c r="AH844" s="49"/>
      <c r="AI844" s="49"/>
      <c r="AJ844" s="49"/>
      <c r="AK844" s="49"/>
      <c r="AL844" s="49"/>
      <c r="AM844" s="49"/>
      <c r="AN844" s="49"/>
      <c r="AO844" s="49"/>
      <c r="AP844" s="49"/>
      <c r="AQ844" s="49"/>
      <c r="AR844" s="49"/>
      <c r="AS844" s="49"/>
      <c r="AT844" s="49"/>
      <c r="AU844" s="49"/>
      <c r="AV844" s="49"/>
      <c r="AW844" s="49"/>
      <c r="AX844" s="49"/>
    </row>
    <row r="84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c r="AF845" s="49"/>
      <c r="AG845" s="49"/>
      <c r="AH845" s="49"/>
      <c r="AI845" s="49"/>
      <c r="AJ845" s="49"/>
      <c r="AK845" s="49"/>
      <c r="AL845" s="49"/>
      <c r="AM845" s="49"/>
      <c r="AN845" s="49"/>
      <c r="AO845" s="49"/>
      <c r="AP845" s="49"/>
      <c r="AQ845" s="49"/>
      <c r="AR845" s="49"/>
      <c r="AS845" s="49"/>
      <c r="AT845" s="49"/>
      <c r="AU845" s="49"/>
      <c r="AV845" s="49"/>
      <c r="AW845" s="49"/>
      <c r="AX845" s="49"/>
    </row>
    <row r="846">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c r="AF846" s="49"/>
      <c r="AG846" s="49"/>
      <c r="AH846" s="49"/>
      <c r="AI846" s="49"/>
      <c r="AJ846" s="49"/>
      <c r="AK846" s="49"/>
      <c r="AL846" s="49"/>
      <c r="AM846" s="49"/>
      <c r="AN846" s="49"/>
      <c r="AO846" s="49"/>
      <c r="AP846" s="49"/>
      <c r="AQ846" s="49"/>
      <c r="AR846" s="49"/>
      <c r="AS846" s="49"/>
      <c r="AT846" s="49"/>
      <c r="AU846" s="49"/>
      <c r="AV846" s="49"/>
      <c r="AW846" s="49"/>
      <c r="AX846" s="49"/>
    </row>
    <row r="847">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c r="AF847" s="49"/>
      <c r="AG847" s="49"/>
      <c r="AH847" s="49"/>
      <c r="AI847" s="49"/>
      <c r="AJ847" s="49"/>
      <c r="AK847" s="49"/>
      <c r="AL847" s="49"/>
      <c r="AM847" s="49"/>
      <c r="AN847" s="49"/>
      <c r="AO847" s="49"/>
      <c r="AP847" s="49"/>
      <c r="AQ847" s="49"/>
      <c r="AR847" s="49"/>
      <c r="AS847" s="49"/>
      <c r="AT847" s="49"/>
      <c r="AU847" s="49"/>
      <c r="AV847" s="49"/>
      <c r="AW847" s="49"/>
      <c r="AX847" s="49"/>
    </row>
    <row r="848">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c r="AF848" s="49"/>
      <c r="AG848" s="49"/>
      <c r="AH848" s="49"/>
      <c r="AI848" s="49"/>
      <c r="AJ848" s="49"/>
      <c r="AK848" s="49"/>
      <c r="AL848" s="49"/>
      <c r="AM848" s="49"/>
      <c r="AN848" s="49"/>
      <c r="AO848" s="49"/>
      <c r="AP848" s="49"/>
      <c r="AQ848" s="49"/>
      <c r="AR848" s="49"/>
      <c r="AS848" s="49"/>
      <c r="AT848" s="49"/>
      <c r="AU848" s="49"/>
      <c r="AV848" s="49"/>
      <c r="AW848" s="49"/>
      <c r="AX848" s="49"/>
    </row>
    <row r="849">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c r="AF849" s="49"/>
      <c r="AG849" s="49"/>
      <c r="AH849" s="49"/>
      <c r="AI849" s="49"/>
      <c r="AJ849" s="49"/>
      <c r="AK849" s="49"/>
      <c r="AL849" s="49"/>
      <c r="AM849" s="49"/>
      <c r="AN849" s="49"/>
      <c r="AO849" s="49"/>
      <c r="AP849" s="49"/>
      <c r="AQ849" s="49"/>
      <c r="AR849" s="49"/>
      <c r="AS849" s="49"/>
      <c r="AT849" s="49"/>
      <c r="AU849" s="49"/>
      <c r="AV849" s="49"/>
      <c r="AW849" s="49"/>
      <c r="AX849" s="49"/>
    </row>
    <row r="850">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c r="AF850" s="49"/>
      <c r="AG850" s="49"/>
      <c r="AH850" s="49"/>
      <c r="AI850" s="49"/>
      <c r="AJ850" s="49"/>
      <c r="AK850" s="49"/>
      <c r="AL850" s="49"/>
      <c r="AM850" s="49"/>
      <c r="AN850" s="49"/>
      <c r="AO850" s="49"/>
      <c r="AP850" s="49"/>
      <c r="AQ850" s="49"/>
      <c r="AR850" s="49"/>
      <c r="AS850" s="49"/>
      <c r="AT850" s="49"/>
      <c r="AU850" s="49"/>
      <c r="AV850" s="49"/>
      <c r="AW850" s="49"/>
      <c r="AX850" s="49"/>
    </row>
    <row r="851">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c r="AF851" s="49"/>
      <c r="AG851" s="49"/>
      <c r="AH851" s="49"/>
      <c r="AI851" s="49"/>
      <c r="AJ851" s="49"/>
      <c r="AK851" s="49"/>
      <c r="AL851" s="49"/>
      <c r="AM851" s="49"/>
      <c r="AN851" s="49"/>
      <c r="AO851" s="49"/>
      <c r="AP851" s="49"/>
      <c r="AQ851" s="49"/>
      <c r="AR851" s="49"/>
      <c r="AS851" s="49"/>
      <c r="AT851" s="49"/>
      <c r="AU851" s="49"/>
      <c r="AV851" s="49"/>
      <c r="AW851" s="49"/>
      <c r="AX851" s="49"/>
    </row>
    <row r="852">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c r="AF852" s="49"/>
      <c r="AG852" s="49"/>
      <c r="AH852" s="49"/>
      <c r="AI852" s="49"/>
      <c r="AJ852" s="49"/>
      <c r="AK852" s="49"/>
      <c r="AL852" s="49"/>
      <c r="AM852" s="49"/>
      <c r="AN852" s="49"/>
      <c r="AO852" s="49"/>
      <c r="AP852" s="49"/>
      <c r="AQ852" s="49"/>
      <c r="AR852" s="49"/>
      <c r="AS852" s="49"/>
      <c r="AT852" s="49"/>
      <c r="AU852" s="49"/>
      <c r="AV852" s="49"/>
      <c r="AW852" s="49"/>
      <c r="AX852" s="49"/>
    </row>
    <row r="853">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c r="AF853" s="49"/>
      <c r="AG853" s="49"/>
      <c r="AH853" s="49"/>
      <c r="AI853" s="49"/>
      <c r="AJ853" s="49"/>
      <c r="AK853" s="49"/>
      <c r="AL853" s="49"/>
      <c r="AM853" s="49"/>
      <c r="AN853" s="49"/>
      <c r="AO853" s="49"/>
      <c r="AP853" s="49"/>
      <c r="AQ853" s="49"/>
      <c r="AR853" s="49"/>
      <c r="AS853" s="49"/>
      <c r="AT853" s="49"/>
      <c r="AU853" s="49"/>
      <c r="AV853" s="49"/>
      <c r="AW853" s="49"/>
      <c r="AX853" s="49"/>
    </row>
    <row r="854">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c r="AF854" s="49"/>
      <c r="AG854" s="49"/>
      <c r="AH854" s="49"/>
      <c r="AI854" s="49"/>
      <c r="AJ854" s="49"/>
      <c r="AK854" s="49"/>
      <c r="AL854" s="49"/>
      <c r="AM854" s="49"/>
      <c r="AN854" s="49"/>
      <c r="AO854" s="49"/>
      <c r="AP854" s="49"/>
      <c r="AQ854" s="49"/>
      <c r="AR854" s="49"/>
      <c r="AS854" s="49"/>
      <c r="AT854" s="49"/>
      <c r="AU854" s="49"/>
      <c r="AV854" s="49"/>
      <c r="AW854" s="49"/>
      <c r="AX854" s="49"/>
    </row>
    <row r="85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c r="AF855" s="49"/>
      <c r="AG855" s="49"/>
      <c r="AH855" s="49"/>
      <c r="AI855" s="49"/>
      <c r="AJ855" s="49"/>
      <c r="AK855" s="49"/>
      <c r="AL855" s="49"/>
      <c r="AM855" s="49"/>
      <c r="AN855" s="49"/>
      <c r="AO855" s="49"/>
      <c r="AP855" s="49"/>
      <c r="AQ855" s="49"/>
      <c r="AR855" s="49"/>
      <c r="AS855" s="49"/>
      <c r="AT855" s="49"/>
      <c r="AU855" s="49"/>
      <c r="AV855" s="49"/>
      <c r="AW855" s="49"/>
      <c r="AX855" s="49"/>
    </row>
    <row r="856">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c r="AF856" s="49"/>
      <c r="AG856" s="49"/>
      <c r="AH856" s="49"/>
      <c r="AI856" s="49"/>
      <c r="AJ856" s="49"/>
      <c r="AK856" s="49"/>
      <c r="AL856" s="49"/>
      <c r="AM856" s="49"/>
      <c r="AN856" s="49"/>
      <c r="AO856" s="49"/>
      <c r="AP856" s="49"/>
      <c r="AQ856" s="49"/>
      <c r="AR856" s="49"/>
      <c r="AS856" s="49"/>
      <c r="AT856" s="49"/>
      <c r="AU856" s="49"/>
      <c r="AV856" s="49"/>
      <c r="AW856" s="49"/>
      <c r="AX856" s="49"/>
    </row>
    <row r="857">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c r="AF857" s="49"/>
      <c r="AG857" s="49"/>
      <c r="AH857" s="49"/>
      <c r="AI857" s="49"/>
      <c r="AJ857" s="49"/>
      <c r="AK857" s="49"/>
      <c r="AL857" s="49"/>
      <c r="AM857" s="49"/>
      <c r="AN857" s="49"/>
      <c r="AO857" s="49"/>
      <c r="AP857" s="49"/>
      <c r="AQ857" s="49"/>
      <c r="AR857" s="49"/>
      <c r="AS857" s="49"/>
      <c r="AT857" s="49"/>
      <c r="AU857" s="49"/>
      <c r="AV857" s="49"/>
      <c r="AW857" s="49"/>
      <c r="AX857" s="49"/>
    </row>
    <row r="858">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c r="AF858" s="49"/>
      <c r="AG858" s="49"/>
      <c r="AH858" s="49"/>
      <c r="AI858" s="49"/>
      <c r="AJ858" s="49"/>
      <c r="AK858" s="49"/>
      <c r="AL858" s="49"/>
      <c r="AM858" s="49"/>
      <c r="AN858" s="49"/>
      <c r="AO858" s="49"/>
      <c r="AP858" s="49"/>
      <c r="AQ858" s="49"/>
      <c r="AR858" s="49"/>
      <c r="AS858" s="49"/>
      <c r="AT858" s="49"/>
      <c r="AU858" s="49"/>
      <c r="AV858" s="49"/>
      <c r="AW858" s="49"/>
      <c r="AX858" s="49"/>
    </row>
    <row r="859">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c r="AF859" s="49"/>
      <c r="AG859" s="49"/>
      <c r="AH859" s="49"/>
      <c r="AI859" s="49"/>
      <c r="AJ859" s="49"/>
      <c r="AK859" s="49"/>
      <c r="AL859" s="49"/>
      <c r="AM859" s="49"/>
      <c r="AN859" s="49"/>
      <c r="AO859" s="49"/>
      <c r="AP859" s="49"/>
      <c r="AQ859" s="49"/>
      <c r="AR859" s="49"/>
      <c r="AS859" s="49"/>
      <c r="AT859" s="49"/>
      <c r="AU859" s="49"/>
      <c r="AV859" s="49"/>
      <c r="AW859" s="49"/>
      <c r="AX859" s="49"/>
    </row>
    <row r="860">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c r="AF860" s="49"/>
      <c r="AG860" s="49"/>
      <c r="AH860" s="49"/>
      <c r="AI860" s="49"/>
      <c r="AJ860" s="49"/>
      <c r="AK860" s="49"/>
      <c r="AL860" s="49"/>
      <c r="AM860" s="49"/>
      <c r="AN860" s="49"/>
      <c r="AO860" s="49"/>
      <c r="AP860" s="49"/>
      <c r="AQ860" s="49"/>
      <c r="AR860" s="49"/>
      <c r="AS860" s="49"/>
      <c r="AT860" s="49"/>
      <c r="AU860" s="49"/>
      <c r="AV860" s="49"/>
      <c r="AW860" s="49"/>
      <c r="AX860" s="49"/>
    </row>
    <row r="861">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c r="AF861" s="49"/>
      <c r="AG861" s="49"/>
      <c r="AH861" s="49"/>
      <c r="AI861" s="49"/>
      <c r="AJ861" s="49"/>
      <c r="AK861" s="49"/>
      <c r="AL861" s="49"/>
      <c r="AM861" s="49"/>
      <c r="AN861" s="49"/>
      <c r="AO861" s="49"/>
      <c r="AP861" s="49"/>
      <c r="AQ861" s="49"/>
      <c r="AR861" s="49"/>
      <c r="AS861" s="49"/>
      <c r="AT861" s="49"/>
      <c r="AU861" s="49"/>
      <c r="AV861" s="49"/>
      <c r="AW861" s="49"/>
      <c r="AX861" s="49"/>
    </row>
    <row r="862">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c r="AF862" s="49"/>
      <c r="AG862" s="49"/>
      <c r="AH862" s="49"/>
      <c r="AI862" s="49"/>
      <c r="AJ862" s="49"/>
      <c r="AK862" s="49"/>
      <c r="AL862" s="49"/>
      <c r="AM862" s="49"/>
      <c r="AN862" s="49"/>
      <c r="AO862" s="49"/>
      <c r="AP862" s="49"/>
      <c r="AQ862" s="49"/>
      <c r="AR862" s="49"/>
      <c r="AS862" s="49"/>
      <c r="AT862" s="49"/>
      <c r="AU862" s="49"/>
      <c r="AV862" s="49"/>
      <c r="AW862" s="49"/>
      <c r="AX862" s="49"/>
    </row>
    <row r="863">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c r="AF863" s="49"/>
      <c r="AG863" s="49"/>
      <c r="AH863" s="49"/>
      <c r="AI863" s="49"/>
      <c r="AJ863" s="49"/>
      <c r="AK863" s="49"/>
      <c r="AL863" s="49"/>
      <c r="AM863" s="49"/>
      <c r="AN863" s="49"/>
      <c r="AO863" s="49"/>
      <c r="AP863" s="49"/>
      <c r="AQ863" s="49"/>
      <c r="AR863" s="49"/>
      <c r="AS863" s="49"/>
      <c r="AT863" s="49"/>
      <c r="AU863" s="49"/>
      <c r="AV863" s="49"/>
      <c r="AW863" s="49"/>
      <c r="AX863" s="49"/>
    </row>
    <row r="864">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c r="AF864" s="49"/>
      <c r="AG864" s="49"/>
      <c r="AH864" s="49"/>
      <c r="AI864" s="49"/>
      <c r="AJ864" s="49"/>
      <c r="AK864" s="49"/>
      <c r="AL864" s="49"/>
      <c r="AM864" s="49"/>
      <c r="AN864" s="49"/>
      <c r="AO864" s="49"/>
      <c r="AP864" s="49"/>
      <c r="AQ864" s="49"/>
      <c r="AR864" s="49"/>
      <c r="AS864" s="49"/>
      <c r="AT864" s="49"/>
      <c r="AU864" s="49"/>
      <c r="AV864" s="49"/>
      <c r="AW864" s="49"/>
      <c r="AX864" s="49"/>
    </row>
    <row r="86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c r="AF865" s="49"/>
      <c r="AG865" s="49"/>
      <c r="AH865" s="49"/>
      <c r="AI865" s="49"/>
      <c r="AJ865" s="49"/>
      <c r="AK865" s="49"/>
      <c r="AL865" s="49"/>
      <c r="AM865" s="49"/>
      <c r="AN865" s="49"/>
      <c r="AO865" s="49"/>
      <c r="AP865" s="49"/>
      <c r="AQ865" s="49"/>
      <c r="AR865" s="49"/>
      <c r="AS865" s="49"/>
      <c r="AT865" s="49"/>
      <c r="AU865" s="49"/>
      <c r="AV865" s="49"/>
      <c r="AW865" s="49"/>
      <c r="AX865" s="49"/>
    </row>
    <row r="866">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c r="AF866" s="49"/>
      <c r="AG866" s="49"/>
      <c r="AH866" s="49"/>
      <c r="AI866" s="49"/>
      <c r="AJ866" s="49"/>
      <c r="AK866" s="49"/>
      <c r="AL866" s="49"/>
      <c r="AM866" s="49"/>
      <c r="AN866" s="49"/>
      <c r="AO866" s="49"/>
      <c r="AP866" s="49"/>
      <c r="AQ866" s="49"/>
      <c r="AR866" s="49"/>
      <c r="AS866" s="49"/>
      <c r="AT866" s="49"/>
      <c r="AU866" s="49"/>
      <c r="AV866" s="49"/>
      <c r="AW866" s="49"/>
      <c r="AX866" s="49"/>
    </row>
    <row r="867">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c r="AF867" s="49"/>
      <c r="AG867" s="49"/>
      <c r="AH867" s="49"/>
      <c r="AI867" s="49"/>
      <c r="AJ867" s="49"/>
      <c r="AK867" s="49"/>
      <c r="AL867" s="49"/>
      <c r="AM867" s="49"/>
      <c r="AN867" s="49"/>
      <c r="AO867" s="49"/>
      <c r="AP867" s="49"/>
      <c r="AQ867" s="49"/>
      <c r="AR867" s="49"/>
      <c r="AS867" s="49"/>
      <c r="AT867" s="49"/>
      <c r="AU867" s="49"/>
      <c r="AV867" s="49"/>
      <c r="AW867" s="49"/>
      <c r="AX867" s="49"/>
    </row>
    <row r="868">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c r="AF868" s="49"/>
      <c r="AG868" s="49"/>
      <c r="AH868" s="49"/>
      <c r="AI868" s="49"/>
      <c r="AJ868" s="49"/>
      <c r="AK868" s="49"/>
      <c r="AL868" s="49"/>
      <c r="AM868" s="49"/>
      <c r="AN868" s="49"/>
      <c r="AO868" s="49"/>
      <c r="AP868" s="49"/>
      <c r="AQ868" s="49"/>
      <c r="AR868" s="49"/>
      <c r="AS868" s="49"/>
      <c r="AT868" s="49"/>
      <c r="AU868" s="49"/>
      <c r="AV868" s="49"/>
      <c r="AW868" s="49"/>
      <c r="AX868" s="49"/>
    </row>
    <row r="869">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c r="AF869" s="49"/>
      <c r="AG869" s="49"/>
      <c r="AH869" s="49"/>
      <c r="AI869" s="49"/>
      <c r="AJ869" s="49"/>
      <c r="AK869" s="49"/>
      <c r="AL869" s="49"/>
      <c r="AM869" s="49"/>
      <c r="AN869" s="49"/>
      <c r="AO869" s="49"/>
      <c r="AP869" s="49"/>
      <c r="AQ869" s="49"/>
      <c r="AR869" s="49"/>
      <c r="AS869" s="49"/>
      <c r="AT869" s="49"/>
      <c r="AU869" s="49"/>
      <c r="AV869" s="49"/>
      <c r="AW869" s="49"/>
      <c r="AX869" s="49"/>
    </row>
    <row r="870">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c r="AF870" s="49"/>
      <c r="AG870" s="49"/>
      <c r="AH870" s="49"/>
      <c r="AI870" s="49"/>
      <c r="AJ870" s="49"/>
      <c r="AK870" s="49"/>
      <c r="AL870" s="49"/>
      <c r="AM870" s="49"/>
      <c r="AN870" s="49"/>
      <c r="AO870" s="49"/>
      <c r="AP870" s="49"/>
      <c r="AQ870" s="49"/>
      <c r="AR870" s="49"/>
      <c r="AS870" s="49"/>
      <c r="AT870" s="49"/>
      <c r="AU870" s="49"/>
      <c r="AV870" s="49"/>
      <c r="AW870" s="49"/>
      <c r="AX870" s="49"/>
    </row>
    <row r="871">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c r="AF871" s="49"/>
      <c r="AG871" s="49"/>
      <c r="AH871" s="49"/>
      <c r="AI871" s="49"/>
      <c r="AJ871" s="49"/>
      <c r="AK871" s="49"/>
      <c r="AL871" s="49"/>
      <c r="AM871" s="49"/>
      <c r="AN871" s="49"/>
      <c r="AO871" s="49"/>
      <c r="AP871" s="49"/>
      <c r="AQ871" s="49"/>
      <c r="AR871" s="49"/>
      <c r="AS871" s="49"/>
      <c r="AT871" s="49"/>
      <c r="AU871" s="49"/>
      <c r="AV871" s="49"/>
      <c r="AW871" s="49"/>
      <c r="AX871" s="49"/>
    </row>
    <row r="872">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c r="AF872" s="49"/>
      <c r="AG872" s="49"/>
      <c r="AH872" s="49"/>
      <c r="AI872" s="49"/>
      <c r="AJ872" s="49"/>
      <c r="AK872" s="49"/>
      <c r="AL872" s="49"/>
      <c r="AM872" s="49"/>
      <c r="AN872" s="49"/>
      <c r="AO872" s="49"/>
      <c r="AP872" s="49"/>
      <c r="AQ872" s="49"/>
      <c r="AR872" s="49"/>
      <c r="AS872" s="49"/>
      <c r="AT872" s="49"/>
      <c r="AU872" s="49"/>
      <c r="AV872" s="49"/>
      <c r="AW872" s="49"/>
      <c r="AX872" s="49"/>
    </row>
    <row r="873">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c r="AF873" s="49"/>
      <c r="AG873" s="49"/>
      <c r="AH873" s="49"/>
      <c r="AI873" s="49"/>
      <c r="AJ873" s="49"/>
      <c r="AK873" s="49"/>
      <c r="AL873" s="49"/>
      <c r="AM873" s="49"/>
      <c r="AN873" s="49"/>
      <c r="AO873" s="49"/>
      <c r="AP873" s="49"/>
      <c r="AQ873" s="49"/>
      <c r="AR873" s="49"/>
      <c r="AS873" s="49"/>
      <c r="AT873" s="49"/>
      <c r="AU873" s="49"/>
      <c r="AV873" s="49"/>
      <c r="AW873" s="49"/>
      <c r="AX873" s="49"/>
    </row>
    <row r="874">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c r="AF874" s="49"/>
      <c r="AG874" s="49"/>
      <c r="AH874" s="49"/>
      <c r="AI874" s="49"/>
      <c r="AJ874" s="49"/>
      <c r="AK874" s="49"/>
      <c r="AL874" s="49"/>
      <c r="AM874" s="49"/>
      <c r="AN874" s="49"/>
      <c r="AO874" s="49"/>
      <c r="AP874" s="49"/>
      <c r="AQ874" s="49"/>
      <c r="AR874" s="49"/>
      <c r="AS874" s="49"/>
      <c r="AT874" s="49"/>
      <c r="AU874" s="49"/>
      <c r="AV874" s="49"/>
      <c r="AW874" s="49"/>
      <c r="AX874" s="49"/>
    </row>
    <row r="87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c r="AF875" s="49"/>
      <c r="AG875" s="49"/>
      <c r="AH875" s="49"/>
      <c r="AI875" s="49"/>
      <c r="AJ875" s="49"/>
      <c r="AK875" s="49"/>
      <c r="AL875" s="49"/>
      <c r="AM875" s="49"/>
      <c r="AN875" s="49"/>
      <c r="AO875" s="49"/>
      <c r="AP875" s="49"/>
      <c r="AQ875" s="49"/>
      <c r="AR875" s="49"/>
      <c r="AS875" s="49"/>
      <c r="AT875" s="49"/>
      <c r="AU875" s="49"/>
      <c r="AV875" s="49"/>
      <c r="AW875" s="49"/>
      <c r="AX875" s="49"/>
    </row>
    <row r="876">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c r="AF876" s="49"/>
      <c r="AG876" s="49"/>
      <c r="AH876" s="49"/>
      <c r="AI876" s="49"/>
      <c r="AJ876" s="49"/>
      <c r="AK876" s="49"/>
      <c r="AL876" s="49"/>
      <c r="AM876" s="49"/>
      <c r="AN876" s="49"/>
      <c r="AO876" s="49"/>
      <c r="AP876" s="49"/>
      <c r="AQ876" s="49"/>
      <c r="AR876" s="49"/>
      <c r="AS876" s="49"/>
      <c r="AT876" s="49"/>
      <c r="AU876" s="49"/>
      <c r="AV876" s="49"/>
      <c r="AW876" s="49"/>
      <c r="AX876" s="49"/>
    </row>
    <row r="877">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c r="AF877" s="49"/>
      <c r="AG877" s="49"/>
      <c r="AH877" s="49"/>
      <c r="AI877" s="49"/>
      <c r="AJ877" s="49"/>
      <c r="AK877" s="49"/>
      <c r="AL877" s="49"/>
      <c r="AM877" s="49"/>
      <c r="AN877" s="49"/>
      <c r="AO877" s="49"/>
      <c r="AP877" s="49"/>
      <c r="AQ877" s="49"/>
      <c r="AR877" s="49"/>
      <c r="AS877" s="49"/>
      <c r="AT877" s="49"/>
      <c r="AU877" s="49"/>
      <c r="AV877" s="49"/>
      <c r="AW877" s="49"/>
      <c r="AX877" s="49"/>
    </row>
    <row r="878">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c r="AF878" s="49"/>
      <c r="AG878" s="49"/>
      <c r="AH878" s="49"/>
      <c r="AI878" s="49"/>
      <c r="AJ878" s="49"/>
      <c r="AK878" s="49"/>
      <c r="AL878" s="49"/>
      <c r="AM878" s="49"/>
      <c r="AN878" s="49"/>
      <c r="AO878" s="49"/>
      <c r="AP878" s="49"/>
      <c r="AQ878" s="49"/>
      <c r="AR878" s="49"/>
      <c r="AS878" s="49"/>
      <c r="AT878" s="49"/>
      <c r="AU878" s="49"/>
      <c r="AV878" s="49"/>
      <c r="AW878" s="49"/>
      <c r="AX878" s="49"/>
    </row>
    <row r="879">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c r="AF879" s="49"/>
      <c r="AG879" s="49"/>
      <c r="AH879" s="49"/>
      <c r="AI879" s="49"/>
      <c r="AJ879" s="49"/>
      <c r="AK879" s="49"/>
      <c r="AL879" s="49"/>
      <c r="AM879" s="49"/>
      <c r="AN879" s="49"/>
      <c r="AO879" s="49"/>
      <c r="AP879" s="49"/>
      <c r="AQ879" s="49"/>
      <c r="AR879" s="49"/>
      <c r="AS879" s="49"/>
      <c r="AT879" s="49"/>
      <c r="AU879" s="49"/>
      <c r="AV879" s="49"/>
      <c r="AW879" s="49"/>
      <c r="AX879" s="49"/>
    </row>
    <row r="880">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c r="AF880" s="49"/>
      <c r="AG880" s="49"/>
      <c r="AH880" s="49"/>
      <c r="AI880" s="49"/>
      <c r="AJ880" s="49"/>
      <c r="AK880" s="49"/>
      <c r="AL880" s="49"/>
      <c r="AM880" s="49"/>
      <c r="AN880" s="49"/>
      <c r="AO880" s="49"/>
      <c r="AP880" s="49"/>
      <c r="AQ880" s="49"/>
      <c r="AR880" s="49"/>
      <c r="AS880" s="49"/>
      <c r="AT880" s="49"/>
      <c r="AU880" s="49"/>
      <c r="AV880" s="49"/>
      <c r="AW880" s="49"/>
      <c r="AX880" s="49"/>
    </row>
    <row r="881">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c r="AF881" s="49"/>
      <c r="AG881" s="49"/>
      <c r="AH881" s="49"/>
      <c r="AI881" s="49"/>
      <c r="AJ881" s="49"/>
      <c r="AK881" s="49"/>
      <c r="AL881" s="49"/>
      <c r="AM881" s="49"/>
      <c r="AN881" s="49"/>
      <c r="AO881" s="49"/>
      <c r="AP881" s="49"/>
      <c r="AQ881" s="49"/>
      <c r="AR881" s="49"/>
      <c r="AS881" s="49"/>
      <c r="AT881" s="49"/>
      <c r="AU881" s="49"/>
      <c r="AV881" s="49"/>
      <c r="AW881" s="49"/>
      <c r="AX881" s="49"/>
    </row>
    <row r="882">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c r="AF882" s="49"/>
      <c r="AG882" s="49"/>
      <c r="AH882" s="49"/>
      <c r="AI882" s="49"/>
      <c r="AJ882" s="49"/>
      <c r="AK882" s="49"/>
      <c r="AL882" s="49"/>
      <c r="AM882" s="49"/>
      <c r="AN882" s="49"/>
      <c r="AO882" s="49"/>
      <c r="AP882" s="49"/>
      <c r="AQ882" s="49"/>
      <c r="AR882" s="49"/>
      <c r="AS882" s="49"/>
      <c r="AT882" s="49"/>
      <c r="AU882" s="49"/>
      <c r="AV882" s="49"/>
      <c r="AW882" s="49"/>
      <c r="AX882" s="49"/>
    </row>
    <row r="883">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c r="AF883" s="49"/>
      <c r="AG883" s="49"/>
      <c r="AH883" s="49"/>
      <c r="AI883" s="49"/>
      <c r="AJ883" s="49"/>
      <c r="AK883" s="49"/>
      <c r="AL883" s="49"/>
      <c r="AM883" s="49"/>
      <c r="AN883" s="49"/>
      <c r="AO883" s="49"/>
      <c r="AP883" s="49"/>
      <c r="AQ883" s="49"/>
      <c r="AR883" s="49"/>
      <c r="AS883" s="49"/>
      <c r="AT883" s="49"/>
      <c r="AU883" s="49"/>
      <c r="AV883" s="49"/>
      <c r="AW883" s="49"/>
      <c r="AX883" s="49"/>
    </row>
    <row r="884">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c r="AF884" s="49"/>
      <c r="AG884" s="49"/>
      <c r="AH884" s="49"/>
      <c r="AI884" s="49"/>
      <c r="AJ884" s="49"/>
      <c r="AK884" s="49"/>
      <c r="AL884" s="49"/>
      <c r="AM884" s="49"/>
      <c r="AN884" s="49"/>
      <c r="AO884" s="49"/>
      <c r="AP884" s="49"/>
      <c r="AQ884" s="49"/>
      <c r="AR884" s="49"/>
      <c r="AS884" s="49"/>
      <c r="AT884" s="49"/>
      <c r="AU884" s="49"/>
      <c r="AV884" s="49"/>
      <c r="AW884" s="49"/>
      <c r="AX884" s="49"/>
    </row>
    <row r="88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c r="AF885" s="49"/>
      <c r="AG885" s="49"/>
      <c r="AH885" s="49"/>
      <c r="AI885" s="49"/>
      <c r="AJ885" s="49"/>
      <c r="AK885" s="49"/>
      <c r="AL885" s="49"/>
      <c r="AM885" s="49"/>
      <c r="AN885" s="49"/>
      <c r="AO885" s="49"/>
      <c r="AP885" s="49"/>
      <c r="AQ885" s="49"/>
      <c r="AR885" s="49"/>
      <c r="AS885" s="49"/>
      <c r="AT885" s="49"/>
      <c r="AU885" s="49"/>
      <c r="AV885" s="49"/>
      <c r="AW885" s="49"/>
      <c r="AX885" s="49"/>
    </row>
    <row r="886">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c r="AF886" s="49"/>
      <c r="AG886" s="49"/>
      <c r="AH886" s="49"/>
      <c r="AI886" s="49"/>
      <c r="AJ886" s="49"/>
      <c r="AK886" s="49"/>
      <c r="AL886" s="49"/>
      <c r="AM886" s="49"/>
      <c r="AN886" s="49"/>
      <c r="AO886" s="49"/>
      <c r="AP886" s="49"/>
      <c r="AQ886" s="49"/>
      <c r="AR886" s="49"/>
      <c r="AS886" s="49"/>
      <c r="AT886" s="49"/>
      <c r="AU886" s="49"/>
      <c r="AV886" s="49"/>
      <c r="AW886" s="49"/>
      <c r="AX886" s="49"/>
    </row>
    <row r="887">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c r="AF887" s="49"/>
      <c r="AG887" s="49"/>
      <c r="AH887" s="49"/>
      <c r="AI887" s="49"/>
      <c r="AJ887" s="49"/>
      <c r="AK887" s="49"/>
      <c r="AL887" s="49"/>
      <c r="AM887" s="49"/>
      <c r="AN887" s="49"/>
      <c r="AO887" s="49"/>
      <c r="AP887" s="49"/>
      <c r="AQ887" s="49"/>
      <c r="AR887" s="49"/>
      <c r="AS887" s="49"/>
      <c r="AT887" s="49"/>
      <c r="AU887" s="49"/>
      <c r="AV887" s="49"/>
      <c r="AW887" s="49"/>
      <c r="AX887" s="49"/>
    </row>
    <row r="888">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c r="AF888" s="49"/>
      <c r="AG888" s="49"/>
      <c r="AH888" s="49"/>
      <c r="AI888" s="49"/>
      <c r="AJ888" s="49"/>
      <c r="AK888" s="49"/>
      <c r="AL888" s="49"/>
      <c r="AM888" s="49"/>
      <c r="AN888" s="49"/>
      <c r="AO888" s="49"/>
      <c r="AP888" s="49"/>
      <c r="AQ888" s="49"/>
      <c r="AR888" s="49"/>
      <c r="AS888" s="49"/>
      <c r="AT888" s="49"/>
      <c r="AU888" s="49"/>
      <c r="AV888" s="49"/>
      <c r="AW888" s="49"/>
      <c r="AX888" s="49"/>
    </row>
    <row r="889">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c r="AF889" s="49"/>
      <c r="AG889" s="49"/>
      <c r="AH889" s="49"/>
      <c r="AI889" s="49"/>
      <c r="AJ889" s="49"/>
      <c r="AK889" s="49"/>
      <c r="AL889" s="49"/>
      <c r="AM889" s="49"/>
      <c r="AN889" s="49"/>
      <c r="AO889" s="49"/>
      <c r="AP889" s="49"/>
      <c r="AQ889" s="49"/>
      <c r="AR889" s="49"/>
      <c r="AS889" s="49"/>
      <c r="AT889" s="49"/>
      <c r="AU889" s="49"/>
      <c r="AV889" s="49"/>
      <c r="AW889" s="49"/>
      <c r="AX889" s="49"/>
    </row>
    <row r="890">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c r="AF890" s="49"/>
      <c r="AG890" s="49"/>
      <c r="AH890" s="49"/>
      <c r="AI890" s="49"/>
      <c r="AJ890" s="49"/>
      <c r="AK890" s="49"/>
      <c r="AL890" s="49"/>
      <c r="AM890" s="49"/>
      <c r="AN890" s="49"/>
      <c r="AO890" s="49"/>
      <c r="AP890" s="49"/>
      <c r="AQ890" s="49"/>
      <c r="AR890" s="49"/>
      <c r="AS890" s="49"/>
      <c r="AT890" s="49"/>
      <c r="AU890" s="49"/>
      <c r="AV890" s="49"/>
      <c r="AW890" s="49"/>
      <c r="AX890" s="49"/>
    </row>
    <row r="891">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c r="AF891" s="49"/>
      <c r="AG891" s="49"/>
      <c r="AH891" s="49"/>
      <c r="AI891" s="49"/>
      <c r="AJ891" s="49"/>
      <c r="AK891" s="49"/>
      <c r="AL891" s="49"/>
      <c r="AM891" s="49"/>
      <c r="AN891" s="49"/>
      <c r="AO891" s="49"/>
      <c r="AP891" s="49"/>
      <c r="AQ891" s="49"/>
      <c r="AR891" s="49"/>
      <c r="AS891" s="49"/>
      <c r="AT891" s="49"/>
      <c r="AU891" s="49"/>
      <c r="AV891" s="49"/>
      <c r="AW891" s="49"/>
      <c r="AX891" s="49"/>
    </row>
    <row r="892">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c r="AF892" s="49"/>
      <c r="AG892" s="49"/>
      <c r="AH892" s="49"/>
      <c r="AI892" s="49"/>
      <c r="AJ892" s="49"/>
      <c r="AK892" s="49"/>
      <c r="AL892" s="49"/>
      <c r="AM892" s="49"/>
      <c r="AN892" s="49"/>
      <c r="AO892" s="49"/>
      <c r="AP892" s="49"/>
      <c r="AQ892" s="49"/>
      <c r="AR892" s="49"/>
      <c r="AS892" s="49"/>
      <c r="AT892" s="49"/>
      <c r="AU892" s="49"/>
      <c r="AV892" s="49"/>
      <c r="AW892" s="49"/>
      <c r="AX892" s="49"/>
    </row>
    <row r="893">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c r="AF893" s="49"/>
      <c r="AG893" s="49"/>
      <c r="AH893" s="49"/>
      <c r="AI893" s="49"/>
      <c r="AJ893" s="49"/>
      <c r="AK893" s="49"/>
      <c r="AL893" s="49"/>
      <c r="AM893" s="49"/>
      <c r="AN893" s="49"/>
      <c r="AO893" s="49"/>
      <c r="AP893" s="49"/>
      <c r="AQ893" s="49"/>
      <c r="AR893" s="49"/>
      <c r="AS893" s="49"/>
      <c r="AT893" s="49"/>
      <c r="AU893" s="49"/>
      <c r="AV893" s="49"/>
      <c r="AW893" s="49"/>
      <c r="AX893" s="49"/>
    </row>
    <row r="894">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c r="AF894" s="49"/>
      <c r="AG894" s="49"/>
      <c r="AH894" s="49"/>
      <c r="AI894" s="49"/>
      <c r="AJ894" s="49"/>
      <c r="AK894" s="49"/>
      <c r="AL894" s="49"/>
      <c r="AM894" s="49"/>
      <c r="AN894" s="49"/>
      <c r="AO894" s="49"/>
      <c r="AP894" s="49"/>
      <c r="AQ894" s="49"/>
      <c r="AR894" s="49"/>
      <c r="AS894" s="49"/>
      <c r="AT894" s="49"/>
      <c r="AU894" s="49"/>
      <c r="AV894" s="49"/>
      <c r="AW894" s="49"/>
      <c r="AX894" s="49"/>
    </row>
    <row r="89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c r="AF895" s="49"/>
      <c r="AG895" s="49"/>
      <c r="AH895" s="49"/>
      <c r="AI895" s="49"/>
      <c r="AJ895" s="49"/>
      <c r="AK895" s="49"/>
      <c r="AL895" s="49"/>
      <c r="AM895" s="49"/>
      <c r="AN895" s="49"/>
      <c r="AO895" s="49"/>
      <c r="AP895" s="49"/>
      <c r="AQ895" s="49"/>
      <c r="AR895" s="49"/>
      <c r="AS895" s="49"/>
      <c r="AT895" s="49"/>
      <c r="AU895" s="49"/>
      <c r="AV895" s="49"/>
      <c r="AW895" s="49"/>
      <c r="AX895" s="49"/>
    </row>
    <row r="896">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c r="AF896" s="49"/>
      <c r="AG896" s="49"/>
      <c r="AH896" s="49"/>
      <c r="AI896" s="49"/>
      <c r="AJ896" s="49"/>
      <c r="AK896" s="49"/>
      <c r="AL896" s="49"/>
      <c r="AM896" s="49"/>
      <c r="AN896" s="49"/>
      <c r="AO896" s="49"/>
      <c r="AP896" s="49"/>
      <c r="AQ896" s="49"/>
      <c r="AR896" s="49"/>
      <c r="AS896" s="49"/>
      <c r="AT896" s="49"/>
      <c r="AU896" s="49"/>
      <c r="AV896" s="49"/>
      <c r="AW896" s="49"/>
      <c r="AX896" s="49"/>
    </row>
    <row r="897">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c r="AF897" s="49"/>
      <c r="AG897" s="49"/>
      <c r="AH897" s="49"/>
      <c r="AI897" s="49"/>
      <c r="AJ897" s="49"/>
      <c r="AK897" s="49"/>
      <c r="AL897" s="49"/>
      <c r="AM897" s="49"/>
      <c r="AN897" s="49"/>
      <c r="AO897" s="49"/>
      <c r="AP897" s="49"/>
      <c r="AQ897" s="49"/>
      <c r="AR897" s="49"/>
      <c r="AS897" s="49"/>
      <c r="AT897" s="49"/>
      <c r="AU897" s="49"/>
      <c r="AV897" s="49"/>
      <c r="AW897" s="49"/>
      <c r="AX897" s="49"/>
    </row>
    <row r="898">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c r="AF898" s="49"/>
      <c r="AG898" s="49"/>
      <c r="AH898" s="49"/>
      <c r="AI898" s="49"/>
      <c r="AJ898" s="49"/>
      <c r="AK898" s="49"/>
      <c r="AL898" s="49"/>
      <c r="AM898" s="49"/>
      <c r="AN898" s="49"/>
      <c r="AO898" s="49"/>
      <c r="AP898" s="49"/>
      <c r="AQ898" s="49"/>
      <c r="AR898" s="49"/>
      <c r="AS898" s="49"/>
      <c r="AT898" s="49"/>
      <c r="AU898" s="49"/>
      <c r="AV898" s="49"/>
      <c r="AW898" s="49"/>
      <c r="AX898" s="49"/>
    </row>
    <row r="899">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c r="AF899" s="49"/>
      <c r="AG899" s="49"/>
      <c r="AH899" s="49"/>
      <c r="AI899" s="49"/>
      <c r="AJ899" s="49"/>
      <c r="AK899" s="49"/>
      <c r="AL899" s="49"/>
      <c r="AM899" s="49"/>
      <c r="AN899" s="49"/>
      <c r="AO899" s="49"/>
      <c r="AP899" s="49"/>
      <c r="AQ899" s="49"/>
      <c r="AR899" s="49"/>
      <c r="AS899" s="49"/>
      <c r="AT899" s="49"/>
      <c r="AU899" s="49"/>
      <c r="AV899" s="49"/>
      <c r="AW899" s="49"/>
      <c r="AX899" s="49"/>
    </row>
    <row r="900">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c r="AF900" s="49"/>
      <c r="AG900" s="49"/>
      <c r="AH900" s="49"/>
      <c r="AI900" s="49"/>
      <c r="AJ900" s="49"/>
      <c r="AK900" s="49"/>
      <c r="AL900" s="49"/>
      <c r="AM900" s="49"/>
      <c r="AN900" s="49"/>
      <c r="AO900" s="49"/>
      <c r="AP900" s="49"/>
      <c r="AQ900" s="49"/>
      <c r="AR900" s="49"/>
      <c r="AS900" s="49"/>
      <c r="AT900" s="49"/>
      <c r="AU900" s="49"/>
      <c r="AV900" s="49"/>
      <c r="AW900" s="49"/>
      <c r="AX900" s="49"/>
    </row>
    <row r="901">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c r="AF901" s="49"/>
      <c r="AG901" s="49"/>
      <c r="AH901" s="49"/>
      <c r="AI901" s="49"/>
      <c r="AJ901" s="49"/>
      <c r="AK901" s="49"/>
      <c r="AL901" s="49"/>
      <c r="AM901" s="49"/>
      <c r="AN901" s="49"/>
      <c r="AO901" s="49"/>
      <c r="AP901" s="49"/>
      <c r="AQ901" s="49"/>
      <c r="AR901" s="49"/>
      <c r="AS901" s="49"/>
      <c r="AT901" s="49"/>
      <c r="AU901" s="49"/>
      <c r="AV901" s="49"/>
      <c r="AW901" s="49"/>
      <c r="AX901" s="49"/>
    </row>
    <row r="902">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c r="AF902" s="49"/>
      <c r="AG902" s="49"/>
      <c r="AH902" s="49"/>
      <c r="AI902" s="49"/>
      <c r="AJ902" s="49"/>
      <c r="AK902" s="49"/>
      <c r="AL902" s="49"/>
      <c r="AM902" s="49"/>
      <c r="AN902" s="49"/>
      <c r="AO902" s="49"/>
      <c r="AP902" s="49"/>
      <c r="AQ902" s="49"/>
      <c r="AR902" s="49"/>
      <c r="AS902" s="49"/>
      <c r="AT902" s="49"/>
      <c r="AU902" s="49"/>
      <c r="AV902" s="49"/>
      <c r="AW902" s="49"/>
      <c r="AX902" s="49"/>
    </row>
    <row r="903">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c r="AF903" s="49"/>
      <c r="AG903" s="49"/>
      <c r="AH903" s="49"/>
      <c r="AI903" s="49"/>
      <c r="AJ903" s="49"/>
      <c r="AK903" s="49"/>
      <c r="AL903" s="49"/>
      <c r="AM903" s="49"/>
      <c r="AN903" s="49"/>
      <c r="AO903" s="49"/>
      <c r="AP903" s="49"/>
      <c r="AQ903" s="49"/>
      <c r="AR903" s="49"/>
      <c r="AS903" s="49"/>
      <c r="AT903" s="49"/>
      <c r="AU903" s="49"/>
      <c r="AV903" s="49"/>
      <c r="AW903" s="49"/>
      <c r="AX903" s="49"/>
    </row>
    <row r="904">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c r="AF904" s="49"/>
      <c r="AG904" s="49"/>
      <c r="AH904" s="49"/>
      <c r="AI904" s="49"/>
      <c r="AJ904" s="49"/>
      <c r="AK904" s="49"/>
      <c r="AL904" s="49"/>
      <c r="AM904" s="49"/>
      <c r="AN904" s="49"/>
      <c r="AO904" s="49"/>
      <c r="AP904" s="49"/>
      <c r="AQ904" s="49"/>
      <c r="AR904" s="49"/>
      <c r="AS904" s="49"/>
      <c r="AT904" s="49"/>
      <c r="AU904" s="49"/>
      <c r="AV904" s="49"/>
      <c r="AW904" s="49"/>
      <c r="AX904" s="49"/>
    </row>
    <row r="90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c r="AF905" s="49"/>
      <c r="AG905" s="49"/>
      <c r="AH905" s="49"/>
      <c r="AI905" s="49"/>
      <c r="AJ905" s="49"/>
      <c r="AK905" s="49"/>
      <c r="AL905" s="49"/>
      <c r="AM905" s="49"/>
      <c r="AN905" s="49"/>
      <c r="AO905" s="49"/>
      <c r="AP905" s="49"/>
      <c r="AQ905" s="49"/>
      <c r="AR905" s="49"/>
      <c r="AS905" s="49"/>
      <c r="AT905" s="49"/>
      <c r="AU905" s="49"/>
      <c r="AV905" s="49"/>
      <c r="AW905" s="49"/>
      <c r="AX905" s="49"/>
    </row>
    <row r="906">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c r="AF906" s="49"/>
      <c r="AG906" s="49"/>
      <c r="AH906" s="49"/>
      <c r="AI906" s="49"/>
      <c r="AJ906" s="49"/>
      <c r="AK906" s="49"/>
      <c r="AL906" s="49"/>
      <c r="AM906" s="49"/>
      <c r="AN906" s="49"/>
      <c r="AO906" s="49"/>
      <c r="AP906" s="49"/>
      <c r="AQ906" s="49"/>
      <c r="AR906" s="49"/>
      <c r="AS906" s="49"/>
      <c r="AT906" s="49"/>
      <c r="AU906" s="49"/>
      <c r="AV906" s="49"/>
      <c r="AW906" s="49"/>
      <c r="AX906" s="49"/>
    </row>
    <row r="907">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c r="AF907" s="49"/>
      <c r="AG907" s="49"/>
      <c r="AH907" s="49"/>
      <c r="AI907" s="49"/>
      <c r="AJ907" s="49"/>
      <c r="AK907" s="49"/>
      <c r="AL907" s="49"/>
      <c r="AM907" s="49"/>
      <c r="AN907" s="49"/>
      <c r="AO907" s="49"/>
      <c r="AP907" s="49"/>
      <c r="AQ907" s="49"/>
      <c r="AR907" s="49"/>
      <c r="AS907" s="49"/>
      <c r="AT907" s="49"/>
      <c r="AU907" s="49"/>
      <c r="AV907" s="49"/>
      <c r="AW907" s="49"/>
      <c r="AX907" s="49"/>
    </row>
    <row r="908">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c r="AF908" s="49"/>
      <c r="AG908" s="49"/>
      <c r="AH908" s="49"/>
      <c r="AI908" s="49"/>
      <c r="AJ908" s="49"/>
      <c r="AK908" s="49"/>
      <c r="AL908" s="49"/>
      <c r="AM908" s="49"/>
      <c r="AN908" s="49"/>
      <c r="AO908" s="49"/>
      <c r="AP908" s="49"/>
      <c r="AQ908" s="49"/>
      <c r="AR908" s="49"/>
      <c r="AS908" s="49"/>
      <c r="AT908" s="49"/>
      <c r="AU908" s="49"/>
      <c r="AV908" s="49"/>
      <c r="AW908" s="49"/>
      <c r="AX908" s="49"/>
    </row>
    <row r="909">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c r="AF909" s="49"/>
      <c r="AG909" s="49"/>
      <c r="AH909" s="49"/>
      <c r="AI909" s="49"/>
      <c r="AJ909" s="49"/>
      <c r="AK909" s="49"/>
      <c r="AL909" s="49"/>
      <c r="AM909" s="49"/>
      <c r="AN909" s="49"/>
      <c r="AO909" s="49"/>
      <c r="AP909" s="49"/>
      <c r="AQ909" s="49"/>
      <c r="AR909" s="49"/>
      <c r="AS909" s="49"/>
      <c r="AT909" s="49"/>
      <c r="AU909" s="49"/>
      <c r="AV909" s="49"/>
      <c r="AW909" s="49"/>
      <c r="AX909" s="49"/>
    </row>
    <row r="910">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c r="AF910" s="49"/>
      <c r="AG910" s="49"/>
      <c r="AH910" s="49"/>
      <c r="AI910" s="49"/>
      <c r="AJ910" s="49"/>
      <c r="AK910" s="49"/>
      <c r="AL910" s="49"/>
      <c r="AM910" s="49"/>
      <c r="AN910" s="49"/>
      <c r="AO910" s="49"/>
      <c r="AP910" s="49"/>
      <c r="AQ910" s="49"/>
      <c r="AR910" s="49"/>
      <c r="AS910" s="49"/>
      <c r="AT910" s="49"/>
      <c r="AU910" s="49"/>
      <c r="AV910" s="49"/>
      <c r="AW910" s="49"/>
      <c r="AX910" s="49"/>
    </row>
    <row r="911">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c r="AF911" s="49"/>
      <c r="AG911" s="49"/>
      <c r="AH911" s="49"/>
      <c r="AI911" s="49"/>
      <c r="AJ911" s="49"/>
      <c r="AK911" s="49"/>
      <c r="AL911" s="49"/>
      <c r="AM911" s="49"/>
      <c r="AN911" s="49"/>
      <c r="AO911" s="49"/>
      <c r="AP911" s="49"/>
      <c r="AQ911" s="49"/>
      <c r="AR911" s="49"/>
      <c r="AS911" s="49"/>
      <c r="AT911" s="49"/>
      <c r="AU911" s="49"/>
      <c r="AV911" s="49"/>
      <c r="AW911" s="49"/>
      <c r="AX911" s="49"/>
    </row>
    <row r="912">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c r="AF912" s="49"/>
      <c r="AG912" s="49"/>
      <c r="AH912" s="49"/>
      <c r="AI912" s="49"/>
      <c r="AJ912" s="49"/>
      <c r="AK912" s="49"/>
      <c r="AL912" s="49"/>
      <c r="AM912" s="49"/>
      <c r="AN912" s="49"/>
      <c r="AO912" s="49"/>
      <c r="AP912" s="49"/>
      <c r="AQ912" s="49"/>
      <c r="AR912" s="49"/>
      <c r="AS912" s="49"/>
      <c r="AT912" s="49"/>
      <c r="AU912" s="49"/>
      <c r="AV912" s="49"/>
      <c r="AW912" s="49"/>
      <c r="AX912" s="49"/>
    </row>
    <row r="913">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c r="AF913" s="49"/>
      <c r="AG913" s="49"/>
      <c r="AH913" s="49"/>
      <c r="AI913" s="49"/>
      <c r="AJ913" s="49"/>
      <c r="AK913" s="49"/>
      <c r="AL913" s="49"/>
      <c r="AM913" s="49"/>
      <c r="AN913" s="49"/>
      <c r="AO913" s="49"/>
      <c r="AP913" s="49"/>
      <c r="AQ913" s="49"/>
      <c r="AR913" s="49"/>
      <c r="AS913" s="49"/>
      <c r="AT913" s="49"/>
      <c r="AU913" s="49"/>
      <c r="AV913" s="49"/>
      <c r="AW913" s="49"/>
      <c r="AX913" s="49"/>
    </row>
    <row r="914">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c r="AF914" s="49"/>
      <c r="AG914" s="49"/>
      <c r="AH914" s="49"/>
      <c r="AI914" s="49"/>
      <c r="AJ914" s="49"/>
      <c r="AK914" s="49"/>
      <c r="AL914" s="49"/>
      <c r="AM914" s="49"/>
      <c r="AN914" s="49"/>
      <c r="AO914" s="49"/>
      <c r="AP914" s="49"/>
      <c r="AQ914" s="49"/>
      <c r="AR914" s="49"/>
      <c r="AS914" s="49"/>
      <c r="AT914" s="49"/>
      <c r="AU914" s="49"/>
      <c r="AV914" s="49"/>
      <c r="AW914" s="49"/>
      <c r="AX914" s="49"/>
    </row>
    <row r="91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c r="AF915" s="49"/>
      <c r="AG915" s="49"/>
      <c r="AH915" s="49"/>
      <c r="AI915" s="49"/>
      <c r="AJ915" s="49"/>
      <c r="AK915" s="49"/>
      <c r="AL915" s="49"/>
      <c r="AM915" s="49"/>
      <c r="AN915" s="49"/>
      <c r="AO915" s="49"/>
      <c r="AP915" s="49"/>
      <c r="AQ915" s="49"/>
      <c r="AR915" s="49"/>
      <c r="AS915" s="49"/>
      <c r="AT915" s="49"/>
      <c r="AU915" s="49"/>
      <c r="AV915" s="49"/>
      <c r="AW915" s="49"/>
      <c r="AX915" s="49"/>
    </row>
    <row r="916">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c r="AF916" s="49"/>
      <c r="AG916" s="49"/>
      <c r="AH916" s="49"/>
      <c r="AI916" s="49"/>
      <c r="AJ916" s="49"/>
      <c r="AK916" s="49"/>
      <c r="AL916" s="49"/>
      <c r="AM916" s="49"/>
      <c r="AN916" s="49"/>
      <c r="AO916" s="49"/>
      <c r="AP916" s="49"/>
      <c r="AQ916" s="49"/>
      <c r="AR916" s="49"/>
      <c r="AS916" s="49"/>
      <c r="AT916" s="49"/>
      <c r="AU916" s="49"/>
      <c r="AV916" s="49"/>
      <c r="AW916" s="49"/>
      <c r="AX916" s="49"/>
    </row>
    <row r="917">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c r="AF917" s="49"/>
      <c r="AG917" s="49"/>
      <c r="AH917" s="49"/>
      <c r="AI917" s="49"/>
      <c r="AJ917" s="49"/>
      <c r="AK917" s="49"/>
      <c r="AL917" s="49"/>
      <c r="AM917" s="49"/>
      <c r="AN917" s="49"/>
      <c r="AO917" s="49"/>
      <c r="AP917" s="49"/>
      <c r="AQ917" s="49"/>
      <c r="AR917" s="49"/>
      <c r="AS917" s="49"/>
      <c r="AT917" s="49"/>
      <c r="AU917" s="49"/>
      <c r="AV917" s="49"/>
      <c r="AW917" s="49"/>
      <c r="AX917" s="49"/>
    </row>
    <row r="918">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c r="AF918" s="49"/>
      <c r="AG918" s="49"/>
      <c r="AH918" s="49"/>
      <c r="AI918" s="49"/>
      <c r="AJ918" s="49"/>
      <c r="AK918" s="49"/>
      <c r="AL918" s="49"/>
      <c r="AM918" s="49"/>
      <c r="AN918" s="49"/>
      <c r="AO918" s="49"/>
      <c r="AP918" s="49"/>
      <c r="AQ918" s="49"/>
      <c r="AR918" s="49"/>
      <c r="AS918" s="49"/>
      <c r="AT918" s="49"/>
      <c r="AU918" s="49"/>
      <c r="AV918" s="49"/>
      <c r="AW918" s="49"/>
      <c r="AX918" s="49"/>
    </row>
    <row r="919">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c r="AF919" s="49"/>
      <c r="AG919" s="49"/>
      <c r="AH919" s="49"/>
      <c r="AI919" s="49"/>
      <c r="AJ919" s="49"/>
      <c r="AK919" s="49"/>
      <c r="AL919" s="49"/>
      <c r="AM919" s="49"/>
      <c r="AN919" s="49"/>
      <c r="AO919" s="49"/>
      <c r="AP919" s="49"/>
      <c r="AQ919" s="49"/>
      <c r="AR919" s="49"/>
      <c r="AS919" s="49"/>
      <c r="AT919" s="49"/>
      <c r="AU919" s="49"/>
      <c r="AV919" s="49"/>
      <c r="AW919" s="49"/>
      <c r="AX919" s="49"/>
    </row>
    <row r="920">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c r="AF920" s="49"/>
      <c r="AG920" s="49"/>
      <c r="AH920" s="49"/>
      <c r="AI920" s="49"/>
      <c r="AJ920" s="49"/>
      <c r="AK920" s="49"/>
      <c r="AL920" s="49"/>
      <c r="AM920" s="49"/>
      <c r="AN920" s="49"/>
      <c r="AO920" s="49"/>
      <c r="AP920" s="49"/>
      <c r="AQ920" s="49"/>
      <c r="AR920" s="49"/>
      <c r="AS920" s="49"/>
      <c r="AT920" s="49"/>
      <c r="AU920" s="49"/>
      <c r="AV920" s="49"/>
      <c r="AW920" s="49"/>
      <c r="AX920" s="49"/>
    </row>
    <row r="921">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c r="AF921" s="49"/>
      <c r="AG921" s="49"/>
      <c r="AH921" s="49"/>
      <c r="AI921" s="49"/>
      <c r="AJ921" s="49"/>
      <c r="AK921" s="49"/>
      <c r="AL921" s="49"/>
      <c r="AM921" s="49"/>
      <c r="AN921" s="49"/>
      <c r="AO921" s="49"/>
      <c r="AP921" s="49"/>
      <c r="AQ921" s="49"/>
      <c r="AR921" s="49"/>
      <c r="AS921" s="49"/>
      <c r="AT921" s="49"/>
      <c r="AU921" s="49"/>
      <c r="AV921" s="49"/>
      <c r="AW921" s="49"/>
      <c r="AX921" s="49"/>
    </row>
    <row r="922">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c r="AF922" s="49"/>
      <c r="AG922" s="49"/>
      <c r="AH922" s="49"/>
      <c r="AI922" s="49"/>
      <c r="AJ922" s="49"/>
      <c r="AK922" s="49"/>
      <c r="AL922" s="49"/>
      <c r="AM922" s="49"/>
      <c r="AN922" s="49"/>
      <c r="AO922" s="49"/>
      <c r="AP922" s="49"/>
      <c r="AQ922" s="49"/>
      <c r="AR922" s="49"/>
      <c r="AS922" s="49"/>
      <c r="AT922" s="49"/>
      <c r="AU922" s="49"/>
      <c r="AV922" s="49"/>
      <c r="AW922" s="49"/>
      <c r="AX922" s="49"/>
    </row>
    <row r="923">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c r="AF923" s="49"/>
      <c r="AG923" s="49"/>
      <c r="AH923" s="49"/>
      <c r="AI923" s="49"/>
      <c r="AJ923" s="49"/>
      <c r="AK923" s="49"/>
      <c r="AL923" s="49"/>
      <c r="AM923" s="49"/>
      <c r="AN923" s="49"/>
      <c r="AO923" s="49"/>
      <c r="AP923" s="49"/>
      <c r="AQ923" s="49"/>
      <c r="AR923" s="49"/>
      <c r="AS923" s="49"/>
      <c r="AT923" s="49"/>
      <c r="AU923" s="49"/>
      <c r="AV923" s="49"/>
      <c r="AW923" s="49"/>
      <c r="AX923" s="49"/>
    </row>
    <row r="924">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c r="AF924" s="49"/>
      <c r="AG924" s="49"/>
      <c r="AH924" s="49"/>
      <c r="AI924" s="49"/>
      <c r="AJ924" s="49"/>
      <c r="AK924" s="49"/>
      <c r="AL924" s="49"/>
      <c r="AM924" s="49"/>
      <c r="AN924" s="49"/>
      <c r="AO924" s="49"/>
      <c r="AP924" s="49"/>
      <c r="AQ924" s="49"/>
      <c r="AR924" s="49"/>
      <c r="AS924" s="49"/>
      <c r="AT924" s="49"/>
      <c r="AU924" s="49"/>
      <c r="AV924" s="49"/>
      <c r="AW924" s="49"/>
      <c r="AX924" s="49"/>
    </row>
    <row r="9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c r="AF925" s="49"/>
      <c r="AG925" s="49"/>
      <c r="AH925" s="49"/>
      <c r="AI925" s="49"/>
      <c r="AJ925" s="49"/>
      <c r="AK925" s="49"/>
      <c r="AL925" s="49"/>
      <c r="AM925" s="49"/>
      <c r="AN925" s="49"/>
      <c r="AO925" s="49"/>
      <c r="AP925" s="49"/>
      <c r="AQ925" s="49"/>
      <c r="AR925" s="49"/>
      <c r="AS925" s="49"/>
      <c r="AT925" s="49"/>
      <c r="AU925" s="49"/>
      <c r="AV925" s="49"/>
      <c r="AW925" s="49"/>
      <c r="AX925" s="49"/>
    </row>
    <row r="926">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c r="AF926" s="49"/>
      <c r="AG926" s="49"/>
      <c r="AH926" s="49"/>
      <c r="AI926" s="49"/>
      <c r="AJ926" s="49"/>
      <c r="AK926" s="49"/>
      <c r="AL926" s="49"/>
      <c r="AM926" s="49"/>
      <c r="AN926" s="49"/>
      <c r="AO926" s="49"/>
      <c r="AP926" s="49"/>
      <c r="AQ926" s="49"/>
      <c r="AR926" s="49"/>
      <c r="AS926" s="49"/>
      <c r="AT926" s="49"/>
      <c r="AU926" s="49"/>
      <c r="AV926" s="49"/>
      <c r="AW926" s="49"/>
      <c r="AX926" s="49"/>
    </row>
    <row r="927">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c r="AF927" s="49"/>
      <c r="AG927" s="49"/>
      <c r="AH927" s="49"/>
      <c r="AI927" s="49"/>
      <c r="AJ927" s="49"/>
      <c r="AK927" s="49"/>
      <c r="AL927" s="49"/>
      <c r="AM927" s="49"/>
      <c r="AN927" s="49"/>
      <c r="AO927" s="49"/>
      <c r="AP927" s="49"/>
      <c r="AQ927" s="49"/>
      <c r="AR927" s="49"/>
      <c r="AS927" s="49"/>
      <c r="AT927" s="49"/>
      <c r="AU927" s="49"/>
      <c r="AV927" s="49"/>
      <c r="AW927" s="49"/>
      <c r="AX927" s="49"/>
    </row>
    <row r="928">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c r="AF928" s="49"/>
      <c r="AG928" s="49"/>
      <c r="AH928" s="49"/>
      <c r="AI928" s="49"/>
      <c r="AJ928" s="49"/>
      <c r="AK928" s="49"/>
      <c r="AL928" s="49"/>
      <c r="AM928" s="49"/>
      <c r="AN928" s="49"/>
      <c r="AO928" s="49"/>
      <c r="AP928" s="49"/>
      <c r="AQ928" s="49"/>
      <c r="AR928" s="49"/>
      <c r="AS928" s="49"/>
      <c r="AT928" s="49"/>
      <c r="AU928" s="49"/>
      <c r="AV928" s="49"/>
      <c r="AW928" s="49"/>
      <c r="AX928" s="49"/>
    </row>
    <row r="929">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c r="AF929" s="49"/>
      <c r="AG929" s="49"/>
      <c r="AH929" s="49"/>
      <c r="AI929" s="49"/>
      <c r="AJ929" s="49"/>
      <c r="AK929" s="49"/>
      <c r="AL929" s="49"/>
      <c r="AM929" s="49"/>
      <c r="AN929" s="49"/>
      <c r="AO929" s="49"/>
      <c r="AP929" s="49"/>
      <c r="AQ929" s="49"/>
      <c r="AR929" s="49"/>
      <c r="AS929" s="49"/>
      <c r="AT929" s="49"/>
      <c r="AU929" s="49"/>
      <c r="AV929" s="49"/>
      <c r="AW929" s="49"/>
      <c r="AX929" s="49"/>
    </row>
    <row r="930">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c r="AF930" s="49"/>
      <c r="AG930" s="49"/>
      <c r="AH930" s="49"/>
      <c r="AI930" s="49"/>
      <c r="AJ930" s="49"/>
      <c r="AK930" s="49"/>
      <c r="AL930" s="49"/>
      <c r="AM930" s="49"/>
      <c r="AN930" s="49"/>
      <c r="AO930" s="49"/>
      <c r="AP930" s="49"/>
      <c r="AQ930" s="49"/>
      <c r="AR930" s="49"/>
      <c r="AS930" s="49"/>
      <c r="AT930" s="49"/>
      <c r="AU930" s="49"/>
      <c r="AV930" s="49"/>
      <c r="AW930" s="49"/>
      <c r="AX930" s="49"/>
    </row>
    <row r="931">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c r="AF931" s="49"/>
      <c r="AG931" s="49"/>
      <c r="AH931" s="49"/>
      <c r="AI931" s="49"/>
      <c r="AJ931" s="49"/>
      <c r="AK931" s="49"/>
      <c r="AL931" s="49"/>
      <c r="AM931" s="49"/>
      <c r="AN931" s="49"/>
      <c r="AO931" s="49"/>
      <c r="AP931" s="49"/>
      <c r="AQ931" s="49"/>
      <c r="AR931" s="49"/>
      <c r="AS931" s="49"/>
      <c r="AT931" s="49"/>
      <c r="AU931" s="49"/>
      <c r="AV931" s="49"/>
      <c r="AW931" s="49"/>
      <c r="AX931" s="49"/>
    </row>
    <row r="932">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c r="AF932" s="49"/>
      <c r="AG932" s="49"/>
      <c r="AH932" s="49"/>
      <c r="AI932" s="49"/>
      <c r="AJ932" s="49"/>
      <c r="AK932" s="49"/>
      <c r="AL932" s="49"/>
      <c r="AM932" s="49"/>
      <c r="AN932" s="49"/>
      <c r="AO932" s="49"/>
      <c r="AP932" s="49"/>
      <c r="AQ932" s="49"/>
      <c r="AR932" s="49"/>
      <c r="AS932" s="49"/>
      <c r="AT932" s="49"/>
      <c r="AU932" s="49"/>
      <c r="AV932" s="49"/>
      <c r="AW932" s="49"/>
      <c r="AX932" s="49"/>
    </row>
    <row r="933">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c r="AF933" s="49"/>
      <c r="AG933" s="49"/>
      <c r="AH933" s="49"/>
      <c r="AI933" s="49"/>
      <c r="AJ933" s="49"/>
      <c r="AK933" s="49"/>
      <c r="AL933" s="49"/>
      <c r="AM933" s="49"/>
      <c r="AN933" s="49"/>
      <c r="AO933" s="49"/>
      <c r="AP933" s="49"/>
      <c r="AQ933" s="49"/>
      <c r="AR933" s="49"/>
      <c r="AS933" s="49"/>
      <c r="AT933" s="49"/>
      <c r="AU933" s="49"/>
      <c r="AV933" s="49"/>
      <c r="AW933" s="49"/>
      <c r="AX933" s="49"/>
    </row>
    <row r="934">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c r="AF934" s="49"/>
      <c r="AG934" s="49"/>
      <c r="AH934" s="49"/>
      <c r="AI934" s="49"/>
      <c r="AJ934" s="49"/>
      <c r="AK934" s="49"/>
      <c r="AL934" s="49"/>
      <c r="AM934" s="49"/>
      <c r="AN934" s="49"/>
      <c r="AO934" s="49"/>
      <c r="AP934" s="49"/>
      <c r="AQ934" s="49"/>
      <c r="AR934" s="49"/>
      <c r="AS934" s="49"/>
      <c r="AT934" s="49"/>
      <c r="AU934" s="49"/>
      <c r="AV934" s="49"/>
      <c r="AW934" s="49"/>
      <c r="AX934" s="49"/>
    </row>
    <row r="9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c r="AF935" s="49"/>
      <c r="AG935" s="49"/>
      <c r="AH935" s="49"/>
      <c r="AI935" s="49"/>
      <c r="AJ935" s="49"/>
      <c r="AK935" s="49"/>
      <c r="AL935" s="49"/>
      <c r="AM935" s="49"/>
      <c r="AN935" s="49"/>
      <c r="AO935" s="49"/>
      <c r="AP935" s="49"/>
      <c r="AQ935" s="49"/>
      <c r="AR935" s="49"/>
      <c r="AS935" s="49"/>
      <c r="AT935" s="49"/>
      <c r="AU935" s="49"/>
      <c r="AV935" s="49"/>
      <c r="AW935" s="49"/>
      <c r="AX935" s="49"/>
    </row>
    <row r="936">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c r="AF936" s="49"/>
      <c r="AG936" s="49"/>
      <c r="AH936" s="49"/>
      <c r="AI936" s="49"/>
      <c r="AJ936" s="49"/>
      <c r="AK936" s="49"/>
      <c r="AL936" s="49"/>
      <c r="AM936" s="49"/>
      <c r="AN936" s="49"/>
      <c r="AO936" s="49"/>
      <c r="AP936" s="49"/>
      <c r="AQ936" s="49"/>
      <c r="AR936" s="49"/>
      <c r="AS936" s="49"/>
      <c r="AT936" s="49"/>
      <c r="AU936" s="49"/>
      <c r="AV936" s="49"/>
      <c r="AW936" s="49"/>
      <c r="AX936" s="49"/>
    </row>
    <row r="937">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c r="AF937" s="49"/>
      <c r="AG937" s="49"/>
      <c r="AH937" s="49"/>
      <c r="AI937" s="49"/>
      <c r="AJ937" s="49"/>
      <c r="AK937" s="49"/>
      <c r="AL937" s="49"/>
      <c r="AM937" s="49"/>
      <c r="AN937" s="49"/>
      <c r="AO937" s="49"/>
      <c r="AP937" s="49"/>
      <c r="AQ937" s="49"/>
      <c r="AR937" s="49"/>
      <c r="AS937" s="49"/>
      <c r="AT937" s="49"/>
      <c r="AU937" s="49"/>
      <c r="AV937" s="49"/>
      <c r="AW937" s="49"/>
      <c r="AX937" s="49"/>
    </row>
    <row r="938">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c r="AF938" s="49"/>
      <c r="AG938" s="49"/>
      <c r="AH938" s="49"/>
      <c r="AI938" s="49"/>
      <c r="AJ938" s="49"/>
      <c r="AK938" s="49"/>
      <c r="AL938" s="49"/>
      <c r="AM938" s="49"/>
      <c r="AN938" s="49"/>
      <c r="AO938" s="49"/>
      <c r="AP938" s="49"/>
      <c r="AQ938" s="49"/>
      <c r="AR938" s="49"/>
      <c r="AS938" s="49"/>
      <c r="AT938" s="49"/>
      <c r="AU938" s="49"/>
      <c r="AV938" s="49"/>
      <c r="AW938" s="49"/>
      <c r="AX938" s="49"/>
    </row>
    <row r="939">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c r="AF939" s="49"/>
      <c r="AG939" s="49"/>
      <c r="AH939" s="49"/>
      <c r="AI939" s="49"/>
      <c r="AJ939" s="49"/>
      <c r="AK939" s="49"/>
      <c r="AL939" s="49"/>
      <c r="AM939" s="49"/>
      <c r="AN939" s="49"/>
      <c r="AO939" s="49"/>
      <c r="AP939" s="49"/>
      <c r="AQ939" s="49"/>
      <c r="AR939" s="49"/>
      <c r="AS939" s="49"/>
      <c r="AT939" s="49"/>
      <c r="AU939" s="49"/>
      <c r="AV939" s="49"/>
      <c r="AW939" s="49"/>
      <c r="AX939" s="49"/>
    </row>
    <row r="940">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c r="AF940" s="49"/>
      <c r="AG940" s="49"/>
      <c r="AH940" s="49"/>
      <c r="AI940" s="49"/>
      <c r="AJ940" s="49"/>
      <c r="AK940" s="49"/>
      <c r="AL940" s="49"/>
      <c r="AM940" s="49"/>
      <c r="AN940" s="49"/>
      <c r="AO940" s="49"/>
      <c r="AP940" s="49"/>
      <c r="AQ940" s="49"/>
      <c r="AR940" s="49"/>
      <c r="AS940" s="49"/>
      <c r="AT940" s="49"/>
      <c r="AU940" s="49"/>
      <c r="AV940" s="49"/>
      <c r="AW940" s="49"/>
      <c r="AX940" s="49"/>
    </row>
    <row r="941">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c r="AF941" s="49"/>
      <c r="AG941" s="49"/>
      <c r="AH941" s="49"/>
      <c r="AI941" s="49"/>
      <c r="AJ941" s="49"/>
      <c r="AK941" s="49"/>
      <c r="AL941" s="49"/>
      <c r="AM941" s="49"/>
      <c r="AN941" s="49"/>
      <c r="AO941" s="49"/>
      <c r="AP941" s="49"/>
      <c r="AQ941" s="49"/>
      <c r="AR941" s="49"/>
      <c r="AS941" s="49"/>
      <c r="AT941" s="49"/>
      <c r="AU941" s="49"/>
      <c r="AV941" s="49"/>
      <c r="AW941" s="49"/>
      <c r="AX941" s="49"/>
    </row>
    <row r="942">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c r="AF942" s="49"/>
      <c r="AG942" s="49"/>
      <c r="AH942" s="49"/>
      <c r="AI942" s="49"/>
      <c r="AJ942" s="49"/>
      <c r="AK942" s="49"/>
      <c r="AL942" s="49"/>
      <c r="AM942" s="49"/>
      <c r="AN942" s="49"/>
      <c r="AO942" s="49"/>
      <c r="AP942" s="49"/>
      <c r="AQ942" s="49"/>
      <c r="AR942" s="49"/>
      <c r="AS942" s="49"/>
      <c r="AT942" s="49"/>
      <c r="AU942" s="49"/>
      <c r="AV942" s="49"/>
      <c r="AW942" s="49"/>
      <c r="AX942" s="49"/>
    </row>
    <row r="943">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c r="AF943" s="49"/>
      <c r="AG943" s="49"/>
      <c r="AH943" s="49"/>
      <c r="AI943" s="49"/>
      <c r="AJ943" s="49"/>
      <c r="AK943" s="49"/>
      <c r="AL943" s="49"/>
      <c r="AM943" s="49"/>
      <c r="AN943" s="49"/>
      <c r="AO943" s="49"/>
      <c r="AP943" s="49"/>
      <c r="AQ943" s="49"/>
      <c r="AR943" s="49"/>
      <c r="AS943" s="49"/>
      <c r="AT943" s="49"/>
      <c r="AU943" s="49"/>
      <c r="AV943" s="49"/>
      <c r="AW943" s="49"/>
      <c r="AX943" s="49"/>
    </row>
    <row r="944">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c r="AF944" s="49"/>
      <c r="AG944" s="49"/>
      <c r="AH944" s="49"/>
      <c r="AI944" s="49"/>
      <c r="AJ944" s="49"/>
      <c r="AK944" s="49"/>
      <c r="AL944" s="49"/>
      <c r="AM944" s="49"/>
      <c r="AN944" s="49"/>
      <c r="AO944" s="49"/>
      <c r="AP944" s="49"/>
      <c r="AQ944" s="49"/>
      <c r="AR944" s="49"/>
      <c r="AS944" s="49"/>
      <c r="AT944" s="49"/>
      <c r="AU944" s="49"/>
      <c r="AV944" s="49"/>
      <c r="AW944" s="49"/>
      <c r="AX944" s="49"/>
    </row>
    <row r="94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c r="AF945" s="49"/>
      <c r="AG945" s="49"/>
      <c r="AH945" s="49"/>
      <c r="AI945" s="49"/>
      <c r="AJ945" s="49"/>
      <c r="AK945" s="49"/>
      <c r="AL945" s="49"/>
      <c r="AM945" s="49"/>
      <c r="AN945" s="49"/>
      <c r="AO945" s="49"/>
      <c r="AP945" s="49"/>
      <c r="AQ945" s="49"/>
      <c r="AR945" s="49"/>
      <c r="AS945" s="49"/>
      <c r="AT945" s="49"/>
      <c r="AU945" s="49"/>
      <c r="AV945" s="49"/>
      <c r="AW945" s="49"/>
      <c r="AX945" s="49"/>
    </row>
    <row r="946">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c r="AF946" s="49"/>
      <c r="AG946" s="49"/>
      <c r="AH946" s="49"/>
      <c r="AI946" s="49"/>
      <c r="AJ946" s="49"/>
      <c r="AK946" s="49"/>
      <c r="AL946" s="49"/>
      <c r="AM946" s="49"/>
      <c r="AN946" s="49"/>
      <c r="AO946" s="49"/>
      <c r="AP946" s="49"/>
      <c r="AQ946" s="49"/>
      <c r="AR946" s="49"/>
      <c r="AS946" s="49"/>
      <c r="AT946" s="49"/>
      <c r="AU946" s="49"/>
      <c r="AV946" s="49"/>
      <c r="AW946" s="49"/>
      <c r="AX946" s="49"/>
    </row>
    <row r="947">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c r="AF947" s="49"/>
      <c r="AG947" s="49"/>
      <c r="AH947" s="49"/>
      <c r="AI947" s="49"/>
      <c r="AJ947" s="49"/>
      <c r="AK947" s="49"/>
      <c r="AL947" s="49"/>
      <c r="AM947" s="49"/>
      <c r="AN947" s="49"/>
      <c r="AO947" s="49"/>
      <c r="AP947" s="49"/>
      <c r="AQ947" s="49"/>
      <c r="AR947" s="49"/>
      <c r="AS947" s="49"/>
      <c r="AT947" s="49"/>
      <c r="AU947" s="49"/>
      <c r="AV947" s="49"/>
      <c r="AW947" s="49"/>
      <c r="AX947" s="49"/>
    </row>
    <row r="948">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c r="AF948" s="49"/>
      <c r="AG948" s="49"/>
      <c r="AH948" s="49"/>
      <c r="AI948" s="49"/>
      <c r="AJ948" s="49"/>
      <c r="AK948" s="49"/>
      <c r="AL948" s="49"/>
      <c r="AM948" s="49"/>
      <c r="AN948" s="49"/>
      <c r="AO948" s="49"/>
      <c r="AP948" s="49"/>
      <c r="AQ948" s="49"/>
      <c r="AR948" s="49"/>
      <c r="AS948" s="49"/>
      <c r="AT948" s="49"/>
      <c r="AU948" s="49"/>
      <c r="AV948" s="49"/>
      <c r="AW948" s="49"/>
      <c r="AX948" s="49"/>
    </row>
    <row r="949">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c r="AF949" s="49"/>
      <c r="AG949" s="49"/>
      <c r="AH949" s="49"/>
      <c r="AI949" s="49"/>
      <c r="AJ949" s="49"/>
      <c r="AK949" s="49"/>
      <c r="AL949" s="49"/>
      <c r="AM949" s="49"/>
      <c r="AN949" s="49"/>
      <c r="AO949" s="49"/>
      <c r="AP949" s="49"/>
      <c r="AQ949" s="49"/>
      <c r="AR949" s="49"/>
      <c r="AS949" s="49"/>
      <c r="AT949" s="49"/>
      <c r="AU949" s="49"/>
      <c r="AV949" s="49"/>
      <c r="AW949" s="49"/>
      <c r="AX949" s="49"/>
    </row>
    <row r="950">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c r="AF950" s="49"/>
      <c r="AG950" s="49"/>
      <c r="AH950" s="49"/>
      <c r="AI950" s="49"/>
      <c r="AJ950" s="49"/>
      <c r="AK950" s="49"/>
      <c r="AL950" s="49"/>
      <c r="AM950" s="49"/>
      <c r="AN950" s="49"/>
      <c r="AO950" s="49"/>
      <c r="AP950" s="49"/>
      <c r="AQ950" s="49"/>
      <c r="AR950" s="49"/>
      <c r="AS950" s="49"/>
      <c r="AT950" s="49"/>
      <c r="AU950" s="49"/>
      <c r="AV950" s="49"/>
      <c r="AW950" s="49"/>
      <c r="AX950" s="49"/>
    </row>
    <row r="951">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c r="AF951" s="49"/>
      <c r="AG951" s="49"/>
      <c r="AH951" s="49"/>
      <c r="AI951" s="49"/>
      <c r="AJ951" s="49"/>
      <c r="AK951" s="49"/>
      <c r="AL951" s="49"/>
      <c r="AM951" s="49"/>
      <c r="AN951" s="49"/>
      <c r="AO951" s="49"/>
      <c r="AP951" s="49"/>
      <c r="AQ951" s="49"/>
      <c r="AR951" s="49"/>
      <c r="AS951" s="49"/>
      <c r="AT951" s="49"/>
      <c r="AU951" s="49"/>
      <c r="AV951" s="49"/>
      <c r="AW951" s="49"/>
      <c r="AX951" s="49"/>
    </row>
    <row r="952">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c r="AF952" s="49"/>
      <c r="AG952" s="49"/>
      <c r="AH952" s="49"/>
      <c r="AI952" s="49"/>
      <c r="AJ952" s="49"/>
      <c r="AK952" s="49"/>
      <c r="AL952" s="49"/>
      <c r="AM952" s="49"/>
      <c r="AN952" s="49"/>
      <c r="AO952" s="49"/>
      <c r="AP952" s="49"/>
      <c r="AQ952" s="49"/>
      <c r="AR952" s="49"/>
      <c r="AS952" s="49"/>
      <c r="AT952" s="49"/>
      <c r="AU952" s="49"/>
      <c r="AV952" s="49"/>
      <c r="AW952" s="49"/>
      <c r="AX952" s="49"/>
    </row>
    <row r="953">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c r="AF953" s="49"/>
      <c r="AG953" s="49"/>
      <c r="AH953" s="49"/>
      <c r="AI953" s="49"/>
      <c r="AJ953" s="49"/>
      <c r="AK953" s="49"/>
      <c r="AL953" s="49"/>
      <c r="AM953" s="49"/>
      <c r="AN953" s="49"/>
      <c r="AO953" s="49"/>
      <c r="AP953" s="49"/>
      <c r="AQ953" s="49"/>
      <c r="AR953" s="49"/>
      <c r="AS953" s="49"/>
      <c r="AT953" s="49"/>
      <c r="AU953" s="49"/>
      <c r="AV953" s="49"/>
      <c r="AW953" s="49"/>
      <c r="AX953" s="49"/>
    </row>
    <row r="954">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c r="AF954" s="49"/>
      <c r="AG954" s="49"/>
      <c r="AH954" s="49"/>
      <c r="AI954" s="49"/>
      <c r="AJ954" s="49"/>
      <c r="AK954" s="49"/>
      <c r="AL954" s="49"/>
      <c r="AM954" s="49"/>
      <c r="AN954" s="49"/>
      <c r="AO954" s="49"/>
      <c r="AP954" s="49"/>
      <c r="AQ954" s="49"/>
      <c r="AR954" s="49"/>
      <c r="AS954" s="49"/>
      <c r="AT954" s="49"/>
      <c r="AU954" s="49"/>
      <c r="AV954" s="49"/>
      <c r="AW954" s="49"/>
      <c r="AX954" s="49"/>
    </row>
    <row r="95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c r="AF955" s="49"/>
      <c r="AG955" s="49"/>
      <c r="AH955" s="49"/>
      <c r="AI955" s="49"/>
      <c r="AJ955" s="49"/>
      <c r="AK955" s="49"/>
      <c r="AL955" s="49"/>
      <c r="AM955" s="49"/>
      <c r="AN955" s="49"/>
      <c r="AO955" s="49"/>
      <c r="AP955" s="49"/>
      <c r="AQ955" s="49"/>
      <c r="AR955" s="49"/>
      <c r="AS955" s="49"/>
      <c r="AT955" s="49"/>
      <c r="AU955" s="49"/>
      <c r="AV955" s="49"/>
      <c r="AW955" s="49"/>
      <c r="AX955" s="49"/>
    </row>
    <row r="956">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c r="AF956" s="49"/>
      <c r="AG956" s="49"/>
      <c r="AH956" s="49"/>
      <c r="AI956" s="49"/>
      <c r="AJ956" s="49"/>
      <c r="AK956" s="49"/>
      <c r="AL956" s="49"/>
      <c r="AM956" s="49"/>
      <c r="AN956" s="49"/>
      <c r="AO956" s="49"/>
      <c r="AP956" s="49"/>
      <c r="AQ956" s="49"/>
      <c r="AR956" s="49"/>
      <c r="AS956" s="49"/>
      <c r="AT956" s="49"/>
      <c r="AU956" s="49"/>
      <c r="AV956" s="49"/>
      <c r="AW956" s="49"/>
      <c r="AX956" s="49"/>
    </row>
    <row r="957">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c r="AF957" s="49"/>
      <c r="AG957" s="49"/>
      <c r="AH957" s="49"/>
      <c r="AI957" s="49"/>
      <c r="AJ957" s="49"/>
      <c r="AK957" s="49"/>
      <c r="AL957" s="49"/>
      <c r="AM957" s="49"/>
      <c r="AN957" s="49"/>
      <c r="AO957" s="49"/>
      <c r="AP957" s="49"/>
      <c r="AQ957" s="49"/>
      <c r="AR957" s="49"/>
      <c r="AS957" s="49"/>
      <c r="AT957" s="49"/>
      <c r="AU957" s="49"/>
      <c r="AV957" s="49"/>
      <c r="AW957" s="49"/>
      <c r="AX957" s="49"/>
    </row>
    <row r="958">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c r="AF958" s="49"/>
      <c r="AG958" s="49"/>
      <c r="AH958" s="49"/>
      <c r="AI958" s="49"/>
      <c r="AJ958" s="49"/>
      <c r="AK958" s="49"/>
      <c r="AL958" s="49"/>
      <c r="AM958" s="49"/>
      <c r="AN958" s="49"/>
      <c r="AO958" s="49"/>
      <c r="AP958" s="49"/>
      <c r="AQ958" s="49"/>
      <c r="AR958" s="49"/>
      <c r="AS958" s="49"/>
      <c r="AT958" s="49"/>
      <c r="AU958" s="49"/>
      <c r="AV958" s="49"/>
      <c r="AW958" s="49"/>
      <c r="AX958" s="49"/>
    </row>
    <row r="959">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c r="AF959" s="49"/>
      <c r="AG959" s="49"/>
      <c r="AH959" s="49"/>
      <c r="AI959" s="49"/>
      <c r="AJ959" s="49"/>
      <c r="AK959" s="49"/>
      <c r="AL959" s="49"/>
      <c r="AM959" s="49"/>
      <c r="AN959" s="49"/>
      <c r="AO959" s="49"/>
      <c r="AP959" s="49"/>
      <c r="AQ959" s="49"/>
      <c r="AR959" s="49"/>
      <c r="AS959" s="49"/>
      <c r="AT959" s="49"/>
      <c r="AU959" s="49"/>
      <c r="AV959" s="49"/>
      <c r="AW959" s="49"/>
      <c r="AX959" s="49"/>
    </row>
    <row r="960">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c r="AF960" s="49"/>
      <c r="AG960" s="49"/>
      <c r="AH960" s="49"/>
      <c r="AI960" s="49"/>
      <c r="AJ960" s="49"/>
      <c r="AK960" s="49"/>
      <c r="AL960" s="49"/>
      <c r="AM960" s="49"/>
      <c r="AN960" s="49"/>
      <c r="AO960" s="49"/>
      <c r="AP960" s="49"/>
      <c r="AQ960" s="49"/>
      <c r="AR960" s="49"/>
      <c r="AS960" s="49"/>
      <c r="AT960" s="49"/>
      <c r="AU960" s="49"/>
      <c r="AV960" s="49"/>
      <c r="AW960" s="49"/>
      <c r="AX960" s="49"/>
    </row>
    <row r="961">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c r="AF961" s="49"/>
      <c r="AG961" s="49"/>
      <c r="AH961" s="49"/>
      <c r="AI961" s="49"/>
      <c r="AJ961" s="49"/>
      <c r="AK961" s="49"/>
      <c r="AL961" s="49"/>
      <c r="AM961" s="49"/>
      <c r="AN961" s="49"/>
      <c r="AO961" s="49"/>
      <c r="AP961" s="49"/>
      <c r="AQ961" s="49"/>
      <c r="AR961" s="49"/>
      <c r="AS961" s="49"/>
      <c r="AT961" s="49"/>
      <c r="AU961" s="49"/>
      <c r="AV961" s="49"/>
      <c r="AW961" s="49"/>
      <c r="AX961" s="49"/>
    </row>
    <row r="962">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c r="AF962" s="49"/>
      <c r="AG962" s="49"/>
      <c r="AH962" s="49"/>
      <c r="AI962" s="49"/>
      <c r="AJ962" s="49"/>
      <c r="AK962" s="49"/>
      <c r="AL962" s="49"/>
      <c r="AM962" s="49"/>
      <c r="AN962" s="49"/>
      <c r="AO962" s="49"/>
      <c r="AP962" s="49"/>
      <c r="AQ962" s="49"/>
      <c r="AR962" s="49"/>
      <c r="AS962" s="49"/>
      <c r="AT962" s="49"/>
      <c r="AU962" s="49"/>
      <c r="AV962" s="49"/>
      <c r="AW962" s="49"/>
      <c r="AX962" s="49"/>
    </row>
    <row r="963">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c r="AF963" s="49"/>
      <c r="AG963" s="49"/>
      <c r="AH963" s="49"/>
      <c r="AI963" s="49"/>
      <c r="AJ963" s="49"/>
      <c r="AK963" s="49"/>
      <c r="AL963" s="49"/>
      <c r="AM963" s="49"/>
      <c r="AN963" s="49"/>
      <c r="AO963" s="49"/>
      <c r="AP963" s="49"/>
      <c r="AQ963" s="49"/>
      <c r="AR963" s="49"/>
      <c r="AS963" s="49"/>
      <c r="AT963" s="49"/>
      <c r="AU963" s="49"/>
      <c r="AV963" s="49"/>
      <c r="AW963" s="49"/>
      <c r="AX963" s="49"/>
    </row>
    <row r="964">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c r="AF964" s="49"/>
      <c r="AG964" s="49"/>
      <c r="AH964" s="49"/>
      <c r="AI964" s="49"/>
      <c r="AJ964" s="49"/>
      <c r="AK964" s="49"/>
      <c r="AL964" s="49"/>
      <c r="AM964" s="49"/>
      <c r="AN964" s="49"/>
      <c r="AO964" s="49"/>
      <c r="AP964" s="49"/>
      <c r="AQ964" s="49"/>
      <c r="AR964" s="49"/>
      <c r="AS964" s="49"/>
      <c r="AT964" s="49"/>
      <c r="AU964" s="49"/>
      <c r="AV964" s="49"/>
      <c r="AW964" s="49"/>
      <c r="AX964" s="49"/>
    </row>
    <row r="96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c r="AF965" s="49"/>
      <c r="AG965" s="49"/>
      <c r="AH965" s="49"/>
      <c r="AI965" s="49"/>
      <c r="AJ965" s="49"/>
      <c r="AK965" s="49"/>
      <c r="AL965" s="49"/>
      <c r="AM965" s="49"/>
      <c r="AN965" s="49"/>
      <c r="AO965" s="49"/>
      <c r="AP965" s="49"/>
      <c r="AQ965" s="49"/>
      <c r="AR965" s="49"/>
      <c r="AS965" s="49"/>
      <c r="AT965" s="49"/>
      <c r="AU965" s="49"/>
      <c r="AV965" s="49"/>
      <c r="AW965" s="49"/>
      <c r="AX965" s="49"/>
    </row>
    <row r="966">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c r="AF966" s="49"/>
      <c r="AG966" s="49"/>
      <c r="AH966" s="49"/>
      <c r="AI966" s="49"/>
      <c r="AJ966" s="49"/>
      <c r="AK966" s="49"/>
      <c r="AL966" s="49"/>
      <c r="AM966" s="49"/>
      <c r="AN966" s="49"/>
      <c r="AO966" s="49"/>
      <c r="AP966" s="49"/>
      <c r="AQ966" s="49"/>
      <c r="AR966" s="49"/>
      <c r="AS966" s="49"/>
      <c r="AT966" s="49"/>
      <c r="AU966" s="49"/>
      <c r="AV966" s="49"/>
      <c r="AW966" s="49"/>
      <c r="AX966" s="49"/>
    </row>
    <row r="967">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c r="AF967" s="49"/>
      <c r="AG967" s="49"/>
      <c r="AH967" s="49"/>
      <c r="AI967" s="49"/>
      <c r="AJ967" s="49"/>
      <c r="AK967" s="49"/>
      <c r="AL967" s="49"/>
      <c r="AM967" s="49"/>
      <c r="AN967" s="49"/>
      <c r="AO967" s="49"/>
      <c r="AP967" s="49"/>
      <c r="AQ967" s="49"/>
      <c r="AR967" s="49"/>
      <c r="AS967" s="49"/>
      <c r="AT967" s="49"/>
      <c r="AU967" s="49"/>
      <c r="AV967" s="49"/>
      <c r="AW967" s="49"/>
      <c r="AX967" s="49"/>
    </row>
    <row r="968">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c r="AF968" s="49"/>
      <c r="AG968" s="49"/>
      <c r="AH968" s="49"/>
      <c r="AI968" s="49"/>
      <c r="AJ968" s="49"/>
      <c r="AK968" s="49"/>
      <c r="AL968" s="49"/>
      <c r="AM968" s="49"/>
      <c r="AN968" s="49"/>
      <c r="AO968" s="49"/>
      <c r="AP968" s="49"/>
      <c r="AQ968" s="49"/>
      <c r="AR968" s="49"/>
      <c r="AS968" s="49"/>
      <c r="AT968" s="49"/>
      <c r="AU968" s="49"/>
      <c r="AV968" s="49"/>
      <c r="AW968" s="49"/>
      <c r="AX968" s="49"/>
    </row>
    <row r="969">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c r="AF969" s="49"/>
      <c r="AG969" s="49"/>
      <c r="AH969" s="49"/>
      <c r="AI969" s="49"/>
      <c r="AJ969" s="49"/>
      <c r="AK969" s="49"/>
      <c r="AL969" s="49"/>
      <c r="AM969" s="49"/>
      <c r="AN969" s="49"/>
      <c r="AO969" s="49"/>
      <c r="AP969" s="49"/>
      <c r="AQ969" s="49"/>
      <c r="AR969" s="49"/>
      <c r="AS969" s="49"/>
      <c r="AT969" s="49"/>
      <c r="AU969" s="49"/>
      <c r="AV969" s="49"/>
      <c r="AW969" s="49"/>
      <c r="AX969" s="49"/>
    </row>
    <row r="970">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c r="AF970" s="49"/>
      <c r="AG970" s="49"/>
      <c r="AH970" s="49"/>
      <c r="AI970" s="49"/>
      <c r="AJ970" s="49"/>
      <c r="AK970" s="49"/>
      <c r="AL970" s="49"/>
      <c r="AM970" s="49"/>
      <c r="AN970" s="49"/>
      <c r="AO970" s="49"/>
      <c r="AP970" s="49"/>
      <c r="AQ970" s="49"/>
      <c r="AR970" s="49"/>
      <c r="AS970" s="49"/>
      <c r="AT970" s="49"/>
      <c r="AU970" s="49"/>
      <c r="AV970" s="49"/>
      <c r="AW970" s="49"/>
      <c r="AX970" s="49"/>
    </row>
    <row r="971">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c r="AF971" s="49"/>
      <c r="AG971" s="49"/>
      <c r="AH971" s="49"/>
      <c r="AI971" s="49"/>
      <c r="AJ971" s="49"/>
      <c r="AK971" s="49"/>
      <c r="AL971" s="49"/>
      <c r="AM971" s="49"/>
      <c r="AN971" s="49"/>
      <c r="AO971" s="49"/>
      <c r="AP971" s="49"/>
      <c r="AQ971" s="49"/>
      <c r="AR971" s="49"/>
      <c r="AS971" s="49"/>
      <c r="AT971" s="49"/>
      <c r="AU971" s="49"/>
      <c r="AV971" s="49"/>
      <c r="AW971" s="49"/>
      <c r="AX971" s="49"/>
    </row>
    <row r="972">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c r="AF972" s="49"/>
      <c r="AG972" s="49"/>
      <c r="AH972" s="49"/>
      <c r="AI972" s="49"/>
      <c r="AJ972" s="49"/>
      <c r="AK972" s="49"/>
      <c r="AL972" s="49"/>
      <c r="AM972" s="49"/>
      <c r="AN972" s="49"/>
      <c r="AO972" s="49"/>
      <c r="AP972" s="49"/>
      <c r="AQ972" s="49"/>
      <c r="AR972" s="49"/>
      <c r="AS972" s="49"/>
      <c r="AT972" s="49"/>
      <c r="AU972" s="49"/>
      <c r="AV972" s="49"/>
      <c r="AW972" s="49"/>
      <c r="AX972" s="49"/>
    </row>
    <row r="973">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c r="AA973" s="49"/>
      <c r="AB973" s="49"/>
      <c r="AC973" s="49"/>
      <c r="AD973" s="49"/>
      <c r="AE973" s="49"/>
      <c r="AF973" s="49"/>
      <c r="AG973" s="49"/>
      <c r="AH973" s="49"/>
      <c r="AI973" s="49"/>
      <c r="AJ973" s="49"/>
      <c r="AK973" s="49"/>
      <c r="AL973" s="49"/>
      <c r="AM973" s="49"/>
      <c r="AN973" s="49"/>
      <c r="AO973" s="49"/>
      <c r="AP973" s="49"/>
      <c r="AQ973" s="49"/>
      <c r="AR973" s="49"/>
      <c r="AS973" s="49"/>
      <c r="AT973" s="49"/>
      <c r="AU973" s="49"/>
      <c r="AV973" s="49"/>
      <c r="AW973" s="49"/>
      <c r="AX973" s="49"/>
    </row>
    <row r="974">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c r="AA974" s="49"/>
      <c r="AB974" s="49"/>
      <c r="AC974" s="49"/>
      <c r="AD974" s="49"/>
      <c r="AE974" s="49"/>
      <c r="AF974" s="49"/>
      <c r="AG974" s="49"/>
      <c r="AH974" s="49"/>
      <c r="AI974" s="49"/>
      <c r="AJ974" s="49"/>
      <c r="AK974" s="49"/>
      <c r="AL974" s="49"/>
      <c r="AM974" s="49"/>
      <c r="AN974" s="49"/>
      <c r="AO974" s="49"/>
      <c r="AP974" s="49"/>
      <c r="AQ974" s="49"/>
      <c r="AR974" s="49"/>
      <c r="AS974" s="49"/>
      <c r="AT974" s="49"/>
      <c r="AU974" s="49"/>
      <c r="AV974" s="49"/>
      <c r="AW974" s="49"/>
      <c r="AX974" s="49"/>
    </row>
    <row r="97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c r="AA975" s="49"/>
      <c r="AB975" s="49"/>
      <c r="AC975" s="49"/>
      <c r="AD975" s="49"/>
      <c r="AE975" s="49"/>
      <c r="AF975" s="49"/>
      <c r="AG975" s="49"/>
      <c r="AH975" s="49"/>
      <c r="AI975" s="49"/>
      <c r="AJ975" s="49"/>
      <c r="AK975" s="49"/>
      <c r="AL975" s="49"/>
      <c r="AM975" s="49"/>
      <c r="AN975" s="49"/>
      <c r="AO975" s="49"/>
      <c r="AP975" s="49"/>
      <c r="AQ975" s="49"/>
      <c r="AR975" s="49"/>
      <c r="AS975" s="49"/>
      <c r="AT975" s="49"/>
      <c r="AU975" s="49"/>
      <c r="AV975" s="49"/>
      <c r="AW975" s="49"/>
      <c r="AX975" s="49"/>
    </row>
    <row r="976">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c r="AA976" s="49"/>
      <c r="AB976" s="49"/>
      <c r="AC976" s="49"/>
      <c r="AD976" s="49"/>
      <c r="AE976" s="49"/>
      <c r="AF976" s="49"/>
      <c r="AG976" s="49"/>
      <c r="AH976" s="49"/>
      <c r="AI976" s="49"/>
      <c r="AJ976" s="49"/>
      <c r="AK976" s="49"/>
      <c r="AL976" s="49"/>
      <c r="AM976" s="49"/>
      <c r="AN976" s="49"/>
      <c r="AO976" s="49"/>
      <c r="AP976" s="49"/>
      <c r="AQ976" s="49"/>
      <c r="AR976" s="49"/>
      <c r="AS976" s="49"/>
      <c r="AT976" s="49"/>
      <c r="AU976" s="49"/>
      <c r="AV976" s="49"/>
      <c r="AW976" s="49"/>
      <c r="AX976" s="49"/>
    </row>
    <row r="977">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c r="AA977" s="49"/>
      <c r="AB977" s="49"/>
      <c r="AC977" s="49"/>
      <c r="AD977" s="49"/>
      <c r="AE977" s="49"/>
      <c r="AF977" s="49"/>
      <c r="AG977" s="49"/>
      <c r="AH977" s="49"/>
      <c r="AI977" s="49"/>
      <c r="AJ977" s="49"/>
      <c r="AK977" s="49"/>
      <c r="AL977" s="49"/>
      <c r="AM977" s="49"/>
      <c r="AN977" s="49"/>
      <c r="AO977" s="49"/>
      <c r="AP977" s="49"/>
      <c r="AQ977" s="49"/>
      <c r="AR977" s="49"/>
      <c r="AS977" s="49"/>
      <c r="AT977" s="49"/>
      <c r="AU977" s="49"/>
      <c r="AV977" s="49"/>
      <c r="AW977" s="49"/>
      <c r="AX977" s="49"/>
    </row>
    <row r="978">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c r="AA978" s="49"/>
      <c r="AB978" s="49"/>
      <c r="AC978" s="49"/>
      <c r="AD978" s="49"/>
      <c r="AE978" s="49"/>
      <c r="AF978" s="49"/>
      <c r="AG978" s="49"/>
      <c r="AH978" s="49"/>
      <c r="AI978" s="49"/>
      <c r="AJ978" s="49"/>
      <c r="AK978" s="49"/>
      <c r="AL978" s="49"/>
      <c r="AM978" s="49"/>
      <c r="AN978" s="49"/>
      <c r="AO978" s="49"/>
      <c r="AP978" s="49"/>
      <c r="AQ978" s="49"/>
      <c r="AR978" s="49"/>
      <c r="AS978" s="49"/>
      <c r="AT978" s="49"/>
      <c r="AU978" s="49"/>
      <c r="AV978" s="49"/>
      <c r="AW978" s="49"/>
      <c r="AX978" s="49"/>
    </row>
    <row r="979">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c r="AA979" s="49"/>
      <c r="AB979" s="49"/>
      <c r="AC979" s="49"/>
      <c r="AD979" s="49"/>
      <c r="AE979" s="49"/>
      <c r="AF979" s="49"/>
      <c r="AG979" s="49"/>
      <c r="AH979" s="49"/>
      <c r="AI979" s="49"/>
      <c r="AJ979" s="49"/>
      <c r="AK979" s="49"/>
      <c r="AL979" s="49"/>
      <c r="AM979" s="49"/>
      <c r="AN979" s="49"/>
      <c r="AO979" s="49"/>
      <c r="AP979" s="49"/>
      <c r="AQ979" s="49"/>
      <c r="AR979" s="49"/>
      <c r="AS979" s="49"/>
      <c r="AT979" s="49"/>
      <c r="AU979" s="49"/>
      <c r="AV979" s="49"/>
      <c r="AW979" s="49"/>
      <c r="AX979" s="49"/>
    </row>
    <row r="980">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c r="AA980" s="49"/>
      <c r="AB980" s="49"/>
      <c r="AC980" s="49"/>
      <c r="AD980" s="49"/>
      <c r="AE980" s="49"/>
      <c r="AF980" s="49"/>
      <c r="AG980" s="49"/>
      <c r="AH980" s="49"/>
      <c r="AI980" s="49"/>
      <c r="AJ980" s="49"/>
      <c r="AK980" s="49"/>
      <c r="AL980" s="49"/>
      <c r="AM980" s="49"/>
      <c r="AN980" s="49"/>
      <c r="AO980" s="49"/>
      <c r="AP980" s="49"/>
      <c r="AQ980" s="49"/>
      <c r="AR980" s="49"/>
      <c r="AS980" s="49"/>
      <c r="AT980" s="49"/>
      <c r="AU980" s="49"/>
      <c r="AV980" s="49"/>
      <c r="AW980" s="49"/>
      <c r="AX980" s="49"/>
    </row>
    <row r="981">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c r="AA981" s="49"/>
      <c r="AB981" s="49"/>
      <c r="AC981" s="49"/>
      <c r="AD981" s="49"/>
      <c r="AE981" s="49"/>
      <c r="AF981" s="49"/>
      <c r="AG981" s="49"/>
      <c r="AH981" s="49"/>
      <c r="AI981" s="49"/>
      <c r="AJ981" s="49"/>
      <c r="AK981" s="49"/>
      <c r="AL981" s="49"/>
      <c r="AM981" s="49"/>
      <c r="AN981" s="49"/>
      <c r="AO981" s="49"/>
      <c r="AP981" s="49"/>
      <c r="AQ981" s="49"/>
      <c r="AR981" s="49"/>
      <c r="AS981" s="49"/>
      <c r="AT981" s="49"/>
      <c r="AU981" s="49"/>
      <c r="AV981" s="49"/>
      <c r="AW981" s="49"/>
      <c r="AX981" s="49"/>
    </row>
    <row r="982">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c r="AA982" s="49"/>
      <c r="AB982" s="49"/>
      <c r="AC982" s="49"/>
      <c r="AD982" s="49"/>
      <c r="AE982" s="49"/>
      <c r="AF982" s="49"/>
      <c r="AG982" s="49"/>
      <c r="AH982" s="49"/>
      <c r="AI982" s="49"/>
      <c r="AJ982" s="49"/>
      <c r="AK982" s="49"/>
      <c r="AL982" s="49"/>
      <c r="AM982" s="49"/>
      <c r="AN982" s="49"/>
      <c r="AO982" s="49"/>
      <c r="AP982" s="49"/>
      <c r="AQ982" s="49"/>
      <c r="AR982" s="49"/>
      <c r="AS982" s="49"/>
      <c r="AT982" s="49"/>
      <c r="AU982" s="49"/>
      <c r="AV982" s="49"/>
      <c r="AW982" s="49"/>
      <c r="AX982" s="49"/>
    </row>
    <row r="983">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c r="AA983" s="49"/>
      <c r="AB983" s="49"/>
      <c r="AC983" s="49"/>
      <c r="AD983" s="49"/>
      <c r="AE983" s="49"/>
      <c r="AF983" s="49"/>
      <c r="AG983" s="49"/>
      <c r="AH983" s="49"/>
      <c r="AI983" s="49"/>
      <c r="AJ983" s="49"/>
      <c r="AK983" s="49"/>
      <c r="AL983" s="49"/>
      <c r="AM983" s="49"/>
      <c r="AN983" s="49"/>
      <c r="AO983" s="49"/>
      <c r="AP983" s="49"/>
      <c r="AQ983" s="49"/>
      <c r="AR983" s="49"/>
      <c r="AS983" s="49"/>
      <c r="AT983" s="49"/>
      <c r="AU983" s="49"/>
      <c r="AV983" s="49"/>
      <c r="AW983" s="49"/>
      <c r="AX983" s="49"/>
    </row>
    <row r="984">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c r="AA984" s="49"/>
      <c r="AB984" s="49"/>
      <c r="AC984" s="49"/>
      <c r="AD984" s="49"/>
      <c r="AE984" s="49"/>
      <c r="AF984" s="49"/>
      <c r="AG984" s="49"/>
      <c r="AH984" s="49"/>
      <c r="AI984" s="49"/>
      <c r="AJ984" s="49"/>
      <c r="AK984" s="49"/>
      <c r="AL984" s="49"/>
      <c r="AM984" s="49"/>
      <c r="AN984" s="49"/>
      <c r="AO984" s="49"/>
      <c r="AP984" s="49"/>
      <c r="AQ984" s="49"/>
      <c r="AR984" s="49"/>
      <c r="AS984" s="49"/>
      <c r="AT984" s="49"/>
      <c r="AU984" s="49"/>
      <c r="AV984" s="49"/>
      <c r="AW984" s="49"/>
      <c r="AX984" s="49"/>
    </row>
    <row r="98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c r="AA985" s="49"/>
      <c r="AB985" s="49"/>
      <c r="AC985" s="49"/>
      <c r="AD985" s="49"/>
      <c r="AE985" s="49"/>
      <c r="AF985" s="49"/>
      <c r="AG985" s="49"/>
      <c r="AH985" s="49"/>
      <c r="AI985" s="49"/>
      <c r="AJ985" s="49"/>
      <c r="AK985" s="49"/>
      <c r="AL985" s="49"/>
      <c r="AM985" s="49"/>
      <c r="AN985" s="49"/>
      <c r="AO985" s="49"/>
      <c r="AP985" s="49"/>
      <c r="AQ985" s="49"/>
      <c r="AR985" s="49"/>
      <c r="AS985" s="49"/>
      <c r="AT985" s="49"/>
      <c r="AU985" s="49"/>
      <c r="AV985" s="49"/>
      <c r="AW985" s="49"/>
      <c r="AX985" s="49"/>
    </row>
    <row r="986">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c r="AA986" s="49"/>
      <c r="AB986" s="49"/>
      <c r="AC986" s="49"/>
      <c r="AD986" s="49"/>
      <c r="AE986" s="49"/>
      <c r="AF986" s="49"/>
      <c r="AG986" s="49"/>
      <c r="AH986" s="49"/>
      <c r="AI986" s="49"/>
      <c r="AJ986" s="49"/>
      <c r="AK986" s="49"/>
      <c r="AL986" s="49"/>
      <c r="AM986" s="49"/>
      <c r="AN986" s="49"/>
      <c r="AO986" s="49"/>
      <c r="AP986" s="49"/>
      <c r="AQ986" s="49"/>
      <c r="AR986" s="49"/>
      <c r="AS986" s="49"/>
      <c r="AT986" s="49"/>
      <c r="AU986" s="49"/>
      <c r="AV986" s="49"/>
      <c r="AW986" s="49"/>
      <c r="AX986" s="49"/>
    </row>
    <row r="987">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c r="AA987" s="49"/>
      <c r="AB987" s="49"/>
      <c r="AC987" s="49"/>
      <c r="AD987" s="49"/>
      <c r="AE987" s="49"/>
      <c r="AF987" s="49"/>
      <c r="AG987" s="49"/>
      <c r="AH987" s="49"/>
      <c r="AI987" s="49"/>
      <c r="AJ987" s="49"/>
      <c r="AK987" s="49"/>
      <c r="AL987" s="49"/>
      <c r="AM987" s="49"/>
      <c r="AN987" s="49"/>
      <c r="AO987" s="49"/>
      <c r="AP987" s="49"/>
      <c r="AQ987" s="49"/>
      <c r="AR987" s="49"/>
      <c r="AS987" s="49"/>
      <c r="AT987" s="49"/>
      <c r="AU987" s="49"/>
      <c r="AV987" s="49"/>
      <c r="AW987" s="49"/>
      <c r="AX987" s="49"/>
    </row>
    <row r="988">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c r="AA988" s="49"/>
      <c r="AB988" s="49"/>
      <c r="AC988" s="49"/>
      <c r="AD988" s="49"/>
      <c r="AE988" s="49"/>
      <c r="AF988" s="49"/>
      <c r="AG988" s="49"/>
      <c r="AH988" s="49"/>
      <c r="AI988" s="49"/>
      <c r="AJ988" s="49"/>
      <c r="AK988" s="49"/>
      <c r="AL988" s="49"/>
      <c r="AM988" s="49"/>
      <c r="AN988" s="49"/>
      <c r="AO988" s="49"/>
      <c r="AP988" s="49"/>
      <c r="AQ988" s="49"/>
      <c r="AR988" s="49"/>
      <c r="AS988" s="49"/>
      <c r="AT988" s="49"/>
      <c r="AU988" s="49"/>
      <c r="AV988" s="49"/>
      <c r="AW988" s="49"/>
      <c r="AX988" s="49"/>
    </row>
    <row r="989">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c r="AA989" s="49"/>
      <c r="AB989" s="49"/>
      <c r="AC989" s="49"/>
      <c r="AD989" s="49"/>
      <c r="AE989" s="49"/>
      <c r="AF989" s="49"/>
      <c r="AG989" s="49"/>
      <c r="AH989" s="49"/>
      <c r="AI989" s="49"/>
      <c r="AJ989" s="49"/>
      <c r="AK989" s="49"/>
      <c r="AL989" s="49"/>
      <c r="AM989" s="49"/>
      <c r="AN989" s="49"/>
      <c r="AO989" s="49"/>
      <c r="AP989" s="49"/>
      <c r="AQ989" s="49"/>
      <c r="AR989" s="49"/>
      <c r="AS989" s="49"/>
      <c r="AT989" s="49"/>
      <c r="AU989" s="49"/>
      <c r="AV989" s="49"/>
      <c r="AW989" s="49"/>
      <c r="AX989" s="49"/>
    </row>
    <row r="990">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c r="AA990" s="49"/>
      <c r="AB990" s="49"/>
      <c r="AC990" s="49"/>
      <c r="AD990" s="49"/>
      <c r="AE990" s="49"/>
      <c r="AF990" s="49"/>
      <c r="AG990" s="49"/>
      <c r="AH990" s="49"/>
      <c r="AI990" s="49"/>
      <c r="AJ990" s="49"/>
      <c r="AK990" s="49"/>
      <c r="AL990" s="49"/>
      <c r="AM990" s="49"/>
      <c r="AN990" s="49"/>
      <c r="AO990" s="49"/>
      <c r="AP990" s="49"/>
      <c r="AQ990" s="49"/>
      <c r="AR990" s="49"/>
      <c r="AS990" s="49"/>
      <c r="AT990" s="49"/>
      <c r="AU990" s="49"/>
      <c r="AV990" s="49"/>
      <c r="AW990" s="49"/>
      <c r="AX990" s="49"/>
    </row>
    <row r="991">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c r="AA991" s="49"/>
      <c r="AB991" s="49"/>
      <c r="AC991" s="49"/>
      <c r="AD991" s="49"/>
      <c r="AE991" s="49"/>
      <c r="AF991" s="49"/>
      <c r="AG991" s="49"/>
      <c r="AH991" s="49"/>
      <c r="AI991" s="49"/>
      <c r="AJ991" s="49"/>
      <c r="AK991" s="49"/>
      <c r="AL991" s="49"/>
      <c r="AM991" s="49"/>
      <c r="AN991" s="49"/>
      <c r="AO991" s="49"/>
      <c r="AP991" s="49"/>
      <c r="AQ991" s="49"/>
      <c r="AR991" s="49"/>
      <c r="AS991" s="49"/>
      <c r="AT991" s="49"/>
      <c r="AU991" s="49"/>
      <c r="AV991" s="49"/>
      <c r="AW991" s="49"/>
      <c r="AX991" s="49"/>
    </row>
    <row r="992">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c r="AA992" s="49"/>
      <c r="AB992" s="49"/>
      <c r="AC992" s="49"/>
      <c r="AD992" s="49"/>
      <c r="AE992" s="49"/>
      <c r="AF992" s="49"/>
      <c r="AG992" s="49"/>
      <c r="AH992" s="49"/>
      <c r="AI992" s="49"/>
      <c r="AJ992" s="49"/>
      <c r="AK992" s="49"/>
      <c r="AL992" s="49"/>
      <c r="AM992" s="49"/>
      <c r="AN992" s="49"/>
      <c r="AO992" s="49"/>
      <c r="AP992" s="49"/>
      <c r="AQ992" s="49"/>
      <c r="AR992" s="49"/>
      <c r="AS992" s="49"/>
      <c r="AT992" s="49"/>
      <c r="AU992" s="49"/>
      <c r="AV992" s="49"/>
      <c r="AW992" s="49"/>
      <c r="AX992" s="49"/>
    </row>
    <row r="993">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c r="AA993" s="49"/>
      <c r="AB993" s="49"/>
      <c r="AC993" s="49"/>
      <c r="AD993" s="49"/>
      <c r="AE993" s="49"/>
      <c r="AF993" s="49"/>
      <c r="AG993" s="49"/>
      <c r="AH993" s="49"/>
      <c r="AI993" s="49"/>
      <c r="AJ993" s="49"/>
      <c r="AK993" s="49"/>
      <c r="AL993" s="49"/>
      <c r="AM993" s="49"/>
      <c r="AN993" s="49"/>
      <c r="AO993" s="49"/>
      <c r="AP993" s="49"/>
      <c r="AQ993" s="49"/>
      <c r="AR993" s="49"/>
      <c r="AS993" s="49"/>
      <c r="AT993" s="49"/>
      <c r="AU993" s="49"/>
      <c r="AV993" s="49"/>
      <c r="AW993" s="49"/>
      <c r="AX993" s="49"/>
    </row>
    <row r="994">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c r="AA994" s="49"/>
      <c r="AB994" s="49"/>
      <c r="AC994" s="49"/>
      <c r="AD994" s="49"/>
      <c r="AE994" s="49"/>
      <c r="AF994" s="49"/>
      <c r="AG994" s="49"/>
      <c r="AH994" s="49"/>
      <c r="AI994" s="49"/>
      <c r="AJ994" s="49"/>
      <c r="AK994" s="49"/>
      <c r="AL994" s="49"/>
      <c r="AM994" s="49"/>
      <c r="AN994" s="49"/>
      <c r="AO994" s="49"/>
      <c r="AP994" s="49"/>
      <c r="AQ994" s="49"/>
      <c r="AR994" s="49"/>
      <c r="AS994" s="49"/>
      <c r="AT994" s="49"/>
      <c r="AU994" s="49"/>
      <c r="AV994" s="49"/>
      <c r="AW994" s="49"/>
      <c r="AX994" s="49"/>
    </row>
    <row r="99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c r="AA995" s="49"/>
      <c r="AB995" s="49"/>
      <c r="AC995" s="49"/>
      <c r="AD995" s="49"/>
      <c r="AE995" s="49"/>
      <c r="AF995" s="49"/>
      <c r="AG995" s="49"/>
      <c r="AH995" s="49"/>
      <c r="AI995" s="49"/>
      <c r="AJ995" s="49"/>
      <c r="AK995" s="49"/>
      <c r="AL995" s="49"/>
      <c r="AM995" s="49"/>
      <c r="AN995" s="49"/>
      <c r="AO995" s="49"/>
      <c r="AP995" s="49"/>
      <c r="AQ995" s="49"/>
      <c r="AR995" s="49"/>
      <c r="AS995" s="49"/>
      <c r="AT995" s="49"/>
      <c r="AU995" s="49"/>
      <c r="AV995" s="49"/>
      <c r="AW995" s="49"/>
      <c r="AX995" s="49"/>
    </row>
    <row r="996">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c r="AA996" s="49"/>
      <c r="AB996" s="49"/>
      <c r="AC996" s="49"/>
      <c r="AD996" s="49"/>
      <c r="AE996" s="49"/>
      <c r="AF996" s="49"/>
      <c r="AG996" s="49"/>
      <c r="AH996" s="49"/>
      <c r="AI996" s="49"/>
      <c r="AJ996" s="49"/>
      <c r="AK996" s="49"/>
      <c r="AL996" s="49"/>
      <c r="AM996" s="49"/>
      <c r="AN996" s="49"/>
      <c r="AO996" s="49"/>
      <c r="AP996" s="49"/>
      <c r="AQ996" s="49"/>
      <c r="AR996" s="49"/>
      <c r="AS996" s="49"/>
      <c r="AT996" s="49"/>
      <c r="AU996" s="49"/>
      <c r="AV996" s="49"/>
      <c r="AW996" s="49"/>
      <c r="AX996" s="49"/>
    </row>
    <row r="997">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c r="AA997" s="49"/>
      <c r="AB997" s="49"/>
      <c r="AC997" s="49"/>
      <c r="AD997" s="49"/>
      <c r="AE997" s="49"/>
      <c r="AF997" s="49"/>
      <c r="AG997" s="49"/>
      <c r="AH997" s="49"/>
      <c r="AI997" s="49"/>
      <c r="AJ997" s="49"/>
      <c r="AK997" s="49"/>
      <c r="AL997" s="49"/>
      <c r="AM997" s="49"/>
      <c r="AN997" s="49"/>
      <c r="AO997" s="49"/>
      <c r="AP997" s="49"/>
      <c r="AQ997" s="49"/>
      <c r="AR997" s="49"/>
      <c r="AS997" s="49"/>
      <c r="AT997" s="49"/>
      <c r="AU997" s="49"/>
      <c r="AV997" s="49"/>
      <c r="AW997" s="49"/>
      <c r="AX997" s="49"/>
    </row>
    <row r="998">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c r="AA998" s="49"/>
      <c r="AB998" s="49"/>
      <c r="AC998" s="49"/>
      <c r="AD998" s="49"/>
      <c r="AE998" s="49"/>
      <c r="AF998" s="49"/>
      <c r="AG998" s="49"/>
      <c r="AH998" s="49"/>
      <c r="AI998" s="49"/>
      <c r="AJ998" s="49"/>
      <c r="AK998" s="49"/>
      <c r="AL998" s="49"/>
      <c r="AM998" s="49"/>
      <c r="AN998" s="49"/>
      <c r="AO998" s="49"/>
      <c r="AP998" s="49"/>
      <c r="AQ998" s="49"/>
      <c r="AR998" s="49"/>
      <c r="AS998" s="49"/>
      <c r="AT998" s="49"/>
      <c r="AU998" s="49"/>
      <c r="AV998" s="49"/>
      <c r="AW998" s="49"/>
      <c r="AX998" s="49"/>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17.5"/>
    <col customWidth="1" min="3" max="3" width="42.0"/>
    <col customWidth="1" min="4" max="4" width="64.63"/>
    <col customWidth="1" min="5" max="7" width="20.13"/>
  </cols>
  <sheetData>
    <row r="1">
      <c r="A1" s="49" t="str">
        <f>IFERROR(__xludf.DUMMYFUNCTION("IMPORTRANGE(""https://docs.google.com/spreadsheets/d/""&amp;Config!B1,""ClassesEnhanced!A:AX"")"),"Class")</f>
        <v>Class</v>
      </c>
      <c r="B1" s="49" t="str">
        <f>IFERROR(__xludf.DUMMYFUNCTION("""COMPUTED_VALUE"""),"Enhanced Class")</f>
        <v>Enhanced Class</v>
      </c>
      <c r="C1" s="49" t="str">
        <f>IFERROR(__xludf.DUMMYFUNCTION("""COMPUTED_VALUE"""),"SpellRank")</f>
        <v>SpellRank</v>
      </c>
      <c r="D1" s="50" t="str">
        <f>IFERROR(__xludf.DUMMYFUNCTION("""COMPUTED_VALUE"""),"Ability1")</f>
        <v>Ability1</v>
      </c>
      <c r="E1" s="50" t="str">
        <f>IFERROR(__xludf.DUMMYFUNCTION("""COMPUTED_VALUE"""),"Ability2")</f>
        <v>Ability2</v>
      </c>
      <c r="F1" s="50" t="str">
        <f>IFERROR(__xludf.DUMMYFUNCTION("""COMPUTED_VALUE"""),"Ability3")</f>
        <v>Ability3</v>
      </c>
      <c r="G1" s="50" t="str">
        <f>IFERROR(__xludf.DUMMYFUNCTION("""COMPUTED_VALUE"""),"Ability4")</f>
        <v>Ability4</v>
      </c>
      <c r="H1" s="49" t="str">
        <f>IFERROR(__xludf.DUMMYFUNCTION("""COMPUTED_VALUE"""),"Attack")</f>
        <v>Attack</v>
      </c>
      <c r="I1" s="49" t="str">
        <f>IFERROR(__xludf.DUMMYFUNCTION("""COMPUTED_VALUE"""),"Defense")</f>
        <v>Defense</v>
      </c>
      <c r="J1" s="49" t="str">
        <f>IFERROR(__xludf.DUMMYFUNCTION("""COMPUTED_VALUE"""),"Accuracy")</f>
        <v>Accuracy</v>
      </c>
      <c r="K1" s="49" t="str">
        <f>IFERROR(__xludf.DUMMYFUNCTION("""COMPUTED_VALUE"""),"Charisma")</f>
        <v>Charisma</v>
      </c>
      <c r="L1" s="49" t="str">
        <f>IFERROR(__xludf.DUMMYFUNCTION("""COMPUTED_VALUE"""),"Wisdom")</f>
        <v>Wisdom</v>
      </c>
      <c r="M1" s="49" t="str">
        <f>IFERROR(__xludf.DUMMYFUNCTION("""COMPUTED_VALUE"""),"Constitution")</f>
        <v>Constitution</v>
      </c>
      <c r="N1" s="49" t="str">
        <f>IFERROR(__xludf.DUMMYFUNCTION("""COMPUTED_VALUE"""),"Evasion")</f>
        <v>Evasion</v>
      </c>
      <c r="O1" s="49" t="str">
        <f>IFERROR(__xludf.DUMMYFUNCTION("""COMPUTED_VALUE"""),"Intimidation")</f>
        <v>Intimidation</v>
      </c>
      <c r="P1" s="49" t="str">
        <f>IFERROR(__xludf.DUMMYFUNCTION("""COMPUTED_VALUE"""),"Mobility")</f>
        <v>Mobility</v>
      </c>
      <c r="Q1" s="49" t="str">
        <f>IFERROR(__xludf.DUMMYFUNCTION("""COMPUTED_VALUE"""),"HP")</f>
        <v>HP</v>
      </c>
      <c r="R1" s="49" t="str">
        <f>IFERROR(__xludf.DUMMYFUNCTION("""COMPUTED_VALUE"""),"SP")</f>
        <v>SP</v>
      </c>
      <c r="S1" s="49" t="str">
        <f>IFERROR(__xludf.DUMMYFUNCTION("""COMPUTED_VALUE"""),"Hunger")</f>
        <v>Hunger</v>
      </c>
      <c r="T1" s="49" t="str">
        <f>IFERROR(__xludf.DUMMYFUNCTION("""COMPUTED_VALUE"""),"Thirst")</f>
        <v>Thirst</v>
      </c>
      <c r="U1" s="49" t="str">
        <f>IFERROR(__xludf.DUMMYFUNCTION("""COMPUTED_VALUE"""),"Energy")</f>
        <v>Energy</v>
      </c>
      <c r="V1" s="49" t="str">
        <f>IFERROR(__xludf.DUMMYFUNCTION("""COMPUTED_VALUE"""),"eleselect")</f>
        <v>eleselect</v>
      </c>
      <c r="W1" s="49" t="str">
        <f>IFERROR(__xludf.DUMMYFUNCTION("""COMPUTED_VALUE"""),"Fire")</f>
        <v>Fire</v>
      </c>
      <c r="X1" s="49" t="str">
        <f>IFERROR(__xludf.DUMMYFUNCTION("""COMPUTED_VALUE"""),"Water")</f>
        <v>Water</v>
      </c>
      <c r="Y1" s="49" t="str">
        <f>IFERROR(__xludf.DUMMYFUNCTION("""COMPUTED_VALUE"""),"Storm")</f>
        <v>Storm</v>
      </c>
      <c r="Z1" s="49" t="str">
        <f>IFERROR(__xludf.DUMMYFUNCTION("""COMPUTED_VALUE"""),"Earth")</f>
        <v>Earth</v>
      </c>
      <c r="AA1" s="49" t="str">
        <f>IFERROR(__xludf.DUMMYFUNCTION("""COMPUTED_VALUE"""),"Light")</f>
        <v>Light</v>
      </c>
      <c r="AB1" s="49" t="str">
        <f>IFERROR(__xludf.DUMMYFUNCTION("""COMPUTED_VALUE"""),"Dark")</f>
        <v>Dark</v>
      </c>
      <c r="AC1" s="49" t="str">
        <f>IFERROR(__xludf.DUMMYFUNCTION("""COMPUTED_VALUE"""),"Spirit")</f>
        <v>Spirit</v>
      </c>
      <c r="AD1" s="49" t="str">
        <f>IFERROR(__xludf.DUMMYFUNCTION("""COMPUTED_VALUE"""),"Order")</f>
        <v>Order</v>
      </c>
      <c r="AE1" s="49" t="str">
        <f>IFERROR(__xludf.DUMMYFUNCTION("""COMPUTED_VALUE"""),"Chaos")</f>
        <v>Chaos</v>
      </c>
      <c r="AF1" s="49" t="str">
        <f>IFERROR(__xludf.DUMMYFUNCTION("""COMPUTED_VALUE"""),"Nature")</f>
        <v>Nature</v>
      </c>
      <c r="AG1" s="49" t="str">
        <f>IFERROR(__xludf.DUMMYFUNCTION("""COMPUTED_VALUE"""),"Physical")</f>
        <v>Physical</v>
      </c>
      <c r="AH1" s="49" t="str">
        <f>IFERROR(__xludf.DUMMYFUNCTION("""COMPUTED_VALUE"""),"Melee")</f>
        <v>Melee</v>
      </c>
      <c r="AI1" s="49" t="str">
        <f>IFERROR(__xludf.DUMMYFUNCTION("""COMPUTED_VALUE"""),"Ranged")</f>
        <v>Ranged</v>
      </c>
      <c r="AJ1" s="49" t="str">
        <f>IFERROR(__xludf.DUMMYFUNCTION("""COMPUTED_VALUE"""),"Stasis")</f>
        <v>Stasis</v>
      </c>
      <c r="AK1" s="49" t="str">
        <f>IFERROR(__xludf.DUMMYFUNCTION("""COMPUTED_VALUE"""),"Twilight")</f>
        <v>Twilight</v>
      </c>
      <c r="AL1" s="49" t="str">
        <f>IFERROR(__xludf.DUMMYFUNCTION("""COMPUTED_VALUE"""),"Voodoo")</f>
        <v>Voodoo</v>
      </c>
      <c r="AM1" s="49" t="str">
        <f>IFERROR(__xludf.DUMMYFUNCTION("""COMPUTED_VALUE"""),"Blood")</f>
        <v>Blood</v>
      </c>
      <c r="AN1" s="49" t="str">
        <f>IFERROR(__xludf.DUMMYFUNCTION("""COMPUTED_VALUE"""),"Delta")</f>
        <v>Delta</v>
      </c>
      <c r="AO1" s="49" t="str">
        <f>IFERROR(__xludf.DUMMYFUNCTION("""COMPUTED_VALUE"""),"Zen")</f>
        <v>Zen</v>
      </c>
      <c r="AP1" s="49" t="str">
        <f>IFERROR(__xludf.DUMMYFUNCTION("""COMPUTED_VALUE"""),"Time")</f>
        <v>Time</v>
      </c>
      <c r="AQ1" s="49" t="str">
        <f>IFERROR(__xludf.DUMMYFUNCTION("""COMPUTED_VALUE"""),"Astral")</f>
        <v>Astral</v>
      </c>
      <c r="AR1" s="49" t="str">
        <f>IFERROR(__xludf.DUMMYFUNCTION("""COMPUTED_VALUE"""),"Celestial")</f>
        <v>Celestial</v>
      </c>
      <c r="AS1" s="49" t="str">
        <f>IFERROR(__xludf.DUMMYFUNCTION("""COMPUTED_VALUE"""),"Acoustic")</f>
        <v>Acoustic</v>
      </c>
      <c r="AT1" s="49"/>
      <c r="AU1" s="49"/>
      <c r="AV1" s="49"/>
      <c r="AW1" s="49"/>
      <c r="AX1" s="49"/>
    </row>
    <row r="2">
      <c r="A2" s="49" t="str">
        <f>IFERROR(__xludf.DUMMYFUNCTION("""COMPUTED_VALUE"""),"Archer")</f>
        <v>Archer</v>
      </c>
      <c r="B2" s="49" t="str">
        <f>IFERROR(__xludf.DUMMYFUNCTION("""COMPUTED_VALUE"""),"Skilled Archer")</f>
        <v>Skilled Archer</v>
      </c>
      <c r="C2" s="49" t="str">
        <f>IFERROR(__xludf.DUMMYFUNCTION("""COMPUTED_VALUE"""),"Rank 9 Physical")</f>
        <v>Rank 9 Physical</v>
      </c>
      <c r="D2" s="50" t="str">
        <f>IFERROR(__xludf.DUMMYFUNCTION("""COMPUTED_VALUE"""),"Add your mobility and evasion while evading.")</f>
        <v>Add your mobility and evasion while evading.</v>
      </c>
      <c r="E2" s="50" t="str">
        <f>IFERROR(__xludf.DUMMYFUNCTION("""COMPUTED_VALUE"""),"X6 damage with bows.")</f>
        <v>X6 damage with bows.</v>
      </c>
      <c r="F2" s="50" t="str">
        <f>IFERROR(__xludf.DUMMYFUNCTION("""COMPUTED_VALUE"""),"Add mobilty when attacking with a bow.")</f>
        <v>Add mobilty when attacking with a bow.</v>
      </c>
      <c r="G2" s="50"/>
      <c r="H2" s="49"/>
      <c r="I2" s="49"/>
      <c r="J2" s="49"/>
      <c r="K2" s="49"/>
      <c r="L2" s="49"/>
      <c r="M2" s="49"/>
      <c r="N2" s="49"/>
      <c r="O2" s="49"/>
      <c r="P2" s="49"/>
      <c r="Q2" s="49"/>
      <c r="R2" s="49"/>
      <c r="S2" s="49"/>
      <c r="T2" s="49"/>
      <c r="U2" s="49"/>
      <c r="V2" s="49">
        <f>IFERROR(__xludf.DUMMYFUNCTION("""COMPUTED_VALUE"""),0.0)</f>
        <v>0</v>
      </c>
      <c r="W2" s="49"/>
      <c r="X2" s="49"/>
      <c r="Y2" s="49"/>
      <c r="Z2" s="49"/>
      <c r="AA2" s="49"/>
      <c r="AB2" s="49"/>
      <c r="AC2" s="49"/>
      <c r="AD2" s="49"/>
      <c r="AE2" s="49"/>
      <c r="AF2" s="49"/>
      <c r="AG2" s="49">
        <f>IFERROR(__xludf.DUMMYFUNCTION("""COMPUTED_VALUE"""),9.0)</f>
        <v>9</v>
      </c>
      <c r="AH2" s="49"/>
      <c r="AI2" s="49"/>
      <c r="AJ2" s="49"/>
      <c r="AK2" s="49"/>
      <c r="AL2" s="49"/>
      <c r="AM2" s="49"/>
      <c r="AN2" s="49"/>
      <c r="AO2" s="49"/>
      <c r="AP2" s="49"/>
      <c r="AQ2" s="49"/>
      <c r="AR2" s="49"/>
      <c r="AS2" s="49"/>
      <c r="AT2" s="49"/>
      <c r="AU2" s="49"/>
      <c r="AV2" s="49"/>
      <c r="AW2" s="49"/>
      <c r="AX2" s="49"/>
    </row>
    <row r="3">
      <c r="A3" s="49" t="str">
        <f>IFERROR(__xludf.DUMMYFUNCTION("""COMPUTED_VALUE"""),"Archer")</f>
        <v>Archer</v>
      </c>
      <c r="B3" s="49" t="str">
        <f>IFERROR(__xludf.DUMMYFUNCTION("""COMPUTED_VALUE"""),"Javelineer")</f>
        <v>Javelineer</v>
      </c>
      <c r="C3" s="49" t="str">
        <f>IFERROR(__xludf.DUMMYFUNCTION("""COMPUTED_VALUE"""),"Rank 9 Physical")</f>
        <v>Rank 9 Physical</v>
      </c>
      <c r="D3" s="50" t="str">
        <f>IFERROR(__xludf.DUMMYFUNCTION("""COMPUTED_VALUE"""),"Add your mobility and evasion while evading.")</f>
        <v>Add your mobility and evasion while evading.</v>
      </c>
      <c r="E3" s="50" t="str">
        <f>IFERROR(__xludf.DUMMYFUNCTION("""COMPUTED_VALUE"""),"X6 damage with boomerangs.")</f>
        <v>X6 damage with boomerangs.</v>
      </c>
      <c r="F3" s="50" t="str">
        <f>IFERROR(__xludf.DUMMYFUNCTION("""COMPUTED_VALUE"""),"Add mobilty when attacking with a boomerang.")</f>
        <v>Add mobilty when attacking with a boomerang.</v>
      </c>
      <c r="G3" s="50"/>
      <c r="H3" s="49"/>
      <c r="I3" s="49"/>
      <c r="J3" s="49"/>
      <c r="K3" s="49"/>
      <c r="L3" s="49"/>
      <c r="M3" s="49"/>
      <c r="N3" s="49"/>
      <c r="O3" s="49"/>
      <c r="P3" s="49"/>
      <c r="Q3" s="49"/>
      <c r="R3" s="49"/>
      <c r="S3" s="49"/>
      <c r="T3" s="49"/>
      <c r="U3" s="49"/>
      <c r="V3" s="49">
        <f>IFERROR(__xludf.DUMMYFUNCTION("""COMPUTED_VALUE"""),0.0)</f>
        <v>0</v>
      </c>
      <c r="W3" s="49"/>
      <c r="X3" s="49"/>
      <c r="Y3" s="49"/>
      <c r="Z3" s="49"/>
      <c r="AA3" s="49"/>
      <c r="AB3" s="49"/>
      <c r="AC3" s="49"/>
      <c r="AD3" s="49"/>
      <c r="AE3" s="49"/>
      <c r="AF3" s="49"/>
      <c r="AG3" s="49">
        <f>IFERROR(__xludf.DUMMYFUNCTION("""COMPUTED_VALUE"""),9.0)</f>
        <v>9</v>
      </c>
      <c r="AH3" s="49"/>
      <c r="AI3" s="49"/>
      <c r="AJ3" s="49"/>
      <c r="AK3" s="49"/>
      <c r="AL3" s="49"/>
      <c r="AM3" s="49"/>
      <c r="AN3" s="49"/>
      <c r="AO3" s="49"/>
      <c r="AP3" s="49"/>
      <c r="AQ3" s="49"/>
      <c r="AR3" s="49"/>
      <c r="AS3" s="49"/>
      <c r="AT3" s="49"/>
      <c r="AU3" s="49"/>
      <c r="AV3" s="49"/>
      <c r="AW3" s="49"/>
      <c r="AX3" s="49"/>
    </row>
    <row r="4">
      <c r="A4" s="49" t="str">
        <f>IFERROR(__xludf.DUMMYFUNCTION("""COMPUTED_VALUE"""),"Bard")</f>
        <v>Bard</v>
      </c>
      <c r="B4" s="49" t="str">
        <f>IFERROR(__xludf.DUMMYFUNCTION("""COMPUTED_VALUE"""),"Master Bard")</f>
        <v>Master Bard</v>
      </c>
      <c r="C4" s="49" t="str">
        <f>IFERROR(__xludf.DUMMYFUNCTION("""COMPUTED_VALUE"""),"Rank 9 in all Elements (excluding Zen)")</f>
        <v>Rank 9 in all Elements (excluding Zen)</v>
      </c>
      <c r="D4" s="50" t="str">
        <f>IFERROR(__xludf.DUMMYFUNCTION("""COMPUTED_VALUE"""),"While you have a Instrument equipped, Acoustic Attacks do an additional X6 damage.")</f>
        <v>While you have a Instrument equipped, Acoustic Attacks do an additional X6 damage.</v>
      </c>
      <c r="E4" s="50" t="str">
        <f>IFERROR(__xludf.DUMMYFUNCTION("""COMPUTED_VALUE"""),"X2 additional Spell damage.")</f>
        <v>X2 additional Spell damage.</v>
      </c>
      <c r="F4" s="50" t="str">
        <f>IFERROR(__xludf.DUMMYFUNCTION("""COMPUTED_VALUE"""),"Entertain - The INN town service costs nothing for you.")</f>
        <v>Entertain - The INN town service costs nothing for you.</v>
      </c>
      <c r="G4" s="50"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49"/>
      <c r="I4" s="49"/>
      <c r="J4" s="49"/>
      <c r="K4" s="49"/>
      <c r="L4" s="49"/>
      <c r="M4" s="49"/>
      <c r="N4" s="49"/>
      <c r="O4" s="49"/>
      <c r="P4" s="49"/>
      <c r="Q4" s="49"/>
      <c r="R4" s="49"/>
      <c r="S4" s="49"/>
      <c r="T4" s="49"/>
      <c r="U4" s="49"/>
      <c r="V4" s="49">
        <f>IFERROR(__xludf.DUMMYFUNCTION("""COMPUTED_VALUE"""),0.0)</f>
        <v>0</v>
      </c>
      <c r="W4" s="49">
        <f>IFERROR(__xludf.DUMMYFUNCTION("""COMPUTED_VALUE"""),9.0)</f>
        <v>9</v>
      </c>
      <c r="X4" s="49">
        <f>IFERROR(__xludf.DUMMYFUNCTION("""COMPUTED_VALUE"""),9.0)</f>
        <v>9</v>
      </c>
      <c r="Y4" s="49">
        <f>IFERROR(__xludf.DUMMYFUNCTION("""COMPUTED_VALUE"""),9.0)</f>
        <v>9</v>
      </c>
      <c r="Z4" s="49">
        <f>IFERROR(__xludf.DUMMYFUNCTION("""COMPUTED_VALUE"""),9.0)</f>
        <v>9</v>
      </c>
      <c r="AA4" s="49">
        <f>IFERROR(__xludf.DUMMYFUNCTION("""COMPUTED_VALUE"""),9.0)</f>
        <v>9</v>
      </c>
      <c r="AB4" s="49">
        <f>IFERROR(__xludf.DUMMYFUNCTION("""COMPUTED_VALUE"""),9.0)</f>
        <v>9</v>
      </c>
      <c r="AC4" s="49">
        <f>IFERROR(__xludf.DUMMYFUNCTION("""COMPUTED_VALUE"""),9.0)</f>
        <v>9</v>
      </c>
      <c r="AD4" s="49">
        <f>IFERROR(__xludf.DUMMYFUNCTION("""COMPUTED_VALUE"""),9.0)</f>
        <v>9</v>
      </c>
      <c r="AE4" s="49">
        <f>IFERROR(__xludf.DUMMYFUNCTION("""COMPUTED_VALUE"""),9.0)</f>
        <v>9</v>
      </c>
      <c r="AF4" s="49">
        <f>IFERROR(__xludf.DUMMYFUNCTION("""COMPUTED_VALUE"""),9.0)</f>
        <v>9</v>
      </c>
      <c r="AG4" s="49">
        <f>IFERROR(__xludf.DUMMYFUNCTION("""COMPUTED_VALUE"""),9.0)</f>
        <v>9</v>
      </c>
      <c r="AH4" s="49">
        <f>IFERROR(__xludf.DUMMYFUNCTION("""COMPUTED_VALUE"""),9.0)</f>
        <v>9</v>
      </c>
      <c r="AI4" s="49">
        <f>IFERROR(__xludf.DUMMYFUNCTION("""COMPUTED_VALUE"""),9.0)</f>
        <v>9</v>
      </c>
      <c r="AJ4" s="49">
        <f>IFERROR(__xludf.DUMMYFUNCTION("""COMPUTED_VALUE"""),9.0)</f>
        <v>9</v>
      </c>
      <c r="AK4" s="49">
        <f>IFERROR(__xludf.DUMMYFUNCTION("""COMPUTED_VALUE"""),9.0)</f>
        <v>9</v>
      </c>
      <c r="AL4" s="49">
        <f>IFERROR(__xludf.DUMMYFUNCTION("""COMPUTED_VALUE"""),9.0)</f>
        <v>9</v>
      </c>
      <c r="AM4" s="49">
        <f>IFERROR(__xludf.DUMMYFUNCTION("""COMPUTED_VALUE"""),9.0)</f>
        <v>9</v>
      </c>
      <c r="AN4" s="49">
        <f>IFERROR(__xludf.DUMMYFUNCTION("""COMPUTED_VALUE"""),9.0)</f>
        <v>9</v>
      </c>
      <c r="AO4" s="49"/>
      <c r="AP4" s="49"/>
      <c r="AQ4" s="49">
        <f>IFERROR(__xludf.DUMMYFUNCTION("""COMPUTED_VALUE"""),9.0)</f>
        <v>9</v>
      </c>
      <c r="AR4" s="49"/>
      <c r="AS4" s="49">
        <f>IFERROR(__xludf.DUMMYFUNCTION("""COMPUTED_VALUE"""),9.0)</f>
        <v>9</v>
      </c>
      <c r="AT4" s="49"/>
      <c r="AU4" s="49"/>
      <c r="AV4" s="49"/>
      <c r="AW4" s="49"/>
      <c r="AX4" s="49"/>
    </row>
    <row r="5">
      <c r="A5" s="49" t="str">
        <f>IFERROR(__xludf.DUMMYFUNCTION("""COMPUTED_VALUE"""),"Bombadier")</f>
        <v>Bombadier</v>
      </c>
      <c r="B5" s="49" t="str">
        <f>IFERROR(__xludf.DUMMYFUNCTION("""COMPUTED_VALUE"""),"Grenadier")</f>
        <v>Grenadier</v>
      </c>
      <c r="C5" s="49" t="str">
        <f>IFERROR(__xludf.DUMMYFUNCTION("""COMPUTED_VALUE"""),"Rank 9 Fire, Physical, Ranged, Melee")</f>
        <v>Rank 9 Fire, Physical, Ranged, Melee</v>
      </c>
      <c r="D5" s="50" t="str">
        <f>IFERROR(__xludf.DUMMYFUNCTION("""COMPUTED_VALUE"""),"X6 effectiveness to all damage over time")</f>
        <v>X6 effectiveness to all damage over time</v>
      </c>
      <c r="E5" s="50" t="str">
        <f>IFERROR(__xludf.DUMMYFUNCTION("""COMPUTED_VALUE"""),"X6 Fire Damage")</f>
        <v>X6 Fire Damage</v>
      </c>
      <c r="F5" s="50" t="str">
        <f>IFERROR(__xludf.DUMMYFUNCTION("""COMPUTED_VALUE"""),"Can fire twice as many offensive grenades")</f>
        <v>Can fire twice as many offensive grenades</v>
      </c>
      <c r="G5" s="50"/>
      <c r="H5" s="49"/>
      <c r="I5" s="49"/>
      <c r="J5" s="49"/>
      <c r="K5" s="49"/>
      <c r="L5" s="49"/>
      <c r="M5" s="49"/>
      <c r="N5" s="49"/>
      <c r="O5" s="49"/>
      <c r="P5" s="49"/>
      <c r="Q5" s="49"/>
      <c r="R5" s="49"/>
      <c r="S5" s="49"/>
      <c r="T5" s="49"/>
      <c r="U5" s="49"/>
      <c r="V5" s="49">
        <f>IFERROR(__xludf.DUMMYFUNCTION("""COMPUTED_VALUE"""),0.0)</f>
        <v>0</v>
      </c>
      <c r="W5" s="49">
        <f>IFERROR(__xludf.DUMMYFUNCTION("""COMPUTED_VALUE"""),9.0)</f>
        <v>9</v>
      </c>
      <c r="X5" s="49"/>
      <c r="Y5" s="49"/>
      <c r="Z5" s="49"/>
      <c r="AA5" s="49"/>
      <c r="AB5" s="49"/>
      <c r="AC5" s="49"/>
      <c r="AD5" s="49"/>
      <c r="AE5" s="49"/>
      <c r="AF5" s="49"/>
      <c r="AG5" s="49">
        <f>IFERROR(__xludf.DUMMYFUNCTION("""COMPUTED_VALUE"""),9.0)</f>
        <v>9</v>
      </c>
      <c r="AH5" s="49">
        <f>IFERROR(__xludf.DUMMYFUNCTION("""COMPUTED_VALUE"""),9.0)</f>
        <v>9</v>
      </c>
      <c r="AI5" s="49">
        <f>IFERROR(__xludf.DUMMYFUNCTION("""COMPUTED_VALUE"""),9.0)</f>
        <v>9</v>
      </c>
      <c r="AJ5" s="49"/>
      <c r="AK5" s="49"/>
      <c r="AL5" s="49"/>
      <c r="AM5" s="49"/>
      <c r="AN5" s="49"/>
      <c r="AO5" s="49"/>
      <c r="AP5" s="49"/>
      <c r="AQ5" s="49"/>
      <c r="AR5" s="49"/>
      <c r="AS5" s="49"/>
      <c r="AT5" s="49"/>
      <c r="AU5" s="49"/>
      <c r="AV5" s="49"/>
      <c r="AW5" s="49"/>
      <c r="AX5" s="49"/>
    </row>
    <row r="6">
      <c r="A6" s="49" t="str">
        <f>IFERROR(__xludf.DUMMYFUNCTION("""COMPUTED_VALUE"""),"Bombadier")</f>
        <v>Bombadier</v>
      </c>
      <c r="B6" s="49" t="str">
        <f>IFERROR(__xludf.DUMMYFUNCTION("""COMPUTED_VALUE"""),"Cannonier")</f>
        <v>Cannonier</v>
      </c>
      <c r="C6" s="49" t="str">
        <f>IFERROR(__xludf.DUMMYFUNCTION("""COMPUTED_VALUE"""),"Rank 9 Light, Physical, Ranged, Melee")</f>
        <v>Rank 9 Light, Physical, Ranged, Melee</v>
      </c>
      <c r="D6" s="50" t="str">
        <f>IFERROR(__xludf.DUMMYFUNCTION("""COMPUTED_VALUE"""),"All Grenade-based buffs have doubled effect")</f>
        <v>All Grenade-based buffs have doubled effect</v>
      </c>
      <c r="E6" s="50" t="str">
        <f>IFERROR(__xludf.DUMMYFUNCTION("""COMPUTED_VALUE"""),"X6 Light Damage")</f>
        <v>X6 Light Damage</v>
      </c>
      <c r="F6" s="50" t="str">
        <f>IFERROR(__xludf.DUMMYFUNCTION("""COMPUTED_VALUE"""),"X4 Sp and Hp recovery from grenades")</f>
        <v>X4 Sp and Hp recovery from grenades</v>
      </c>
      <c r="G6" s="50" t="str">
        <f>IFERROR(__xludf.DUMMYFUNCTION("""COMPUTED_VALUE"""),"Can fire twice as many Buffing/Restorative Grenades")</f>
        <v>Can fire twice as many Buffing/Restorative Grenades</v>
      </c>
      <c r="H6" s="49"/>
      <c r="I6" s="49"/>
      <c r="J6" s="49"/>
      <c r="K6" s="49"/>
      <c r="L6" s="49"/>
      <c r="M6" s="49"/>
      <c r="N6" s="49"/>
      <c r="O6" s="49"/>
      <c r="P6" s="49"/>
      <c r="Q6" s="49"/>
      <c r="R6" s="49"/>
      <c r="S6" s="49"/>
      <c r="T6" s="49"/>
      <c r="U6" s="49"/>
      <c r="V6" s="49"/>
      <c r="W6" s="49"/>
      <c r="X6" s="49"/>
      <c r="Y6" s="49"/>
      <c r="Z6" s="49"/>
      <c r="AA6" s="49">
        <f>IFERROR(__xludf.DUMMYFUNCTION("""COMPUTED_VALUE"""),9.0)</f>
        <v>9</v>
      </c>
      <c r="AB6" s="49"/>
      <c r="AC6" s="49"/>
      <c r="AD6" s="49"/>
      <c r="AE6" s="49"/>
      <c r="AF6" s="49"/>
      <c r="AG6" s="49">
        <f>IFERROR(__xludf.DUMMYFUNCTION("""COMPUTED_VALUE"""),9.0)</f>
        <v>9</v>
      </c>
      <c r="AH6" s="49">
        <f>IFERROR(__xludf.DUMMYFUNCTION("""COMPUTED_VALUE"""),9.0)</f>
        <v>9</v>
      </c>
      <c r="AI6" s="49">
        <f>IFERROR(__xludf.DUMMYFUNCTION("""COMPUTED_VALUE"""),9.0)</f>
        <v>9</v>
      </c>
      <c r="AJ6" s="49"/>
      <c r="AK6" s="49"/>
      <c r="AL6" s="49"/>
      <c r="AM6" s="49"/>
      <c r="AN6" s="49"/>
      <c r="AO6" s="49"/>
      <c r="AP6" s="49"/>
      <c r="AQ6" s="49"/>
      <c r="AR6" s="49"/>
      <c r="AS6" s="49"/>
      <c r="AT6" s="49"/>
      <c r="AU6" s="49"/>
      <c r="AV6" s="49"/>
      <c r="AW6" s="49"/>
      <c r="AX6" s="49"/>
    </row>
    <row r="7">
      <c r="A7" s="49" t="str">
        <f>IFERROR(__xludf.DUMMYFUNCTION("""COMPUTED_VALUE"""),"Brawler")</f>
        <v>Brawler</v>
      </c>
      <c r="B7" s="49" t="str">
        <f>IFERROR(__xludf.DUMMYFUNCTION("""COMPUTED_VALUE"""),"Skilled Fighter")</f>
        <v>Skilled Fighter</v>
      </c>
      <c r="C7" s="49" t="str">
        <f>IFERROR(__xludf.DUMMYFUNCTION("""COMPUTED_VALUE"""),"Rank 9 Melee, Ranged")</f>
        <v>Rank 9 Melee, Ranged</v>
      </c>
      <c r="D7" s="50" t="str">
        <f>IFERROR(__xludf.DUMMYFUNCTION("""COMPUTED_VALUE"""),"Half the SP cost for Physical, Melee, and Ranged Spells.")</f>
        <v>Half the SP cost for Physical, Melee, and Ranged Spells.</v>
      </c>
      <c r="E7" s="50" t="str">
        <f>IFERROR(__xludf.DUMMYFUNCTION("""COMPUTED_VALUE"""),"Immune to damage from Natural Attacks.")</f>
        <v>Immune to damage from Natural Attacks.</v>
      </c>
      <c r="F7" s="50" t="str">
        <f>IFERROR(__xludf.DUMMYFUNCTION("""COMPUTED_VALUE"""),"Add mobility to natural attacks.")</f>
        <v>Add mobility to natural attacks.</v>
      </c>
      <c r="G7" s="50" t="str">
        <f>IFERROR(__xludf.DUMMYFUNCTION("""COMPUTED_VALUE"""),"X4 Damage towards natural attacks. ")</f>
        <v>X4 Damage towards natural attacks. </v>
      </c>
      <c r="H7" s="49"/>
      <c r="I7" s="49"/>
      <c r="J7" s="49"/>
      <c r="K7" s="49"/>
      <c r="L7" s="49"/>
      <c r="M7" s="49"/>
      <c r="N7" s="49"/>
      <c r="O7" s="49"/>
      <c r="P7" s="49"/>
      <c r="Q7" s="49"/>
      <c r="R7" s="49"/>
      <c r="S7" s="49"/>
      <c r="T7" s="49"/>
      <c r="U7" s="49"/>
      <c r="V7" s="49">
        <f>IFERROR(__xludf.DUMMYFUNCTION("""COMPUTED_VALUE"""),0.0)</f>
        <v>0</v>
      </c>
      <c r="W7" s="49"/>
      <c r="X7" s="49"/>
      <c r="Y7" s="49"/>
      <c r="Z7" s="49"/>
      <c r="AA7" s="49"/>
      <c r="AB7" s="49"/>
      <c r="AC7" s="49"/>
      <c r="AD7" s="49"/>
      <c r="AE7" s="49"/>
      <c r="AF7" s="49"/>
      <c r="AG7" s="49">
        <f>IFERROR(__xludf.DUMMYFUNCTION("""COMPUTED_VALUE"""),9.0)</f>
        <v>9</v>
      </c>
      <c r="AH7" s="49">
        <f>IFERROR(__xludf.DUMMYFUNCTION("""COMPUTED_VALUE"""),9.0)</f>
        <v>9</v>
      </c>
      <c r="AI7" s="49">
        <f>IFERROR(__xludf.DUMMYFUNCTION("""COMPUTED_VALUE"""),9.0)</f>
        <v>9</v>
      </c>
      <c r="AJ7" s="49"/>
      <c r="AK7" s="49"/>
      <c r="AL7" s="49"/>
      <c r="AM7" s="49"/>
      <c r="AN7" s="49"/>
      <c r="AO7" s="49"/>
      <c r="AP7" s="49"/>
      <c r="AQ7" s="49"/>
      <c r="AR7" s="49"/>
      <c r="AS7" s="49"/>
      <c r="AT7" s="49"/>
      <c r="AU7" s="49"/>
      <c r="AV7" s="49"/>
      <c r="AW7" s="49"/>
      <c r="AX7" s="49"/>
    </row>
    <row r="8">
      <c r="A8" s="49" t="str">
        <f>IFERROR(__xludf.DUMMYFUNCTION("""COMPUTED_VALUE"""),"Cavalier")</f>
        <v>Cavalier</v>
      </c>
      <c r="B8" s="49" t="str">
        <f>IFERROR(__xludf.DUMMYFUNCTION("""COMPUTED_VALUE"""),"Dragon Rider")</f>
        <v>Dragon Rider</v>
      </c>
      <c r="C8" s="49" t="str">
        <f>IFERROR(__xludf.DUMMYFUNCTION("""COMPUTED_VALUE"""),"Rank 3 in all elements (Excluding Zen and Acoustic)")</f>
        <v>Rank 3 in all elements (Excluding Zen and Acoustic)</v>
      </c>
      <c r="D8" s="50"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50"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50" t="str">
        <f>IFERROR(__xludf.DUMMYFUNCTION("""COMPUTED_VALUE"""),"Hatching the egg of a draconic creature takes 1d50 time instead of 1d100")</f>
        <v>Hatching the egg of a draconic creature takes 1d50 time instead of 1d100</v>
      </c>
      <c r="G8" s="50" t="str">
        <f>IFERROR(__xludf.DUMMYFUNCTION("""COMPUTED_VALUE"""),"you gain access to the Dragon's Breath Natural Power")</f>
        <v>you gain access to the Dragon's Breath Natural Power</v>
      </c>
      <c r="H8" s="49"/>
      <c r="I8" s="49"/>
      <c r="J8" s="49"/>
      <c r="K8" s="49"/>
      <c r="L8" s="49"/>
      <c r="M8" s="49"/>
      <c r="N8" s="49"/>
      <c r="O8" s="49"/>
      <c r="P8" s="49"/>
      <c r="Q8" s="49"/>
      <c r="R8" s="49"/>
      <c r="S8" s="49"/>
      <c r="T8" s="49"/>
      <c r="U8" s="49"/>
      <c r="V8" s="49"/>
      <c r="W8" s="49">
        <f>IFERROR(__xludf.DUMMYFUNCTION("""COMPUTED_VALUE"""),3.0)</f>
        <v>3</v>
      </c>
      <c r="X8" s="49">
        <f>IFERROR(__xludf.DUMMYFUNCTION("""COMPUTED_VALUE"""),3.0)</f>
        <v>3</v>
      </c>
      <c r="Y8" s="49">
        <f>IFERROR(__xludf.DUMMYFUNCTION("""COMPUTED_VALUE"""),3.0)</f>
        <v>3</v>
      </c>
      <c r="Z8" s="49">
        <f>IFERROR(__xludf.DUMMYFUNCTION("""COMPUTED_VALUE"""),3.0)</f>
        <v>3</v>
      </c>
      <c r="AA8" s="49">
        <f>IFERROR(__xludf.DUMMYFUNCTION("""COMPUTED_VALUE"""),3.0)</f>
        <v>3</v>
      </c>
      <c r="AB8" s="49">
        <f>IFERROR(__xludf.DUMMYFUNCTION("""COMPUTED_VALUE"""),3.0)</f>
        <v>3</v>
      </c>
      <c r="AC8" s="49">
        <f>IFERROR(__xludf.DUMMYFUNCTION("""COMPUTED_VALUE"""),3.0)</f>
        <v>3</v>
      </c>
      <c r="AD8" s="49">
        <f>IFERROR(__xludf.DUMMYFUNCTION("""COMPUTED_VALUE"""),3.0)</f>
        <v>3</v>
      </c>
      <c r="AE8" s="49">
        <f>IFERROR(__xludf.DUMMYFUNCTION("""COMPUTED_VALUE"""),3.0)</f>
        <v>3</v>
      </c>
      <c r="AF8" s="49">
        <f>IFERROR(__xludf.DUMMYFUNCTION("""COMPUTED_VALUE"""),3.0)</f>
        <v>3</v>
      </c>
      <c r="AG8" s="49">
        <f>IFERROR(__xludf.DUMMYFUNCTION("""COMPUTED_VALUE"""),3.0)</f>
        <v>3</v>
      </c>
      <c r="AH8" s="49">
        <f>IFERROR(__xludf.DUMMYFUNCTION("""COMPUTED_VALUE"""),3.0)</f>
        <v>3</v>
      </c>
      <c r="AI8" s="49">
        <f>IFERROR(__xludf.DUMMYFUNCTION("""COMPUTED_VALUE"""),3.0)</f>
        <v>3</v>
      </c>
      <c r="AJ8" s="49">
        <f>IFERROR(__xludf.DUMMYFUNCTION("""COMPUTED_VALUE"""),3.0)</f>
        <v>3</v>
      </c>
      <c r="AK8" s="49">
        <f>IFERROR(__xludf.DUMMYFUNCTION("""COMPUTED_VALUE"""),3.0)</f>
        <v>3</v>
      </c>
      <c r="AL8" s="49">
        <f>IFERROR(__xludf.DUMMYFUNCTION("""COMPUTED_VALUE"""),3.0)</f>
        <v>3</v>
      </c>
      <c r="AM8" s="49">
        <f>IFERROR(__xludf.DUMMYFUNCTION("""COMPUTED_VALUE"""),3.0)</f>
        <v>3</v>
      </c>
      <c r="AN8" s="49">
        <f>IFERROR(__xludf.DUMMYFUNCTION("""COMPUTED_VALUE"""),3.0)</f>
        <v>3</v>
      </c>
      <c r="AO8" s="49"/>
      <c r="AP8" s="49"/>
      <c r="AQ8" s="49">
        <f>IFERROR(__xludf.DUMMYFUNCTION("""COMPUTED_VALUE"""),3.0)</f>
        <v>3</v>
      </c>
      <c r="AR8" s="49"/>
      <c r="AS8" s="49"/>
      <c r="AT8" s="49"/>
      <c r="AU8" s="49"/>
      <c r="AV8" s="49"/>
      <c r="AW8" s="49"/>
      <c r="AX8" s="49"/>
    </row>
    <row r="9">
      <c r="A9" s="49" t="str">
        <f>IFERROR(__xludf.DUMMYFUNCTION("""COMPUTED_VALUE"""),"Cavalier")</f>
        <v>Cavalier</v>
      </c>
      <c r="B9" s="49" t="str">
        <f>IFERROR(__xludf.DUMMYFUNCTION("""COMPUTED_VALUE"""),"Beast Master")</f>
        <v>Beast Master</v>
      </c>
      <c r="C9" s="49" t="str">
        <f>IFERROR(__xludf.DUMMYFUNCTION("""COMPUTED_VALUE"""),"Rank 3 in all elements (Excluding Zen and Acoustic)")</f>
        <v>Rank 3 in all elements (Excluding Zen and Acoustic)</v>
      </c>
      <c r="D9" s="50"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50"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50"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50" t="str">
        <f>IFERROR(__xludf.DUMMYFUNCTION("""COMPUTED_VALUE"""),"Hatching the egg of a Beastial creature takes 1d50 time instead of 1d100")</f>
        <v>Hatching the egg of a Beastial creature takes 1d50 time instead of 1d100</v>
      </c>
      <c r="H9" s="49"/>
      <c r="I9" s="49"/>
      <c r="J9" s="49"/>
      <c r="K9" s="49"/>
      <c r="L9" s="49"/>
      <c r="M9" s="49"/>
      <c r="N9" s="49"/>
      <c r="O9" s="49"/>
      <c r="P9" s="49"/>
      <c r="Q9" s="49"/>
      <c r="R9" s="49"/>
      <c r="S9" s="49"/>
      <c r="T9" s="49"/>
      <c r="U9" s="49"/>
      <c r="V9" s="49"/>
      <c r="W9" s="49">
        <f>IFERROR(__xludf.DUMMYFUNCTION("""COMPUTED_VALUE"""),3.0)</f>
        <v>3</v>
      </c>
      <c r="X9" s="49">
        <f>IFERROR(__xludf.DUMMYFUNCTION("""COMPUTED_VALUE"""),3.0)</f>
        <v>3</v>
      </c>
      <c r="Y9" s="49">
        <f>IFERROR(__xludf.DUMMYFUNCTION("""COMPUTED_VALUE"""),3.0)</f>
        <v>3</v>
      </c>
      <c r="Z9" s="49">
        <f>IFERROR(__xludf.DUMMYFUNCTION("""COMPUTED_VALUE"""),3.0)</f>
        <v>3</v>
      </c>
      <c r="AA9" s="49">
        <f>IFERROR(__xludf.DUMMYFUNCTION("""COMPUTED_VALUE"""),3.0)</f>
        <v>3</v>
      </c>
      <c r="AB9" s="49">
        <f>IFERROR(__xludf.DUMMYFUNCTION("""COMPUTED_VALUE"""),3.0)</f>
        <v>3</v>
      </c>
      <c r="AC9" s="49">
        <f>IFERROR(__xludf.DUMMYFUNCTION("""COMPUTED_VALUE"""),3.0)</f>
        <v>3</v>
      </c>
      <c r="AD9" s="49">
        <f>IFERROR(__xludf.DUMMYFUNCTION("""COMPUTED_VALUE"""),3.0)</f>
        <v>3</v>
      </c>
      <c r="AE9" s="49">
        <f>IFERROR(__xludf.DUMMYFUNCTION("""COMPUTED_VALUE"""),3.0)</f>
        <v>3</v>
      </c>
      <c r="AF9" s="49">
        <f>IFERROR(__xludf.DUMMYFUNCTION("""COMPUTED_VALUE"""),3.0)</f>
        <v>3</v>
      </c>
      <c r="AG9" s="49">
        <f>IFERROR(__xludf.DUMMYFUNCTION("""COMPUTED_VALUE"""),3.0)</f>
        <v>3</v>
      </c>
      <c r="AH9" s="49">
        <f>IFERROR(__xludf.DUMMYFUNCTION("""COMPUTED_VALUE"""),3.0)</f>
        <v>3</v>
      </c>
      <c r="AI9" s="49">
        <f>IFERROR(__xludf.DUMMYFUNCTION("""COMPUTED_VALUE"""),3.0)</f>
        <v>3</v>
      </c>
      <c r="AJ9" s="49">
        <f>IFERROR(__xludf.DUMMYFUNCTION("""COMPUTED_VALUE"""),3.0)</f>
        <v>3</v>
      </c>
      <c r="AK9" s="49">
        <f>IFERROR(__xludf.DUMMYFUNCTION("""COMPUTED_VALUE"""),3.0)</f>
        <v>3</v>
      </c>
      <c r="AL9" s="49">
        <f>IFERROR(__xludf.DUMMYFUNCTION("""COMPUTED_VALUE"""),3.0)</f>
        <v>3</v>
      </c>
      <c r="AM9" s="49">
        <f>IFERROR(__xludf.DUMMYFUNCTION("""COMPUTED_VALUE"""),3.0)</f>
        <v>3</v>
      </c>
      <c r="AN9" s="49">
        <f>IFERROR(__xludf.DUMMYFUNCTION("""COMPUTED_VALUE"""),3.0)</f>
        <v>3</v>
      </c>
      <c r="AO9" s="49"/>
      <c r="AP9" s="49"/>
      <c r="AQ9" s="49">
        <f>IFERROR(__xludf.DUMMYFUNCTION("""COMPUTED_VALUE"""),3.0)</f>
        <v>3</v>
      </c>
      <c r="AR9" s="49"/>
      <c r="AS9" s="49"/>
      <c r="AT9" s="49"/>
      <c r="AU9" s="49"/>
      <c r="AV9" s="49"/>
      <c r="AW9" s="49"/>
      <c r="AX9" s="49"/>
    </row>
    <row r="10">
      <c r="A10" s="49" t="str">
        <f>IFERROR(__xludf.DUMMYFUNCTION("""COMPUTED_VALUE"""),"Cavalier")</f>
        <v>Cavalier</v>
      </c>
      <c r="B10" s="49" t="str">
        <f>IFERROR(__xludf.DUMMYFUNCTION("""COMPUTED_VALUE"""),"Blood Bound")</f>
        <v>Blood Bound</v>
      </c>
      <c r="C10" s="49" t="str">
        <f>IFERROR(__xludf.DUMMYFUNCTION("""COMPUTED_VALUE"""),"Rank 3 in all elements (Excluding Zen and Acoustic)")</f>
        <v>Rank 3 in all elements (Excluding Zen and Acoustic)</v>
      </c>
      <c r="D10" s="50"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50"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50"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50" t="str">
        <f>IFERROR(__xludf.DUMMYFUNCTION("""COMPUTED_VALUE"""),"Hatching the egg of a Demonic creature takes 1d50 time instead of 1d100")</f>
        <v>Hatching the egg of a Demonic creature takes 1d50 time instead of 1d100</v>
      </c>
      <c r="H10" s="49"/>
      <c r="I10" s="49"/>
      <c r="J10" s="49"/>
      <c r="K10" s="49"/>
      <c r="L10" s="49"/>
      <c r="M10" s="49"/>
      <c r="N10" s="49"/>
      <c r="O10" s="49"/>
      <c r="P10" s="49"/>
      <c r="Q10" s="49"/>
      <c r="R10" s="49"/>
      <c r="S10" s="49"/>
      <c r="T10" s="49"/>
      <c r="U10" s="49"/>
      <c r="V10" s="49"/>
      <c r="W10" s="49">
        <f>IFERROR(__xludf.DUMMYFUNCTION("""COMPUTED_VALUE"""),3.0)</f>
        <v>3</v>
      </c>
      <c r="X10" s="49">
        <f>IFERROR(__xludf.DUMMYFUNCTION("""COMPUTED_VALUE"""),3.0)</f>
        <v>3</v>
      </c>
      <c r="Y10" s="49">
        <f>IFERROR(__xludf.DUMMYFUNCTION("""COMPUTED_VALUE"""),3.0)</f>
        <v>3</v>
      </c>
      <c r="Z10" s="49">
        <f>IFERROR(__xludf.DUMMYFUNCTION("""COMPUTED_VALUE"""),3.0)</f>
        <v>3</v>
      </c>
      <c r="AA10" s="49">
        <f>IFERROR(__xludf.DUMMYFUNCTION("""COMPUTED_VALUE"""),3.0)</f>
        <v>3</v>
      </c>
      <c r="AB10" s="49">
        <f>IFERROR(__xludf.DUMMYFUNCTION("""COMPUTED_VALUE"""),3.0)</f>
        <v>3</v>
      </c>
      <c r="AC10" s="49">
        <f>IFERROR(__xludf.DUMMYFUNCTION("""COMPUTED_VALUE"""),3.0)</f>
        <v>3</v>
      </c>
      <c r="AD10" s="49">
        <f>IFERROR(__xludf.DUMMYFUNCTION("""COMPUTED_VALUE"""),3.0)</f>
        <v>3</v>
      </c>
      <c r="AE10" s="49">
        <f>IFERROR(__xludf.DUMMYFUNCTION("""COMPUTED_VALUE"""),3.0)</f>
        <v>3</v>
      </c>
      <c r="AF10" s="49">
        <f>IFERROR(__xludf.DUMMYFUNCTION("""COMPUTED_VALUE"""),3.0)</f>
        <v>3</v>
      </c>
      <c r="AG10" s="49">
        <f>IFERROR(__xludf.DUMMYFUNCTION("""COMPUTED_VALUE"""),3.0)</f>
        <v>3</v>
      </c>
      <c r="AH10" s="49">
        <f>IFERROR(__xludf.DUMMYFUNCTION("""COMPUTED_VALUE"""),3.0)</f>
        <v>3</v>
      </c>
      <c r="AI10" s="49">
        <f>IFERROR(__xludf.DUMMYFUNCTION("""COMPUTED_VALUE"""),3.0)</f>
        <v>3</v>
      </c>
      <c r="AJ10" s="49">
        <f>IFERROR(__xludf.DUMMYFUNCTION("""COMPUTED_VALUE"""),3.0)</f>
        <v>3</v>
      </c>
      <c r="AK10" s="49">
        <f>IFERROR(__xludf.DUMMYFUNCTION("""COMPUTED_VALUE"""),3.0)</f>
        <v>3</v>
      </c>
      <c r="AL10" s="49">
        <f>IFERROR(__xludf.DUMMYFUNCTION("""COMPUTED_VALUE"""),3.0)</f>
        <v>3</v>
      </c>
      <c r="AM10" s="49">
        <f>IFERROR(__xludf.DUMMYFUNCTION("""COMPUTED_VALUE"""),3.0)</f>
        <v>3</v>
      </c>
      <c r="AN10" s="49">
        <f>IFERROR(__xludf.DUMMYFUNCTION("""COMPUTED_VALUE"""),3.0)</f>
        <v>3</v>
      </c>
      <c r="AO10" s="49"/>
      <c r="AP10" s="49"/>
      <c r="AQ10" s="49">
        <f>IFERROR(__xludf.DUMMYFUNCTION("""COMPUTED_VALUE"""),3.0)</f>
        <v>3</v>
      </c>
      <c r="AR10" s="49"/>
      <c r="AS10" s="49"/>
      <c r="AT10" s="49"/>
      <c r="AU10" s="49"/>
      <c r="AV10" s="49"/>
      <c r="AW10" s="49"/>
      <c r="AX10" s="49"/>
    </row>
    <row r="11">
      <c r="A11" s="49" t="str">
        <f>IFERROR(__xludf.DUMMYFUNCTION("""COMPUTED_VALUE"""),"Cavalier")</f>
        <v>Cavalier</v>
      </c>
      <c r="B11" s="49" t="str">
        <f>IFERROR(__xludf.DUMMYFUNCTION("""COMPUTED_VALUE"""),"Heavenly Herald")</f>
        <v>Heavenly Herald</v>
      </c>
      <c r="C11" s="49" t="str">
        <f>IFERROR(__xludf.DUMMYFUNCTION("""COMPUTED_VALUE"""),"Rank 3 in all elements (Excluding Zen and Acoustic)")</f>
        <v>Rank 3 in all elements (Excluding Zen and Acoustic)</v>
      </c>
      <c r="D11" s="50"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50" t="str">
        <f>IFERROR(__xludf.DUMMYFUNCTION("""COMPUTED_VALUE"""),"When fighting alongside a heavenly entity companion and your companion you gain X4 Light and Order damage")</f>
        <v>When fighting alongside a heavenly entity companion and your companion you gain X4 Light and Order damage</v>
      </c>
      <c r="F11" s="50"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50" t="str">
        <f>IFERROR(__xludf.DUMMYFUNCTION("""COMPUTED_VALUE"""),"Hatching the egg of a Heavenly creature takes 1d50 time instead of 1d100")</f>
        <v>Hatching the egg of a Heavenly creature takes 1d50 time instead of 1d100</v>
      </c>
      <c r="H11" s="49"/>
      <c r="I11" s="49"/>
      <c r="J11" s="49"/>
      <c r="K11" s="49"/>
      <c r="L11" s="49"/>
      <c r="M11" s="49"/>
      <c r="N11" s="49"/>
      <c r="O11" s="49"/>
      <c r="P11" s="49"/>
      <c r="Q11" s="49"/>
      <c r="R11" s="49"/>
      <c r="S11" s="49"/>
      <c r="T11" s="49"/>
      <c r="U11" s="49"/>
      <c r="V11" s="49"/>
      <c r="W11" s="49">
        <f>IFERROR(__xludf.DUMMYFUNCTION("""COMPUTED_VALUE"""),3.0)</f>
        <v>3</v>
      </c>
      <c r="X11" s="49">
        <f>IFERROR(__xludf.DUMMYFUNCTION("""COMPUTED_VALUE"""),3.0)</f>
        <v>3</v>
      </c>
      <c r="Y11" s="49">
        <f>IFERROR(__xludf.DUMMYFUNCTION("""COMPUTED_VALUE"""),3.0)</f>
        <v>3</v>
      </c>
      <c r="Z11" s="49">
        <f>IFERROR(__xludf.DUMMYFUNCTION("""COMPUTED_VALUE"""),3.0)</f>
        <v>3</v>
      </c>
      <c r="AA11" s="49">
        <f>IFERROR(__xludf.DUMMYFUNCTION("""COMPUTED_VALUE"""),3.0)</f>
        <v>3</v>
      </c>
      <c r="AB11" s="49">
        <f>IFERROR(__xludf.DUMMYFUNCTION("""COMPUTED_VALUE"""),3.0)</f>
        <v>3</v>
      </c>
      <c r="AC11" s="49">
        <f>IFERROR(__xludf.DUMMYFUNCTION("""COMPUTED_VALUE"""),3.0)</f>
        <v>3</v>
      </c>
      <c r="AD11" s="49">
        <f>IFERROR(__xludf.DUMMYFUNCTION("""COMPUTED_VALUE"""),3.0)</f>
        <v>3</v>
      </c>
      <c r="AE11" s="49">
        <f>IFERROR(__xludf.DUMMYFUNCTION("""COMPUTED_VALUE"""),3.0)</f>
        <v>3</v>
      </c>
      <c r="AF11" s="49">
        <f>IFERROR(__xludf.DUMMYFUNCTION("""COMPUTED_VALUE"""),3.0)</f>
        <v>3</v>
      </c>
      <c r="AG11" s="49">
        <f>IFERROR(__xludf.DUMMYFUNCTION("""COMPUTED_VALUE"""),3.0)</f>
        <v>3</v>
      </c>
      <c r="AH11" s="49">
        <f>IFERROR(__xludf.DUMMYFUNCTION("""COMPUTED_VALUE"""),3.0)</f>
        <v>3</v>
      </c>
      <c r="AI11" s="49">
        <f>IFERROR(__xludf.DUMMYFUNCTION("""COMPUTED_VALUE"""),3.0)</f>
        <v>3</v>
      </c>
      <c r="AJ11" s="49">
        <f>IFERROR(__xludf.DUMMYFUNCTION("""COMPUTED_VALUE"""),3.0)</f>
        <v>3</v>
      </c>
      <c r="AK11" s="49">
        <f>IFERROR(__xludf.DUMMYFUNCTION("""COMPUTED_VALUE"""),3.0)</f>
        <v>3</v>
      </c>
      <c r="AL11" s="49">
        <f>IFERROR(__xludf.DUMMYFUNCTION("""COMPUTED_VALUE"""),3.0)</f>
        <v>3</v>
      </c>
      <c r="AM11" s="49">
        <f>IFERROR(__xludf.DUMMYFUNCTION("""COMPUTED_VALUE"""),3.0)</f>
        <v>3</v>
      </c>
      <c r="AN11" s="49">
        <f>IFERROR(__xludf.DUMMYFUNCTION("""COMPUTED_VALUE"""),3.0)</f>
        <v>3</v>
      </c>
      <c r="AO11" s="49"/>
      <c r="AP11" s="49"/>
      <c r="AQ11" s="49">
        <f>IFERROR(__xludf.DUMMYFUNCTION("""COMPUTED_VALUE"""),3.0)</f>
        <v>3</v>
      </c>
      <c r="AR11" s="49"/>
      <c r="AS11" s="49"/>
      <c r="AT11" s="49"/>
      <c r="AU11" s="49"/>
      <c r="AV11" s="49"/>
      <c r="AW11" s="49"/>
      <c r="AX11" s="49"/>
    </row>
    <row r="12">
      <c r="A12" s="49" t="str">
        <f>IFERROR(__xludf.DUMMYFUNCTION("""COMPUTED_VALUE"""),"Cultist")</f>
        <v>Cultist</v>
      </c>
      <c r="B12" s="49" t="str">
        <f>IFERROR(__xludf.DUMMYFUNCTION("""COMPUTED_VALUE"""),"Disciple of Darkness")</f>
        <v>Disciple of Darkness</v>
      </c>
      <c r="C12" s="49" t="str">
        <f>IFERROR(__xludf.DUMMYFUNCTION("""COMPUTED_VALUE"""),"Rank 9 Chaos, Dark, Voodoo, Blood")</f>
        <v>Rank 9 Chaos, Dark, Voodoo, Blood</v>
      </c>
      <c r="D12" s="50" t="str">
        <f>IFERROR(__xludf.DUMMYFUNCTION("""COMPUTED_VALUE"""),"Immune to instant death.")</f>
        <v>Immune to instant death.</v>
      </c>
      <c r="E12" s="50" t="str">
        <f>IFERROR(__xludf.DUMMYFUNCTION("""COMPUTED_VALUE"""),"25% Chance all enemies instantly die at the begining of battle.")</f>
        <v>25% Chance all enemies instantly die at the begining of battle.</v>
      </c>
      <c r="F12" s="50"/>
      <c r="G12" s="50"/>
      <c r="H12" s="49"/>
      <c r="I12" s="49"/>
      <c r="J12" s="49"/>
      <c r="K12" s="49"/>
      <c r="L12" s="49"/>
      <c r="M12" s="49"/>
      <c r="N12" s="49"/>
      <c r="O12" s="49"/>
      <c r="P12" s="49"/>
      <c r="Q12" s="49"/>
      <c r="R12" s="49"/>
      <c r="S12" s="49"/>
      <c r="T12" s="49"/>
      <c r="U12" s="49"/>
      <c r="V12" s="49">
        <f>IFERROR(__xludf.DUMMYFUNCTION("""COMPUTED_VALUE"""),0.0)</f>
        <v>0</v>
      </c>
      <c r="W12" s="49"/>
      <c r="X12" s="49"/>
      <c r="Y12" s="49"/>
      <c r="Z12" s="49"/>
      <c r="AA12" s="49"/>
      <c r="AB12" s="49">
        <f>IFERROR(__xludf.DUMMYFUNCTION("""COMPUTED_VALUE"""),9.0)</f>
        <v>9</v>
      </c>
      <c r="AC12" s="49"/>
      <c r="AD12" s="49"/>
      <c r="AE12" s="49">
        <f>IFERROR(__xludf.DUMMYFUNCTION("""COMPUTED_VALUE"""),9.0)</f>
        <v>9</v>
      </c>
      <c r="AF12" s="49"/>
      <c r="AG12" s="49"/>
      <c r="AH12" s="49"/>
      <c r="AI12" s="49"/>
      <c r="AJ12" s="49"/>
      <c r="AK12" s="49"/>
      <c r="AL12" s="49">
        <f>IFERROR(__xludf.DUMMYFUNCTION("""COMPUTED_VALUE"""),9.0)</f>
        <v>9</v>
      </c>
      <c r="AM12" s="49">
        <f>IFERROR(__xludf.DUMMYFUNCTION("""COMPUTED_VALUE"""),9.0)</f>
        <v>9</v>
      </c>
      <c r="AN12" s="49"/>
      <c r="AO12" s="49"/>
      <c r="AP12" s="49"/>
      <c r="AQ12" s="49"/>
      <c r="AR12" s="49"/>
      <c r="AS12" s="49"/>
      <c r="AT12" s="49"/>
      <c r="AU12" s="49"/>
      <c r="AV12" s="49"/>
      <c r="AW12" s="49"/>
      <c r="AX12" s="49"/>
    </row>
    <row r="13">
      <c r="A13" s="49" t="str">
        <f>IFERROR(__xludf.DUMMYFUNCTION("""COMPUTED_VALUE"""),"Cultist")</f>
        <v>Cultist</v>
      </c>
      <c r="B13" s="49" t="str">
        <f>IFERROR(__xludf.DUMMYFUNCTION("""COMPUTED_VALUE"""),"Elemental Cultist")</f>
        <v>Elemental Cultist</v>
      </c>
      <c r="C13" s="49" t="str">
        <f>IFERROR(__xludf.DUMMYFUNCTION("""COMPUTED_VALUE"""),"Rank 9 Chaos, Dark, Fire, Water, Earth.")</f>
        <v>Rank 9 Chaos, Dark, Fire, Water, Earth.</v>
      </c>
      <c r="D13" s="50" t="str">
        <f>IFERROR(__xludf.DUMMYFUNCTION("""COMPUTED_VALUE"""),"Immune to instant death.")</f>
        <v>Immune to instant death.</v>
      </c>
      <c r="E13" s="50" t="str">
        <f>IFERROR(__xludf.DUMMYFUNCTION("""COMPUTED_VALUE"""),"X2 Spell damage for self.")</f>
        <v>X2 Spell damage for self.</v>
      </c>
      <c r="F13" s="50"/>
      <c r="G13" s="50"/>
      <c r="H13" s="49"/>
      <c r="I13" s="49"/>
      <c r="J13" s="49"/>
      <c r="K13" s="49"/>
      <c r="L13" s="49"/>
      <c r="M13" s="49"/>
      <c r="N13" s="49"/>
      <c r="O13" s="49"/>
      <c r="P13" s="49"/>
      <c r="Q13" s="49"/>
      <c r="R13" s="49"/>
      <c r="S13" s="49"/>
      <c r="T13" s="49"/>
      <c r="U13" s="49"/>
      <c r="V13" s="49">
        <f>IFERROR(__xludf.DUMMYFUNCTION("""COMPUTED_VALUE"""),0.0)</f>
        <v>0</v>
      </c>
      <c r="W13" s="49">
        <f>IFERROR(__xludf.DUMMYFUNCTION("""COMPUTED_VALUE"""),9.0)</f>
        <v>9</v>
      </c>
      <c r="X13" s="49">
        <f>IFERROR(__xludf.DUMMYFUNCTION("""COMPUTED_VALUE"""),9.0)</f>
        <v>9</v>
      </c>
      <c r="Y13" s="49"/>
      <c r="Z13" s="49">
        <f>IFERROR(__xludf.DUMMYFUNCTION("""COMPUTED_VALUE"""),9.0)</f>
        <v>9</v>
      </c>
      <c r="AA13" s="49"/>
      <c r="AB13" s="49">
        <f>IFERROR(__xludf.DUMMYFUNCTION("""COMPUTED_VALUE"""),9.0)</f>
        <v>9</v>
      </c>
      <c r="AC13" s="49"/>
      <c r="AD13" s="49"/>
      <c r="AE13" s="49">
        <f>IFERROR(__xludf.DUMMYFUNCTION("""COMPUTED_VALUE"""),9.0)</f>
        <v>9</v>
      </c>
      <c r="AF13" s="49"/>
      <c r="AG13" s="49"/>
      <c r="AH13" s="49"/>
      <c r="AI13" s="49"/>
      <c r="AJ13" s="49"/>
      <c r="AK13" s="49"/>
      <c r="AL13" s="49"/>
      <c r="AM13" s="49"/>
      <c r="AN13" s="49"/>
      <c r="AO13" s="49"/>
      <c r="AP13" s="49"/>
      <c r="AQ13" s="49"/>
      <c r="AR13" s="49"/>
      <c r="AS13" s="49"/>
      <c r="AT13" s="49"/>
      <c r="AU13" s="49"/>
      <c r="AV13" s="49"/>
      <c r="AW13" s="49"/>
      <c r="AX13" s="49"/>
    </row>
    <row r="14">
      <c r="A14" s="49" t="str">
        <f>IFERROR(__xludf.DUMMYFUNCTION("""COMPUTED_VALUE"""),"Cultist")</f>
        <v>Cultist</v>
      </c>
      <c r="B14" s="49" t="str">
        <f>IFERROR(__xludf.DUMMYFUNCTION("""COMPUTED_VALUE"""),"Necromancer")</f>
        <v>Necromancer</v>
      </c>
      <c r="C14" s="49" t="str">
        <f>IFERROR(__xludf.DUMMYFUNCTION("""COMPUTED_VALUE"""),"Rank 9 Chaos, Dark, Voodoo, Blood")</f>
        <v>Rank 9 Chaos, Dark, Voodoo, Blood</v>
      </c>
      <c r="D14" s="50"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50"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50" t="str">
        <f>IFERROR(__xludf.DUMMYFUNCTION("""COMPUTED_VALUE"""),"Immune to  Instant Death")</f>
        <v>Immune to  Instant Death</v>
      </c>
      <c r="G14" s="50" t="str">
        <f>IFERROR(__xludf.DUMMYFUNCTION("""COMPUTED_VALUE"""),"50% chance to come back to life after death once per battle, This ability is unaffected by percentage bonuses.")</f>
        <v>50% chance to come back to life after death once per battle, This ability is unaffected by percentage bonuses.</v>
      </c>
      <c r="H14" s="49"/>
      <c r="I14" s="49"/>
      <c r="J14" s="49"/>
      <c r="K14" s="49"/>
      <c r="L14" s="49"/>
      <c r="M14" s="49"/>
      <c r="N14" s="49"/>
      <c r="O14" s="49"/>
      <c r="P14" s="49"/>
      <c r="Q14" s="49"/>
      <c r="R14" s="49"/>
      <c r="S14" s="49"/>
      <c r="T14" s="49"/>
      <c r="U14" s="49"/>
      <c r="V14" s="49">
        <f>IFERROR(__xludf.DUMMYFUNCTION("""COMPUTED_VALUE"""),0.0)</f>
        <v>0</v>
      </c>
      <c r="W14" s="49"/>
      <c r="X14" s="49"/>
      <c r="Y14" s="49"/>
      <c r="Z14" s="49"/>
      <c r="AA14" s="49"/>
      <c r="AB14" s="49">
        <f>IFERROR(__xludf.DUMMYFUNCTION("""COMPUTED_VALUE"""),9.0)</f>
        <v>9</v>
      </c>
      <c r="AC14" s="49"/>
      <c r="AD14" s="49"/>
      <c r="AE14" s="49">
        <f>IFERROR(__xludf.DUMMYFUNCTION("""COMPUTED_VALUE"""),9.0)</f>
        <v>9</v>
      </c>
      <c r="AF14" s="49"/>
      <c r="AG14" s="49"/>
      <c r="AH14" s="49"/>
      <c r="AI14" s="49"/>
      <c r="AJ14" s="49"/>
      <c r="AK14" s="49"/>
      <c r="AL14" s="49">
        <f>IFERROR(__xludf.DUMMYFUNCTION("""COMPUTED_VALUE"""),9.0)</f>
        <v>9</v>
      </c>
      <c r="AM14" s="49">
        <f>IFERROR(__xludf.DUMMYFUNCTION("""COMPUTED_VALUE"""),9.0)</f>
        <v>9</v>
      </c>
      <c r="AN14" s="49"/>
      <c r="AO14" s="49"/>
      <c r="AP14" s="49"/>
      <c r="AQ14" s="49"/>
      <c r="AR14" s="49"/>
      <c r="AS14" s="49"/>
      <c r="AT14" s="49"/>
      <c r="AU14" s="49"/>
      <c r="AV14" s="49"/>
      <c r="AW14" s="49"/>
      <c r="AX14" s="49"/>
    </row>
    <row r="15">
      <c r="A15" s="49" t="str">
        <f>IFERROR(__xludf.DUMMYFUNCTION("""COMPUTED_VALUE"""),"Druid")</f>
        <v>Druid</v>
      </c>
      <c r="B15" s="49" t="str">
        <f>IFERROR(__xludf.DUMMYFUNCTION("""COMPUTED_VALUE"""),"High Druid")</f>
        <v>High Druid</v>
      </c>
      <c r="C15" s="49" t="str">
        <f>IFERROR(__xludf.DUMMYFUNCTION("""COMPUTED_VALUE"""),"Rank 9 Ranged, Water, Light, Order, Earth")</f>
        <v>Rank 9 Ranged, Water, Light, Order, Earth</v>
      </c>
      <c r="D15" s="50" t="str">
        <f>IFERROR(__xludf.DUMMYFUNCTION("""COMPUTED_VALUE"""),"Your companions/pets get 1 additional action on their turn during battle..")</f>
        <v>Your companions/pets get 1 additional action on their turn during battle..</v>
      </c>
      <c r="E15" s="50" t="str">
        <f>IFERROR(__xludf.DUMMYFUNCTION("""COMPUTED_VALUE"""),"+5 Can be added to your Charisma rolls while taming..")</f>
        <v>+5 Can be added to your Charisma rolls while taming..</v>
      </c>
      <c r="F15" s="50" t="str">
        <f>IFERROR(__xludf.DUMMYFUNCTION("""COMPUTED_VALUE"""),"If a companion/pet under your control would die, it does not die once per battle.")</f>
        <v>If a companion/pet under your control would die, it does not die once per battle.</v>
      </c>
      <c r="G15" s="50" t="str">
        <f>IFERROR(__xludf.DUMMYFUNCTION("""COMPUTED_VALUE"""),"The Shrine town service will cost nothing for you.")</f>
        <v>The Shrine town service will cost nothing for you.</v>
      </c>
      <c r="H15" s="49"/>
      <c r="I15" s="49"/>
      <c r="J15" s="49"/>
      <c r="K15" s="49"/>
      <c r="L15" s="49"/>
      <c r="M15" s="49"/>
      <c r="N15" s="49"/>
      <c r="O15" s="49"/>
      <c r="P15" s="49"/>
      <c r="Q15" s="49"/>
      <c r="R15" s="49"/>
      <c r="S15" s="49"/>
      <c r="T15" s="49"/>
      <c r="U15" s="49"/>
      <c r="V15" s="49">
        <f>IFERROR(__xludf.DUMMYFUNCTION("""COMPUTED_VALUE"""),0.0)</f>
        <v>0</v>
      </c>
      <c r="W15" s="49"/>
      <c r="X15" s="49">
        <f>IFERROR(__xludf.DUMMYFUNCTION("""COMPUTED_VALUE"""),9.0)</f>
        <v>9</v>
      </c>
      <c r="Y15" s="49"/>
      <c r="Z15" s="49">
        <f>IFERROR(__xludf.DUMMYFUNCTION("""COMPUTED_VALUE"""),9.0)</f>
        <v>9</v>
      </c>
      <c r="AA15" s="49">
        <f>IFERROR(__xludf.DUMMYFUNCTION("""COMPUTED_VALUE"""),9.0)</f>
        <v>9</v>
      </c>
      <c r="AB15" s="49"/>
      <c r="AC15" s="49"/>
      <c r="AD15" s="49">
        <f>IFERROR(__xludf.DUMMYFUNCTION("""COMPUTED_VALUE"""),9.0)</f>
        <v>9</v>
      </c>
      <c r="AE15" s="49"/>
      <c r="AF15" s="49"/>
      <c r="AG15" s="49"/>
      <c r="AH15" s="49"/>
      <c r="AI15" s="49">
        <f>IFERROR(__xludf.DUMMYFUNCTION("""COMPUTED_VALUE"""),9.0)</f>
        <v>9</v>
      </c>
      <c r="AJ15" s="49"/>
      <c r="AK15" s="49"/>
      <c r="AL15" s="49"/>
      <c r="AM15" s="49"/>
      <c r="AN15" s="49"/>
      <c r="AO15" s="49"/>
      <c r="AP15" s="49"/>
      <c r="AQ15" s="49"/>
      <c r="AR15" s="49"/>
      <c r="AS15" s="49"/>
      <c r="AT15" s="49"/>
      <c r="AU15" s="49"/>
      <c r="AV15" s="49"/>
      <c r="AW15" s="49"/>
      <c r="AX15" s="49"/>
    </row>
    <row r="16">
      <c r="A16" s="49" t="str">
        <f>IFERROR(__xludf.DUMMYFUNCTION("""COMPUTED_VALUE"""),"Gunslinger")</f>
        <v>Gunslinger</v>
      </c>
      <c r="B16" s="49" t="str">
        <f>IFERROR(__xludf.DUMMYFUNCTION("""COMPUTED_VALUE"""),"Dead Eye")</f>
        <v>Dead Eye</v>
      </c>
      <c r="C16" s="49" t="str">
        <f>IFERROR(__xludf.DUMMYFUNCTION("""COMPUTED_VALUE"""),"Rank 9 Ranged, Physical, Melee")</f>
        <v>Rank 9 Ranged, Physical, Melee</v>
      </c>
      <c r="D16" s="50" t="str">
        <f>IFERROR(__xludf.DUMMYFUNCTION("""COMPUTED_VALUE"""),"X6 damage with Firearms.")</f>
        <v>X6 damage with Firearms.</v>
      </c>
      <c r="E16" s="50" t="str">
        <f>IFERROR(__xludf.DUMMYFUNCTION("""COMPUTED_VALUE"""),"Firearms ignore defense for the user.")</f>
        <v>Firearms ignore defense for the user.</v>
      </c>
      <c r="F16" s="50" t="str">
        <f>IFERROR(__xludf.DUMMYFUNCTION("""COMPUTED_VALUE"""),"+5 Mobility")</f>
        <v>+5 Mobility</v>
      </c>
      <c r="G16" s="50" t="str">
        <f>IFERROR(__xludf.DUMMYFUNCTION("""COMPUTED_VALUE"""),"Can use mobility when attacking with a Firearm")</f>
        <v>Can use mobility when attacking with a Firearm</v>
      </c>
      <c r="H16" s="49"/>
      <c r="I16" s="49"/>
      <c r="J16" s="49"/>
      <c r="K16" s="49"/>
      <c r="L16" s="49"/>
      <c r="M16" s="49"/>
      <c r="N16" s="49"/>
      <c r="O16" s="49"/>
      <c r="P16" s="49">
        <f>IFERROR(__xludf.DUMMYFUNCTION("""COMPUTED_VALUE"""),5.0)</f>
        <v>5</v>
      </c>
      <c r="Q16" s="49"/>
      <c r="R16" s="49"/>
      <c r="S16" s="49"/>
      <c r="T16" s="49"/>
      <c r="U16" s="49"/>
      <c r="V16" s="49"/>
      <c r="W16" s="49"/>
      <c r="X16" s="49"/>
      <c r="Y16" s="49"/>
      <c r="Z16" s="49"/>
      <c r="AA16" s="49"/>
      <c r="AB16" s="49"/>
      <c r="AC16" s="49"/>
      <c r="AD16" s="49"/>
      <c r="AE16" s="49"/>
      <c r="AF16" s="49"/>
      <c r="AG16" s="49">
        <f>IFERROR(__xludf.DUMMYFUNCTION("""COMPUTED_VALUE"""),9.0)</f>
        <v>9</v>
      </c>
      <c r="AH16" s="49">
        <f>IFERROR(__xludf.DUMMYFUNCTION("""COMPUTED_VALUE"""),9.0)</f>
        <v>9</v>
      </c>
      <c r="AI16" s="49">
        <f>IFERROR(__xludf.DUMMYFUNCTION("""COMPUTED_VALUE"""),9.0)</f>
        <v>9</v>
      </c>
      <c r="AJ16" s="49"/>
      <c r="AK16" s="49"/>
      <c r="AL16" s="49"/>
      <c r="AM16" s="49"/>
      <c r="AN16" s="49"/>
      <c r="AO16" s="49"/>
      <c r="AP16" s="49"/>
      <c r="AQ16" s="49"/>
      <c r="AR16" s="49"/>
      <c r="AS16" s="49"/>
      <c r="AT16" s="49"/>
      <c r="AU16" s="49"/>
      <c r="AV16" s="49"/>
      <c r="AW16" s="49"/>
      <c r="AX16" s="49"/>
    </row>
    <row r="17">
      <c r="A17" s="49" t="str">
        <f>IFERROR(__xludf.DUMMYFUNCTION("""COMPUTED_VALUE"""),"Hunter")</f>
        <v>Hunter</v>
      </c>
      <c r="B17" s="49" t="str">
        <f>IFERROR(__xludf.DUMMYFUNCTION("""COMPUTED_VALUE"""),"Hunting Specialist")</f>
        <v>Hunting Specialist</v>
      </c>
      <c r="C17" s="49" t="str">
        <f>IFERROR(__xludf.DUMMYFUNCTION("""COMPUTED_VALUE"""),"Rank 9 Nature, Physical, Ranged, Melee")</f>
        <v>Rank 9 Nature, Physical, Ranged, Melee</v>
      </c>
      <c r="D17" s="50" t="str">
        <f>IFERROR(__xludf.DUMMYFUNCTION("""COMPUTED_VALUE"""),"Gets an extra loot roll each battle.")</f>
        <v>Gets an extra loot roll each battle.</v>
      </c>
      <c r="E17" s="50" t="str">
        <f>IFERROR(__xludf.DUMMYFUNCTION("""COMPUTED_VALUE"""),"Starts with the Head-Chef Proficiency")</f>
        <v>Starts with the Head-Chef Proficiency</v>
      </c>
      <c r="F17" s="50" t="str">
        <f>IFERROR(__xludf.DUMMYFUNCTION("""COMPUTED_VALUE"""),"+10 Wisdom ")</f>
        <v>+10 Wisdom </v>
      </c>
      <c r="G17" s="50" t="str">
        <f>IFERROR(__xludf.DUMMYFUNCTION("""COMPUTED_VALUE"""),"20% Chance to disable traps during days of travel or in a dungeon.")</f>
        <v>20% Chance to disable traps during days of travel or in a dungeon.</v>
      </c>
      <c r="H17" s="49"/>
      <c r="I17" s="49"/>
      <c r="J17" s="49"/>
      <c r="K17" s="49"/>
      <c r="L17" s="49">
        <f>IFERROR(__xludf.DUMMYFUNCTION("""COMPUTED_VALUE"""),10.0)</f>
        <v>10</v>
      </c>
      <c r="M17" s="49"/>
      <c r="N17" s="49"/>
      <c r="O17" s="49"/>
      <c r="P17" s="49"/>
      <c r="Q17" s="49"/>
      <c r="R17" s="49"/>
      <c r="S17" s="49"/>
      <c r="T17" s="49"/>
      <c r="U17" s="49"/>
      <c r="V17" s="49">
        <f>IFERROR(__xludf.DUMMYFUNCTION("""COMPUTED_VALUE"""),0.0)</f>
        <v>0</v>
      </c>
      <c r="W17" s="49"/>
      <c r="X17" s="49"/>
      <c r="Y17" s="49"/>
      <c r="Z17" s="49"/>
      <c r="AA17" s="49"/>
      <c r="AB17" s="49"/>
      <c r="AC17" s="49"/>
      <c r="AD17" s="49"/>
      <c r="AE17" s="49"/>
      <c r="AF17" s="49">
        <f>IFERROR(__xludf.DUMMYFUNCTION("""COMPUTED_VALUE"""),9.0)</f>
        <v>9</v>
      </c>
      <c r="AG17" s="49">
        <f>IFERROR(__xludf.DUMMYFUNCTION("""COMPUTED_VALUE"""),9.0)</f>
        <v>9</v>
      </c>
      <c r="AH17" s="49">
        <f>IFERROR(__xludf.DUMMYFUNCTION("""COMPUTED_VALUE"""),9.0)</f>
        <v>9</v>
      </c>
      <c r="AI17" s="49">
        <f>IFERROR(__xludf.DUMMYFUNCTION("""COMPUTED_VALUE"""),9.0)</f>
        <v>9</v>
      </c>
      <c r="AJ17" s="49"/>
      <c r="AK17" s="49"/>
      <c r="AL17" s="49"/>
      <c r="AM17" s="49"/>
      <c r="AN17" s="49"/>
      <c r="AO17" s="49"/>
      <c r="AP17" s="49"/>
      <c r="AQ17" s="49"/>
      <c r="AR17" s="49"/>
      <c r="AS17" s="49"/>
      <c r="AT17" s="49"/>
      <c r="AU17" s="49"/>
      <c r="AV17" s="49"/>
      <c r="AW17" s="49"/>
      <c r="AX17" s="49"/>
    </row>
    <row r="18">
      <c r="A18" s="49" t="str">
        <f>IFERROR(__xludf.DUMMYFUNCTION("""COMPUTED_VALUE"""),"Jack of all Trades")</f>
        <v>Jack of all Trades</v>
      </c>
      <c r="B18" s="49" t="str">
        <f>IFERROR(__xludf.DUMMYFUNCTION("""COMPUTED_VALUE"""),"Master of all Trades")</f>
        <v>Master of all Trades</v>
      </c>
      <c r="C18" s="49" t="str">
        <f>IFERROR(__xludf.DUMMYFUNCTION("""COMPUTED_VALUE"""),"Rank 9 in all elements. (Excluding Acoustic)")</f>
        <v>Rank 9 in all elements. (Excluding Acoustic)</v>
      </c>
      <c r="D18" s="50"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50"/>
      <c r="F18" s="50"/>
      <c r="G18" s="50"/>
      <c r="H18" s="49"/>
      <c r="I18" s="49"/>
      <c r="J18" s="49"/>
      <c r="K18" s="49"/>
      <c r="L18" s="49"/>
      <c r="M18" s="49"/>
      <c r="N18" s="49"/>
      <c r="O18" s="49"/>
      <c r="P18" s="49"/>
      <c r="Q18" s="49"/>
      <c r="R18" s="49"/>
      <c r="S18" s="49"/>
      <c r="T18" s="49"/>
      <c r="U18" s="49"/>
      <c r="V18" s="49"/>
      <c r="W18" s="49">
        <f>IFERROR(__xludf.DUMMYFUNCTION("""COMPUTED_VALUE"""),9.0)</f>
        <v>9</v>
      </c>
      <c r="X18" s="49">
        <f>IFERROR(__xludf.DUMMYFUNCTION("""COMPUTED_VALUE"""),9.0)</f>
        <v>9</v>
      </c>
      <c r="Y18" s="49">
        <f>IFERROR(__xludf.DUMMYFUNCTION("""COMPUTED_VALUE"""),9.0)</f>
        <v>9</v>
      </c>
      <c r="Z18" s="49">
        <f>IFERROR(__xludf.DUMMYFUNCTION("""COMPUTED_VALUE"""),9.0)</f>
        <v>9</v>
      </c>
      <c r="AA18" s="49">
        <f>IFERROR(__xludf.DUMMYFUNCTION("""COMPUTED_VALUE"""),9.0)</f>
        <v>9</v>
      </c>
      <c r="AB18" s="49">
        <f>IFERROR(__xludf.DUMMYFUNCTION("""COMPUTED_VALUE"""),9.0)</f>
        <v>9</v>
      </c>
      <c r="AC18" s="49">
        <f>IFERROR(__xludf.DUMMYFUNCTION("""COMPUTED_VALUE"""),9.0)</f>
        <v>9</v>
      </c>
      <c r="AD18" s="49">
        <f>IFERROR(__xludf.DUMMYFUNCTION("""COMPUTED_VALUE"""),9.0)</f>
        <v>9</v>
      </c>
      <c r="AE18" s="49">
        <f>IFERROR(__xludf.DUMMYFUNCTION("""COMPUTED_VALUE"""),9.0)</f>
        <v>9</v>
      </c>
      <c r="AF18" s="49">
        <f>IFERROR(__xludf.DUMMYFUNCTION("""COMPUTED_VALUE"""),9.0)</f>
        <v>9</v>
      </c>
      <c r="AG18" s="49">
        <f>IFERROR(__xludf.DUMMYFUNCTION("""COMPUTED_VALUE"""),9.0)</f>
        <v>9</v>
      </c>
      <c r="AH18" s="49">
        <f>IFERROR(__xludf.DUMMYFUNCTION("""COMPUTED_VALUE"""),9.0)</f>
        <v>9</v>
      </c>
      <c r="AI18" s="49">
        <f>IFERROR(__xludf.DUMMYFUNCTION("""COMPUTED_VALUE"""),9.0)</f>
        <v>9</v>
      </c>
      <c r="AJ18" s="49">
        <f>IFERROR(__xludf.DUMMYFUNCTION("""COMPUTED_VALUE"""),9.0)</f>
        <v>9</v>
      </c>
      <c r="AK18" s="49">
        <f>IFERROR(__xludf.DUMMYFUNCTION("""COMPUTED_VALUE"""),9.0)</f>
        <v>9</v>
      </c>
      <c r="AL18" s="49">
        <f>IFERROR(__xludf.DUMMYFUNCTION("""COMPUTED_VALUE"""),9.0)</f>
        <v>9</v>
      </c>
      <c r="AM18" s="49">
        <f>IFERROR(__xludf.DUMMYFUNCTION("""COMPUTED_VALUE"""),9.0)</f>
        <v>9</v>
      </c>
      <c r="AN18" s="49">
        <f>IFERROR(__xludf.DUMMYFUNCTION("""COMPUTED_VALUE"""),9.0)</f>
        <v>9</v>
      </c>
      <c r="AO18" s="49"/>
      <c r="AP18" s="49"/>
      <c r="AQ18" s="49">
        <f>IFERROR(__xludf.DUMMYFUNCTION("""COMPUTED_VALUE"""),9.0)</f>
        <v>9</v>
      </c>
      <c r="AR18" s="49"/>
      <c r="AS18" s="49"/>
      <c r="AT18" s="49"/>
      <c r="AU18" s="49"/>
      <c r="AV18" s="49"/>
      <c r="AW18" s="49"/>
      <c r="AX18" s="49"/>
    </row>
    <row r="19">
      <c r="A19" s="49" t="str">
        <f>IFERROR(__xludf.DUMMYFUNCTION("""COMPUTED_VALUE"""),"Knight")</f>
        <v>Knight</v>
      </c>
      <c r="B19" s="49" t="str">
        <f>IFERROR(__xludf.DUMMYFUNCTION("""COMPUTED_VALUE"""),"Elemental Knight")</f>
        <v>Elemental Knight</v>
      </c>
      <c r="C19" s="49" t="str">
        <f>IFERROR(__xludf.DUMMYFUNCTION("""COMPUTED_VALUE"""),"Rank 9 Fire, Water, Storm, Earth, Nature, Order, Light")</f>
        <v>Rank 9 Fire, Water, Storm, Earth, Nature, Order, Light</v>
      </c>
      <c r="D19" s="50" t="str">
        <f>IFERROR(__xludf.DUMMYFUNCTION("""COMPUTED_VALUE"""),"Double the elemental damage of your weapons.")</f>
        <v>Double the elemental damage of your weapons.</v>
      </c>
      <c r="E19" s="50" t="str">
        <f>IFERROR(__xludf.DUMMYFUNCTION("""COMPUTED_VALUE"""),"X4 to Spell damage for self and allies at all times (rp/combat)")</f>
        <v>X4 to Spell damage for self and allies at all times (rp/combat)</v>
      </c>
      <c r="F19" s="50"/>
      <c r="G19" s="50"/>
      <c r="H19" s="49"/>
      <c r="I19" s="49"/>
      <c r="J19" s="49"/>
      <c r="K19" s="49"/>
      <c r="L19" s="49"/>
      <c r="M19" s="49"/>
      <c r="N19" s="49"/>
      <c r="O19" s="49"/>
      <c r="P19" s="49"/>
      <c r="Q19" s="49"/>
      <c r="R19" s="49"/>
      <c r="S19" s="49"/>
      <c r="T19" s="49"/>
      <c r="U19" s="49"/>
      <c r="V19" s="49">
        <f>IFERROR(__xludf.DUMMYFUNCTION("""COMPUTED_VALUE"""),0.0)</f>
        <v>0</v>
      </c>
      <c r="W19" s="49">
        <f>IFERROR(__xludf.DUMMYFUNCTION("""COMPUTED_VALUE"""),9.0)</f>
        <v>9</v>
      </c>
      <c r="X19" s="49">
        <f>IFERROR(__xludf.DUMMYFUNCTION("""COMPUTED_VALUE"""),9.0)</f>
        <v>9</v>
      </c>
      <c r="Y19" s="49">
        <f>IFERROR(__xludf.DUMMYFUNCTION("""COMPUTED_VALUE"""),9.0)</f>
        <v>9</v>
      </c>
      <c r="Z19" s="49">
        <f>IFERROR(__xludf.DUMMYFUNCTION("""COMPUTED_VALUE"""),9.0)</f>
        <v>9</v>
      </c>
      <c r="AA19" s="49">
        <f>IFERROR(__xludf.DUMMYFUNCTION("""COMPUTED_VALUE"""),9.0)</f>
        <v>9</v>
      </c>
      <c r="AB19" s="49"/>
      <c r="AC19" s="49"/>
      <c r="AD19" s="49">
        <f>IFERROR(__xludf.DUMMYFUNCTION("""COMPUTED_VALUE"""),9.0)</f>
        <v>9</v>
      </c>
      <c r="AE19" s="49"/>
      <c r="AF19" s="49">
        <f>IFERROR(__xludf.DUMMYFUNCTION("""COMPUTED_VALUE"""),9.0)</f>
        <v>9</v>
      </c>
      <c r="AG19" s="49"/>
      <c r="AH19" s="49"/>
      <c r="AI19" s="49"/>
      <c r="AJ19" s="49"/>
      <c r="AK19" s="49"/>
      <c r="AL19" s="49"/>
      <c r="AM19" s="49"/>
      <c r="AN19" s="49"/>
      <c r="AO19" s="49"/>
      <c r="AP19" s="49"/>
      <c r="AQ19" s="49"/>
      <c r="AR19" s="49"/>
      <c r="AS19" s="49"/>
      <c r="AT19" s="49"/>
      <c r="AU19" s="49"/>
      <c r="AV19" s="49"/>
      <c r="AW19" s="49"/>
      <c r="AX19" s="49"/>
    </row>
    <row r="20">
      <c r="A20" s="49" t="str">
        <f>IFERROR(__xludf.DUMMYFUNCTION("""COMPUTED_VALUE"""),"Knight")</f>
        <v>Knight</v>
      </c>
      <c r="B20" s="49" t="str">
        <f>IFERROR(__xludf.DUMMYFUNCTION("""COMPUTED_VALUE"""),"Defensive Knight")</f>
        <v>Defensive Knight</v>
      </c>
      <c r="C20" s="49" t="str">
        <f>IFERROR(__xludf.DUMMYFUNCTION("""COMPUTED_VALUE"""),"Rank 9 Melee, Physical, Ranged, Order, Light")</f>
        <v>Rank 9 Melee, Physical, Ranged, Order, Light</v>
      </c>
      <c r="D20" s="50" t="str">
        <f>IFERROR(__xludf.DUMMYFUNCTION("""COMPUTED_VALUE"""),"Self-Fortify: Double the base defense of your equipped armor.")</f>
        <v>Self-Fortify: Double the base defense of your equipped armor.</v>
      </c>
      <c r="E20" s="50" t="str">
        <f>IFERROR(__xludf.DUMMYFUNCTION("""COMPUTED_VALUE"""),"X4 Defense for self and allies at all times (rp/combat)")</f>
        <v>X4 Defense for self and allies at all times (rp/combat)</v>
      </c>
      <c r="F20" s="50"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50"/>
      <c r="H20" s="49"/>
      <c r="I20" s="49"/>
      <c r="J20" s="49"/>
      <c r="K20" s="49"/>
      <c r="L20" s="49"/>
      <c r="M20" s="49"/>
      <c r="N20" s="49"/>
      <c r="O20" s="49"/>
      <c r="P20" s="49"/>
      <c r="Q20" s="49"/>
      <c r="R20" s="49"/>
      <c r="S20" s="49"/>
      <c r="T20" s="49"/>
      <c r="U20" s="49"/>
      <c r="V20" s="49">
        <f>IFERROR(__xludf.DUMMYFUNCTION("""COMPUTED_VALUE"""),0.0)</f>
        <v>0</v>
      </c>
      <c r="W20" s="49"/>
      <c r="X20" s="49"/>
      <c r="Y20" s="49"/>
      <c r="Z20" s="49"/>
      <c r="AA20" s="49">
        <f>IFERROR(__xludf.DUMMYFUNCTION("""COMPUTED_VALUE"""),9.0)</f>
        <v>9</v>
      </c>
      <c r="AB20" s="49"/>
      <c r="AC20" s="49"/>
      <c r="AD20" s="49">
        <f>IFERROR(__xludf.DUMMYFUNCTION("""COMPUTED_VALUE"""),9.0)</f>
        <v>9</v>
      </c>
      <c r="AE20" s="49"/>
      <c r="AF20" s="49"/>
      <c r="AG20" s="49">
        <f>IFERROR(__xludf.DUMMYFUNCTION("""COMPUTED_VALUE"""),9.0)</f>
        <v>9</v>
      </c>
      <c r="AH20" s="49">
        <f>IFERROR(__xludf.DUMMYFUNCTION("""COMPUTED_VALUE"""),9.0)</f>
        <v>9</v>
      </c>
      <c r="AI20" s="49">
        <f>IFERROR(__xludf.DUMMYFUNCTION("""COMPUTED_VALUE"""),9.0)</f>
        <v>9</v>
      </c>
      <c r="AJ20" s="49"/>
      <c r="AK20" s="49"/>
      <c r="AL20" s="49"/>
      <c r="AM20" s="49"/>
      <c r="AN20" s="49"/>
      <c r="AO20" s="49"/>
      <c r="AP20" s="49"/>
      <c r="AQ20" s="49"/>
      <c r="AR20" s="49"/>
      <c r="AS20" s="49"/>
      <c r="AT20" s="49"/>
      <c r="AU20" s="49"/>
      <c r="AV20" s="49"/>
      <c r="AW20" s="49"/>
      <c r="AX20" s="49"/>
    </row>
    <row r="21">
      <c r="A21" s="49" t="str">
        <f>IFERROR(__xludf.DUMMYFUNCTION("""COMPUTED_VALUE"""),"Knight")</f>
        <v>Knight</v>
      </c>
      <c r="B21" s="49" t="str">
        <f>IFERROR(__xludf.DUMMYFUNCTION("""COMPUTED_VALUE"""),"Offensive Knight")</f>
        <v>Offensive Knight</v>
      </c>
      <c r="C21" s="49" t="str">
        <f>IFERROR(__xludf.DUMMYFUNCTION("""COMPUTED_VALUE"""),"Rank 9 Melee, Physical, Ranged, Order, Light")</f>
        <v>Rank 9 Melee, Physical, Ranged, Order, Light</v>
      </c>
      <c r="D21" s="50" t="str">
        <f>IFERROR(__xludf.DUMMYFUNCTION("""COMPUTED_VALUE"""),"Double the base damage of your weapons.")</f>
        <v>Double the base damage of your weapons.</v>
      </c>
      <c r="E21" s="50" t="str">
        <f>IFERROR(__xludf.DUMMYFUNCTION("""COMPUTED_VALUE"""),"X4 Weapon damage for self and allies at all times (rp/combat)")</f>
        <v>X4 Weapon damage for self and allies at all times (rp/combat)</v>
      </c>
      <c r="F21" s="50"/>
      <c r="G21" s="50"/>
      <c r="H21" s="49"/>
      <c r="I21" s="49"/>
      <c r="J21" s="49"/>
      <c r="K21" s="49"/>
      <c r="L21" s="49"/>
      <c r="M21" s="49"/>
      <c r="N21" s="49"/>
      <c r="O21" s="49"/>
      <c r="P21" s="49"/>
      <c r="Q21" s="49"/>
      <c r="R21" s="49"/>
      <c r="S21" s="49"/>
      <c r="T21" s="49"/>
      <c r="U21" s="49"/>
      <c r="V21" s="49">
        <f>IFERROR(__xludf.DUMMYFUNCTION("""COMPUTED_VALUE"""),0.0)</f>
        <v>0</v>
      </c>
      <c r="W21" s="49"/>
      <c r="X21" s="49"/>
      <c r="Y21" s="49"/>
      <c r="Z21" s="49"/>
      <c r="AA21" s="49">
        <f>IFERROR(__xludf.DUMMYFUNCTION("""COMPUTED_VALUE"""),9.0)</f>
        <v>9</v>
      </c>
      <c r="AB21" s="49"/>
      <c r="AC21" s="49"/>
      <c r="AD21" s="49">
        <f>IFERROR(__xludf.DUMMYFUNCTION("""COMPUTED_VALUE"""),9.0)</f>
        <v>9</v>
      </c>
      <c r="AE21" s="49"/>
      <c r="AF21" s="49"/>
      <c r="AG21" s="49">
        <f>IFERROR(__xludf.DUMMYFUNCTION("""COMPUTED_VALUE"""),9.0)</f>
        <v>9</v>
      </c>
      <c r="AH21" s="49">
        <f>IFERROR(__xludf.DUMMYFUNCTION("""COMPUTED_VALUE"""),9.0)</f>
        <v>9</v>
      </c>
      <c r="AI21" s="49">
        <f>IFERROR(__xludf.DUMMYFUNCTION("""COMPUTED_VALUE"""),9.0)</f>
        <v>9</v>
      </c>
      <c r="AJ21" s="49"/>
      <c r="AK21" s="49"/>
      <c r="AL21" s="49"/>
      <c r="AM21" s="49"/>
      <c r="AN21" s="49"/>
      <c r="AO21" s="49"/>
      <c r="AP21" s="49"/>
      <c r="AQ21" s="49"/>
      <c r="AR21" s="49"/>
      <c r="AS21" s="49"/>
      <c r="AT21" s="49"/>
      <c r="AU21" s="49"/>
      <c r="AV21" s="49"/>
      <c r="AW21" s="49"/>
      <c r="AX21" s="49"/>
    </row>
    <row r="22">
      <c r="A22" s="49" t="str">
        <f>IFERROR(__xludf.DUMMYFUNCTION("""COMPUTED_VALUE"""),"Knight")</f>
        <v>Knight</v>
      </c>
      <c r="B22" s="49" t="str">
        <f>IFERROR(__xludf.DUMMYFUNCTION("""COMPUTED_VALUE"""),"Warden")</f>
        <v>Warden</v>
      </c>
      <c r="C22" s="49" t="str">
        <f>IFERROR(__xludf.DUMMYFUNCTION("""COMPUTED_VALUE"""),"Rank 9 Melee, Physical, Ranged, Twilight, Stasis")</f>
        <v>Rank 9 Melee, Physical, Ranged, Twilight, Stasis</v>
      </c>
      <c r="D22" s="50" t="str">
        <f>IFERROR(__xludf.DUMMYFUNCTION("""COMPUTED_VALUE"""),"Immune to Order and Chaos Damage.")</f>
        <v>Immune to Order and Chaos Damage.</v>
      </c>
      <c r="E22" s="50" t="str">
        <f>IFERROR(__xludf.DUMMYFUNCTION("""COMPUTED_VALUE"""),"X2 to Spell and Weapon Damage.")</f>
        <v>X2 to Spell and Weapon Damage.</v>
      </c>
      <c r="F22" s="50" t="str">
        <f>IFERROR(__xludf.DUMMYFUNCTION("""COMPUTED_VALUE"""),"You cannot be jailed.")</f>
        <v>You cannot be jailed.</v>
      </c>
      <c r="G22" s="50" t="str">
        <f>IFERROR(__xludf.DUMMYFUNCTION("""COMPUTED_VALUE"""),"50% chance a party member does not get jailed when they recieve jail time. Unaffected by bonuses.")</f>
        <v>50% chance a party member does not get jailed when they recieve jail time. Unaffected by bonuses.</v>
      </c>
      <c r="H22" s="49"/>
      <c r="I22" s="49"/>
      <c r="J22" s="49"/>
      <c r="K22" s="49"/>
      <c r="L22" s="49"/>
      <c r="M22" s="49"/>
      <c r="N22" s="49"/>
      <c r="O22" s="49"/>
      <c r="P22" s="49"/>
      <c r="Q22" s="49"/>
      <c r="R22" s="49"/>
      <c r="S22" s="49"/>
      <c r="T22" s="49"/>
      <c r="U22" s="49"/>
      <c r="V22" s="49">
        <f>IFERROR(__xludf.DUMMYFUNCTION("""COMPUTED_VALUE"""),0.0)</f>
        <v>0</v>
      </c>
      <c r="W22" s="49"/>
      <c r="X22" s="49"/>
      <c r="Y22" s="49"/>
      <c r="Z22" s="49"/>
      <c r="AA22" s="49"/>
      <c r="AB22" s="49"/>
      <c r="AC22" s="49"/>
      <c r="AD22" s="49"/>
      <c r="AE22" s="49"/>
      <c r="AF22" s="49"/>
      <c r="AG22" s="49">
        <f>IFERROR(__xludf.DUMMYFUNCTION("""COMPUTED_VALUE"""),9.0)</f>
        <v>9</v>
      </c>
      <c r="AH22" s="49">
        <f>IFERROR(__xludf.DUMMYFUNCTION("""COMPUTED_VALUE"""),9.0)</f>
        <v>9</v>
      </c>
      <c r="AI22" s="49">
        <f>IFERROR(__xludf.DUMMYFUNCTION("""COMPUTED_VALUE"""),9.0)</f>
        <v>9</v>
      </c>
      <c r="AJ22" s="49">
        <f>IFERROR(__xludf.DUMMYFUNCTION("""COMPUTED_VALUE"""),9.0)</f>
        <v>9</v>
      </c>
      <c r="AK22" s="49">
        <f>IFERROR(__xludf.DUMMYFUNCTION("""COMPUTED_VALUE"""),9.0)</f>
        <v>9</v>
      </c>
      <c r="AL22" s="49"/>
      <c r="AM22" s="49"/>
      <c r="AN22" s="49"/>
      <c r="AO22" s="49"/>
      <c r="AP22" s="49"/>
      <c r="AQ22" s="49"/>
      <c r="AR22" s="49"/>
      <c r="AS22" s="49"/>
      <c r="AT22" s="49"/>
      <c r="AU22" s="49"/>
      <c r="AV22" s="49"/>
      <c r="AW22" s="49"/>
      <c r="AX22" s="49"/>
    </row>
    <row r="23">
      <c r="A23" s="49" t="str">
        <f>IFERROR(__xludf.DUMMYFUNCTION("""COMPUTED_VALUE"""),"Knight")</f>
        <v>Knight</v>
      </c>
      <c r="B23" s="49" t="str">
        <f>IFERROR(__xludf.DUMMYFUNCTION("""COMPUTED_VALUE"""),"Dark Knight")</f>
        <v>Dark Knight</v>
      </c>
      <c r="C23" s="49" t="str">
        <f>IFERROR(__xludf.DUMMYFUNCTION("""COMPUTED_VALUE"""),"Rank 9 Dark, Physical, Ranged, Melee")</f>
        <v>Rank 9 Dark, Physical, Ranged, Melee</v>
      </c>
      <c r="D23" s="50" t="str">
        <f>IFERROR(__xludf.DUMMYFUNCTION("""COMPUTED_VALUE"""),"20% chance of not having to battle a non corrupt guard. Unaffected by bonuses.")</f>
        <v>20% chance of not having to battle a non corrupt guard. Unaffected by bonuses.</v>
      </c>
      <c r="E23" s="50" t="str">
        <f>IFERROR(__xludf.DUMMYFUNCTION("""COMPUTED_VALUE"""),"X2 to Spell and Weapon Damage
Dark Immune")</f>
        <v>X2 to Spell and Weapon Damage
Dark Immune</v>
      </c>
      <c r="F23" s="50" t="str">
        <f>IFERROR(__xludf.DUMMYFUNCTION("""COMPUTED_VALUE"""),"+10 Intimidation")</f>
        <v>+10 Intimidation</v>
      </c>
      <c r="G23" s="50" t="str">
        <f>IFERROR(__xludf.DUMMYFUNCTION("""COMPUTED_VALUE"""),"If you attack with a weapon that deals, Dark, Chaos, or Voodoo damage you can add mobility to that attack roll.")</f>
        <v>If you attack with a weapon that deals, Dark, Chaos, or Voodoo damage you can add mobility to that attack roll.</v>
      </c>
      <c r="H23" s="49"/>
      <c r="I23" s="49"/>
      <c r="J23" s="49"/>
      <c r="K23" s="49"/>
      <c r="L23" s="49"/>
      <c r="M23" s="49"/>
      <c r="N23" s="49"/>
      <c r="O23" s="49">
        <f>IFERROR(__xludf.DUMMYFUNCTION("""COMPUTED_VALUE"""),10.0)</f>
        <v>10</v>
      </c>
      <c r="P23" s="49"/>
      <c r="Q23" s="49"/>
      <c r="R23" s="49"/>
      <c r="S23" s="49"/>
      <c r="T23" s="49"/>
      <c r="U23" s="49"/>
      <c r="V23" s="49">
        <f>IFERROR(__xludf.DUMMYFUNCTION("""COMPUTED_VALUE"""),0.0)</f>
        <v>0</v>
      </c>
      <c r="W23" s="49"/>
      <c r="X23" s="49"/>
      <c r="Y23" s="49"/>
      <c r="Z23" s="49"/>
      <c r="AA23" s="49"/>
      <c r="AB23" s="49">
        <f>IFERROR(__xludf.DUMMYFUNCTION("""COMPUTED_VALUE"""),9.0)</f>
        <v>9</v>
      </c>
      <c r="AC23" s="49"/>
      <c r="AD23" s="49"/>
      <c r="AE23" s="49"/>
      <c r="AF23" s="49"/>
      <c r="AG23" s="49">
        <f>IFERROR(__xludf.DUMMYFUNCTION("""COMPUTED_VALUE"""),9.0)</f>
        <v>9</v>
      </c>
      <c r="AH23" s="49">
        <f>IFERROR(__xludf.DUMMYFUNCTION("""COMPUTED_VALUE"""),9.0)</f>
        <v>9</v>
      </c>
      <c r="AI23" s="49">
        <f>IFERROR(__xludf.DUMMYFUNCTION("""COMPUTED_VALUE"""),9.0)</f>
        <v>9</v>
      </c>
      <c r="AJ23" s="49"/>
      <c r="AK23" s="49"/>
      <c r="AL23" s="49"/>
      <c r="AM23" s="49"/>
      <c r="AN23" s="49"/>
      <c r="AO23" s="49"/>
      <c r="AP23" s="49"/>
      <c r="AQ23" s="49"/>
      <c r="AR23" s="49"/>
      <c r="AS23" s="49"/>
      <c r="AT23" s="49"/>
      <c r="AU23" s="49"/>
      <c r="AV23" s="49"/>
      <c r="AW23" s="49"/>
      <c r="AX23" s="49"/>
    </row>
    <row r="24">
      <c r="A24" s="49" t="str">
        <f>IFERROR(__xludf.DUMMYFUNCTION("""COMPUTED_VALUE"""),"Mage")</f>
        <v>Mage</v>
      </c>
      <c r="B24" s="49" t="str">
        <f>IFERROR(__xludf.DUMMYFUNCTION("""COMPUTED_VALUE"""),"Grand Mage")</f>
        <v>Grand Mage</v>
      </c>
      <c r="C24" s="49" t="str">
        <f>IFERROR(__xludf.DUMMYFUNCTION("""COMPUTED_VALUE"""),"Rank 9 in all Elements (excluding Zen and Acoustic)")</f>
        <v>Rank 9 in all Elements (excluding Zen and Acoustic)</v>
      </c>
      <c r="D24" s="50" t="str">
        <f>IFERROR(__xludf.DUMMYFUNCTION("""COMPUTED_VALUE"""),"Half the SP costs of all Spells.")</f>
        <v>Half the SP costs of all Spells.</v>
      </c>
      <c r="E24" s="50"/>
      <c r="F24" s="50" t="str">
        <f>IFERROR(__xludf.DUMMYFUNCTION("""COMPUTED_VALUE"""),"15% Chance of preventing 1 enemy from negating a spell effect.")</f>
        <v>15% Chance of preventing 1 enemy from negating a spell effect.</v>
      </c>
      <c r="G24" s="50"/>
      <c r="H24" s="49"/>
      <c r="I24" s="49"/>
      <c r="J24" s="49"/>
      <c r="K24" s="49"/>
      <c r="L24" s="49"/>
      <c r="M24" s="49"/>
      <c r="N24" s="49"/>
      <c r="O24" s="49"/>
      <c r="P24" s="49"/>
      <c r="Q24" s="49"/>
      <c r="R24" s="49"/>
      <c r="S24" s="49"/>
      <c r="T24" s="49"/>
      <c r="U24" s="49"/>
      <c r="V24" s="49">
        <f>IFERROR(__xludf.DUMMYFUNCTION("""COMPUTED_VALUE"""),0.0)</f>
        <v>0</v>
      </c>
      <c r="W24" s="49">
        <f>IFERROR(__xludf.DUMMYFUNCTION("""COMPUTED_VALUE"""),9.0)</f>
        <v>9</v>
      </c>
      <c r="X24" s="49">
        <f>IFERROR(__xludf.DUMMYFUNCTION("""COMPUTED_VALUE"""),9.0)</f>
        <v>9</v>
      </c>
      <c r="Y24" s="49">
        <f>IFERROR(__xludf.DUMMYFUNCTION("""COMPUTED_VALUE"""),9.0)</f>
        <v>9</v>
      </c>
      <c r="Z24" s="49">
        <f>IFERROR(__xludf.DUMMYFUNCTION("""COMPUTED_VALUE"""),9.0)</f>
        <v>9</v>
      </c>
      <c r="AA24" s="49">
        <f>IFERROR(__xludf.DUMMYFUNCTION("""COMPUTED_VALUE"""),9.0)</f>
        <v>9</v>
      </c>
      <c r="AB24" s="49">
        <f>IFERROR(__xludf.DUMMYFUNCTION("""COMPUTED_VALUE"""),9.0)</f>
        <v>9</v>
      </c>
      <c r="AC24" s="49">
        <f>IFERROR(__xludf.DUMMYFUNCTION("""COMPUTED_VALUE"""),9.0)</f>
        <v>9</v>
      </c>
      <c r="AD24" s="49">
        <f>IFERROR(__xludf.DUMMYFUNCTION("""COMPUTED_VALUE"""),9.0)</f>
        <v>9</v>
      </c>
      <c r="AE24" s="49">
        <f>IFERROR(__xludf.DUMMYFUNCTION("""COMPUTED_VALUE"""),9.0)</f>
        <v>9</v>
      </c>
      <c r="AF24" s="49">
        <f>IFERROR(__xludf.DUMMYFUNCTION("""COMPUTED_VALUE"""),9.0)</f>
        <v>9</v>
      </c>
      <c r="AG24" s="49">
        <f>IFERROR(__xludf.DUMMYFUNCTION("""COMPUTED_VALUE"""),9.0)</f>
        <v>9</v>
      </c>
      <c r="AH24" s="49">
        <f>IFERROR(__xludf.DUMMYFUNCTION("""COMPUTED_VALUE"""),9.0)</f>
        <v>9</v>
      </c>
      <c r="AI24" s="49">
        <f>IFERROR(__xludf.DUMMYFUNCTION("""COMPUTED_VALUE"""),9.0)</f>
        <v>9</v>
      </c>
      <c r="AJ24" s="49">
        <f>IFERROR(__xludf.DUMMYFUNCTION("""COMPUTED_VALUE"""),9.0)</f>
        <v>9</v>
      </c>
      <c r="AK24" s="49">
        <f>IFERROR(__xludf.DUMMYFUNCTION("""COMPUTED_VALUE"""),9.0)</f>
        <v>9</v>
      </c>
      <c r="AL24" s="49">
        <f>IFERROR(__xludf.DUMMYFUNCTION("""COMPUTED_VALUE"""),9.0)</f>
        <v>9</v>
      </c>
      <c r="AM24" s="49">
        <f>IFERROR(__xludf.DUMMYFUNCTION("""COMPUTED_VALUE"""),9.0)</f>
        <v>9</v>
      </c>
      <c r="AN24" s="49">
        <f>IFERROR(__xludf.DUMMYFUNCTION("""COMPUTED_VALUE"""),9.0)</f>
        <v>9</v>
      </c>
      <c r="AO24" s="49"/>
      <c r="AP24" s="49"/>
      <c r="AQ24" s="49">
        <f>IFERROR(__xludf.DUMMYFUNCTION("""COMPUTED_VALUE"""),9.0)</f>
        <v>9</v>
      </c>
      <c r="AR24" s="49"/>
      <c r="AS24" s="49"/>
      <c r="AT24" s="49"/>
      <c r="AU24" s="49"/>
      <c r="AV24" s="49"/>
      <c r="AW24" s="49"/>
      <c r="AX24" s="49"/>
    </row>
    <row r="25">
      <c r="A25" s="49" t="str">
        <f>IFERROR(__xludf.DUMMYFUNCTION("""COMPUTED_VALUE"""),"Mage")</f>
        <v>Mage</v>
      </c>
      <c r="B25" s="49" t="str">
        <f>IFERROR(__xludf.DUMMYFUNCTION("""COMPUTED_VALUE"""),"Chrono Mage")</f>
        <v>Chrono Mage</v>
      </c>
      <c r="C25" s="49" t="str">
        <f>IFERROR(__xludf.DUMMYFUNCTION("""COMPUTED_VALUE"""),"Rank 9 in all Elements (excluding Zen and Acoustic)")</f>
        <v>Rank 9 in all Elements (excluding Zen and Acoustic)</v>
      </c>
      <c r="D25" s="50" t="str">
        <f>IFERROR(__xludf.DUMMYFUNCTION("""COMPUTED_VALUE"""),"Restricted Class: (Must unlock the Solreach Expansion to use this class)
Start with Rank 9 Time Spells.")</f>
        <v>Restricted Class: (Must unlock the Solreach Expansion to use this class)
Start with Rank 9 Time Spells.</v>
      </c>
      <c r="E25" s="50" t="str">
        <f>IFERROR(__xludf.DUMMYFUNCTION("""COMPUTED_VALUE"""),"Time spells cost half their normal SP cost.")</f>
        <v>Time spells cost half their normal SP cost.</v>
      </c>
      <c r="F25" s="50" t="str">
        <f>IFERROR(__xludf.DUMMYFUNCTION("""COMPUTED_VALUE"""),"Immune to Time")</f>
        <v>Immune to Time</v>
      </c>
      <c r="G25" s="50"/>
      <c r="H25" s="49"/>
      <c r="I25" s="49"/>
      <c r="J25" s="49"/>
      <c r="K25" s="49"/>
      <c r="L25" s="49"/>
      <c r="M25" s="49"/>
      <c r="N25" s="49"/>
      <c r="O25" s="49"/>
      <c r="P25" s="49"/>
      <c r="Q25" s="49"/>
      <c r="R25" s="49"/>
      <c r="S25" s="49"/>
      <c r="T25" s="49"/>
      <c r="U25" s="49"/>
      <c r="V25" s="49">
        <f>IFERROR(__xludf.DUMMYFUNCTION("""COMPUTED_VALUE"""),0.0)</f>
        <v>0</v>
      </c>
      <c r="W25" s="49">
        <f>IFERROR(__xludf.DUMMYFUNCTION("""COMPUTED_VALUE"""),9.0)</f>
        <v>9</v>
      </c>
      <c r="X25" s="49">
        <f>IFERROR(__xludf.DUMMYFUNCTION("""COMPUTED_VALUE"""),9.0)</f>
        <v>9</v>
      </c>
      <c r="Y25" s="49">
        <f>IFERROR(__xludf.DUMMYFUNCTION("""COMPUTED_VALUE"""),9.0)</f>
        <v>9</v>
      </c>
      <c r="Z25" s="49">
        <f>IFERROR(__xludf.DUMMYFUNCTION("""COMPUTED_VALUE"""),9.0)</f>
        <v>9</v>
      </c>
      <c r="AA25" s="49">
        <f>IFERROR(__xludf.DUMMYFUNCTION("""COMPUTED_VALUE"""),9.0)</f>
        <v>9</v>
      </c>
      <c r="AB25" s="49">
        <f>IFERROR(__xludf.DUMMYFUNCTION("""COMPUTED_VALUE"""),9.0)</f>
        <v>9</v>
      </c>
      <c r="AC25" s="49">
        <f>IFERROR(__xludf.DUMMYFUNCTION("""COMPUTED_VALUE"""),9.0)</f>
        <v>9</v>
      </c>
      <c r="AD25" s="49">
        <f>IFERROR(__xludf.DUMMYFUNCTION("""COMPUTED_VALUE"""),9.0)</f>
        <v>9</v>
      </c>
      <c r="AE25" s="49">
        <f>IFERROR(__xludf.DUMMYFUNCTION("""COMPUTED_VALUE"""),9.0)</f>
        <v>9</v>
      </c>
      <c r="AF25" s="49">
        <f>IFERROR(__xludf.DUMMYFUNCTION("""COMPUTED_VALUE"""),9.0)</f>
        <v>9</v>
      </c>
      <c r="AG25" s="49">
        <f>IFERROR(__xludf.DUMMYFUNCTION("""COMPUTED_VALUE"""),9.0)</f>
        <v>9</v>
      </c>
      <c r="AH25" s="49">
        <f>IFERROR(__xludf.DUMMYFUNCTION("""COMPUTED_VALUE"""),9.0)</f>
        <v>9</v>
      </c>
      <c r="AI25" s="49">
        <f>IFERROR(__xludf.DUMMYFUNCTION("""COMPUTED_VALUE"""),9.0)</f>
        <v>9</v>
      </c>
      <c r="AJ25" s="49">
        <f>IFERROR(__xludf.DUMMYFUNCTION("""COMPUTED_VALUE"""),9.0)</f>
        <v>9</v>
      </c>
      <c r="AK25" s="49">
        <f>IFERROR(__xludf.DUMMYFUNCTION("""COMPUTED_VALUE"""),9.0)</f>
        <v>9</v>
      </c>
      <c r="AL25" s="49">
        <f>IFERROR(__xludf.DUMMYFUNCTION("""COMPUTED_VALUE"""),9.0)</f>
        <v>9</v>
      </c>
      <c r="AM25" s="49">
        <f>IFERROR(__xludf.DUMMYFUNCTION("""COMPUTED_VALUE"""),9.0)</f>
        <v>9</v>
      </c>
      <c r="AN25" s="49">
        <f>IFERROR(__xludf.DUMMYFUNCTION("""COMPUTED_VALUE"""),9.0)</f>
        <v>9</v>
      </c>
      <c r="AO25" s="49"/>
      <c r="AP25" s="49">
        <f>IFERROR(__xludf.DUMMYFUNCTION("""COMPUTED_VALUE"""),1.0)</f>
        <v>1</v>
      </c>
      <c r="AQ25" s="49"/>
      <c r="AR25" s="49"/>
      <c r="AS25" s="49"/>
      <c r="AT25" s="49"/>
      <c r="AU25" s="49"/>
      <c r="AV25" s="49"/>
      <c r="AW25" s="49"/>
      <c r="AX25" s="49"/>
    </row>
    <row r="26">
      <c r="A26" s="49" t="str">
        <f>IFERROR(__xludf.DUMMYFUNCTION("""COMPUTED_VALUE"""),"Marauder ")</f>
        <v>Marauder </v>
      </c>
      <c r="B26" s="49" t="str">
        <f>IFERROR(__xludf.DUMMYFUNCTION("""COMPUTED_VALUE"""),"Master Marauder ")</f>
        <v>Master Marauder </v>
      </c>
      <c r="C26" s="49" t="str">
        <f>IFERROR(__xludf.DUMMYFUNCTION("""COMPUTED_VALUE"""),"Rank 9 Dark, Range, Melee, Physical")</f>
        <v>Rank 9 Dark, Range, Melee, Physical</v>
      </c>
      <c r="D26" s="50" t="str">
        <f>IFERROR(__xludf.DUMMYFUNCTION("""COMPUTED_VALUE"""),"Will automatically succeed when using the pickpocket, take, or confiscate power.")</f>
        <v>Will automatically succeed when using the pickpocket, take, or confiscate power.</v>
      </c>
      <c r="E26" s="50" t="str">
        <f>IFERROR(__xludf.DUMMYFUNCTION("""COMPUTED_VALUE"""),"Can automatically open any non magical door or chest without a key.")</f>
        <v>Can automatically open any non magical door or chest without a key.</v>
      </c>
      <c r="F26" s="50" t="str">
        <f>IFERROR(__xludf.DUMMYFUNCTION("""COMPUTED_VALUE"""),"50% Chance to negate being arrested (self only)")</f>
        <v>50% Chance to negate being arrested (self only)</v>
      </c>
      <c r="G26" s="50"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49"/>
      <c r="I26" s="49"/>
      <c r="J26" s="49"/>
      <c r="K26" s="49"/>
      <c r="L26" s="49"/>
      <c r="M26" s="49"/>
      <c r="N26" s="49"/>
      <c r="O26" s="49"/>
      <c r="P26" s="49"/>
      <c r="Q26" s="49"/>
      <c r="R26" s="49"/>
      <c r="S26" s="49"/>
      <c r="T26" s="49"/>
      <c r="U26" s="49"/>
      <c r="V26" s="49">
        <f>IFERROR(__xludf.DUMMYFUNCTION("""COMPUTED_VALUE"""),0.0)</f>
        <v>0</v>
      </c>
      <c r="W26" s="49"/>
      <c r="X26" s="49"/>
      <c r="Y26" s="49"/>
      <c r="Z26" s="49"/>
      <c r="AA26" s="49"/>
      <c r="AB26" s="49">
        <f>IFERROR(__xludf.DUMMYFUNCTION("""COMPUTED_VALUE"""),9.0)</f>
        <v>9</v>
      </c>
      <c r="AC26" s="49"/>
      <c r="AD26" s="49"/>
      <c r="AE26" s="49"/>
      <c r="AF26" s="49"/>
      <c r="AG26" s="49">
        <f>IFERROR(__xludf.DUMMYFUNCTION("""COMPUTED_VALUE"""),9.0)</f>
        <v>9</v>
      </c>
      <c r="AH26" s="49">
        <f>IFERROR(__xludf.DUMMYFUNCTION("""COMPUTED_VALUE"""),9.0)</f>
        <v>9</v>
      </c>
      <c r="AI26" s="49">
        <f>IFERROR(__xludf.DUMMYFUNCTION("""COMPUTED_VALUE"""),9.0)</f>
        <v>9</v>
      </c>
      <c r="AJ26" s="49"/>
      <c r="AK26" s="49"/>
      <c r="AL26" s="49"/>
      <c r="AM26" s="49"/>
      <c r="AN26" s="49"/>
      <c r="AO26" s="49"/>
      <c r="AP26" s="49"/>
      <c r="AQ26" s="49"/>
      <c r="AR26" s="49"/>
      <c r="AS26" s="49"/>
      <c r="AT26" s="49"/>
      <c r="AU26" s="49"/>
      <c r="AV26" s="49"/>
      <c r="AW26" s="49"/>
      <c r="AX26" s="49"/>
    </row>
    <row r="27">
      <c r="A27" s="49" t="str">
        <f>IFERROR(__xludf.DUMMYFUNCTION("""COMPUTED_VALUE"""),"Merchant")</f>
        <v>Merchant</v>
      </c>
      <c r="B27" s="49" t="str">
        <f>IFERROR(__xludf.DUMMYFUNCTION("""COMPUTED_VALUE"""),"Traveling Merchant")</f>
        <v>Traveling Merchant</v>
      </c>
      <c r="C27" s="49" t="str">
        <f>IFERROR(__xludf.DUMMYFUNCTION("""COMPUTED_VALUE"""),"Rank 9 Ranged, Physical, Melee")</f>
        <v>Rank 9 Ranged, Physical, Melee</v>
      </c>
      <c r="D27" s="50" t="str">
        <f>IFERROR(__xludf.DUMMYFUNCTION("""COMPUTED_VALUE"""),"During travel, if more then half of the days of travel are bad you may deduct half of the bad days.")</f>
        <v>During travel, if more then half of the days of travel are bad you may deduct half of the bad days.</v>
      </c>
      <c r="E27" s="50" t="str">
        <f>IFERROR(__xludf.DUMMYFUNCTION("""COMPUTED_VALUE"""),"Double the amount of gilders and crafting materials you find from good days of travel.")</f>
        <v>Double the amount of gilders and crafting materials you find from good days of travel.</v>
      </c>
      <c r="F27" s="50" t="str">
        <f>IFERROR(__xludf.DUMMYFUNCTION("""COMPUTED_VALUE"""),"+5 Charisma")</f>
        <v>+5 Charisma</v>
      </c>
      <c r="G27" s="50" t="str">
        <f>IFERROR(__xludf.DUMMYFUNCTION("""COMPUTED_VALUE"""),"40% Chance to automatically succeed at haggling when you are selling something to a shop.")</f>
        <v>40% Chance to automatically succeed at haggling when you are selling something to a shop.</v>
      </c>
      <c r="H27" s="49"/>
      <c r="I27" s="49"/>
      <c r="J27" s="49"/>
      <c r="K27" s="49">
        <f>IFERROR(__xludf.DUMMYFUNCTION("""COMPUTED_VALUE"""),5.0)</f>
        <v>5</v>
      </c>
      <c r="L27" s="49"/>
      <c r="M27" s="49"/>
      <c r="N27" s="49"/>
      <c r="O27" s="49"/>
      <c r="P27" s="49"/>
      <c r="Q27" s="49"/>
      <c r="R27" s="49"/>
      <c r="S27" s="49"/>
      <c r="T27" s="49"/>
      <c r="U27" s="49"/>
      <c r="V27" s="49">
        <f>IFERROR(__xludf.DUMMYFUNCTION("""COMPUTED_VALUE"""),0.0)</f>
        <v>0</v>
      </c>
      <c r="W27" s="49"/>
      <c r="X27" s="49"/>
      <c r="Y27" s="49"/>
      <c r="Z27" s="49"/>
      <c r="AA27" s="49"/>
      <c r="AB27" s="49"/>
      <c r="AC27" s="49"/>
      <c r="AD27" s="49"/>
      <c r="AE27" s="49"/>
      <c r="AF27" s="49"/>
      <c r="AG27" s="49">
        <f>IFERROR(__xludf.DUMMYFUNCTION("""COMPUTED_VALUE"""),9.0)</f>
        <v>9</v>
      </c>
      <c r="AH27" s="49">
        <f>IFERROR(__xludf.DUMMYFUNCTION("""COMPUTED_VALUE"""),9.0)</f>
        <v>9</v>
      </c>
      <c r="AI27" s="49">
        <f>IFERROR(__xludf.DUMMYFUNCTION("""COMPUTED_VALUE"""),9.0)</f>
        <v>9</v>
      </c>
      <c r="AJ27" s="49"/>
      <c r="AK27" s="49"/>
      <c r="AL27" s="49"/>
      <c r="AM27" s="49"/>
      <c r="AN27" s="49"/>
      <c r="AO27" s="49"/>
      <c r="AP27" s="49"/>
      <c r="AQ27" s="49"/>
      <c r="AR27" s="49"/>
      <c r="AS27" s="49"/>
      <c r="AT27" s="49"/>
      <c r="AU27" s="49"/>
      <c r="AV27" s="49"/>
      <c r="AW27" s="49"/>
      <c r="AX27" s="49"/>
    </row>
    <row r="28">
      <c r="A28" s="49" t="str">
        <f>IFERROR(__xludf.DUMMYFUNCTION("""COMPUTED_VALUE"""),"Monk")</f>
        <v>Monk</v>
      </c>
      <c r="B28" s="49" t="str">
        <f>IFERROR(__xludf.DUMMYFUNCTION("""COMPUTED_VALUE"""),"Grand Abbot")</f>
        <v>Grand Abbot</v>
      </c>
      <c r="C28" s="49" t="str">
        <f>IFERROR(__xludf.DUMMYFUNCTION("""COMPUTED_VALUE"""),"Rank 9 in all elements (excluding Acoustic)")</f>
        <v>Rank 9 in all elements (excluding Acoustic)</v>
      </c>
      <c r="D28" s="50" t="str">
        <f>IFERROR(__xludf.DUMMYFUNCTION("""COMPUTED_VALUE"""),"+5 to wisdom")</f>
        <v>+5 to wisdom</v>
      </c>
      <c r="E28" s="50"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50"/>
      <c r="G28" s="50"/>
      <c r="H28" s="49"/>
      <c r="I28" s="49"/>
      <c r="J28" s="49"/>
      <c r="K28" s="49"/>
      <c r="L28" s="49">
        <f>IFERROR(__xludf.DUMMYFUNCTION("""COMPUTED_VALUE"""),5.0)</f>
        <v>5</v>
      </c>
      <c r="M28" s="49"/>
      <c r="N28" s="49"/>
      <c r="O28" s="49"/>
      <c r="P28" s="49"/>
      <c r="Q28" s="49"/>
      <c r="R28" s="49"/>
      <c r="S28" s="49"/>
      <c r="T28" s="49"/>
      <c r="U28" s="49"/>
      <c r="V28" s="49">
        <f>IFERROR(__xludf.DUMMYFUNCTION("""COMPUTED_VALUE"""),0.0)</f>
        <v>0</v>
      </c>
      <c r="W28" s="49">
        <f>IFERROR(__xludf.DUMMYFUNCTION("""COMPUTED_VALUE"""),9.0)</f>
        <v>9</v>
      </c>
      <c r="X28" s="49">
        <f>IFERROR(__xludf.DUMMYFUNCTION("""COMPUTED_VALUE"""),9.0)</f>
        <v>9</v>
      </c>
      <c r="Y28" s="49">
        <f>IFERROR(__xludf.DUMMYFUNCTION("""COMPUTED_VALUE"""),9.0)</f>
        <v>9</v>
      </c>
      <c r="Z28" s="49">
        <f>IFERROR(__xludf.DUMMYFUNCTION("""COMPUTED_VALUE"""),9.0)</f>
        <v>9</v>
      </c>
      <c r="AA28" s="49">
        <f>IFERROR(__xludf.DUMMYFUNCTION("""COMPUTED_VALUE"""),9.0)</f>
        <v>9</v>
      </c>
      <c r="AB28" s="49">
        <f>IFERROR(__xludf.DUMMYFUNCTION("""COMPUTED_VALUE"""),9.0)</f>
        <v>9</v>
      </c>
      <c r="AC28" s="49">
        <f>IFERROR(__xludf.DUMMYFUNCTION("""COMPUTED_VALUE"""),9.0)</f>
        <v>9</v>
      </c>
      <c r="AD28" s="49">
        <f>IFERROR(__xludf.DUMMYFUNCTION("""COMPUTED_VALUE"""),9.0)</f>
        <v>9</v>
      </c>
      <c r="AE28" s="49">
        <f>IFERROR(__xludf.DUMMYFUNCTION("""COMPUTED_VALUE"""),9.0)</f>
        <v>9</v>
      </c>
      <c r="AF28" s="49">
        <f>IFERROR(__xludf.DUMMYFUNCTION("""COMPUTED_VALUE"""),9.0)</f>
        <v>9</v>
      </c>
      <c r="AG28" s="49">
        <f>IFERROR(__xludf.DUMMYFUNCTION("""COMPUTED_VALUE"""),9.0)</f>
        <v>9</v>
      </c>
      <c r="AH28" s="49">
        <f>IFERROR(__xludf.DUMMYFUNCTION("""COMPUTED_VALUE"""),9.0)</f>
        <v>9</v>
      </c>
      <c r="AI28" s="49">
        <f>IFERROR(__xludf.DUMMYFUNCTION("""COMPUTED_VALUE"""),9.0)</f>
        <v>9</v>
      </c>
      <c r="AJ28" s="49">
        <f>IFERROR(__xludf.DUMMYFUNCTION("""COMPUTED_VALUE"""),9.0)</f>
        <v>9</v>
      </c>
      <c r="AK28" s="49">
        <f>IFERROR(__xludf.DUMMYFUNCTION("""COMPUTED_VALUE"""),9.0)</f>
        <v>9</v>
      </c>
      <c r="AL28" s="49">
        <f>IFERROR(__xludf.DUMMYFUNCTION("""COMPUTED_VALUE"""),9.0)</f>
        <v>9</v>
      </c>
      <c r="AM28" s="49">
        <f>IFERROR(__xludf.DUMMYFUNCTION("""COMPUTED_VALUE"""),9.0)</f>
        <v>9</v>
      </c>
      <c r="AN28" s="49">
        <f>IFERROR(__xludf.DUMMYFUNCTION("""COMPUTED_VALUE"""),9.0)</f>
        <v>9</v>
      </c>
      <c r="AO28" s="49">
        <f>IFERROR(__xludf.DUMMYFUNCTION("""COMPUTED_VALUE"""),9.0)</f>
        <v>9</v>
      </c>
      <c r="AP28" s="49"/>
      <c r="AQ28" s="49">
        <f>IFERROR(__xludf.DUMMYFUNCTION("""COMPUTED_VALUE"""),9.0)</f>
        <v>9</v>
      </c>
      <c r="AR28" s="49"/>
      <c r="AS28" s="49"/>
      <c r="AT28" s="49"/>
      <c r="AU28" s="49"/>
      <c r="AV28" s="49"/>
      <c r="AW28" s="49"/>
      <c r="AX28" s="49"/>
    </row>
    <row r="29">
      <c r="A29" s="49" t="str">
        <f>IFERROR(__xludf.DUMMYFUNCTION("""COMPUTED_VALUE"""),"Ninja")</f>
        <v>Ninja</v>
      </c>
      <c r="B29" s="49" t="str">
        <f>IFERROR(__xludf.DUMMYFUNCTION("""COMPUTED_VALUE"""),"Sensei of Dark Arts")</f>
        <v>Sensei of Dark Arts</v>
      </c>
      <c r="C29" s="49" t="str">
        <f>IFERROR(__xludf.DUMMYFUNCTION("""COMPUTED_VALUE"""),"Rank 9 Dark, Chaos, Voodoo, Zen, Physical, Melee, Ranged")</f>
        <v>Rank 9 Dark, Chaos, Voodoo, Zen, Physical, Melee, Ranged</v>
      </c>
      <c r="D29" s="50" t="str">
        <f>IFERROR(__xludf.DUMMYFUNCTION("""COMPUTED_VALUE"""),"Immunity to dark, chaos, and voodoo.")</f>
        <v>Immunity to dark, chaos, and voodoo.</v>
      </c>
      <c r="E29" s="50" t="str">
        <f>IFERROR(__xludf.DUMMYFUNCTION("""COMPUTED_VALUE"""),"+5 to mobility and evasion.")</f>
        <v>+5 to mobility and evasion.</v>
      </c>
      <c r="F29" s="50"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50"/>
      <c r="H29" s="49"/>
      <c r="I29" s="49"/>
      <c r="J29" s="49"/>
      <c r="K29" s="49"/>
      <c r="L29" s="49"/>
      <c r="M29" s="49"/>
      <c r="N29" s="49">
        <f>IFERROR(__xludf.DUMMYFUNCTION("""COMPUTED_VALUE"""),5.0)</f>
        <v>5</v>
      </c>
      <c r="O29" s="49"/>
      <c r="P29" s="49">
        <f>IFERROR(__xludf.DUMMYFUNCTION("""COMPUTED_VALUE"""),5.0)</f>
        <v>5</v>
      </c>
      <c r="Q29" s="49"/>
      <c r="R29" s="49"/>
      <c r="S29" s="49"/>
      <c r="T29" s="49"/>
      <c r="U29" s="49"/>
      <c r="V29" s="49">
        <f>IFERROR(__xludf.DUMMYFUNCTION("""COMPUTED_VALUE"""),0.0)</f>
        <v>0</v>
      </c>
      <c r="W29" s="49"/>
      <c r="X29" s="49"/>
      <c r="Y29" s="49"/>
      <c r="Z29" s="49"/>
      <c r="AA29" s="49"/>
      <c r="AB29" s="49">
        <f>IFERROR(__xludf.DUMMYFUNCTION("""COMPUTED_VALUE"""),9.0)</f>
        <v>9</v>
      </c>
      <c r="AC29" s="49"/>
      <c r="AD29" s="49"/>
      <c r="AE29" s="49">
        <f>IFERROR(__xludf.DUMMYFUNCTION("""COMPUTED_VALUE"""),9.0)</f>
        <v>9</v>
      </c>
      <c r="AF29" s="49"/>
      <c r="AG29" s="49">
        <f>IFERROR(__xludf.DUMMYFUNCTION("""COMPUTED_VALUE"""),9.0)</f>
        <v>9</v>
      </c>
      <c r="AH29" s="49">
        <f>IFERROR(__xludf.DUMMYFUNCTION("""COMPUTED_VALUE"""),9.0)</f>
        <v>9</v>
      </c>
      <c r="AI29" s="49">
        <f>IFERROR(__xludf.DUMMYFUNCTION("""COMPUTED_VALUE"""),9.0)</f>
        <v>9</v>
      </c>
      <c r="AJ29" s="49"/>
      <c r="AK29" s="49"/>
      <c r="AL29" s="49">
        <f>IFERROR(__xludf.DUMMYFUNCTION("""COMPUTED_VALUE"""),9.0)</f>
        <v>9</v>
      </c>
      <c r="AM29" s="49"/>
      <c r="AN29" s="49"/>
      <c r="AO29" s="49">
        <f>IFERROR(__xludf.DUMMYFUNCTION("""COMPUTED_VALUE"""),9.0)</f>
        <v>9</v>
      </c>
      <c r="AP29" s="49"/>
      <c r="AQ29" s="49"/>
      <c r="AR29" s="49"/>
      <c r="AS29" s="49"/>
      <c r="AT29" s="49"/>
      <c r="AU29" s="49"/>
      <c r="AV29" s="49"/>
      <c r="AW29" s="49"/>
      <c r="AX29" s="49"/>
    </row>
    <row r="30">
      <c r="A30" s="49" t="str">
        <f>IFERROR(__xludf.DUMMYFUNCTION("""COMPUTED_VALUE"""),"Ninja")</f>
        <v>Ninja</v>
      </c>
      <c r="B30" s="49" t="str">
        <f>IFERROR(__xludf.DUMMYFUNCTION("""COMPUTED_VALUE"""),"Assassin")</f>
        <v>Assassin</v>
      </c>
      <c r="C30" s="49" t="str">
        <f>IFERROR(__xludf.DUMMYFUNCTION("""COMPUTED_VALUE"""),"Rank 9 Dark, Chaos, Voodoo, Zen, Blood, Melee, Physical, Ranged")</f>
        <v>Rank 9 Dark, Chaos, Voodoo, Zen, Blood, Melee, Physical, Ranged</v>
      </c>
      <c r="D30" s="50" t="str">
        <f>IFERROR(__xludf.DUMMYFUNCTION("""COMPUTED_VALUE"""),"Immune to instant death.")</f>
        <v>Immune to instant death.</v>
      </c>
      <c r="E30" s="50" t="str">
        <f>IFERROR(__xludf.DUMMYFUNCTION("""COMPUTED_VALUE"""),"Immunity to dark.")</f>
        <v>Immunity to dark.</v>
      </c>
      <c r="F30" s="50" t="str">
        <f>IFERROR(__xludf.DUMMYFUNCTION("""COMPUTED_VALUE"""),"+5 to mobility and evasion.")</f>
        <v>+5 to mobility and evasion.</v>
      </c>
      <c r="G30" s="50"/>
      <c r="H30" s="49"/>
      <c r="I30" s="49"/>
      <c r="J30" s="49"/>
      <c r="K30" s="49"/>
      <c r="L30" s="49"/>
      <c r="M30" s="49"/>
      <c r="N30" s="49">
        <f>IFERROR(__xludf.DUMMYFUNCTION("""COMPUTED_VALUE"""),5.0)</f>
        <v>5</v>
      </c>
      <c r="O30" s="49"/>
      <c r="P30" s="49">
        <f>IFERROR(__xludf.DUMMYFUNCTION("""COMPUTED_VALUE"""),5.0)</f>
        <v>5</v>
      </c>
      <c r="Q30" s="49"/>
      <c r="R30" s="49"/>
      <c r="S30" s="49"/>
      <c r="T30" s="49"/>
      <c r="U30" s="49"/>
      <c r="V30" s="49">
        <f>IFERROR(__xludf.DUMMYFUNCTION("""COMPUTED_VALUE"""),0.0)</f>
        <v>0</v>
      </c>
      <c r="W30" s="49"/>
      <c r="X30" s="49"/>
      <c r="Y30" s="49"/>
      <c r="Z30" s="49"/>
      <c r="AA30" s="49"/>
      <c r="AB30" s="49">
        <f>IFERROR(__xludf.DUMMYFUNCTION("""COMPUTED_VALUE"""),9.0)</f>
        <v>9</v>
      </c>
      <c r="AC30" s="49"/>
      <c r="AD30" s="49"/>
      <c r="AE30" s="49">
        <f>IFERROR(__xludf.DUMMYFUNCTION("""COMPUTED_VALUE"""),9.0)</f>
        <v>9</v>
      </c>
      <c r="AF30" s="49"/>
      <c r="AG30" s="49">
        <f>IFERROR(__xludf.DUMMYFUNCTION("""COMPUTED_VALUE"""),9.0)</f>
        <v>9</v>
      </c>
      <c r="AH30" s="49">
        <f>IFERROR(__xludf.DUMMYFUNCTION("""COMPUTED_VALUE"""),9.0)</f>
        <v>9</v>
      </c>
      <c r="AI30" s="49">
        <f>IFERROR(__xludf.DUMMYFUNCTION("""COMPUTED_VALUE"""),9.0)</f>
        <v>9</v>
      </c>
      <c r="AJ30" s="49"/>
      <c r="AK30" s="49"/>
      <c r="AL30" s="49">
        <f>IFERROR(__xludf.DUMMYFUNCTION("""COMPUTED_VALUE"""),9.0)</f>
        <v>9</v>
      </c>
      <c r="AM30" s="49"/>
      <c r="AN30" s="49"/>
      <c r="AO30" s="49">
        <f>IFERROR(__xludf.DUMMYFUNCTION("""COMPUTED_VALUE"""),9.0)</f>
        <v>9</v>
      </c>
      <c r="AP30" s="49"/>
      <c r="AQ30" s="49"/>
      <c r="AR30" s="49"/>
      <c r="AS30" s="49"/>
      <c r="AT30" s="49"/>
      <c r="AU30" s="49"/>
      <c r="AV30" s="49"/>
      <c r="AW30" s="49"/>
      <c r="AX30" s="49"/>
    </row>
    <row r="31">
      <c r="A31" s="49" t="str">
        <f>IFERROR(__xludf.DUMMYFUNCTION("""COMPUTED_VALUE"""),"Pirate")</f>
        <v>Pirate</v>
      </c>
      <c r="B31" s="49" t="str">
        <f>IFERROR(__xludf.DUMMYFUNCTION("""COMPUTED_VALUE"""),"Swashbuckler")</f>
        <v>Swashbuckler</v>
      </c>
      <c r="C31" s="49" t="str">
        <f>IFERROR(__xludf.DUMMYFUNCTION("""COMPUTED_VALUE"""),"Rank 9 Water and Melee")</f>
        <v>Rank 9 Water and Melee</v>
      </c>
      <c r="D31" s="50" t="str">
        <f>IFERROR(__xludf.DUMMYFUNCTION("""COMPUTED_VALUE"""),"X4 damage with swords.")</f>
        <v>X4 damage with swords.</v>
      </c>
      <c r="E31" s="50" t="str">
        <f>IFERROR(__xludf.DUMMYFUNCTION("""COMPUTED_VALUE"""),"X2 Gilders from loot drops, chests, and quests..")</f>
        <v>X2 Gilders from loot drops, chests, and quests..</v>
      </c>
      <c r="F31" s="50"/>
      <c r="G31" s="50"/>
      <c r="H31" s="49"/>
      <c r="I31" s="49"/>
      <c r="J31" s="49"/>
      <c r="K31" s="49"/>
      <c r="L31" s="49"/>
      <c r="M31" s="49"/>
      <c r="N31" s="49"/>
      <c r="O31" s="49"/>
      <c r="P31" s="49"/>
      <c r="Q31" s="49"/>
      <c r="R31" s="49"/>
      <c r="S31" s="49"/>
      <c r="T31" s="49"/>
      <c r="U31" s="49"/>
      <c r="V31" s="49">
        <f>IFERROR(__xludf.DUMMYFUNCTION("""COMPUTED_VALUE"""),0.0)</f>
        <v>0</v>
      </c>
      <c r="W31" s="49"/>
      <c r="X31" s="49">
        <f>IFERROR(__xludf.DUMMYFUNCTION("""COMPUTED_VALUE"""),9.0)</f>
        <v>9</v>
      </c>
      <c r="Y31" s="49"/>
      <c r="Z31" s="49"/>
      <c r="AA31" s="49"/>
      <c r="AB31" s="49"/>
      <c r="AC31" s="49"/>
      <c r="AD31" s="49"/>
      <c r="AE31" s="49"/>
      <c r="AF31" s="49"/>
      <c r="AG31" s="49"/>
      <c r="AH31" s="49">
        <f>IFERROR(__xludf.DUMMYFUNCTION("""COMPUTED_VALUE"""),9.0)</f>
        <v>9</v>
      </c>
      <c r="AI31" s="49"/>
      <c r="AJ31" s="49"/>
      <c r="AK31" s="49"/>
      <c r="AL31" s="49"/>
      <c r="AM31" s="49"/>
      <c r="AN31" s="49"/>
      <c r="AO31" s="49"/>
      <c r="AP31" s="49"/>
      <c r="AQ31" s="49"/>
      <c r="AR31" s="49"/>
      <c r="AS31" s="49"/>
      <c r="AT31" s="49"/>
      <c r="AU31" s="49"/>
      <c r="AV31" s="49"/>
      <c r="AW31" s="49"/>
      <c r="AX31" s="49"/>
    </row>
    <row r="32">
      <c r="A32" s="49" t="str">
        <f>IFERROR(__xludf.DUMMYFUNCTION("""COMPUTED_VALUE"""),"Pirate")</f>
        <v>Pirate</v>
      </c>
      <c r="B32" s="49" t="str">
        <f>IFERROR(__xludf.DUMMYFUNCTION("""COMPUTED_VALUE"""),"Buccaneer")</f>
        <v>Buccaneer</v>
      </c>
      <c r="C32" s="49" t="str">
        <f>IFERROR(__xludf.DUMMYFUNCTION("""COMPUTED_VALUE"""),"Rang 9 Water and Ranged")</f>
        <v>Rang 9 Water and Ranged</v>
      </c>
      <c r="D32" s="50" t="str">
        <f>IFERROR(__xludf.DUMMYFUNCTION("""COMPUTED_VALUE"""),"X4 damage with guns and bows")</f>
        <v>X4 damage with guns and bows</v>
      </c>
      <c r="E32" s="50" t="str">
        <f>IFERROR(__xludf.DUMMYFUNCTION("""COMPUTED_VALUE"""),"X2 Gilders from loot drops, chests, and quests..")</f>
        <v>X2 Gilders from loot drops, chests, and quests..</v>
      </c>
      <c r="F32" s="50"/>
      <c r="G32" s="50"/>
      <c r="H32" s="49"/>
      <c r="I32" s="49"/>
      <c r="J32" s="49"/>
      <c r="K32" s="49"/>
      <c r="L32" s="49"/>
      <c r="M32" s="49"/>
      <c r="N32" s="49"/>
      <c r="O32" s="49"/>
      <c r="P32" s="49"/>
      <c r="Q32" s="49"/>
      <c r="R32" s="49"/>
      <c r="S32" s="49"/>
      <c r="T32" s="49"/>
      <c r="U32" s="49"/>
      <c r="V32" s="49">
        <f>IFERROR(__xludf.DUMMYFUNCTION("""COMPUTED_VALUE"""),0.0)</f>
        <v>0</v>
      </c>
      <c r="W32" s="49"/>
      <c r="X32" s="49">
        <f>IFERROR(__xludf.DUMMYFUNCTION("""COMPUTED_VALUE"""),9.0)</f>
        <v>9</v>
      </c>
      <c r="Y32" s="49"/>
      <c r="Z32" s="49"/>
      <c r="AA32" s="49"/>
      <c r="AB32" s="49"/>
      <c r="AC32" s="49"/>
      <c r="AD32" s="49"/>
      <c r="AE32" s="49"/>
      <c r="AF32" s="49"/>
      <c r="AG32" s="49"/>
      <c r="AH32" s="49"/>
      <c r="AI32" s="49">
        <f>IFERROR(__xludf.DUMMYFUNCTION("""COMPUTED_VALUE"""),9.0)</f>
        <v>9</v>
      </c>
      <c r="AJ32" s="49"/>
      <c r="AK32" s="49"/>
      <c r="AL32" s="49"/>
      <c r="AM32" s="49"/>
      <c r="AN32" s="49"/>
      <c r="AO32" s="49"/>
      <c r="AP32" s="49"/>
      <c r="AQ32" s="49"/>
      <c r="AR32" s="49"/>
      <c r="AS32" s="49"/>
      <c r="AT32" s="49"/>
      <c r="AU32" s="49"/>
      <c r="AV32" s="49"/>
      <c r="AW32" s="49"/>
      <c r="AX32" s="49"/>
    </row>
    <row r="33">
      <c r="A33" s="49" t="str">
        <f>IFERROR(__xludf.DUMMYFUNCTION("""COMPUTED_VALUE"""),"Priest")</f>
        <v>Priest</v>
      </c>
      <c r="B33" s="49" t="str">
        <f>IFERROR(__xludf.DUMMYFUNCTION("""COMPUTED_VALUE"""),"Apostle of Light")</f>
        <v>Apostle of Light</v>
      </c>
      <c r="C33" s="49" t="str">
        <f>IFERROR(__xludf.DUMMYFUNCTION("""COMPUTED_VALUE"""),"Rank 9 Order, Light, Nature")</f>
        <v>Rank 9 Order, Light, Nature</v>
      </c>
      <c r="D33" s="50" t="str">
        <f>IFERROR(__xludf.DUMMYFUNCTION("""COMPUTED_VALUE"""),"Immune to Possession
50% chance to stop a possession of one target.")</f>
        <v>Immune to Possession
50% chance to stop a possession of one target.</v>
      </c>
      <c r="E33" s="50" t="str">
        <f>IFERROR(__xludf.DUMMYFUNCTION("""COMPUTED_VALUE"""),"Curse Immune
Disease Immune")</f>
        <v>Curse Immune
Disease Immune</v>
      </c>
      <c r="F33" s="50" t="str">
        <f>IFERROR(__xludf.DUMMYFUNCTION("""COMPUTED_VALUE"""),"X4 additional Light Damage
X4 additional Order Damage")</f>
        <v>X4 additional Light Damage
X4 additional Order Damage</v>
      </c>
      <c r="G33" s="50" t="str">
        <f>IFERROR(__xludf.DUMMYFUNCTION("""COMPUTED_VALUE"""),"50% chance to stop a curse affecting one target.
50% chance to stop a disease affecting one target.")</f>
        <v>50% chance to stop a curse affecting one target.
50% chance to stop a disease affecting one target.</v>
      </c>
      <c r="H33" s="49"/>
      <c r="I33" s="49"/>
      <c r="J33" s="49"/>
      <c r="K33" s="49"/>
      <c r="L33" s="49"/>
      <c r="M33" s="49"/>
      <c r="N33" s="49"/>
      <c r="O33" s="49"/>
      <c r="P33" s="49"/>
      <c r="Q33" s="49"/>
      <c r="R33" s="49"/>
      <c r="S33" s="49"/>
      <c r="T33" s="49"/>
      <c r="U33" s="49"/>
      <c r="V33" s="49">
        <f>IFERROR(__xludf.DUMMYFUNCTION("""COMPUTED_VALUE"""),0.0)</f>
        <v>0</v>
      </c>
      <c r="W33" s="49"/>
      <c r="X33" s="49"/>
      <c r="Y33" s="49"/>
      <c r="Z33" s="49"/>
      <c r="AA33" s="49">
        <f>IFERROR(__xludf.DUMMYFUNCTION("""COMPUTED_VALUE"""),9.0)</f>
        <v>9</v>
      </c>
      <c r="AB33" s="49"/>
      <c r="AC33" s="49"/>
      <c r="AD33" s="49">
        <f>IFERROR(__xludf.DUMMYFUNCTION("""COMPUTED_VALUE"""),9.0)</f>
        <v>9</v>
      </c>
      <c r="AE33" s="49"/>
      <c r="AF33" s="49">
        <f>IFERROR(__xludf.DUMMYFUNCTION("""COMPUTED_VALUE"""),9.0)</f>
        <v>9</v>
      </c>
      <c r="AG33" s="49"/>
      <c r="AH33" s="49"/>
      <c r="AI33" s="49"/>
      <c r="AJ33" s="49"/>
      <c r="AK33" s="49"/>
      <c r="AL33" s="49"/>
      <c r="AM33" s="49"/>
      <c r="AN33" s="49"/>
      <c r="AO33" s="49"/>
      <c r="AP33" s="49"/>
      <c r="AQ33" s="49"/>
      <c r="AR33" s="49"/>
      <c r="AS33" s="49"/>
      <c r="AT33" s="49"/>
      <c r="AU33" s="49"/>
      <c r="AV33" s="49"/>
      <c r="AW33" s="49"/>
      <c r="AX33" s="49"/>
    </row>
    <row r="34">
      <c r="A34" s="49" t="str">
        <f>IFERROR(__xludf.DUMMYFUNCTION("""COMPUTED_VALUE"""),"Priest")</f>
        <v>Priest</v>
      </c>
      <c r="B34" s="49" t="str">
        <f>IFERROR(__xludf.DUMMYFUNCTION("""COMPUTED_VALUE"""),"Cleric")</f>
        <v>Cleric</v>
      </c>
      <c r="C34" s="49" t="str">
        <f>IFERROR(__xludf.DUMMYFUNCTION("""COMPUTED_VALUE"""),"Rank 9 Nature and Light, Order")</f>
        <v>Rank 9 Nature and Light, Order</v>
      </c>
      <c r="D34" s="50"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50" t="str">
        <f>IFERROR(__xludf.DUMMYFUNCTION("""COMPUTED_VALUE"""),"Curse Immune
Disease Immune")</f>
        <v>Curse Immune
Disease Immune</v>
      </c>
      <c r="F34" s="50" t="str">
        <f>IFERROR(__xludf.DUMMYFUNCTION("""COMPUTED_VALUE"""),"Immune to Dark
Immune to Light")</f>
        <v>Immune to Dark
Immune to Light</v>
      </c>
      <c r="G34" s="50" t="str">
        <f>IFERROR(__xludf.DUMMYFUNCTION("""COMPUTED_VALUE"""),"Immune to Blindness.
50% chance to stop the Blindness status effect from affecting one target.")</f>
        <v>Immune to Blindness.
50% chance to stop the Blindness status effect from affecting one target.</v>
      </c>
      <c r="H34" s="49"/>
      <c r="I34" s="49"/>
      <c r="J34" s="49"/>
      <c r="K34" s="49"/>
      <c r="L34" s="49"/>
      <c r="M34" s="49"/>
      <c r="N34" s="49"/>
      <c r="O34" s="49"/>
      <c r="P34" s="49"/>
      <c r="Q34" s="49"/>
      <c r="R34" s="49"/>
      <c r="S34" s="49"/>
      <c r="T34" s="49"/>
      <c r="U34" s="49"/>
      <c r="V34" s="49">
        <f>IFERROR(__xludf.DUMMYFUNCTION("""COMPUTED_VALUE"""),0.0)</f>
        <v>0</v>
      </c>
      <c r="W34" s="49"/>
      <c r="X34" s="49"/>
      <c r="Y34" s="49"/>
      <c r="Z34" s="49"/>
      <c r="AA34" s="49">
        <f>IFERROR(__xludf.DUMMYFUNCTION("""COMPUTED_VALUE"""),9.0)</f>
        <v>9</v>
      </c>
      <c r="AB34" s="49"/>
      <c r="AC34" s="49"/>
      <c r="AD34" s="49">
        <f>IFERROR(__xludf.DUMMYFUNCTION("""COMPUTED_VALUE"""),9.0)</f>
        <v>9</v>
      </c>
      <c r="AE34" s="49"/>
      <c r="AF34" s="49">
        <f>IFERROR(__xludf.DUMMYFUNCTION("""COMPUTED_VALUE"""),9.0)</f>
        <v>9</v>
      </c>
      <c r="AG34" s="49"/>
      <c r="AH34" s="49"/>
      <c r="AI34" s="49"/>
      <c r="AJ34" s="49"/>
      <c r="AK34" s="49"/>
      <c r="AL34" s="49"/>
      <c r="AM34" s="49"/>
      <c r="AN34" s="49"/>
      <c r="AO34" s="49"/>
      <c r="AP34" s="49"/>
      <c r="AQ34" s="49"/>
      <c r="AR34" s="49"/>
      <c r="AS34" s="49"/>
      <c r="AT34" s="49"/>
      <c r="AU34" s="49"/>
      <c r="AV34" s="49"/>
      <c r="AW34" s="49"/>
      <c r="AX34" s="49"/>
    </row>
    <row r="35">
      <c r="A35" s="49" t="str">
        <f>IFERROR(__xludf.DUMMYFUNCTION("""COMPUTED_VALUE"""),"Priest")</f>
        <v>Priest</v>
      </c>
      <c r="B35" s="49" t="str">
        <f>IFERROR(__xludf.DUMMYFUNCTION("""COMPUTED_VALUE"""),"Acolyte of The Shattered Moon")</f>
        <v>Acolyte of The Shattered Moon</v>
      </c>
      <c r="C35" s="49" t="str">
        <f>IFERROR(__xludf.DUMMYFUNCTION("""COMPUTED_VALUE"""),"Rank 9 Order, Light, Dark, Astral")</f>
        <v>Rank 9 Order, Light, Dark, Astral</v>
      </c>
      <c r="D35" s="50" t="str">
        <f>IFERROR(__xludf.DUMMYFUNCTION("""COMPUTED_VALUE"""),"TBD")</f>
        <v>TBD</v>
      </c>
      <c r="E35" s="50" t="str">
        <f>IFERROR(__xludf.DUMMYFUNCTION("""COMPUTED_VALUE"""),"Moonlight Sonata: TBD")</f>
        <v>Moonlight Sonata: TBD</v>
      </c>
      <c r="F35" s="50"/>
      <c r="G35" s="50"/>
      <c r="H35" s="49"/>
      <c r="I35" s="49"/>
      <c r="J35" s="49"/>
      <c r="K35" s="49"/>
      <c r="L35" s="49"/>
      <c r="M35" s="49"/>
      <c r="N35" s="49"/>
      <c r="O35" s="49"/>
      <c r="P35" s="49"/>
      <c r="Q35" s="49"/>
      <c r="R35" s="49"/>
      <c r="S35" s="49"/>
      <c r="T35" s="49"/>
      <c r="U35" s="49"/>
      <c r="V35" s="49">
        <f>IFERROR(__xludf.DUMMYFUNCTION("""COMPUTED_VALUE"""),0.0)</f>
        <v>0</v>
      </c>
      <c r="W35" s="49"/>
      <c r="X35" s="49"/>
      <c r="Y35" s="49"/>
      <c r="Z35" s="49"/>
      <c r="AA35" s="49">
        <f>IFERROR(__xludf.DUMMYFUNCTION("""COMPUTED_VALUE"""),9.0)</f>
        <v>9</v>
      </c>
      <c r="AB35" s="49"/>
      <c r="AC35" s="49"/>
      <c r="AD35" s="49">
        <f>IFERROR(__xludf.DUMMYFUNCTION("""COMPUTED_VALUE"""),9.0)</f>
        <v>9</v>
      </c>
      <c r="AE35" s="49"/>
      <c r="AF35" s="49"/>
      <c r="AG35" s="49"/>
      <c r="AH35" s="49"/>
      <c r="AI35" s="49"/>
      <c r="AJ35" s="49"/>
      <c r="AK35" s="49"/>
      <c r="AL35" s="49"/>
      <c r="AM35" s="49"/>
      <c r="AN35" s="49"/>
      <c r="AO35" s="49"/>
      <c r="AP35" s="49"/>
      <c r="AQ35" s="49">
        <f>IFERROR(__xludf.DUMMYFUNCTION("""COMPUTED_VALUE"""),9.0)</f>
        <v>9</v>
      </c>
      <c r="AR35" s="49"/>
      <c r="AS35" s="49"/>
      <c r="AT35" s="49"/>
      <c r="AU35" s="49"/>
      <c r="AV35" s="49"/>
      <c r="AW35" s="49"/>
      <c r="AX35" s="49"/>
    </row>
    <row r="36">
      <c r="A36" s="49" t="str">
        <f>IFERROR(__xludf.DUMMYFUNCTION("""COMPUTED_VALUE"""),"Reaper")</f>
        <v>Reaper</v>
      </c>
      <c r="B36" s="49" t="str">
        <f>IFERROR(__xludf.DUMMYFUNCTION("""COMPUTED_VALUE"""),"Shadow Walker")</f>
        <v>Shadow Walker</v>
      </c>
      <c r="C36" s="49" t="str">
        <f>IFERROR(__xludf.DUMMYFUNCTION("""COMPUTED_VALUE"""),"Rank 9 Dark, Spirit and Chaos powers")</f>
        <v>Rank 9 Dark, Spirit and Chaos powers</v>
      </c>
      <c r="D36" s="50" t="str">
        <f>IFERROR(__xludf.DUMMYFUNCTION("""COMPUTED_VALUE"""),"Immune to Natural Attacks, Cannot be immune to Spell Attacks., +5 to evasion")</f>
        <v>Immune to Natural Attacks, Cannot be immune to Spell Attacks., +5 to evasion</v>
      </c>
      <c r="E36" s="50" t="str">
        <f>IFERROR(__xludf.DUMMYFUNCTION("""COMPUTED_VALUE"""),"Immune to instant death.")</f>
        <v>Immune to instant death.</v>
      </c>
      <c r="F36" s="50" t="str">
        <f>IFERROR(__xludf.DUMMYFUNCTION("""COMPUTED_VALUE"""),"Immune to possesion.")</f>
        <v>Immune to possesion.</v>
      </c>
      <c r="G36" s="50"/>
      <c r="H36" s="49"/>
      <c r="I36" s="49"/>
      <c r="J36" s="49"/>
      <c r="K36" s="49"/>
      <c r="L36" s="49"/>
      <c r="M36" s="49"/>
      <c r="N36" s="49">
        <f>IFERROR(__xludf.DUMMYFUNCTION("""COMPUTED_VALUE"""),5.0)</f>
        <v>5</v>
      </c>
      <c r="O36" s="49"/>
      <c r="P36" s="49"/>
      <c r="Q36" s="49"/>
      <c r="R36" s="49"/>
      <c r="S36" s="49"/>
      <c r="T36" s="49"/>
      <c r="U36" s="49"/>
      <c r="V36" s="49">
        <f>IFERROR(__xludf.DUMMYFUNCTION("""COMPUTED_VALUE"""),0.0)</f>
        <v>0</v>
      </c>
      <c r="W36" s="49"/>
      <c r="X36" s="49"/>
      <c r="Y36" s="49"/>
      <c r="Z36" s="49"/>
      <c r="AA36" s="49"/>
      <c r="AB36" s="49">
        <f>IFERROR(__xludf.DUMMYFUNCTION("""COMPUTED_VALUE"""),9.0)</f>
        <v>9</v>
      </c>
      <c r="AC36" s="49">
        <f>IFERROR(__xludf.DUMMYFUNCTION("""COMPUTED_VALUE"""),9.0)</f>
        <v>9</v>
      </c>
      <c r="AD36" s="49"/>
      <c r="AE36" s="49">
        <f>IFERROR(__xludf.DUMMYFUNCTION("""COMPUTED_VALUE"""),9.0)</f>
        <v>9</v>
      </c>
      <c r="AF36" s="49"/>
      <c r="AG36" s="49"/>
      <c r="AH36" s="49"/>
      <c r="AI36" s="49"/>
      <c r="AJ36" s="49"/>
      <c r="AK36" s="49"/>
      <c r="AL36" s="49"/>
      <c r="AM36" s="49"/>
      <c r="AN36" s="49"/>
      <c r="AO36" s="49"/>
      <c r="AP36" s="49"/>
      <c r="AQ36" s="49"/>
      <c r="AR36" s="49"/>
      <c r="AS36" s="49"/>
      <c r="AT36" s="49"/>
      <c r="AU36" s="49"/>
      <c r="AV36" s="49"/>
      <c r="AW36" s="49"/>
      <c r="AX36" s="49"/>
    </row>
    <row r="37">
      <c r="A37" s="49" t="str">
        <f>IFERROR(__xludf.DUMMYFUNCTION("""COMPUTED_VALUE"""),"Reaper")</f>
        <v>Reaper</v>
      </c>
      <c r="B37" s="49" t="str">
        <f>IFERROR(__xludf.DUMMYFUNCTION("""COMPUTED_VALUE"""),"Grim Reaper")</f>
        <v>Grim Reaper</v>
      </c>
      <c r="C37" s="49" t="str">
        <f>IFERROR(__xludf.DUMMYFUNCTION("""COMPUTED_VALUE"""),"Rank 9 Dark, Spirit, Melee, Ranged, and Physical")</f>
        <v>Rank 9 Dark, Spirit, Melee, Ranged, and Physical</v>
      </c>
      <c r="D37" s="50" t="str">
        <f>IFERROR(__xludf.DUMMYFUNCTION("""COMPUTED_VALUE"""),"All Dark, and Spirit Weapons/Spells, do X4 additional damage.")</f>
        <v>All Dark, and Spirit Weapons/Spells, do X4 additional damage.</v>
      </c>
      <c r="E37" s="50" t="str">
        <f>IFERROR(__xludf.DUMMYFUNCTION("""COMPUTED_VALUE"""),"Immune to instant death.")</f>
        <v>Immune to instant death.</v>
      </c>
      <c r="F37" s="50" t="str">
        <f>IFERROR(__xludf.DUMMYFUNCTION("""COMPUTED_VALUE"""),"Immune to possesion.")</f>
        <v>Immune to possesion.</v>
      </c>
      <c r="G37" s="50" t="str">
        <f>IFERROR(__xludf.DUMMYFUNCTION("""COMPUTED_VALUE"""),"Add mobility when attacking with a scythe.")</f>
        <v>Add mobility when attacking with a scythe.</v>
      </c>
      <c r="H37" s="49"/>
      <c r="I37" s="49"/>
      <c r="J37" s="49"/>
      <c r="K37" s="49"/>
      <c r="L37" s="49"/>
      <c r="M37" s="49"/>
      <c r="N37" s="49"/>
      <c r="O37" s="49"/>
      <c r="P37" s="49"/>
      <c r="Q37" s="49"/>
      <c r="R37" s="49"/>
      <c r="S37" s="49"/>
      <c r="T37" s="49"/>
      <c r="U37" s="49"/>
      <c r="V37" s="49">
        <f>IFERROR(__xludf.DUMMYFUNCTION("""COMPUTED_VALUE"""),0.0)</f>
        <v>0</v>
      </c>
      <c r="W37" s="49"/>
      <c r="X37" s="49"/>
      <c r="Y37" s="49"/>
      <c r="Z37" s="49"/>
      <c r="AA37" s="49"/>
      <c r="AB37" s="49">
        <f>IFERROR(__xludf.DUMMYFUNCTION("""COMPUTED_VALUE"""),9.0)</f>
        <v>9</v>
      </c>
      <c r="AC37" s="49">
        <f>IFERROR(__xludf.DUMMYFUNCTION("""COMPUTED_VALUE"""),9.0)</f>
        <v>9</v>
      </c>
      <c r="AD37" s="49"/>
      <c r="AE37" s="49"/>
      <c r="AF37" s="49"/>
      <c r="AG37" s="49">
        <f>IFERROR(__xludf.DUMMYFUNCTION("""COMPUTED_VALUE"""),9.0)</f>
        <v>9</v>
      </c>
      <c r="AH37" s="49">
        <f>IFERROR(__xludf.DUMMYFUNCTION("""COMPUTED_VALUE"""),9.0)</f>
        <v>9</v>
      </c>
      <c r="AI37" s="49">
        <f>IFERROR(__xludf.DUMMYFUNCTION("""COMPUTED_VALUE"""),9.0)</f>
        <v>9</v>
      </c>
      <c r="AJ37" s="49"/>
      <c r="AK37" s="49"/>
      <c r="AL37" s="49"/>
      <c r="AM37" s="49"/>
      <c r="AN37" s="49"/>
      <c r="AO37" s="49"/>
      <c r="AP37" s="49"/>
      <c r="AQ37" s="49"/>
      <c r="AR37" s="49"/>
      <c r="AS37" s="49"/>
      <c r="AT37" s="49"/>
      <c r="AU37" s="49"/>
      <c r="AV37" s="49"/>
      <c r="AW37" s="49"/>
      <c r="AX37" s="49"/>
    </row>
    <row r="38">
      <c r="A38" s="49" t="str">
        <f>IFERROR(__xludf.DUMMYFUNCTION("""COMPUTED_VALUE"""),"Samurai")</f>
        <v>Samurai</v>
      </c>
      <c r="B38" s="49" t="str">
        <f>IFERROR(__xludf.DUMMYFUNCTION("""COMPUTED_VALUE"""),"Cursed Samurai")</f>
        <v>Cursed Samurai</v>
      </c>
      <c r="C38" s="49" t="str">
        <f>IFERROR(__xludf.DUMMYFUNCTION("""COMPUTED_VALUE"""),"Rank 9 Melee, Physical, Ranged")</f>
        <v>Rank 9 Melee, Physical, Ranged</v>
      </c>
      <c r="D38" s="50" t="str">
        <f>IFERROR(__xludf.DUMMYFUNCTION("""COMPUTED_VALUE"""),"You deal *X additional damage where X is equal to the amount of curses you are afflicted by.")</f>
        <v>You deal *X additional damage where X is equal to the amount of curses you are afflicted by.</v>
      </c>
      <c r="E38" s="50"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50" t="str">
        <f>IFERROR(__xludf.DUMMYFUNCTION("""COMPUTED_VALUE"""),"When you are cursed you gain X4 additional defense")</f>
        <v>When you are cursed you gain X4 additional defense</v>
      </c>
      <c r="G38" s="50" t="str">
        <f>IFERROR(__xludf.DUMMYFUNCTION("""COMPUTED_VALUE"""),"When you are cursed you gain +5 Mobility and Evasion.")</f>
        <v>When you are cursed you gain +5 Mobility and Evasion.</v>
      </c>
      <c r="H38" s="49"/>
      <c r="I38" s="49"/>
      <c r="J38" s="49"/>
      <c r="K38" s="49"/>
      <c r="L38" s="49"/>
      <c r="M38" s="49"/>
      <c r="N38" s="49"/>
      <c r="O38" s="49"/>
      <c r="P38" s="49"/>
      <c r="Q38" s="49"/>
      <c r="R38" s="49"/>
      <c r="S38" s="49"/>
      <c r="T38" s="49"/>
      <c r="U38" s="49"/>
      <c r="V38" s="49">
        <f>IFERROR(__xludf.DUMMYFUNCTION("""COMPUTED_VALUE"""),0.0)</f>
        <v>0</v>
      </c>
      <c r="W38" s="49"/>
      <c r="X38" s="49"/>
      <c r="Y38" s="49">
        <f>IFERROR(__xludf.DUMMYFUNCTION("""COMPUTED_VALUE"""),9.0)</f>
        <v>9</v>
      </c>
      <c r="Z38" s="49"/>
      <c r="AA38" s="49"/>
      <c r="AB38" s="49"/>
      <c r="AC38" s="49"/>
      <c r="AD38" s="49">
        <f>IFERROR(__xludf.DUMMYFUNCTION("""COMPUTED_VALUE"""),9.0)</f>
        <v>9</v>
      </c>
      <c r="AE38" s="49"/>
      <c r="AF38" s="49"/>
      <c r="AG38" s="49">
        <f>IFERROR(__xludf.DUMMYFUNCTION("""COMPUTED_VALUE"""),9.0)</f>
        <v>9</v>
      </c>
      <c r="AH38" s="49">
        <f>IFERROR(__xludf.DUMMYFUNCTION("""COMPUTED_VALUE"""),9.0)</f>
        <v>9</v>
      </c>
      <c r="AI38" s="49"/>
      <c r="AJ38" s="49"/>
      <c r="AK38" s="49"/>
      <c r="AL38" s="49"/>
      <c r="AM38" s="49"/>
      <c r="AN38" s="49"/>
      <c r="AO38" s="49">
        <f>IFERROR(__xludf.DUMMYFUNCTION("""COMPUTED_VALUE"""),9.0)</f>
        <v>9</v>
      </c>
      <c r="AP38" s="49"/>
      <c r="AQ38" s="49"/>
      <c r="AR38" s="49"/>
      <c r="AS38" s="49"/>
      <c r="AT38" s="49"/>
      <c r="AU38" s="49"/>
      <c r="AV38" s="49"/>
      <c r="AW38" s="49"/>
      <c r="AX38" s="49"/>
    </row>
    <row r="39">
      <c r="A39" s="49" t="str">
        <f>IFERROR(__xludf.DUMMYFUNCTION("""COMPUTED_VALUE"""),"Shaman")</f>
        <v>Shaman</v>
      </c>
      <c r="B39" s="49" t="str">
        <f>IFERROR(__xludf.DUMMYFUNCTION("""COMPUTED_VALUE"""),"Master Shaman")</f>
        <v>Master Shaman</v>
      </c>
      <c r="C39" s="49" t="str">
        <f>IFERROR(__xludf.DUMMYFUNCTION("""COMPUTED_VALUE"""),"Rank 9 Nature, Order
Rank 6 Spirit, Chaos")</f>
        <v>Rank 9 Nature, Order
Rank 6 Spirit, Chaos</v>
      </c>
      <c r="D39" s="50"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50" t="str">
        <f>IFERROR(__xludf.DUMMYFUNCTION("""COMPUTED_VALUE"""),"Gain access to the ""Spirit Summoning Power""")</f>
        <v>Gain access to the "Spirit Summoning Power"</v>
      </c>
      <c r="F39" s="50" t="str">
        <f>IFERROR(__xludf.DUMMYFUNCTION("""COMPUTED_VALUE"""),"When fighting alongside a Spirit companion or party member you and the spirit deal X4 damage")</f>
        <v>When fighting alongside a Spirit companion or party member you and the spirit deal X4 damage</v>
      </c>
      <c r="G39" s="50"/>
      <c r="H39" s="49"/>
      <c r="I39" s="49"/>
      <c r="J39" s="49"/>
      <c r="K39" s="49"/>
      <c r="L39" s="49"/>
      <c r="M39" s="49"/>
      <c r="N39" s="49"/>
      <c r="O39" s="49"/>
      <c r="P39" s="49"/>
      <c r="Q39" s="49"/>
      <c r="R39" s="49"/>
      <c r="S39" s="49"/>
      <c r="T39" s="49"/>
      <c r="U39" s="49"/>
      <c r="V39" s="49">
        <f>IFERROR(__xludf.DUMMYFUNCTION("""COMPUTED_VALUE"""),0.0)</f>
        <v>0</v>
      </c>
      <c r="W39" s="49"/>
      <c r="X39" s="49"/>
      <c r="Y39" s="49"/>
      <c r="Z39" s="49"/>
      <c r="AA39" s="49"/>
      <c r="AB39" s="49"/>
      <c r="AC39" s="49">
        <f>IFERROR(__xludf.DUMMYFUNCTION("""COMPUTED_VALUE"""),6.0)</f>
        <v>6</v>
      </c>
      <c r="AD39" s="49">
        <f>IFERROR(__xludf.DUMMYFUNCTION("""COMPUTED_VALUE"""),9.0)</f>
        <v>9</v>
      </c>
      <c r="AE39" s="49">
        <f>IFERROR(__xludf.DUMMYFUNCTION("""COMPUTED_VALUE"""),6.0)</f>
        <v>6</v>
      </c>
      <c r="AF39" s="49">
        <f>IFERROR(__xludf.DUMMYFUNCTION("""COMPUTED_VALUE"""),9.0)</f>
        <v>9</v>
      </c>
      <c r="AG39" s="49"/>
      <c r="AH39" s="49"/>
      <c r="AI39" s="49"/>
      <c r="AJ39" s="49"/>
      <c r="AK39" s="49"/>
      <c r="AL39" s="49"/>
      <c r="AM39" s="49"/>
      <c r="AN39" s="49"/>
      <c r="AO39" s="49"/>
      <c r="AP39" s="49"/>
      <c r="AQ39" s="49"/>
      <c r="AR39" s="49"/>
      <c r="AS39" s="49"/>
      <c r="AT39" s="49"/>
      <c r="AU39" s="49"/>
      <c r="AV39" s="49"/>
      <c r="AW39" s="49"/>
      <c r="AX39" s="49"/>
    </row>
    <row r="40">
      <c r="A40" s="49" t="str">
        <f>IFERROR(__xludf.DUMMYFUNCTION("""COMPUTED_VALUE"""),"Sorcerer")</f>
        <v>Sorcerer</v>
      </c>
      <c r="B40" s="49" t="str">
        <f>IFERROR(__xludf.DUMMYFUNCTION("""COMPUTED_VALUE"""),"Master Sorcerer")</f>
        <v>Master Sorcerer</v>
      </c>
      <c r="C40" s="49" t="str">
        <f>IFERROR(__xludf.DUMMYFUNCTION("""COMPUTED_VALUE"""),"Rank 9 in all Elements (excluding Zen and Acoustic)")</f>
        <v>Rank 9 in all Elements (excluding Zen and Acoustic)</v>
      </c>
      <c r="D40" s="50" t="str">
        <f>IFERROR(__xludf.DUMMYFUNCTION("""COMPUTED_VALUE"""),"25% chance to be unaffected by spells casted by enemies.")</f>
        <v>25% chance to be unaffected by spells casted by enemies.</v>
      </c>
      <c r="E40" s="50" t="str">
        <f>IFERROR(__xludf.DUMMYFUNCTION("""COMPUTED_VALUE"""),"Immune to Spell damage, Cannot resist or be immune to Weapon damage.")</f>
        <v>Immune to Spell damage, Cannot resist or be immune to Weapon damage.</v>
      </c>
      <c r="F40" s="50"/>
      <c r="G40" s="50"/>
      <c r="H40" s="49"/>
      <c r="I40" s="49"/>
      <c r="J40" s="49"/>
      <c r="K40" s="49"/>
      <c r="L40" s="49"/>
      <c r="M40" s="49"/>
      <c r="N40" s="49"/>
      <c r="O40" s="49"/>
      <c r="P40" s="49"/>
      <c r="Q40" s="49"/>
      <c r="R40" s="49"/>
      <c r="S40" s="49"/>
      <c r="T40" s="49"/>
      <c r="U40" s="49"/>
      <c r="V40" s="49">
        <f>IFERROR(__xludf.DUMMYFUNCTION("""COMPUTED_VALUE"""),0.0)</f>
        <v>0</v>
      </c>
      <c r="W40" s="49">
        <f>IFERROR(__xludf.DUMMYFUNCTION("""COMPUTED_VALUE"""),9.0)</f>
        <v>9</v>
      </c>
      <c r="X40" s="49">
        <f>IFERROR(__xludf.DUMMYFUNCTION("""COMPUTED_VALUE"""),9.0)</f>
        <v>9</v>
      </c>
      <c r="Y40" s="49">
        <f>IFERROR(__xludf.DUMMYFUNCTION("""COMPUTED_VALUE"""),9.0)</f>
        <v>9</v>
      </c>
      <c r="Z40" s="49">
        <f>IFERROR(__xludf.DUMMYFUNCTION("""COMPUTED_VALUE"""),9.0)</f>
        <v>9</v>
      </c>
      <c r="AA40" s="49">
        <f>IFERROR(__xludf.DUMMYFUNCTION("""COMPUTED_VALUE"""),9.0)</f>
        <v>9</v>
      </c>
      <c r="AB40" s="49">
        <f>IFERROR(__xludf.DUMMYFUNCTION("""COMPUTED_VALUE"""),9.0)</f>
        <v>9</v>
      </c>
      <c r="AC40" s="49">
        <f>IFERROR(__xludf.DUMMYFUNCTION("""COMPUTED_VALUE"""),9.0)</f>
        <v>9</v>
      </c>
      <c r="AD40" s="49">
        <f>IFERROR(__xludf.DUMMYFUNCTION("""COMPUTED_VALUE"""),9.0)</f>
        <v>9</v>
      </c>
      <c r="AE40" s="49">
        <f>IFERROR(__xludf.DUMMYFUNCTION("""COMPUTED_VALUE"""),9.0)</f>
        <v>9</v>
      </c>
      <c r="AF40" s="49">
        <f>IFERROR(__xludf.DUMMYFUNCTION("""COMPUTED_VALUE"""),9.0)</f>
        <v>9</v>
      </c>
      <c r="AG40" s="49">
        <f>IFERROR(__xludf.DUMMYFUNCTION("""COMPUTED_VALUE"""),9.0)</f>
        <v>9</v>
      </c>
      <c r="AH40" s="49">
        <f>IFERROR(__xludf.DUMMYFUNCTION("""COMPUTED_VALUE"""),9.0)</f>
        <v>9</v>
      </c>
      <c r="AI40" s="49">
        <f>IFERROR(__xludf.DUMMYFUNCTION("""COMPUTED_VALUE"""),9.0)</f>
        <v>9</v>
      </c>
      <c r="AJ40" s="49">
        <f>IFERROR(__xludf.DUMMYFUNCTION("""COMPUTED_VALUE"""),9.0)</f>
        <v>9</v>
      </c>
      <c r="AK40" s="49">
        <f>IFERROR(__xludf.DUMMYFUNCTION("""COMPUTED_VALUE"""),9.0)</f>
        <v>9</v>
      </c>
      <c r="AL40" s="49">
        <f>IFERROR(__xludf.DUMMYFUNCTION("""COMPUTED_VALUE"""),9.0)</f>
        <v>9</v>
      </c>
      <c r="AM40" s="49">
        <f>IFERROR(__xludf.DUMMYFUNCTION("""COMPUTED_VALUE"""),9.0)</f>
        <v>9</v>
      </c>
      <c r="AN40" s="49">
        <f>IFERROR(__xludf.DUMMYFUNCTION("""COMPUTED_VALUE"""),9.0)</f>
        <v>9</v>
      </c>
      <c r="AO40" s="49"/>
      <c r="AP40" s="49"/>
      <c r="AQ40" s="49">
        <f>IFERROR(__xludf.DUMMYFUNCTION("""COMPUTED_VALUE"""),9.0)</f>
        <v>9</v>
      </c>
      <c r="AR40" s="49"/>
      <c r="AS40" s="49"/>
      <c r="AT40" s="49"/>
      <c r="AU40" s="49"/>
      <c r="AV40" s="49"/>
      <c r="AW40" s="49"/>
      <c r="AX40" s="49"/>
    </row>
    <row r="41">
      <c r="A41" s="49" t="str">
        <f>IFERROR(__xludf.DUMMYFUNCTION("""COMPUTED_VALUE"""),"Viking")</f>
        <v>Viking</v>
      </c>
      <c r="B41" s="49" t="str">
        <f>IFERROR(__xludf.DUMMYFUNCTION("""COMPUTED_VALUE"""),"Warlord")</f>
        <v>Warlord</v>
      </c>
      <c r="C41" s="49" t="str">
        <f>IFERROR(__xludf.DUMMYFUNCTION("""COMPUTED_VALUE"""),"Rank 9 Nature, Melee, and Physical")</f>
        <v>Rank 9 Nature, Melee, and Physical</v>
      </c>
      <c r="D41" s="50" t="str">
        <f>IFERROR(__xludf.DUMMYFUNCTION("""COMPUTED_VALUE"""),"40% chance to take no damage from weapon attacks.")</f>
        <v>40% chance to take no damage from weapon attacks.</v>
      </c>
      <c r="E41" s="50" t="str">
        <f>IFERROR(__xludf.DUMMYFUNCTION("""COMPUTED_VALUE"""),"Gains 10 charisma when trying to persuade a guard.")</f>
        <v>Gains 10 charisma when trying to persuade a guard.</v>
      </c>
      <c r="F41" s="50"/>
      <c r="G41" s="50"/>
      <c r="H41" s="49"/>
      <c r="I41" s="49"/>
      <c r="J41" s="49"/>
      <c r="K41" s="49"/>
      <c r="L41" s="49"/>
      <c r="M41" s="49"/>
      <c r="N41" s="49"/>
      <c r="O41" s="49"/>
      <c r="P41" s="49"/>
      <c r="Q41" s="49"/>
      <c r="R41" s="49"/>
      <c r="S41" s="49"/>
      <c r="T41" s="49"/>
      <c r="U41" s="49"/>
      <c r="V41" s="49">
        <f>IFERROR(__xludf.DUMMYFUNCTION("""COMPUTED_VALUE"""),0.0)</f>
        <v>0</v>
      </c>
      <c r="W41" s="49"/>
      <c r="X41" s="49"/>
      <c r="Y41" s="49"/>
      <c r="Z41" s="49"/>
      <c r="AA41" s="49"/>
      <c r="AB41" s="49"/>
      <c r="AC41" s="49"/>
      <c r="AD41" s="49"/>
      <c r="AE41" s="49"/>
      <c r="AF41" s="49">
        <f>IFERROR(__xludf.DUMMYFUNCTION("""COMPUTED_VALUE"""),9.0)</f>
        <v>9</v>
      </c>
      <c r="AG41" s="49">
        <f>IFERROR(__xludf.DUMMYFUNCTION("""COMPUTED_VALUE"""),9.0)</f>
        <v>9</v>
      </c>
      <c r="AH41" s="49">
        <f>IFERROR(__xludf.DUMMYFUNCTION("""COMPUTED_VALUE"""),9.0)</f>
        <v>9</v>
      </c>
      <c r="AI41" s="49"/>
      <c r="AJ41" s="49"/>
      <c r="AK41" s="49"/>
      <c r="AL41" s="49"/>
      <c r="AM41" s="49"/>
      <c r="AN41" s="49"/>
      <c r="AO41" s="49"/>
      <c r="AP41" s="49"/>
      <c r="AQ41" s="49"/>
      <c r="AR41" s="49"/>
      <c r="AS41" s="49"/>
      <c r="AT41" s="49"/>
      <c r="AU41" s="49"/>
      <c r="AV41" s="49"/>
      <c r="AW41" s="49"/>
      <c r="AX41" s="49"/>
    </row>
    <row r="42">
      <c r="A42" s="49" t="str">
        <f>IFERROR(__xludf.DUMMYFUNCTION("""COMPUTED_VALUE"""),"Viking")</f>
        <v>Viking</v>
      </c>
      <c r="B42" s="49" t="str">
        <f>IFERROR(__xludf.DUMMYFUNCTION("""COMPUTED_VALUE"""),"Warlock")</f>
        <v>Warlock</v>
      </c>
      <c r="C42" s="49" t="str">
        <f>IFERROR(__xludf.DUMMYFUNCTION("""COMPUTED_VALUE"""),"Rank 9 Dark, Melee, and Physical")</f>
        <v>Rank 9 Dark, Melee, and Physical</v>
      </c>
      <c r="D42" s="50" t="str">
        <f>IFERROR(__xludf.DUMMYFUNCTION("""COMPUTED_VALUE"""),"Immune to Dark and Chaos.")</f>
        <v>Immune to Dark and Chaos.</v>
      </c>
      <c r="E42" s="50" t="str">
        <f>IFERROR(__xludf.DUMMYFUNCTION("""COMPUTED_VALUE"""),"Immunity to instant death.")</f>
        <v>Immunity to instant death.</v>
      </c>
      <c r="F42" s="50" t="str">
        <f>IFERROR(__xludf.DUMMYFUNCTION("""COMPUTED_VALUE"""),"50% Chance to Parry a weapon attack that is targeting you.")</f>
        <v>50% Chance to Parry a weapon attack that is targeting you.</v>
      </c>
      <c r="G42" s="50"/>
      <c r="H42" s="49"/>
      <c r="I42" s="49"/>
      <c r="J42" s="49"/>
      <c r="K42" s="49"/>
      <c r="L42" s="49"/>
      <c r="M42" s="49"/>
      <c r="N42" s="49"/>
      <c r="O42" s="49"/>
      <c r="P42" s="49"/>
      <c r="Q42" s="49"/>
      <c r="R42" s="49"/>
      <c r="S42" s="49"/>
      <c r="T42" s="49"/>
      <c r="U42" s="49"/>
      <c r="V42" s="49">
        <f>IFERROR(__xludf.DUMMYFUNCTION("""COMPUTED_VALUE"""),0.0)</f>
        <v>0</v>
      </c>
      <c r="W42" s="49"/>
      <c r="X42" s="49"/>
      <c r="Y42" s="49"/>
      <c r="Z42" s="49"/>
      <c r="AA42" s="49"/>
      <c r="AB42" s="49">
        <f>IFERROR(__xludf.DUMMYFUNCTION("""COMPUTED_VALUE"""),9.0)</f>
        <v>9</v>
      </c>
      <c r="AC42" s="49"/>
      <c r="AD42" s="49"/>
      <c r="AE42" s="49"/>
      <c r="AF42" s="49"/>
      <c r="AG42" s="49">
        <f>IFERROR(__xludf.DUMMYFUNCTION("""COMPUTED_VALUE"""),9.0)</f>
        <v>9</v>
      </c>
      <c r="AH42" s="49">
        <f>IFERROR(__xludf.DUMMYFUNCTION("""COMPUTED_VALUE"""),9.0)</f>
        <v>9</v>
      </c>
      <c r="AI42" s="49"/>
      <c r="AJ42" s="49"/>
      <c r="AK42" s="49"/>
      <c r="AL42" s="49"/>
      <c r="AM42" s="49"/>
      <c r="AN42" s="49"/>
      <c r="AO42" s="49"/>
      <c r="AP42" s="49"/>
      <c r="AQ42" s="49"/>
      <c r="AR42" s="49"/>
      <c r="AS42" s="49"/>
      <c r="AT42" s="49"/>
      <c r="AU42" s="49"/>
      <c r="AV42" s="49"/>
      <c r="AW42" s="49"/>
      <c r="AX42" s="49"/>
    </row>
    <row r="43">
      <c r="A43" s="49" t="str">
        <f>IFERROR(__xludf.DUMMYFUNCTION("""COMPUTED_VALUE"""),"Warrior")</f>
        <v>Warrior</v>
      </c>
      <c r="B43" s="49" t="str">
        <f>IFERROR(__xludf.DUMMYFUNCTION("""COMPUTED_VALUE"""),"Soldier")</f>
        <v>Soldier</v>
      </c>
      <c r="C43" s="49" t="str">
        <f>IFERROR(__xludf.DUMMYFUNCTION("""COMPUTED_VALUE"""),"Rank 9 Melee, Physical, Ranged")</f>
        <v>Rank 9 Melee, Physical, Ranged</v>
      </c>
      <c r="D43" s="50" t="str">
        <f>IFERROR(__xludf.DUMMYFUNCTION("""COMPUTED_VALUE"""),"X2 damage to weapons.")</f>
        <v>X2 damage to weapons.</v>
      </c>
      <c r="E43" s="50" t="str">
        <f>IFERROR(__xludf.DUMMYFUNCTION("""COMPUTED_VALUE"""),"X2 defense")</f>
        <v>X2 defense</v>
      </c>
      <c r="F43" s="50" t="str">
        <f>IFERROR(__xludf.DUMMYFUNCTION("""COMPUTED_VALUE"""),"Can use mobility when attacking with a weapon and dodging a Hit/Miss weapon attack.")</f>
        <v>Can use mobility when attacking with a weapon and dodging a Hit/Miss weapon attack.</v>
      </c>
      <c r="G43" s="50"/>
      <c r="H43" s="49"/>
      <c r="I43" s="49"/>
      <c r="J43" s="49"/>
      <c r="K43" s="49"/>
      <c r="L43" s="49"/>
      <c r="M43" s="49"/>
      <c r="N43" s="49"/>
      <c r="O43" s="49"/>
      <c r="P43" s="49"/>
      <c r="Q43" s="49"/>
      <c r="R43" s="49"/>
      <c r="S43" s="49"/>
      <c r="T43" s="49"/>
      <c r="U43" s="49"/>
      <c r="V43" s="49">
        <f>IFERROR(__xludf.DUMMYFUNCTION("""COMPUTED_VALUE"""),0.0)</f>
        <v>0</v>
      </c>
      <c r="W43" s="49"/>
      <c r="X43" s="49"/>
      <c r="Y43" s="49"/>
      <c r="Z43" s="49"/>
      <c r="AA43" s="49"/>
      <c r="AB43" s="49"/>
      <c r="AC43" s="49"/>
      <c r="AD43" s="49"/>
      <c r="AE43" s="49"/>
      <c r="AF43" s="49"/>
      <c r="AG43" s="49">
        <f>IFERROR(__xludf.DUMMYFUNCTION("""COMPUTED_VALUE"""),9.0)</f>
        <v>9</v>
      </c>
      <c r="AH43" s="49">
        <f>IFERROR(__xludf.DUMMYFUNCTION("""COMPUTED_VALUE"""),9.0)</f>
        <v>9</v>
      </c>
      <c r="AI43" s="49">
        <f>IFERROR(__xludf.DUMMYFUNCTION("""COMPUTED_VALUE"""),9.0)</f>
        <v>9</v>
      </c>
      <c r="AJ43" s="49"/>
      <c r="AK43" s="49"/>
      <c r="AL43" s="49"/>
      <c r="AM43" s="49"/>
      <c r="AN43" s="49"/>
      <c r="AO43" s="49"/>
      <c r="AP43" s="49"/>
      <c r="AQ43" s="49"/>
      <c r="AR43" s="49"/>
      <c r="AS43" s="49"/>
      <c r="AT43" s="49"/>
      <c r="AU43" s="49"/>
      <c r="AV43" s="49"/>
      <c r="AW43" s="49"/>
      <c r="AX43" s="49"/>
    </row>
    <row r="44">
      <c r="A44" s="49" t="str">
        <f>IFERROR(__xludf.DUMMYFUNCTION("""COMPUTED_VALUE"""),"WeaponMaster")</f>
        <v>WeaponMaster</v>
      </c>
      <c r="B44" s="49" t="str">
        <f>IFERROR(__xludf.DUMMYFUNCTION("""COMPUTED_VALUE"""),"Weapon Purist")</f>
        <v>Weapon Purist</v>
      </c>
      <c r="C44" s="49" t="str">
        <f>IFERROR(__xludf.DUMMYFUNCTION("""COMPUTED_VALUE"""),"Rank 9 Physical, Ranged, Melee")</f>
        <v>Rank 9 Physical, Ranged, Melee</v>
      </c>
      <c r="D44" s="50" t="str">
        <f>IFERROR(__xludf.DUMMYFUNCTION("""COMPUTED_VALUE"""),"Add mobility when attacking with a weapon.")</f>
        <v>Add mobility when attacking with a weapon.</v>
      </c>
      <c r="E44" s="50" t="str">
        <f>IFERROR(__xludf.DUMMYFUNCTION("""COMPUTED_VALUE"""),"X4 damage to all weapons for the user.")</f>
        <v>X4 damage to all weapons for the user.</v>
      </c>
      <c r="F44" s="50" t="str">
        <f>IFERROR(__xludf.DUMMYFUNCTION("""COMPUTED_VALUE"""),"Immune to Weapon damage, Cannot resist or be immune to Spell Attacks.")</f>
        <v>Immune to Weapon damage, Cannot resist or be immune to Spell Attacks.</v>
      </c>
      <c r="G44" s="50"/>
      <c r="H44" s="49"/>
      <c r="I44" s="49"/>
      <c r="J44" s="49"/>
      <c r="K44" s="49"/>
      <c r="L44" s="49"/>
      <c r="M44" s="49"/>
      <c r="N44" s="49"/>
      <c r="O44" s="49"/>
      <c r="P44" s="49"/>
      <c r="Q44" s="49"/>
      <c r="R44" s="49"/>
      <c r="S44" s="49"/>
      <c r="T44" s="49"/>
      <c r="U44" s="49"/>
      <c r="V44" s="49">
        <f>IFERROR(__xludf.DUMMYFUNCTION("""COMPUTED_VALUE"""),0.0)</f>
        <v>0</v>
      </c>
      <c r="W44" s="49"/>
      <c r="X44" s="49"/>
      <c r="Y44" s="49"/>
      <c r="Z44" s="49"/>
      <c r="AA44" s="49"/>
      <c r="AB44" s="49"/>
      <c r="AC44" s="49"/>
      <c r="AD44" s="49"/>
      <c r="AE44" s="49"/>
      <c r="AF44" s="49"/>
      <c r="AG44" s="49">
        <f>IFERROR(__xludf.DUMMYFUNCTION("""COMPUTED_VALUE"""),9.0)</f>
        <v>9</v>
      </c>
      <c r="AH44" s="49">
        <f>IFERROR(__xludf.DUMMYFUNCTION("""COMPUTED_VALUE"""),9.0)</f>
        <v>9</v>
      </c>
      <c r="AI44" s="49">
        <f>IFERROR(__xludf.DUMMYFUNCTION("""COMPUTED_VALUE"""),9.0)</f>
        <v>9</v>
      </c>
      <c r="AJ44" s="49"/>
      <c r="AK44" s="49"/>
      <c r="AL44" s="49"/>
      <c r="AM44" s="49"/>
      <c r="AN44" s="49"/>
      <c r="AO44" s="49"/>
      <c r="AP44" s="49"/>
      <c r="AQ44" s="49"/>
      <c r="AR44" s="49"/>
      <c r="AS44" s="49"/>
      <c r="AT44" s="49"/>
      <c r="AU44" s="49"/>
      <c r="AV44" s="49"/>
      <c r="AW44" s="49"/>
      <c r="AX44" s="49"/>
    </row>
    <row r="45">
      <c r="A45" s="49" t="str">
        <f>IFERROR(__xludf.DUMMYFUNCTION("""COMPUTED_VALUE"""),"Witch")</f>
        <v>Witch</v>
      </c>
      <c r="B45" s="49" t="str">
        <f>IFERROR(__xludf.DUMMYFUNCTION("""COMPUTED_VALUE"""),"Hag")</f>
        <v>Hag</v>
      </c>
      <c r="C45" s="49" t="str">
        <f>IFERROR(__xludf.DUMMYFUNCTION("""COMPUTED_VALUE"""),"Rank 9 in all Elements (excluding Zen and Acoustic)")</f>
        <v>Rank 9 in all Elements (excluding Zen and Acoustic)</v>
      </c>
      <c r="D45" s="50" t="str">
        <f>IFERROR(__xludf.DUMMYFUNCTION("""COMPUTED_VALUE"""),"Potions have double their normal effectiveness.")</f>
        <v>Potions have double their normal effectiveness.</v>
      </c>
      <c r="E45" s="50" t="str">
        <f>IFERROR(__xludf.DUMMYFUNCTION("""COMPUTED_VALUE"""),"Immune to enemy status effects.")</f>
        <v>Immune to enemy status effects.</v>
      </c>
      <c r="F45" s="50" t="str">
        <f>IFERROR(__xludf.DUMMYFUNCTION("""COMPUTED_VALUE"""),"Herbs have double their normal effectiveness.")</f>
        <v>Herbs have double their normal effectiveness.</v>
      </c>
      <c r="G45" s="50"/>
      <c r="H45" s="49"/>
      <c r="I45" s="49"/>
      <c r="J45" s="49"/>
      <c r="K45" s="49"/>
      <c r="L45" s="49"/>
      <c r="M45" s="49"/>
      <c r="N45" s="49"/>
      <c r="O45" s="49"/>
      <c r="P45" s="49"/>
      <c r="Q45" s="49"/>
      <c r="R45" s="49"/>
      <c r="S45" s="49"/>
      <c r="T45" s="49"/>
      <c r="U45" s="49"/>
      <c r="V45" s="49">
        <f>IFERROR(__xludf.DUMMYFUNCTION("""COMPUTED_VALUE"""),0.0)</f>
        <v>0</v>
      </c>
      <c r="W45" s="49">
        <f>IFERROR(__xludf.DUMMYFUNCTION("""COMPUTED_VALUE"""),9.0)</f>
        <v>9</v>
      </c>
      <c r="X45" s="49">
        <f>IFERROR(__xludf.DUMMYFUNCTION("""COMPUTED_VALUE"""),9.0)</f>
        <v>9</v>
      </c>
      <c r="Y45" s="49">
        <f>IFERROR(__xludf.DUMMYFUNCTION("""COMPUTED_VALUE"""),9.0)</f>
        <v>9</v>
      </c>
      <c r="Z45" s="49">
        <f>IFERROR(__xludf.DUMMYFUNCTION("""COMPUTED_VALUE"""),9.0)</f>
        <v>9</v>
      </c>
      <c r="AA45" s="49">
        <f>IFERROR(__xludf.DUMMYFUNCTION("""COMPUTED_VALUE"""),9.0)</f>
        <v>9</v>
      </c>
      <c r="AB45" s="49">
        <f>IFERROR(__xludf.DUMMYFUNCTION("""COMPUTED_VALUE"""),9.0)</f>
        <v>9</v>
      </c>
      <c r="AC45" s="49">
        <f>IFERROR(__xludf.DUMMYFUNCTION("""COMPUTED_VALUE"""),9.0)</f>
        <v>9</v>
      </c>
      <c r="AD45" s="49">
        <f>IFERROR(__xludf.DUMMYFUNCTION("""COMPUTED_VALUE"""),9.0)</f>
        <v>9</v>
      </c>
      <c r="AE45" s="49">
        <f>IFERROR(__xludf.DUMMYFUNCTION("""COMPUTED_VALUE"""),9.0)</f>
        <v>9</v>
      </c>
      <c r="AF45" s="49">
        <f>IFERROR(__xludf.DUMMYFUNCTION("""COMPUTED_VALUE"""),9.0)</f>
        <v>9</v>
      </c>
      <c r="AG45" s="49">
        <f>IFERROR(__xludf.DUMMYFUNCTION("""COMPUTED_VALUE"""),9.0)</f>
        <v>9</v>
      </c>
      <c r="AH45" s="49">
        <f>IFERROR(__xludf.DUMMYFUNCTION("""COMPUTED_VALUE"""),9.0)</f>
        <v>9</v>
      </c>
      <c r="AI45" s="49">
        <f>IFERROR(__xludf.DUMMYFUNCTION("""COMPUTED_VALUE"""),9.0)</f>
        <v>9</v>
      </c>
      <c r="AJ45" s="49">
        <f>IFERROR(__xludf.DUMMYFUNCTION("""COMPUTED_VALUE"""),9.0)</f>
        <v>9</v>
      </c>
      <c r="AK45" s="49">
        <f>IFERROR(__xludf.DUMMYFUNCTION("""COMPUTED_VALUE"""),9.0)</f>
        <v>9</v>
      </c>
      <c r="AL45" s="49">
        <f>IFERROR(__xludf.DUMMYFUNCTION("""COMPUTED_VALUE"""),9.0)</f>
        <v>9</v>
      </c>
      <c r="AM45" s="49">
        <f>IFERROR(__xludf.DUMMYFUNCTION("""COMPUTED_VALUE"""),9.0)</f>
        <v>9</v>
      </c>
      <c r="AN45" s="49">
        <f>IFERROR(__xludf.DUMMYFUNCTION("""COMPUTED_VALUE"""),9.0)</f>
        <v>9</v>
      </c>
      <c r="AO45" s="49"/>
      <c r="AP45" s="49"/>
      <c r="AQ45" s="49">
        <f>IFERROR(__xludf.DUMMYFUNCTION("""COMPUTED_VALUE"""),9.0)</f>
        <v>9</v>
      </c>
      <c r="AR45" s="49"/>
      <c r="AS45" s="49"/>
      <c r="AT45" s="49"/>
      <c r="AU45" s="49"/>
      <c r="AV45" s="49"/>
      <c r="AW45" s="49"/>
      <c r="AX45" s="49"/>
    </row>
    <row r="46">
      <c r="A46" s="49" t="str">
        <f>IFERROR(__xludf.DUMMYFUNCTION("""COMPUTED_VALUE"""),"Wizard")</f>
        <v>Wizard</v>
      </c>
      <c r="B46" s="49" t="str">
        <f>IFERROR(__xludf.DUMMYFUNCTION("""COMPUTED_VALUE"""),"Elemental Wizard")</f>
        <v>Elemental Wizard</v>
      </c>
      <c r="C46" s="49" t="str">
        <f>IFERROR(__xludf.DUMMYFUNCTION("""COMPUTED_VALUE"""),"Rank 9 in all Elements (excluding Zen and Acoustic)")</f>
        <v>Rank 9 in all Elements (excluding Zen and Acoustic)</v>
      </c>
      <c r="D46" s="50" t="str">
        <f>IFERROR(__xludf.DUMMYFUNCTION("""COMPUTED_VALUE"""),"X4 to spell damage for the user.")</f>
        <v>X4 to spell damage for the user.</v>
      </c>
      <c r="E46" s="50" t="str">
        <f>IFERROR(__xludf.DUMMYFUNCTION("""COMPUTED_VALUE"""),"Immune to Fire, Water, Nature, Storm, and Earth Damage.")</f>
        <v>Immune to Fire, Water, Nature, Storm, and Earth Damage.</v>
      </c>
      <c r="F46" s="50" t="str">
        <f>IFERROR(__xludf.DUMMYFUNCTION("""COMPUTED_VALUE"""),"Can use mobility when using a Hit/Miss Spell attack.")</f>
        <v>Can use mobility when using a Hit/Miss Spell attack.</v>
      </c>
      <c r="G46" s="50"/>
      <c r="H46" s="49"/>
      <c r="I46" s="49"/>
      <c r="J46" s="49"/>
      <c r="K46" s="49"/>
      <c r="L46" s="49"/>
      <c r="M46" s="49"/>
      <c r="N46" s="49"/>
      <c r="O46" s="49"/>
      <c r="P46" s="49"/>
      <c r="Q46" s="49"/>
      <c r="R46" s="49"/>
      <c r="S46" s="49"/>
      <c r="T46" s="49"/>
      <c r="U46" s="49"/>
      <c r="V46" s="49">
        <f>IFERROR(__xludf.DUMMYFUNCTION("""COMPUTED_VALUE"""),0.0)</f>
        <v>0</v>
      </c>
      <c r="W46" s="49">
        <f>IFERROR(__xludf.DUMMYFUNCTION("""COMPUTED_VALUE"""),9.0)</f>
        <v>9</v>
      </c>
      <c r="X46" s="49">
        <f>IFERROR(__xludf.DUMMYFUNCTION("""COMPUTED_VALUE"""),9.0)</f>
        <v>9</v>
      </c>
      <c r="Y46" s="49">
        <f>IFERROR(__xludf.DUMMYFUNCTION("""COMPUTED_VALUE"""),9.0)</f>
        <v>9</v>
      </c>
      <c r="Z46" s="49">
        <f>IFERROR(__xludf.DUMMYFUNCTION("""COMPUTED_VALUE"""),9.0)</f>
        <v>9</v>
      </c>
      <c r="AA46" s="49">
        <f>IFERROR(__xludf.DUMMYFUNCTION("""COMPUTED_VALUE"""),9.0)</f>
        <v>9</v>
      </c>
      <c r="AB46" s="49">
        <f>IFERROR(__xludf.DUMMYFUNCTION("""COMPUTED_VALUE"""),9.0)</f>
        <v>9</v>
      </c>
      <c r="AC46" s="49">
        <f>IFERROR(__xludf.DUMMYFUNCTION("""COMPUTED_VALUE"""),9.0)</f>
        <v>9</v>
      </c>
      <c r="AD46" s="49">
        <f>IFERROR(__xludf.DUMMYFUNCTION("""COMPUTED_VALUE"""),9.0)</f>
        <v>9</v>
      </c>
      <c r="AE46" s="49">
        <f>IFERROR(__xludf.DUMMYFUNCTION("""COMPUTED_VALUE"""),9.0)</f>
        <v>9</v>
      </c>
      <c r="AF46" s="49">
        <f>IFERROR(__xludf.DUMMYFUNCTION("""COMPUTED_VALUE"""),9.0)</f>
        <v>9</v>
      </c>
      <c r="AG46" s="49">
        <f>IFERROR(__xludf.DUMMYFUNCTION("""COMPUTED_VALUE"""),9.0)</f>
        <v>9</v>
      </c>
      <c r="AH46" s="49">
        <f>IFERROR(__xludf.DUMMYFUNCTION("""COMPUTED_VALUE"""),9.0)</f>
        <v>9</v>
      </c>
      <c r="AI46" s="49">
        <f>IFERROR(__xludf.DUMMYFUNCTION("""COMPUTED_VALUE"""),9.0)</f>
        <v>9</v>
      </c>
      <c r="AJ46" s="49">
        <f>IFERROR(__xludf.DUMMYFUNCTION("""COMPUTED_VALUE"""),9.0)</f>
        <v>9</v>
      </c>
      <c r="AK46" s="49">
        <f>IFERROR(__xludf.DUMMYFUNCTION("""COMPUTED_VALUE"""),9.0)</f>
        <v>9</v>
      </c>
      <c r="AL46" s="49">
        <f>IFERROR(__xludf.DUMMYFUNCTION("""COMPUTED_VALUE"""),9.0)</f>
        <v>9</v>
      </c>
      <c r="AM46" s="49">
        <f>IFERROR(__xludf.DUMMYFUNCTION("""COMPUTED_VALUE"""),9.0)</f>
        <v>9</v>
      </c>
      <c r="AN46" s="49">
        <f>IFERROR(__xludf.DUMMYFUNCTION("""COMPUTED_VALUE"""),9.0)</f>
        <v>9</v>
      </c>
      <c r="AO46" s="49"/>
      <c r="AP46" s="49"/>
      <c r="AQ46" s="49">
        <f>IFERROR(__xludf.DUMMYFUNCTION("""COMPUTED_VALUE"""),9.0)</f>
        <v>9</v>
      </c>
      <c r="AR46" s="49"/>
      <c r="AS46" s="49"/>
      <c r="AT46" s="49"/>
      <c r="AU46" s="49"/>
      <c r="AV46" s="49"/>
      <c r="AW46" s="49"/>
      <c r="AX46" s="49"/>
    </row>
    <row r="47">
      <c r="A47" s="49"/>
      <c r="B47" s="49"/>
      <c r="C47" s="49"/>
      <c r="D47" s="50"/>
      <c r="E47" s="50"/>
      <c r="F47" s="50"/>
      <c r="G47" s="50"/>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49"/>
      <c r="AI47" s="49"/>
      <c r="AJ47" s="49"/>
      <c r="AK47" s="49"/>
      <c r="AL47" s="49"/>
      <c r="AM47" s="49"/>
      <c r="AN47" s="49"/>
      <c r="AO47" s="49"/>
      <c r="AP47" s="49"/>
      <c r="AQ47" s="49"/>
      <c r="AR47" s="49"/>
      <c r="AS47" s="49"/>
      <c r="AT47" s="49"/>
      <c r="AU47" s="49"/>
      <c r="AV47" s="49"/>
      <c r="AW47" s="49"/>
      <c r="AX47" s="49"/>
    </row>
    <row r="48">
      <c r="A48" s="49"/>
      <c r="B48" s="49"/>
      <c r="C48" s="49"/>
      <c r="D48" s="50"/>
      <c r="E48" s="50"/>
      <c r="F48" s="50"/>
      <c r="G48" s="50"/>
      <c r="H48" s="49"/>
      <c r="I48" s="49"/>
      <c r="J48" s="49"/>
      <c r="K48" s="49"/>
      <c r="L48" s="49"/>
      <c r="M48" s="49"/>
      <c r="N48" s="49"/>
      <c r="O48" s="49"/>
      <c r="P48" s="49"/>
      <c r="Q48" s="49"/>
      <c r="R48" s="49"/>
      <c r="S48" s="49"/>
      <c r="T48" s="49"/>
      <c r="U48" s="49"/>
      <c r="V48" s="49">
        <f>IFERROR(__xludf.DUMMYFUNCTION("""COMPUTED_VALUE"""),0.0)</f>
        <v>0</v>
      </c>
      <c r="W48" s="49"/>
      <c r="X48" s="49"/>
      <c r="Y48" s="49"/>
      <c r="Z48" s="49"/>
      <c r="AA48" s="49"/>
      <c r="AB48" s="49"/>
      <c r="AC48" s="49">
        <f>IFERROR(__xludf.DUMMYFUNCTION("""COMPUTED_VALUE"""),9.0)</f>
        <v>9</v>
      </c>
      <c r="AD48" s="49"/>
      <c r="AE48" s="49"/>
      <c r="AF48" s="49"/>
      <c r="AG48" s="49"/>
      <c r="AH48" s="49"/>
      <c r="AI48" s="49"/>
      <c r="AJ48" s="49"/>
      <c r="AK48" s="49"/>
      <c r="AL48" s="49"/>
      <c r="AM48" s="49"/>
      <c r="AN48" s="49"/>
      <c r="AO48" s="49"/>
      <c r="AP48" s="49"/>
      <c r="AQ48" s="49">
        <f>IFERROR(__xludf.DUMMYFUNCTION("""COMPUTED_VALUE"""),9.0)</f>
        <v>9</v>
      </c>
      <c r="AR48" s="49"/>
      <c r="AS48" s="49"/>
      <c r="AT48" s="49"/>
      <c r="AU48" s="49"/>
      <c r="AV48" s="49"/>
      <c r="AW48" s="49"/>
      <c r="AX48" s="49"/>
    </row>
    <row r="49">
      <c r="A49" s="49"/>
      <c r="B49" s="49"/>
      <c r="C49" s="49"/>
      <c r="D49" s="50"/>
      <c r="E49" s="50"/>
      <c r="F49" s="50"/>
      <c r="G49" s="50"/>
      <c r="H49" s="49"/>
      <c r="I49" s="49"/>
      <c r="J49" s="49"/>
      <c r="K49" s="49"/>
      <c r="L49" s="49"/>
      <c r="M49" s="49"/>
      <c r="N49" s="49"/>
      <c r="O49" s="49"/>
      <c r="P49" s="49"/>
      <c r="Q49" s="49"/>
      <c r="R49" s="49"/>
      <c r="S49" s="49"/>
      <c r="T49" s="49"/>
      <c r="U49" s="49"/>
      <c r="V49" s="49">
        <f>IFERROR(__xludf.DUMMYFUNCTION("""COMPUTED_VALUE"""),0.0)</f>
        <v>0</v>
      </c>
      <c r="W49" s="49"/>
      <c r="X49" s="49"/>
      <c r="Y49" s="49"/>
      <c r="Z49" s="49"/>
      <c r="AA49" s="49"/>
      <c r="AB49" s="49"/>
      <c r="AC49" s="49">
        <f>IFERROR(__xludf.DUMMYFUNCTION("""COMPUTED_VALUE"""),9.0)</f>
        <v>9</v>
      </c>
      <c r="AD49" s="49"/>
      <c r="AE49" s="49"/>
      <c r="AF49" s="49"/>
      <c r="AG49" s="49"/>
      <c r="AH49" s="49"/>
      <c r="AI49" s="49"/>
      <c r="AJ49" s="49"/>
      <c r="AK49" s="49"/>
      <c r="AL49" s="49"/>
      <c r="AM49" s="49"/>
      <c r="AN49" s="49"/>
      <c r="AO49" s="49"/>
      <c r="AP49" s="49"/>
      <c r="AQ49" s="49"/>
      <c r="AR49" s="49">
        <f>IFERROR(__xludf.DUMMYFUNCTION("""COMPUTED_VALUE"""),6.0)</f>
        <v>6</v>
      </c>
      <c r="AS49" s="49"/>
      <c r="AT49" s="49"/>
      <c r="AU49" s="49"/>
      <c r="AV49" s="49"/>
      <c r="AW49" s="49"/>
      <c r="AX49" s="49"/>
    </row>
    <row r="50">
      <c r="A50" s="49"/>
      <c r="B50" s="49"/>
      <c r="C50" s="49"/>
      <c r="D50" s="50"/>
      <c r="E50" s="50"/>
      <c r="F50" s="50"/>
      <c r="G50" s="50"/>
      <c r="H50" s="49"/>
      <c r="I50" s="49"/>
      <c r="J50" s="49"/>
      <c r="K50" s="49"/>
      <c r="L50" s="49"/>
      <c r="M50" s="49"/>
      <c r="N50" s="49"/>
      <c r="O50" s="49"/>
      <c r="P50" s="49"/>
      <c r="Q50" s="49"/>
      <c r="R50" s="49"/>
      <c r="S50" s="49"/>
      <c r="T50" s="49"/>
      <c r="U50" s="49"/>
      <c r="V50" s="49"/>
      <c r="W50" s="49">
        <f>IFERROR(__xludf.DUMMYFUNCTION("""COMPUTED_VALUE"""),9.0)</f>
        <v>9</v>
      </c>
      <c r="X50" s="49">
        <f>IFERROR(__xludf.DUMMYFUNCTION("""COMPUTED_VALUE"""),9.0)</f>
        <v>9</v>
      </c>
      <c r="Y50" s="49">
        <f>IFERROR(__xludf.DUMMYFUNCTION("""COMPUTED_VALUE"""),9.0)</f>
        <v>9</v>
      </c>
      <c r="Z50" s="49">
        <f>IFERROR(__xludf.DUMMYFUNCTION("""COMPUTED_VALUE"""),9.0)</f>
        <v>9</v>
      </c>
      <c r="AA50" s="49"/>
      <c r="AB50" s="49"/>
      <c r="AC50" s="49">
        <f>IFERROR(__xludf.DUMMYFUNCTION("""COMPUTED_VALUE"""),9.0)</f>
        <v>9</v>
      </c>
      <c r="AD50" s="49"/>
      <c r="AE50" s="49"/>
      <c r="AF50" s="49">
        <f>IFERROR(__xludf.DUMMYFUNCTION("""COMPUTED_VALUE"""),9.0)</f>
        <v>9</v>
      </c>
      <c r="AG50" s="49"/>
      <c r="AH50" s="49"/>
      <c r="AI50" s="49"/>
      <c r="AJ50" s="49"/>
      <c r="AK50" s="49"/>
      <c r="AL50" s="49"/>
      <c r="AM50" s="49"/>
      <c r="AN50" s="49"/>
      <c r="AO50" s="49"/>
      <c r="AP50" s="49"/>
      <c r="AQ50" s="49"/>
      <c r="AR50" s="49"/>
      <c r="AS50" s="49"/>
      <c r="AT50" s="49"/>
      <c r="AU50" s="49"/>
      <c r="AV50" s="49"/>
      <c r="AW50" s="49"/>
      <c r="AX50" s="49"/>
    </row>
    <row r="51">
      <c r="A51" s="49"/>
      <c r="B51" s="49"/>
      <c r="C51" s="49"/>
      <c r="D51" s="50"/>
      <c r="E51" s="50"/>
      <c r="F51" s="50"/>
      <c r="G51" s="50"/>
      <c r="H51" s="49"/>
      <c r="I51" s="49"/>
      <c r="J51" s="49"/>
      <c r="K51" s="49"/>
      <c r="L51" s="49"/>
      <c r="M51" s="49"/>
      <c r="N51" s="49"/>
      <c r="O51" s="49"/>
      <c r="P51" s="49"/>
      <c r="Q51" s="49"/>
      <c r="R51" s="49"/>
      <c r="S51" s="49"/>
      <c r="T51" s="49"/>
      <c r="U51" s="49"/>
      <c r="V51" s="49"/>
      <c r="W51" s="49"/>
      <c r="X51" s="49"/>
      <c r="Y51" s="49"/>
      <c r="Z51" s="49"/>
      <c r="AA51" s="49"/>
      <c r="AB51" s="49">
        <f>IFERROR(__xludf.DUMMYFUNCTION("""COMPUTED_VALUE"""),9.0)</f>
        <v>9</v>
      </c>
      <c r="AC51" s="49">
        <f>IFERROR(__xludf.DUMMYFUNCTION("""COMPUTED_VALUE"""),9.0)</f>
        <v>9</v>
      </c>
      <c r="AD51" s="49"/>
      <c r="AE51" s="49">
        <f>IFERROR(__xludf.DUMMYFUNCTION("""COMPUTED_VALUE"""),9.0)</f>
        <v>9</v>
      </c>
      <c r="AF51" s="49"/>
      <c r="AG51" s="49"/>
      <c r="AH51" s="49"/>
      <c r="AI51" s="49"/>
      <c r="AJ51" s="49"/>
      <c r="AK51" s="49"/>
      <c r="AL51" s="49">
        <f>IFERROR(__xludf.DUMMYFUNCTION("""COMPUTED_VALUE"""),9.0)</f>
        <v>9</v>
      </c>
      <c r="AM51" s="49"/>
      <c r="AN51" s="49"/>
      <c r="AO51" s="49"/>
      <c r="AP51" s="49"/>
      <c r="AQ51" s="49"/>
      <c r="AR51" s="49"/>
      <c r="AS51" s="49"/>
      <c r="AT51" s="49"/>
      <c r="AU51" s="49"/>
      <c r="AV51" s="49"/>
      <c r="AW51" s="49"/>
      <c r="AX51" s="49"/>
    </row>
    <row r="52">
      <c r="A52" s="49"/>
      <c r="B52" s="49"/>
      <c r="C52" s="49"/>
      <c r="D52" s="50"/>
      <c r="E52" s="50"/>
      <c r="F52" s="50"/>
      <c r="G52" s="50"/>
      <c r="H52" s="49"/>
      <c r="I52" s="49"/>
      <c r="J52" s="49"/>
      <c r="K52" s="49"/>
      <c r="L52" s="49"/>
      <c r="M52" s="49"/>
      <c r="N52" s="49"/>
      <c r="O52" s="49"/>
      <c r="P52" s="49"/>
      <c r="Q52" s="49"/>
      <c r="R52" s="49"/>
      <c r="S52" s="49"/>
      <c r="T52" s="49"/>
      <c r="U52" s="49"/>
      <c r="V52" s="49">
        <f>IFERROR(__xludf.DUMMYFUNCTION("""COMPUTED_VALUE"""),0.0)</f>
        <v>0</v>
      </c>
      <c r="W52" s="49"/>
      <c r="X52" s="49"/>
      <c r="Y52" s="49"/>
      <c r="Z52" s="49"/>
      <c r="AA52" s="49"/>
      <c r="AB52" s="49"/>
      <c r="AC52" s="49"/>
      <c r="AD52" s="49">
        <f>IFERROR(__xludf.DUMMYFUNCTION("""COMPUTED_VALUE"""),9.0)</f>
        <v>9</v>
      </c>
      <c r="AE52" s="49"/>
      <c r="AF52" s="49">
        <f>IFERROR(__xludf.DUMMYFUNCTION("""COMPUTED_VALUE"""),9.0)</f>
        <v>9</v>
      </c>
      <c r="AG52" s="49">
        <f>IFERROR(__xludf.DUMMYFUNCTION("""COMPUTED_VALUE"""),9.0)</f>
        <v>9</v>
      </c>
      <c r="AH52" s="49">
        <f>IFERROR(__xludf.DUMMYFUNCTION("""COMPUTED_VALUE"""),9.0)</f>
        <v>9</v>
      </c>
      <c r="AI52" s="49"/>
      <c r="AJ52" s="49"/>
      <c r="AK52" s="49"/>
      <c r="AL52" s="49"/>
      <c r="AM52" s="49"/>
      <c r="AN52" s="49"/>
      <c r="AO52" s="49">
        <f>IFERROR(__xludf.DUMMYFUNCTION("""COMPUTED_VALUE"""),9.0)</f>
        <v>9</v>
      </c>
      <c r="AP52" s="49"/>
      <c r="AQ52" s="49"/>
      <c r="AR52" s="49"/>
      <c r="AS52" s="49"/>
      <c r="AT52" s="49"/>
      <c r="AU52" s="49"/>
      <c r="AV52" s="49"/>
      <c r="AW52" s="49"/>
      <c r="AX52" s="49"/>
    </row>
    <row r="53">
      <c r="A53" s="49"/>
      <c r="B53" s="49"/>
      <c r="C53" s="49"/>
      <c r="D53" s="50"/>
      <c r="E53" s="50"/>
      <c r="F53" s="50"/>
      <c r="G53" s="50"/>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49"/>
      <c r="AI53" s="49"/>
      <c r="AJ53" s="49"/>
      <c r="AK53" s="49"/>
      <c r="AL53" s="49"/>
      <c r="AM53" s="49"/>
      <c r="AN53" s="49"/>
      <c r="AO53" s="49"/>
      <c r="AP53" s="49"/>
      <c r="AQ53" s="49"/>
      <c r="AR53" s="49"/>
      <c r="AS53" s="49"/>
      <c r="AT53" s="49"/>
      <c r="AU53" s="49"/>
      <c r="AV53" s="49"/>
      <c r="AW53" s="49"/>
      <c r="AX53" s="49"/>
    </row>
    <row r="54">
      <c r="A54" s="49"/>
      <c r="B54" s="49"/>
      <c r="C54" s="49"/>
      <c r="D54" s="50"/>
      <c r="E54" s="50"/>
      <c r="F54" s="50"/>
      <c r="G54" s="50"/>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49"/>
      <c r="AI54" s="49"/>
      <c r="AJ54" s="49"/>
      <c r="AK54" s="49"/>
      <c r="AL54" s="49"/>
      <c r="AM54" s="49"/>
      <c r="AN54" s="49"/>
      <c r="AO54" s="49"/>
      <c r="AP54" s="49"/>
      <c r="AQ54" s="49"/>
      <c r="AR54" s="49"/>
      <c r="AS54" s="49"/>
      <c r="AT54" s="49"/>
      <c r="AU54" s="49"/>
      <c r="AV54" s="49"/>
      <c r="AW54" s="49"/>
      <c r="AX54" s="49"/>
    </row>
    <row r="55">
      <c r="A55" s="49"/>
      <c r="B55" s="49"/>
      <c r="C55" s="49"/>
      <c r="D55" s="50"/>
      <c r="E55" s="50"/>
      <c r="F55" s="50"/>
      <c r="G55" s="50"/>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c r="AH55" s="49"/>
      <c r="AI55" s="49"/>
      <c r="AJ55" s="49"/>
      <c r="AK55" s="49"/>
      <c r="AL55" s="49"/>
      <c r="AM55" s="49"/>
      <c r="AN55" s="49"/>
      <c r="AO55" s="49"/>
      <c r="AP55" s="49"/>
      <c r="AQ55" s="49"/>
      <c r="AR55" s="49"/>
      <c r="AS55" s="49"/>
      <c r="AT55" s="49"/>
      <c r="AU55" s="49"/>
      <c r="AV55" s="49"/>
      <c r="AW55" s="49"/>
      <c r="AX55" s="49"/>
    </row>
    <row r="56">
      <c r="A56" s="49"/>
      <c r="B56" s="49"/>
      <c r="C56" s="49"/>
      <c r="D56" s="50"/>
      <c r="E56" s="50"/>
      <c r="F56" s="50"/>
      <c r="G56" s="50"/>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49"/>
      <c r="AI56" s="49"/>
      <c r="AJ56" s="49"/>
      <c r="AK56" s="49"/>
      <c r="AL56" s="49"/>
      <c r="AM56" s="49"/>
      <c r="AN56" s="49"/>
      <c r="AO56" s="49"/>
      <c r="AP56" s="49"/>
      <c r="AQ56" s="49"/>
      <c r="AR56" s="49"/>
      <c r="AS56" s="49"/>
      <c r="AT56" s="49"/>
      <c r="AU56" s="49"/>
      <c r="AV56" s="49"/>
      <c r="AW56" s="49"/>
      <c r="AX56" s="49"/>
    </row>
    <row r="57">
      <c r="A57" s="49"/>
      <c r="B57" s="49"/>
      <c r="C57" s="49"/>
      <c r="D57" s="50"/>
      <c r="E57" s="50"/>
      <c r="F57" s="50"/>
      <c r="G57" s="50"/>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49"/>
      <c r="AI57" s="49"/>
      <c r="AJ57" s="49"/>
      <c r="AK57" s="49"/>
      <c r="AL57" s="49"/>
      <c r="AM57" s="49"/>
      <c r="AN57" s="49"/>
      <c r="AO57" s="49"/>
      <c r="AP57" s="49"/>
      <c r="AQ57" s="49"/>
      <c r="AR57" s="49"/>
      <c r="AS57" s="49"/>
      <c r="AT57" s="49"/>
      <c r="AU57" s="49"/>
      <c r="AV57" s="49"/>
      <c r="AW57" s="49"/>
      <c r="AX57" s="49"/>
    </row>
    <row r="58">
      <c r="A58" s="49"/>
      <c r="B58" s="49"/>
      <c r="C58" s="49"/>
      <c r="D58" s="50"/>
      <c r="E58" s="50"/>
      <c r="F58" s="50"/>
      <c r="G58" s="50"/>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49"/>
      <c r="AI58" s="49"/>
      <c r="AJ58" s="49"/>
      <c r="AK58" s="49"/>
      <c r="AL58" s="49"/>
      <c r="AM58" s="49"/>
      <c r="AN58" s="49"/>
      <c r="AO58" s="49"/>
      <c r="AP58" s="49"/>
      <c r="AQ58" s="49"/>
      <c r="AR58" s="49"/>
      <c r="AS58" s="49"/>
      <c r="AT58" s="49"/>
      <c r="AU58" s="49"/>
      <c r="AV58" s="49"/>
      <c r="AW58" s="49"/>
      <c r="AX58" s="49"/>
    </row>
    <row r="59">
      <c r="A59" s="49"/>
      <c r="B59" s="49"/>
      <c r="C59" s="49"/>
      <c r="D59" s="50"/>
      <c r="E59" s="50"/>
      <c r="F59" s="50"/>
      <c r="G59" s="50"/>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49"/>
      <c r="AI59" s="49"/>
      <c r="AJ59" s="49"/>
      <c r="AK59" s="49"/>
      <c r="AL59" s="49"/>
      <c r="AM59" s="49"/>
      <c r="AN59" s="49"/>
      <c r="AO59" s="49"/>
      <c r="AP59" s="49"/>
      <c r="AQ59" s="49"/>
      <c r="AR59" s="49"/>
      <c r="AS59" s="49"/>
      <c r="AT59" s="49"/>
      <c r="AU59" s="49"/>
      <c r="AV59" s="49"/>
      <c r="AW59" s="49"/>
      <c r="AX59" s="49"/>
    </row>
    <row r="60">
      <c r="A60" s="49"/>
      <c r="B60" s="49"/>
      <c r="C60" s="49"/>
      <c r="D60" s="50"/>
      <c r="E60" s="50"/>
      <c r="F60" s="50"/>
      <c r="G60" s="50"/>
      <c r="H60" s="49"/>
      <c r="I60" s="49"/>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49"/>
      <c r="AI60" s="49"/>
      <c r="AJ60" s="49"/>
      <c r="AK60" s="49"/>
      <c r="AL60" s="49"/>
      <c r="AM60" s="49"/>
      <c r="AN60" s="49"/>
      <c r="AO60" s="49"/>
      <c r="AP60" s="49"/>
      <c r="AQ60" s="49"/>
      <c r="AR60" s="49"/>
      <c r="AS60" s="49"/>
      <c r="AT60" s="49"/>
      <c r="AU60" s="49"/>
      <c r="AV60" s="49"/>
      <c r="AW60" s="49"/>
      <c r="AX60" s="49"/>
    </row>
    <row r="61">
      <c r="A61" s="49"/>
      <c r="B61" s="49"/>
      <c r="C61" s="49"/>
      <c r="D61" s="50"/>
      <c r="E61" s="50"/>
      <c r="F61" s="50"/>
      <c r="G61" s="50"/>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49"/>
      <c r="AI61" s="49"/>
      <c r="AJ61" s="49"/>
      <c r="AK61" s="49"/>
      <c r="AL61" s="49"/>
      <c r="AM61" s="49"/>
      <c r="AN61" s="49"/>
      <c r="AO61" s="49"/>
      <c r="AP61" s="49"/>
      <c r="AQ61" s="49"/>
      <c r="AR61" s="49"/>
      <c r="AS61" s="49"/>
      <c r="AT61" s="49"/>
      <c r="AU61" s="49"/>
      <c r="AV61" s="49"/>
      <c r="AW61" s="49"/>
      <c r="AX61" s="49"/>
    </row>
    <row r="62">
      <c r="A62" s="49"/>
      <c r="B62" s="49"/>
      <c r="C62" s="49"/>
      <c r="D62" s="50"/>
      <c r="E62" s="50"/>
      <c r="F62" s="50"/>
      <c r="G62" s="50"/>
      <c r="H62" s="49"/>
      <c r="I62" s="49"/>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49"/>
      <c r="AI62" s="49"/>
      <c r="AJ62" s="49"/>
      <c r="AK62" s="49"/>
      <c r="AL62" s="49"/>
      <c r="AM62" s="49"/>
      <c r="AN62" s="49"/>
      <c r="AO62" s="49"/>
      <c r="AP62" s="49"/>
      <c r="AQ62" s="49"/>
      <c r="AR62" s="49"/>
      <c r="AS62" s="49"/>
      <c r="AT62" s="49"/>
      <c r="AU62" s="49"/>
      <c r="AV62" s="49"/>
      <c r="AW62" s="49"/>
      <c r="AX62" s="49"/>
    </row>
    <row r="63">
      <c r="A63" s="49"/>
      <c r="B63" s="49"/>
      <c r="C63" s="49"/>
      <c r="D63" s="50"/>
      <c r="E63" s="50"/>
      <c r="F63" s="50"/>
      <c r="G63" s="50"/>
      <c r="H63" s="49"/>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49"/>
      <c r="AI63" s="49"/>
      <c r="AJ63" s="49"/>
      <c r="AK63" s="49"/>
      <c r="AL63" s="49"/>
      <c r="AM63" s="49"/>
      <c r="AN63" s="49"/>
      <c r="AO63" s="49"/>
      <c r="AP63" s="49"/>
      <c r="AQ63" s="49"/>
      <c r="AR63" s="49"/>
      <c r="AS63" s="49"/>
      <c r="AT63" s="49"/>
      <c r="AU63" s="49"/>
      <c r="AV63" s="49"/>
      <c r="AW63" s="49"/>
      <c r="AX63" s="49"/>
    </row>
    <row r="64">
      <c r="A64" s="49"/>
      <c r="B64" s="49"/>
      <c r="C64" s="49"/>
      <c r="D64" s="50"/>
      <c r="E64" s="50"/>
      <c r="F64" s="50"/>
      <c r="G64" s="50"/>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49"/>
      <c r="AI64" s="49"/>
      <c r="AJ64" s="49"/>
      <c r="AK64" s="49"/>
      <c r="AL64" s="49"/>
      <c r="AM64" s="49"/>
      <c r="AN64" s="49"/>
      <c r="AO64" s="49"/>
      <c r="AP64" s="49"/>
      <c r="AQ64" s="49"/>
      <c r="AR64" s="49"/>
      <c r="AS64" s="49"/>
      <c r="AT64" s="49"/>
      <c r="AU64" s="49"/>
      <c r="AV64" s="49"/>
      <c r="AW64" s="49"/>
      <c r="AX64" s="49"/>
    </row>
    <row r="65">
      <c r="A65" s="49"/>
      <c r="B65" s="49"/>
      <c r="C65" s="49"/>
      <c r="D65" s="50"/>
      <c r="E65" s="50"/>
      <c r="F65" s="50"/>
      <c r="G65" s="50"/>
      <c r="H65" s="49"/>
      <c r="I65" s="49"/>
      <c r="J65" s="49"/>
      <c r="K65" s="49"/>
      <c r="L65" s="49"/>
      <c r="M65" s="49"/>
      <c r="N65" s="49"/>
      <c r="O65" s="49"/>
      <c r="P65" s="49"/>
      <c r="Q65" s="49"/>
      <c r="R65" s="49"/>
      <c r="S65" s="49"/>
      <c r="T65" s="49"/>
      <c r="U65" s="49"/>
      <c r="V65" s="49"/>
      <c r="W65" s="49"/>
      <c r="X65" s="49"/>
      <c r="Y65" s="49"/>
      <c r="Z65" s="49"/>
      <c r="AA65" s="49"/>
      <c r="AB65" s="49"/>
      <c r="AC65" s="49"/>
      <c r="AD65" s="49"/>
      <c r="AE65" s="49"/>
      <c r="AF65" s="49"/>
      <c r="AG65" s="49"/>
      <c r="AH65" s="49"/>
      <c r="AI65" s="49"/>
      <c r="AJ65" s="49"/>
      <c r="AK65" s="49"/>
      <c r="AL65" s="49"/>
      <c r="AM65" s="49"/>
      <c r="AN65" s="49"/>
      <c r="AO65" s="49"/>
      <c r="AP65" s="49"/>
      <c r="AQ65" s="49"/>
      <c r="AR65" s="49"/>
      <c r="AS65" s="49"/>
      <c r="AT65" s="49"/>
      <c r="AU65" s="49"/>
      <c r="AV65" s="49"/>
      <c r="AW65" s="49"/>
      <c r="AX65" s="49"/>
    </row>
    <row r="66">
      <c r="A66" s="49"/>
      <c r="B66" s="49"/>
      <c r="C66" s="49"/>
      <c r="D66" s="50"/>
      <c r="E66" s="50"/>
      <c r="F66" s="50"/>
      <c r="G66" s="50"/>
      <c r="H66" s="49"/>
      <c r="I66" s="49"/>
      <c r="J66" s="49"/>
      <c r="K66" s="49"/>
      <c r="L66" s="49"/>
      <c r="M66" s="49"/>
      <c r="N66" s="49"/>
      <c r="O66" s="49"/>
      <c r="P66" s="49"/>
      <c r="Q66" s="49"/>
      <c r="R66" s="49"/>
      <c r="S66" s="49"/>
      <c r="T66" s="49"/>
      <c r="U66" s="49"/>
      <c r="V66" s="49"/>
      <c r="W66" s="49"/>
      <c r="X66" s="49"/>
      <c r="Y66" s="49"/>
      <c r="Z66" s="49"/>
      <c r="AA66" s="49"/>
      <c r="AB66" s="49"/>
      <c r="AC66" s="49"/>
      <c r="AD66" s="49"/>
      <c r="AE66" s="49"/>
      <c r="AF66" s="49"/>
      <c r="AG66" s="49"/>
      <c r="AH66" s="49"/>
      <c r="AI66" s="49"/>
      <c r="AJ66" s="49"/>
      <c r="AK66" s="49"/>
      <c r="AL66" s="49"/>
      <c r="AM66" s="49"/>
      <c r="AN66" s="49"/>
      <c r="AO66" s="49"/>
      <c r="AP66" s="49"/>
      <c r="AQ66" s="49"/>
      <c r="AR66" s="49"/>
      <c r="AS66" s="49"/>
      <c r="AT66" s="49"/>
      <c r="AU66" s="49"/>
      <c r="AV66" s="49"/>
      <c r="AW66" s="49"/>
      <c r="AX66" s="49"/>
    </row>
    <row r="67">
      <c r="A67" s="49"/>
      <c r="B67" s="49"/>
      <c r="C67" s="49"/>
      <c r="D67" s="50"/>
      <c r="E67" s="50"/>
      <c r="F67" s="50"/>
      <c r="G67" s="50"/>
      <c r="H67" s="49"/>
      <c r="I67" s="49"/>
      <c r="J67" s="49"/>
      <c r="K67" s="49"/>
      <c r="L67" s="49"/>
      <c r="M67" s="49"/>
      <c r="N67" s="49"/>
      <c r="O67" s="49"/>
      <c r="P67" s="49"/>
      <c r="Q67" s="49"/>
      <c r="R67" s="49"/>
      <c r="S67" s="49"/>
      <c r="T67" s="49"/>
      <c r="U67" s="49"/>
      <c r="V67" s="49"/>
      <c r="W67" s="49"/>
      <c r="X67" s="49"/>
      <c r="Y67" s="49"/>
      <c r="Z67" s="49"/>
      <c r="AA67" s="49"/>
      <c r="AB67" s="49"/>
      <c r="AC67" s="49"/>
      <c r="AD67" s="49"/>
      <c r="AE67" s="49"/>
      <c r="AF67" s="49"/>
      <c r="AG67" s="49"/>
      <c r="AH67" s="49"/>
      <c r="AI67" s="49"/>
      <c r="AJ67" s="49"/>
      <c r="AK67" s="49"/>
      <c r="AL67" s="49"/>
      <c r="AM67" s="49"/>
      <c r="AN67" s="49"/>
      <c r="AO67" s="49"/>
      <c r="AP67" s="49"/>
      <c r="AQ67" s="49"/>
      <c r="AR67" s="49"/>
      <c r="AS67" s="49"/>
      <c r="AT67" s="49"/>
      <c r="AU67" s="49"/>
      <c r="AV67" s="49"/>
      <c r="AW67" s="49"/>
      <c r="AX67" s="49"/>
    </row>
    <row r="68">
      <c r="A68" s="49"/>
      <c r="B68" s="49"/>
      <c r="C68" s="49"/>
      <c r="D68" s="50"/>
      <c r="E68" s="50"/>
      <c r="F68" s="50"/>
      <c r="G68" s="50"/>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c r="AH68" s="49"/>
      <c r="AI68" s="49"/>
      <c r="AJ68" s="49"/>
      <c r="AK68" s="49"/>
      <c r="AL68" s="49"/>
      <c r="AM68" s="49"/>
      <c r="AN68" s="49"/>
      <c r="AO68" s="49"/>
      <c r="AP68" s="49"/>
      <c r="AQ68" s="49"/>
      <c r="AR68" s="49"/>
      <c r="AS68" s="49"/>
      <c r="AT68" s="49"/>
      <c r="AU68" s="49"/>
      <c r="AV68" s="49"/>
      <c r="AW68" s="49"/>
      <c r="AX68" s="49"/>
    </row>
    <row r="69">
      <c r="A69" s="49"/>
      <c r="B69" s="49"/>
      <c r="C69" s="49"/>
      <c r="D69" s="50"/>
      <c r="E69" s="50"/>
      <c r="F69" s="50"/>
      <c r="G69" s="50"/>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c r="AH69" s="49"/>
      <c r="AI69" s="49"/>
      <c r="AJ69" s="49"/>
      <c r="AK69" s="49"/>
      <c r="AL69" s="49"/>
      <c r="AM69" s="49"/>
      <c r="AN69" s="49"/>
      <c r="AO69" s="49"/>
      <c r="AP69" s="49"/>
      <c r="AQ69" s="49"/>
      <c r="AR69" s="49"/>
      <c r="AS69" s="49"/>
      <c r="AT69" s="49"/>
      <c r="AU69" s="49"/>
      <c r="AV69" s="49"/>
      <c r="AW69" s="49"/>
      <c r="AX69" s="49"/>
    </row>
    <row r="70">
      <c r="A70" s="49"/>
      <c r="B70" s="49"/>
      <c r="C70" s="49"/>
      <c r="D70" s="50"/>
      <c r="E70" s="50"/>
      <c r="F70" s="50"/>
      <c r="G70" s="50"/>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c r="AH70" s="49"/>
      <c r="AI70" s="49"/>
      <c r="AJ70" s="49"/>
      <c r="AK70" s="49"/>
      <c r="AL70" s="49"/>
      <c r="AM70" s="49"/>
      <c r="AN70" s="49"/>
      <c r="AO70" s="49"/>
      <c r="AP70" s="49"/>
      <c r="AQ70" s="49"/>
      <c r="AR70" s="49"/>
      <c r="AS70" s="49"/>
      <c r="AT70" s="49"/>
      <c r="AU70" s="49"/>
      <c r="AV70" s="49"/>
      <c r="AW70" s="49"/>
      <c r="AX70" s="49"/>
    </row>
    <row r="71">
      <c r="A71" s="49"/>
      <c r="B71" s="49"/>
      <c r="C71" s="49"/>
      <c r="D71" s="50"/>
      <c r="E71" s="50"/>
      <c r="F71" s="50"/>
      <c r="G71" s="50"/>
      <c r="H71" s="49"/>
      <c r="I71" s="49"/>
      <c r="J71" s="49"/>
      <c r="K71" s="49"/>
      <c r="L71" s="49"/>
      <c r="M71" s="49"/>
      <c r="N71" s="49"/>
      <c r="O71" s="49"/>
      <c r="P71" s="49"/>
      <c r="Q71" s="49"/>
      <c r="R71" s="49"/>
      <c r="S71" s="49"/>
      <c r="T71" s="49"/>
      <c r="U71" s="49"/>
      <c r="V71" s="49"/>
      <c r="W71" s="49"/>
      <c r="X71" s="49"/>
      <c r="Y71" s="49"/>
      <c r="Z71" s="49"/>
      <c r="AA71" s="49"/>
      <c r="AB71" s="49"/>
      <c r="AC71" s="49"/>
      <c r="AD71" s="49"/>
      <c r="AE71" s="49"/>
      <c r="AF71" s="49"/>
      <c r="AG71" s="49"/>
      <c r="AH71" s="49"/>
      <c r="AI71" s="49"/>
      <c r="AJ71" s="49"/>
      <c r="AK71" s="49"/>
      <c r="AL71" s="49"/>
      <c r="AM71" s="49"/>
      <c r="AN71" s="49"/>
      <c r="AO71" s="49"/>
      <c r="AP71" s="49"/>
      <c r="AQ71" s="49"/>
      <c r="AR71" s="49"/>
      <c r="AS71" s="49"/>
      <c r="AT71" s="49"/>
      <c r="AU71" s="49"/>
      <c r="AV71" s="49"/>
      <c r="AW71" s="49"/>
      <c r="AX71" s="49"/>
    </row>
    <row r="72">
      <c r="A72" s="49"/>
      <c r="B72" s="49"/>
      <c r="C72" s="49"/>
      <c r="D72" s="50"/>
      <c r="E72" s="50"/>
      <c r="F72" s="50"/>
      <c r="G72" s="50"/>
      <c r="H72" s="49"/>
      <c r="I72" s="49"/>
      <c r="J72" s="49"/>
      <c r="K72" s="49"/>
      <c r="L72" s="49"/>
      <c r="M72" s="49"/>
      <c r="N72" s="49"/>
      <c r="O72" s="49"/>
      <c r="P72" s="49"/>
      <c r="Q72" s="49"/>
      <c r="R72" s="49"/>
      <c r="S72" s="49"/>
      <c r="T72" s="49"/>
      <c r="U72" s="49"/>
      <c r="V72" s="49"/>
      <c r="W72" s="49"/>
      <c r="X72" s="49"/>
      <c r="Y72" s="49"/>
      <c r="Z72" s="49"/>
      <c r="AA72" s="49"/>
      <c r="AB72" s="49"/>
      <c r="AC72" s="49"/>
      <c r="AD72" s="49"/>
      <c r="AE72" s="49"/>
      <c r="AF72" s="49"/>
      <c r="AG72" s="49"/>
      <c r="AH72" s="49"/>
      <c r="AI72" s="49"/>
      <c r="AJ72" s="49"/>
      <c r="AK72" s="49"/>
      <c r="AL72" s="49"/>
      <c r="AM72" s="49"/>
      <c r="AN72" s="49"/>
      <c r="AO72" s="49"/>
      <c r="AP72" s="49"/>
      <c r="AQ72" s="49"/>
      <c r="AR72" s="49"/>
      <c r="AS72" s="49"/>
      <c r="AT72" s="49"/>
      <c r="AU72" s="49"/>
      <c r="AV72" s="49"/>
      <c r="AW72" s="49"/>
      <c r="AX72" s="49"/>
    </row>
    <row r="73">
      <c r="A73" s="49"/>
      <c r="B73" s="49"/>
      <c r="C73" s="49"/>
      <c r="D73" s="50"/>
      <c r="E73" s="50"/>
      <c r="F73" s="50"/>
      <c r="G73" s="50"/>
      <c r="H73" s="49"/>
      <c r="I73" s="49"/>
      <c r="J73" s="49"/>
      <c r="K73" s="49"/>
      <c r="L73" s="49"/>
      <c r="M73" s="49"/>
      <c r="N73" s="49"/>
      <c r="O73" s="49"/>
      <c r="P73" s="49"/>
      <c r="Q73" s="49"/>
      <c r="R73" s="49"/>
      <c r="S73" s="49"/>
      <c r="T73" s="49"/>
      <c r="U73" s="49"/>
      <c r="V73" s="49"/>
      <c r="W73" s="49"/>
      <c r="X73" s="49"/>
      <c r="Y73" s="49"/>
      <c r="Z73" s="49"/>
      <c r="AA73" s="49"/>
      <c r="AB73" s="49"/>
      <c r="AC73" s="49"/>
      <c r="AD73" s="49"/>
      <c r="AE73" s="49"/>
      <c r="AF73" s="49"/>
      <c r="AG73" s="49"/>
      <c r="AH73" s="49"/>
      <c r="AI73" s="49"/>
      <c r="AJ73" s="49"/>
      <c r="AK73" s="49"/>
      <c r="AL73" s="49"/>
      <c r="AM73" s="49"/>
      <c r="AN73" s="49"/>
      <c r="AO73" s="49"/>
      <c r="AP73" s="49"/>
      <c r="AQ73" s="49"/>
      <c r="AR73" s="49"/>
      <c r="AS73" s="49"/>
      <c r="AT73" s="49"/>
      <c r="AU73" s="49"/>
      <c r="AV73" s="49"/>
      <c r="AW73" s="49"/>
      <c r="AX73" s="49"/>
    </row>
    <row r="74">
      <c r="A74" s="49"/>
      <c r="B74" s="49"/>
      <c r="C74" s="49"/>
      <c r="D74" s="50"/>
      <c r="E74" s="50"/>
      <c r="F74" s="50"/>
      <c r="G74" s="50"/>
      <c r="H74" s="49"/>
      <c r="I74" s="49"/>
      <c r="J74" s="49"/>
      <c r="K74" s="49"/>
      <c r="L74" s="49"/>
      <c r="M74" s="49"/>
      <c r="N74" s="49"/>
      <c r="O74" s="49"/>
      <c r="P74" s="49"/>
      <c r="Q74" s="49"/>
      <c r="R74" s="49"/>
      <c r="S74" s="49"/>
      <c r="T74" s="49"/>
      <c r="U74" s="49"/>
      <c r="V74" s="49"/>
      <c r="W74" s="49"/>
      <c r="X74" s="49"/>
      <c r="Y74" s="49"/>
      <c r="Z74" s="49"/>
      <c r="AA74" s="49"/>
      <c r="AB74" s="49"/>
      <c r="AC74" s="49"/>
      <c r="AD74" s="49"/>
      <c r="AE74" s="49"/>
      <c r="AF74" s="49"/>
      <c r="AG74" s="49"/>
      <c r="AH74" s="49"/>
      <c r="AI74" s="49"/>
      <c r="AJ74" s="49"/>
      <c r="AK74" s="49"/>
      <c r="AL74" s="49"/>
      <c r="AM74" s="49"/>
      <c r="AN74" s="49"/>
      <c r="AO74" s="49"/>
      <c r="AP74" s="49"/>
      <c r="AQ74" s="49"/>
      <c r="AR74" s="49"/>
      <c r="AS74" s="49"/>
      <c r="AT74" s="49"/>
      <c r="AU74" s="49"/>
      <c r="AV74" s="49"/>
      <c r="AW74" s="49"/>
      <c r="AX74" s="49"/>
    </row>
    <row r="75">
      <c r="A75" s="49"/>
      <c r="B75" s="49"/>
      <c r="C75" s="49"/>
      <c r="D75" s="50"/>
      <c r="E75" s="50"/>
      <c r="F75" s="50"/>
      <c r="G75" s="50"/>
      <c r="H75" s="49"/>
      <c r="I75" s="49"/>
      <c r="J75" s="49"/>
      <c r="K75" s="49"/>
      <c r="L75" s="49"/>
      <c r="M75" s="49"/>
      <c r="N75" s="49"/>
      <c r="O75" s="49"/>
      <c r="P75" s="49"/>
      <c r="Q75" s="49"/>
      <c r="R75" s="49"/>
      <c r="S75" s="49"/>
      <c r="T75" s="49"/>
      <c r="U75" s="49"/>
      <c r="V75" s="49"/>
      <c r="W75" s="49"/>
      <c r="X75" s="49"/>
      <c r="Y75" s="49"/>
      <c r="Z75" s="49"/>
      <c r="AA75" s="49"/>
      <c r="AB75" s="49"/>
      <c r="AC75" s="49"/>
      <c r="AD75" s="49"/>
      <c r="AE75" s="49"/>
      <c r="AF75" s="49"/>
      <c r="AG75" s="49"/>
      <c r="AH75" s="49"/>
      <c r="AI75" s="49"/>
      <c r="AJ75" s="49"/>
      <c r="AK75" s="49"/>
      <c r="AL75" s="49"/>
      <c r="AM75" s="49"/>
      <c r="AN75" s="49"/>
      <c r="AO75" s="49"/>
      <c r="AP75" s="49"/>
      <c r="AQ75" s="49"/>
      <c r="AR75" s="49"/>
      <c r="AS75" s="49"/>
      <c r="AT75" s="49"/>
      <c r="AU75" s="49"/>
      <c r="AV75" s="49"/>
      <c r="AW75" s="49"/>
      <c r="AX75" s="49"/>
    </row>
    <row r="76">
      <c r="A76" s="49"/>
      <c r="B76" s="49"/>
      <c r="C76" s="49"/>
      <c r="D76" s="50"/>
      <c r="E76" s="50"/>
      <c r="F76" s="50"/>
      <c r="G76" s="50"/>
      <c r="H76" s="49"/>
      <c r="I76" s="49"/>
      <c r="J76" s="49"/>
      <c r="K76" s="49"/>
      <c r="L76" s="49"/>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row>
    <row r="77">
      <c r="A77" s="49"/>
      <c r="B77" s="49"/>
      <c r="C77" s="49"/>
      <c r="D77" s="50"/>
      <c r="E77" s="50"/>
      <c r="F77" s="50"/>
      <c r="G77" s="50"/>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49"/>
      <c r="AJ77" s="49"/>
      <c r="AK77" s="49"/>
      <c r="AL77" s="49"/>
      <c r="AM77" s="49"/>
      <c r="AN77" s="49"/>
      <c r="AO77" s="49"/>
      <c r="AP77" s="49"/>
      <c r="AQ77" s="49"/>
      <c r="AR77" s="49"/>
      <c r="AS77" s="49"/>
      <c r="AT77" s="49"/>
      <c r="AU77" s="49"/>
      <c r="AV77" s="49"/>
      <c r="AW77" s="49"/>
      <c r="AX77" s="49"/>
    </row>
    <row r="78">
      <c r="A78" s="49"/>
      <c r="B78" s="49"/>
      <c r="C78" s="49"/>
      <c r="D78" s="50"/>
      <c r="E78" s="50"/>
      <c r="F78" s="50"/>
      <c r="G78" s="50"/>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49"/>
      <c r="AJ78" s="49"/>
      <c r="AK78" s="49"/>
      <c r="AL78" s="49"/>
      <c r="AM78" s="49"/>
      <c r="AN78" s="49"/>
      <c r="AO78" s="49"/>
      <c r="AP78" s="49"/>
      <c r="AQ78" s="49"/>
      <c r="AR78" s="49"/>
      <c r="AS78" s="49"/>
      <c r="AT78" s="49"/>
      <c r="AU78" s="49"/>
      <c r="AV78" s="49"/>
      <c r="AW78" s="49"/>
      <c r="AX78" s="49"/>
    </row>
    <row r="79">
      <c r="A79" s="49"/>
      <c r="B79" s="49"/>
      <c r="C79" s="49"/>
      <c r="D79" s="50"/>
      <c r="E79" s="50"/>
      <c r="F79" s="50"/>
      <c r="G79" s="50"/>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49"/>
      <c r="AJ79" s="49"/>
      <c r="AK79" s="49"/>
      <c r="AL79" s="49"/>
      <c r="AM79" s="49"/>
      <c r="AN79" s="49"/>
      <c r="AO79" s="49"/>
      <c r="AP79" s="49"/>
      <c r="AQ79" s="49"/>
      <c r="AR79" s="49"/>
      <c r="AS79" s="49"/>
      <c r="AT79" s="49"/>
      <c r="AU79" s="49"/>
      <c r="AV79" s="49"/>
      <c r="AW79" s="49"/>
      <c r="AX79" s="49"/>
    </row>
    <row r="80">
      <c r="A80" s="49"/>
      <c r="B80" s="49"/>
      <c r="C80" s="49"/>
      <c r="D80" s="50"/>
      <c r="E80" s="50"/>
      <c r="F80" s="50"/>
      <c r="G80" s="50"/>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c r="AH80" s="49"/>
      <c r="AI80" s="49"/>
      <c r="AJ80" s="49"/>
      <c r="AK80" s="49"/>
      <c r="AL80" s="49"/>
      <c r="AM80" s="49"/>
      <c r="AN80" s="49"/>
      <c r="AO80" s="49"/>
      <c r="AP80" s="49"/>
      <c r="AQ80" s="49"/>
      <c r="AR80" s="49"/>
      <c r="AS80" s="49"/>
      <c r="AT80" s="49"/>
      <c r="AU80" s="49"/>
      <c r="AV80" s="49"/>
      <c r="AW80" s="49"/>
      <c r="AX80" s="49"/>
    </row>
    <row r="81">
      <c r="A81" s="49"/>
      <c r="B81" s="49"/>
      <c r="C81" s="49"/>
      <c r="D81" s="50"/>
      <c r="E81" s="50"/>
      <c r="F81" s="50"/>
      <c r="G81" s="50"/>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c r="AH81" s="49"/>
      <c r="AI81" s="49"/>
      <c r="AJ81" s="49"/>
      <c r="AK81" s="49"/>
      <c r="AL81" s="49"/>
      <c r="AM81" s="49"/>
      <c r="AN81" s="49"/>
      <c r="AO81" s="49"/>
      <c r="AP81" s="49"/>
      <c r="AQ81" s="49"/>
      <c r="AR81" s="49"/>
      <c r="AS81" s="49"/>
      <c r="AT81" s="49"/>
      <c r="AU81" s="49"/>
      <c r="AV81" s="49"/>
      <c r="AW81" s="49"/>
      <c r="AX81" s="49"/>
    </row>
    <row r="82">
      <c r="A82" s="49"/>
      <c r="B82" s="49"/>
      <c r="C82" s="49"/>
      <c r="D82" s="50"/>
      <c r="E82" s="50"/>
      <c r="F82" s="50"/>
      <c r="G82" s="50"/>
      <c r="H82" s="49"/>
      <c r="I82" s="49"/>
      <c r="J82" s="49"/>
      <c r="K82" s="49"/>
      <c r="L82" s="49"/>
      <c r="M82" s="49"/>
      <c r="N82" s="49"/>
      <c r="O82" s="49"/>
      <c r="P82" s="49"/>
      <c r="Q82" s="49"/>
      <c r="R82" s="49"/>
      <c r="S82" s="49"/>
      <c r="T82" s="49"/>
      <c r="U82" s="49"/>
      <c r="V82" s="49"/>
      <c r="W82" s="49"/>
      <c r="X82" s="49"/>
      <c r="Y82" s="49"/>
      <c r="Z82" s="49"/>
      <c r="AA82" s="49"/>
      <c r="AB82" s="49"/>
      <c r="AC82" s="49"/>
      <c r="AD82" s="49"/>
      <c r="AE82" s="49"/>
      <c r="AF82" s="49"/>
      <c r="AG82" s="49"/>
      <c r="AH82" s="49"/>
      <c r="AI82" s="49"/>
      <c r="AJ82" s="49"/>
      <c r="AK82" s="49"/>
      <c r="AL82" s="49"/>
      <c r="AM82" s="49"/>
      <c r="AN82" s="49"/>
      <c r="AO82" s="49"/>
      <c r="AP82" s="49"/>
      <c r="AQ82" s="49"/>
      <c r="AR82" s="49"/>
      <c r="AS82" s="49"/>
      <c r="AT82" s="49"/>
      <c r="AU82" s="49"/>
      <c r="AV82" s="49"/>
      <c r="AW82" s="49"/>
      <c r="AX82" s="49"/>
    </row>
    <row r="83">
      <c r="A83" s="49"/>
      <c r="B83" s="49"/>
      <c r="C83" s="49"/>
      <c r="D83" s="50"/>
      <c r="E83" s="50"/>
      <c r="F83" s="50"/>
      <c r="G83" s="50"/>
      <c r="H83" s="49"/>
      <c r="I83" s="49"/>
      <c r="J83" s="49"/>
      <c r="K83" s="49"/>
      <c r="L83" s="49"/>
      <c r="M83" s="49"/>
      <c r="N83" s="49"/>
      <c r="O83" s="49"/>
      <c r="P83" s="49"/>
      <c r="Q83" s="49"/>
      <c r="R83" s="49"/>
      <c r="S83" s="49"/>
      <c r="T83" s="49"/>
      <c r="U83" s="49"/>
      <c r="V83" s="49"/>
      <c r="W83" s="49"/>
      <c r="X83" s="49"/>
      <c r="Y83" s="49"/>
      <c r="Z83" s="49"/>
      <c r="AA83" s="49"/>
      <c r="AB83" s="49"/>
      <c r="AC83" s="49"/>
      <c r="AD83" s="49"/>
      <c r="AE83" s="49"/>
      <c r="AF83" s="49"/>
      <c r="AG83" s="49"/>
      <c r="AH83" s="49"/>
      <c r="AI83" s="49"/>
      <c r="AJ83" s="49"/>
      <c r="AK83" s="49"/>
      <c r="AL83" s="49"/>
      <c r="AM83" s="49"/>
      <c r="AN83" s="49"/>
      <c r="AO83" s="49"/>
      <c r="AP83" s="49"/>
      <c r="AQ83" s="49"/>
      <c r="AR83" s="49"/>
      <c r="AS83" s="49"/>
      <c r="AT83" s="49"/>
      <c r="AU83" s="49"/>
      <c r="AV83" s="49"/>
      <c r="AW83" s="49"/>
      <c r="AX83" s="49"/>
    </row>
    <row r="84">
      <c r="A84" s="49"/>
      <c r="B84" s="49"/>
      <c r="C84" s="49"/>
      <c r="D84" s="50"/>
      <c r="E84" s="50"/>
      <c r="F84" s="50"/>
      <c r="G84" s="50"/>
      <c r="H84" s="49"/>
      <c r="I84" s="49"/>
      <c r="J84" s="49"/>
      <c r="K84" s="49"/>
      <c r="L84" s="49"/>
      <c r="M84" s="49"/>
      <c r="N84" s="49"/>
      <c r="O84" s="49"/>
      <c r="P84" s="49"/>
      <c r="Q84" s="49"/>
      <c r="R84" s="49"/>
      <c r="S84" s="49"/>
      <c r="T84" s="49"/>
      <c r="U84" s="49"/>
      <c r="V84" s="49"/>
      <c r="W84" s="49"/>
      <c r="X84" s="49"/>
      <c r="Y84" s="49"/>
      <c r="Z84" s="49"/>
      <c r="AA84" s="49"/>
      <c r="AB84" s="49"/>
      <c r="AC84" s="49"/>
      <c r="AD84" s="49"/>
      <c r="AE84" s="49"/>
      <c r="AF84" s="49"/>
      <c r="AG84" s="49"/>
      <c r="AH84" s="49"/>
      <c r="AI84" s="49"/>
      <c r="AJ84" s="49"/>
      <c r="AK84" s="49"/>
      <c r="AL84" s="49"/>
      <c r="AM84" s="49"/>
      <c r="AN84" s="49"/>
      <c r="AO84" s="49"/>
      <c r="AP84" s="49"/>
      <c r="AQ84" s="49"/>
      <c r="AR84" s="49"/>
      <c r="AS84" s="49"/>
      <c r="AT84" s="49"/>
      <c r="AU84" s="49"/>
      <c r="AV84" s="49"/>
      <c r="AW84" s="49"/>
      <c r="AX84" s="49"/>
    </row>
    <row r="85">
      <c r="A85" s="49"/>
      <c r="B85" s="49"/>
      <c r="C85" s="49"/>
      <c r="D85" s="50"/>
      <c r="E85" s="50"/>
      <c r="F85" s="50"/>
      <c r="G85" s="50"/>
      <c r="H85" s="49"/>
      <c r="I85" s="49"/>
      <c r="J85" s="49"/>
      <c r="K85" s="49"/>
      <c r="L85" s="49"/>
      <c r="M85" s="49"/>
      <c r="N85" s="49"/>
      <c r="O85" s="49"/>
      <c r="P85" s="49"/>
      <c r="Q85" s="49"/>
      <c r="R85" s="49"/>
      <c r="S85" s="49"/>
      <c r="T85" s="49"/>
      <c r="U85" s="49"/>
      <c r="V85" s="49"/>
      <c r="W85" s="49"/>
      <c r="X85" s="49"/>
      <c r="Y85" s="49"/>
      <c r="Z85" s="49"/>
      <c r="AA85" s="49"/>
      <c r="AB85" s="49"/>
      <c r="AC85" s="49"/>
      <c r="AD85" s="49"/>
      <c r="AE85" s="49"/>
      <c r="AF85" s="49"/>
      <c r="AG85" s="49"/>
      <c r="AH85" s="49"/>
      <c r="AI85" s="49"/>
      <c r="AJ85" s="49"/>
      <c r="AK85" s="49"/>
      <c r="AL85" s="49"/>
      <c r="AM85" s="49"/>
      <c r="AN85" s="49"/>
      <c r="AO85" s="49"/>
      <c r="AP85" s="49"/>
      <c r="AQ85" s="49"/>
      <c r="AR85" s="49"/>
      <c r="AS85" s="49"/>
      <c r="AT85" s="49"/>
      <c r="AU85" s="49"/>
      <c r="AV85" s="49"/>
      <c r="AW85" s="49"/>
      <c r="AX85" s="49"/>
    </row>
    <row r="86">
      <c r="A86" s="49"/>
      <c r="B86" s="49"/>
      <c r="C86" s="49"/>
      <c r="D86" s="50"/>
      <c r="E86" s="50"/>
      <c r="F86" s="50"/>
      <c r="G86" s="50"/>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c r="AP86" s="49"/>
      <c r="AQ86" s="49"/>
      <c r="AR86" s="49"/>
      <c r="AS86" s="49"/>
      <c r="AT86" s="49"/>
      <c r="AU86" s="49"/>
      <c r="AV86" s="49"/>
      <c r="AW86" s="49"/>
      <c r="AX86" s="49"/>
    </row>
    <row r="87">
      <c r="A87" s="49"/>
      <c r="B87" s="49"/>
      <c r="C87" s="49"/>
      <c r="D87" s="50"/>
      <c r="E87" s="50"/>
      <c r="F87" s="50"/>
      <c r="G87" s="50"/>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c r="AP87" s="49"/>
      <c r="AQ87" s="49"/>
      <c r="AR87" s="49"/>
      <c r="AS87" s="49"/>
      <c r="AT87" s="49"/>
      <c r="AU87" s="49"/>
      <c r="AV87" s="49"/>
      <c r="AW87" s="49"/>
      <c r="AX87" s="49"/>
    </row>
    <row r="88">
      <c r="A88" s="49"/>
      <c r="B88" s="49"/>
      <c r="C88" s="49"/>
      <c r="D88" s="50"/>
      <c r="E88" s="50"/>
      <c r="F88" s="50"/>
      <c r="G88" s="50"/>
      <c r="H88" s="49"/>
      <c r="I88" s="49"/>
      <c r="J88" s="49"/>
      <c r="K88" s="49"/>
      <c r="L88" s="49"/>
      <c r="M88" s="49"/>
      <c r="N88" s="49"/>
      <c r="O88" s="49"/>
      <c r="P88" s="49"/>
      <c r="Q88" s="49"/>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c r="AP88" s="49"/>
      <c r="AQ88" s="49"/>
      <c r="AR88" s="49"/>
      <c r="AS88" s="49"/>
      <c r="AT88" s="49"/>
      <c r="AU88" s="49"/>
      <c r="AV88" s="49"/>
      <c r="AW88" s="49"/>
      <c r="AX88" s="49"/>
    </row>
    <row r="89">
      <c r="A89" s="49"/>
      <c r="B89" s="49"/>
      <c r="C89" s="49"/>
      <c r="D89" s="50"/>
      <c r="E89" s="50"/>
      <c r="F89" s="50"/>
      <c r="G89" s="50"/>
      <c r="H89" s="49"/>
      <c r="I89" s="49"/>
      <c r="J89" s="49"/>
      <c r="K89" s="49"/>
      <c r="L89" s="49"/>
      <c r="M89" s="49"/>
      <c r="N89" s="49"/>
      <c r="O89" s="49"/>
      <c r="P89" s="49"/>
      <c r="Q89" s="49"/>
      <c r="R89" s="49"/>
      <c r="S89" s="49"/>
      <c r="T89" s="49"/>
      <c r="U89" s="49"/>
      <c r="V89" s="49"/>
      <c r="W89" s="49"/>
      <c r="X89" s="49"/>
      <c r="Y89" s="49"/>
      <c r="Z89" s="49"/>
      <c r="AA89" s="49"/>
      <c r="AB89" s="49"/>
      <c r="AC89" s="49"/>
      <c r="AD89" s="49"/>
      <c r="AE89" s="49"/>
      <c r="AF89" s="49"/>
      <c r="AG89" s="49"/>
      <c r="AH89" s="49"/>
      <c r="AI89" s="49"/>
      <c r="AJ89" s="49"/>
      <c r="AK89" s="49"/>
      <c r="AL89" s="49"/>
      <c r="AM89" s="49"/>
      <c r="AN89" s="49"/>
      <c r="AO89" s="49"/>
      <c r="AP89" s="49"/>
      <c r="AQ89" s="49"/>
      <c r="AR89" s="49"/>
      <c r="AS89" s="49"/>
      <c r="AT89" s="49"/>
      <c r="AU89" s="49"/>
      <c r="AV89" s="49"/>
      <c r="AW89" s="49"/>
      <c r="AX89" s="49"/>
    </row>
    <row r="90">
      <c r="A90" s="49"/>
      <c r="B90" s="49"/>
      <c r="C90" s="49"/>
      <c r="D90" s="50"/>
      <c r="E90" s="50"/>
      <c r="F90" s="50"/>
      <c r="G90" s="50"/>
      <c r="H90" s="49"/>
      <c r="I90" s="49"/>
      <c r="J90" s="49"/>
      <c r="K90" s="49"/>
      <c r="L90" s="49"/>
      <c r="M90" s="49"/>
      <c r="N90" s="49"/>
      <c r="O90" s="49"/>
      <c r="P90" s="49"/>
      <c r="Q90" s="49"/>
      <c r="R90" s="49"/>
      <c r="S90" s="49"/>
      <c r="T90" s="49"/>
      <c r="U90" s="49"/>
      <c r="V90" s="49"/>
      <c r="W90" s="49"/>
      <c r="X90" s="49"/>
      <c r="Y90" s="49"/>
      <c r="Z90" s="49"/>
      <c r="AA90" s="49"/>
      <c r="AB90" s="49"/>
      <c r="AC90" s="49"/>
      <c r="AD90" s="49"/>
      <c r="AE90" s="49"/>
      <c r="AF90" s="49"/>
      <c r="AG90" s="49"/>
      <c r="AH90" s="49"/>
      <c r="AI90" s="49"/>
      <c r="AJ90" s="49"/>
      <c r="AK90" s="49"/>
      <c r="AL90" s="49"/>
      <c r="AM90" s="49"/>
      <c r="AN90" s="49"/>
      <c r="AO90" s="49"/>
      <c r="AP90" s="49"/>
      <c r="AQ90" s="49"/>
      <c r="AR90" s="49"/>
      <c r="AS90" s="49"/>
      <c r="AT90" s="49"/>
      <c r="AU90" s="49"/>
      <c r="AV90" s="49"/>
      <c r="AW90" s="49"/>
      <c r="AX90" s="49"/>
    </row>
    <row r="91">
      <c r="A91" s="49"/>
      <c r="B91" s="49"/>
      <c r="C91" s="49"/>
      <c r="D91" s="50"/>
      <c r="E91" s="50"/>
      <c r="F91" s="50"/>
      <c r="G91" s="50"/>
      <c r="H91" s="49"/>
      <c r="I91" s="49"/>
      <c r="J91" s="49"/>
      <c r="K91" s="49"/>
      <c r="L91" s="49"/>
      <c r="M91" s="49"/>
      <c r="N91" s="49"/>
      <c r="O91" s="49"/>
      <c r="P91" s="49"/>
      <c r="Q91" s="49"/>
      <c r="R91" s="49"/>
      <c r="S91" s="49"/>
      <c r="T91" s="49"/>
      <c r="U91" s="49"/>
      <c r="V91" s="49"/>
      <c r="W91" s="49"/>
      <c r="X91" s="49"/>
      <c r="Y91" s="49"/>
      <c r="Z91" s="49"/>
      <c r="AA91" s="49"/>
      <c r="AB91" s="49"/>
      <c r="AC91" s="49"/>
      <c r="AD91" s="49"/>
      <c r="AE91" s="49"/>
      <c r="AF91" s="49"/>
      <c r="AG91" s="49"/>
      <c r="AH91" s="49"/>
      <c r="AI91" s="49"/>
      <c r="AJ91" s="49"/>
      <c r="AK91" s="49"/>
      <c r="AL91" s="49"/>
      <c r="AM91" s="49"/>
      <c r="AN91" s="49"/>
      <c r="AO91" s="49"/>
      <c r="AP91" s="49"/>
      <c r="AQ91" s="49"/>
      <c r="AR91" s="49"/>
      <c r="AS91" s="49"/>
      <c r="AT91" s="49"/>
      <c r="AU91" s="49"/>
      <c r="AV91" s="49"/>
      <c r="AW91" s="49"/>
      <c r="AX91" s="49"/>
    </row>
    <row r="92">
      <c r="A92" s="49"/>
      <c r="B92" s="49"/>
      <c r="C92" s="49"/>
      <c r="D92" s="50"/>
      <c r="E92" s="50"/>
      <c r="F92" s="50"/>
      <c r="G92" s="50"/>
      <c r="H92" s="49"/>
      <c r="I92" s="49"/>
      <c r="J92" s="49"/>
      <c r="K92" s="49"/>
      <c r="L92" s="49"/>
      <c r="M92" s="49"/>
      <c r="N92" s="49"/>
      <c r="O92" s="49"/>
      <c r="P92" s="49"/>
      <c r="Q92" s="49"/>
      <c r="R92" s="49"/>
      <c r="S92" s="49"/>
      <c r="T92" s="49"/>
      <c r="U92" s="49"/>
      <c r="V92" s="49"/>
      <c r="W92" s="49"/>
      <c r="X92" s="49"/>
      <c r="Y92" s="49"/>
      <c r="Z92" s="49"/>
      <c r="AA92" s="49"/>
      <c r="AB92" s="49"/>
      <c r="AC92" s="49"/>
      <c r="AD92" s="49"/>
      <c r="AE92" s="49"/>
      <c r="AF92" s="49"/>
      <c r="AG92" s="49"/>
      <c r="AH92" s="49"/>
      <c r="AI92" s="49"/>
      <c r="AJ92" s="49"/>
      <c r="AK92" s="49"/>
      <c r="AL92" s="49"/>
      <c r="AM92" s="49"/>
      <c r="AN92" s="49"/>
      <c r="AO92" s="49"/>
      <c r="AP92" s="49"/>
      <c r="AQ92" s="49"/>
      <c r="AR92" s="49"/>
      <c r="AS92" s="49"/>
      <c r="AT92" s="49"/>
      <c r="AU92" s="49"/>
      <c r="AV92" s="49"/>
      <c r="AW92" s="49"/>
      <c r="AX92" s="49"/>
    </row>
    <row r="93">
      <c r="A93" s="49"/>
      <c r="B93" s="49"/>
      <c r="C93" s="49"/>
      <c r="D93" s="50"/>
      <c r="E93" s="50"/>
      <c r="F93" s="50"/>
      <c r="G93" s="50"/>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c r="AH93" s="49"/>
      <c r="AI93" s="49"/>
      <c r="AJ93" s="49"/>
      <c r="AK93" s="49"/>
      <c r="AL93" s="49"/>
      <c r="AM93" s="49"/>
      <c r="AN93" s="49"/>
      <c r="AO93" s="49"/>
      <c r="AP93" s="49"/>
      <c r="AQ93" s="49"/>
      <c r="AR93" s="49"/>
      <c r="AS93" s="49"/>
      <c r="AT93" s="49"/>
      <c r="AU93" s="49"/>
      <c r="AV93" s="49"/>
      <c r="AW93" s="49"/>
      <c r="AX93" s="49"/>
    </row>
    <row r="94">
      <c r="A94" s="49"/>
      <c r="B94" s="49"/>
      <c r="C94" s="49"/>
      <c r="D94" s="50"/>
      <c r="E94" s="50"/>
      <c r="F94" s="50"/>
      <c r="G94" s="50"/>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c r="AH94" s="49"/>
      <c r="AI94" s="49"/>
      <c r="AJ94" s="49"/>
      <c r="AK94" s="49"/>
      <c r="AL94" s="49"/>
      <c r="AM94" s="49"/>
      <c r="AN94" s="49"/>
      <c r="AO94" s="49"/>
      <c r="AP94" s="49"/>
      <c r="AQ94" s="49"/>
      <c r="AR94" s="49"/>
      <c r="AS94" s="49"/>
      <c r="AT94" s="49"/>
      <c r="AU94" s="49"/>
      <c r="AV94" s="49"/>
      <c r="AW94" s="49"/>
      <c r="AX94" s="49"/>
    </row>
    <row r="95">
      <c r="A95" s="49"/>
      <c r="B95" s="49"/>
      <c r="C95" s="49"/>
      <c r="D95" s="50"/>
      <c r="E95" s="50"/>
      <c r="F95" s="50"/>
      <c r="G95" s="50"/>
      <c r="H95" s="49"/>
      <c r="I95" s="49"/>
      <c r="J95" s="49"/>
      <c r="K95" s="49"/>
      <c r="L95" s="49"/>
      <c r="M95" s="49"/>
      <c r="N95" s="49"/>
      <c r="O95" s="49"/>
      <c r="P95" s="49"/>
      <c r="Q95" s="49"/>
      <c r="R95" s="49"/>
      <c r="S95" s="49"/>
      <c r="T95" s="49"/>
      <c r="U95" s="49"/>
      <c r="V95" s="49"/>
      <c r="W95" s="49"/>
      <c r="X95" s="49"/>
      <c r="Y95" s="49"/>
      <c r="Z95" s="49"/>
      <c r="AA95" s="49"/>
      <c r="AB95" s="49"/>
      <c r="AC95" s="49"/>
      <c r="AD95" s="49"/>
      <c r="AE95" s="49"/>
      <c r="AF95" s="49"/>
      <c r="AG95" s="49"/>
      <c r="AH95" s="49"/>
      <c r="AI95" s="49"/>
      <c r="AJ95" s="49"/>
      <c r="AK95" s="49"/>
      <c r="AL95" s="49"/>
      <c r="AM95" s="49"/>
      <c r="AN95" s="49"/>
      <c r="AO95" s="49"/>
      <c r="AP95" s="49"/>
      <c r="AQ95" s="49"/>
      <c r="AR95" s="49"/>
      <c r="AS95" s="49"/>
      <c r="AT95" s="49"/>
      <c r="AU95" s="49"/>
      <c r="AV95" s="49"/>
      <c r="AW95" s="49"/>
      <c r="AX95" s="49"/>
    </row>
    <row r="96">
      <c r="A96" s="49"/>
      <c r="B96" s="49"/>
      <c r="C96" s="49"/>
      <c r="D96" s="50"/>
      <c r="E96" s="50"/>
      <c r="F96" s="50"/>
      <c r="G96" s="50"/>
      <c r="H96" s="49"/>
      <c r="I96" s="49"/>
      <c r="J96" s="49"/>
      <c r="K96" s="49"/>
      <c r="L96" s="49"/>
      <c r="M96" s="49"/>
      <c r="N96" s="49"/>
      <c r="O96" s="49"/>
      <c r="P96" s="49"/>
      <c r="Q96" s="49"/>
      <c r="R96" s="49"/>
      <c r="S96" s="49"/>
      <c r="T96" s="49"/>
      <c r="U96" s="49"/>
      <c r="V96" s="49"/>
      <c r="W96" s="49"/>
      <c r="X96" s="49"/>
      <c r="Y96" s="49"/>
      <c r="Z96" s="49"/>
      <c r="AA96" s="49"/>
      <c r="AB96" s="49"/>
      <c r="AC96" s="49"/>
      <c r="AD96" s="49"/>
      <c r="AE96" s="49"/>
      <c r="AF96" s="49"/>
      <c r="AG96" s="49"/>
      <c r="AH96" s="49"/>
      <c r="AI96" s="49"/>
      <c r="AJ96" s="49"/>
      <c r="AK96" s="49"/>
      <c r="AL96" s="49"/>
      <c r="AM96" s="49"/>
      <c r="AN96" s="49"/>
      <c r="AO96" s="49"/>
      <c r="AP96" s="49"/>
      <c r="AQ96" s="49"/>
      <c r="AR96" s="49"/>
      <c r="AS96" s="49"/>
      <c r="AT96" s="49"/>
      <c r="AU96" s="49"/>
      <c r="AV96" s="49"/>
      <c r="AW96" s="49"/>
      <c r="AX96" s="49"/>
    </row>
    <row r="97">
      <c r="A97" s="49"/>
      <c r="B97" s="49"/>
      <c r="C97" s="49"/>
      <c r="D97" s="50"/>
      <c r="E97" s="50"/>
      <c r="F97" s="50"/>
      <c r="G97" s="50"/>
      <c r="H97" s="49"/>
      <c r="I97" s="49"/>
      <c r="J97" s="49"/>
      <c r="K97" s="49"/>
      <c r="L97" s="49"/>
      <c r="M97" s="49"/>
      <c r="N97" s="49"/>
      <c r="O97" s="49"/>
      <c r="P97" s="49"/>
      <c r="Q97" s="49"/>
      <c r="R97" s="49"/>
      <c r="S97" s="49"/>
      <c r="T97" s="49"/>
      <c r="U97" s="49"/>
      <c r="V97" s="49"/>
      <c r="W97" s="49"/>
      <c r="X97" s="49"/>
      <c r="Y97" s="49"/>
      <c r="Z97" s="49"/>
      <c r="AA97" s="49"/>
      <c r="AB97" s="49"/>
      <c r="AC97" s="49"/>
      <c r="AD97" s="49"/>
      <c r="AE97" s="49"/>
      <c r="AF97" s="49"/>
      <c r="AG97" s="49"/>
      <c r="AH97" s="49"/>
      <c r="AI97" s="49"/>
      <c r="AJ97" s="49"/>
      <c r="AK97" s="49"/>
      <c r="AL97" s="49"/>
      <c r="AM97" s="49"/>
      <c r="AN97" s="49"/>
      <c r="AO97" s="49"/>
      <c r="AP97" s="49"/>
      <c r="AQ97" s="49"/>
      <c r="AR97" s="49"/>
      <c r="AS97" s="49"/>
      <c r="AT97" s="49"/>
      <c r="AU97" s="49"/>
      <c r="AV97" s="49"/>
      <c r="AW97" s="49"/>
      <c r="AX97" s="49"/>
    </row>
    <row r="98">
      <c r="A98" s="49"/>
      <c r="B98" s="49"/>
      <c r="C98" s="49"/>
      <c r="D98" s="50"/>
      <c r="E98" s="50"/>
      <c r="F98" s="50"/>
      <c r="G98" s="50"/>
      <c r="H98" s="49"/>
      <c r="I98" s="49"/>
      <c r="J98" s="49"/>
      <c r="K98" s="49"/>
      <c r="L98" s="49"/>
      <c r="M98" s="49"/>
      <c r="N98" s="49"/>
      <c r="O98" s="49"/>
      <c r="P98" s="49"/>
      <c r="Q98" s="49"/>
      <c r="R98" s="49"/>
      <c r="S98" s="49"/>
      <c r="T98" s="49"/>
      <c r="U98" s="49"/>
      <c r="V98" s="49"/>
      <c r="W98" s="49"/>
      <c r="X98" s="49"/>
      <c r="Y98" s="49"/>
      <c r="Z98" s="49"/>
      <c r="AA98" s="49"/>
      <c r="AB98" s="49"/>
      <c r="AC98" s="49"/>
      <c r="AD98" s="49"/>
      <c r="AE98" s="49"/>
      <c r="AF98" s="49"/>
      <c r="AG98" s="49"/>
      <c r="AH98" s="49"/>
      <c r="AI98" s="49"/>
      <c r="AJ98" s="49"/>
      <c r="AK98" s="49"/>
      <c r="AL98" s="49"/>
      <c r="AM98" s="49"/>
      <c r="AN98" s="49"/>
      <c r="AO98" s="49"/>
      <c r="AP98" s="49"/>
      <c r="AQ98" s="49"/>
      <c r="AR98" s="49"/>
      <c r="AS98" s="49"/>
      <c r="AT98" s="49"/>
      <c r="AU98" s="49"/>
      <c r="AV98" s="49"/>
      <c r="AW98" s="49"/>
      <c r="AX98" s="49"/>
    </row>
    <row r="99">
      <c r="A99" s="49"/>
      <c r="B99" s="49"/>
      <c r="C99" s="49"/>
      <c r="D99" s="50"/>
      <c r="E99" s="50"/>
      <c r="F99" s="50"/>
      <c r="G99" s="50"/>
      <c r="H99" s="49"/>
      <c r="I99" s="49"/>
      <c r="J99" s="49"/>
      <c r="K99" s="49"/>
      <c r="L99" s="49"/>
      <c r="M99" s="49"/>
      <c r="N99" s="49"/>
      <c r="O99" s="49"/>
      <c r="P99" s="49"/>
      <c r="Q99" s="49"/>
      <c r="R99" s="49"/>
      <c r="S99" s="49"/>
      <c r="T99" s="49"/>
      <c r="U99" s="49"/>
      <c r="V99" s="49"/>
      <c r="W99" s="49"/>
      <c r="X99" s="49"/>
      <c r="Y99" s="49"/>
      <c r="Z99" s="49"/>
      <c r="AA99" s="49"/>
      <c r="AB99" s="49"/>
      <c r="AC99" s="49"/>
      <c r="AD99" s="49"/>
      <c r="AE99" s="49"/>
      <c r="AF99" s="49"/>
      <c r="AG99" s="49"/>
      <c r="AH99" s="49"/>
      <c r="AI99" s="49"/>
      <c r="AJ99" s="49"/>
      <c r="AK99" s="49"/>
      <c r="AL99" s="49"/>
      <c r="AM99" s="49"/>
      <c r="AN99" s="49"/>
      <c r="AO99" s="49"/>
      <c r="AP99" s="49"/>
      <c r="AQ99" s="49"/>
      <c r="AR99" s="49"/>
      <c r="AS99" s="49"/>
      <c r="AT99" s="49"/>
      <c r="AU99" s="49"/>
      <c r="AV99" s="49"/>
      <c r="AW99" s="49"/>
      <c r="AX99" s="49"/>
    </row>
    <row r="100">
      <c r="A100" s="49"/>
      <c r="B100" s="49"/>
      <c r="C100" s="49"/>
      <c r="D100" s="50"/>
      <c r="E100" s="50"/>
      <c r="F100" s="50"/>
      <c r="G100" s="50"/>
      <c r="H100" s="49"/>
      <c r="I100" s="49"/>
      <c r="J100" s="49"/>
      <c r="K100" s="49"/>
      <c r="L100" s="49"/>
      <c r="M100" s="49"/>
      <c r="N100" s="49"/>
      <c r="O100" s="49"/>
      <c r="P100" s="49"/>
      <c r="Q100" s="49"/>
      <c r="R100" s="49"/>
      <c r="S100" s="49"/>
      <c r="T100" s="49"/>
      <c r="U100" s="49"/>
      <c r="V100" s="49"/>
      <c r="W100" s="49"/>
      <c r="X100" s="49"/>
      <c r="Y100" s="49"/>
      <c r="Z100" s="49"/>
      <c r="AA100" s="49"/>
      <c r="AB100" s="49"/>
      <c r="AC100" s="49"/>
      <c r="AD100" s="49"/>
      <c r="AE100" s="49"/>
      <c r="AF100" s="49"/>
      <c r="AG100" s="49"/>
      <c r="AH100" s="49"/>
      <c r="AI100" s="49"/>
      <c r="AJ100" s="49"/>
      <c r="AK100" s="49"/>
      <c r="AL100" s="49"/>
      <c r="AM100" s="49"/>
      <c r="AN100" s="49"/>
      <c r="AO100" s="49"/>
      <c r="AP100" s="49"/>
      <c r="AQ100" s="49"/>
      <c r="AR100" s="49"/>
      <c r="AS100" s="49"/>
      <c r="AT100" s="49"/>
      <c r="AU100" s="49"/>
      <c r="AV100" s="49"/>
      <c r="AW100" s="49"/>
      <c r="AX100" s="49"/>
    </row>
    <row r="101">
      <c r="A101" s="49"/>
      <c r="B101" s="49"/>
      <c r="C101" s="49"/>
      <c r="D101" s="50"/>
      <c r="E101" s="50"/>
      <c r="F101" s="50"/>
      <c r="G101" s="50"/>
      <c r="H101" s="49"/>
      <c r="I101" s="49"/>
      <c r="J101" s="49"/>
      <c r="K101" s="49"/>
      <c r="L101" s="49"/>
      <c r="M101" s="49"/>
      <c r="N101" s="49"/>
      <c r="O101" s="49"/>
      <c r="P101" s="49"/>
      <c r="Q101" s="49"/>
      <c r="R101" s="49"/>
      <c r="S101" s="49"/>
      <c r="T101" s="49"/>
      <c r="U101" s="49"/>
      <c r="V101" s="49"/>
      <c r="W101" s="49"/>
      <c r="X101" s="49"/>
      <c r="Y101" s="49"/>
      <c r="Z101" s="49"/>
      <c r="AA101" s="49"/>
      <c r="AB101" s="49"/>
      <c r="AC101" s="49"/>
      <c r="AD101" s="49"/>
      <c r="AE101" s="49"/>
      <c r="AF101" s="49"/>
      <c r="AG101" s="49"/>
      <c r="AH101" s="49"/>
      <c r="AI101" s="49"/>
      <c r="AJ101" s="49"/>
      <c r="AK101" s="49"/>
      <c r="AL101" s="49"/>
      <c r="AM101" s="49"/>
      <c r="AN101" s="49"/>
      <c r="AO101" s="49"/>
      <c r="AP101" s="49"/>
      <c r="AQ101" s="49"/>
      <c r="AR101" s="49"/>
      <c r="AS101" s="49"/>
      <c r="AT101" s="49"/>
      <c r="AU101" s="49"/>
      <c r="AV101" s="49"/>
      <c r="AW101" s="49"/>
      <c r="AX101" s="49"/>
    </row>
    <row r="102">
      <c r="A102" s="49"/>
      <c r="B102" s="49"/>
      <c r="C102" s="49"/>
      <c r="D102" s="50"/>
      <c r="E102" s="50"/>
      <c r="F102" s="50"/>
      <c r="G102" s="50"/>
      <c r="H102" s="49"/>
      <c r="I102" s="49"/>
      <c r="J102" s="49"/>
      <c r="K102" s="49"/>
      <c r="L102" s="49"/>
      <c r="M102" s="49"/>
      <c r="N102" s="49"/>
      <c r="O102" s="49"/>
      <c r="P102" s="49"/>
      <c r="Q102" s="49"/>
      <c r="R102" s="49"/>
      <c r="S102" s="49"/>
      <c r="T102" s="49"/>
      <c r="U102" s="49"/>
      <c r="V102" s="49"/>
      <c r="W102" s="49"/>
      <c r="X102" s="49"/>
      <c r="Y102" s="49"/>
      <c r="Z102" s="49"/>
      <c r="AA102" s="49"/>
      <c r="AB102" s="49"/>
      <c r="AC102" s="49"/>
      <c r="AD102" s="49"/>
      <c r="AE102" s="49"/>
      <c r="AF102" s="49"/>
      <c r="AG102" s="49"/>
      <c r="AH102" s="49"/>
      <c r="AI102" s="49"/>
      <c r="AJ102" s="49"/>
      <c r="AK102" s="49"/>
      <c r="AL102" s="49"/>
      <c r="AM102" s="49"/>
      <c r="AN102" s="49"/>
      <c r="AO102" s="49"/>
      <c r="AP102" s="49"/>
      <c r="AQ102" s="49"/>
      <c r="AR102" s="49"/>
      <c r="AS102" s="49"/>
      <c r="AT102" s="49"/>
      <c r="AU102" s="49"/>
      <c r="AV102" s="49"/>
      <c r="AW102" s="49"/>
      <c r="AX102" s="49"/>
    </row>
    <row r="103">
      <c r="A103" s="49"/>
      <c r="B103" s="49"/>
      <c r="C103" s="49"/>
      <c r="D103" s="50"/>
      <c r="E103" s="50"/>
      <c r="F103" s="50"/>
      <c r="G103" s="50"/>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c r="AH103" s="49"/>
      <c r="AI103" s="49"/>
      <c r="AJ103" s="49"/>
      <c r="AK103" s="49"/>
      <c r="AL103" s="49"/>
      <c r="AM103" s="49"/>
      <c r="AN103" s="49"/>
      <c r="AO103" s="49"/>
      <c r="AP103" s="49"/>
      <c r="AQ103" s="49"/>
      <c r="AR103" s="49"/>
      <c r="AS103" s="49"/>
      <c r="AT103" s="49"/>
      <c r="AU103" s="49"/>
      <c r="AV103" s="49"/>
      <c r="AW103" s="49"/>
      <c r="AX103" s="49"/>
    </row>
    <row r="104">
      <c r="A104" s="49"/>
      <c r="B104" s="49"/>
      <c r="C104" s="49"/>
      <c r="D104" s="50"/>
      <c r="E104" s="50"/>
      <c r="F104" s="50"/>
      <c r="G104" s="50"/>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c r="AH104" s="49"/>
      <c r="AI104" s="49"/>
      <c r="AJ104" s="49"/>
      <c r="AK104" s="49"/>
      <c r="AL104" s="49"/>
      <c r="AM104" s="49"/>
      <c r="AN104" s="49"/>
      <c r="AO104" s="49"/>
      <c r="AP104" s="49"/>
      <c r="AQ104" s="49"/>
      <c r="AR104" s="49"/>
      <c r="AS104" s="49"/>
      <c r="AT104" s="49"/>
      <c r="AU104" s="49"/>
      <c r="AV104" s="49"/>
      <c r="AW104" s="49"/>
      <c r="AX104" s="49"/>
    </row>
    <row r="105">
      <c r="A105" s="49"/>
      <c r="B105" s="49"/>
      <c r="C105" s="49"/>
      <c r="D105" s="50"/>
      <c r="E105" s="50"/>
      <c r="F105" s="50"/>
      <c r="G105" s="50"/>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c r="AH105" s="49"/>
      <c r="AI105" s="49"/>
      <c r="AJ105" s="49"/>
      <c r="AK105" s="49"/>
      <c r="AL105" s="49"/>
      <c r="AM105" s="49"/>
      <c r="AN105" s="49"/>
      <c r="AO105" s="49"/>
      <c r="AP105" s="49"/>
      <c r="AQ105" s="49"/>
      <c r="AR105" s="49"/>
      <c r="AS105" s="49"/>
      <c r="AT105" s="49"/>
      <c r="AU105" s="49"/>
      <c r="AV105" s="49"/>
      <c r="AW105" s="49"/>
      <c r="AX105" s="49"/>
    </row>
    <row r="106">
      <c r="A106" s="49"/>
      <c r="B106" s="49"/>
      <c r="C106" s="49"/>
      <c r="D106" s="50"/>
      <c r="E106" s="50"/>
      <c r="F106" s="50"/>
      <c r="G106" s="50"/>
      <c r="H106" s="49"/>
      <c r="I106" s="49"/>
      <c r="J106" s="49"/>
      <c r="K106" s="49"/>
      <c r="L106" s="49"/>
      <c r="M106" s="49"/>
      <c r="N106" s="49"/>
      <c r="O106" s="49"/>
      <c r="P106" s="49"/>
      <c r="Q106" s="49"/>
      <c r="R106" s="49"/>
      <c r="S106" s="49"/>
      <c r="T106" s="49"/>
      <c r="U106" s="49"/>
      <c r="V106" s="49"/>
      <c r="W106" s="49"/>
      <c r="X106" s="49"/>
      <c r="Y106" s="49"/>
      <c r="Z106" s="49"/>
      <c r="AA106" s="49"/>
      <c r="AB106" s="49"/>
      <c r="AC106" s="49"/>
      <c r="AD106" s="49"/>
      <c r="AE106" s="49"/>
      <c r="AF106" s="49"/>
      <c r="AG106" s="49"/>
      <c r="AH106" s="49"/>
      <c r="AI106" s="49"/>
      <c r="AJ106" s="49"/>
      <c r="AK106" s="49"/>
      <c r="AL106" s="49"/>
      <c r="AM106" s="49"/>
      <c r="AN106" s="49"/>
      <c r="AO106" s="49"/>
      <c r="AP106" s="49"/>
      <c r="AQ106" s="49"/>
      <c r="AR106" s="49"/>
      <c r="AS106" s="49"/>
      <c r="AT106" s="49"/>
      <c r="AU106" s="49"/>
      <c r="AV106" s="49"/>
      <c r="AW106" s="49"/>
      <c r="AX106" s="49"/>
    </row>
    <row r="107">
      <c r="A107" s="49"/>
      <c r="B107" s="49"/>
      <c r="C107" s="49"/>
      <c r="D107" s="50"/>
      <c r="E107" s="50"/>
      <c r="F107" s="50"/>
      <c r="G107" s="50"/>
      <c r="H107" s="49"/>
      <c r="I107" s="49"/>
      <c r="J107" s="49"/>
      <c r="K107" s="49"/>
      <c r="L107" s="49"/>
      <c r="M107" s="49"/>
      <c r="N107" s="49"/>
      <c r="O107" s="49"/>
      <c r="P107" s="49"/>
      <c r="Q107" s="49"/>
      <c r="R107" s="49"/>
      <c r="S107" s="49"/>
      <c r="T107" s="49"/>
      <c r="U107" s="49"/>
      <c r="V107" s="49"/>
      <c r="W107" s="49"/>
      <c r="X107" s="49"/>
      <c r="Y107" s="49"/>
      <c r="Z107" s="49"/>
      <c r="AA107" s="49"/>
      <c r="AB107" s="49"/>
      <c r="AC107" s="49"/>
      <c r="AD107" s="49"/>
      <c r="AE107" s="49"/>
      <c r="AF107" s="49"/>
      <c r="AG107" s="49"/>
      <c r="AH107" s="49"/>
      <c r="AI107" s="49"/>
      <c r="AJ107" s="49"/>
      <c r="AK107" s="49"/>
      <c r="AL107" s="49"/>
      <c r="AM107" s="49"/>
      <c r="AN107" s="49"/>
      <c r="AO107" s="49"/>
      <c r="AP107" s="49"/>
      <c r="AQ107" s="49"/>
      <c r="AR107" s="49"/>
      <c r="AS107" s="49"/>
      <c r="AT107" s="49"/>
      <c r="AU107" s="49"/>
      <c r="AV107" s="49"/>
      <c r="AW107" s="49"/>
      <c r="AX107" s="49"/>
    </row>
    <row r="108">
      <c r="A108" s="49"/>
      <c r="B108" s="49"/>
      <c r="C108" s="49"/>
      <c r="D108" s="50"/>
      <c r="E108" s="50"/>
      <c r="F108" s="50"/>
      <c r="G108" s="50"/>
      <c r="H108" s="49"/>
      <c r="I108" s="49"/>
      <c r="J108" s="49"/>
      <c r="K108" s="49"/>
      <c r="L108" s="49"/>
      <c r="M108" s="49"/>
      <c r="N108" s="49"/>
      <c r="O108" s="49"/>
      <c r="P108" s="49"/>
      <c r="Q108" s="49"/>
      <c r="R108" s="49"/>
      <c r="S108" s="49"/>
      <c r="T108" s="49"/>
      <c r="U108" s="49"/>
      <c r="V108" s="49"/>
      <c r="W108" s="49"/>
      <c r="X108" s="49"/>
      <c r="Y108" s="49"/>
      <c r="Z108" s="49"/>
      <c r="AA108" s="49"/>
      <c r="AB108" s="49"/>
      <c r="AC108" s="49"/>
      <c r="AD108" s="49"/>
      <c r="AE108" s="49"/>
      <c r="AF108" s="49"/>
      <c r="AG108" s="49"/>
      <c r="AH108" s="49"/>
      <c r="AI108" s="49"/>
      <c r="AJ108" s="49"/>
      <c r="AK108" s="49"/>
      <c r="AL108" s="49"/>
      <c r="AM108" s="49"/>
      <c r="AN108" s="49"/>
      <c r="AO108" s="49"/>
      <c r="AP108" s="49"/>
      <c r="AQ108" s="49"/>
      <c r="AR108" s="49"/>
      <c r="AS108" s="49"/>
      <c r="AT108" s="49"/>
      <c r="AU108" s="49"/>
      <c r="AV108" s="49"/>
      <c r="AW108" s="49"/>
      <c r="AX108" s="49"/>
    </row>
    <row r="109">
      <c r="A109" s="49"/>
      <c r="B109" s="49"/>
      <c r="C109" s="49"/>
      <c r="D109" s="50"/>
      <c r="E109" s="50"/>
      <c r="F109" s="50"/>
      <c r="G109" s="50"/>
      <c r="H109" s="49"/>
      <c r="I109" s="49"/>
      <c r="J109" s="49"/>
      <c r="K109" s="49"/>
      <c r="L109" s="49"/>
      <c r="M109" s="49"/>
      <c r="N109" s="49"/>
      <c r="O109" s="49"/>
      <c r="P109" s="49"/>
      <c r="Q109" s="49"/>
      <c r="R109" s="49"/>
      <c r="S109" s="49"/>
      <c r="T109" s="49"/>
      <c r="U109" s="49"/>
      <c r="V109" s="49"/>
      <c r="W109" s="49"/>
      <c r="X109" s="49"/>
      <c r="Y109" s="49"/>
      <c r="Z109" s="49"/>
      <c r="AA109" s="49"/>
      <c r="AB109" s="49"/>
      <c r="AC109" s="49"/>
      <c r="AD109" s="49"/>
      <c r="AE109" s="49"/>
      <c r="AF109" s="49"/>
      <c r="AG109" s="49"/>
      <c r="AH109" s="49"/>
      <c r="AI109" s="49"/>
      <c r="AJ109" s="49"/>
      <c r="AK109" s="49"/>
      <c r="AL109" s="49"/>
      <c r="AM109" s="49"/>
      <c r="AN109" s="49"/>
      <c r="AO109" s="49"/>
      <c r="AP109" s="49"/>
      <c r="AQ109" s="49"/>
      <c r="AR109" s="49"/>
      <c r="AS109" s="49"/>
      <c r="AT109" s="49"/>
      <c r="AU109" s="49"/>
      <c r="AV109" s="49"/>
      <c r="AW109" s="49"/>
      <c r="AX109" s="49"/>
    </row>
    <row r="110">
      <c r="A110" s="49"/>
      <c r="B110" s="49"/>
      <c r="C110" s="49"/>
      <c r="D110" s="50"/>
      <c r="E110" s="50"/>
      <c r="F110" s="50"/>
      <c r="G110" s="50"/>
      <c r="H110" s="49"/>
      <c r="I110" s="49"/>
      <c r="J110" s="49"/>
      <c r="K110" s="49"/>
      <c r="L110" s="49"/>
      <c r="M110" s="49"/>
      <c r="N110" s="49"/>
      <c r="O110" s="49"/>
      <c r="P110" s="49"/>
      <c r="Q110" s="49"/>
      <c r="R110" s="49"/>
      <c r="S110" s="49"/>
      <c r="T110" s="49"/>
      <c r="U110" s="49"/>
      <c r="V110" s="49"/>
      <c r="W110" s="49"/>
      <c r="X110" s="49"/>
      <c r="Y110" s="49"/>
      <c r="Z110" s="49"/>
      <c r="AA110" s="49"/>
      <c r="AB110" s="49"/>
      <c r="AC110" s="49"/>
      <c r="AD110" s="49"/>
      <c r="AE110" s="49"/>
      <c r="AF110" s="49"/>
      <c r="AG110" s="49"/>
      <c r="AH110" s="49"/>
      <c r="AI110" s="49"/>
      <c r="AJ110" s="49"/>
      <c r="AK110" s="49"/>
      <c r="AL110" s="49"/>
      <c r="AM110" s="49"/>
      <c r="AN110" s="49"/>
      <c r="AO110" s="49"/>
      <c r="AP110" s="49"/>
      <c r="AQ110" s="49"/>
      <c r="AR110" s="49"/>
      <c r="AS110" s="49"/>
      <c r="AT110" s="49"/>
      <c r="AU110" s="49"/>
      <c r="AV110" s="49"/>
      <c r="AW110" s="49"/>
      <c r="AX110" s="49"/>
    </row>
    <row r="111">
      <c r="A111" s="49"/>
      <c r="B111" s="49"/>
      <c r="C111" s="49"/>
      <c r="D111" s="50"/>
      <c r="E111" s="50"/>
      <c r="F111" s="50"/>
      <c r="G111" s="50"/>
      <c r="H111" s="49"/>
      <c r="I111" s="49"/>
      <c r="J111" s="49"/>
      <c r="K111" s="49"/>
      <c r="L111" s="49"/>
      <c r="M111" s="49"/>
      <c r="N111" s="49"/>
      <c r="O111" s="49"/>
      <c r="P111" s="49"/>
      <c r="Q111" s="49"/>
      <c r="R111" s="49"/>
      <c r="S111" s="49"/>
      <c r="T111" s="49"/>
      <c r="U111" s="49"/>
      <c r="V111" s="49"/>
      <c r="W111" s="49"/>
      <c r="X111" s="49"/>
      <c r="Y111" s="49"/>
      <c r="Z111" s="49"/>
      <c r="AA111" s="49"/>
      <c r="AB111" s="49"/>
      <c r="AC111" s="49"/>
      <c r="AD111" s="49"/>
      <c r="AE111" s="49"/>
      <c r="AF111" s="49"/>
      <c r="AG111" s="49"/>
      <c r="AH111" s="49"/>
      <c r="AI111" s="49"/>
      <c r="AJ111" s="49"/>
      <c r="AK111" s="49"/>
      <c r="AL111" s="49"/>
      <c r="AM111" s="49"/>
      <c r="AN111" s="49"/>
      <c r="AO111" s="49"/>
      <c r="AP111" s="49"/>
      <c r="AQ111" s="49"/>
      <c r="AR111" s="49"/>
      <c r="AS111" s="49"/>
      <c r="AT111" s="49"/>
      <c r="AU111" s="49"/>
      <c r="AV111" s="49"/>
      <c r="AW111" s="49"/>
      <c r="AX111" s="49"/>
    </row>
    <row r="112">
      <c r="A112" s="49"/>
      <c r="B112" s="49"/>
      <c r="C112" s="49"/>
      <c r="D112" s="50"/>
      <c r="E112" s="50"/>
      <c r="F112" s="50"/>
      <c r="G112" s="50"/>
      <c r="H112" s="49"/>
      <c r="I112" s="49"/>
      <c r="J112" s="49"/>
      <c r="K112" s="49"/>
      <c r="L112" s="49"/>
      <c r="M112" s="49"/>
      <c r="N112" s="49"/>
      <c r="O112" s="49"/>
      <c r="P112" s="49"/>
      <c r="Q112" s="49"/>
      <c r="R112" s="49"/>
      <c r="S112" s="49"/>
      <c r="T112" s="49"/>
      <c r="U112" s="49"/>
      <c r="V112" s="49"/>
      <c r="W112" s="49"/>
      <c r="X112" s="49"/>
      <c r="Y112" s="49"/>
      <c r="Z112" s="49"/>
      <c r="AA112" s="49"/>
      <c r="AB112" s="49"/>
      <c r="AC112" s="49"/>
      <c r="AD112" s="49"/>
      <c r="AE112" s="49"/>
      <c r="AF112" s="49"/>
      <c r="AG112" s="49"/>
      <c r="AH112" s="49"/>
      <c r="AI112" s="49"/>
      <c r="AJ112" s="49"/>
      <c r="AK112" s="49"/>
      <c r="AL112" s="49"/>
      <c r="AM112" s="49"/>
      <c r="AN112" s="49"/>
      <c r="AO112" s="49"/>
      <c r="AP112" s="49"/>
      <c r="AQ112" s="49"/>
      <c r="AR112" s="49"/>
      <c r="AS112" s="49"/>
      <c r="AT112" s="49"/>
      <c r="AU112" s="49"/>
      <c r="AV112" s="49"/>
      <c r="AW112" s="49"/>
      <c r="AX112" s="49"/>
    </row>
    <row r="113">
      <c r="A113" s="49"/>
      <c r="B113" s="49"/>
      <c r="C113" s="49"/>
      <c r="D113" s="50"/>
      <c r="E113" s="50"/>
      <c r="F113" s="50"/>
      <c r="G113" s="50"/>
      <c r="H113" s="49"/>
      <c r="I113" s="49"/>
      <c r="J113" s="49"/>
      <c r="K113" s="49"/>
      <c r="L113" s="49"/>
      <c r="M113" s="49"/>
      <c r="N113" s="49"/>
      <c r="O113" s="49"/>
      <c r="P113" s="49"/>
      <c r="Q113" s="49"/>
      <c r="R113" s="49"/>
      <c r="S113" s="49"/>
      <c r="T113" s="49"/>
      <c r="U113" s="49"/>
      <c r="V113" s="49"/>
      <c r="W113" s="49"/>
      <c r="X113" s="49"/>
      <c r="Y113" s="49"/>
      <c r="Z113" s="49"/>
      <c r="AA113" s="49"/>
      <c r="AB113" s="49"/>
      <c r="AC113" s="49"/>
      <c r="AD113" s="49"/>
      <c r="AE113" s="49"/>
      <c r="AF113" s="49"/>
      <c r="AG113" s="49"/>
      <c r="AH113" s="49"/>
      <c r="AI113" s="49"/>
      <c r="AJ113" s="49"/>
      <c r="AK113" s="49"/>
      <c r="AL113" s="49"/>
      <c r="AM113" s="49"/>
      <c r="AN113" s="49"/>
      <c r="AO113" s="49"/>
      <c r="AP113" s="49"/>
      <c r="AQ113" s="49"/>
      <c r="AR113" s="49"/>
      <c r="AS113" s="49"/>
      <c r="AT113" s="49"/>
      <c r="AU113" s="49"/>
      <c r="AV113" s="49"/>
      <c r="AW113" s="49"/>
      <c r="AX113" s="49"/>
    </row>
    <row r="114">
      <c r="A114" s="49"/>
      <c r="B114" s="49"/>
      <c r="C114" s="49"/>
      <c r="D114" s="50"/>
      <c r="E114" s="50"/>
      <c r="F114" s="50"/>
      <c r="G114" s="50"/>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c r="AH114" s="49"/>
      <c r="AI114" s="49"/>
      <c r="AJ114" s="49"/>
      <c r="AK114" s="49"/>
      <c r="AL114" s="49"/>
      <c r="AM114" s="49"/>
      <c r="AN114" s="49"/>
      <c r="AO114" s="49"/>
      <c r="AP114" s="49"/>
      <c r="AQ114" s="49"/>
      <c r="AR114" s="49"/>
      <c r="AS114" s="49"/>
      <c r="AT114" s="49"/>
      <c r="AU114" s="49"/>
      <c r="AV114" s="49"/>
      <c r="AW114" s="49"/>
      <c r="AX114" s="49"/>
    </row>
    <row r="115">
      <c r="A115" s="49"/>
      <c r="B115" s="49"/>
      <c r="C115" s="49"/>
      <c r="D115" s="50"/>
      <c r="E115" s="50"/>
      <c r="F115" s="50"/>
      <c r="G115" s="50"/>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c r="AH115" s="49"/>
      <c r="AI115" s="49"/>
      <c r="AJ115" s="49"/>
      <c r="AK115" s="49"/>
      <c r="AL115" s="49"/>
      <c r="AM115" s="49"/>
      <c r="AN115" s="49"/>
      <c r="AO115" s="49"/>
      <c r="AP115" s="49"/>
      <c r="AQ115" s="49"/>
      <c r="AR115" s="49"/>
      <c r="AS115" s="49"/>
      <c r="AT115" s="49"/>
      <c r="AU115" s="49"/>
      <c r="AV115" s="49"/>
      <c r="AW115" s="49"/>
      <c r="AX115" s="49"/>
    </row>
    <row r="116">
      <c r="A116" s="49"/>
      <c r="B116" s="49"/>
      <c r="C116" s="49"/>
      <c r="D116" s="50"/>
      <c r="E116" s="50"/>
      <c r="F116" s="50"/>
      <c r="G116" s="50"/>
      <c r="H116" s="49"/>
      <c r="I116" s="49"/>
      <c r="J116" s="49"/>
      <c r="K116" s="49"/>
      <c r="L116" s="49"/>
      <c r="M116" s="49"/>
      <c r="N116" s="49"/>
      <c r="O116" s="49"/>
      <c r="P116" s="49"/>
      <c r="Q116" s="49"/>
      <c r="R116" s="49"/>
      <c r="S116" s="49"/>
      <c r="T116" s="49"/>
      <c r="U116" s="49"/>
      <c r="V116" s="49"/>
      <c r="W116" s="49"/>
      <c r="X116" s="49"/>
      <c r="Y116" s="49"/>
      <c r="Z116" s="49"/>
      <c r="AA116" s="49"/>
      <c r="AB116" s="49"/>
      <c r="AC116" s="49"/>
      <c r="AD116" s="49"/>
      <c r="AE116" s="49"/>
      <c r="AF116" s="49"/>
      <c r="AG116" s="49"/>
      <c r="AH116" s="49"/>
      <c r="AI116" s="49"/>
      <c r="AJ116" s="49"/>
      <c r="AK116" s="49"/>
      <c r="AL116" s="49"/>
      <c r="AM116" s="49"/>
      <c r="AN116" s="49"/>
      <c r="AO116" s="49"/>
      <c r="AP116" s="49"/>
      <c r="AQ116" s="49"/>
      <c r="AR116" s="49"/>
      <c r="AS116" s="49"/>
      <c r="AT116" s="49"/>
      <c r="AU116" s="49"/>
      <c r="AV116" s="49"/>
      <c r="AW116" s="49"/>
      <c r="AX116" s="49"/>
    </row>
    <row r="117">
      <c r="A117" s="49"/>
      <c r="B117" s="49"/>
      <c r="C117" s="49"/>
      <c r="D117" s="50"/>
      <c r="E117" s="50"/>
      <c r="F117" s="50"/>
      <c r="G117" s="50"/>
      <c r="H117" s="49"/>
      <c r="I117" s="49"/>
      <c r="J117" s="49"/>
      <c r="K117" s="49"/>
      <c r="L117" s="49"/>
      <c r="M117" s="49"/>
      <c r="N117" s="49"/>
      <c r="O117" s="49"/>
      <c r="P117" s="49"/>
      <c r="Q117" s="49"/>
      <c r="R117" s="49"/>
      <c r="S117" s="49"/>
      <c r="T117" s="49"/>
      <c r="U117" s="49"/>
      <c r="V117" s="49"/>
      <c r="W117" s="49"/>
      <c r="X117" s="49"/>
      <c r="Y117" s="49"/>
      <c r="Z117" s="49"/>
      <c r="AA117" s="49"/>
      <c r="AB117" s="49"/>
      <c r="AC117" s="49"/>
      <c r="AD117" s="49"/>
      <c r="AE117" s="49"/>
      <c r="AF117" s="49"/>
      <c r="AG117" s="49"/>
      <c r="AH117" s="49"/>
      <c r="AI117" s="49"/>
      <c r="AJ117" s="49"/>
      <c r="AK117" s="49"/>
      <c r="AL117" s="49"/>
      <c r="AM117" s="49"/>
      <c r="AN117" s="49"/>
      <c r="AO117" s="49"/>
      <c r="AP117" s="49"/>
      <c r="AQ117" s="49"/>
      <c r="AR117" s="49"/>
      <c r="AS117" s="49"/>
      <c r="AT117" s="49"/>
      <c r="AU117" s="49"/>
      <c r="AV117" s="49"/>
      <c r="AW117" s="49"/>
      <c r="AX117" s="49"/>
    </row>
    <row r="118">
      <c r="A118" s="49"/>
      <c r="B118" s="49"/>
      <c r="C118" s="49"/>
      <c r="D118" s="50"/>
      <c r="E118" s="50"/>
      <c r="F118" s="50"/>
      <c r="G118" s="50"/>
      <c r="H118" s="49"/>
      <c r="I118" s="49"/>
      <c r="J118" s="49"/>
      <c r="K118" s="49"/>
      <c r="L118" s="49"/>
      <c r="M118" s="49"/>
      <c r="N118" s="49"/>
      <c r="O118" s="49"/>
      <c r="P118" s="49"/>
      <c r="Q118" s="49"/>
      <c r="R118" s="49"/>
      <c r="S118" s="49"/>
      <c r="T118" s="49"/>
      <c r="U118" s="49"/>
      <c r="V118" s="49"/>
      <c r="W118" s="49"/>
      <c r="X118" s="49"/>
      <c r="Y118" s="49"/>
      <c r="Z118" s="49"/>
      <c r="AA118" s="49"/>
      <c r="AB118" s="49"/>
      <c r="AC118" s="49"/>
      <c r="AD118" s="49"/>
      <c r="AE118" s="49"/>
      <c r="AF118" s="49"/>
      <c r="AG118" s="49"/>
      <c r="AH118" s="49"/>
      <c r="AI118" s="49"/>
      <c r="AJ118" s="49"/>
      <c r="AK118" s="49"/>
      <c r="AL118" s="49"/>
      <c r="AM118" s="49"/>
      <c r="AN118" s="49"/>
      <c r="AO118" s="49"/>
      <c r="AP118" s="49"/>
      <c r="AQ118" s="49"/>
      <c r="AR118" s="49"/>
      <c r="AS118" s="49"/>
      <c r="AT118" s="49"/>
      <c r="AU118" s="49"/>
      <c r="AV118" s="49"/>
      <c r="AW118" s="49"/>
      <c r="AX118" s="49"/>
    </row>
    <row r="119">
      <c r="A119" s="49"/>
      <c r="B119" s="49"/>
      <c r="C119" s="49"/>
      <c r="D119" s="50"/>
      <c r="E119" s="50"/>
      <c r="F119" s="50"/>
      <c r="G119" s="50"/>
      <c r="H119" s="49"/>
      <c r="I119" s="49"/>
      <c r="J119" s="49"/>
      <c r="K119" s="49"/>
      <c r="L119" s="49"/>
      <c r="M119" s="49"/>
      <c r="N119" s="49"/>
      <c r="O119" s="49"/>
      <c r="P119" s="49"/>
      <c r="Q119" s="49"/>
      <c r="R119" s="49"/>
      <c r="S119" s="49"/>
      <c r="T119" s="49"/>
      <c r="U119" s="49"/>
      <c r="V119" s="49"/>
      <c r="W119" s="49"/>
      <c r="X119" s="49"/>
      <c r="Y119" s="49"/>
      <c r="Z119" s="49"/>
      <c r="AA119" s="49"/>
      <c r="AB119" s="49"/>
      <c r="AC119" s="49"/>
      <c r="AD119" s="49"/>
      <c r="AE119" s="49"/>
      <c r="AF119" s="49"/>
      <c r="AG119" s="49"/>
      <c r="AH119" s="49"/>
      <c r="AI119" s="49"/>
      <c r="AJ119" s="49"/>
      <c r="AK119" s="49"/>
      <c r="AL119" s="49"/>
      <c r="AM119" s="49"/>
      <c r="AN119" s="49"/>
      <c r="AO119" s="49"/>
      <c r="AP119" s="49"/>
      <c r="AQ119" s="49"/>
      <c r="AR119" s="49"/>
      <c r="AS119" s="49"/>
      <c r="AT119" s="49"/>
      <c r="AU119" s="49"/>
      <c r="AV119" s="49"/>
      <c r="AW119" s="49"/>
      <c r="AX119" s="49"/>
    </row>
    <row r="120">
      <c r="A120" s="49"/>
      <c r="B120" s="49"/>
      <c r="C120" s="49"/>
      <c r="D120" s="50"/>
      <c r="E120" s="50"/>
      <c r="F120" s="50"/>
      <c r="G120" s="50"/>
      <c r="H120" s="49"/>
      <c r="I120" s="49"/>
      <c r="J120" s="49"/>
      <c r="K120" s="49"/>
      <c r="L120" s="49"/>
      <c r="M120" s="49"/>
      <c r="N120" s="49"/>
      <c r="O120" s="49"/>
      <c r="P120" s="49"/>
      <c r="Q120" s="49"/>
      <c r="R120" s="49"/>
      <c r="S120" s="49"/>
      <c r="T120" s="49"/>
      <c r="U120" s="49"/>
      <c r="V120" s="49"/>
      <c r="W120" s="49"/>
      <c r="X120" s="49"/>
      <c r="Y120" s="49"/>
      <c r="Z120" s="49"/>
      <c r="AA120" s="49"/>
      <c r="AB120" s="49"/>
      <c r="AC120" s="49"/>
      <c r="AD120" s="49"/>
      <c r="AE120" s="49"/>
      <c r="AF120" s="49"/>
      <c r="AG120" s="49"/>
      <c r="AH120" s="49"/>
      <c r="AI120" s="49"/>
      <c r="AJ120" s="49"/>
      <c r="AK120" s="49"/>
      <c r="AL120" s="49"/>
      <c r="AM120" s="49"/>
      <c r="AN120" s="49"/>
      <c r="AO120" s="49"/>
      <c r="AP120" s="49"/>
      <c r="AQ120" s="49"/>
      <c r="AR120" s="49"/>
      <c r="AS120" s="49"/>
      <c r="AT120" s="49"/>
      <c r="AU120" s="49"/>
      <c r="AV120" s="49"/>
      <c r="AW120" s="49"/>
      <c r="AX120" s="49"/>
    </row>
    <row r="121">
      <c r="A121" s="49"/>
      <c r="B121" s="49"/>
      <c r="C121" s="49"/>
      <c r="D121" s="50"/>
      <c r="E121" s="50"/>
      <c r="F121" s="50"/>
      <c r="G121" s="50"/>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c r="AH121" s="49"/>
      <c r="AI121" s="49"/>
      <c r="AJ121" s="49"/>
      <c r="AK121" s="49"/>
      <c r="AL121" s="49"/>
      <c r="AM121" s="49"/>
      <c r="AN121" s="49"/>
      <c r="AO121" s="49"/>
      <c r="AP121" s="49"/>
      <c r="AQ121" s="49"/>
      <c r="AR121" s="49"/>
      <c r="AS121" s="49"/>
      <c r="AT121" s="49"/>
      <c r="AU121" s="49"/>
      <c r="AV121" s="49"/>
      <c r="AW121" s="49"/>
      <c r="AX121" s="49"/>
    </row>
    <row r="122">
      <c r="A122" s="49"/>
      <c r="B122" s="49"/>
      <c r="C122" s="49"/>
      <c r="D122" s="50"/>
      <c r="E122" s="50"/>
      <c r="F122" s="50"/>
      <c r="G122" s="50"/>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c r="AH122" s="49"/>
      <c r="AI122" s="49"/>
      <c r="AJ122" s="49"/>
      <c r="AK122" s="49"/>
      <c r="AL122" s="49"/>
      <c r="AM122" s="49"/>
      <c r="AN122" s="49"/>
      <c r="AO122" s="49"/>
      <c r="AP122" s="49"/>
      <c r="AQ122" s="49"/>
      <c r="AR122" s="49"/>
      <c r="AS122" s="49"/>
      <c r="AT122" s="49"/>
      <c r="AU122" s="49"/>
      <c r="AV122" s="49"/>
      <c r="AW122" s="49"/>
      <c r="AX122" s="49"/>
    </row>
    <row r="123">
      <c r="A123" s="49"/>
      <c r="B123" s="49"/>
      <c r="C123" s="49"/>
      <c r="D123" s="50"/>
      <c r="E123" s="50"/>
      <c r="F123" s="50"/>
      <c r="G123" s="50"/>
      <c r="H123" s="49"/>
      <c r="I123" s="49"/>
      <c r="J123" s="49"/>
      <c r="K123" s="49"/>
      <c r="L123" s="49"/>
      <c r="M123" s="49"/>
      <c r="N123" s="49"/>
      <c r="O123" s="49"/>
      <c r="P123" s="49"/>
      <c r="Q123" s="49"/>
      <c r="R123" s="49"/>
      <c r="S123" s="49"/>
      <c r="T123" s="49"/>
      <c r="U123" s="49"/>
      <c r="V123" s="49"/>
      <c r="W123" s="49"/>
      <c r="X123" s="49"/>
      <c r="Y123" s="49"/>
      <c r="Z123" s="49"/>
      <c r="AA123" s="49"/>
      <c r="AB123" s="49"/>
      <c r="AC123" s="49"/>
      <c r="AD123" s="49"/>
      <c r="AE123" s="49"/>
      <c r="AF123" s="49"/>
      <c r="AG123" s="49"/>
      <c r="AH123" s="49"/>
      <c r="AI123" s="49"/>
      <c r="AJ123" s="49"/>
      <c r="AK123" s="49"/>
      <c r="AL123" s="49"/>
      <c r="AM123" s="49"/>
      <c r="AN123" s="49"/>
      <c r="AO123" s="49"/>
      <c r="AP123" s="49"/>
      <c r="AQ123" s="49"/>
      <c r="AR123" s="49"/>
      <c r="AS123" s="49"/>
      <c r="AT123" s="49"/>
      <c r="AU123" s="49"/>
      <c r="AV123" s="49"/>
      <c r="AW123" s="49"/>
      <c r="AX123" s="49"/>
    </row>
    <row r="124">
      <c r="A124" s="49"/>
      <c r="B124" s="49"/>
      <c r="C124" s="49"/>
      <c r="D124" s="50"/>
      <c r="E124" s="50"/>
      <c r="F124" s="50"/>
      <c r="G124" s="50"/>
      <c r="H124" s="49"/>
      <c r="I124" s="49"/>
      <c r="J124" s="49"/>
      <c r="K124" s="49"/>
      <c r="L124" s="49"/>
      <c r="M124" s="49"/>
      <c r="N124" s="49"/>
      <c r="O124" s="49"/>
      <c r="P124" s="49"/>
      <c r="Q124" s="49"/>
      <c r="R124" s="49"/>
      <c r="S124" s="49"/>
      <c r="T124" s="49"/>
      <c r="U124" s="49"/>
      <c r="V124" s="49"/>
      <c r="W124" s="49"/>
      <c r="X124" s="49"/>
      <c r="Y124" s="49"/>
      <c r="Z124" s="49"/>
      <c r="AA124" s="49"/>
      <c r="AB124" s="49"/>
      <c r="AC124" s="49"/>
      <c r="AD124" s="49"/>
      <c r="AE124" s="49"/>
      <c r="AF124" s="49"/>
      <c r="AG124" s="49"/>
      <c r="AH124" s="49"/>
      <c r="AI124" s="49"/>
      <c r="AJ124" s="49"/>
      <c r="AK124" s="49"/>
      <c r="AL124" s="49"/>
      <c r="AM124" s="49"/>
      <c r="AN124" s="49"/>
      <c r="AO124" s="49"/>
      <c r="AP124" s="49"/>
      <c r="AQ124" s="49"/>
      <c r="AR124" s="49"/>
      <c r="AS124" s="49"/>
      <c r="AT124" s="49"/>
      <c r="AU124" s="49"/>
      <c r="AV124" s="49"/>
      <c r="AW124" s="49"/>
      <c r="AX124" s="49"/>
    </row>
    <row r="125">
      <c r="A125" s="49"/>
      <c r="B125" s="49"/>
      <c r="C125" s="49"/>
      <c r="D125" s="50"/>
      <c r="E125" s="50"/>
      <c r="F125" s="50"/>
      <c r="G125" s="50"/>
      <c r="H125" s="49"/>
      <c r="I125" s="49"/>
      <c r="J125" s="49"/>
      <c r="K125" s="49"/>
      <c r="L125" s="49"/>
      <c r="M125" s="49"/>
      <c r="N125" s="49"/>
      <c r="O125" s="49"/>
      <c r="P125" s="49"/>
      <c r="Q125" s="49"/>
      <c r="R125" s="49"/>
      <c r="S125" s="49"/>
      <c r="T125" s="49"/>
      <c r="U125" s="49"/>
      <c r="V125" s="49"/>
      <c r="W125" s="49"/>
      <c r="X125" s="49"/>
      <c r="Y125" s="49"/>
      <c r="Z125" s="49"/>
      <c r="AA125" s="49"/>
      <c r="AB125" s="49"/>
      <c r="AC125" s="49"/>
      <c r="AD125" s="49"/>
      <c r="AE125" s="49"/>
      <c r="AF125" s="49"/>
      <c r="AG125" s="49"/>
      <c r="AH125" s="49"/>
      <c r="AI125" s="49"/>
      <c r="AJ125" s="49"/>
      <c r="AK125" s="49"/>
      <c r="AL125" s="49"/>
      <c r="AM125" s="49"/>
      <c r="AN125" s="49"/>
      <c r="AO125" s="49"/>
      <c r="AP125" s="49"/>
      <c r="AQ125" s="49"/>
      <c r="AR125" s="49"/>
      <c r="AS125" s="49"/>
      <c r="AT125" s="49"/>
      <c r="AU125" s="49"/>
      <c r="AV125" s="49"/>
      <c r="AW125" s="49"/>
      <c r="AX125" s="49"/>
    </row>
    <row r="126">
      <c r="A126" s="49"/>
      <c r="B126" s="49"/>
      <c r="C126" s="49"/>
      <c r="D126" s="50"/>
      <c r="E126" s="50"/>
      <c r="F126" s="50"/>
      <c r="G126" s="50"/>
      <c r="H126" s="49"/>
      <c r="I126" s="49"/>
      <c r="J126" s="49"/>
      <c r="K126" s="49"/>
      <c r="L126" s="49"/>
      <c r="M126" s="49"/>
      <c r="N126" s="49"/>
      <c r="O126" s="49"/>
      <c r="P126" s="49"/>
      <c r="Q126" s="49"/>
      <c r="R126" s="49"/>
      <c r="S126" s="49"/>
      <c r="T126" s="49"/>
      <c r="U126" s="49"/>
      <c r="V126" s="49"/>
      <c r="W126" s="49"/>
      <c r="X126" s="49"/>
      <c r="Y126" s="49"/>
      <c r="Z126" s="49"/>
      <c r="AA126" s="49"/>
      <c r="AB126" s="49"/>
      <c r="AC126" s="49"/>
      <c r="AD126" s="49"/>
      <c r="AE126" s="49"/>
      <c r="AF126" s="49"/>
      <c r="AG126" s="49"/>
      <c r="AH126" s="49"/>
      <c r="AI126" s="49"/>
      <c r="AJ126" s="49"/>
      <c r="AK126" s="49"/>
      <c r="AL126" s="49"/>
      <c r="AM126" s="49"/>
      <c r="AN126" s="49"/>
      <c r="AO126" s="49"/>
      <c r="AP126" s="49"/>
      <c r="AQ126" s="49"/>
      <c r="AR126" s="49"/>
      <c r="AS126" s="49"/>
      <c r="AT126" s="49"/>
      <c r="AU126" s="49"/>
      <c r="AV126" s="49"/>
      <c r="AW126" s="49"/>
      <c r="AX126" s="49"/>
    </row>
    <row r="127">
      <c r="A127" s="49"/>
      <c r="B127" s="49"/>
      <c r="C127" s="49"/>
      <c r="D127" s="50"/>
      <c r="E127" s="50"/>
      <c r="F127" s="50"/>
      <c r="G127" s="50"/>
      <c r="H127" s="49"/>
      <c r="I127" s="49"/>
      <c r="J127" s="49"/>
      <c r="K127" s="49"/>
      <c r="L127" s="49"/>
      <c r="M127" s="49"/>
      <c r="N127" s="49"/>
      <c r="O127" s="49"/>
      <c r="P127" s="49"/>
      <c r="Q127" s="49"/>
      <c r="R127" s="49"/>
      <c r="S127" s="49"/>
      <c r="T127" s="49"/>
      <c r="U127" s="49"/>
      <c r="V127" s="49"/>
      <c r="W127" s="49"/>
      <c r="X127" s="49"/>
      <c r="Y127" s="49"/>
      <c r="Z127" s="49"/>
      <c r="AA127" s="49"/>
      <c r="AB127" s="49"/>
      <c r="AC127" s="49"/>
      <c r="AD127" s="49"/>
      <c r="AE127" s="49"/>
      <c r="AF127" s="49"/>
      <c r="AG127" s="49"/>
      <c r="AH127" s="49"/>
      <c r="AI127" s="49"/>
      <c r="AJ127" s="49"/>
      <c r="AK127" s="49"/>
      <c r="AL127" s="49"/>
      <c r="AM127" s="49"/>
      <c r="AN127" s="49"/>
      <c r="AO127" s="49"/>
      <c r="AP127" s="49"/>
      <c r="AQ127" s="49"/>
      <c r="AR127" s="49"/>
      <c r="AS127" s="49"/>
      <c r="AT127" s="49"/>
      <c r="AU127" s="49"/>
      <c r="AV127" s="49"/>
      <c r="AW127" s="49"/>
      <c r="AX127" s="49"/>
    </row>
    <row r="128">
      <c r="A128" s="49"/>
      <c r="B128" s="49"/>
      <c r="C128" s="49"/>
      <c r="D128" s="50"/>
      <c r="E128" s="50"/>
      <c r="F128" s="50"/>
      <c r="G128" s="50"/>
      <c r="H128" s="49"/>
      <c r="I128" s="49"/>
      <c r="J128" s="49"/>
      <c r="K128" s="49"/>
      <c r="L128" s="49"/>
      <c r="M128" s="49"/>
      <c r="N128" s="49"/>
      <c r="O128" s="49"/>
      <c r="P128" s="49"/>
      <c r="Q128" s="49"/>
      <c r="R128" s="49"/>
      <c r="S128" s="49"/>
      <c r="T128" s="49"/>
      <c r="U128" s="49"/>
      <c r="V128" s="49"/>
      <c r="W128" s="49"/>
      <c r="X128" s="49"/>
      <c r="Y128" s="49"/>
      <c r="Z128" s="49"/>
      <c r="AA128" s="49"/>
      <c r="AB128" s="49"/>
      <c r="AC128" s="49"/>
      <c r="AD128" s="49"/>
      <c r="AE128" s="49"/>
      <c r="AF128" s="49"/>
      <c r="AG128" s="49"/>
      <c r="AH128" s="49"/>
      <c r="AI128" s="49"/>
      <c r="AJ128" s="49"/>
      <c r="AK128" s="49"/>
      <c r="AL128" s="49"/>
      <c r="AM128" s="49"/>
      <c r="AN128" s="49"/>
      <c r="AO128" s="49"/>
      <c r="AP128" s="49"/>
      <c r="AQ128" s="49"/>
      <c r="AR128" s="49"/>
      <c r="AS128" s="49"/>
      <c r="AT128" s="49"/>
      <c r="AU128" s="49"/>
      <c r="AV128" s="49"/>
      <c r="AW128" s="49"/>
      <c r="AX128" s="49"/>
    </row>
    <row r="129">
      <c r="A129" s="49"/>
      <c r="B129" s="49"/>
      <c r="C129" s="49"/>
      <c r="D129" s="50"/>
      <c r="E129" s="50"/>
      <c r="F129" s="50"/>
      <c r="G129" s="50"/>
      <c r="H129" s="49"/>
      <c r="I129" s="49"/>
      <c r="J129" s="49"/>
      <c r="K129" s="49"/>
      <c r="L129" s="49"/>
      <c r="M129" s="49"/>
      <c r="N129" s="49"/>
      <c r="O129" s="49"/>
      <c r="P129" s="49"/>
      <c r="Q129" s="49"/>
      <c r="R129" s="49"/>
      <c r="S129" s="49"/>
      <c r="T129" s="49"/>
      <c r="U129" s="49"/>
      <c r="V129" s="49"/>
      <c r="W129" s="49"/>
      <c r="X129" s="49"/>
      <c r="Y129" s="49"/>
      <c r="Z129" s="49"/>
      <c r="AA129" s="49"/>
      <c r="AB129" s="49"/>
      <c r="AC129" s="49"/>
      <c r="AD129" s="49"/>
      <c r="AE129" s="49"/>
      <c r="AF129" s="49"/>
      <c r="AG129" s="49"/>
      <c r="AH129" s="49"/>
      <c r="AI129" s="49"/>
      <c r="AJ129" s="49"/>
      <c r="AK129" s="49"/>
      <c r="AL129" s="49"/>
      <c r="AM129" s="49"/>
      <c r="AN129" s="49"/>
      <c r="AO129" s="49"/>
      <c r="AP129" s="49"/>
      <c r="AQ129" s="49"/>
      <c r="AR129" s="49"/>
      <c r="AS129" s="49"/>
      <c r="AT129" s="49"/>
      <c r="AU129" s="49"/>
      <c r="AV129" s="49"/>
      <c r="AW129" s="49"/>
      <c r="AX129" s="49"/>
    </row>
    <row r="130">
      <c r="A130" s="49"/>
      <c r="B130" s="49"/>
      <c r="C130" s="49"/>
      <c r="D130" s="50"/>
      <c r="E130" s="50"/>
      <c r="F130" s="50"/>
      <c r="G130" s="50"/>
      <c r="H130" s="49"/>
      <c r="I130" s="49"/>
      <c r="J130" s="49"/>
      <c r="K130" s="49"/>
      <c r="L130" s="49"/>
      <c r="M130" s="49"/>
      <c r="N130" s="49"/>
      <c r="O130" s="49"/>
      <c r="P130" s="49"/>
      <c r="Q130" s="49"/>
      <c r="R130" s="49"/>
      <c r="S130" s="49"/>
      <c r="T130" s="49"/>
      <c r="U130" s="49"/>
      <c r="V130" s="49"/>
      <c r="W130" s="49"/>
      <c r="X130" s="49"/>
      <c r="Y130" s="49"/>
      <c r="Z130" s="49"/>
      <c r="AA130" s="49"/>
      <c r="AB130" s="49"/>
      <c r="AC130" s="49"/>
      <c r="AD130" s="49"/>
      <c r="AE130" s="49"/>
      <c r="AF130" s="49"/>
      <c r="AG130" s="49"/>
      <c r="AH130" s="49"/>
      <c r="AI130" s="49"/>
      <c r="AJ130" s="49"/>
      <c r="AK130" s="49"/>
      <c r="AL130" s="49"/>
      <c r="AM130" s="49"/>
      <c r="AN130" s="49"/>
      <c r="AO130" s="49"/>
      <c r="AP130" s="49"/>
      <c r="AQ130" s="49"/>
      <c r="AR130" s="49"/>
      <c r="AS130" s="49"/>
      <c r="AT130" s="49"/>
      <c r="AU130" s="49"/>
      <c r="AV130" s="49"/>
      <c r="AW130" s="49"/>
      <c r="AX130" s="49"/>
    </row>
    <row r="131">
      <c r="A131" s="49"/>
      <c r="B131" s="49"/>
      <c r="C131" s="49"/>
      <c r="D131" s="50"/>
      <c r="E131" s="50"/>
      <c r="F131" s="50"/>
      <c r="G131" s="50"/>
      <c r="H131" s="49"/>
      <c r="I131" s="49"/>
      <c r="J131" s="49"/>
      <c r="K131" s="49"/>
      <c r="L131" s="49"/>
      <c r="M131" s="49"/>
      <c r="N131" s="49"/>
      <c r="O131" s="49"/>
      <c r="P131" s="49"/>
      <c r="Q131" s="49"/>
      <c r="R131" s="49"/>
      <c r="S131" s="49"/>
      <c r="T131" s="49"/>
      <c r="U131" s="49"/>
      <c r="V131" s="49"/>
      <c r="W131" s="49"/>
      <c r="X131" s="49"/>
      <c r="Y131" s="49"/>
      <c r="Z131" s="49"/>
      <c r="AA131" s="49"/>
      <c r="AB131" s="49"/>
      <c r="AC131" s="49"/>
      <c r="AD131" s="49"/>
      <c r="AE131" s="49"/>
      <c r="AF131" s="49"/>
      <c r="AG131" s="49"/>
      <c r="AH131" s="49"/>
      <c r="AI131" s="49"/>
      <c r="AJ131" s="49"/>
      <c r="AK131" s="49"/>
      <c r="AL131" s="49"/>
      <c r="AM131" s="49"/>
      <c r="AN131" s="49"/>
      <c r="AO131" s="49"/>
      <c r="AP131" s="49"/>
      <c r="AQ131" s="49"/>
      <c r="AR131" s="49"/>
      <c r="AS131" s="49"/>
      <c r="AT131" s="49"/>
      <c r="AU131" s="49"/>
      <c r="AV131" s="49"/>
      <c r="AW131" s="49"/>
      <c r="AX131" s="49"/>
    </row>
    <row r="132">
      <c r="A132" s="49"/>
      <c r="B132" s="49"/>
      <c r="C132" s="49"/>
      <c r="D132" s="50"/>
      <c r="E132" s="50"/>
      <c r="F132" s="50"/>
      <c r="G132" s="50"/>
      <c r="H132" s="49"/>
      <c r="I132" s="49"/>
      <c r="J132" s="49"/>
      <c r="K132" s="49"/>
      <c r="L132" s="49"/>
      <c r="M132" s="49"/>
      <c r="N132" s="49"/>
      <c r="O132" s="49"/>
      <c r="P132" s="49"/>
      <c r="Q132" s="49"/>
      <c r="R132" s="49"/>
      <c r="S132" s="49"/>
      <c r="T132" s="49"/>
      <c r="U132" s="49"/>
      <c r="V132" s="49"/>
      <c r="W132" s="49"/>
      <c r="X132" s="49"/>
      <c r="Y132" s="49"/>
      <c r="Z132" s="49"/>
      <c r="AA132" s="49"/>
      <c r="AB132" s="49"/>
      <c r="AC132" s="49"/>
      <c r="AD132" s="49"/>
      <c r="AE132" s="49"/>
      <c r="AF132" s="49"/>
      <c r="AG132" s="49"/>
      <c r="AH132" s="49"/>
      <c r="AI132" s="49"/>
      <c r="AJ132" s="49"/>
      <c r="AK132" s="49"/>
      <c r="AL132" s="49"/>
      <c r="AM132" s="49"/>
      <c r="AN132" s="49"/>
      <c r="AO132" s="49"/>
      <c r="AP132" s="49"/>
      <c r="AQ132" s="49"/>
      <c r="AR132" s="49"/>
      <c r="AS132" s="49"/>
      <c r="AT132" s="49"/>
      <c r="AU132" s="49"/>
      <c r="AV132" s="49"/>
      <c r="AW132" s="49"/>
      <c r="AX132" s="49"/>
    </row>
    <row r="133">
      <c r="A133" s="49"/>
      <c r="B133" s="49"/>
      <c r="C133" s="49"/>
      <c r="D133" s="50"/>
      <c r="E133" s="50"/>
      <c r="F133" s="50"/>
      <c r="G133" s="50"/>
      <c r="H133" s="49"/>
      <c r="I133" s="49"/>
      <c r="J133" s="49"/>
      <c r="K133" s="49"/>
      <c r="L133" s="49"/>
      <c r="M133" s="49"/>
      <c r="N133" s="49"/>
      <c r="O133" s="49"/>
      <c r="P133" s="49"/>
      <c r="Q133" s="49"/>
      <c r="R133" s="49"/>
      <c r="S133" s="49"/>
      <c r="T133" s="49"/>
      <c r="U133" s="49"/>
      <c r="V133" s="49"/>
      <c r="W133" s="49"/>
      <c r="X133" s="49"/>
      <c r="Y133" s="49"/>
      <c r="Z133" s="49"/>
      <c r="AA133" s="49"/>
      <c r="AB133" s="49"/>
      <c r="AC133" s="49"/>
      <c r="AD133" s="49"/>
      <c r="AE133" s="49"/>
      <c r="AF133" s="49"/>
      <c r="AG133" s="49"/>
      <c r="AH133" s="49"/>
      <c r="AI133" s="49"/>
      <c r="AJ133" s="49"/>
      <c r="AK133" s="49"/>
      <c r="AL133" s="49"/>
      <c r="AM133" s="49"/>
      <c r="AN133" s="49"/>
      <c r="AO133" s="49"/>
      <c r="AP133" s="49"/>
      <c r="AQ133" s="49"/>
      <c r="AR133" s="49"/>
      <c r="AS133" s="49"/>
      <c r="AT133" s="49"/>
      <c r="AU133" s="49"/>
      <c r="AV133" s="49"/>
      <c r="AW133" s="49"/>
      <c r="AX133" s="49"/>
    </row>
    <row r="134">
      <c r="A134" s="49"/>
      <c r="B134" s="49"/>
      <c r="C134" s="49"/>
      <c r="D134" s="50"/>
      <c r="E134" s="50"/>
      <c r="F134" s="50"/>
      <c r="G134" s="50"/>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c r="AH134" s="49"/>
      <c r="AI134" s="49"/>
      <c r="AJ134" s="49"/>
      <c r="AK134" s="49"/>
      <c r="AL134" s="49"/>
      <c r="AM134" s="49"/>
      <c r="AN134" s="49"/>
      <c r="AO134" s="49"/>
      <c r="AP134" s="49"/>
      <c r="AQ134" s="49"/>
      <c r="AR134" s="49"/>
      <c r="AS134" s="49"/>
      <c r="AT134" s="49"/>
      <c r="AU134" s="49"/>
      <c r="AV134" s="49"/>
      <c r="AW134" s="49"/>
      <c r="AX134" s="49"/>
    </row>
    <row r="135">
      <c r="A135" s="49"/>
      <c r="B135" s="49"/>
      <c r="C135" s="49"/>
      <c r="D135" s="50"/>
      <c r="E135" s="50"/>
      <c r="F135" s="50"/>
      <c r="G135" s="50"/>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c r="AH135" s="49"/>
      <c r="AI135" s="49"/>
      <c r="AJ135" s="49"/>
      <c r="AK135" s="49"/>
      <c r="AL135" s="49"/>
      <c r="AM135" s="49"/>
      <c r="AN135" s="49"/>
      <c r="AO135" s="49"/>
      <c r="AP135" s="49"/>
      <c r="AQ135" s="49"/>
      <c r="AR135" s="49"/>
      <c r="AS135" s="49"/>
      <c r="AT135" s="49"/>
      <c r="AU135" s="49"/>
      <c r="AV135" s="49"/>
      <c r="AW135" s="49"/>
      <c r="AX135" s="49"/>
    </row>
    <row r="136">
      <c r="A136" s="49"/>
      <c r="B136" s="49"/>
      <c r="C136" s="49"/>
      <c r="D136" s="50"/>
      <c r="E136" s="50"/>
      <c r="F136" s="50"/>
      <c r="G136" s="50"/>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c r="AH136" s="49"/>
      <c r="AI136" s="49"/>
      <c r="AJ136" s="49"/>
      <c r="AK136" s="49"/>
      <c r="AL136" s="49"/>
      <c r="AM136" s="49"/>
      <c r="AN136" s="49"/>
      <c r="AO136" s="49"/>
      <c r="AP136" s="49"/>
      <c r="AQ136" s="49"/>
      <c r="AR136" s="49"/>
      <c r="AS136" s="49"/>
      <c r="AT136" s="49"/>
      <c r="AU136" s="49"/>
      <c r="AV136" s="49"/>
      <c r="AW136" s="49"/>
      <c r="AX136" s="49"/>
    </row>
    <row r="137">
      <c r="A137" s="49"/>
      <c r="B137" s="49"/>
      <c r="C137" s="49"/>
      <c r="D137" s="50"/>
      <c r="E137" s="50"/>
      <c r="F137" s="50"/>
      <c r="G137" s="50"/>
      <c r="H137" s="49"/>
      <c r="I137" s="49"/>
      <c r="J137" s="49"/>
      <c r="K137" s="49"/>
      <c r="L137" s="49"/>
      <c r="M137" s="49"/>
      <c r="N137" s="49"/>
      <c r="O137" s="49"/>
      <c r="P137" s="49"/>
      <c r="Q137" s="49"/>
      <c r="R137" s="49"/>
      <c r="S137" s="49"/>
      <c r="T137" s="49"/>
      <c r="U137" s="49"/>
      <c r="V137" s="49"/>
      <c r="W137" s="49"/>
      <c r="X137" s="49"/>
      <c r="Y137" s="49"/>
      <c r="Z137" s="49"/>
      <c r="AA137" s="49"/>
      <c r="AB137" s="49"/>
      <c r="AC137" s="49"/>
      <c r="AD137" s="49"/>
      <c r="AE137" s="49"/>
      <c r="AF137" s="49"/>
      <c r="AG137" s="49"/>
      <c r="AH137" s="49"/>
      <c r="AI137" s="49"/>
      <c r="AJ137" s="49"/>
      <c r="AK137" s="49"/>
      <c r="AL137" s="49"/>
      <c r="AM137" s="49"/>
      <c r="AN137" s="49"/>
      <c r="AO137" s="49"/>
      <c r="AP137" s="49"/>
      <c r="AQ137" s="49"/>
      <c r="AR137" s="49"/>
      <c r="AS137" s="49"/>
      <c r="AT137" s="49"/>
      <c r="AU137" s="49"/>
      <c r="AV137" s="49"/>
      <c r="AW137" s="49"/>
      <c r="AX137" s="49"/>
    </row>
    <row r="138">
      <c r="A138" s="49"/>
      <c r="B138" s="49"/>
      <c r="C138" s="49"/>
      <c r="D138" s="50"/>
      <c r="E138" s="50"/>
      <c r="F138" s="50"/>
      <c r="G138" s="50"/>
      <c r="H138" s="49"/>
      <c r="I138" s="49"/>
      <c r="J138" s="49"/>
      <c r="K138" s="49"/>
      <c r="L138" s="49"/>
      <c r="M138" s="49"/>
      <c r="N138" s="49"/>
      <c r="O138" s="49"/>
      <c r="P138" s="49"/>
      <c r="Q138" s="49"/>
      <c r="R138" s="49"/>
      <c r="S138" s="49"/>
      <c r="T138" s="49"/>
      <c r="U138" s="49"/>
      <c r="V138" s="49"/>
      <c r="W138" s="49"/>
      <c r="X138" s="49"/>
      <c r="Y138" s="49"/>
      <c r="Z138" s="49"/>
      <c r="AA138" s="49"/>
      <c r="AB138" s="49"/>
      <c r="AC138" s="49"/>
      <c r="AD138" s="49"/>
      <c r="AE138" s="49"/>
      <c r="AF138" s="49"/>
      <c r="AG138" s="49"/>
      <c r="AH138" s="49"/>
      <c r="AI138" s="49"/>
      <c r="AJ138" s="49"/>
      <c r="AK138" s="49"/>
      <c r="AL138" s="49"/>
      <c r="AM138" s="49"/>
      <c r="AN138" s="49"/>
      <c r="AO138" s="49"/>
      <c r="AP138" s="49"/>
      <c r="AQ138" s="49"/>
      <c r="AR138" s="49"/>
      <c r="AS138" s="49"/>
      <c r="AT138" s="49"/>
      <c r="AU138" s="49"/>
      <c r="AV138" s="49"/>
      <c r="AW138" s="49"/>
      <c r="AX138" s="49"/>
    </row>
    <row r="139">
      <c r="A139" s="49"/>
      <c r="B139" s="49"/>
      <c r="C139" s="49"/>
      <c r="D139" s="50"/>
      <c r="E139" s="50"/>
      <c r="F139" s="50"/>
      <c r="G139" s="50"/>
      <c r="H139" s="49"/>
      <c r="I139" s="49"/>
      <c r="J139" s="49"/>
      <c r="K139" s="49"/>
      <c r="L139" s="49"/>
      <c r="M139" s="49"/>
      <c r="N139" s="49"/>
      <c r="O139" s="49"/>
      <c r="P139" s="49"/>
      <c r="Q139" s="49"/>
      <c r="R139" s="49"/>
      <c r="S139" s="49"/>
      <c r="T139" s="49"/>
      <c r="U139" s="49"/>
      <c r="V139" s="49"/>
      <c r="W139" s="49"/>
      <c r="X139" s="49"/>
      <c r="Y139" s="49"/>
      <c r="Z139" s="49"/>
      <c r="AA139" s="49"/>
      <c r="AB139" s="49"/>
      <c r="AC139" s="49"/>
      <c r="AD139" s="49"/>
      <c r="AE139" s="49"/>
      <c r="AF139" s="49"/>
      <c r="AG139" s="49"/>
      <c r="AH139" s="49"/>
      <c r="AI139" s="49"/>
      <c r="AJ139" s="49"/>
      <c r="AK139" s="49"/>
      <c r="AL139" s="49"/>
      <c r="AM139" s="49"/>
      <c r="AN139" s="49"/>
      <c r="AO139" s="49"/>
      <c r="AP139" s="49"/>
      <c r="AQ139" s="49"/>
      <c r="AR139" s="49"/>
      <c r="AS139" s="49"/>
      <c r="AT139" s="49"/>
      <c r="AU139" s="49"/>
      <c r="AV139" s="49"/>
      <c r="AW139" s="49"/>
      <c r="AX139" s="49"/>
    </row>
    <row r="140">
      <c r="A140" s="49"/>
      <c r="B140" s="49"/>
      <c r="C140" s="49"/>
      <c r="D140" s="50"/>
      <c r="E140" s="50"/>
      <c r="F140" s="50"/>
      <c r="G140" s="50"/>
      <c r="H140" s="49"/>
      <c r="I140" s="49"/>
      <c r="J140" s="49"/>
      <c r="K140" s="49"/>
      <c r="L140" s="49"/>
      <c r="M140" s="49"/>
      <c r="N140" s="49"/>
      <c r="O140" s="49"/>
      <c r="P140" s="49"/>
      <c r="Q140" s="49"/>
      <c r="R140" s="49"/>
      <c r="S140" s="49"/>
      <c r="T140" s="49"/>
      <c r="U140" s="49"/>
      <c r="V140" s="49"/>
      <c r="W140" s="49"/>
      <c r="X140" s="49"/>
      <c r="Y140" s="49"/>
      <c r="Z140" s="49"/>
      <c r="AA140" s="49"/>
      <c r="AB140" s="49"/>
      <c r="AC140" s="49"/>
      <c r="AD140" s="49"/>
      <c r="AE140" s="49"/>
      <c r="AF140" s="49"/>
      <c r="AG140" s="49"/>
      <c r="AH140" s="49"/>
      <c r="AI140" s="49"/>
      <c r="AJ140" s="49"/>
      <c r="AK140" s="49"/>
      <c r="AL140" s="49"/>
      <c r="AM140" s="49"/>
      <c r="AN140" s="49"/>
      <c r="AO140" s="49"/>
      <c r="AP140" s="49"/>
      <c r="AQ140" s="49"/>
      <c r="AR140" s="49"/>
      <c r="AS140" s="49"/>
      <c r="AT140" s="49"/>
      <c r="AU140" s="49"/>
      <c r="AV140" s="49"/>
      <c r="AW140" s="49"/>
      <c r="AX140" s="49"/>
    </row>
    <row r="141">
      <c r="A141" s="49"/>
      <c r="B141" s="49"/>
      <c r="C141" s="49"/>
      <c r="D141" s="50"/>
      <c r="E141" s="50"/>
      <c r="F141" s="50"/>
      <c r="G141" s="50"/>
      <c r="H141" s="49"/>
      <c r="I141" s="49"/>
      <c r="J141" s="49"/>
      <c r="K141" s="49"/>
      <c r="L141" s="49"/>
      <c r="M141" s="49"/>
      <c r="N141" s="49"/>
      <c r="O141" s="49"/>
      <c r="P141" s="49"/>
      <c r="Q141" s="49"/>
      <c r="R141" s="49"/>
      <c r="S141" s="49"/>
      <c r="T141" s="49"/>
      <c r="U141" s="49"/>
      <c r="V141" s="49"/>
      <c r="W141" s="49"/>
      <c r="X141" s="49"/>
      <c r="Y141" s="49"/>
      <c r="Z141" s="49"/>
      <c r="AA141" s="49"/>
      <c r="AB141" s="49"/>
      <c r="AC141" s="49"/>
      <c r="AD141" s="49"/>
      <c r="AE141" s="49"/>
      <c r="AF141" s="49"/>
      <c r="AG141" s="49"/>
      <c r="AH141" s="49"/>
      <c r="AI141" s="49"/>
      <c r="AJ141" s="49"/>
      <c r="AK141" s="49"/>
      <c r="AL141" s="49"/>
      <c r="AM141" s="49"/>
      <c r="AN141" s="49"/>
      <c r="AO141" s="49"/>
      <c r="AP141" s="49"/>
      <c r="AQ141" s="49"/>
      <c r="AR141" s="49"/>
      <c r="AS141" s="49"/>
      <c r="AT141" s="49"/>
      <c r="AU141" s="49"/>
      <c r="AV141" s="49"/>
      <c r="AW141" s="49"/>
      <c r="AX141" s="49"/>
    </row>
    <row r="142">
      <c r="A142" s="49"/>
      <c r="B142" s="49"/>
      <c r="C142" s="49"/>
      <c r="D142" s="50"/>
      <c r="E142" s="50"/>
      <c r="F142" s="50"/>
      <c r="G142" s="50"/>
      <c r="H142" s="49"/>
      <c r="I142" s="49"/>
      <c r="J142" s="49"/>
      <c r="K142" s="49"/>
      <c r="L142" s="49"/>
      <c r="M142" s="49"/>
      <c r="N142" s="49"/>
      <c r="O142" s="49"/>
      <c r="P142" s="49"/>
      <c r="Q142" s="49"/>
      <c r="R142" s="49"/>
      <c r="S142" s="49"/>
      <c r="T142" s="49"/>
      <c r="U142" s="49"/>
      <c r="V142" s="49"/>
      <c r="W142" s="49"/>
      <c r="X142" s="49"/>
      <c r="Y142" s="49"/>
      <c r="Z142" s="49"/>
      <c r="AA142" s="49"/>
      <c r="AB142" s="49"/>
      <c r="AC142" s="49"/>
      <c r="AD142" s="49"/>
      <c r="AE142" s="49"/>
      <c r="AF142" s="49"/>
      <c r="AG142" s="49"/>
      <c r="AH142" s="49"/>
      <c r="AI142" s="49"/>
      <c r="AJ142" s="49"/>
      <c r="AK142" s="49"/>
      <c r="AL142" s="49"/>
      <c r="AM142" s="49"/>
      <c r="AN142" s="49"/>
      <c r="AO142" s="49"/>
      <c r="AP142" s="49"/>
      <c r="AQ142" s="49"/>
      <c r="AR142" s="49"/>
      <c r="AS142" s="49"/>
      <c r="AT142" s="49"/>
      <c r="AU142" s="49"/>
      <c r="AV142" s="49"/>
      <c r="AW142" s="49"/>
      <c r="AX142" s="49"/>
    </row>
    <row r="143">
      <c r="A143" s="49"/>
      <c r="B143" s="49"/>
      <c r="C143" s="49"/>
      <c r="D143" s="50"/>
      <c r="E143" s="50"/>
      <c r="F143" s="50"/>
      <c r="G143" s="50"/>
      <c r="H143" s="49"/>
      <c r="I143" s="49"/>
      <c r="J143" s="49"/>
      <c r="K143" s="49"/>
      <c r="L143" s="49"/>
      <c r="M143" s="49"/>
      <c r="N143" s="49"/>
      <c r="O143" s="49"/>
      <c r="P143" s="49"/>
      <c r="Q143" s="49"/>
      <c r="R143" s="49"/>
      <c r="S143" s="49"/>
      <c r="T143" s="49"/>
      <c r="U143" s="49"/>
      <c r="V143" s="49"/>
      <c r="W143" s="49"/>
      <c r="X143" s="49"/>
      <c r="Y143" s="49"/>
      <c r="Z143" s="49"/>
      <c r="AA143" s="49"/>
      <c r="AB143" s="49"/>
      <c r="AC143" s="49"/>
      <c r="AD143" s="49"/>
      <c r="AE143" s="49"/>
      <c r="AF143" s="49"/>
      <c r="AG143" s="49"/>
      <c r="AH143" s="49"/>
      <c r="AI143" s="49"/>
      <c r="AJ143" s="49"/>
      <c r="AK143" s="49"/>
      <c r="AL143" s="49"/>
      <c r="AM143" s="49"/>
      <c r="AN143" s="49"/>
      <c r="AO143" s="49"/>
      <c r="AP143" s="49"/>
      <c r="AQ143" s="49"/>
      <c r="AR143" s="49"/>
      <c r="AS143" s="49"/>
      <c r="AT143" s="49"/>
      <c r="AU143" s="49"/>
      <c r="AV143" s="49"/>
      <c r="AW143" s="49"/>
      <c r="AX143" s="49"/>
    </row>
    <row r="144">
      <c r="A144" s="49"/>
      <c r="B144" s="49"/>
      <c r="C144" s="49"/>
      <c r="D144" s="50"/>
      <c r="E144" s="50"/>
      <c r="F144" s="50"/>
      <c r="G144" s="50"/>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c r="AH144" s="49"/>
      <c r="AI144" s="49"/>
      <c r="AJ144" s="49"/>
      <c r="AK144" s="49"/>
      <c r="AL144" s="49"/>
      <c r="AM144" s="49"/>
      <c r="AN144" s="49"/>
      <c r="AO144" s="49"/>
      <c r="AP144" s="49"/>
      <c r="AQ144" s="49"/>
      <c r="AR144" s="49"/>
      <c r="AS144" s="49"/>
      <c r="AT144" s="49"/>
      <c r="AU144" s="49"/>
      <c r="AV144" s="49"/>
      <c r="AW144" s="49"/>
      <c r="AX144" s="49"/>
    </row>
    <row r="145">
      <c r="A145" s="49"/>
      <c r="B145" s="49"/>
      <c r="C145" s="49"/>
      <c r="D145" s="50"/>
      <c r="E145" s="50"/>
      <c r="F145" s="50"/>
      <c r="G145" s="50"/>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9"/>
      <c r="AI145" s="49"/>
      <c r="AJ145" s="49"/>
      <c r="AK145" s="49"/>
      <c r="AL145" s="49"/>
      <c r="AM145" s="49"/>
      <c r="AN145" s="49"/>
      <c r="AO145" s="49"/>
      <c r="AP145" s="49"/>
      <c r="AQ145" s="49"/>
      <c r="AR145" s="49"/>
      <c r="AS145" s="49"/>
      <c r="AT145" s="49"/>
      <c r="AU145" s="49"/>
      <c r="AV145" s="49"/>
      <c r="AW145" s="49"/>
      <c r="AX145" s="49"/>
    </row>
    <row r="146">
      <c r="A146" s="49"/>
      <c r="B146" s="49"/>
      <c r="C146" s="49"/>
      <c r="D146" s="50"/>
      <c r="E146" s="50"/>
      <c r="F146" s="50"/>
      <c r="G146" s="50"/>
      <c r="H146" s="49"/>
      <c r="I146" s="49"/>
      <c r="J146" s="49"/>
      <c r="K146" s="49"/>
      <c r="L146" s="49"/>
      <c r="M146" s="49"/>
      <c r="N146" s="49"/>
      <c r="O146" s="49"/>
      <c r="P146" s="49"/>
      <c r="Q146" s="49"/>
      <c r="R146" s="49"/>
      <c r="S146" s="49"/>
      <c r="T146" s="49"/>
      <c r="U146" s="49"/>
      <c r="V146" s="49"/>
      <c r="W146" s="49"/>
      <c r="X146" s="49"/>
      <c r="Y146" s="49"/>
      <c r="Z146" s="49"/>
      <c r="AA146" s="49"/>
      <c r="AB146" s="49"/>
      <c r="AC146" s="49"/>
      <c r="AD146" s="49"/>
      <c r="AE146" s="49"/>
      <c r="AF146" s="49"/>
      <c r="AG146" s="49"/>
      <c r="AH146" s="49"/>
      <c r="AI146" s="49"/>
      <c r="AJ146" s="49"/>
      <c r="AK146" s="49"/>
      <c r="AL146" s="49"/>
      <c r="AM146" s="49"/>
      <c r="AN146" s="49"/>
      <c r="AO146" s="49"/>
      <c r="AP146" s="49"/>
      <c r="AQ146" s="49"/>
      <c r="AR146" s="49"/>
      <c r="AS146" s="49"/>
      <c r="AT146" s="49"/>
      <c r="AU146" s="49"/>
      <c r="AV146" s="49"/>
      <c r="AW146" s="49"/>
      <c r="AX146" s="49"/>
    </row>
    <row r="147">
      <c r="A147" s="49"/>
      <c r="B147" s="49"/>
      <c r="C147" s="49"/>
      <c r="D147" s="50"/>
      <c r="E147" s="50"/>
      <c r="F147" s="50"/>
      <c r="G147" s="50"/>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9"/>
      <c r="AI147" s="49"/>
      <c r="AJ147" s="49"/>
      <c r="AK147" s="49"/>
      <c r="AL147" s="49"/>
      <c r="AM147" s="49"/>
      <c r="AN147" s="49"/>
      <c r="AO147" s="49"/>
      <c r="AP147" s="49"/>
      <c r="AQ147" s="49"/>
      <c r="AR147" s="49"/>
      <c r="AS147" s="49"/>
      <c r="AT147" s="49"/>
      <c r="AU147" s="49"/>
      <c r="AV147" s="49"/>
      <c r="AW147" s="49"/>
      <c r="AX147" s="49"/>
    </row>
    <row r="148">
      <c r="A148" s="49"/>
      <c r="B148" s="49"/>
      <c r="C148" s="49"/>
      <c r="D148" s="50"/>
      <c r="E148" s="50"/>
      <c r="F148" s="50"/>
      <c r="G148" s="50"/>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9"/>
      <c r="AI148" s="49"/>
      <c r="AJ148" s="49"/>
      <c r="AK148" s="49"/>
      <c r="AL148" s="49"/>
      <c r="AM148" s="49"/>
      <c r="AN148" s="49"/>
      <c r="AO148" s="49"/>
      <c r="AP148" s="49"/>
      <c r="AQ148" s="49"/>
      <c r="AR148" s="49"/>
      <c r="AS148" s="49"/>
      <c r="AT148" s="49"/>
      <c r="AU148" s="49"/>
      <c r="AV148" s="49"/>
      <c r="AW148" s="49"/>
      <c r="AX148" s="49"/>
    </row>
    <row r="149">
      <c r="A149" s="49"/>
      <c r="B149" s="49"/>
      <c r="C149" s="49"/>
      <c r="D149" s="50"/>
      <c r="E149" s="50"/>
      <c r="F149" s="50"/>
      <c r="G149" s="50"/>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9"/>
      <c r="AI149" s="49"/>
      <c r="AJ149" s="49"/>
      <c r="AK149" s="49"/>
      <c r="AL149" s="49"/>
      <c r="AM149" s="49"/>
      <c r="AN149" s="49"/>
      <c r="AO149" s="49"/>
      <c r="AP149" s="49"/>
      <c r="AQ149" s="49"/>
      <c r="AR149" s="49"/>
      <c r="AS149" s="49"/>
      <c r="AT149" s="49"/>
      <c r="AU149" s="49"/>
      <c r="AV149" s="49"/>
      <c r="AW149" s="49"/>
      <c r="AX149" s="49"/>
    </row>
    <row r="150">
      <c r="A150" s="49"/>
      <c r="B150" s="49"/>
      <c r="C150" s="49"/>
      <c r="D150" s="50"/>
      <c r="E150" s="50"/>
      <c r="F150" s="50"/>
      <c r="G150" s="50"/>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9"/>
      <c r="AI150" s="49"/>
      <c r="AJ150" s="49"/>
      <c r="AK150" s="49"/>
      <c r="AL150" s="49"/>
      <c r="AM150" s="49"/>
      <c r="AN150" s="49"/>
      <c r="AO150" s="49"/>
      <c r="AP150" s="49"/>
      <c r="AQ150" s="49"/>
      <c r="AR150" s="49"/>
      <c r="AS150" s="49"/>
      <c r="AT150" s="49"/>
      <c r="AU150" s="49"/>
      <c r="AV150" s="49"/>
      <c r="AW150" s="49"/>
      <c r="AX150" s="49"/>
    </row>
    <row r="151">
      <c r="A151" s="49"/>
      <c r="B151" s="49"/>
      <c r="C151" s="49"/>
      <c r="D151" s="50"/>
      <c r="E151" s="50"/>
      <c r="F151" s="50"/>
      <c r="G151" s="50"/>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9"/>
      <c r="AI151" s="49"/>
      <c r="AJ151" s="49"/>
      <c r="AK151" s="49"/>
      <c r="AL151" s="49"/>
      <c r="AM151" s="49"/>
      <c r="AN151" s="49"/>
      <c r="AO151" s="49"/>
      <c r="AP151" s="49"/>
      <c r="AQ151" s="49"/>
      <c r="AR151" s="49"/>
      <c r="AS151" s="49"/>
      <c r="AT151" s="49"/>
      <c r="AU151" s="49"/>
      <c r="AV151" s="49"/>
      <c r="AW151" s="49"/>
      <c r="AX151" s="49"/>
    </row>
    <row r="152">
      <c r="A152" s="49"/>
      <c r="B152" s="49"/>
      <c r="C152" s="49"/>
      <c r="D152" s="50"/>
      <c r="E152" s="50"/>
      <c r="F152" s="50"/>
      <c r="G152" s="50"/>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9"/>
      <c r="AI152" s="49"/>
      <c r="AJ152" s="49"/>
      <c r="AK152" s="49"/>
      <c r="AL152" s="49"/>
      <c r="AM152" s="49"/>
      <c r="AN152" s="49"/>
      <c r="AO152" s="49"/>
      <c r="AP152" s="49"/>
      <c r="AQ152" s="49"/>
      <c r="AR152" s="49"/>
      <c r="AS152" s="49"/>
      <c r="AT152" s="49"/>
      <c r="AU152" s="49"/>
      <c r="AV152" s="49"/>
      <c r="AW152" s="49"/>
      <c r="AX152" s="49"/>
    </row>
    <row r="153">
      <c r="A153" s="49"/>
      <c r="B153" s="49"/>
      <c r="C153" s="49"/>
      <c r="D153" s="50"/>
      <c r="E153" s="50"/>
      <c r="F153" s="50"/>
      <c r="G153" s="50"/>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9"/>
      <c r="AI153" s="49"/>
      <c r="AJ153" s="49"/>
      <c r="AK153" s="49"/>
      <c r="AL153" s="49"/>
      <c r="AM153" s="49"/>
      <c r="AN153" s="49"/>
      <c r="AO153" s="49"/>
      <c r="AP153" s="49"/>
      <c r="AQ153" s="49"/>
      <c r="AR153" s="49"/>
      <c r="AS153" s="49"/>
      <c r="AT153" s="49"/>
      <c r="AU153" s="49"/>
      <c r="AV153" s="49"/>
      <c r="AW153" s="49"/>
      <c r="AX153" s="49"/>
    </row>
    <row r="154">
      <c r="A154" s="49"/>
      <c r="B154" s="49"/>
      <c r="C154" s="49"/>
      <c r="D154" s="50"/>
      <c r="E154" s="50"/>
      <c r="F154" s="50"/>
      <c r="G154" s="50"/>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9"/>
      <c r="AI154" s="49"/>
      <c r="AJ154" s="49"/>
      <c r="AK154" s="49"/>
      <c r="AL154" s="49"/>
      <c r="AM154" s="49"/>
      <c r="AN154" s="49"/>
      <c r="AO154" s="49"/>
      <c r="AP154" s="49"/>
      <c r="AQ154" s="49"/>
      <c r="AR154" s="49"/>
      <c r="AS154" s="49"/>
      <c r="AT154" s="49"/>
      <c r="AU154" s="49"/>
      <c r="AV154" s="49"/>
      <c r="AW154" s="49"/>
      <c r="AX154" s="49"/>
    </row>
    <row r="155">
      <c r="A155" s="49"/>
      <c r="B155" s="49"/>
      <c r="C155" s="49"/>
      <c r="D155" s="50"/>
      <c r="E155" s="50"/>
      <c r="F155" s="50"/>
      <c r="G155" s="50"/>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9"/>
      <c r="AI155" s="49"/>
      <c r="AJ155" s="49"/>
      <c r="AK155" s="49"/>
      <c r="AL155" s="49"/>
      <c r="AM155" s="49"/>
      <c r="AN155" s="49"/>
      <c r="AO155" s="49"/>
      <c r="AP155" s="49"/>
      <c r="AQ155" s="49"/>
      <c r="AR155" s="49"/>
      <c r="AS155" s="49"/>
      <c r="AT155" s="49"/>
      <c r="AU155" s="49"/>
      <c r="AV155" s="49"/>
      <c r="AW155" s="49"/>
      <c r="AX155" s="49"/>
    </row>
    <row r="156">
      <c r="A156" s="49"/>
      <c r="B156" s="49"/>
      <c r="C156" s="49"/>
      <c r="D156" s="50"/>
      <c r="E156" s="50"/>
      <c r="F156" s="50"/>
      <c r="G156" s="50"/>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9"/>
      <c r="AI156" s="49"/>
      <c r="AJ156" s="49"/>
      <c r="AK156" s="49"/>
      <c r="AL156" s="49"/>
      <c r="AM156" s="49"/>
      <c r="AN156" s="49"/>
      <c r="AO156" s="49"/>
      <c r="AP156" s="49"/>
      <c r="AQ156" s="49"/>
      <c r="AR156" s="49"/>
      <c r="AS156" s="49"/>
      <c r="AT156" s="49"/>
      <c r="AU156" s="49"/>
      <c r="AV156" s="49"/>
      <c r="AW156" s="49"/>
      <c r="AX156" s="49"/>
    </row>
    <row r="157">
      <c r="A157" s="49"/>
      <c r="B157" s="49"/>
      <c r="C157" s="49"/>
      <c r="D157" s="50"/>
      <c r="E157" s="50"/>
      <c r="F157" s="50"/>
      <c r="G157" s="50"/>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9"/>
      <c r="AI157" s="49"/>
      <c r="AJ157" s="49"/>
      <c r="AK157" s="49"/>
      <c r="AL157" s="49"/>
      <c r="AM157" s="49"/>
      <c r="AN157" s="49"/>
      <c r="AO157" s="49"/>
      <c r="AP157" s="49"/>
      <c r="AQ157" s="49"/>
      <c r="AR157" s="49"/>
      <c r="AS157" s="49"/>
      <c r="AT157" s="49"/>
      <c r="AU157" s="49"/>
      <c r="AV157" s="49"/>
      <c r="AW157" s="49"/>
      <c r="AX157" s="49"/>
    </row>
    <row r="158">
      <c r="A158" s="49"/>
      <c r="B158" s="49"/>
      <c r="C158" s="49"/>
      <c r="D158" s="50"/>
      <c r="E158" s="50"/>
      <c r="F158" s="50"/>
      <c r="G158" s="50"/>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9"/>
      <c r="AI158" s="49"/>
      <c r="AJ158" s="49"/>
      <c r="AK158" s="49"/>
      <c r="AL158" s="49"/>
      <c r="AM158" s="49"/>
      <c r="AN158" s="49"/>
      <c r="AO158" s="49"/>
      <c r="AP158" s="49"/>
      <c r="AQ158" s="49"/>
      <c r="AR158" s="49"/>
      <c r="AS158" s="49"/>
      <c r="AT158" s="49"/>
      <c r="AU158" s="49"/>
      <c r="AV158" s="49"/>
      <c r="AW158" s="49"/>
      <c r="AX158" s="49"/>
    </row>
    <row r="159">
      <c r="A159" s="49"/>
      <c r="B159" s="49"/>
      <c r="C159" s="49"/>
      <c r="D159" s="50"/>
      <c r="E159" s="50"/>
      <c r="F159" s="50"/>
      <c r="G159" s="50"/>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9"/>
      <c r="AI159" s="49"/>
      <c r="AJ159" s="49"/>
      <c r="AK159" s="49"/>
      <c r="AL159" s="49"/>
      <c r="AM159" s="49"/>
      <c r="AN159" s="49"/>
      <c r="AO159" s="49"/>
      <c r="AP159" s="49"/>
      <c r="AQ159" s="49"/>
      <c r="AR159" s="49"/>
      <c r="AS159" s="49"/>
      <c r="AT159" s="49"/>
      <c r="AU159" s="49"/>
      <c r="AV159" s="49"/>
      <c r="AW159" s="49"/>
      <c r="AX159" s="49"/>
    </row>
    <row r="160">
      <c r="A160" s="49"/>
      <c r="B160" s="49"/>
      <c r="C160" s="49"/>
      <c r="D160" s="50"/>
      <c r="E160" s="50"/>
      <c r="F160" s="50"/>
      <c r="G160" s="50"/>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9"/>
      <c r="AI160" s="49"/>
      <c r="AJ160" s="49"/>
      <c r="AK160" s="49"/>
      <c r="AL160" s="49"/>
      <c r="AM160" s="49"/>
      <c r="AN160" s="49"/>
      <c r="AO160" s="49"/>
      <c r="AP160" s="49"/>
      <c r="AQ160" s="49"/>
      <c r="AR160" s="49"/>
      <c r="AS160" s="49"/>
      <c r="AT160" s="49"/>
      <c r="AU160" s="49"/>
      <c r="AV160" s="49"/>
      <c r="AW160" s="49"/>
      <c r="AX160" s="49"/>
    </row>
    <row r="161">
      <c r="A161" s="49"/>
      <c r="B161" s="49"/>
      <c r="C161" s="49"/>
      <c r="D161" s="50"/>
      <c r="E161" s="50"/>
      <c r="F161" s="50"/>
      <c r="G161" s="50"/>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c r="AH161" s="49"/>
      <c r="AI161" s="49"/>
      <c r="AJ161" s="49"/>
      <c r="AK161" s="49"/>
      <c r="AL161" s="49"/>
      <c r="AM161" s="49"/>
      <c r="AN161" s="49"/>
      <c r="AO161" s="49"/>
      <c r="AP161" s="49"/>
      <c r="AQ161" s="49"/>
      <c r="AR161" s="49"/>
      <c r="AS161" s="49"/>
      <c r="AT161" s="49"/>
      <c r="AU161" s="49"/>
      <c r="AV161" s="49"/>
      <c r="AW161" s="49"/>
      <c r="AX161" s="49"/>
    </row>
    <row r="162">
      <c r="A162" s="49"/>
      <c r="B162" s="49"/>
      <c r="C162" s="49"/>
      <c r="D162" s="50"/>
      <c r="E162" s="50"/>
      <c r="F162" s="50"/>
      <c r="G162" s="50"/>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c r="AH162" s="49"/>
      <c r="AI162" s="49"/>
      <c r="AJ162" s="49"/>
      <c r="AK162" s="49"/>
      <c r="AL162" s="49"/>
      <c r="AM162" s="49"/>
      <c r="AN162" s="49"/>
      <c r="AO162" s="49"/>
      <c r="AP162" s="49"/>
      <c r="AQ162" s="49"/>
      <c r="AR162" s="49"/>
      <c r="AS162" s="49"/>
      <c r="AT162" s="49"/>
      <c r="AU162" s="49"/>
      <c r="AV162" s="49"/>
      <c r="AW162" s="49"/>
      <c r="AX162" s="49"/>
    </row>
    <row r="163">
      <c r="A163" s="49"/>
      <c r="B163" s="49"/>
      <c r="C163" s="49"/>
      <c r="D163" s="50"/>
      <c r="E163" s="50"/>
      <c r="F163" s="50"/>
      <c r="G163" s="50"/>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c r="AH163" s="49"/>
      <c r="AI163" s="49"/>
      <c r="AJ163" s="49"/>
      <c r="AK163" s="49"/>
      <c r="AL163" s="49"/>
      <c r="AM163" s="49"/>
      <c r="AN163" s="49"/>
      <c r="AO163" s="49"/>
      <c r="AP163" s="49"/>
      <c r="AQ163" s="49"/>
      <c r="AR163" s="49"/>
      <c r="AS163" s="49"/>
      <c r="AT163" s="49"/>
      <c r="AU163" s="49"/>
      <c r="AV163" s="49"/>
      <c r="AW163" s="49"/>
      <c r="AX163" s="49"/>
    </row>
    <row r="164">
      <c r="A164" s="49"/>
      <c r="B164" s="49"/>
      <c r="C164" s="49"/>
      <c r="D164" s="50"/>
      <c r="E164" s="50"/>
      <c r="F164" s="50"/>
      <c r="G164" s="50"/>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c r="AH164" s="49"/>
      <c r="AI164" s="49"/>
      <c r="AJ164" s="49"/>
      <c r="AK164" s="49"/>
      <c r="AL164" s="49"/>
      <c r="AM164" s="49"/>
      <c r="AN164" s="49"/>
      <c r="AO164" s="49"/>
      <c r="AP164" s="49"/>
      <c r="AQ164" s="49"/>
      <c r="AR164" s="49"/>
      <c r="AS164" s="49"/>
      <c r="AT164" s="49"/>
      <c r="AU164" s="49"/>
      <c r="AV164" s="49"/>
      <c r="AW164" s="49"/>
      <c r="AX164" s="49"/>
    </row>
    <row r="165">
      <c r="A165" s="49"/>
      <c r="B165" s="49"/>
      <c r="C165" s="49"/>
      <c r="D165" s="50"/>
      <c r="E165" s="50"/>
      <c r="F165" s="50"/>
      <c r="G165" s="50"/>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c r="AH165" s="49"/>
      <c r="AI165" s="49"/>
      <c r="AJ165" s="49"/>
      <c r="AK165" s="49"/>
      <c r="AL165" s="49"/>
      <c r="AM165" s="49"/>
      <c r="AN165" s="49"/>
      <c r="AO165" s="49"/>
      <c r="AP165" s="49"/>
      <c r="AQ165" s="49"/>
      <c r="AR165" s="49"/>
      <c r="AS165" s="49"/>
      <c r="AT165" s="49"/>
      <c r="AU165" s="49"/>
      <c r="AV165" s="49"/>
      <c r="AW165" s="49"/>
      <c r="AX165" s="49"/>
    </row>
    <row r="166">
      <c r="A166" s="49"/>
      <c r="B166" s="49"/>
      <c r="C166" s="49"/>
      <c r="D166" s="50"/>
      <c r="E166" s="50"/>
      <c r="F166" s="50"/>
      <c r="G166" s="50"/>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c r="AH166" s="49"/>
      <c r="AI166" s="49"/>
      <c r="AJ166" s="49"/>
      <c r="AK166" s="49"/>
      <c r="AL166" s="49"/>
      <c r="AM166" s="49"/>
      <c r="AN166" s="49"/>
      <c r="AO166" s="49"/>
      <c r="AP166" s="49"/>
      <c r="AQ166" s="49"/>
      <c r="AR166" s="49"/>
      <c r="AS166" s="49"/>
      <c r="AT166" s="49"/>
      <c r="AU166" s="49"/>
      <c r="AV166" s="49"/>
      <c r="AW166" s="49"/>
      <c r="AX166" s="49"/>
    </row>
    <row r="167">
      <c r="A167" s="49"/>
      <c r="B167" s="49"/>
      <c r="C167" s="49"/>
      <c r="D167" s="50"/>
      <c r="E167" s="50"/>
      <c r="F167" s="50"/>
      <c r="G167" s="50"/>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c r="AH167" s="49"/>
      <c r="AI167" s="49"/>
      <c r="AJ167" s="49"/>
      <c r="AK167" s="49"/>
      <c r="AL167" s="49"/>
      <c r="AM167" s="49"/>
      <c r="AN167" s="49"/>
      <c r="AO167" s="49"/>
      <c r="AP167" s="49"/>
      <c r="AQ167" s="49"/>
      <c r="AR167" s="49"/>
      <c r="AS167" s="49"/>
      <c r="AT167" s="49"/>
      <c r="AU167" s="49"/>
      <c r="AV167" s="49"/>
      <c r="AW167" s="49"/>
      <c r="AX167" s="49"/>
    </row>
    <row r="168">
      <c r="A168" s="49"/>
      <c r="B168" s="49"/>
      <c r="C168" s="49"/>
      <c r="D168" s="50"/>
      <c r="E168" s="50"/>
      <c r="F168" s="50"/>
      <c r="G168" s="50"/>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c r="AH168" s="49"/>
      <c r="AI168" s="49"/>
      <c r="AJ168" s="49"/>
      <c r="AK168" s="49"/>
      <c r="AL168" s="49"/>
      <c r="AM168" s="49"/>
      <c r="AN168" s="49"/>
      <c r="AO168" s="49"/>
      <c r="AP168" s="49"/>
      <c r="AQ168" s="49"/>
      <c r="AR168" s="49"/>
      <c r="AS168" s="49"/>
      <c r="AT168" s="49"/>
      <c r="AU168" s="49"/>
      <c r="AV168" s="49"/>
      <c r="AW168" s="49"/>
      <c r="AX168" s="49"/>
    </row>
    <row r="169">
      <c r="A169" s="49"/>
      <c r="B169" s="49"/>
      <c r="C169" s="49"/>
      <c r="D169" s="50"/>
      <c r="E169" s="50"/>
      <c r="F169" s="50"/>
      <c r="G169" s="50"/>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c r="AH169" s="49"/>
      <c r="AI169" s="49"/>
      <c r="AJ169" s="49"/>
      <c r="AK169" s="49"/>
      <c r="AL169" s="49"/>
      <c r="AM169" s="49"/>
      <c r="AN169" s="49"/>
      <c r="AO169" s="49"/>
      <c r="AP169" s="49"/>
      <c r="AQ169" s="49"/>
      <c r="AR169" s="49"/>
      <c r="AS169" s="49"/>
      <c r="AT169" s="49"/>
      <c r="AU169" s="49"/>
      <c r="AV169" s="49"/>
      <c r="AW169" s="49"/>
      <c r="AX169" s="49"/>
    </row>
    <row r="170">
      <c r="A170" s="49"/>
      <c r="B170" s="49"/>
      <c r="C170" s="49"/>
      <c r="D170" s="50"/>
      <c r="E170" s="50"/>
      <c r="F170" s="50"/>
      <c r="G170" s="50"/>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c r="AH170" s="49"/>
      <c r="AI170" s="49"/>
      <c r="AJ170" s="49"/>
      <c r="AK170" s="49"/>
      <c r="AL170" s="49"/>
      <c r="AM170" s="49"/>
      <c r="AN170" s="49"/>
      <c r="AO170" s="49"/>
      <c r="AP170" s="49"/>
      <c r="AQ170" s="49"/>
      <c r="AR170" s="49"/>
      <c r="AS170" s="49"/>
      <c r="AT170" s="49"/>
      <c r="AU170" s="49"/>
      <c r="AV170" s="49"/>
      <c r="AW170" s="49"/>
      <c r="AX170" s="49"/>
    </row>
    <row r="171">
      <c r="A171" s="49"/>
      <c r="B171" s="49"/>
      <c r="C171" s="49"/>
      <c r="D171" s="50"/>
      <c r="E171" s="50"/>
      <c r="F171" s="50"/>
      <c r="G171" s="50"/>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c r="AH171" s="49"/>
      <c r="AI171" s="49"/>
      <c r="AJ171" s="49"/>
      <c r="AK171" s="49"/>
      <c r="AL171" s="49"/>
      <c r="AM171" s="49"/>
      <c r="AN171" s="49"/>
      <c r="AO171" s="49"/>
      <c r="AP171" s="49"/>
      <c r="AQ171" s="49"/>
      <c r="AR171" s="49"/>
      <c r="AS171" s="49"/>
      <c r="AT171" s="49"/>
      <c r="AU171" s="49"/>
      <c r="AV171" s="49"/>
      <c r="AW171" s="49"/>
      <c r="AX171" s="49"/>
    </row>
    <row r="172">
      <c r="A172" s="49"/>
      <c r="B172" s="49"/>
      <c r="C172" s="49"/>
      <c r="D172" s="50"/>
      <c r="E172" s="50"/>
      <c r="F172" s="50"/>
      <c r="G172" s="50"/>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c r="AH172" s="49"/>
      <c r="AI172" s="49"/>
      <c r="AJ172" s="49"/>
      <c r="AK172" s="49"/>
      <c r="AL172" s="49"/>
      <c r="AM172" s="49"/>
      <c r="AN172" s="49"/>
      <c r="AO172" s="49"/>
      <c r="AP172" s="49"/>
      <c r="AQ172" s="49"/>
      <c r="AR172" s="49"/>
      <c r="AS172" s="49"/>
      <c r="AT172" s="49"/>
      <c r="AU172" s="49"/>
      <c r="AV172" s="49"/>
      <c r="AW172" s="49"/>
      <c r="AX172" s="49"/>
    </row>
    <row r="173">
      <c r="A173" s="49"/>
      <c r="B173" s="49"/>
      <c r="C173" s="49"/>
      <c r="D173" s="50"/>
      <c r="E173" s="50"/>
      <c r="F173" s="50"/>
      <c r="G173" s="50"/>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c r="AH173" s="49"/>
      <c r="AI173" s="49"/>
      <c r="AJ173" s="49"/>
      <c r="AK173" s="49"/>
      <c r="AL173" s="49"/>
      <c r="AM173" s="49"/>
      <c r="AN173" s="49"/>
      <c r="AO173" s="49"/>
      <c r="AP173" s="49"/>
      <c r="AQ173" s="49"/>
      <c r="AR173" s="49"/>
      <c r="AS173" s="49"/>
      <c r="AT173" s="49"/>
      <c r="AU173" s="49"/>
      <c r="AV173" s="49"/>
      <c r="AW173" s="49"/>
      <c r="AX173" s="49"/>
    </row>
    <row r="174">
      <c r="A174" s="49"/>
      <c r="B174" s="49"/>
      <c r="C174" s="49"/>
      <c r="D174" s="50"/>
      <c r="E174" s="50"/>
      <c r="F174" s="50"/>
      <c r="G174" s="50"/>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c r="AH174" s="49"/>
      <c r="AI174" s="49"/>
      <c r="AJ174" s="49"/>
      <c r="AK174" s="49"/>
      <c r="AL174" s="49"/>
      <c r="AM174" s="49"/>
      <c r="AN174" s="49"/>
      <c r="AO174" s="49"/>
      <c r="AP174" s="49"/>
      <c r="AQ174" s="49"/>
      <c r="AR174" s="49"/>
      <c r="AS174" s="49"/>
      <c r="AT174" s="49"/>
      <c r="AU174" s="49"/>
      <c r="AV174" s="49"/>
      <c r="AW174" s="49"/>
      <c r="AX174" s="49"/>
    </row>
    <row r="175">
      <c r="A175" s="49"/>
      <c r="B175" s="49"/>
      <c r="C175" s="49"/>
      <c r="D175" s="50"/>
      <c r="E175" s="50"/>
      <c r="F175" s="50"/>
      <c r="G175" s="50"/>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c r="AH175" s="49"/>
      <c r="AI175" s="49"/>
      <c r="AJ175" s="49"/>
      <c r="AK175" s="49"/>
      <c r="AL175" s="49"/>
      <c r="AM175" s="49"/>
      <c r="AN175" s="49"/>
      <c r="AO175" s="49"/>
      <c r="AP175" s="49"/>
      <c r="AQ175" s="49"/>
      <c r="AR175" s="49"/>
      <c r="AS175" s="49"/>
      <c r="AT175" s="49"/>
      <c r="AU175" s="49"/>
      <c r="AV175" s="49"/>
      <c r="AW175" s="49"/>
      <c r="AX175" s="49"/>
    </row>
    <row r="176">
      <c r="A176" s="49"/>
      <c r="B176" s="49"/>
      <c r="C176" s="49"/>
      <c r="D176" s="50"/>
      <c r="E176" s="50"/>
      <c r="F176" s="50"/>
      <c r="G176" s="50"/>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c r="AH176" s="49"/>
      <c r="AI176" s="49"/>
      <c r="AJ176" s="49"/>
      <c r="AK176" s="49"/>
      <c r="AL176" s="49"/>
      <c r="AM176" s="49"/>
      <c r="AN176" s="49"/>
      <c r="AO176" s="49"/>
      <c r="AP176" s="49"/>
      <c r="AQ176" s="49"/>
      <c r="AR176" s="49"/>
      <c r="AS176" s="49"/>
      <c r="AT176" s="49"/>
      <c r="AU176" s="49"/>
      <c r="AV176" s="49"/>
      <c r="AW176" s="49"/>
      <c r="AX176" s="49"/>
    </row>
    <row r="177">
      <c r="A177" s="49"/>
      <c r="B177" s="49"/>
      <c r="C177" s="49"/>
      <c r="D177" s="50"/>
      <c r="E177" s="50"/>
      <c r="F177" s="50"/>
      <c r="G177" s="50"/>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c r="AH177" s="49"/>
      <c r="AI177" s="49"/>
      <c r="AJ177" s="49"/>
      <c r="AK177" s="49"/>
      <c r="AL177" s="49"/>
      <c r="AM177" s="49"/>
      <c r="AN177" s="49"/>
      <c r="AO177" s="49"/>
      <c r="AP177" s="49"/>
      <c r="AQ177" s="49"/>
      <c r="AR177" s="49"/>
      <c r="AS177" s="49"/>
      <c r="AT177" s="49"/>
      <c r="AU177" s="49"/>
      <c r="AV177" s="49"/>
      <c r="AW177" s="49"/>
      <c r="AX177" s="49"/>
    </row>
    <row r="178">
      <c r="A178" s="49"/>
      <c r="B178" s="49"/>
      <c r="C178" s="49"/>
      <c r="D178" s="50"/>
      <c r="E178" s="50"/>
      <c r="F178" s="50"/>
      <c r="G178" s="50"/>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c r="AH178" s="49"/>
      <c r="AI178" s="49"/>
      <c r="AJ178" s="49"/>
      <c r="AK178" s="49"/>
      <c r="AL178" s="49"/>
      <c r="AM178" s="49"/>
      <c r="AN178" s="49"/>
      <c r="AO178" s="49"/>
      <c r="AP178" s="49"/>
      <c r="AQ178" s="49"/>
      <c r="AR178" s="49"/>
      <c r="AS178" s="49"/>
      <c r="AT178" s="49"/>
      <c r="AU178" s="49"/>
      <c r="AV178" s="49"/>
      <c r="AW178" s="49"/>
      <c r="AX178" s="49"/>
    </row>
    <row r="179">
      <c r="A179" s="49"/>
      <c r="B179" s="49"/>
      <c r="C179" s="49"/>
      <c r="D179" s="50"/>
      <c r="E179" s="50"/>
      <c r="F179" s="50"/>
      <c r="G179" s="50"/>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c r="AH179" s="49"/>
      <c r="AI179" s="49"/>
      <c r="AJ179" s="49"/>
      <c r="AK179" s="49"/>
      <c r="AL179" s="49"/>
      <c r="AM179" s="49"/>
      <c r="AN179" s="49"/>
      <c r="AO179" s="49"/>
      <c r="AP179" s="49"/>
      <c r="AQ179" s="49"/>
      <c r="AR179" s="49"/>
      <c r="AS179" s="49"/>
      <c r="AT179" s="49"/>
      <c r="AU179" s="49"/>
      <c r="AV179" s="49"/>
      <c r="AW179" s="49"/>
      <c r="AX179" s="49"/>
    </row>
    <row r="180">
      <c r="A180" s="49"/>
      <c r="B180" s="49"/>
      <c r="C180" s="49"/>
      <c r="D180" s="50"/>
      <c r="E180" s="50"/>
      <c r="F180" s="50"/>
      <c r="G180" s="50"/>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c r="AH180" s="49"/>
      <c r="AI180" s="49"/>
      <c r="AJ180" s="49"/>
      <c r="AK180" s="49"/>
      <c r="AL180" s="49"/>
      <c r="AM180" s="49"/>
      <c r="AN180" s="49"/>
      <c r="AO180" s="49"/>
      <c r="AP180" s="49"/>
      <c r="AQ180" s="49"/>
      <c r="AR180" s="49"/>
      <c r="AS180" s="49"/>
      <c r="AT180" s="49"/>
      <c r="AU180" s="49"/>
      <c r="AV180" s="49"/>
      <c r="AW180" s="49"/>
      <c r="AX180" s="49"/>
    </row>
    <row r="181">
      <c r="A181" s="49"/>
      <c r="B181" s="49"/>
      <c r="C181" s="49"/>
      <c r="D181" s="50"/>
      <c r="E181" s="50"/>
      <c r="F181" s="50"/>
      <c r="G181" s="50"/>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c r="AH181" s="49"/>
      <c r="AI181" s="49"/>
      <c r="AJ181" s="49"/>
      <c r="AK181" s="49"/>
      <c r="AL181" s="49"/>
      <c r="AM181" s="49"/>
      <c r="AN181" s="49"/>
      <c r="AO181" s="49"/>
      <c r="AP181" s="49"/>
      <c r="AQ181" s="49"/>
      <c r="AR181" s="49"/>
      <c r="AS181" s="49"/>
      <c r="AT181" s="49"/>
      <c r="AU181" s="49"/>
      <c r="AV181" s="49"/>
      <c r="AW181" s="49"/>
      <c r="AX181" s="49"/>
    </row>
    <row r="182">
      <c r="A182" s="49"/>
      <c r="B182" s="49"/>
      <c r="C182" s="49"/>
      <c r="D182" s="50"/>
      <c r="E182" s="50"/>
      <c r="F182" s="50"/>
      <c r="G182" s="50"/>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c r="AH182" s="49"/>
      <c r="AI182" s="49"/>
      <c r="AJ182" s="49"/>
      <c r="AK182" s="49"/>
      <c r="AL182" s="49"/>
      <c r="AM182" s="49"/>
      <c r="AN182" s="49"/>
      <c r="AO182" s="49"/>
      <c r="AP182" s="49"/>
      <c r="AQ182" s="49"/>
      <c r="AR182" s="49"/>
      <c r="AS182" s="49"/>
      <c r="AT182" s="49"/>
      <c r="AU182" s="49"/>
      <c r="AV182" s="49"/>
      <c r="AW182" s="49"/>
      <c r="AX182" s="49"/>
    </row>
    <row r="183">
      <c r="A183" s="49"/>
      <c r="B183" s="49"/>
      <c r="C183" s="49"/>
      <c r="D183" s="50"/>
      <c r="E183" s="50"/>
      <c r="F183" s="50"/>
      <c r="G183" s="50"/>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c r="AH183" s="49"/>
      <c r="AI183" s="49"/>
      <c r="AJ183" s="49"/>
      <c r="AK183" s="49"/>
      <c r="AL183" s="49"/>
      <c r="AM183" s="49"/>
      <c r="AN183" s="49"/>
      <c r="AO183" s="49"/>
      <c r="AP183" s="49"/>
      <c r="AQ183" s="49"/>
      <c r="AR183" s="49"/>
      <c r="AS183" s="49"/>
      <c r="AT183" s="49"/>
      <c r="AU183" s="49"/>
      <c r="AV183" s="49"/>
      <c r="AW183" s="49"/>
      <c r="AX183" s="49"/>
    </row>
    <row r="184">
      <c r="A184" s="49"/>
      <c r="B184" s="49"/>
      <c r="C184" s="49"/>
      <c r="D184" s="50"/>
      <c r="E184" s="50"/>
      <c r="F184" s="50"/>
      <c r="G184" s="50"/>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c r="AH184" s="49"/>
      <c r="AI184" s="49"/>
      <c r="AJ184" s="49"/>
      <c r="AK184" s="49"/>
      <c r="AL184" s="49"/>
      <c r="AM184" s="49"/>
      <c r="AN184" s="49"/>
      <c r="AO184" s="49"/>
      <c r="AP184" s="49"/>
      <c r="AQ184" s="49"/>
      <c r="AR184" s="49"/>
      <c r="AS184" s="49"/>
      <c r="AT184" s="49"/>
      <c r="AU184" s="49"/>
      <c r="AV184" s="49"/>
      <c r="AW184" s="49"/>
      <c r="AX184" s="49"/>
    </row>
    <row r="185">
      <c r="A185" s="49"/>
      <c r="B185" s="49"/>
      <c r="C185" s="49"/>
      <c r="D185" s="50"/>
      <c r="E185" s="50"/>
      <c r="F185" s="50"/>
      <c r="G185" s="50"/>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c r="AH185" s="49"/>
      <c r="AI185" s="49"/>
      <c r="AJ185" s="49"/>
      <c r="AK185" s="49"/>
      <c r="AL185" s="49"/>
      <c r="AM185" s="49"/>
      <c r="AN185" s="49"/>
      <c r="AO185" s="49"/>
      <c r="AP185" s="49"/>
      <c r="AQ185" s="49"/>
      <c r="AR185" s="49"/>
      <c r="AS185" s="49"/>
      <c r="AT185" s="49"/>
      <c r="AU185" s="49"/>
      <c r="AV185" s="49"/>
      <c r="AW185" s="49"/>
      <c r="AX185" s="49"/>
    </row>
    <row r="186">
      <c r="A186" s="49"/>
      <c r="B186" s="49"/>
      <c r="C186" s="49"/>
      <c r="D186" s="50"/>
      <c r="E186" s="50"/>
      <c r="F186" s="50"/>
      <c r="G186" s="50"/>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c r="AH186" s="49"/>
      <c r="AI186" s="49"/>
      <c r="AJ186" s="49"/>
      <c r="AK186" s="49"/>
      <c r="AL186" s="49"/>
      <c r="AM186" s="49"/>
      <c r="AN186" s="49"/>
      <c r="AO186" s="49"/>
      <c r="AP186" s="49"/>
      <c r="AQ186" s="49"/>
      <c r="AR186" s="49"/>
      <c r="AS186" s="49"/>
      <c r="AT186" s="49"/>
      <c r="AU186" s="49"/>
      <c r="AV186" s="49"/>
      <c r="AW186" s="49"/>
      <c r="AX186" s="49"/>
    </row>
    <row r="187">
      <c r="A187" s="49"/>
      <c r="B187" s="49"/>
      <c r="C187" s="49"/>
      <c r="D187" s="50"/>
      <c r="E187" s="50"/>
      <c r="F187" s="50"/>
      <c r="G187" s="50"/>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c r="AH187" s="49"/>
      <c r="AI187" s="49"/>
      <c r="AJ187" s="49"/>
      <c r="AK187" s="49"/>
      <c r="AL187" s="49"/>
      <c r="AM187" s="49"/>
      <c r="AN187" s="49"/>
      <c r="AO187" s="49"/>
      <c r="AP187" s="49"/>
      <c r="AQ187" s="49"/>
      <c r="AR187" s="49"/>
      <c r="AS187" s="49"/>
      <c r="AT187" s="49"/>
      <c r="AU187" s="49"/>
      <c r="AV187" s="49"/>
      <c r="AW187" s="49"/>
      <c r="AX187" s="49"/>
    </row>
    <row r="188">
      <c r="A188" s="49"/>
      <c r="B188" s="49"/>
      <c r="C188" s="49"/>
      <c r="D188" s="50"/>
      <c r="E188" s="50"/>
      <c r="F188" s="50"/>
      <c r="G188" s="50"/>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c r="AH188" s="49"/>
      <c r="AI188" s="49"/>
      <c r="AJ188" s="49"/>
      <c r="AK188" s="49"/>
      <c r="AL188" s="49"/>
      <c r="AM188" s="49"/>
      <c r="AN188" s="49"/>
      <c r="AO188" s="49"/>
      <c r="AP188" s="49"/>
      <c r="AQ188" s="49"/>
      <c r="AR188" s="49"/>
      <c r="AS188" s="49"/>
      <c r="AT188" s="49"/>
      <c r="AU188" s="49"/>
      <c r="AV188" s="49"/>
      <c r="AW188" s="49"/>
      <c r="AX188" s="49"/>
    </row>
    <row r="189">
      <c r="A189" s="49"/>
      <c r="B189" s="49"/>
      <c r="C189" s="49"/>
      <c r="D189" s="50"/>
      <c r="E189" s="50"/>
      <c r="F189" s="50"/>
      <c r="G189" s="50"/>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c r="AH189" s="49"/>
      <c r="AI189" s="49"/>
      <c r="AJ189" s="49"/>
      <c r="AK189" s="49"/>
      <c r="AL189" s="49"/>
      <c r="AM189" s="49"/>
      <c r="AN189" s="49"/>
      <c r="AO189" s="49"/>
      <c r="AP189" s="49"/>
      <c r="AQ189" s="49"/>
      <c r="AR189" s="49"/>
      <c r="AS189" s="49"/>
      <c r="AT189" s="49"/>
      <c r="AU189" s="49"/>
      <c r="AV189" s="49"/>
      <c r="AW189" s="49"/>
      <c r="AX189" s="49"/>
    </row>
    <row r="190">
      <c r="A190" s="49"/>
      <c r="B190" s="49"/>
      <c r="C190" s="49"/>
      <c r="D190" s="50"/>
      <c r="E190" s="50"/>
      <c r="F190" s="50"/>
      <c r="G190" s="50"/>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c r="AH190" s="49"/>
      <c r="AI190" s="49"/>
      <c r="AJ190" s="49"/>
      <c r="AK190" s="49"/>
      <c r="AL190" s="49"/>
      <c r="AM190" s="49"/>
      <c r="AN190" s="49"/>
      <c r="AO190" s="49"/>
      <c r="AP190" s="49"/>
      <c r="AQ190" s="49"/>
      <c r="AR190" s="49"/>
      <c r="AS190" s="49"/>
      <c r="AT190" s="49"/>
      <c r="AU190" s="49"/>
      <c r="AV190" s="49"/>
      <c r="AW190" s="49"/>
      <c r="AX190" s="49"/>
    </row>
    <row r="191">
      <c r="A191" s="49"/>
      <c r="B191" s="49"/>
      <c r="C191" s="49"/>
      <c r="D191" s="50"/>
      <c r="E191" s="50"/>
      <c r="F191" s="50"/>
      <c r="G191" s="50"/>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c r="AH191" s="49"/>
      <c r="AI191" s="49"/>
      <c r="AJ191" s="49"/>
      <c r="AK191" s="49"/>
      <c r="AL191" s="49"/>
      <c r="AM191" s="49"/>
      <c r="AN191" s="49"/>
      <c r="AO191" s="49"/>
      <c r="AP191" s="49"/>
      <c r="AQ191" s="49"/>
      <c r="AR191" s="49"/>
      <c r="AS191" s="49"/>
      <c r="AT191" s="49"/>
      <c r="AU191" s="49"/>
      <c r="AV191" s="49"/>
      <c r="AW191" s="49"/>
      <c r="AX191" s="49"/>
    </row>
    <row r="192">
      <c r="A192" s="49"/>
      <c r="B192" s="49"/>
      <c r="C192" s="49"/>
      <c r="D192" s="50"/>
      <c r="E192" s="50"/>
      <c r="F192" s="50"/>
      <c r="G192" s="50"/>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c r="AH192" s="49"/>
      <c r="AI192" s="49"/>
      <c r="AJ192" s="49"/>
      <c r="AK192" s="49"/>
      <c r="AL192" s="49"/>
      <c r="AM192" s="49"/>
      <c r="AN192" s="49"/>
      <c r="AO192" s="49"/>
      <c r="AP192" s="49"/>
      <c r="AQ192" s="49"/>
      <c r="AR192" s="49"/>
      <c r="AS192" s="49"/>
      <c r="AT192" s="49"/>
      <c r="AU192" s="49"/>
      <c r="AV192" s="49"/>
      <c r="AW192" s="49"/>
      <c r="AX192" s="49"/>
    </row>
    <row r="193">
      <c r="A193" s="49"/>
      <c r="B193" s="49"/>
      <c r="C193" s="49"/>
      <c r="D193" s="50"/>
      <c r="E193" s="50"/>
      <c r="F193" s="50"/>
      <c r="G193" s="50"/>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c r="AH193" s="49"/>
      <c r="AI193" s="49"/>
      <c r="AJ193" s="49"/>
      <c r="AK193" s="49"/>
      <c r="AL193" s="49"/>
      <c r="AM193" s="49"/>
      <c r="AN193" s="49"/>
      <c r="AO193" s="49"/>
      <c r="AP193" s="49"/>
      <c r="AQ193" s="49"/>
      <c r="AR193" s="49"/>
      <c r="AS193" s="49"/>
      <c r="AT193" s="49"/>
      <c r="AU193" s="49"/>
      <c r="AV193" s="49"/>
      <c r="AW193" s="49"/>
      <c r="AX193" s="49"/>
    </row>
    <row r="194">
      <c r="A194" s="49"/>
      <c r="B194" s="49"/>
      <c r="C194" s="49"/>
      <c r="D194" s="50"/>
      <c r="E194" s="50"/>
      <c r="F194" s="50"/>
      <c r="G194" s="50"/>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c r="AH194" s="49"/>
      <c r="AI194" s="49"/>
      <c r="AJ194" s="49"/>
      <c r="AK194" s="49"/>
      <c r="AL194" s="49"/>
      <c r="AM194" s="49"/>
      <c r="AN194" s="49"/>
      <c r="AO194" s="49"/>
      <c r="AP194" s="49"/>
      <c r="AQ194" s="49"/>
      <c r="AR194" s="49"/>
      <c r="AS194" s="49"/>
      <c r="AT194" s="49"/>
      <c r="AU194" s="49"/>
      <c r="AV194" s="49"/>
      <c r="AW194" s="49"/>
      <c r="AX194" s="49"/>
    </row>
    <row r="195">
      <c r="A195" s="49"/>
      <c r="B195" s="49"/>
      <c r="C195" s="49"/>
      <c r="D195" s="50"/>
      <c r="E195" s="50"/>
      <c r="F195" s="50"/>
      <c r="G195" s="50"/>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c r="AH195" s="49"/>
      <c r="AI195" s="49"/>
      <c r="AJ195" s="49"/>
      <c r="AK195" s="49"/>
      <c r="AL195" s="49"/>
      <c r="AM195" s="49"/>
      <c r="AN195" s="49"/>
      <c r="AO195" s="49"/>
      <c r="AP195" s="49"/>
      <c r="AQ195" s="49"/>
      <c r="AR195" s="49"/>
      <c r="AS195" s="49"/>
      <c r="AT195" s="49"/>
      <c r="AU195" s="49"/>
      <c r="AV195" s="49"/>
      <c r="AW195" s="49"/>
      <c r="AX195" s="49"/>
    </row>
    <row r="196">
      <c r="A196" s="49"/>
      <c r="B196" s="49"/>
      <c r="C196" s="49"/>
      <c r="D196" s="50"/>
      <c r="E196" s="50"/>
      <c r="F196" s="50"/>
      <c r="G196" s="50"/>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c r="AH196" s="49"/>
      <c r="AI196" s="49"/>
      <c r="AJ196" s="49"/>
      <c r="AK196" s="49"/>
      <c r="AL196" s="49"/>
      <c r="AM196" s="49"/>
      <c r="AN196" s="49"/>
      <c r="AO196" s="49"/>
      <c r="AP196" s="49"/>
      <c r="AQ196" s="49"/>
      <c r="AR196" s="49"/>
      <c r="AS196" s="49"/>
      <c r="AT196" s="49"/>
      <c r="AU196" s="49"/>
      <c r="AV196" s="49"/>
      <c r="AW196" s="49"/>
      <c r="AX196" s="49"/>
    </row>
    <row r="197">
      <c r="A197" s="49"/>
      <c r="B197" s="49"/>
      <c r="C197" s="49"/>
      <c r="D197" s="50"/>
      <c r="E197" s="50"/>
      <c r="F197" s="50"/>
      <c r="G197" s="50"/>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c r="AH197" s="49"/>
      <c r="AI197" s="49"/>
      <c r="AJ197" s="49"/>
      <c r="AK197" s="49"/>
      <c r="AL197" s="49"/>
      <c r="AM197" s="49"/>
      <c r="AN197" s="49"/>
      <c r="AO197" s="49"/>
      <c r="AP197" s="49"/>
      <c r="AQ197" s="49"/>
      <c r="AR197" s="49"/>
      <c r="AS197" s="49"/>
      <c r="AT197" s="49"/>
      <c r="AU197" s="49"/>
      <c r="AV197" s="49"/>
      <c r="AW197" s="49"/>
      <c r="AX197" s="49"/>
    </row>
    <row r="198">
      <c r="A198" s="49"/>
      <c r="B198" s="49"/>
      <c r="C198" s="49"/>
      <c r="D198" s="50"/>
      <c r="E198" s="50"/>
      <c r="F198" s="50"/>
      <c r="G198" s="50"/>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c r="AH198" s="49"/>
      <c r="AI198" s="49"/>
      <c r="AJ198" s="49"/>
      <c r="AK198" s="49"/>
      <c r="AL198" s="49"/>
      <c r="AM198" s="49"/>
      <c r="AN198" s="49"/>
      <c r="AO198" s="49"/>
      <c r="AP198" s="49"/>
      <c r="AQ198" s="49"/>
      <c r="AR198" s="49"/>
      <c r="AS198" s="49"/>
      <c r="AT198" s="49"/>
      <c r="AU198" s="49"/>
      <c r="AV198" s="49"/>
      <c r="AW198" s="49"/>
      <c r="AX198" s="49"/>
    </row>
    <row r="199">
      <c r="A199" s="49"/>
      <c r="B199" s="49"/>
      <c r="C199" s="49"/>
      <c r="D199" s="50"/>
      <c r="E199" s="50"/>
      <c r="F199" s="50"/>
      <c r="G199" s="50"/>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c r="AH199" s="49"/>
      <c r="AI199" s="49"/>
      <c r="AJ199" s="49"/>
      <c r="AK199" s="49"/>
      <c r="AL199" s="49"/>
      <c r="AM199" s="49"/>
      <c r="AN199" s="49"/>
      <c r="AO199" s="49"/>
      <c r="AP199" s="49"/>
      <c r="AQ199" s="49"/>
      <c r="AR199" s="49"/>
      <c r="AS199" s="49"/>
      <c r="AT199" s="49"/>
      <c r="AU199" s="49"/>
      <c r="AV199" s="49"/>
      <c r="AW199" s="49"/>
      <c r="AX199" s="49"/>
    </row>
    <row r="200">
      <c r="A200" s="49"/>
      <c r="B200" s="49"/>
      <c r="C200" s="49"/>
      <c r="D200" s="50"/>
      <c r="E200" s="50"/>
      <c r="F200" s="50"/>
      <c r="G200" s="50"/>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c r="AH200" s="49"/>
      <c r="AI200" s="49"/>
      <c r="AJ200" s="49"/>
      <c r="AK200" s="49"/>
      <c r="AL200" s="49"/>
      <c r="AM200" s="49"/>
      <c r="AN200" s="49"/>
      <c r="AO200" s="49"/>
      <c r="AP200" s="49"/>
      <c r="AQ200" s="49"/>
      <c r="AR200" s="49"/>
      <c r="AS200" s="49"/>
      <c r="AT200" s="49"/>
      <c r="AU200" s="49"/>
      <c r="AV200" s="49"/>
      <c r="AW200" s="49"/>
      <c r="AX200" s="49"/>
    </row>
    <row r="201">
      <c r="A201" s="49"/>
      <c r="B201" s="49"/>
      <c r="C201" s="49"/>
      <c r="D201" s="50"/>
      <c r="E201" s="50"/>
      <c r="F201" s="50"/>
      <c r="G201" s="50"/>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c r="AH201" s="49"/>
      <c r="AI201" s="49"/>
      <c r="AJ201" s="49"/>
      <c r="AK201" s="49"/>
      <c r="AL201" s="49"/>
      <c r="AM201" s="49"/>
      <c r="AN201" s="49"/>
      <c r="AO201" s="49"/>
      <c r="AP201" s="49"/>
      <c r="AQ201" s="49"/>
      <c r="AR201" s="49"/>
      <c r="AS201" s="49"/>
      <c r="AT201" s="49"/>
      <c r="AU201" s="49"/>
      <c r="AV201" s="49"/>
      <c r="AW201" s="49"/>
      <c r="AX201" s="49"/>
    </row>
    <row r="202">
      <c r="A202" s="49"/>
      <c r="B202" s="49"/>
      <c r="C202" s="49"/>
      <c r="D202" s="50"/>
      <c r="E202" s="50"/>
      <c r="F202" s="50"/>
      <c r="G202" s="50"/>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c r="AH202" s="49"/>
      <c r="AI202" s="49"/>
      <c r="AJ202" s="49"/>
      <c r="AK202" s="49"/>
      <c r="AL202" s="49"/>
      <c r="AM202" s="49"/>
      <c r="AN202" s="49"/>
      <c r="AO202" s="49"/>
      <c r="AP202" s="49"/>
      <c r="AQ202" s="49"/>
      <c r="AR202" s="49"/>
      <c r="AS202" s="49"/>
      <c r="AT202" s="49"/>
      <c r="AU202" s="49"/>
      <c r="AV202" s="49"/>
      <c r="AW202" s="49"/>
      <c r="AX202" s="49"/>
    </row>
    <row r="203">
      <c r="A203" s="49"/>
      <c r="B203" s="49"/>
      <c r="C203" s="49"/>
      <c r="D203" s="50"/>
      <c r="E203" s="50"/>
      <c r="F203" s="50"/>
      <c r="G203" s="50"/>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c r="AH203" s="49"/>
      <c r="AI203" s="49"/>
      <c r="AJ203" s="49"/>
      <c r="AK203" s="49"/>
      <c r="AL203" s="49"/>
      <c r="AM203" s="49"/>
      <c r="AN203" s="49"/>
      <c r="AO203" s="49"/>
      <c r="AP203" s="49"/>
      <c r="AQ203" s="49"/>
      <c r="AR203" s="49"/>
      <c r="AS203" s="49"/>
      <c r="AT203" s="49"/>
      <c r="AU203" s="49"/>
      <c r="AV203" s="49"/>
      <c r="AW203" s="49"/>
      <c r="AX203" s="49"/>
    </row>
    <row r="204">
      <c r="A204" s="49"/>
      <c r="B204" s="49"/>
      <c r="C204" s="49"/>
      <c r="D204" s="50"/>
      <c r="E204" s="50"/>
      <c r="F204" s="50"/>
      <c r="G204" s="50"/>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c r="AH204" s="49"/>
      <c r="AI204" s="49"/>
      <c r="AJ204" s="49"/>
      <c r="AK204" s="49"/>
      <c r="AL204" s="49"/>
      <c r="AM204" s="49"/>
      <c r="AN204" s="49"/>
      <c r="AO204" s="49"/>
      <c r="AP204" s="49"/>
      <c r="AQ204" s="49"/>
      <c r="AR204" s="49"/>
      <c r="AS204" s="49"/>
      <c r="AT204" s="49"/>
      <c r="AU204" s="49"/>
      <c r="AV204" s="49"/>
      <c r="AW204" s="49"/>
      <c r="AX204" s="49"/>
    </row>
    <row r="205">
      <c r="A205" s="49"/>
      <c r="B205" s="49"/>
      <c r="C205" s="49"/>
      <c r="D205" s="50"/>
      <c r="E205" s="50"/>
      <c r="F205" s="50"/>
      <c r="G205" s="50"/>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c r="AH205" s="49"/>
      <c r="AI205" s="49"/>
      <c r="AJ205" s="49"/>
      <c r="AK205" s="49"/>
      <c r="AL205" s="49"/>
      <c r="AM205" s="49"/>
      <c r="AN205" s="49"/>
      <c r="AO205" s="49"/>
      <c r="AP205" s="49"/>
      <c r="AQ205" s="49"/>
      <c r="AR205" s="49"/>
      <c r="AS205" s="49"/>
      <c r="AT205" s="49"/>
      <c r="AU205" s="49"/>
      <c r="AV205" s="49"/>
      <c r="AW205" s="49"/>
      <c r="AX205" s="49"/>
    </row>
    <row r="206">
      <c r="A206" s="49"/>
      <c r="B206" s="49"/>
      <c r="C206" s="49"/>
      <c r="D206" s="50"/>
      <c r="E206" s="50"/>
      <c r="F206" s="50"/>
      <c r="G206" s="50"/>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c r="AH206" s="49"/>
      <c r="AI206" s="49"/>
      <c r="AJ206" s="49"/>
      <c r="AK206" s="49"/>
      <c r="AL206" s="49"/>
      <c r="AM206" s="49"/>
      <c r="AN206" s="49"/>
      <c r="AO206" s="49"/>
      <c r="AP206" s="49"/>
      <c r="AQ206" s="49"/>
      <c r="AR206" s="49"/>
      <c r="AS206" s="49"/>
      <c r="AT206" s="49"/>
      <c r="AU206" s="49"/>
      <c r="AV206" s="49"/>
      <c r="AW206" s="49"/>
      <c r="AX206" s="49"/>
    </row>
    <row r="207">
      <c r="A207" s="49"/>
      <c r="B207" s="49"/>
      <c r="C207" s="49"/>
      <c r="D207" s="50"/>
      <c r="E207" s="50"/>
      <c r="F207" s="50"/>
      <c r="G207" s="50"/>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c r="AH207" s="49"/>
      <c r="AI207" s="49"/>
      <c r="AJ207" s="49"/>
      <c r="AK207" s="49"/>
      <c r="AL207" s="49"/>
      <c r="AM207" s="49"/>
      <c r="AN207" s="49"/>
      <c r="AO207" s="49"/>
      <c r="AP207" s="49"/>
      <c r="AQ207" s="49"/>
      <c r="AR207" s="49"/>
      <c r="AS207" s="49"/>
      <c r="AT207" s="49"/>
      <c r="AU207" s="49"/>
      <c r="AV207" s="49"/>
      <c r="AW207" s="49"/>
      <c r="AX207" s="49"/>
    </row>
    <row r="208">
      <c r="A208" s="49"/>
      <c r="B208" s="49"/>
      <c r="C208" s="49"/>
      <c r="D208" s="50"/>
      <c r="E208" s="50"/>
      <c r="F208" s="50"/>
      <c r="G208" s="50"/>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c r="AH208" s="49"/>
      <c r="AI208" s="49"/>
      <c r="AJ208" s="49"/>
      <c r="AK208" s="49"/>
      <c r="AL208" s="49"/>
      <c r="AM208" s="49"/>
      <c r="AN208" s="49"/>
      <c r="AO208" s="49"/>
      <c r="AP208" s="49"/>
      <c r="AQ208" s="49"/>
      <c r="AR208" s="49"/>
      <c r="AS208" s="49"/>
      <c r="AT208" s="49"/>
      <c r="AU208" s="49"/>
      <c r="AV208" s="49"/>
      <c r="AW208" s="49"/>
      <c r="AX208" s="49"/>
    </row>
    <row r="209">
      <c r="A209" s="49"/>
      <c r="B209" s="49"/>
      <c r="C209" s="49"/>
      <c r="D209" s="50"/>
      <c r="E209" s="50"/>
      <c r="F209" s="50"/>
      <c r="G209" s="50"/>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c r="AH209" s="49"/>
      <c r="AI209" s="49"/>
      <c r="AJ209" s="49"/>
      <c r="AK209" s="49"/>
      <c r="AL209" s="49"/>
      <c r="AM209" s="49"/>
      <c r="AN209" s="49"/>
      <c r="AO209" s="49"/>
      <c r="AP209" s="49"/>
      <c r="AQ209" s="49"/>
      <c r="AR209" s="49"/>
      <c r="AS209" s="49"/>
      <c r="AT209" s="49"/>
      <c r="AU209" s="49"/>
      <c r="AV209" s="49"/>
      <c r="AW209" s="49"/>
      <c r="AX209" s="49"/>
    </row>
    <row r="210">
      <c r="A210" s="49"/>
      <c r="B210" s="49"/>
      <c r="C210" s="49"/>
      <c r="D210" s="50"/>
      <c r="E210" s="50"/>
      <c r="F210" s="50"/>
      <c r="G210" s="50"/>
      <c r="H210" s="49"/>
      <c r="I210" s="49"/>
      <c r="J210" s="49"/>
      <c r="K210" s="49"/>
      <c r="L210" s="49"/>
      <c r="M210" s="49"/>
      <c r="N210" s="49"/>
      <c r="O210" s="49"/>
      <c r="P210" s="49"/>
      <c r="Q210" s="49"/>
      <c r="R210" s="49"/>
      <c r="S210" s="49"/>
      <c r="T210" s="49"/>
      <c r="U210" s="49"/>
      <c r="V210" s="49"/>
      <c r="W210" s="49"/>
      <c r="X210" s="49"/>
      <c r="Y210" s="49"/>
      <c r="Z210" s="49"/>
      <c r="AA210" s="49"/>
      <c r="AB210" s="49"/>
      <c r="AC210" s="49"/>
      <c r="AD210" s="49"/>
      <c r="AE210" s="49"/>
      <c r="AF210" s="49"/>
      <c r="AG210" s="49"/>
      <c r="AH210" s="49"/>
      <c r="AI210" s="49"/>
      <c r="AJ210" s="49"/>
      <c r="AK210" s="49"/>
      <c r="AL210" s="49"/>
      <c r="AM210" s="49"/>
      <c r="AN210" s="49"/>
      <c r="AO210" s="49"/>
      <c r="AP210" s="49"/>
      <c r="AQ210" s="49"/>
      <c r="AR210" s="49"/>
      <c r="AS210" s="49"/>
      <c r="AT210" s="49"/>
      <c r="AU210" s="49"/>
      <c r="AV210" s="49"/>
      <c r="AW210" s="49"/>
      <c r="AX210" s="49"/>
    </row>
    <row r="211">
      <c r="A211" s="49"/>
      <c r="B211" s="49"/>
      <c r="C211" s="49"/>
      <c r="D211" s="50"/>
      <c r="E211" s="50"/>
      <c r="F211" s="50"/>
      <c r="G211" s="50"/>
      <c r="H211" s="49"/>
      <c r="I211" s="49"/>
      <c r="J211" s="49"/>
      <c r="K211" s="49"/>
      <c r="L211" s="49"/>
      <c r="M211" s="49"/>
      <c r="N211" s="49"/>
      <c r="O211" s="49"/>
      <c r="P211" s="49"/>
      <c r="Q211" s="49"/>
      <c r="R211" s="49"/>
      <c r="S211" s="49"/>
      <c r="T211" s="49"/>
      <c r="U211" s="49"/>
      <c r="V211" s="49"/>
      <c r="W211" s="49"/>
      <c r="X211" s="49"/>
      <c r="Y211" s="49"/>
      <c r="Z211" s="49"/>
      <c r="AA211" s="49"/>
      <c r="AB211" s="49"/>
      <c r="AC211" s="49"/>
      <c r="AD211" s="49"/>
      <c r="AE211" s="49"/>
      <c r="AF211" s="49"/>
      <c r="AG211" s="49"/>
      <c r="AH211" s="49"/>
      <c r="AI211" s="49"/>
      <c r="AJ211" s="49"/>
      <c r="AK211" s="49"/>
      <c r="AL211" s="49"/>
      <c r="AM211" s="49"/>
      <c r="AN211" s="49"/>
      <c r="AO211" s="49"/>
      <c r="AP211" s="49"/>
      <c r="AQ211" s="49"/>
      <c r="AR211" s="49"/>
      <c r="AS211" s="49"/>
      <c r="AT211" s="49"/>
      <c r="AU211" s="49"/>
      <c r="AV211" s="49"/>
      <c r="AW211" s="49"/>
      <c r="AX211" s="49"/>
    </row>
    <row r="212">
      <c r="A212" s="49"/>
      <c r="B212" s="49"/>
      <c r="C212" s="49"/>
      <c r="D212" s="50"/>
      <c r="E212" s="50"/>
      <c r="F212" s="50"/>
      <c r="G212" s="50"/>
      <c r="H212" s="49"/>
      <c r="I212" s="49"/>
      <c r="J212" s="49"/>
      <c r="K212" s="49"/>
      <c r="L212" s="49"/>
      <c r="M212" s="49"/>
      <c r="N212" s="49"/>
      <c r="O212" s="49"/>
      <c r="P212" s="49"/>
      <c r="Q212" s="49"/>
      <c r="R212" s="49"/>
      <c r="S212" s="49"/>
      <c r="T212" s="49"/>
      <c r="U212" s="49"/>
      <c r="V212" s="49"/>
      <c r="W212" s="49"/>
      <c r="X212" s="49"/>
      <c r="Y212" s="49"/>
      <c r="Z212" s="49"/>
      <c r="AA212" s="49"/>
      <c r="AB212" s="49"/>
      <c r="AC212" s="49"/>
      <c r="AD212" s="49"/>
      <c r="AE212" s="49"/>
      <c r="AF212" s="49"/>
      <c r="AG212" s="49"/>
      <c r="AH212" s="49"/>
      <c r="AI212" s="49"/>
      <c r="AJ212" s="49"/>
      <c r="AK212" s="49"/>
      <c r="AL212" s="49"/>
      <c r="AM212" s="49"/>
      <c r="AN212" s="49"/>
      <c r="AO212" s="49"/>
      <c r="AP212" s="49"/>
      <c r="AQ212" s="49"/>
      <c r="AR212" s="49"/>
      <c r="AS212" s="49"/>
      <c r="AT212" s="49"/>
      <c r="AU212" s="49"/>
      <c r="AV212" s="49"/>
      <c r="AW212" s="49"/>
      <c r="AX212" s="49"/>
    </row>
    <row r="213">
      <c r="A213" s="49"/>
      <c r="B213" s="49"/>
      <c r="C213" s="49"/>
      <c r="D213" s="50"/>
      <c r="E213" s="50"/>
      <c r="F213" s="50"/>
      <c r="G213" s="50"/>
      <c r="H213" s="49"/>
      <c r="I213" s="49"/>
      <c r="J213" s="49"/>
      <c r="K213" s="49"/>
      <c r="L213" s="49"/>
      <c r="M213" s="49"/>
      <c r="N213" s="49"/>
      <c r="O213" s="49"/>
      <c r="P213" s="49"/>
      <c r="Q213" s="49"/>
      <c r="R213" s="49"/>
      <c r="S213" s="49"/>
      <c r="T213" s="49"/>
      <c r="U213" s="49"/>
      <c r="V213" s="49"/>
      <c r="W213" s="49"/>
      <c r="X213" s="49"/>
      <c r="Y213" s="49"/>
      <c r="Z213" s="49"/>
      <c r="AA213" s="49"/>
      <c r="AB213" s="49"/>
      <c r="AC213" s="49"/>
      <c r="AD213" s="49"/>
      <c r="AE213" s="49"/>
      <c r="AF213" s="49"/>
      <c r="AG213" s="49"/>
      <c r="AH213" s="49"/>
      <c r="AI213" s="49"/>
      <c r="AJ213" s="49"/>
      <c r="AK213" s="49"/>
      <c r="AL213" s="49"/>
      <c r="AM213" s="49"/>
      <c r="AN213" s="49"/>
      <c r="AO213" s="49"/>
      <c r="AP213" s="49"/>
      <c r="AQ213" s="49"/>
      <c r="AR213" s="49"/>
      <c r="AS213" s="49"/>
      <c r="AT213" s="49"/>
      <c r="AU213" s="49"/>
      <c r="AV213" s="49"/>
      <c r="AW213" s="49"/>
      <c r="AX213" s="49"/>
    </row>
    <row r="214">
      <c r="A214" s="49"/>
      <c r="B214" s="49"/>
      <c r="C214" s="49"/>
      <c r="D214" s="50"/>
      <c r="E214" s="50"/>
      <c r="F214" s="50"/>
      <c r="G214" s="50"/>
      <c r="H214" s="49"/>
      <c r="I214" s="49"/>
      <c r="J214" s="49"/>
      <c r="K214" s="49"/>
      <c r="L214" s="49"/>
      <c r="M214" s="49"/>
      <c r="N214" s="49"/>
      <c r="O214" s="49"/>
      <c r="P214" s="49"/>
      <c r="Q214" s="49"/>
      <c r="R214" s="49"/>
      <c r="S214" s="49"/>
      <c r="T214" s="49"/>
      <c r="U214" s="49"/>
      <c r="V214" s="49"/>
      <c r="W214" s="49"/>
      <c r="X214" s="49"/>
      <c r="Y214" s="49"/>
      <c r="Z214" s="49"/>
      <c r="AA214" s="49"/>
      <c r="AB214" s="49"/>
      <c r="AC214" s="49"/>
      <c r="AD214" s="49"/>
      <c r="AE214" s="49"/>
      <c r="AF214" s="49"/>
      <c r="AG214" s="49"/>
      <c r="AH214" s="49"/>
      <c r="AI214" s="49"/>
      <c r="AJ214" s="49"/>
      <c r="AK214" s="49"/>
      <c r="AL214" s="49"/>
      <c r="AM214" s="49"/>
      <c r="AN214" s="49"/>
      <c r="AO214" s="49"/>
      <c r="AP214" s="49"/>
      <c r="AQ214" s="49"/>
      <c r="AR214" s="49"/>
      <c r="AS214" s="49"/>
      <c r="AT214" s="49"/>
      <c r="AU214" s="49"/>
      <c r="AV214" s="49"/>
      <c r="AW214" s="49"/>
      <c r="AX214" s="49"/>
    </row>
    <row r="215">
      <c r="A215" s="49"/>
      <c r="B215" s="49"/>
      <c r="C215" s="49"/>
      <c r="D215" s="50"/>
      <c r="E215" s="50"/>
      <c r="F215" s="50"/>
      <c r="G215" s="50"/>
      <c r="H215" s="49"/>
      <c r="I215" s="49"/>
      <c r="J215" s="49"/>
      <c r="K215" s="49"/>
      <c r="L215" s="49"/>
      <c r="M215" s="49"/>
      <c r="N215" s="49"/>
      <c r="O215" s="49"/>
      <c r="P215" s="49"/>
      <c r="Q215" s="49"/>
      <c r="R215" s="49"/>
      <c r="S215" s="49"/>
      <c r="T215" s="49"/>
      <c r="U215" s="49"/>
      <c r="V215" s="49"/>
      <c r="W215" s="49"/>
      <c r="X215" s="49"/>
      <c r="Y215" s="49"/>
      <c r="Z215" s="49"/>
      <c r="AA215" s="49"/>
      <c r="AB215" s="49"/>
      <c r="AC215" s="49"/>
      <c r="AD215" s="49"/>
      <c r="AE215" s="49"/>
      <c r="AF215" s="49"/>
      <c r="AG215" s="49"/>
      <c r="AH215" s="49"/>
      <c r="AI215" s="49"/>
      <c r="AJ215" s="49"/>
      <c r="AK215" s="49"/>
      <c r="AL215" s="49"/>
      <c r="AM215" s="49"/>
      <c r="AN215" s="49"/>
      <c r="AO215" s="49"/>
      <c r="AP215" s="49"/>
      <c r="AQ215" s="49"/>
      <c r="AR215" s="49"/>
      <c r="AS215" s="49"/>
      <c r="AT215" s="49"/>
      <c r="AU215" s="49"/>
      <c r="AV215" s="49"/>
      <c r="AW215" s="49"/>
      <c r="AX215" s="49"/>
    </row>
    <row r="216">
      <c r="A216" s="49"/>
      <c r="B216" s="49"/>
      <c r="C216" s="49"/>
      <c r="D216" s="50"/>
      <c r="E216" s="50"/>
      <c r="F216" s="50"/>
      <c r="G216" s="50"/>
      <c r="H216" s="49"/>
      <c r="I216" s="49"/>
      <c r="J216" s="49"/>
      <c r="K216" s="49"/>
      <c r="L216" s="49"/>
      <c r="M216" s="49"/>
      <c r="N216" s="49"/>
      <c r="O216" s="49"/>
      <c r="P216" s="49"/>
      <c r="Q216" s="49"/>
      <c r="R216" s="49"/>
      <c r="S216" s="49"/>
      <c r="T216" s="49"/>
      <c r="U216" s="49"/>
      <c r="V216" s="49"/>
      <c r="W216" s="49"/>
      <c r="X216" s="49"/>
      <c r="Y216" s="49"/>
      <c r="Z216" s="49"/>
      <c r="AA216" s="49"/>
      <c r="AB216" s="49"/>
      <c r="AC216" s="49"/>
      <c r="AD216" s="49"/>
      <c r="AE216" s="49"/>
      <c r="AF216" s="49"/>
      <c r="AG216" s="49"/>
      <c r="AH216" s="49"/>
      <c r="AI216" s="49"/>
      <c r="AJ216" s="49"/>
      <c r="AK216" s="49"/>
      <c r="AL216" s="49"/>
      <c r="AM216" s="49"/>
      <c r="AN216" s="49"/>
      <c r="AO216" s="49"/>
      <c r="AP216" s="49"/>
      <c r="AQ216" s="49"/>
      <c r="AR216" s="49"/>
      <c r="AS216" s="49"/>
      <c r="AT216" s="49"/>
      <c r="AU216" s="49"/>
      <c r="AV216" s="49"/>
      <c r="AW216" s="49"/>
      <c r="AX216" s="49"/>
    </row>
    <row r="217">
      <c r="A217" s="49"/>
      <c r="B217" s="49"/>
      <c r="C217" s="49"/>
      <c r="D217" s="50"/>
      <c r="E217" s="50"/>
      <c r="F217" s="50"/>
      <c r="G217" s="50"/>
      <c r="H217" s="49"/>
      <c r="I217" s="49"/>
      <c r="J217" s="49"/>
      <c r="K217" s="49"/>
      <c r="L217" s="49"/>
      <c r="M217" s="49"/>
      <c r="N217" s="49"/>
      <c r="O217" s="49"/>
      <c r="P217" s="49"/>
      <c r="Q217" s="49"/>
      <c r="R217" s="49"/>
      <c r="S217" s="49"/>
      <c r="T217" s="49"/>
      <c r="U217" s="49"/>
      <c r="V217" s="49"/>
      <c r="W217" s="49"/>
      <c r="X217" s="49"/>
      <c r="Y217" s="49"/>
      <c r="Z217" s="49"/>
      <c r="AA217" s="49"/>
      <c r="AB217" s="49"/>
      <c r="AC217" s="49"/>
      <c r="AD217" s="49"/>
      <c r="AE217" s="49"/>
      <c r="AF217" s="49"/>
      <c r="AG217" s="49"/>
      <c r="AH217" s="49"/>
      <c r="AI217" s="49"/>
      <c r="AJ217" s="49"/>
      <c r="AK217" s="49"/>
      <c r="AL217" s="49"/>
      <c r="AM217" s="49"/>
      <c r="AN217" s="49"/>
      <c r="AO217" s="49"/>
      <c r="AP217" s="49"/>
      <c r="AQ217" s="49"/>
      <c r="AR217" s="49"/>
      <c r="AS217" s="49"/>
      <c r="AT217" s="49"/>
      <c r="AU217" s="49"/>
      <c r="AV217" s="49"/>
      <c r="AW217" s="49"/>
      <c r="AX217" s="49"/>
    </row>
    <row r="218">
      <c r="A218" s="49"/>
      <c r="B218" s="49"/>
      <c r="C218" s="49"/>
      <c r="D218" s="50"/>
      <c r="E218" s="50"/>
      <c r="F218" s="50"/>
      <c r="G218" s="50"/>
      <c r="H218" s="49"/>
      <c r="I218" s="49"/>
      <c r="J218" s="49"/>
      <c r="K218" s="49"/>
      <c r="L218" s="49"/>
      <c r="M218" s="49"/>
      <c r="N218" s="49"/>
      <c r="O218" s="49"/>
      <c r="P218" s="49"/>
      <c r="Q218" s="49"/>
      <c r="R218" s="49"/>
      <c r="S218" s="49"/>
      <c r="T218" s="49"/>
      <c r="U218" s="49"/>
      <c r="V218" s="49"/>
      <c r="W218" s="49"/>
      <c r="X218" s="49"/>
      <c r="Y218" s="49"/>
      <c r="Z218" s="49"/>
      <c r="AA218" s="49"/>
      <c r="AB218" s="49"/>
      <c r="AC218" s="49"/>
      <c r="AD218" s="49"/>
      <c r="AE218" s="49"/>
      <c r="AF218" s="49"/>
      <c r="AG218" s="49"/>
      <c r="AH218" s="49"/>
      <c r="AI218" s="49"/>
      <c r="AJ218" s="49"/>
      <c r="AK218" s="49"/>
      <c r="AL218" s="49"/>
      <c r="AM218" s="49"/>
      <c r="AN218" s="49"/>
      <c r="AO218" s="49"/>
      <c r="AP218" s="49"/>
      <c r="AQ218" s="49"/>
      <c r="AR218" s="49"/>
      <c r="AS218" s="49"/>
      <c r="AT218" s="49"/>
      <c r="AU218" s="49"/>
      <c r="AV218" s="49"/>
      <c r="AW218" s="49"/>
      <c r="AX218" s="49"/>
    </row>
    <row r="219">
      <c r="A219" s="49"/>
      <c r="B219" s="49"/>
      <c r="C219" s="49"/>
      <c r="D219" s="50"/>
      <c r="E219" s="50"/>
      <c r="F219" s="50"/>
      <c r="G219" s="50"/>
      <c r="H219" s="49"/>
      <c r="I219" s="49"/>
      <c r="J219" s="49"/>
      <c r="K219" s="49"/>
      <c r="L219" s="49"/>
      <c r="M219" s="49"/>
      <c r="N219" s="49"/>
      <c r="O219" s="49"/>
      <c r="P219" s="49"/>
      <c r="Q219" s="49"/>
      <c r="R219" s="49"/>
      <c r="S219" s="49"/>
      <c r="T219" s="49"/>
      <c r="U219" s="49"/>
      <c r="V219" s="49"/>
      <c r="W219" s="49"/>
      <c r="X219" s="49"/>
      <c r="Y219" s="49"/>
      <c r="Z219" s="49"/>
      <c r="AA219" s="49"/>
      <c r="AB219" s="49"/>
      <c r="AC219" s="49"/>
      <c r="AD219" s="49"/>
      <c r="AE219" s="49"/>
      <c r="AF219" s="49"/>
      <c r="AG219" s="49"/>
      <c r="AH219" s="49"/>
      <c r="AI219" s="49"/>
      <c r="AJ219" s="49"/>
      <c r="AK219" s="49"/>
      <c r="AL219" s="49"/>
      <c r="AM219" s="49"/>
      <c r="AN219" s="49"/>
      <c r="AO219" s="49"/>
      <c r="AP219" s="49"/>
      <c r="AQ219" s="49"/>
      <c r="AR219" s="49"/>
      <c r="AS219" s="49"/>
      <c r="AT219" s="49"/>
      <c r="AU219" s="49"/>
      <c r="AV219" s="49"/>
      <c r="AW219" s="49"/>
      <c r="AX219" s="49"/>
    </row>
    <row r="220">
      <c r="A220" s="49"/>
      <c r="B220" s="49"/>
      <c r="C220" s="49"/>
      <c r="D220" s="50"/>
      <c r="E220" s="50"/>
      <c r="F220" s="50"/>
      <c r="G220" s="50"/>
      <c r="H220" s="49"/>
      <c r="I220" s="49"/>
      <c r="J220" s="49"/>
      <c r="K220" s="49"/>
      <c r="L220" s="49"/>
      <c r="M220" s="49"/>
      <c r="N220" s="49"/>
      <c r="O220" s="49"/>
      <c r="P220" s="49"/>
      <c r="Q220" s="49"/>
      <c r="R220" s="49"/>
      <c r="S220" s="49"/>
      <c r="T220" s="49"/>
      <c r="U220" s="49"/>
      <c r="V220" s="49"/>
      <c r="W220" s="49"/>
      <c r="X220" s="49"/>
      <c r="Y220" s="49"/>
      <c r="Z220" s="49"/>
      <c r="AA220" s="49"/>
      <c r="AB220" s="49"/>
      <c r="AC220" s="49"/>
      <c r="AD220" s="49"/>
      <c r="AE220" s="49"/>
      <c r="AF220" s="49"/>
      <c r="AG220" s="49"/>
      <c r="AH220" s="49"/>
      <c r="AI220" s="49"/>
      <c r="AJ220" s="49"/>
      <c r="AK220" s="49"/>
      <c r="AL220" s="49"/>
      <c r="AM220" s="49"/>
      <c r="AN220" s="49"/>
      <c r="AO220" s="49"/>
      <c r="AP220" s="49"/>
      <c r="AQ220" s="49"/>
      <c r="AR220" s="49"/>
      <c r="AS220" s="49"/>
      <c r="AT220" s="49"/>
      <c r="AU220" s="49"/>
      <c r="AV220" s="49"/>
      <c r="AW220" s="49"/>
      <c r="AX220" s="49"/>
    </row>
    <row r="221">
      <c r="A221" s="49"/>
      <c r="B221" s="49"/>
      <c r="C221" s="49"/>
      <c r="D221" s="50"/>
      <c r="E221" s="50"/>
      <c r="F221" s="50"/>
      <c r="G221" s="50"/>
      <c r="H221" s="49"/>
      <c r="I221" s="49"/>
      <c r="J221" s="49"/>
      <c r="K221" s="49"/>
      <c r="L221" s="49"/>
      <c r="M221" s="49"/>
      <c r="N221" s="49"/>
      <c r="O221" s="49"/>
      <c r="P221" s="49"/>
      <c r="Q221" s="49"/>
      <c r="R221" s="49"/>
      <c r="S221" s="49"/>
      <c r="T221" s="49"/>
      <c r="U221" s="49"/>
      <c r="V221" s="49"/>
      <c r="W221" s="49"/>
      <c r="X221" s="49"/>
      <c r="Y221" s="49"/>
      <c r="Z221" s="49"/>
      <c r="AA221" s="49"/>
      <c r="AB221" s="49"/>
      <c r="AC221" s="49"/>
      <c r="AD221" s="49"/>
      <c r="AE221" s="49"/>
      <c r="AF221" s="49"/>
      <c r="AG221" s="49"/>
      <c r="AH221" s="49"/>
      <c r="AI221" s="49"/>
      <c r="AJ221" s="49"/>
      <c r="AK221" s="49"/>
      <c r="AL221" s="49"/>
      <c r="AM221" s="49"/>
      <c r="AN221" s="49"/>
      <c r="AO221" s="49"/>
      <c r="AP221" s="49"/>
      <c r="AQ221" s="49"/>
      <c r="AR221" s="49"/>
      <c r="AS221" s="49"/>
      <c r="AT221" s="49"/>
      <c r="AU221" s="49"/>
      <c r="AV221" s="49"/>
      <c r="AW221" s="49"/>
      <c r="AX221" s="49"/>
    </row>
    <row r="222">
      <c r="A222" s="49"/>
      <c r="B222" s="49"/>
      <c r="C222" s="49"/>
      <c r="D222" s="50"/>
      <c r="E222" s="50"/>
      <c r="F222" s="50"/>
      <c r="G222" s="50"/>
      <c r="H222" s="49"/>
      <c r="I222" s="49"/>
      <c r="J222" s="49"/>
      <c r="K222" s="49"/>
      <c r="L222" s="49"/>
      <c r="M222" s="49"/>
      <c r="N222" s="49"/>
      <c r="O222" s="49"/>
      <c r="P222" s="49"/>
      <c r="Q222" s="49"/>
      <c r="R222" s="49"/>
      <c r="S222" s="49"/>
      <c r="T222" s="49"/>
      <c r="U222" s="49"/>
      <c r="V222" s="49"/>
      <c r="W222" s="49"/>
      <c r="X222" s="49"/>
      <c r="Y222" s="49"/>
      <c r="Z222" s="49"/>
      <c r="AA222" s="49"/>
      <c r="AB222" s="49"/>
      <c r="AC222" s="49"/>
      <c r="AD222" s="49"/>
      <c r="AE222" s="49"/>
      <c r="AF222" s="49"/>
      <c r="AG222" s="49"/>
      <c r="AH222" s="49"/>
      <c r="AI222" s="49"/>
      <c r="AJ222" s="49"/>
      <c r="AK222" s="49"/>
      <c r="AL222" s="49"/>
      <c r="AM222" s="49"/>
      <c r="AN222" s="49"/>
      <c r="AO222" s="49"/>
      <c r="AP222" s="49"/>
      <c r="AQ222" s="49"/>
      <c r="AR222" s="49"/>
      <c r="AS222" s="49"/>
      <c r="AT222" s="49"/>
      <c r="AU222" s="49"/>
      <c r="AV222" s="49"/>
      <c r="AW222" s="49"/>
      <c r="AX222" s="49"/>
    </row>
    <row r="223">
      <c r="A223" s="49"/>
      <c r="B223" s="49"/>
      <c r="C223" s="49"/>
      <c r="D223" s="50"/>
      <c r="E223" s="50"/>
      <c r="F223" s="50"/>
      <c r="G223" s="50"/>
      <c r="H223" s="49"/>
      <c r="I223" s="49"/>
      <c r="J223" s="49"/>
      <c r="K223" s="49"/>
      <c r="L223" s="49"/>
      <c r="M223" s="49"/>
      <c r="N223" s="49"/>
      <c r="O223" s="49"/>
      <c r="P223" s="49"/>
      <c r="Q223" s="49"/>
      <c r="R223" s="49"/>
      <c r="S223" s="49"/>
      <c r="T223" s="49"/>
      <c r="U223" s="49"/>
      <c r="V223" s="49"/>
      <c r="W223" s="49"/>
      <c r="X223" s="49"/>
      <c r="Y223" s="49"/>
      <c r="Z223" s="49"/>
      <c r="AA223" s="49"/>
      <c r="AB223" s="49"/>
      <c r="AC223" s="49"/>
      <c r="AD223" s="49"/>
      <c r="AE223" s="49"/>
      <c r="AF223" s="49"/>
      <c r="AG223" s="49"/>
      <c r="AH223" s="49"/>
      <c r="AI223" s="49"/>
      <c r="AJ223" s="49"/>
      <c r="AK223" s="49"/>
      <c r="AL223" s="49"/>
      <c r="AM223" s="49"/>
      <c r="AN223" s="49"/>
      <c r="AO223" s="49"/>
      <c r="AP223" s="49"/>
      <c r="AQ223" s="49"/>
      <c r="AR223" s="49"/>
      <c r="AS223" s="49"/>
      <c r="AT223" s="49"/>
      <c r="AU223" s="49"/>
      <c r="AV223" s="49"/>
      <c r="AW223" s="49"/>
      <c r="AX223" s="49"/>
    </row>
    <row r="224">
      <c r="A224" s="49"/>
      <c r="B224" s="49"/>
      <c r="C224" s="49"/>
      <c r="D224" s="50"/>
      <c r="E224" s="50"/>
      <c r="F224" s="50"/>
      <c r="G224" s="50"/>
      <c r="H224" s="49"/>
      <c r="I224" s="49"/>
      <c r="J224" s="49"/>
      <c r="K224" s="49"/>
      <c r="L224" s="49"/>
      <c r="M224" s="49"/>
      <c r="N224" s="49"/>
      <c r="O224" s="49"/>
      <c r="P224" s="49"/>
      <c r="Q224" s="49"/>
      <c r="R224" s="49"/>
      <c r="S224" s="49"/>
      <c r="T224" s="49"/>
      <c r="U224" s="49"/>
      <c r="V224" s="49"/>
      <c r="W224" s="49"/>
      <c r="X224" s="49"/>
      <c r="Y224" s="49"/>
      <c r="Z224" s="49"/>
      <c r="AA224" s="49"/>
      <c r="AB224" s="49"/>
      <c r="AC224" s="49"/>
      <c r="AD224" s="49"/>
      <c r="AE224" s="49"/>
      <c r="AF224" s="49"/>
      <c r="AG224" s="49"/>
      <c r="AH224" s="49"/>
      <c r="AI224" s="49"/>
      <c r="AJ224" s="49"/>
      <c r="AK224" s="49"/>
      <c r="AL224" s="49"/>
      <c r="AM224" s="49"/>
      <c r="AN224" s="49"/>
      <c r="AO224" s="49"/>
      <c r="AP224" s="49"/>
      <c r="AQ224" s="49"/>
      <c r="AR224" s="49"/>
      <c r="AS224" s="49"/>
      <c r="AT224" s="49"/>
      <c r="AU224" s="49"/>
      <c r="AV224" s="49"/>
      <c r="AW224" s="49"/>
      <c r="AX224" s="49"/>
    </row>
    <row r="225">
      <c r="A225" s="49"/>
      <c r="B225" s="49"/>
      <c r="C225" s="49"/>
      <c r="D225" s="50"/>
      <c r="E225" s="50"/>
      <c r="F225" s="50"/>
      <c r="G225" s="50"/>
      <c r="H225" s="49"/>
      <c r="I225" s="49"/>
      <c r="J225" s="49"/>
      <c r="K225" s="49"/>
      <c r="L225" s="49"/>
      <c r="M225" s="49"/>
      <c r="N225" s="49"/>
      <c r="O225" s="49"/>
      <c r="P225" s="49"/>
      <c r="Q225" s="49"/>
      <c r="R225" s="49"/>
      <c r="S225" s="49"/>
      <c r="T225" s="49"/>
      <c r="U225" s="49"/>
      <c r="V225" s="49"/>
      <c r="W225" s="49"/>
      <c r="X225" s="49"/>
      <c r="Y225" s="49"/>
      <c r="Z225" s="49"/>
      <c r="AA225" s="49"/>
      <c r="AB225" s="49"/>
      <c r="AC225" s="49"/>
      <c r="AD225" s="49"/>
      <c r="AE225" s="49"/>
      <c r="AF225" s="49"/>
      <c r="AG225" s="49"/>
      <c r="AH225" s="49"/>
      <c r="AI225" s="49"/>
      <c r="AJ225" s="49"/>
      <c r="AK225" s="49"/>
      <c r="AL225" s="49"/>
      <c r="AM225" s="49"/>
      <c r="AN225" s="49"/>
      <c r="AO225" s="49"/>
      <c r="AP225" s="49"/>
      <c r="AQ225" s="49"/>
      <c r="AR225" s="49"/>
      <c r="AS225" s="49"/>
      <c r="AT225" s="49"/>
      <c r="AU225" s="49"/>
      <c r="AV225" s="49"/>
      <c r="AW225" s="49"/>
      <c r="AX225" s="49"/>
    </row>
    <row r="226">
      <c r="A226" s="49"/>
      <c r="B226" s="49"/>
      <c r="C226" s="49"/>
      <c r="D226" s="50"/>
      <c r="E226" s="50"/>
      <c r="F226" s="50"/>
      <c r="G226" s="50"/>
      <c r="H226" s="49"/>
      <c r="I226" s="49"/>
      <c r="J226" s="49"/>
      <c r="K226" s="49"/>
      <c r="L226" s="49"/>
      <c r="M226" s="49"/>
      <c r="N226" s="49"/>
      <c r="O226" s="49"/>
      <c r="P226" s="49"/>
      <c r="Q226" s="49"/>
      <c r="R226" s="49"/>
      <c r="S226" s="49"/>
      <c r="T226" s="49"/>
      <c r="U226" s="49"/>
      <c r="V226" s="49"/>
      <c r="W226" s="49"/>
      <c r="X226" s="49"/>
      <c r="Y226" s="49"/>
      <c r="Z226" s="49"/>
      <c r="AA226" s="49"/>
      <c r="AB226" s="49"/>
      <c r="AC226" s="49"/>
      <c r="AD226" s="49"/>
      <c r="AE226" s="49"/>
      <c r="AF226" s="49"/>
      <c r="AG226" s="49"/>
      <c r="AH226" s="49"/>
      <c r="AI226" s="49"/>
      <c r="AJ226" s="49"/>
      <c r="AK226" s="49"/>
      <c r="AL226" s="49"/>
      <c r="AM226" s="49"/>
      <c r="AN226" s="49"/>
      <c r="AO226" s="49"/>
      <c r="AP226" s="49"/>
      <c r="AQ226" s="49"/>
      <c r="AR226" s="49"/>
      <c r="AS226" s="49"/>
      <c r="AT226" s="49"/>
      <c r="AU226" s="49"/>
      <c r="AV226" s="49"/>
      <c r="AW226" s="49"/>
      <c r="AX226" s="49"/>
    </row>
    <row r="227">
      <c r="A227" s="49"/>
      <c r="B227" s="49"/>
      <c r="C227" s="49"/>
      <c r="D227" s="50"/>
      <c r="E227" s="50"/>
      <c r="F227" s="50"/>
      <c r="G227" s="50"/>
      <c r="H227" s="49"/>
      <c r="I227" s="49"/>
      <c r="J227" s="49"/>
      <c r="K227" s="49"/>
      <c r="L227" s="49"/>
      <c r="M227" s="49"/>
      <c r="N227" s="49"/>
      <c r="O227" s="49"/>
      <c r="P227" s="49"/>
      <c r="Q227" s="49"/>
      <c r="R227" s="49"/>
      <c r="S227" s="49"/>
      <c r="T227" s="49"/>
      <c r="U227" s="49"/>
      <c r="V227" s="49"/>
      <c r="W227" s="49"/>
      <c r="X227" s="49"/>
      <c r="Y227" s="49"/>
      <c r="Z227" s="49"/>
      <c r="AA227" s="49"/>
      <c r="AB227" s="49"/>
      <c r="AC227" s="49"/>
      <c r="AD227" s="49"/>
      <c r="AE227" s="49"/>
      <c r="AF227" s="49"/>
      <c r="AG227" s="49"/>
      <c r="AH227" s="49"/>
      <c r="AI227" s="49"/>
      <c r="AJ227" s="49"/>
      <c r="AK227" s="49"/>
      <c r="AL227" s="49"/>
      <c r="AM227" s="49"/>
      <c r="AN227" s="49"/>
      <c r="AO227" s="49"/>
      <c r="AP227" s="49"/>
      <c r="AQ227" s="49"/>
      <c r="AR227" s="49"/>
      <c r="AS227" s="49"/>
      <c r="AT227" s="49"/>
      <c r="AU227" s="49"/>
      <c r="AV227" s="49"/>
      <c r="AW227" s="49"/>
      <c r="AX227" s="49"/>
    </row>
    <row r="228">
      <c r="A228" s="49"/>
      <c r="B228" s="49"/>
      <c r="C228" s="49"/>
      <c r="D228" s="50"/>
      <c r="E228" s="50"/>
      <c r="F228" s="50"/>
      <c r="G228" s="50"/>
      <c r="H228" s="49"/>
      <c r="I228" s="49"/>
      <c r="J228" s="49"/>
      <c r="K228" s="49"/>
      <c r="L228" s="49"/>
      <c r="M228" s="49"/>
      <c r="N228" s="49"/>
      <c r="O228" s="49"/>
      <c r="P228" s="49"/>
      <c r="Q228" s="49"/>
      <c r="R228" s="49"/>
      <c r="S228" s="49"/>
      <c r="T228" s="49"/>
      <c r="U228" s="49"/>
      <c r="V228" s="49"/>
      <c r="W228" s="49"/>
      <c r="X228" s="49"/>
      <c r="Y228" s="49"/>
      <c r="Z228" s="49"/>
      <c r="AA228" s="49"/>
      <c r="AB228" s="49"/>
      <c r="AC228" s="49"/>
      <c r="AD228" s="49"/>
      <c r="AE228" s="49"/>
      <c r="AF228" s="49"/>
      <c r="AG228" s="49"/>
      <c r="AH228" s="49"/>
      <c r="AI228" s="49"/>
      <c r="AJ228" s="49"/>
      <c r="AK228" s="49"/>
      <c r="AL228" s="49"/>
      <c r="AM228" s="49"/>
      <c r="AN228" s="49"/>
      <c r="AO228" s="49"/>
      <c r="AP228" s="49"/>
      <c r="AQ228" s="49"/>
      <c r="AR228" s="49"/>
      <c r="AS228" s="49"/>
      <c r="AT228" s="49"/>
      <c r="AU228" s="49"/>
      <c r="AV228" s="49"/>
      <c r="AW228" s="49"/>
      <c r="AX228" s="49"/>
    </row>
    <row r="229">
      <c r="A229" s="49"/>
      <c r="B229" s="49"/>
      <c r="C229" s="49"/>
      <c r="D229" s="50"/>
      <c r="E229" s="50"/>
      <c r="F229" s="50"/>
      <c r="G229" s="50"/>
      <c r="H229" s="49"/>
      <c r="I229" s="49"/>
      <c r="J229" s="49"/>
      <c r="K229" s="49"/>
      <c r="L229" s="49"/>
      <c r="M229" s="49"/>
      <c r="N229" s="49"/>
      <c r="O229" s="49"/>
      <c r="P229" s="49"/>
      <c r="Q229" s="49"/>
      <c r="R229" s="49"/>
      <c r="S229" s="49"/>
      <c r="T229" s="49"/>
      <c r="U229" s="49"/>
      <c r="V229" s="49"/>
      <c r="W229" s="49"/>
      <c r="X229" s="49"/>
      <c r="Y229" s="49"/>
      <c r="Z229" s="49"/>
      <c r="AA229" s="49"/>
      <c r="AB229" s="49"/>
      <c r="AC229" s="49"/>
      <c r="AD229" s="49"/>
      <c r="AE229" s="49"/>
      <c r="AF229" s="49"/>
      <c r="AG229" s="49"/>
      <c r="AH229" s="49"/>
      <c r="AI229" s="49"/>
      <c r="AJ229" s="49"/>
      <c r="AK229" s="49"/>
      <c r="AL229" s="49"/>
      <c r="AM229" s="49"/>
      <c r="AN229" s="49"/>
      <c r="AO229" s="49"/>
      <c r="AP229" s="49"/>
      <c r="AQ229" s="49"/>
      <c r="AR229" s="49"/>
      <c r="AS229" s="49"/>
      <c r="AT229" s="49"/>
      <c r="AU229" s="49"/>
      <c r="AV229" s="49"/>
      <c r="AW229" s="49"/>
      <c r="AX229" s="49"/>
    </row>
    <row r="230">
      <c r="A230" s="49"/>
      <c r="B230" s="49"/>
      <c r="C230" s="49"/>
      <c r="D230" s="50"/>
      <c r="E230" s="50"/>
      <c r="F230" s="50"/>
      <c r="G230" s="50"/>
      <c r="H230" s="49"/>
      <c r="I230" s="49"/>
      <c r="J230" s="49"/>
      <c r="K230" s="49"/>
      <c r="L230" s="49"/>
      <c r="M230" s="49"/>
      <c r="N230" s="49"/>
      <c r="O230" s="49"/>
      <c r="P230" s="49"/>
      <c r="Q230" s="49"/>
      <c r="R230" s="49"/>
      <c r="S230" s="49"/>
      <c r="T230" s="49"/>
      <c r="U230" s="49"/>
      <c r="V230" s="49"/>
      <c r="W230" s="49"/>
      <c r="X230" s="49"/>
      <c r="Y230" s="49"/>
      <c r="Z230" s="49"/>
      <c r="AA230" s="49"/>
      <c r="AB230" s="49"/>
      <c r="AC230" s="49"/>
      <c r="AD230" s="49"/>
      <c r="AE230" s="49"/>
      <c r="AF230" s="49"/>
      <c r="AG230" s="49"/>
      <c r="AH230" s="49"/>
      <c r="AI230" s="49"/>
      <c r="AJ230" s="49"/>
      <c r="AK230" s="49"/>
      <c r="AL230" s="49"/>
      <c r="AM230" s="49"/>
      <c r="AN230" s="49"/>
      <c r="AO230" s="49"/>
      <c r="AP230" s="49"/>
      <c r="AQ230" s="49"/>
      <c r="AR230" s="49"/>
      <c r="AS230" s="49"/>
      <c r="AT230" s="49"/>
      <c r="AU230" s="49"/>
      <c r="AV230" s="49"/>
      <c r="AW230" s="49"/>
      <c r="AX230" s="49"/>
    </row>
    <row r="231">
      <c r="A231" s="49"/>
      <c r="B231" s="49"/>
      <c r="C231" s="49"/>
      <c r="D231" s="50"/>
      <c r="E231" s="50"/>
      <c r="F231" s="50"/>
      <c r="G231" s="50"/>
      <c r="H231" s="49"/>
      <c r="I231" s="49"/>
      <c r="J231" s="49"/>
      <c r="K231" s="49"/>
      <c r="L231" s="49"/>
      <c r="M231" s="49"/>
      <c r="N231" s="49"/>
      <c r="O231" s="49"/>
      <c r="P231" s="49"/>
      <c r="Q231" s="49"/>
      <c r="R231" s="49"/>
      <c r="S231" s="49"/>
      <c r="T231" s="49"/>
      <c r="U231" s="49"/>
      <c r="V231" s="49"/>
      <c r="W231" s="49"/>
      <c r="X231" s="49"/>
      <c r="Y231" s="49"/>
      <c r="Z231" s="49"/>
      <c r="AA231" s="49"/>
      <c r="AB231" s="49"/>
      <c r="AC231" s="49"/>
      <c r="AD231" s="49"/>
      <c r="AE231" s="49"/>
      <c r="AF231" s="49"/>
      <c r="AG231" s="49"/>
      <c r="AH231" s="49"/>
      <c r="AI231" s="49"/>
      <c r="AJ231" s="49"/>
      <c r="AK231" s="49"/>
      <c r="AL231" s="49"/>
      <c r="AM231" s="49"/>
      <c r="AN231" s="49"/>
      <c r="AO231" s="49"/>
      <c r="AP231" s="49"/>
      <c r="AQ231" s="49"/>
      <c r="AR231" s="49"/>
      <c r="AS231" s="49"/>
      <c r="AT231" s="49"/>
      <c r="AU231" s="49"/>
      <c r="AV231" s="49"/>
      <c r="AW231" s="49"/>
      <c r="AX231" s="49"/>
    </row>
    <row r="232">
      <c r="A232" s="49"/>
      <c r="B232" s="49"/>
      <c r="C232" s="49"/>
      <c r="D232" s="50"/>
      <c r="E232" s="50"/>
      <c r="F232" s="50"/>
      <c r="G232" s="50"/>
      <c r="H232" s="49"/>
      <c r="I232" s="49"/>
      <c r="J232" s="49"/>
      <c r="K232" s="49"/>
      <c r="L232" s="49"/>
      <c r="M232" s="49"/>
      <c r="N232" s="49"/>
      <c r="O232" s="49"/>
      <c r="P232" s="49"/>
      <c r="Q232" s="49"/>
      <c r="R232" s="49"/>
      <c r="S232" s="49"/>
      <c r="T232" s="49"/>
      <c r="U232" s="49"/>
      <c r="V232" s="49"/>
      <c r="W232" s="49"/>
      <c r="X232" s="49"/>
      <c r="Y232" s="49"/>
      <c r="Z232" s="49"/>
      <c r="AA232" s="49"/>
      <c r="AB232" s="49"/>
      <c r="AC232" s="49"/>
      <c r="AD232" s="49"/>
      <c r="AE232" s="49"/>
      <c r="AF232" s="49"/>
      <c r="AG232" s="49"/>
      <c r="AH232" s="49"/>
      <c r="AI232" s="49"/>
      <c r="AJ232" s="49"/>
      <c r="AK232" s="49"/>
      <c r="AL232" s="49"/>
      <c r="AM232" s="49"/>
      <c r="AN232" s="49"/>
      <c r="AO232" s="49"/>
      <c r="AP232" s="49"/>
      <c r="AQ232" s="49"/>
      <c r="AR232" s="49"/>
      <c r="AS232" s="49"/>
      <c r="AT232" s="49"/>
      <c r="AU232" s="49"/>
      <c r="AV232" s="49"/>
      <c r="AW232" s="49"/>
      <c r="AX232" s="49"/>
    </row>
    <row r="233">
      <c r="A233" s="49"/>
      <c r="B233" s="49"/>
      <c r="C233" s="49"/>
      <c r="D233" s="50"/>
      <c r="E233" s="50"/>
      <c r="F233" s="50"/>
      <c r="G233" s="50"/>
      <c r="H233" s="49"/>
      <c r="I233" s="49"/>
      <c r="J233" s="49"/>
      <c r="K233" s="49"/>
      <c r="L233" s="49"/>
      <c r="M233" s="49"/>
      <c r="N233" s="49"/>
      <c r="O233" s="49"/>
      <c r="P233" s="49"/>
      <c r="Q233" s="49"/>
      <c r="R233" s="49"/>
      <c r="S233" s="49"/>
      <c r="T233" s="49"/>
      <c r="U233" s="49"/>
      <c r="V233" s="49"/>
      <c r="W233" s="49"/>
      <c r="X233" s="49"/>
      <c r="Y233" s="49"/>
      <c r="Z233" s="49"/>
      <c r="AA233" s="49"/>
      <c r="AB233" s="49"/>
      <c r="AC233" s="49"/>
      <c r="AD233" s="49"/>
      <c r="AE233" s="49"/>
      <c r="AF233" s="49"/>
      <c r="AG233" s="49"/>
      <c r="AH233" s="49"/>
      <c r="AI233" s="49"/>
      <c r="AJ233" s="49"/>
      <c r="AK233" s="49"/>
      <c r="AL233" s="49"/>
      <c r="AM233" s="49"/>
      <c r="AN233" s="49"/>
      <c r="AO233" s="49"/>
      <c r="AP233" s="49"/>
      <c r="AQ233" s="49"/>
      <c r="AR233" s="49"/>
      <c r="AS233" s="49"/>
      <c r="AT233" s="49"/>
      <c r="AU233" s="49"/>
      <c r="AV233" s="49"/>
      <c r="AW233" s="49"/>
      <c r="AX233" s="49"/>
    </row>
    <row r="234">
      <c r="A234" s="49"/>
      <c r="B234" s="49"/>
      <c r="C234" s="49"/>
      <c r="D234" s="50"/>
      <c r="E234" s="50"/>
      <c r="F234" s="50"/>
      <c r="G234" s="50"/>
      <c r="H234" s="49"/>
      <c r="I234" s="49"/>
      <c r="J234" s="49"/>
      <c r="K234" s="49"/>
      <c r="L234" s="49"/>
      <c r="M234" s="49"/>
      <c r="N234" s="49"/>
      <c r="O234" s="49"/>
      <c r="P234" s="49"/>
      <c r="Q234" s="49"/>
      <c r="R234" s="49"/>
      <c r="S234" s="49"/>
      <c r="T234" s="49"/>
      <c r="U234" s="49"/>
      <c r="V234" s="49"/>
      <c r="W234" s="49"/>
      <c r="X234" s="49"/>
      <c r="Y234" s="49"/>
      <c r="Z234" s="49"/>
      <c r="AA234" s="49"/>
      <c r="AB234" s="49"/>
      <c r="AC234" s="49"/>
      <c r="AD234" s="49"/>
      <c r="AE234" s="49"/>
      <c r="AF234" s="49"/>
      <c r="AG234" s="49"/>
      <c r="AH234" s="49"/>
      <c r="AI234" s="49"/>
      <c r="AJ234" s="49"/>
      <c r="AK234" s="49"/>
      <c r="AL234" s="49"/>
      <c r="AM234" s="49"/>
      <c r="AN234" s="49"/>
      <c r="AO234" s="49"/>
      <c r="AP234" s="49"/>
      <c r="AQ234" s="49"/>
      <c r="AR234" s="49"/>
      <c r="AS234" s="49"/>
      <c r="AT234" s="49"/>
      <c r="AU234" s="49"/>
      <c r="AV234" s="49"/>
      <c r="AW234" s="49"/>
      <c r="AX234" s="49"/>
    </row>
    <row r="235">
      <c r="A235" s="49"/>
      <c r="B235" s="49"/>
      <c r="C235" s="49"/>
      <c r="D235" s="50"/>
      <c r="E235" s="50"/>
      <c r="F235" s="50"/>
      <c r="G235" s="50"/>
      <c r="H235" s="49"/>
      <c r="I235" s="49"/>
      <c r="J235" s="49"/>
      <c r="K235" s="49"/>
      <c r="L235" s="49"/>
      <c r="M235" s="49"/>
      <c r="N235" s="49"/>
      <c r="O235" s="49"/>
      <c r="P235" s="49"/>
      <c r="Q235" s="49"/>
      <c r="R235" s="49"/>
      <c r="S235" s="49"/>
      <c r="T235" s="49"/>
      <c r="U235" s="49"/>
      <c r="V235" s="49"/>
      <c r="W235" s="49"/>
      <c r="X235" s="49"/>
      <c r="Y235" s="49"/>
      <c r="Z235" s="49"/>
      <c r="AA235" s="49"/>
      <c r="AB235" s="49"/>
      <c r="AC235" s="49"/>
      <c r="AD235" s="49"/>
      <c r="AE235" s="49"/>
      <c r="AF235" s="49"/>
      <c r="AG235" s="49"/>
      <c r="AH235" s="49"/>
      <c r="AI235" s="49"/>
      <c r="AJ235" s="49"/>
      <c r="AK235" s="49"/>
      <c r="AL235" s="49"/>
      <c r="AM235" s="49"/>
      <c r="AN235" s="49"/>
      <c r="AO235" s="49"/>
      <c r="AP235" s="49"/>
      <c r="AQ235" s="49"/>
      <c r="AR235" s="49"/>
      <c r="AS235" s="49"/>
      <c r="AT235" s="49"/>
      <c r="AU235" s="49"/>
      <c r="AV235" s="49"/>
      <c r="AW235" s="49"/>
      <c r="AX235" s="49"/>
    </row>
    <row r="236">
      <c r="A236" s="49"/>
      <c r="B236" s="49"/>
      <c r="C236" s="49"/>
      <c r="D236" s="50"/>
      <c r="E236" s="50"/>
      <c r="F236" s="50"/>
      <c r="G236" s="50"/>
      <c r="H236" s="49"/>
      <c r="I236" s="49"/>
      <c r="J236" s="49"/>
      <c r="K236" s="49"/>
      <c r="L236" s="49"/>
      <c r="M236" s="49"/>
      <c r="N236" s="49"/>
      <c r="O236" s="49"/>
      <c r="P236" s="49"/>
      <c r="Q236" s="49"/>
      <c r="R236" s="49"/>
      <c r="S236" s="49"/>
      <c r="T236" s="49"/>
      <c r="U236" s="49"/>
      <c r="V236" s="49"/>
      <c r="W236" s="49"/>
      <c r="X236" s="49"/>
      <c r="Y236" s="49"/>
      <c r="Z236" s="49"/>
      <c r="AA236" s="49"/>
      <c r="AB236" s="49"/>
      <c r="AC236" s="49"/>
      <c r="AD236" s="49"/>
      <c r="AE236" s="49"/>
      <c r="AF236" s="49"/>
      <c r="AG236" s="49"/>
      <c r="AH236" s="49"/>
      <c r="AI236" s="49"/>
      <c r="AJ236" s="49"/>
      <c r="AK236" s="49"/>
      <c r="AL236" s="49"/>
      <c r="AM236" s="49"/>
      <c r="AN236" s="49"/>
      <c r="AO236" s="49"/>
      <c r="AP236" s="49"/>
      <c r="AQ236" s="49"/>
      <c r="AR236" s="49"/>
      <c r="AS236" s="49"/>
      <c r="AT236" s="49"/>
      <c r="AU236" s="49"/>
      <c r="AV236" s="49"/>
      <c r="AW236" s="49"/>
      <c r="AX236" s="49"/>
    </row>
    <row r="237">
      <c r="A237" s="49"/>
      <c r="B237" s="49"/>
      <c r="C237" s="49"/>
      <c r="D237" s="50"/>
      <c r="E237" s="50"/>
      <c r="F237" s="50"/>
      <c r="G237" s="50"/>
      <c r="H237" s="49"/>
      <c r="I237" s="49"/>
      <c r="J237" s="49"/>
      <c r="K237" s="49"/>
      <c r="L237" s="49"/>
      <c r="M237" s="49"/>
      <c r="N237" s="49"/>
      <c r="O237" s="49"/>
      <c r="P237" s="49"/>
      <c r="Q237" s="49"/>
      <c r="R237" s="49"/>
      <c r="S237" s="49"/>
      <c r="T237" s="49"/>
      <c r="U237" s="49"/>
      <c r="V237" s="49"/>
      <c r="W237" s="49"/>
      <c r="X237" s="49"/>
      <c r="Y237" s="49"/>
      <c r="Z237" s="49"/>
      <c r="AA237" s="49"/>
      <c r="AB237" s="49"/>
      <c r="AC237" s="49"/>
      <c r="AD237" s="49"/>
      <c r="AE237" s="49"/>
      <c r="AF237" s="49"/>
      <c r="AG237" s="49"/>
      <c r="AH237" s="49"/>
      <c r="AI237" s="49"/>
      <c r="AJ237" s="49"/>
      <c r="AK237" s="49"/>
      <c r="AL237" s="49"/>
      <c r="AM237" s="49"/>
      <c r="AN237" s="49"/>
      <c r="AO237" s="49"/>
      <c r="AP237" s="49"/>
      <c r="AQ237" s="49"/>
      <c r="AR237" s="49"/>
      <c r="AS237" s="49"/>
      <c r="AT237" s="49"/>
      <c r="AU237" s="49"/>
      <c r="AV237" s="49"/>
      <c r="AW237" s="49"/>
      <c r="AX237" s="49"/>
    </row>
    <row r="238">
      <c r="A238" s="49"/>
      <c r="B238" s="49"/>
      <c r="C238" s="49"/>
      <c r="D238" s="50"/>
      <c r="E238" s="50"/>
      <c r="F238" s="50"/>
      <c r="G238" s="50"/>
      <c r="H238" s="49"/>
      <c r="I238" s="49"/>
      <c r="J238" s="49"/>
      <c r="K238" s="49"/>
      <c r="L238" s="49"/>
      <c r="M238" s="49"/>
      <c r="N238" s="49"/>
      <c r="O238" s="49"/>
      <c r="P238" s="49"/>
      <c r="Q238" s="49"/>
      <c r="R238" s="49"/>
      <c r="S238" s="49"/>
      <c r="T238" s="49"/>
      <c r="U238" s="49"/>
      <c r="V238" s="49"/>
      <c r="W238" s="49"/>
      <c r="X238" s="49"/>
      <c r="Y238" s="49"/>
      <c r="Z238" s="49"/>
      <c r="AA238" s="49"/>
      <c r="AB238" s="49"/>
      <c r="AC238" s="49"/>
      <c r="AD238" s="49"/>
      <c r="AE238" s="49"/>
      <c r="AF238" s="49"/>
      <c r="AG238" s="49"/>
      <c r="AH238" s="49"/>
      <c r="AI238" s="49"/>
      <c r="AJ238" s="49"/>
      <c r="AK238" s="49"/>
      <c r="AL238" s="49"/>
      <c r="AM238" s="49"/>
      <c r="AN238" s="49"/>
      <c r="AO238" s="49"/>
      <c r="AP238" s="49"/>
      <c r="AQ238" s="49"/>
      <c r="AR238" s="49"/>
      <c r="AS238" s="49"/>
      <c r="AT238" s="49"/>
      <c r="AU238" s="49"/>
      <c r="AV238" s="49"/>
      <c r="AW238" s="49"/>
      <c r="AX238" s="49"/>
    </row>
    <row r="239">
      <c r="A239" s="49"/>
      <c r="B239" s="49"/>
      <c r="C239" s="49"/>
      <c r="D239" s="50"/>
      <c r="E239" s="50"/>
      <c r="F239" s="50"/>
      <c r="G239" s="50"/>
      <c r="H239" s="49"/>
      <c r="I239" s="49"/>
      <c r="J239" s="49"/>
      <c r="K239" s="49"/>
      <c r="L239" s="49"/>
      <c r="M239" s="49"/>
      <c r="N239" s="49"/>
      <c r="O239" s="49"/>
      <c r="P239" s="49"/>
      <c r="Q239" s="49"/>
      <c r="R239" s="49"/>
      <c r="S239" s="49"/>
      <c r="T239" s="49"/>
      <c r="U239" s="49"/>
      <c r="V239" s="49"/>
      <c r="W239" s="49"/>
      <c r="X239" s="49"/>
      <c r="Y239" s="49"/>
      <c r="Z239" s="49"/>
      <c r="AA239" s="49"/>
      <c r="AB239" s="49"/>
      <c r="AC239" s="49"/>
      <c r="AD239" s="49"/>
      <c r="AE239" s="49"/>
      <c r="AF239" s="49"/>
      <c r="AG239" s="49"/>
      <c r="AH239" s="49"/>
      <c r="AI239" s="49"/>
      <c r="AJ239" s="49"/>
      <c r="AK239" s="49"/>
      <c r="AL239" s="49"/>
      <c r="AM239" s="49"/>
      <c r="AN239" s="49"/>
      <c r="AO239" s="49"/>
      <c r="AP239" s="49"/>
      <c r="AQ239" s="49"/>
      <c r="AR239" s="49"/>
      <c r="AS239" s="49"/>
      <c r="AT239" s="49"/>
      <c r="AU239" s="49"/>
      <c r="AV239" s="49"/>
      <c r="AW239" s="49"/>
      <c r="AX239" s="49"/>
    </row>
    <row r="240">
      <c r="A240" s="49"/>
      <c r="B240" s="49"/>
      <c r="C240" s="49"/>
      <c r="D240" s="50"/>
      <c r="E240" s="50"/>
      <c r="F240" s="50"/>
      <c r="G240" s="50"/>
      <c r="H240" s="49"/>
      <c r="I240" s="49"/>
      <c r="J240" s="49"/>
      <c r="K240" s="49"/>
      <c r="L240" s="49"/>
      <c r="M240" s="49"/>
      <c r="N240" s="49"/>
      <c r="O240" s="49"/>
      <c r="P240" s="49"/>
      <c r="Q240" s="49"/>
      <c r="R240" s="49"/>
      <c r="S240" s="49"/>
      <c r="T240" s="49"/>
      <c r="U240" s="49"/>
      <c r="V240" s="49"/>
      <c r="W240" s="49"/>
      <c r="X240" s="49"/>
      <c r="Y240" s="49"/>
      <c r="Z240" s="49"/>
      <c r="AA240" s="49"/>
      <c r="AB240" s="49"/>
      <c r="AC240" s="49"/>
      <c r="AD240" s="49"/>
      <c r="AE240" s="49"/>
      <c r="AF240" s="49"/>
      <c r="AG240" s="49"/>
      <c r="AH240" s="49"/>
      <c r="AI240" s="49"/>
      <c r="AJ240" s="49"/>
      <c r="AK240" s="49"/>
      <c r="AL240" s="49"/>
      <c r="AM240" s="49"/>
      <c r="AN240" s="49"/>
      <c r="AO240" s="49"/>
      <c r="AP240" s="49"/>
      <c r="AQ240" s="49"/>
      <c r="AR240" s="49"/>
      <c r="AS240" s="49"/>
      <c r="AT240" s="49"/>
      <c r="AU240" s="49"/>
      <c r="AV240" s="49"/>
      <c r="AW240" s="49"/>
      <c r="AX240" s="49"/>
    </row>
    <row r="241">
      <c r="A241" s="49"/>
      <c r="B241" s="49"/>
      <c r="C241" s="49"/>
      <c r="D241" s="50"/>
      <c r="E241" s="50"/>
      <c r="F241" s="50"/>
      <c r="G241" s="50"/>
      <c r="H241" s="49"/>
      <c r="I241" s="49"/>
      <c r="J241" s="49"/>
      <c r="K241" s="49"/>
      <c r="L241" s="49"/>
      <c r="M241" s="49"/>
      <c r="N241" s="49"/>
      <c r="O241" s="49"/>
      <c r="P241" s="49"/>
      <c r="Q241" s="49"/>
      <c r="R241" s="49"/>
      <c r="S241" s="49"/>
      <c r="T241" s="49"/>
      <c r="U241" s="49"/>
      <c r="V241" s="49"/>
      <c r="W241" s="49"/>
      <c r="X241" s="49"/>
      <c r="Y241" s="49"/>
      <c r="Z241" s="49"/>
      <c r="AA241" s="49"/>
      <c r="AB241" s="49"/>
      <c r="AC241" s="49"/>
      <c r="AD241" s="49"/>
      <c r="AE241" s="49"/>
      <c r="AF241" s="49"/>
      <c r="AG241" s="49"/>
      <c r="AH241" s="49"/>
      <c r="AI241" s="49"/>
      <c r="AJ241" s="49"/>
      <c r="AK241" s="49"/>
      <c r="AL241" s="49"/>
      <c r="AM241" s="49"/>
      <c r="AN241" s="49"/>
      <c r="AO241" s="49"/>
      <c r="AP241" s="49"/>
      <c r="AQ241" s="49"/>
      <c r="AR241" s="49"/>
      <c r="AS241" s="49"/>
      <c r="AT241" s="49"/>
      <c r="AU241" s="49"/>
      <c r="AV241" s="49"/>
      <c r="AW241" s="49"/>
      <c r="AX241" s="49"/>
    </row>
    <row r="242">
      <c r="A242" s="49"/>
      <c r="B242" s="49"/>
      <c r="C242" s="49"/>
      <c r="D242" s="50"/>
      <c r="E242" s="50"/>
      <c r="F242" s="50"/>
      <c r="G242" s="50"/>
      <c r="H242" s="49"/>
      <c r="I242" s="49"/>
      <c r="J242" s="49"/>
      <c r="K242" s="49"/>
      <c r="L242" s="49"/>
      <c r="M242" s="49"/>
      <c r="N242" s="49"/>
      <c r="O242" s="49"/>
      <c r="P242" s="49"/>
      <c r="Q242" s="49"/>
      <c r="R242" s="49"/>
      <c r="S242" s="49"/>
      <c r="T242" s="49"/>
      <c r="U242" s="49"/>
      <c r="V242" s="49"/>
      <c r="W242" s="49"/>
      <c r="X242" s="49"/>
      <c r="Y242" s="49"/>
      <c r="Z242" s="49"/>
      <c r="AA242" s="49"/>
      <c r="AB242" s="49"/>
      <c r="AC242" s="49"/>
      <c r="AD242" s="49"/>
      <c r="AE242" s="49"/>
      <c r="AF242" s="49"/>
      <c r="AG242" s="49"/>
      <c r="AH242" s="49"/>
      <c r="AI242" s="49"/>
      <c r="AJ242" s="49"/>
      <c r="AK242" s="49"/>
      <c r="AL242" s="49"/>
      <c r="AM242" s="49"/>
      <c r="AN242" s="49"/>
      <c r="AO242" s="49"/>
      <c r="AP242" s="49"/>
      <c r="AQ242" s="49"/>
      <c r="AR242" s="49"/>
      <c r="AS242" s="49"/>
      <c r="AT242" s="49"/>
      <c r="AU242" s="49"/>
      <c r="AV242" s="49"/>
      <c r="AW242" s="49"/>
      <c r="AX242" s="49"/>
    </row>
    <row r="243">
      <c r="A243" s="49"/>
      <c r="B243" s="49"/>
      <c r="C243" s="49"/>
      <c r="D243" s="50"/>
      <c r="E243" s="50"/>
      <c r="F243" s="50"/>
      <c r="G243" s="50"/>
      <c r="H243" s="49"/>
      <c r="I243" s="49"/>
      <c r="J243" s="49"/>
      <c r="K243" s="49"/>
      <c r="L243" s="49"/>
      <c r="M243" s="49"/>
      <c r="N243" s="49"/>
      <c r="O243" s="49"/>
      <c r="P243" s="49"/>
      <c r="Q243" s="49"/>
      <c r="R243" s="49"/>
      <c r="S243" s="49"/>
      <c r="T243" s="49"/>
      <c r="U243" s="49"/>
      <c r="V243" s="49"/>
      <c r="W243" s="49"/>
      <c r="X243" s="49"/>
      <c r="Y243" s="49"/>
      <c r="Z243" s="49"/>
      <c r="AA243" s="49"/>
      <c r="AB243" s="49"/>
      <c r="AC243" s="49"/>
      <c r="AD243" s="49"/>
      <c r="AE243" s="49"/>
      <c r="AF243" s="49"/>
      <c r="AG243" s="49"/>
      <c r="AH243" s="49"/>
      <c r="AI243" s="49"/>
      <c r="AJ243" s="49"/>
      <c r="AK243" s="49"/>
      <c r="AL243" s="49"/>
      <c r="AM243" s="49"/>
      <c r="AN243" s="49"/>
      <c r="AO243" s="49"/>
      <c r="AP243" s="49"/>
      <c r="AQ243" s="49"/>
      <c r="AR243" s="49"/>
      <c r="AS243" s="49"/>
      <c r="AT243" s="49"/>
      <c r="AU243" s="49"/>
      <c r="AV243" s="49"/>
      <c r="AW243" s="49"/>
      <c r="AX243" s="49"/>
    </row>
    <row r="244">
      <c r="A244" s="49"/>
      <c r="B244" s="49"/>
      <c r="C244" s="49"/>
      <c r="D244" s="50"/>
      <c r="E244" s="50"/>
      <c r="F244" s="50"/>
      <c r="G244" s="50"/>
      <c r="H244" s="49"/>
      <c r="I244" s="49"/>
      <c r="J244" s="49"/>
      <c r="K244" s="49"/>
      <c r="L244" s="49"/>
      <c r="M244" s="49"/>
      <c r="N244" s="49"/>
      <c r="O244" s="49"/>
      <c r="P244" s="49"/>
      <c r="Q244" s="49"/>
      <c r="R244" s="49"/>
      <c r="S244" s="49"/>
      <c r="T244" s="49"/>
      <c r="U244" s="49"/>
      <c r="V244" s="49"/>
      <c r="W244" s="49"/>
      <c r="X244" s="49"/>
      <c r="Y244" s="49"/>
      <c r="Z244" s="49"/>
      <c r="AA244" s="49"/>
      <c r="AB244" s="49"/>
      <c r="AC244" s="49"/>
      <c r="AD244" s="49"/>
      <c r="AE244" s="49"/>
      <c r="AF244" s="49"/>
      <c r="AG244" s="49"/>
      <c r="AH244" s="49"/>
      <c r="AI244" s="49"/>
      <c r="AJ244" s="49"/>
      <c r="AK244" s="49"/>
      <c r="AL244" s="49"/>
      <c r="AM244" s="49"/>
      <c r="AN244" s="49"/>
      <c r="AO244" s="49"/>
      <c r="AP244" s="49"/>
      <c r="AQ244" s="49"/>
      <c r="AR244" s="49"/>
      <c r="AS244" s="49"/>
      <c r="AT244" s="49"/>
      <c r="AU244" s="49"/>
      <c r="AV244" s="49"/>
      <c r="AW244" s="49"/>
      <c r="AX244" s="49"/>
    </row>
    <row r="245">
      <c r="A245" s="49"/>
      <c r="B245" s="49"/>
      <c r="C245" s="49"/>
      <c r="D245" s="50"/>
      <c r="E245" s="50"/>
      <c r="F245" s="50"/>
      <c r="G245" s="50"/>
      <c r="H245" s="49"/>
      <c r="I245" s="49"/>
      <c r="J245" s="49"/>
      <c r="K245" s="49"/>
      <c r="L245" s="49"/>
      <c r="M245" s="49"/>
      <c r="N245" s="49"/>
      <c r="O245" s="49"/>
      <c r="P245" s="49"/>
      <c r="Q245" s="49"/>
      <c r="R245" s="49"/>
      <c r="S245" s="49"/>
      <c r="T245" s="49"/>
      <c r="U245" s="49"/>
      <c r="V245" s="49"/>
      <c r="W245" s="49"/>
      <c r="X245" s="49"/>
      <c r="Y245" s="49"/>
      <c r="Z245" s="49"/>
      <c r="AA245" s="49"/>
      <c r="AB245" s="49"/>
      <c r="AC245" s="49"/>
      <c r="AD245" s="49"/>
      <c r="AE245" s="49"/>
      <c r="AF245" s="49"/>
      <c r="AG245" s="49"/>
      <c r="AH245" s="49"/>
      <c r="AI245" s="49"/>
      <c r="AJ245" s="49"/>
      <c r="AK245" s="49"/>
      <c r="AL245" s="49"/>
      <c r="AM245" s="49"/>
      <c r="AN245" s="49"/>
      <c r="AO245" s="49"/>
      <c r="AP245" s="49"/>
      <c r="AQ245" s="49"/>
      <c r="AR245" s="49"/>
      <c r="AS245" s="49"/>
      <c r="AT245" s="49"/>
      <c r="AU245" s="49"/>
      <c r="AV245" s="49"/>
      <c r="AW245" s="49"/>
      <c r="AX245" s="49"/>
    </row>
    <row r="246">
      <c r="A246" s="49"/>
      <c r="B246" s="49"/>
      <c r="C246" s="49"/>
      <c r="D246" s="50"/>
      <c r="E246" s="50"/>
      <c r="F246" s="50"/>
      <c r="G246" s="50"/>
      <c r="H246" s="49"/>
      <c r="I246" s="49"/>
      <c r="J246" s="49"/>
      <c r="K246" s="49"/>
      <c r="L246" s="49"/>
      <c r="M246" s="49"/>
      <c r="N246" s="49"/>
      <c r="O246" s="49"/>
      <c r="P246" s="49"/>
      <c r="Q246" s="49"/>
      <c r="R246" s="49"/>
      <c r="S246" s="49"/>
      <c r="T246" s="49"/>
      <c r="U246" s="49"/>
      <c r="V246" s="49"/>
      <c r="W246" s="49"/>
      <c r="X246" s="49"/>
      <c r="Y246" s="49"/>
      <c r="Z246" s="49"/>
      <c r="AA246" s="49"/>
      <c r="AB246" s="49"/>
      <c r="AC246" s="49"/>
      <c r="AD246" s="49"/>
      <c r="AE246" s="49"/>
      <c r="AF246" s="49"/>
      <c r="AG246" s="49"/>
      <c r="AH246" s="49"/>
      <c r="AI246" s="49"/>
      <c r="AJ246" s="49"/>
      <c r="AK246" s="49"/>
      <c r="AL246" s="49"/>
      <c r="AM246" s="49"/>
      <c r="AN246" s="49"/>
      <c r="AO246" s="49"/>
      <c r="AP246" s="49"/>
      <c r="AQ246" s="49"/>
      <c r="AR246" s="49"/>
      <c r="AS246" s="49"/>
      <c r="AT246" s="49"/>
      <c r="AU246" s="49"/>
      <c r="AV246" s="49"/>
      <c r="AW246" s="49"/>
      <c r="AX246" s="49"/>
    </row>
    <row r="247">
      <c r="A247" s="49"/>
      <c r="B247" s="49"/>
      <c r="C247" s="49"/>
      <c r="D247" s="50"/>
      <c r="E247" s="50"/>
      <c r="F247" s="50"/>
      <c r="G247" s="50"/>
      <c r="H247" s="49"/>
      <c r="I247" s="49"/>
      <c r="J247" s="49"/>
      <c r="K247" s="49"/>
      <c r="L247" s="49"/>
      <c r="M247" s="49"/>
      <c r="N247" s="49"/>
      <c r="O247" s="49"/>
      <c r="P247" s="49"/>
      <c r="Q247" s="49"/>
      <c r="R247" s="49"/>
      <c r="S247" s="49"/>
      <c r="T247" s="49"/>
      <c r="U247" s="49"/>
      <c r="V247" s="49"/>
      <c r="W247" s="49"/>
      <c r="X247" s="49"/>
      <c r="Y247" s="49"/>
      <c r="Z247" s="49"/>
      <c r="AA247" s="49"/>
      <c r="AB247" s="49"/>
      <c r="AC247" s="49"/>
      <c r="AD247" s="49"/>
      <c r="AE247" s="49"/>
      <c r="AF247" s="49"/>
      <c r="AG247" s="49"/>
      <c r="AH247" s="49"/>
      <c r="AI247" s="49"/>
      <c r="AJ247" s="49"/>
      <c r="AK247" s="49"/>
      <c r="AL247" s="49"/>
      <c r="AM247" s="49"/>
      <c r="AN247" s="49"/>
      <c r="AO247" s="49"/>
      <c r="AP247" s="49"/>
      <c r="AQ247" s="49"/>
      <c r="AR247" s="49"/>
      <c r="AS247" s="49"/>
      <c r="AT247" s="49"/>
      <c r="AU247" s="49"/>
      <c r="AV247" s="49"/>
      <c r="AW247" s="49"/>
      <c r="AX247" s="49"/>
    </row>
    <row r="248">
      <c r="A248" s="49"/>
      <c r="B248" s="49"/>
      <c r="C248" s="49"/>
      <c r="D248" s="50"/>
      <c r="E248" s="50"/>
      <c r="F248" s="50"/>
      <c r="G248" s="50"/>
      <c r="H248" s="49"/>
      <c r="I248" s="49"/>
      <c r="J248" s="49"/>
      <c r="K248" s="49"/>
      <c r="L248" s="49"/>
      <c r="M248" s="49"/>
      <c r="N248" s="49"/>
      <c r="O248" s="49"/>
      <c r="P248" s="49"/>
      <c r="Q248" s="49"/>
      <c r="R248" s="49"/>
      <c r="S248" s="49"/>
      <c r="T248" s="49"/>
      <c r="U248" s="49"/>
      <c r="V248" s="49"/>
      <c r="W248" s="49"/>
      <c r="X248" s="49"/>
      <c r="Y248" s="49"/>
      <c r="Z248" s="49"/>
      <c r="AA248" s="49"/>
      <c r="AB248" s="49"/>
      <c r="AC248" s="49"/>
      <c r="AD248" s="49"/>
      <c r="AE248" s="49"/>
      <c r="AF248" s="49"/>
      <c r="AG248" s="49"/>
      <c r="AH248" s="49"/>
      <c r="AI248" s="49"/>
      <c r="AJ248" s="49"/>
      <c r="AK248" s="49"/>
      <c r="AL248" s="49"/>
      <c r="AM248" s="49"/>
      <c r="AN248" s="49"/>
      <c r="AO248" s="49"/>
      <c r="AP248" s="49"/>
      <c r="AQ248" s="49"/>
      <c r="AR248" s="49"/>
      <c r="AS248" s="49"/>
      <c r="AT248" s="49"/>
      <c r="AU248" s="49"/>
      <c r="AV248" s="49"/>
      <c r="AW248" s="49"/>
      <c r="AX248" s="49"/>
    </row>
    <row r="249">
      <c r="A249" s="49"/>
      <c r="B249" s="49"/>
      <c r="C249" s="49"/>
      <c r="D249" s="50"/>
      <c r="E249" s="50"/>
      <c r="F249" s="50"/>
      <c r="G249" s="50"/>
      <c r="H249" s="49"/>
      <c r="I249" s="49"/>
      <c r="J249" s="49"/>
      <c r="K249" s="49"/>
      <c r="L249" s="49"/>
      <c r="M249" s="49"/>
      <c r="N249" s="49"/>
      <c r="O249" s="49"/>
      <c r="P249" s="49"/>
      <c r="Q249" s="49"/>
      <c r="R249" s="49"/>
      <c r="S249" s="49"/>
      <c r="T249" s="49"/>
      <c r="U249" s="49"/>
      <c r="V249" s="49"/>
      <c r="W249" s="49"/>
      <c r="X249" s="49"/>
      <c r="Y249" s="49"/>
      <c r="Z249" s="49"/>
      <c r="AA249" s="49"/>
      <c r="AB249" s="49"/>
      <c r="AC249" s="49"/>
      <c r="AD249" s="49"/>
      <c r="AE249" s="49"/>
      <c r="AF249" s="49"/>
      <c r="AG249" s="49"/>
      <c r="AH249" s="49"/>
      <c r="AI249" s="49"/>
      <c r="AJ249" s="49"/>
      <c r="AK249" s="49"/>
      <c r="AL249" s="49"/>
      <c r="AM249" s="49"/>
      <c r="AN249" s="49"/>
      <c r="AO249" s="49"/>
      <c r="AP249" s="49"/>
      <c r="AQ249" s="49"/>
      <c r="AR249" s="49"/>
      <c r="AS249" s="49"/>
      <c r="AT249" s="49"/>
      <c r="AU249" s="49"/>
      <c r="AV249" s="49"/>
      <c r="AW249" s="49"/>
      <c r="AX249" s="49"/>
    </row>
    <row r="250">
      <c r="A250" s="49"/>
      <c r="B250" s="49"/>
      <c r="C250" s="49"/>
      <c r="D250" s="50"/>
      <c r="E250" s="50"/>
      <c r="F250" s="50"/>
      <c r="G250" s="50"/>
      <c r="H250" s="49"/>
      <c r="I250" s="49"/>
      <c r="J250" s="49"/>
      <c r="K250" s="49"/>
      <c r="L250" s="49"/>
      <c r="M250" s="49"/>
      <c r="N250" s="49"/>
      <c r="O250" s="49"/>
      <c r="P250" s="49"/>
      <c r="Q250" s="49"/>
      <c r="R250" s="49"/>
      <c r="S250" s="49"/>
      <c r="T250" s="49"/>
      <c r="U250" s="49"/>
      <c r="V250" s="49"/>
      <c r="W250" s="49"/>
      <c r="X250" s="49"/>
      <c r="Y250" s="49"/>
      <c r="Z250" s="49"/>
      <c r="AA250" s="49"/>
      <c r="AB250" s="49"/>
      <c r="AC250" s="49"/>
      <c r="AD250" s="49"/>
      <c r="AE250" s="49"/>
      <c r="AF250" s="49"/>
      <c r="AG250" s="49"/>
      <c r="AH250" s="49"/>
      <c r="AI250" s="49"/>
      <c r="AJ250" s="49"/>
      <c r="AK250" s="49"/>
      <c r="AL250" s="49"/>
      <c r="AM250" s="49"/>
      <c r="AN250" s="49"/>
      <c r="AO250" s="49"/>
      <c r="AP250" s="49"/>
      <c r="AQ250" s="49"/>
      <c r="AR250" s="49"/>
      <c r="AS250" s="49"/>
      <c r="AT250" s="49"/>
      <c r="AU250" s="49"/>
      <c r="AV250" s="49"/>
      <c r="AW250" s="49"/>
      <c r="AX250" s="49"/>
    </row>
    <row r="251">
      <c r="A251" s="49"/>
      <c r="B251" s="49"/>
      <c r="C251" s="49"/>
      <c r="D251" s="50"/>
      <c r="E251" s="50"/>
      <c r="F251" s="50"/>
      <c r="G251" s="50"/>
      <c r="H251" s="49"/>
      <c r="I251" s="49"/>
      <c r="J251" s="49"/>
      <c r="K251" s="49"/>
      <c r="L251" s="49"/>
      <c r="M251" s="49"/>
      <c r="N251" s="49"/>
      <c r="O251" s="49"/>
      <c r="P251" s="49"/>
      <c r="Q251" s="49"/>
      <c r="R251" s="49"/>
      <c r="S251" s="49"/>
      <c r="T251" s="49"/>
      <c r="U251" s="49"/>
      <c r="V251" s="49"/>
      <c r="W251" s="49"/>
      <c r="X251" s="49"/>
      <c r="Y251" s="49"/>
      <c r="Z251" s="49"/>
      <c r="AA251" s="49"/>
      <c r="AB251" s="49"/>
      <c r="AC251" s="49"/>
      <c r="AD251" s="49"/>
      <c r="AE251" s="49"/>
      <c r="AF251" s="49"/>
      <c r="AG251" s="49"/>
      <c r="AH251" s="49"/>
      <c r="AI251" s="49"/>
      <c r="AJ251" s="49"/>
      <c r="AK251" s="49"/>
      <c r="AL251" s="49"/>
      <c r="AM251" s="49"/>
      <c r="AN251" s="49"/>
      <c r="AO251" s="49"/>
      <c r="AP251" s="49"/>
      <c r="AQ251" s="49"/>
      <c r="AR251" s="49"/>
      <c r="AS251" s="49"/>
      <c r="AT251" s="49"/>
      <c r="AU251" s="49"/>
      <c r="AV251" s="49"/>
      <c r="AW251" s="49"/>
      <c r="AX251" s="49"/>
    </row>
    <row r="252">
      <c r="A252" s="49"/>
      <c r="B252" s="49"/>
      <c r="C252" s="49"/>
      <c r="D252" s="50"/>
      <c r="E252" s="50"/>
      <c r="F252" s="50"/>
      <c r="G252" s="50"/>
      <c r="H252" s="49"/>
      <c r="I252" s="49"/>
      <c r="J252" s="49"/>
      <c r="K252" s="49"/>
      <c r="L252" s="49"/>
      <c r="M252" s="49"/>
      <c r="N252" s="49"/>
      <c r="O252" s="49"/>
      <c r="P252" s="49"/>
      <c r="Q252" s="49"/>
      <c r="R252" s="49"/>
      <c r="S252" s="49"/>
      <c r="T252" s="49"/>
      <c r="U252" s="49"/>
      <c r="V252" s="49"/>
      <c r="W252" s="49"/>
      <c r="X252" s="49"/>
      <c r="Y252" s="49"/>
      <c r="Z252" s="49"/>
      <c r="AA252" s="49"/>
      <c r="AB252" s="49"/>
      <c r="AC252" s="49"/>
      <c r="AD252" s="49"/>
      <c r="AE252" s="49"/>
      <c r="AF252" s="49"/>
      <c r="AG252" s="49"/>
      <c r="AH252" s="49"/>
      <c r="AI252" s="49"/>
      <c r="AJ252" s="49"/>
      <c r="AK252" s="49"/>
      <c r="AL252" s="49"/>
      <c r="AM252" s="49"/>
      <c r="AN252" s="49"/>
      <c r="AO252" s="49"/>
      <c r="AP252" s="49"/>
      <c r="AQ252" s="49"/>
      <c r="AR252" s="49"/>
      <c r="AS252" s="49"/>
      <c r="AT252" s="49"/>
      <c r="AU252" s="49"/>
      <c r="AV252" s="49"/>
      <c r="AW252" s="49"/>
      <c r="AX252" s="49"/>
    </row>
    <row r="253">
      <c r="A253" s="49"/>
      <c r="B253" s="49"/>
      <c r="C253" s="49"/>
      <c r="D253" s="50"/>
      <c r="E253" s="50"/>
      <c r="F253" s="50"/>
      <c r="G253" s="50"/>
      <c r="H253" s="49"/>
      <c r="I253" s="49"/>
      <c r="J253" s="49"/>
      <c r="K253" s="49"/>
      <c r="L253" s="49"/>
      <c r="M253" s="49"/>
      <c r="N253" s="49"/>
      <c r="O253" s="49"/>
      <c r="P253" s="49"/>
      <c r="Q253" s="49"/>
      <c r="R253" s="49"/>
      <c r="S253" s="49"/>
      <c r="T253" s="49"/>
      <c r="U253" s="49"/>
      <c r="V253" s="49"/>
      <c r="W253" s="49"/>
      <c r="X253" s="49"/>
      <c r="Y253" s="49"/>
      <c r="Z253" s="49"/>
      <c r="AA253" s="49"/>
      <c r="AB253" s="49"/>
      <c r="AC253" s="49"/>
      <c r="AD253" s="49"/>
      <c r="AE253" s="49"/>
      <c r="AF253" s="49"/>
      <c r="AG253" s="49"/>
      <c r="AH253" s="49"/>
      <c r="AI253" s="49"/>
      <c r="AJ253" s="49"/>
      <c r="AK253" s="49"/>
      <c r="AL253" s="49"/>
      <c r="AM253" s="49"/>
      <c r="AN253" s="49"/>
      <c r="AO253" s="49"/>
      <c r="AP253" s="49"/>
      <c r="AQ253" s="49"/>
      <c r="AR253" s="49"/>
      <c r="AS253" s="49"/>
      <c r="AT253" s="49"/>
      <c r="AU253" s="49"/>
      <c r="AV253" s="49"/>
      <c r="AW253" s="49"/>
      <c r="AX253" s="49"/>
    </row>
    <row r="254">
      <c r="A254" s="49"/>
      <c r="B254" s="49"/>
      <c r="C254" s="49"/>
      <c r="D254" s="50"/>
      <c r="E254" s="50"/>
      <c r="F254" s="50"/>
      <c r="G254" s="50"/>
      <c r="H254" s="49"/>
      <c r="I254" s="49"/>
      <c r="J254" s="49"/>
      <c r="K254" s="49"/>
      <c r="L254" s="49"/>
      <c r="M254" s="49"/>
      <c r="N254" s="49"/>
      <c r="O254" s="49"/>
      <c r="P254" s="49"/>
      <c r="Q254" s="49"/>
      <c r="R254" s="49"/>
      <c r="S254" s="49"/>
      <c r="T254" s="49"/>
      <c r="U254" s="49"/>
      <c r="V254" s="49"/>
      <c r="W254" s="49"/>
      <c r="X254" s="49"/>
      <c r="Y254" s="49"/>
      <c r="Z254" s="49"/>
      <c r="AA254" s="49"/>
      <c r="AB254" s="49"/>
      <c r="AC254" s="49"/>
      <c r="AD254" s="49"/>
      <c r="AE254" s="49"/>
      <c r="AF254" s="49"/>
      <c r="AG254" s="49"/>
      <c r="AH254" s="49"/>
      <c r="AI254" s="49"/>
      <c r="AJ254" s="49"/>
      <c r="AK254" s="49"/>
      <c r="AL254" s="49"/>
      <c r="AM254" s="49"/>
      <c r="AN254" s="49"/>
      <c r="AO254" s="49"/>
      <c r="AP254" s="49"/>
      <c r="AQ254" s="49"/>
      <c r="AR254" s="49"/>
      <c r="AS254" s="49"/>
      <c r="AT254" s="49"/>
      <c r="AU254" s="49"/>
      <c r="AV254" s="49"/>
      <c r="AW254" s="49"/>
      <c r="AX254" s="49"/>
    </row>
    <row r="255">
      <c r="A255" s="49"/>
      <c r="B255" s="49"/>
      <c r="C255" s="49"/>
      <c r="D255" s="50"/>
      <c r="E255" s="50"/>
      <c r="F255" s="50"/>
      <c r="G255" s="50"/>
      <c r="H255" s="49"/>
      <c r="I255" s="49"/>
      <c r="J255" s="49"/>
      <c r="K255" s="49"/>
      <c r="L255" s="49"/>
      <c r="M255" s="49"/>
      <c r="N255" s="49"/>
      <c r="O255" s="49"/>
      <c r="P255" s="49"/>
      <c r="Q255" s="49"/>
      <c r="R255" s="49"/>
      <c r="S255" s="49"/>
      <c r="T255" s="49"/>
      <c r="U255" s="49"/>
      <c r="V255" s="49"/>
      <c r="W255" s="49"/>
      <c r="X255" s="49"/>
      <c r="Y255" s="49"/>
      <c r="Z255" s="49"/>
      <c r="AA255" s="49"/>
      <c r="AB255" s="49"/>
      <c r="AC255" s="49"/>
      <c r="AD255" s="49"/>
      <c r="AE255" s="49"/>
      <c r="AF255" s="49"/>
      <c r="AG255" s="49"/>
      <c r="AH255" s="49"/>
      <c r="AI255" s="49"/>
      <c r="AJ255" s="49"/>
      <c r="AK255" s="49"/>
      <c r="AL255" s="49"/>
      <c r="AM255" s="49"/>
      <c r="AN255" s="49"/>
      <c r="AO255" s="49"/>
      <c r="AP255" s="49"/>
      <c r="AQ255" s="49"/>
      <c r="AR255" s="49"/>
      <c r="AS255" s="49"/>
      <c r="AT255" s="49"/>
      <c r="AU255" s="49"/>
      <c r="AV255" s="49"/>
      <c r="AW255" s="49"/>
      <c r="AX255" s="49"/>
    </row>
    <row r="256">
      <c r="A256" s="49"/>
      <c r="B256" s="49"/>
      <c r="C256" s="49"/>
      <c r="D256" s="50"/>
      <c r="E256" s="50"/>
      <c r="F256" s="50"/>
      <c r="G256" s="50"/>
      <c r="H256" s="49"/>
      <c r="I256" s="49"/>
      <c r="J256" s="49"/>
      <c r="K256" s="49"/>
      <c r="L256" s="49"/>
      <c r="M256" s="49"/>
      <c r="N256" s="49"/>
      <c r="O256" s="49"/>
      <c r="P256" s="49"/>
      <c r="Q256" s="49"/>
      <c r="R256" s="49"/>
      <c r="S256" s="49"/>
      <c r="T256" s="49"/>
      <c r="U256" s="49"/>
      <c r="V256" s="49"/>
      <c r="W256" s="49"/>
      <c r="X256" s="49"/>
      <c r="Y256" s="49"/>
      <c r="Z256" s="49"/>
      <c r="AA256" s="49"/>
      <c r="AB256" s="49"/>
      <c r="AC256" s="49"/>
      <c r="AD256" s="49"/>
      <c r="AE256" s="49"/>
      <c r="AF256" s="49"/>
      <c r="AG256" s="49"/>
      <c r="AH256" s="49"/>
      <c r="AI256" s="49"/>
      <c r="AJ256" s="49"/>
      <c r="AK256" s="49"/>
      <c r="AL256" s="49"/>
      <c r="AM256" s="49"/>
      <c r="AN256" s="49"/>
      <c r="AO256" s="49"/>
      <c r="AP256" s="49"/>
      <c r="AQ256" s="49"/>
      <c r="AR256" s="49"/>
      <c r="AS256" s="49"/>
      <c r="AT256" s="49"/>
      <c r="AU256" s="49"/>
      <c r="AV256" s="49"/>
      <c r="AW256" s="49"/>
      <c r="AX256" s="49"/>
    </row>
    <row r="257">
      <c r="A257" s="49"/>
      <c r="B257" s="49"/>
      <c r="C257" s="49"/>
      <c r="D257" s="50"/>
      <c r="E257" s="50"/>
      <c r="F257" s="50"/>
      <c r="G257" s="50"/>
      <c r="H257" s="49"/>
      <c r="I257" s="49"/>
      <c r="J257" s="49"/>
      <c r="K257" s="49"/>
      <c r="L257" s="49"/>
      <c r="M257" s="49"/>
      <c r="N257" s="49"/>
      <c r="O257" s="49"/>
      <c r="P257" s="49"/>
      <c r="Q257" s="49"/>
      <c r="R257" s="49"/>
      <c r="S257" s="49"/>
      <c r="T257" s="49"/>
      <c r="U257" s="49"/>
      <c r="V257" s="49"/>
      <c r="W257" s="49"/>
      <c r="X257" s="49"/>
      <c r="Y257" s="49"/>
      <c r="Z257" s="49"/>
      <c r="AA257" s="49"/>
      <c r="AB257" s="49"/>
      <c r="AC257" s="49"/>
      <c r="AD257" s="49"/>
      <c r="AE257" s="49"/>
      <c r="AF257" s="49"/>
      <c r="AG257" s="49"/>
      <c r="AH257" s="49"/>
      <c r="AI257" s="49"/>
      <c r="AJ257" s="49"/>
      <c r="AK257" s="49"/>
      <c r="AL257" s="49"/>
      <c r="AM257" s="49"/>
      <c r="AN257" s="49"/>
      <c r="AO257" s="49"/>
      <c r="AP257" s="49"/>
      <c r="AQ257" s="49"/>
      <c r="AR257" s="49"/>
      <c r="AS257" s="49"/>
      <c r="AT257" s="49"/>
      <c r="AU257" s="49"/>
      <c r="AV257" s="49"/>
      <c r="AW257" s="49"/>
      <c r="AX257" s="49"/>
    </row>
    <row r="258">
      <c r="A258" s="49"/>
      <c r="B258" s="49"/>
      <c r="C258" s="49"/>
      <c r="D258" s="50"/>
      <c r="E258" s="50"/>
      <c r="F258" s="50"/>
      <c r="G258" s="50"/>
      <c r="H258" s="49"/>
      <c r="I258" s="49"/>
      <c r="J258" s="49"/>
      <c r="K258" s="49"/>
      <c r="L258" s="49"/>
      <c r="M258" s="49"/>
      <c r="N258" s="49"/>
      <c r="O258" s="49"/>
      <c r="P258" s="49"/>
      <c r="Q258" s="49"/>
      <c r="R258" s="49"/>
      <c r="S258" s="49"/>
      <c r="T258" s="49"/>
      <c r="U258" s="49"/>
      <c r="V258" s="49"/>
      <c r="W258" s="49"/>
      <c r="X258" s="49"/>
      <c r="Y258" s="49"/>
      <c r="Z258" s="49"/>
      <c r="AA258" s="49"/>
      <c r="AB258" s="49"/>
      <c r="AC258" s="49"/>
      <c r="AD258" s="49"/>
      <c r="AE258" s="49"/>
      <c r="AF258" s="49"/>
      <c r="AG258" s="49"/>
      <c r="AH258" s="49"/>
      <c r="AI258" s="49"/>
      <c r="AJ258" s="49"/>
      <c r="AK258" s="49"/>
      <c r="AL258" s="49"/>
      <c r="AM258" s="49"/>
      <c r="AN258" s="49"/>
      <c r="AO258" s="49"/>
      <c r="AP258" s="49"/>
      <c r="AQ258" s="49"/>
      <c r="AR258" s="49"/>
      <c r="AS258" s="49"/>
      <c r="AT258" s="49"/>
      <c r="AU258" s="49"/>
      <c r="AV258" s="49"/>
      <c r="AW258" s="49"/>
      <c r="AX258" s="49"/>
    </row>
    <row r="259">
      <c r="A259" s="49"/>
      <c r="B259" s="49"/>
      <c r="C259" s="49"/>
      <c r="D259" s="50"/>
      <c r="E259" s="50"/>
      <c r="F259" s="50"/>
      <c r="G259" s="50"/>
      <c r="H259" s="49"/>
      <c r="I259" s="49"/>
      <c r="J259" s="49"/>
      <c r="K259" s="49"/>
      <c r="L259" s="49"/>
      <c r="M259" s="49"/>
      <c r="N259" s="49"/>
      <c r="O259" s="49"/>
      <c r="P259" s="49"/>
      <c r="Q259" s="49"/>
      <c r="R259" s="49"/>
      <c r="S259" s="49"/>
      <c r="T259" s="49"/>
      <c r="U259" s="49"/>
      <c r="V259" s="49"/>
      <c r="W259" s="49"/>
      <c r="X259" s="49"/>
      <c r="Y259" s="49"/>
      <c r="Z259" s="49"/>
      <c r="AA259" s="49"/>
      <c r="AB259" s="49"/>
      <c r="AC259" s="49"/>
      <c r="AD259" s="49"/>
      <c r="AE259" s="49"/>
      <c r="AF259" s="49"/>
      <c r="AG259" s="49"/>
      <c r="AH259" s="49"/>
      <c r="AI259" s="49"/>
      <c r="AJ259" s="49"/>
      <c r="AK259" s="49"/>
      <c r="AL259" s="49"/>
      <c r="AM259" s="49"/>
      <c r="AN259" s="49"/>
      <c r="AO259" s="49"/>
      <c r="AP259" s="49"/>
      <c r="AQ259" s="49"/>
      <c r="AR259" s="49"/>
      <c r="AS259" s="49"/>
      <c r="AT259" s="49"/>
      <c r="AU259" s="49"/>
      <c r="AV259" s="49"/>
      <c r="AW259" s="49"/>
      <c r="AX259" s="49"/>
    </row>
    <row r="260">
      <c r="A260" s="49"/>
      <c r="B260" s="49"/>
      <c r="C260" s="49"/>
      <c r="D260" s="50"/>
      <c r="E260" s="50"/>
      <c r="F260" s="50"/>
      <c r="G260" s="50"/>
      <c r="H260" s="49"/>
      <c r="I260" s="49"/>
      <c r="J260" s="49"/>
      <c r="K260" s="49"/>
      <c r="L260" s="49"/>
      <c r="M260" s="49"/>
      <c r="N260" s="49"/>
      <c r="O260" s="49"/>
      <c r="P260" s="49"/>
      <c r="Q260" s="49"/>
      <c r="R260" s="49"/>
      <c r="S260" s="49"/>
      <c r="T260" s="49"/>
      <c r="U260" s="49"/>
      <c r="V260" s="49"/>
      <c r="W260" s="49"/>
      <c r="X260" s="49"/>
      <c r="Y260" s="49"/>
      <c r="Z260" s="49"/>
      <c r="AA260" s="49"/>
      <c r="AB260" s="49"/>
      <c r="AC260" s="49"/>
      <c r="AD260" s="49"/>
      <c r="AE260" s="49"/>
      <c r="AF260" s="49"/>
      <c r="AG260" s="49"/>
      <c r="AH260" s="49"/>
      <c r="AI260" s="49"/>
      <c r="AJ260" s="49"/>
      <c r="AK260" s="49"/>
      <c r="AL260" s="49"/>
      <c r="AM260" s="49"/>
      <c r="AN260" s="49"/>
      <c r="AO260" s="49"/>
      <c r="AP260" s="49"/>
      <c r="AQ260" s="49"/>
      <c r="AR260" s="49"/>
      <c r="AS260" s="49"/>
      <c r="AT260" s="49"/>
      <c r="AU260" s="49"/>
      <c r="AV260" s="49"/>
      <c r="AW260" s="49"/>
      <c r="AX260" s="49"/>
    </row>
    <row r="261">
      <c r="A261" s="49"/>
      <c r="B261" s="49"/>
      <c r="C261" s="49"/>
      <c r="D261" s="50"/>
      <c r="E261" s="50"/>
      <c r="F261" s="50"/>
      <c r="G261" s="50"/>
      <c r="H261" s="49"/>
      <c r="I261" s="49"/>
      <c r="J261" s="49"/>
      <c r="K261" s="49"/>
      <c r="L261" s="49"/>
      <c r="M261" s="49"/>
      <c r="N261" s="49"/>
      <c r="O261" s="49"/>
      <c r="P261" s="49"/>
      <c r="Q261" s="49"/>
      <c r="R261" s="49"/>
      <c r="S261" s="49"/>
      <c r="T261" s="49"/>
      <c r="U261" s="49"/>
      <c r="V261" s="49"/>
      <c r="W261" s="49"/>
      <c r="X261" s="49"/>
      <c r="Y261" s="49"/>
      <c r="Z261" s="49"/>
      <c r="AA261" s="49"/>
      <c r="AB261" s="49"/>
      <c r="AC261" s="49"/>
      <c r="AD261" s="49"/>
      <c r="AE261" s="49"/>
      <c r="AF261" s="49"/>
      <c r="AG261" s="49"/>
      <c r="AH261" s="49"/>
      <c r="AI261" s="49"/>
      <c r="AJ261" s="49"/>
      <c r="AK261" s="49"/>
      <c r="AL261" s="49"/>
      <c r="AM261" s="49"/>
      <c r="AN261" s="49"/>
      <c r="AO261" s="49"/>
      <c r="AP261" s="49"/>
      <c r="AQ261" s="49"/>
      <c r="AR261" s="49"/>
      <c r="AS261" s="49"/>
      <c r="AT261" s="49"/>
      <c r="AU261" s="49"/>
      <c r="AV261" s="49"/>
      <c r="AW261" s="49"/>
      <c r="AX261" s="49"/>
    </row>
    <row r="262">
      <c r="A262" s="49"/>
      <c r="B262" s="49"/>
      <c r="C262" s="49"/>
      <c r="D262" s="50"/>
      <c r="E262" s="50"/>
      <c r="F262" s="50"/>
      <c r="G262" s="50"/>
      <c r="H262" s="49"/>
      <c r="I262" s="49"/>
      <c r="J262" s="49"/>
      <c r="K262" s="49"/>
      <c r="L262" s="49"/>
      <c r="M262" s="49"/>
      <c r="N262" s="49"/>
      <c r="O262" s="49"/>
      <c r="P262" s="49"/>
      <c r="Q262" s="49"/>
      <c r="R262" s="49"/>
      <c r="S262" s="49"/>
      <c r="T262" s="49"/>
      <c r="U262" s="49"/>
      <c r="V262" s="49"/>
      <c r="W262" s="49"/>
      <c r="X262" s="49"/>
      <c r="Y262" s="49"/>
      <c r="Z262" s="49"/>
      <c r="AA262" s="49"/>
      <c r="AB262" s="49"/>
      <c r="AC262" s="49"/>
      <c r="AD262" s="49"/>
      <c r="AE262" s="49"/>
      <c r="AF262" s="49"/>
      <c r="AG262" s="49"/>
      <c r="AH262" s="49"/>
      <c r="AI262" s="49"/>
      <c r="AJ262" s="49"/>
      <c r="AK262" s="49"/>
      <c r="AL262" s="49"/>
      <c r="AM262" s="49"/>
      <c r="AN262" s="49"/>
      <c r="AO262" s="49"/>
      <c r="AP262" s="49"/>
      <c r="AQ262" s="49"/>
      <c r="AR262" s="49"/>
      <c r="AS262" s="49"/>
      <c r="AT262" s="49"/>
      <c r="AU262" s="49"/>
      <c r="AV262" s="49"/>
      <c r="AW262" s="49"/>
      <c r="AX262" s="49"/>
    </row>
    <row r="263">
      <c r="A263" s="49"/>
      <c r="B263" s="49"/>
      <c r="C263" s="49"/>
      <c r="D263" s="50"/>
      <c r="E263" s="50"/>
      <c r="F263" s="50"/>
      <c r="G263" s="50"/>
      <c r="H263" s="49"/>
      <c r="I263" s="49"/>
      <c r="J263" s="49"/>
      <c r="K263" s="49"/>
      <c r="L263" s="49"/>
      <c r="M263" s="49"/>
      <c r="N263" s="49"/>
      <c r="O263" s="49"/>
      <c r="P263" s="49"/>
      <c r="Q263" s="49"/>
      <c r="R263" s="49"/>
      <c r="S263" s="49"/>
      <c r="T263" s="49"/>
      <c r="U263" s="49"/>
      <c r="V263" s="49"/>
      <c r="W263" s="49"/>
      <c r="X263" s="49"/>
      <c r="Y263" s="49"/>
      <c r="Z263" s="49"/>
      <c r="AA263" s="49"/>
      <c r="AB263" s="49"/>
      <c r="AC263" s="49"/>
      <c r="AD263" s="49"/>
      <c r="AE263" s="49"/>
      <c r="AF263" s="49"/>
      <c r="AG263" s="49"/>
      <c r="AH263" s="49"/>
      <c r="AI263" s="49"/>
      <c r="AJ263" s="49"/>
      <c r="AK263" s="49"/>
      <c r="AL263" s="49"/>
      <c r="AM263" s="49"/>
      <c r="AN263" s="49"/>
      <c r="AO263" s="49"/>
      <c r="AP263" s="49"/>
      <c r="AQ263" s="49"/>
      <c r="AR263" s="49"/>
      <c r="AS263" s="49"/>
      <c r="AT263" s="49"/>
      <c r="AU263" s="49"/>
      <c r="AV263" s="49"/>
      <c r="AW263" s="49"/>
      <c r="AX263" s="49"/>
    </row>
    <row r="264">
      <c r="A264" s="49"/>
      <c r="B264" s="49"/>
      <c r="C264" s="49"/>
      <c r="D264" s="50"/>
      <c r="E264" s="50"/>
      <c r="F264" s="50"/>
      <c r="G264" s="50"/>
      <c r="H264" s="49"/>
      <c r="I264" s="49"/>
      <c r="J264" s="49"/>
      <c r="K264" s="49"/>
      <c r="L264" s="49"/>
      <c r="M264" s="49"/>
      <c r="N264" s="49"/>
      <c r="O264" s="49"/>
      <c r="P264" s="49"/>
      <c r="Q264" s="49"/>
      <c r="R264" s="49"/>
      <c r="S264" s="49"/>
      <c r="T264" s="49"/>
      <c r="U264" s="49"/>
      <c r="V264" s="49"/>
      <c r="W264" s="49"/>
      <c r="X264" s="49"/>
      <c r="Y264" s="49"/>
      <c r="Z264" s="49"/>
      <c r="AA264" s="49"/>
      <c r="AB264" s="49"/>
      <c r="AC264" s="49"/>
      <c r="AD264" s="49"/>
      <c r="AE264" s="49"/>
      <c r="AF264" s="49"/>
      <c r="AG264" s="49"/>
      <c r="AH264" s="49"/>
      <c r="AI264" s="49"/>
      <c r="AJ264" s="49"/>
      <c r="AK264" s="49"/>
      <c r="AL264" s="49"/>
      <c r="AM264" s="49"/>
      <c r="AN264" s="49"/>
      <c r="AO264" s="49"/>
      <c r="AP264" s="49"/>
      <c r="AQ264" s="49"/>
      <c r="AR264" s="49"/>
      <c r="AS264" s="49"/>
      <c r="AT264" s="49"/>
      <c r="AU264" s="49"/>
      <c r="AV264" s="49"/>
      <c r="AW264" s="49"/>
      <c r="AX264" s="49"/>
    </row>
    <row r="265">
      <c r="A265" s="49"/>
      <c r="B265" s="49"/>
      <c r="C265" s="49"/>
      <c r="D265" s="50"/>
      <c r="E265" s="50"/>
      <c r="F265" s="50"/>
      <c r="G265" s="50"/>
      <c r="H265" s="49"/>
      <c r="I265" s="49"/>
      <c r="J265" s="49"/>
      <c r="K265" s="49"/>
      <c r="L265" s="49"/>
      <c r="M265" s="49"/>
      <c r="N265" s="49"/>
      <c r="O265" s="49"/>
      <c r="P265" s="49"/>
      <c r="Q265" s="49"/>
      <c r="R265" s="49"/>
      <c r="S265" s="49"/>
      <c r="T265" s="49"/>
      <c r="U265" s="49"/>
      <c r="V265" s="49"/>
      <c r="W265" s="49"/>
      <c r="X265" s="49"/>
      <c r="Y265" s="49"/>
      <c r="Z265" s="49"/>
      <c r="AA265" s="49"/>
      <c r="AB265" s="49"/>
      <c r="AC265" s="49"/>
      <c r="AD265" s="49"/>
      <c r="AE265" s="49"/>
      <c r="AF265" s="49"/>
      <c r="AG265" s="49"/>
      <c r="AH265" s="49"/>
      <c r="AI265" s="49"/>
      <c r="AJ265" s="49"/>
      <c r="AK265" s="49"/>
      <c r="AL265" s="49"/>
      <c r="AM265" s="49"/>
      <c r="AN265" s="49"/>
      <c r="AO265" s="49"/>
      <c r="AP265" s="49"/>
      <c r="AQ265" s="49"/>
      <c r="AR265" s="49"/>
      <c r="AS265" s="49"/>
      <c r="AT265" s="49"/>
      <c r="AU265" s="49"/>
      <c r="AV265" s="49"/>
      <c r="AW265" s="49"/>
      <c r="AX265" s="49"/>
    </row>
    <row r="266">
      <c r="A266" s="49"/>
      <c r="B266" s="49"/>
      <c r="C266" s="49"/>
      <c r="D266" s="50"/>
      <c r="E266" s="50"/>
      <c r="F266" s="50"/>
      <c r="G266" s="50"/>
      <c r="H266" s="49"/>
      <c r="I266" s="49"/>
      <c r="J266" s="49"/>
      <c r="K266" s="49"/>
      <c r="L266" s="49"/>
      <c r="M266" s="49"/>
      <c r="N266" s="49"/>
      <c r="O266" s="49"/>
      <c r="P266" s="49"/>
      <c r="Q266" s="49"/>
      <c r="R266" s="49"/>
      <c r="S266" s="49"/>
      <c r="T266" s="49"/>
      <c r="U266" s="49"/>
      <c r="V266" s="49"/>
      <c r="W266" s="49"/>
      <c r="X266" s="49"/>
      <c r="Y266" s="49"/>
      <c r="Z266" s="49"/>
      <c r="AA266" s="49"/>
      <c r="AB266" s="49"/>
      <c r="AC266" s="49"/>
      <c r="AD266" s="49"/>
      <c r="AE266" s="49"/>
      <c r="AF266" s="49"/>
      <c r="AG266" s="49"/>
      <c r="AH266" s="49"/>
      <c r="AI266" s="49"/>
      <c r="AJ266" s="49"/>
      <c r="AK266" s="49"/>
      <c r="AL266" s="49"/>
      <c r="AM266" s="49"/>
      <c r="AN266" s="49"/>
      <c r="AO266" s="49"/>
      <c r="AP266" s="49"/>
      <c r="AQ266" s="49"/>
      <c r="AR266" s="49"/>
      <c r="AS266" s="49"/>
      <c r="AT266" s="49"/>
      <c r="AU266" s="49"/>
      <c r="AV266" s="49"/>
      <c r="AW266" s="49"/>
      <c r="AX266" s="49"/>
    </row>
    <row r="267">
      <c r="A267" s="49"/>
      <c r="B267" s="49"/>
      <c r="C267" s="49"/>
      <c r="D267" s="50"/>
      <c r="E267" s="50"/>
      <c r="F267" s="50"/>
      <c r="G267" s="50"/>
      <c r="H267" s="49"/>
      <c r="I267" s="49"/>
      <c r="J267" s="49"/>
      <c r="K267" s="49"/>
      <c r="L267" s="49"/>
      <c r="M267" s="49"/>
      <c r="N267" s="49"/>
      <c r="O267" s="49"/>
      <c r="P267" s="49"/>
      <c r="Q267" s="49"/>
      <c r="R267" s="49"/>
      <c r="S267" s="49"/>
      <c r="T267" s="49"/>
      <c r="U267" s="49"/>
      <c r="V267" s="49"/>
      <c r="W267" s="49"/>
      <c r="X267" s="49"/>
      <c r="Y267" s="49"/>
      <c r="Z267" s="49"/>
      <c r="AA267" s="49"/>
      <c r="AB267" s="49"/>
      <c r="AC267" s="49"/>
      <c r="AD267" s="49"/>
      <c r="AE267" s="49"/>
      <c r="AF267" s="49"/>
      <c r="AG267" s="49"/>
      <c r="AH267" s="49"/>
      <c r="AI267" s="49"/>
      <c r="AJ267" s="49"/>
      <c r="AK267" s="49"/>
      <c r="AL267" s="49"/>
      <c r="AM267" s="49"/>
      <c r="AN267" s="49"/>
      <c r="AO267" s="49"/>
      <c r="AP267" s="49"/>
      <c r="AQ267" s="49"/>
      <c r="AR267" s="49"/>
      <c r="AS267" s="49"/>
      <c r="AT267" s="49"/>
      <c r="AU267" s="49"/>
      <c r="AV267" s="49"/>
      <c r="AW267" s="49"/>
      <c r="AX267" s="49"/>
    </row>
    <row r="268">
      <c r="A268" s="49"/>
      <c r="B268" s="49"/>
      <c r="C268" s="49"/>
      <c r="D268" s="50"/>
      <c r="E268" s="50"/>
      <c r="F268" s="50"/>
      <c r="G268" s="50"/>
      <c r="H268" s="49"/>
      <c r="I268" s="49"/>
      <c r="J268" s="49"/>
      <c r="K268" s="49"/>
      <c r="L268" s="49"/>
      <c r="M268" s="49"/>
      <c r="N268" s="49"/>
      <c r="O268" s="49"/>
      <c r="P268" s="49"/>
      <c r="Q268" s="49"/>
      <c r="R268" s="49"/>
      <c r="S268" s="49"/>
      <c r="T268" s="49"/>
      <c r="U268" s="49"/>
      <c r="V268" s="49"/>
      <c r="W268" s="49"/>
      <c r="X268" s="49"/>
      <c r="Y268" s="49"/>
      <c r="Z268" s="49"/>
      <c r="AA268" s="49"/>
      <c r="AB268" s="49"/>
      <c r="AC268" s="49"/>
      <c r="AD268" s="49"/>
      <c r="AE268" s="49"/>
      <c r="AF268" s="49"/>
      <c r="AG268" s="49"/>
      <c r="AH268" s="49"/>
      <c r="AI268" s="49"/>
      <c r="AJ268" s="49"/>
      <c r="AK268" s="49"/>
      <c r="AL268" s="49"/>
      <c r="AM268" s="49"/>
      <c r="AN268" s="49"/>
      <c r="AO268" s="49"/>
      <c r="AP268" s="49"/>
      <c r="AQ268" s="49"/>
      <c r="AR268" s="49"/>
      <c r="AS268" s="49"/>
      <c r="AT268" s="49"/>
      <c r="AU268" s="49"/>
      <c r="AV268" s="49"/>
      <c r="AW268" s="49"/>
      <c r="AX268" s="49"/>
    </row>
    <row r="269">
      <c r="A269" s="49"/>
      <c r="B269" s="49"/>
      <c r="C269" s="49"/>
      <c r="D269" s="50"/>
      <c r="E269" s="50"/>
      <c r="F269" s="50"/>
      <c r="G269" s="50"/>
      <c r="H269" s="49"/>
      <c r="I269" s="49"/>
      <c r="J269" s="49"/>
      <c r="K269" s="49"/>
      <c r="L269" s="49"/>
      <c r="M269" s="49"/>
      <c r="N269" s="49"/>
      <c r="O269" s="49"/>
      <c r="P269" s="49"/>
      <c r="Q269" s="49"/>
      <c r="R269" s="49"/>
      <c r="S269" s="49"/>
      <c r="T269" s="49"/>
      <c r="U269" s="49"/>
      <c r="V269" s="49"/>
      <c r="W269" s="49"/>
      <c r="X269" s="49"/>
      <c r="Y269" s="49"/>
      <c r="Z269" s="49"/>
      <c r="AA269" s="49"/>
      <c r="AB269" s="49"/>
      <c r="AC269" s="49"/>
      <c r="AD269" s="49"/>
      <c r="AE269" s="49"/>
      <c r="AF269" s="49"/>
      <c r="AG269" s="49"/>
      <c r="AH269" s="49"/>
      <c r="AI269" s="49"/>
      <c r="AJ269" s="49"/>
      <c r="AK269" s="49"/>
      <c r="AL269" s="49"/>
      <c r="AM269" s="49"/>
      <c r="AN269" s="49"/>
      <c r="AO269" s="49"/>
      <c r="AP269" s="49"/>
      <c r="AQ269" s="49"/>
      <c r="AR269" s="49"/>
      <c r="AS269" s="49"/>
      <c r="AT269" s="49"/>
      <c r="AU269" s="49"/>
      <c r="AV269" s="49"/>
      <c r="AW269" s="49"/>
      <c r="AX269" s="49"/>
    </row>
    <row r="270">
      <c r="A270" s="49"/>
      <c r="B270" s="49"/>
      <c r="C270" s="49"/>
      <c r="D270" s="50"/>
      <c r="E270" s="50"/>
      <c r="F270" s="50"/>
      <c r="G270" s="50"/>
      <c r="H270" s="49"/>
      <c r="I270" s="49"/>
      <c r="J270" s="49"/>
      <c r="K270" s="49"/>
      <c r="L270" s="49"/>
      <c r="M270" s="49"/>
      <c r="N270" s="49"/>
      <c r="O270" s="49"/>
      <c r="P270" s="49"/>
      <c r="Q270" s="49"/>
      <c r="R270" s="49"/>
      <c r="S270" s="49"/>
      <c r="T270" s="49"/>
      <c r="U270" s="49"/>
      <c r="V270" s="49"/>
      <c r="W270" s="49"/>
      <c r="X270" s="49"/>
      <c r="Y270" s="49"/>
      <c r="Z270" s="49"/>
      <c r="AA270" s="49"/>
      <c r="AB270" s="49"/>
      <c r="AC270" s="49"/>
      <c r="AD270" s="49"/>
      <c r="AE270" s="49"/>
      <c r="AF270" s="49"/>
      <c r="AG270" s="49"/>
      <c r="AH270" s="49"/>
      <c r="AI270" s="49"/>
      <c r="AJ270" s="49"/>
      <c r="AK270" s="49"/>
      <c r="AL270" s="49"/>
      <c r="AM270" s="49"/>
      <c r="AN270" s="49"/>
      <c r="AO270" s="49"/>
      <c r="AP270" s="49"/>
      <c r="AQ270" s="49"/>
      <c r="AR270" s="49"/>
      <c r="AS270" s="49"/>
      <c r="AT270" s="49"/>
      <c r="AU270" s="49"/>
      <c r="AV270" s="49"/>
      <c r="AW270" s="49"/>
      <c r="AX270" s="49"/>
    </row>
    <row r="271">
      <c r="A271" s="49"/>
      <c r="B271" s="49"/>
      <c r="C271" s="49"/>
      <c r="D271" s="50"/>
      <c r="E271" s="50"/>
      <c r="F271" s="50"/>
      <c r="G271" s="50"/>
      <c r="H271" s="49"/>
      <c r="I271" s="49"/>
      <c r="J271" s="49"/>
      <c r="K271" s="49"/>
      <c r="L271" s="49"/>
      <c r="M271" s="49"/>
      <c r="N271" s="49"/>
      <c r="O271" s="49"/>
      <c r="P271" s="49"/>
      <c r="Q271" s="49"/>
      <c r="R271" s="49"/>
      <c r="S271" s="49"/>
      <c r="T271" s="49"/>
      <c r="U271" s="49"/>
      <c r="V271" s="49"/>
      <c r="W271" s="49"/>
      <c r="X271" s="49"/>
      <c r="Y271" s="49"/>
      <c r="Z271" s="49"/>
      <c r="AA271" s="49"/>
      <c r="AB271" s="49"/>
      <c r="AC271" s="49"/>
      <c r="AD271" s="49"/>
      <c r="AE271" s="49"/>
      <c r="AF271" s="49"/>
      <c r="AG271" s="49"/>
      <c r="AH271" s="49"/>
      <c r="AI271" s="49"/>
      <c r="AJ271" s="49"/>
      <c r="AK271" s="49"/>
      <c r="AL271" s="49"/>
      <c r="AM271" s="49"/>
      <c r="AN271" s="49"/>
      <c r="AO271" s="49"/>
      <c r="AP271" s="49"/>
      <c r="AQ271" s="49"/>
      <c r="AR271" s="49"/>
      <c r="AS271" s="49"/>
      <c r="AT271" s="49"/>
      <c r="AU271" s="49"/>
      <c r="AV271" s="49"/>
      <c r="AW271" s="49"/>
      <c r="AX271" s="49"/>
    </row>
    <row r="272">
      <c r="A272" s="49"/>
      <c r="B272" s="49"/>
      <c r="C272" s="49"/>
      <c r="D272" s="50"/>
      <c r="E272" s="50"/>
      <c r="F272" s="50"/>
      <c r="G272" s="50"/>
      <c r="H272" s="49"/>
      <c r="I272" s="49"/>
      <c r="J272" s="49"/>
      <c r="K272" s="49"/>
      <c r="L272" s="49"/>
      <c r="M272" s="49"/>
      <c r="N272" s="49"/>
      <c r="O272" s="49"/>
      <c r="P272" s="49"/>
      <c r="Q272" s="49"/>
      <c r="R272" s="49"/>
      <c r="S272" s="49"/>
      <c r="T272" s="49"/>
      <c r="U272" s="49"/>
      <c r="V272" s="49"/>
      <c r="W272" s="49"/>
      <c r="X272" s="49"/>
      <c r="Y272" s="49"/>
      <c r="Z272" s="49"/>
      <c r="AA272" s="49"/>
      <c r="AB272" s="49"/>
      <c r="AC272" s="49"/>
      <c r="AD272" s="49"/>
      <c r="AE272" s="49"/>
      <c r="AF272" s="49"/>
      <c r="AG272" s="49"/>
      <c r="AH272" s="49"/>
      <c r="AI272" s="49"/>
      <c r="AJ272" s="49"/>
      <c r="AK272" s="49"/>
      <c r="AL272" s="49"/>
      <c r="AM272" s="49"/>
      <c r="AN272" s="49"/>
      <c r="AO272" s="49"/>
      <c r="AP272" s="49"/>
      <c r="AQ272" s="49"/>
      <c r="AR272" s="49"/>
      <c r="AS272" s="49"/>
      <c r="AT272" s="49"/>
      <c r="AU272" s="49"/>
      <c r="AV272" s="49"/>
      <c r="AW272" s="49"/>
      <c r="AX272" s="49"/>
    </row>
    <row r="273">
      <c r="A273" s="49"/>
      <c r="B273" s="49"/>
      <c r="C273" s="49"/>
      <c r="D273" s="50"/>
      <c r="E273" s="50"/>
      <c r="F273" s="50"/>
      <c r="G273" s="50"/>
      <c r="H273" s="49"/>
      <c r="I273" s="49"/>
      <c r="J273" s="49"/>
      <c r="K273" s="49"/>
      <c r="L273" s="49"/>
      <c r="M273" s="49"/>
      <c r="N273" s="49"/>
      <c r="O273" s="49"/>
      <c r="P273" s="49"/>
      <c r="Q273" s="49"/>
      <c r="R273" s="49"/>
      <c r="S273" s="49"/>
      <c r="T273" s="49"/>
      <c r="U273" s="49"/>
      <c r="V273" s="49"/>
      <c r="W273" s="49"/>
      <c r="X273" s="49"/>
      <c r="Y273" s="49"/>
      <c r="Z273" s="49"/>
      <c r="AA273" s="49"/>
      <c r="AB273" s="49"/>
      <c r="AC273" s="49"/>
      <c r="AD273" s="49"/>
      <c r="AE273" s="49"/>
      <c r="AF273" s="49"/>
      <c r="AG273" s="49"/>
      <c r="AH273" s="49"/>
      <c r="AI273" s="49"/>
      <c r="AJ273" s="49"/>
      <c r="AK273" s="49"/>
      <c r="AL273" s="49"/>
      <c r="AM273" s="49"/>
      <c r="AN273" s="49"/>
      <c r="AO273" s="49"/>
      <c r="AP273" s="49"/>
      <c r="AQ273" s="49"/>
      <c r="AR273" s="49"/>
      <c r="AS273" s="49"/>
      <c r="AT273" s="49"/>
      <c r="AU273" s="49"/>
      <c r="AV273" s="49"/>
      <c r="AW273" s="49"/>
      <c r="AX273" s="49"/>
    </row>
    <row r="274">
      <c r="A274" s="49"/>
      <c r="B274" s="49"/>
      <c r="C274" s="49"/>
      <c r="D274" s="50"/>
      <c r="E274" s="50"/>
      <c r="F274" s="50"/>
      <c r="G274" s="50"/>
      <c r="H274" s="49"/>
      <c r="I274" s="49"/>
      <c r="J274" s="49"/>
      <c r="K274" s="49"/>
      <c r="L274" s="49"/>
      <c r="M274" s="49"/>
      <c r="N274" s="49"/>
      <c r="O274" s="49"/>
      <c r="P274" s="49"/>
      <c r="Q274" s="49"/>
      <c r="R274" s="49"/>
      <c r="S274" s="49"/>
      <c r="T274" s="49"/>
      <c r="U274" s="49"/>
      <c r="V274" s="49"/>
      <c r="W274" s="49"/>
      <c r="X274" s="49"/>
      <c r="Y274" s="49"/>
      <c r="Z274" s="49"/>
      <c r="AA274" s="49"/>
      <c r="AB274" s="49"/>
      <c r="AC274" s="49"/>
      <c r="AD274" s="49"/>
      <c r="AE274" s="49"/>
      <c r="AF274" s="49"/>
      <c r="AG274" s="49"/>
      <c r="AH274" s="49"/>
      <c r="AI274" s="49"/>
      <c r="AJ274" s="49"/>
      <c r="AK274" s="49"/>
      <c r="AL274" s="49"/>
      <c r="AM274" s="49"/>
      <c r="AN274" s="49"/>
      <c r="AO274" s="49"/>
      <c r="AP274" s="49"/>
      <c r="AQ274" s="49"/>
      <c r="AR274" s="49"/>
      <c r="AS274" s="49"/>
      <c r="AT274" s="49"/>
      <c r="AU274" s="49"/>
      <c r="AV274" s="49"/>
      <c r="AW274" s="49"/>
      <c r="AX274" s="49"/>
    </row>
    <row r="275">
      <c r="A275" s="49"/>
      <c r="B275" s="49"/>
      <c r="C275" s="49"/>
      <c r="D275" s="50"/>
      <c r="E275" s="50"/>
      <c r="F275" s="50"/>
      <c r="G275" s="50"/>
      <c r="H275" s="49"/>
      <c r="I275" s="49"/>
      <c r="J275" s="49"/>
      <c r="K275" s="49"/>
      <c r="L275" s="49"/>
      <c r="M275" s="49"/>
      <c r="N275" s="49"/>
      <c r="O275" s="49"/>
      <c r="P275" s="49"/>
      <c r="Q275" s="49"/>
      <c r="R275" s="49"/>
      <c r="S275" s="49"/>
      <c r="T275" s="49"/>
      <c r="U275" s="49"/>
      <c r="V275" s="49"/>
      <c r="W275" s="49"/>
      <c r="X275" s="49"/>
      <c r="Y275" s="49"/>
      <c r="Z275" s="49"/>
      <c r="AA275" s="49"/>
      <c r="AB275" s="49"/>
      <c r="AC275" s="49"/>
      <c r="AD275" s="49"/>
      <c r="AE275" s="49"/>
      <c r="AF275" s="49"/>
      <c r="AG275" s="49"/>
      <c r="AH275" s="49"/>
      <c r="AI275" s="49"/>
      <c r="AJ275" s="49"/>
      <c r="AK275" s="49"/>
      <c r="AL275" s="49"/>
      <c r="AM275" s="49"/>
      <c r="AN275" s="49"/>
      <c r="AO275" s="49"/>
      <c r="AP275" s="49"/>
      <c r="AQ275" s="49"/>
      <c r="AR275" s="49"/>
      <c r="AS275" s="49"/>
      <c r="AT275" s="49"/>
      <c r="AU275" s="49"/>
      <c r="AV275" s="49"/>
      <c r="AW275" s="49"/>
      <c r="AX275" s="49"/>
    </row>
    <row r="276">
      <c r="A276" s="49"/>
      <c r="B276" s="49"/>
      <c r="C276" s="49"/>
      <c r="D276" s="50"/>
      <c r="E276" s="50"/>
      <c r="F276" s="50"/>
      <c r="G276" s="50"/>
      <c r="H276" s="49"/>
      <c r="I276" s="49"/>
      <c r="J276" s="49"/>
      <c r="K276" s="49"/>
      <c r="L276" s="49"/>
      <c r="M276" s="49"/>
      <c r="N276" s="49"/>
      <c r="O276" s="49"/>
      <c r="P276" s="49"/>
      <c r="Q276" s="49"/>
      <c r="R276" s="49"/>
      <c r="S276" s="49"/>
      <c r="T276" s="49"/>
      <c r="U276" s="49"/>
      <c r="V276" s="49"/>
      <c r="W276" s="49"/>
      <c r="X276" s="49"/>
      <c r="Y276" s="49"/>
      <c r="Z276" s="49"/>
      <c r="AA276" s="49"/>
      <c r="AB276" s="49"/>
      <c r="AC276" s="49"/>
      <c r="AD276" s="49"/>
      <c r="AE276" s="49"/>
      <c r="AF276" s="49"/>
      <c r="AG276" s="49"/>
      <c r="AH276" s="49"/>
      <c r="AI276" s="49"/>
      <c r="AJ276" s="49"/>
      <c r="AK276" s="49"/>
      <c r="AL276" s="49"/>
      <c r="AM276" s="49"/>
      <c r="AN276" s="49"/>
      <c r="AO276" s="49"/>
      <c r="AP276" s="49"/>
      <c r="AQ276" s="49"/>
      <c r="AR276" s="49"/>
      <c r="AS276" s="49"/>
      <c r="AT276" s="49"/>
      <c r="AU276" s="49"/>
      <c r="AV276" s="49"/>
      <c r="AW276" s="49"/>
      <c r="AX276" s="49"/>
    </row>
    <row r="277">
      <c r="A277" s="49"/>
      <c r="B277" s="49"/>
      <c r="C277" s="49"/>
      <c r="D277" s="50"/>
      <c r="E277" s="50"/>
      <c r="F277" s="50"/>
      <c r="G277" s="50"/>
      <c r="H277" s="49"/>
      <c r="I277" s="49"/>
      <c r="J277" s="49"/>
      <c r="K277" s="49"/>
      <c r="L277" s="49"/>
      <c r="M277" s="49"/>
      <c r="N277" s="49"/>
      <c r="O277" s="49"/>
      <c r="P277" s="49"/>
      <c r="Q277" s="49"/>
      <c r="R277" s="49"/>
      <c r="S277" s="49"/>
      <c r="T277" s="49"/>
      <c r="U277" s="49"/>
      <c r="V277" s="49"/>
      <c r="W277" s="49"/>
      <c r="X277" s="49"/>
      <c r="Y277" s="49"/>
      <c r="Z277" s="49"/>
      <c r="AA277" s="49"/>
      <c r="AB277" s="49"/>
      <c r="AC277" s="49"/>
      <c r="AD277" s="49"/>
      <c r="AE277" s="49"/>
      <c r="AF277" s="49"/>
      <c r="AG277" s="49"/>
      <c r="AH277" s="49"/>
      <c r="AI277" s="49"/>
      <c r="AJ277" s="49"/>
      <c r="AK277" s="49"/>
      <c r="AL277" s="49"/>
      <c r="AM277" s="49"/>
      <c r="AN277" s="49"/>
      <c r="AO277" s="49"/>
      <c r="AP277" s="49"/>
      <c r="AQ277" s="49"/>
      <c r="AR277" s="49"/>
      <c r="AS277" s="49"/>
      <c r="AT277" s="49"/>
      <c r="AU277" s="49"/>
      <c r="AV277" s="49"/>
      <c r="AW277" s="49"/>
      <c r="AX277" s="49"/>
    </row>
    <row r="278">
      <c r="A278" s="49"/>
      <c r="B278" s="49"/>
      <c r="C278" s="49"/>
      <c r="D278" s="50"/>
      <c r="E278" s="50"/>
      <c r="F278" s="50"/>
      <c r="G278" s="50"/>
      <c r="H278" s="49"/>
      <c r="I278" s="49"/>
      <c r="J278" s="49"/>
      <c r="K278" s="49"/>
      <c r="L278" s="49"/>
      <c r="M278" s="49"/>
      <c r="N278" s="49"/>
      <c r="O278" s="49"/>
      <c r="P278" s="49"/>
      <c r="Q278" s="49"/>
      <c r="R278" s="49"/>
      <c r="S278" s="49"/>
      <c r="T278" s="49"/>
      <c r="U278" s="49"/>
      <c r="V278" s="49"/>
      <c r="W278" s="49"/>
      <c r="X278" s="49"/>
      <c r="Y278" s="49"/>
      <c r="Z278" s="49"/>
      <c r="AA278" s="49"/>
      <c r="AB278" s="49"/>
      <c r="AC278" s="49"/>
      <c r="AD278" s="49"/>
      <c r="AE278" s="49"/>
      <c r="AF278" s="49"/>
      <c r="AG278" s="49"/>
      <c r="AH278" s="49"/>
      <c r="AI278" s="49"/>
      <c r="AJ278" s="49"/>
      <c r="AK278" s="49"/>
      <c r="AL278" s="49"/>
      <c r="AM278" s="49"/>
      <c r="AN278" s="49"/>
      <c r="AO278" s="49"/>
      <c r="AP278" s="49"/>
      <c r="AQ278" s="49"/>
      <c r="AR278" s="49"/>
      <c r="AS278" s="49"/>
      <c r="AT278" s="49"/>
      <c r="AU278" s="49"/>
      <c r="AV278" s="49"/>
      <c r="AW278" s="49"/>
      <c r="AX278" s="49"/>
    </row>
    <row r="279">
      <c r="A279" s="49"/>
      <c r="B279" s="49"/>
      <c r="C279" s="49"/>
      <c r="D279" s="50"/>
      <c r="E279" s="50"/>
      <c r="F279" s="50"/>
      <c r="G279" s="50"/>
      <c r="H279" s="49"/>
      <c r="I279" s="49"/>
      <c r="J279" s="49"/>
      <c r="K279" s="49"/>
      <c r="L279" s="49"/>
      <c r="M279" s="49"/>
      <c r="N279" s="49"/>
      <c r="O279" s="49"/>
      <c r="P279" s="49"/>
      <c r="Q279" s="49"/>
      <c r="R279" s="49"/>
      <c r="S279" s="49"/>
      <c r="T279" s="49"/>
      <c r="U279" s="49"/>
      <c r="V279" s="49"/>
      <c r="W279" s="49"/>
      <c r="X279" s="49"/>
      <c r="Y279" s="49"/>
      <c r="Z279" s="49"/>
      <c r="AA279" s="49"/>
      <c r="AB279" s="49"/>
      <c r="AC279" s="49"/>
      <c r="AD279" s="49"/>
      <c r="AE279" s="49"/>
      <c r="AF279" s="49"/>
      <c r="AG279" s="49"/>
      <c r="AH279" s="49"/>
      <c r="AI279" s="49"/>
      <c r="AJ279" s="49"/>
      <c r="AK279" s="49"/>
      <c r="AL279" s="49"/>
      <c r="AM279" s="49"/>
      <c r="AN279" s="49"/>
      <c r="AO279" s="49"/>
      <c r="AP279" s="49"/>
      <c r="AQ279" s="49"/>
      <c r="AR279" s="49"/>
      <c r="AS279" s="49"/>
      <c r="AT279" s="49"/>
      <c r="AU279" s="49"/>
      <c r="AV279" s="49"/>
      <c r="AW279" s="49"/>
      <c r="AX279" s="49"/>
    </row>
    <row r="280">
      <c r="A280" s="49"/>
      <c r="B280" s="49"/>
      <c r="C280" s="49"/>
      <c r="D280" s="50"/>
      <c r="E280" s="50"/>
      <c r="F280" s="50"/>
      <c r="G280" s="50"/>
      <c r="H280" s="49"/>
      <c r="I280" s="49"/>
      <c r="J280" s="49"/>
      <c r="K280" s="49"/>
      <c r="L280" s="49"/>
      <c r="M280" s="49"/>
      <c r="N280" s="49"/>
      <c r="O280" s="49"/>
      <c r="P280" s="49"/>
      <c r="Q280" s="49"/>
      <c r="R280" s="49"/>
      <c r="S280" s="49"/>
      <c r="T280" s="49"/>
      <c r="U280" s="49"/>
      <c r="V280" s="49"/>
      <c r="W280" s="49"/>
      <c r="X280" s="49"/>
      <c r="Y280" s="49"/>
      <c r="Z280" s="49"/>
      <c r="AA280" s="49"/>
      <c r="AB280" s="49"/>
      <c r="AC280" s="49"/>
      <c r="AD280" s="49"/>
      <c r="AE280" s="49"/>
      <c r="AF280" s="49"/>
      <c r="AG280" s="49"/>
      <c r="AH280" s="49"/>
      <c r="AI280" s="49"/>
      <c r="AJ280" s="49"/>
      <c r="AK280" s="49"/>
      <c r="AL280" s="49"/>
      <c r="AM280" s="49"/>
      <c r="AN280" s="49"/>
      <c r="AO280" s="49"/>
      <c r="AP280" s="49"/>
      <c r="AQ280" s="49"/>
      <c r="AR280" s="49"/>
      <c r="AS280" s="49"/>
      <c r="AT280" s="49"/>
      <c r="AU280" s="49"/>
      <c r="AV280" s="49"/>
      <c r="AW280" s="49"/>
      <c r="AX280" s="49"/>
    </row>
    <row r="281">
      <c r="A281" s="49"/>
      <c r="B281" s="49"/>
      <c r="C281" s="49"/>
      <c r="D281" s="50"/>
      <c r="E281" s="50"/>
      <c r="F281" s="50"/>
      <c r="G281" s="50"/>
      <c r="H281" s="49"/>
      <c r="I281" s="49"/>
      <c r="J281" s="49"/>
      <c r="K281" s="49"/>
      <c r="L281" s="49"/>
      <c r="M281" s="49"/>
      <c r="N281" s="49"/>
      <c r="O281" s="49"/>
      <c r="P281" s="49"/>
      <c r="Q281" s="49"/>
      <c r="R281" s="49"/>
      <c r="S281" s="49"/>
      <c r="T281" s="49"/>
      <c r="U281" s="49"/>
      <c r="V281" s="49"/>
      <c r="W281" s="49"/>
      <c r="X281" s="49"/>
      <c r="Y281" s="49"/>
      <c r="Z281" s="49"/>
      <c r="AA281" s="49"/>
      <c r="AB281" s="49"/>
      <c r="AC281" s="49"/>
      <c r="AD281" s="49"/>
      <c r="AE281" s="49"/>
      <c r="AF281" s="49"/>
      <c r="AG281" s="49"/>
      <c r="AH281" s="49"/>
      <c r="AI281" s="49"/>
      <c r="AJ281" s="49"/>
      <c r="AK281" s="49"/>
      <c r="AL281" s="49"/>
      <c r="AM281" s="49"/>
      <c r="AN281" s="49"/>
      <c r="AO281" s="49"/>
      <c r="AP281" s="49"/>
      <c r="AQ281" s="49"/>
      <c r="AR281" s="49"/>
      <c r="AS281" s="49"/>
      <c r="AT281" s="49"/>
      <c r="AU281" s="49"/>
      <c r="AV281" s="49"/>
      <c r="AW281" s="49"/>
      <c r="AX281" s="49"/>
    </row>
    <row r="282">
      <c r="A282" s="49"/>
      <c r="B282" s="49"/>
      <c r="C282" s="49"/>
      <c r="D282" s="50"/>
      <c r="E282" s="50"/>
      <c r="F282" s="50"/>
      <c r="G282" s="50"/>
      <c r="H282" s="49"/>
      <c r="I282" s="49"/>
      <c r="J282" s="49"/>
      <c r="K282" s="49"/>
      <c r="L282" s="49"/>
      <c r="M282" s="49"/>
      <c r="N282" s="49"/>
      <c r="O282" s="49"/>
      <c r="P282" s="49"/>
      <c r="Q282" s="49"/>
      <c r="R282" s="49"/>
      <c r="S282" s="49"/>
      <c r="T282" s="49"/>
      <c r="U282" s="49"/>
      <c r="V282" s="49"/>
      <c r="W282" s="49"/>
      <c r="X282" s="49"/>
      <c r="Y282" s="49"/>
      <c r="Z282" s="49"/>
      <c r="AA282" s="49"/>
      <c r="AB282" s="49"/>
      <c r="AC282" s="49"/>
      <c r="AD282" s="49"/>
      <c r="AE282" s="49"/>
      <c r="AF282" s="49"/>
      <c r="AG282" s="49"/>
      <c r="AH282" s="49"/>
      <c r="AI282" s="49"/>
      <c r="AJ282" s="49"/>
      <c r="AK282" s="49"/>
      <c r="AL282" s="49"/>
      <c r="AM282" s="49"/>
      <c r="AN282" s="49"/>
      <c r="AO282" s="49"/>
      <c r="AP282" s="49"/>
      <c r="AQ282" s="49"/>
      <c r="AR282" s="49"/>
      <c r="AS282" s="49"/>
      <c r="AT282" s="49"/>
      <c r="AU282" s="49"/>
      <c r="AV282" s="49"/>
      <c r="AW282" s="49"/>
      <c r="AX282" s="49"/>
    </row>
    <row r="283">
      <c r="A283" s="49"/>
      <c r="B283" s="49"/>
      <c r="C283" s="49"/>
      <c r="D283" s="50"/>
      <c r="E283" s="50"/>
      <c r="F283" s="50"/>
      <c r="G283" s="50"/>
      <c r="H283" s="49"/>
      <c r="I283" s="49"/>
      <c r="J283" s="49"/>
      <c r="K283" s="49"/>
      <c r="L283" s="49"/>
      <c r="M283" s="49"/>
      <c r="N283" s="49"/>
      <c r="O283" s="49"/>
      <c r="P283" s="49"/>
      <c r="Q283" s="49"/>
      <c r="R283" s="49"/>
      <c r="S283" s="49"/>
      <c r="T283" s="49"/>
      <c r="U283" s="49"/>
      <c r="V283" s="49"/>
      <c r="W283" s="49"/>
      <c r="X283" s="49"/>
      <c r="Y283" s="49"/>
      <c r="Z283" s="49"/>
      <c r="AA283" s="49"/>
      <c r="AB283" s="49"/>
      <c r="AC283" s="49"/>
      <c r="AD283" s="49"/>
      <c r="AE283" s="49"/>
      <c r="AF283" s="49"/>
      <c r="AG283" s="49"/>
      <c r="AH283" s="49"/>
      <c r="AI283" s="49"/>
      <c r="AJ283" s="49"/>
      <c r="AK283" s="49"/>
      <c r="AL283" s="49"/>
      <c r="AM283" s="49"/>
      <c r="AN283" s="49"/>
      <c r="AO283" s="49"/>
      <c r="AP283" s="49"/>
      <c r="AQ283" s="49"/>
      <c r="AR283" s="49"/>
      <c r="AS283" s="49"/>
      <c r="AT283" s="49"/>
      <c r="AU283" s="49"/>
      <c r="AV283" s="49"/>
      <c r="AW283" s="49"/>
      <c r="AX283" s="49"/>
    </row>
    <row r="284">
      <c r="A284" s="49"/>
      <c r="B284" s="49"/>
      <c r="C284" s="49"/>
      <c r="D284" s="50"/>
      <c r="E284" s="50"/>
      <c r="F284" s="50"/>
      <c r="G284" s="50"/>
      <c r="H284" s="49"/>
      <c r="I284" s="49"/>
      <c r="J284" s="49"/>
      <c r="K284" s="49"/>
      <c r="L284" s="49"/>
      <c r="M284" s="49"/>
      <c r="N284" s="49"/>
      <c r="O284" s="49"/>
      <c r="P284" s="49"/>
      <c r="Q284" s="49"/>
      <c r="R284" s="49"/>
      <c r="S284" s="49"/>
      <c r="T284" s="49"/>
      <c r="U284" s="49"/>
      <c r="V284" s="49"/>
      <c r="W284" s="49"/>
      <c r="X284" s="49"/>
      <c r="Y284" s="49"/>
      <c r="Z284" s="49"/>
      <c r="AA284" s="49"/>
      <c r="AB284" s="49"/>
      <c r="AC284" s="49"/>
      <c r="AD284" s="49"/>
      <c r="AE284" s="49"/>
      <c r="AF284" s="49"/>
      <c r="AG284" s="49"/>
      <c r="AH284" s="49"/>
      <c r="AI284" s="49"/>
      <c r="AJ284" s="49"/>
      <c r="AK284" s="49"/>
      <c r="AL284" s="49"/>
      <c r="AM284" s="49"/>
      <c r="AN284" s="49"/>
      <c r="AO284" s="49"/>
      <c r="AP284" s="49"/>
      <c r="AQ284" s="49"/>
      <c r="AR284" s="49"/>
      <c r="AS284" s="49"/>
      <c r="AT284" s="49"/>
      <c r="AU284" s="49"/>
      <c r="AV284" s="49"/>
      <c r="AW284" s="49"/>
      <c r="AX284" s="49"/>
    </row>
    <row r="285">
      <c r="A285" s="49"/>
      <c r="B285" s="49"/>
      <c r="C285" s="49"/>
      <c r="D285" s="50"/>
      <c r="E285" s="50"/>
      <c r="F285" s="50"/>
      <c r="G285" s="50"/>
      <c r="H285" s="49"/>
      <c r="I285" s="49"/>
      <c r="J285" s="49"/>
      <c r="K285" s="49"/>
      <c r="L285" s="49"/>
      <c r="M285" s="49"/>
      <c r="N285" s="49"/>
      <c r="O285" s="49"/>
      <c r="P285" s="49"/>
      <c r="Q285" s="49"/>
      <c r="R285" s="49"/>
      <c r="S285" s="49"/>
      <c r="T285" s="49"/>
      <c r="U285" s="49"/>
      <c r="V285" s="49"/>
      <c r="W285" s="49"/>
      <c r="X285" s="49"/>
      <c r="Y285" s="49"/>
      <c r="Z285" s="49"/>
      <c r="AA285" s="49"/>
      <c r="AB285" s="49"/>
      <c r="AC285" s="49"/>
      <c r="AD285" s="49"/>
      <c r="AE285" s="49"/>
      <c r="AF285" s="49"/>
      <c r="AG285" s="49"/>
      <c r="AH285" s="49"/>
      <c r="AI285" s="49"/>
      <c r="AJ285" s="49"/>
      <c r="AK285" s="49"/>
      <c r="AL285" s="49"/>
      <c r="AM285" s="49"/>
      <c r="AN285" s="49"/>
      <c r="AO285" s="49"/>
      <c r="AP285" s="49"/>
      <c r="AQ285" s="49"/>
      <c r="AR285" s="49"/>
      <c r="AS285" s="49"/>
      <c r="AT285" s="49"/>
      <c r="AU285" s="49"/>
      <c r="AV285" s="49"/>
      <c r="AW285" s="49"/>
      <c r="AX285" s="49"/>
    </row>
    <row r="286">
      <c r="A286" s="49"/>
      <c r="B286" s="49"/>
      <c r="C286" s="49"/>
      <c r="D286" s="50"/>
      <c r="E286" s="50"/>
      <c r="F286" s="50"/>
      <c r="G286" s="50"/>
      <c r="H286" s="49"/>
      <c r="I286" s="49"/>
      <c r="J286" s="49"/>
      <c r="K286" s="49"/>
      <c r="L286" s="49"/>
      <c r="M286" s="49"/>
      <c r="N286" s="49"/>
      <c r="O286" s="49"/>
      <c r="P286" s="49"/>
      <c r="Q286" s="49"/>
      <c r="R286" s="49"/>
      <c r="S286" s="49"/>
      <c r="T286" s="49"/>
      <c r="U286" s="49"/>
      <c r="V286" s="49"/>
      <c r="W286" s="49"/>
      <c r="X286" s="49"/>
      <c r="Y286" s="49"/>
      <c r="Z286" s="49"/>
      <c r="AA286" s="49"/>
      <c r="AB286" s="49"/>
      <c r="AC286" s="49"/>
      <c r="AD286" s="49"/>
      <c r="AE286" s="49"/>
      <c r="AF286" s="49"/>
      <c r="AG286" s="49"/>
      <c r="AH286" s="49"/>
      <c r="AI286" s="49"/>
      <c r="AJ286" s="49"/>
      <c r="AK286" s="49"/>
      <c r="AL286" s="49"/>
      <c r="AM286" s="49"/>
      <c r="AN286" s="49"/>
      <c r="AO286" s="49"/>
      <c r="AP286" s="49"/>
      <c r="AQ286" s="49"/>
      <c r="AR286" s="49"/>
      <c r="AS286" s="49"/>
      <c r="AT286" s="49"/>
      <c r="AU286" s="49"/>
      <c r="AV286" s="49"/>
      <c r="AW286" s="49"/>
      <c r="AX286" s="49"/>
    </row>
    <row r="287">
      <c r="A287" s="49"/>
      <c r="B287" s="49"/>
      <c r="C287" s="49"/>
      <c r="D287" s="50"/>
      <c r="E287" s="50"/>
      <c r="F287" s="50"/>
      <c r="G287" s="50"/>
      <c r="H287" s="49"/>
      <c r="I287" s="49"/>
      <c r="J287" s="49"/>
      <c r="K287" s="49"/>
      <c r="L287" s="49"/>
      <c r="M287" s="49"/>
      <c r="N287" s="49"/>
      <c r="O287" s="49"/>
      <c r="P287" s="49"/>
      <c r="Q287" s="49"/>
      <c r="R287" s="49"/>
      <c r="S287" s="49"/>
      <c r="T287" s="49"/>
      <c r="U287" s="49"/>
      <c r="V287" s="49"/>
      <c r="W287" s="49"/>
      <c r="X287" s="49"/>
      <c r="Y287" s="49"/>
      <c r="Z287" s="49"/>
      <c r="AA287" s="49"/>
      <c r="AB287" s="49"/>
      <c r="AC287" s="49"/>
      <c r="AD287" s="49"/>
      <c r="AE287" s="49"/>
      <c r="AF287" s="49"/>
      <c r="AG287" s="49"/>
      <c r="AH287" s="49"/>
      <c r="AI287" s="49"/>
      <c r="AJ287" s="49"/>
      <c r="AK287" s="49"/>
      <c r="AL287" s="49"/>
      <c r="AM287" s="49"/>
      <c r="AN287" s="49"/>
      <c r="AO287" s="49"/>
      <c r="AP287" s="49"/>
      <c r="AQ287" s="49"/>
      <c r="AR287" s="49"/>
      <c r="AS287" s="49"/>
      <c r="AT287" s="49"/>
      <c r="AU287" s="49"/>
      <c r="AV287" s="49"/>
      <c r="AW287" s="49"/>
      <c r="AX287" s="49"/>
    </row>
    <row r="288">
      <c r="A288" s="49"/>
      <c r="B288" s="49"/>
      <c r="C288" s="49"/>
      <c r="D288" s="50"/>
      <c r="E288" s="50"/>
      <c r="F288" s="50"/>
      <c r="G288" s="50"/>
      <c r="H288" s="49"/>
      <c r="I288" s="49"/>
      <c r="J288" s="49"/>
      <c r="K288" s="49"/>
      <c r="L288" s="49"/>
      <c r="M288" s="49"/>
      <c r="N288" s="49"/>
      <c r="O288" s="49"/>
      <c r="P288" s="49"/>
      <c r="Q288" s="49"/>
      <c r="R288" s="49"/>
      <c r="S288" s="49"/>
      <c r="T288" s="49"/>
      <c r="U288" s="49"/>
      <c r="V288" s="49"/>
      <c r="W288" s="49"/>
      <c r="X288" s="49"/>
      <c r="Y288" s="49"/>
      <c r="Z288" s="49"/>
      <c r="AA288" s="49"/>
      <c r="AB288" s="49"/>
      <c r="AC288" s="49"/>
      <c r="AD288" s="49"/>
      <c r="AE288" s="49"/>
      <c r="AF288" s="49"/>
      <c r="AG288" s="49"/>
      <c r="AH288" s="49"/>
      <c r="AI288" s="49"/>
      <c r="AJ288" s="49"/>
      <c r="AK288" s="49"/>
      <c r="AL288" s="49"/>
      <c r="AM288" s="49"/>
      <c r="AN288" s="49"/>
      <c r="AO288" s="49"/>
      <c r="AP288" s="49"/>
      <c r="AQ288" s="49"/>
      <c r="AR288" s="49"/>
      <c r="AS288" s="49"/>
      <c r="AT288" s="49"/>
      <c r="AU288" s="49"/>
      <c r="AV288" s="49"/>
      <c r="AW288" s="49"/>
      <c r="AX288" s="49"/>
    </row>
    <row r="289">
      <c r="A289" s="49"/>
      <c r="B289" s="49"/>
      <c r="C289" s="49"/>
      <c r="D289" s="50"/>
      <c r="E289" s="50"/>
      <c r="F289" s="50"/>
      <c r="G289" s="50"/>
      <c r="H289" s="49"/>
      <c r="I289" s="49"/>
      <c r="J289" s="49"/>
      <c r="K289" s="49"/>
      <c r="L289" s="49"/>
      <c r="M289" s="49"/>
      <c r="N289" s="49"/>
      <c r="O289" s="49"/>
      <c r="P289" s="49"/>
      <c r="Q289" s="49"/>
      <c r="R289" s="49"/>
      <c r="S289" s="49"/>
      <c r="T289" s="49"/>
      <c r="U289" s="49"/>
      <c r="V289" s="49"/>
      <c r="W289" s="49"/>
      <c r="X289" s="49"/>
      <c r="Y289" s="49"/>
      <c r="Z289" s="49"/>
      <c r="AA289" s="49"/>
      <c r="AB289" s="49"/>
      <c r="AC289" s="49"/>
      <c r="AD289" s="49"/>
      <c r="AE289" s="49"/>
      <c r="AF289" s="49"/>
      <c r="AG289" s="49"/>
      <c r="AH289" s="49"/>
      <c r="AI289" s="49"/>
      <c r="AJ289" s="49"/>
      <c r="AK289" s="49"/>
      <c r="AL289" s="49"/>
      <c r="AM289" s="49"/>
      <c r="AN289" s="49"/>
      <c r="AO289" s="49"/>
      <c r="AP289" s="49"/>
      <c r="AQ289" s="49"/>
      <c r="AR289" s="49"/>
      <c r="AS289" s="49"/>
      <c r="AT289" s="49"/>
      <c r="AU289" s="49"/>
      <c r="AV289" s="49"/>
      <c r="AW289" s="49"/>
      <c r="AX289" s="49"/>
    </row>
    <row r="290">
      <c r="A290" s="49"/>
      <c r="B290" s="49"/>
      <c r="C290" s="49"/>
      <c r="D290" s="50"/>
      <c r="E290" s="50"/>
      <c r="F290" s="50"/>
      <c r="G290" s="50"/>
      <c r="H290" s="49"/>
      <c r="I290" s="49"/>
      <c r="J290" s="49"/>
      <c r="K290" s="49"/>
      <c r="L290" s="49"/>
      <c r="M290" s="49"/>
      <c r="N290" s="49"/>
      <c r="O290" s="49"/>
      <c r="P290" s="49"/>
      <c r="Q290" s="49"/>
      <c r="R290" s="49"/>
      <c r="S290" s="49"/>
      <c r="T290" s="49"/>
      <c r="U290" s="49"/>
      <c r="V290" s="49"/>
      <c r="W290" s="49"/>
      <c r="X290" s="49"/>
      <c r="Y290" s="49"/>
      <c r="Z290" s="49"/>
      <c r="AA290" s="49"/>
      <c r="AB290" s="49"/>
      <c r="AC290" s="49"/>
      <c r="AD290" s="49"/>
      <c r="AE290" s="49"/>
      <c r="AF290" s="49"/>
      <c r="AG290" s="49"/>
      <c r="AH290" s="49"/>
      <c r="AI290" s="49"/>
      <c r="AJ290" s="49"/>
      <c r="AK290" s="49"/>
      <c r="AL290" s="49"/>
      <c r="AM290" s="49"/>
      <c r="AN290" s="49"/>
      <c r="AO290" s="49"/>
      <c r="AP290" s="49"/>
      <c r="AQ290" s="49"/>
      <c r="AR290" s="49"/>
      <c r="AS290" s="49"/>
      <c r="AT290" s="49"/>
      <c r="AU290" s="49"/>
      <c r="AV290" s="49"/>
      <c r="AW290" s="49"/>
      <c r="AX290" s="49"/>
    </row>
    <row r="291">
      <c r="A291" s="49"/>
      <c r="B291" s="49"/>
      <c r="C291" s="49"/>
      <c r="D291" s="50"/>
      <c r="E291" s="50"/>
      <c r="F291" s="50"/>
      <c r="G291" s="50"/>
      <c r="H291" s="49"/>
      <c r="I291" s="49"/>
      <c r="J291" s="49"/>
      <c r="K291" s="49"/>
      <c r="L291" s="49"/>
      <c r="M291" s="49"/>
      <c r="N291" s="49"/>
      <c r="O291" s="49"/>
      <c r="P291" s="49"/>
      <c r="Q291" s="49"/>
      <c r="R291" s="49"/>
      <c r="S291" s="49"/>
      <c r="T291" s="49"/>
      <c r="U291" s="49"/>
      <c r="V291" s="49"/>
      <c r="W291" s="49"/>
      <c r="X291" s="49"/>
      <c r="Y291" s="49"/>
      <c r="Z291" s="49"/>
      <c r="AA291" s="49"/>
      <c r="AB291" s="49"/>
      <c r="AC291" s="49"/>
      <c r="AD291" s="49"/>
      <c r="AE291" s="49"/>
      <c r="AF291" s="49"/>
      <c r="AG291" s="49"/>
      <c r="AH291" s="49"/>
      <c r="AI291" s="49"/>
      <c r="AJ291" s="49"/>
      <c r="AK291" s="49"/>
      <c r="AL291" s="49"/>
      <c r="AM291" s="49"/>
      <c r="AN291" s="49"/>
      <c r="AO291" s="49"/>
      <c r="AP291" s="49"/>
      <c r="AQ291" s="49"/>
      <c r="AR291" s="49"/>
      <c r="AS291" s="49"/>
      <c r="AT291" s="49"/>
      <c r="AU291" s="49"/>
      <c r="AV291" s="49"/>
      <c r="AW291" s="49"/>
      <c r="AX291" s="49"/>
    </row>
    <row r="292">
      <c r="A292" s="49"/>
      <c r="B292" s="49"/>
      <c r="C292" s="49"/>
      <c r="D292" s="50"/>
      <c r="E292" s="50"/>
      <c r="F292" s="50"/>
      <c r="G292" s="50"/>
      <c r="H292" s="49"/>
      <c r="I292" s="49"/>
      <c r="J292" s="49"/>
      <c r="K292" s="49"/>
      <c r="L292" s="49"/>
      <c r="M292" s="49"/>
      <c r="N292" s="49"/>
      <c r="O292" s="49"/>
      <c r="P292" s="49"/>
      <c r="Q292" s="49"/>
      <c r="R292" s="49"/>
      <c r="S292" s="49"/>
      <c r="T292" s="49"/>
      <c r="U292" s="49"/>
      <c r="V292" s="49"/>
      <c r="W292" s="49"/>
      <c r="X292" s="49"/>
      <c r="Y292" s="49"/>
      <c r="Z292" s="49"/>
      <c r="AA292" s="49"/>
      <c r="AB292" s="49"/>
      <c r="AC292" s="49"/>
      <c r="AD292" s="49"/>
      <c r="AE292" s="49"/>
      <c r="AF292" s="49"/>
      <c r="AG292" s="49"/>
      <c r="AH292" s="49"/>
      <c r="AI292" s="49"/>
      <c r="AJ292" s="49"/>
      <c r="AK292" s="49"/>
      <c r="AL292" s="49"/>
      <c r="AM292" s="49"/>
      <c r="AN292" s="49"/>
      <c r="AO292" s="49"/>
      <c r="AP292" s="49"/>
      <c r="AQ292" s="49"/>
      <c r="AR292" s="49"/>
      <c r="AS292" s="49"/>
      <c r="AT292" s="49"/>
      <c r="AU292" s="49"/>
      <c r="AV292" s="49"/>
      <c r="AW292" s="49"/>
      <c r="AX292" s="49"/>
    </row>
    <row r="293">
      <c r="A293" s="49"/>
      <c r="B293" s="49"/>
      <c r="C293" s="49"/>
      <c r="D293" s="50"/>
      <c r="E293" s="50"/>
      <c r="F293" s="50"/>
      <c r="G293" s="50"/>
      <c r="H293" s="49"/>
      <c r="I293" s="49"/>
      <c r="J293" s="49"/>
      <c r="K293" s="49"/>
      <c r="L293" s="49"/>
      <c r="M293" s="49"/>
      <c r="N293" s="49"/>
      <c r="O293" s="49"/>
      <c r="P293" s="49"/>
      <c r="Q293" s="49"/>
      <c r="R293" s="49"/>
      <c r="S293" s="49"/>
      <c r="T293" s="49"/>
      <c r="U293" s="49"/>
      <c r="V293" s="49"/>
      <c r="W293" s="49"/>
      <c r="X293" s="49"/>
      <c r="Y293" s="49"/>
      <c r="Z293" s="49"/>
      <c r="AA293" s="49"/>
      <c r="AB293" s="49"/>
      <c r="AC293" s="49"/>
      <c r="AD293" s="49"/>
      <c r="AE293" s="49"/>
      <c r="AF293" s="49"/>
      <c r="AG293" s="49"/>
      <c r="AH293" s="49"/>
      <c r="AI293" s="49"/>
      <c r="AJ293" s="49"/>
      <c r="AK293" s="49"/>
      <c r="AL293" s="49"/>
      <c r="AM293" s="49"/>
      <c r="AN293" s="49"/>
      <c r="AO293" s="49"/>
      <c r="AP293" s="49"/>
      <c r="AQ293" s="49"/>
      <c r="AR293" s="49"/>
      <c r="AS293" s="49"/>
      <c r="AT293" s="49"/>
      <c r="AU293" s="49"/>
      <c r="AV293" s="49"/>
      <c r="AW293" s="49"/>
      <c r="AX293" s="49"/>
    </row>
    <row r="294">
      <c r="A294" s="49"/>
      <c r="B294" s="49"/>
      <c r="C294" s="49"/>
      <c r="D294" s="50"/>
      <c r="E294" s="50"/>
      <c r="F294" s="50"/>
      <c r="G294" s="50"/>
      <c r="H294" s="49"/>
      <c r="I294" s="49"/>
      <c r="J294" s="49"/>
      <c r="K294" s="49"/>
      <c r="L294" s="49"/>
      <c r="M294" s="49"/>
      <c r="N294" s="49"/>
      <c r="O294" s="49"/>
      <c r="P294" s="49"/>
      <c r="Q294" s="49"/>
      <c r="R294" s="49"/>
      <c r="S294" s="49"/>
      <c r="T294" s="49"/>
      <c r="U294" s="49"/>
      <c r="V294" s="49"/>
      <c r="W294" s="49"/>
      <c r="X294" s="49"/>
      <c r="Y294" s="49"/>
      <c r="Z294" s="49"/>
      <c r="AA294" s="49"/>
      <c r="AB294" s="49"/>
      <c r="AC294" s="49"/>
      <c r="AD294" s="49"/>
      <c r="AE294" s="49"/>
      <c r="AF294" s="49"/>
      <c r="AG294" s="49"/>
      <c r="AH294" s="49"/>
      <c r="AI294" s="49"/>
      <c r="AJ294" s="49"/>
      <c r="AK294" s="49"/>
      <c r="AL294" s="49"/>
      <c r="AM294" s="49"/>
      <c r="AN294" s="49"/>
      <c r="AO294" s="49"/>
      <c r="AP294" s="49"/>
      <c r="AQ294" s="49"/>
      <c r="AR294" s="49"/>
      <c r="AS294" s="49"/>
      <c r="AT294" s="49"/>
      <c r="AU294" s="49"/>
      <c r="AV294" s="49"/>
      <c r="AW294" s="49"/>
      <c r="AX294" s="49"/>
    </row>
    <row r="295">
      <c r="A295" s="49"/>
      <c r="B295" s="49"/>
      <c r="C295" s="49"/>
      <c r="D295" s="50"/>
      <c r="E295" s="50"/>
      <c r="F295" s="50"/>
      <c r="G295" s="50"/>
      <c r="H295" s="49"/>
      <c r="I295" s="49"/>
      <c r="J295" s="49"/>
      <c r="K295" s="49"/>
      <c r="L295" s="49"/>
      <c r="M295" s="49"/>
      <c r="N295" s="49"/>
      <c r="O295" s="49"/>
      <c r="P295" s="49"/>
      <c r="Q295" s="49"/>
      <c r="R295" s="49"/>
      <c r="S295" s="49"/>
      <c r="T295" s="49"/>
      <c r="U295" s="49"/>
      <c r="V295" s="49"/>
      <c r="W295" s="49"/>
      <c r="X295" s="49"/>
      <c r="Y295" s="49"/>
      <c r="Z295" s="49"/>
      <c r="AA295" s="49"/>
      <c r="AB295" s="49"/>
      <c r="AC295" s="49"/>
      <c r="AD295" s="49"/>
      <c r="AE295" s="49"/>
      <c r="AF295" s="49"/>
      <c r="AG295" s="49"/>
      <c r="AH295" s="49"/>
      <c r="AI295" s="49"/>
      <c r="AJ295" s="49"/>
      <c r="AK295" s="49"/>
      <c r="AL295" s="49"/>
      <c r="AM295" s="49"/>
      <c r="AN295" s="49"/>
      <c r="AO295" s="49"/>
      <c r="AP295" s="49"/>
      <c r="AQ295" s="49"/>
      <c r="AR295" s="49"/>
      <c r="AS295" s="49"/>
      <c r="AT295" s="49"/>
      <c r="AU295" s="49"/>
      <c r="AV295" s="49"/>
      <c r="AW295" s="49"/>
      <c r="AX295" s="49"/>
    </row>
    <row r="296">
      <c r="A296" s="49"/>
      <c r="B296" s="49"/>
      <c r="C296" s="49"/>
      <c r="D296" s="50"/>
      <c r="E296" s="50"/>
      <c r="F296" s="50"/>
      <c r="G296" s="50"/>
      <c r="H296" s="49"/>
      <c r="I296" s="49"/>
      <c r="J296" s="49"/>
      <c r="K296" s="49"/>
      <c r="L296" s="49"/>
      <c r="M296" s="49"/>
      <c r="N296" s="49"/>
      <c r="O296" s="49"/>
      <c r="P296" s="49"/>
      <c r="Q296" s="49"/>
      <c r="R296" s="49"/>
      <c r="S296" s="49"/>
      <c r="T296" s="49"/>
      <c r="U296" s="49"/>
      <c r="V296" s="49"/>
      <c r="W296" s="49"/>
      <c r="X296" s="49"/>
      <c r="Y296" s="49"/>
      <c r="Z296" s="49"/>
      <c r="AA296" s="49"/>
      <c r="AB296" s="49"/>
      <c r="AC296" s="49"/>
      <c r="AD296" s="49"/>
      <c r="AE296" s="49"/>
      <c r="AF296" s="49"/>
      <c r="AG296" s="49"/>
      <c r="AH296" s="49"/>
      <c r="AI296" s="49"/>
      <c r="AJ296" s="49"/>
      <c r="AK296" s="49"/>
      <c r="AL296" s="49"/>
      <c r="AM296" s="49"/>
      <c r="AN296" s="49"/>
      <c r="AO296" s="49"/>
      <c r="AP296" s="49"/>
      <c r="AQ296" s="49"/>
      <c r="AR296" s="49"/>
      <c r="AS296" s="49"/>
      <c r="AT296" s="49"/>
      <c r="AU296" s="49"/>
      <c r="AV296" s="49"/>
      <c r="AW296" s="49"/>
      <c r="AX296" s="49"/>
    </row>
    <row r="297">
      <c r="A297" s="49"/>
      <c r="B297" s="49"/>
      <c r="C297" s="49"/>
      <c r="D297" s="50"/>
      <c r="E297" s="50"/>
      <c r="F297" s="50"/>
      <c r="G297" s="50"/>
      <c r="H297" s="49"/>
      <c r="I297" s="49"/>
      <c r="J297" s="49"/>
      <c r="K297" s="49"/>
      <c r="L297" s="49"/>
      <c r="M297" s="49"/>
      <c r="N297" s="49"/>
      <c r="O297" s="49"/>
      <c r="P297" s="49"/>
      <c r="Q297" s="49"/>
      <c r="R297" s="49"/>
      <c r="S297" s="49"/>
      <c r="T297" s="49"/>
      <c r="U297" s="49"/>
      <c r="V297" s="49"/>
      <c r="W297" s="49"/>
      <c r="X297" s="49"/>
      <c r="Y297" s="49"/>
      <c r="Z297" s="49"/>
      <c r="AA297" s="49"/>
      <c r="AB297" s="49"/>
      <c r="AC297" s="49"/>
      <c r="AD297" s="49"/>
      <c r="AE297" s="49"/>
      <c r="AF297" s="49"/>
      <c r="AG297" s="49"/>
      <c r="AH297" s="49"/>
      <c r="AI297" s="49"/>
      <c r="AJ297" s="49"/>
      <c r="AK297" s="49"/>
      <c r="AL297" s="49"/>
      <c r="AM297" s="49"/>
      <c r="AN297" s="49"/>
      <c r="AO297" s="49"/>
      <c r="AP297" s="49"/>
      <c r="AQ297" s="49"/>
      <c r="AR297" s="49"/>
      <c r="AS297" s="49"/>
      <c r="AT297" s="49"/>
      <c r="AU297" s="49"/>
      <c r="AV297" s="49"/>
      <c r="AW297" s="49"/>
      <c r="AX297" s="49"/>
    </row>
    <row r="298">
      <c r="A298" s="49"/>
      <c r="B298" s="49"/>
      <c r="C298" s="49"/>
      <c r="D298" s="50"/>
      <c r="E298" s="50"/>
      <c r="F298" s="50"/>
      <c r="G298" s="50"/>
      <c r="H298" s="49"/>
      <c r="I298" s="49"/>
      <c r="J298" s="49"/>
      <c r="K298" s="49"/>
      <c r="L298" s="49"/>
      <c r="M298" s="49"/>
      <c r="N298" s="49"/>
      <c r="O298" s="49"/>
      <c r="P298" s="49"/>
      <c r="Q298" s="49"/>
      <c r="R298" s="49"/>
      <c r="S298" s="49"/>
      <c r="T298" s="49"/>
      <c r="U298" s="49"/>
      <c r="V298" s="49"/>
      <c r="W298" s="49"/>
      <c r="X298" s="49"/>
      <c r="Y298" s="49"/>
      <c r="Z298" s="49"/>
      <c r="AA298" s="49"/>
      <c r="AB298" s="49"/>
      <c r="AC298" s="49"/>
      <c r="AD298" s="49"/>
      <c r="AE298" s="49"/>
      <c r="AF298" s="49"/>
      <c r="AG298" s="49"/>
      <c r="AH298" s="49"/>
      <c r="AI298" s="49"/>
      <c r="AJ298" s="49"/>
      <c r="AK298" s="49"/>
      <c r="AL298" s="49"/>
      <c r="AM298" s="49"/>
      <c r="AN298" s="49"/>
      <c r="AO298" s="49"/>
      <c r="AP298" s="49"/>
      <c r="AQ298" s="49"/>
      <c r="AR298" s="49"/>
      <c r="AS298" s="49"/>
      <c r="AT298" s="49"/>
      <c r="AU298" s="49"/>
      <c r="AV298" s="49"/>
      <c r="AW298" s="49"/>
      <c r="AX298" s="49"/>
    </row>
    <row r="299">
      <c r="A299" s="49"/>
      <c r="B299" s="49"/>
      <c r="C299" s="49"/>
      <c r="D299" s="50"/>
      <c r="E299" s="50"/>
      <c r="F299" s="50"/>
      <c r="G299" s="50"/>
      <c r="H299" s="49"/>
      <c r="I299" s="49"/>
      <c r="J299" s="49"/>
      <c r="K299" s="49"/>
      <c r="L299" s="49"/>
      <c r="M299" s="49"/>
      <c r="N299" s="49"/>
      <c r="O299" s="49"/>
      <c r="P299" s="49"/>
      <c r="Q299" s="49"/>
      <c r="R299" s="49"/>
      <c r="S299" s="49"/>
      <c r="T299" s="49"/>
      <c r="U299" s="49"/>
      <c r="V299" s="49"/>
      <c r="W299" s="49"/>
      <c r="X299" s="49"/>
      <c r="Y299" s="49"/>
      <c r="Z299" s="49"/>
      <c r="AA299" s="49"/>
      <c r="AB299" s="49"/>
      <c r="AC299" s="49"/>
      <c r="AD299" s="49"/>
      <c r="AE299" s="49"/>
      <c r="AF299" s="49"/>
      <c r="AG299" s="49"/>
      <c r="AH299" s="49"/>
      <c r="AI299" s="49"/>
      <c r="AJ299" s="49"/>
      <c r="AK299" s="49"/>
      <c r="AL299" s="49"/>
      <c r="AM299" s="49"/>
      <c r="AN299" s="49"/>
      <c r="AO299" s="49"/>
      <c r="AP299" s="49"/>
      <c r="AQ299" s="49"/>
      <c r="AR299" s="49"/>
      <c r="AS299" s="49"/>
      <c r="AT299" s="49"/>
      <c r="AU299" s="49"/>
      <c r="AV299" s="49"/>
      <c r="AW299" s="49"/>
      <c r="AX299" s="49"/>
    </row>
    <row r="300">
      <c r="A300" s="49"/>
      <c r="B300" s="49"/>
      <c r="C300" s="49"/>
      <c r="D300" s="50"/>
      <c r="E300" s="50"/>
      <c r="F300" s="50"/>
      <c r="G300" s="50"/>
      <c r="H300" s="49"/>
      <c r="I300" s="49"/>
      <c r="J300" s="49"/>
      <c r="K300" s="49"/>
      <c r="L300" s="49"/>
      <c r="M300" s="49"/>
      <c r="N300" s="49"/>
      <c r="O300" s="49"/>
      <c r="P300" s="49"/>
      <c r="Q300" s="49"/>
      <c r="R300" s="49"/>
      <c r="S300" s="49"/>
      <c r="T300" s="49"/>
      <c r="U300" s="49"/>
      <c r="V300" s="49"/>
      <c r="W300" s="49"/>
      <c r="X300" s="49"/>
      <c r="Y300" s="49"/>
      <c r="Z300" s="49"/>
      <c r="AA300" s="49"/>
      <c r="AB300" s="49"/>
      <c r="AC300" s="49"/>
      <c r="AD300" s="49"/>
      <c r="AE300" s="49"/>
      <c r="AF300" s="49"/>
      <c r="AG300" s="49"/>
      <c r="AH300" s="49"/>
      <c r="AI300" s="49"/>
      <c r="AJ300" s="49"/>
      <c r="AK300" s="49"/>
      <c r="AL300" s="49"/>
      <c r="AM300" s="49"/>
      <c r="AN300" s="49"/>
      <c r="AO300" s="49"/>
      <c r="AP300" s="49"/>
      <c r="AQ300" s="49"/>
      <c r="AR300" s="49"/>
      <c r="AS300" s="49"/>
      <c r="AT300" s="49"/>
      <c r="AU300" s="49"/>
      <c r="AV300" s="49"/>
      <c r="AW300" s="49"/>
      <c r="AX300" s="49"/>
    </row>
    <row r="301">
      <c r="A301" s="49"/>
      <c r="B301" s="49"/>
      <c r="C301" s="49"/>
      <c r="D301" s="50"/>
      <c r="E301" s="50"/>
      <c r="F301" s="50"/>
      <c r="G301" s="50"/>
      <c r="H301" s="49"/>
      <c r="I301" s="49"/>
      <c r="J301" s="49"/>
      <c r="K301" s="49"/>
      <c r="L301" s="49"/>
      <c r="M301" s="49"/>
      <c r="N301" s="49"/>
      <c r="O301" s="49"/>
      <c r="P301" s="49"/>
      <c r="Q301" s="49"/>
      <c r="R301" s="49"/>
      <c r="S301" s="49"/>
      <c r="T301" s="49"/>
      <c r="U301" s="49"/>
      <c r="V301" s="49"/>
      <c r="W301" s="49"/>
      <c r="X301" s="49"/>
      <c r="Y301" s="49"/>
      <c r="Z301" s="49"/>
      <c r="AA301" s="49"/>
      <c r="AB301" s="49"/>
      <c r="AC301" s="49"/>
      <c r="AD301" s="49"/>
      <c r="AE301" s="49"/>
      <c r="AF301" s="49"/>
      <c r="AG301" s="49"/>
      <c r="AH301" s="49"/>
      <c r="AI301" s="49"/>
      <c r="AJ301" s="49"/>
      <c r="AK301" s="49"/>
      <c r="AL301" s="49"/>
      <c r="AM301" s="49"/>
      <c r="AN301" s="49"/>
      <c r="AO301" s="49"/>
      <c r="AP301" s="49"/>
      <c r="AQ301" s="49"/>
      <c r="AR301" s="49"/>
      <c r="AS301" s="49"/>
      <c r="AT301" s="49"/>
      <c r="AU301" s="49"/>
      <c r="AV301" s="49"/>
      <c r="AW301" s="49"/>
      <c r="AX301" s="49"/>
    </row>
    <row r="302">
      <c r="A302" s="49"/>
      <c r="B302" s="49"/>
      <c r="C302" s="49"/>
      <c r="D302" s="50"/>
      <c r="E302" s="50"/>
      <c r="F302" s="50"/>
      <c r="G302" s="50"/>
      <c r="H302" s="49"/>
      <c r="I302" s="49"/>
      <c r="J302" s="49"/>
      <c r="K302" s="49"/>
      <c r="L302" s="49"/>
      <c r="M302" s="49"/>
      <c r="N302" s="49"/>
      <c r="O302" s="49"/>
      <c r="P302" s="49"/>
      <c r="Q302" s="49"/>
      <c r="R302" s="49"/>
      <c r="S302" s="49"/>
      <c r="T302" s="49"/>
      <c r="U302" s="49"/>
      <c r="V302" s="49"/>
      <c r="W302" s="49"/>
      <c r="X302" s="49"/>
      <c r="Y302" s="49"/>
      <c r="Z302" s="49"/>
      <c r="AA302" s="49"/>
      <c r="AB302" s="49"/>
      <c r="AC302" s="49"/>
      <c r="AD302" s="49"/>
      <c r="AE302" s="49"/>
      <c r="AF302" s="49"/>
      <c r="AG302" s="49"/>
      <c r="AH302" s="49"/>
      <c r="AI302" s="49"/>
      <c r="AJ302" s="49"/>
      <c r="AK302" s="49"/>
      <c r="AL302" s="49"/>
      <c r="AM302" s="49"/>
      <c r="AN302" s="49"/>
      <c r="AO302" s="49"/>
      <c r="AP302" s="49"/>
      <c r="AQ302" s="49"/>
      <c r="AR302" s="49"/>
      <c r="AS302" s="49"/>
      <c r="AT302" s="49"/>
      <c r="AU302" s="49"/>
      <c r="AV302" s="49"/>
      <c r="AW302" s="49"/>
      <c r="AX302" s="49"/>
    </row>
    <row r="303">
      <c r="A303" s="49"/>
      <c r="B303" s="49"/>
      <c r="C303" s="49"/>
      <c r="D303" s="50"/>
      <c r="E303" s="50"/>
      <c r="F303" s="50"/>
      <c r="G303" s="50"/>
      <c r="H303" s="49"/>
      <c r="I303" s="49"/>
      <c r="J303" s="49"/>
      <c r="K303" s="49"/>
      <c r="L303" s="49"/>
      <c r="M303" s="49"/>
      <c r="N303" s="49"/>
      <c r="O303" s="49"/>
      <c r="P303" s="49"/>
      <c r="Q303" s="49"/>
      <c r="R303" s="49"/>
      <c r="S303" s="49"/>
      <c r="T303" s="49"/>
      <c r="U303" s="49"/>
      <c r="V303" s="49"/>
      <c r="W303" s="49"/>
      <c r="X303" s="49"/>
      <c r="Y303" s="49"/>
      <c r="Z303" s="49"/>
      <c r="AA303" s="49"/>
      <c r="AB303" s="49"/>
      <c r="AC303" s="49"/>
      <c r="AD303" s="49"/>
      <c r="AE303" s="49"/>
      <c r="AF303" s="49"/>
      <c r="AG303" s="49"/>
      <c r="AH303" s="49"/>
      <c r="AI303" s="49"/>
      <c r="AJ303" s="49"/>
      <c r="AK303" s="49"/>
      <c r="AL303" s="49"/>
      <c r="AM303" s="49"/>
      <c r="AN303" s="49"/>
      <c r="AO303" s="49"/>
      <c r="AP303" s="49"/>
      <c r="AQ303" s="49"/>
      <c r="AR303" s="49"/>
      <c r="AS303" s="49"/>
      <c r="AT303" s="49"/>
      <c r="AU303" s="49"/>
      <c r="AV303" s="49"/>
      <c r="AW303" s="49"/>
      <c r="AX303" s="49"/>
    </row>
    <row r="304">
      <c r="A304" s="49"/>
      <c r="B304" s="49"/>
      <c r="C304" s="49"/>
      <c r="D304" s="50"/>
      <c r="E304" s="50"/>
      <c r="F304" s="50"/>
      <c r="G304" s="50"/>
      <c r="H304" s="49"/>
      <c r="I304" s="49"/>
      <c r="J304" s="49"/>
      <c r="K304" s="49"/>
      <c r="L304" s="49"/>
      <c r="M304" s="49"/>
      <c r="N304" s="49"/>
      <c r="O304" s="49"/>
      <c r="P304" s="49"/>
      <c r="Q304" s="49"/>
      <c r="R304" s="49"/>
      <c r="S304" s="49"/>
      <c r="T304" s="49"/>
      <c r="U304" s="49"/>
      <c r="V304" s="49"/>
      <c r="W304" s="49"/>
      <c r="X304" s="49"/>
      <c r="Y304" s="49"/>
      <c r="Z304" s="49"/>
      <c r="AA304" s="49"/>
      <c r="AB304" s="49"/>
      <c r="AC304" s="49"/>
      <c r="AD304" s="49"/>
      <c r="AE304" s="49"/>
      <c r="AF304" s="49"/>
      <c r="AG304" s="49"/>
      <c r="AH304" s="49"/>
      <c r="AI304" s="49"/>
      <c r="AJ304" s="49"/>
      <c r="AK304" s="49"/>
      <c r="AL304" s="49"/>
      <c r="AM304" s="49"/>
      <c r="AN304" s="49"/>
      <c r="AO304" s="49"/>
      <c r="AP304" s="49"/>
      <c r="AQ304" s="49"/>
      <c r="AR304" s="49"/>
      <c r="AS304" s="49"/>
      <c r="AT304" s="49"/>
      <c r="AU304" s="49"/>
      <c r="AV304" s="49"/>
      <c r="AW304" s="49"/>
      <c r="AX304" s="49"/>
    </row>
    <row r="305">
      <c r="A305" s="49"/>
      <c r="B305" s="49"/>
      <c r="C305" s="49"/>
      <c r="D305" s="50"/>
      <c r="E305" s="50"/>
      <c r="F305" s="50"/>
      <c r="G305" s="50"/>
      <c r="H305" s="49"/>
      <c r="I305" s="49"/>
      <c r="J305" s="49"/>
      <c r="K305" s="49"/>
      <c r="L305" s="49"/>
      <c r="M305" s="49"/>
      <c r="N305" s="49"/>
      <c r="O305" s="49"/>
      <c r="P305" s="49"/>
      <c r="Q305" s="49"/>
      <c r="R305" s="49"/>
      <c r="S305" s="49"/>
      <c r="T305" s="49"/>
      <c r="U305" s="49"/>
      <c r="V305" s="49"/>
      <c r="W305" s="49"/>
      <c r="X305" s="49"/>
      <c r="Y305" s="49"/>
      <c r="Z305" s="49"/>
      <c r="AA305" s="49"/>
      <c r="AB305" s="49"/>
      <c r="AC305" s="49"/>
      <c r="AD305" s="49"/>
      <c r="AE305" s="49"/>
      <c r="AF305" s="49"/>
      <c r="AG305" s="49"/>
      <c r="AH305" s="49"/>
      <c r="AI305" s="49"/>
      <c r="AJ305" s="49"/>
      <c r="AK305" s="49"/>
      <c r="AL305" s="49"/>
      <c r="AM305" s="49"/>
      <c r="AN305" s="49"/>
      <c r="AO305" s="49"/>
      <c r="AP305" s="49"/>
      <c r="AQ305" s="49"/>
      <c r="AR305" s="49"/>
      <c r="AS305" s="49"/>
      <c r="AT305" s="49"/>
      <c r="AU305" s="49"/>
      <c r="AV305" s="49"/>
      <c r="AW305" s="49"/>
      <c r="AX305" s="49"/>
    </row>
    <row r="306">
      <c r="A306" s="49"/>
      <c r="B306" s="49"/>
      <c r="C306" s="49"/>
      <c r="D306" s="50"/>
      <c r="E306" s="50"/>
      <c r="F306" s="50"/>
      <c r="G306" s="50"/>
      <c r="H306" s="49"/>
      <c r="I306" s="49"/>
      <c r="J306" s="49"/>
      <c r="K306" s="49"/>
      <c r="L306" s="49"/>
      <c r="M306" s="49"/>
      <c r="N306" s="49"/>
      <c r="O306" s="49"/>
      <c r="P306" s="49"/>
      <c r="Q306" s="49"/>
      <c r="R306" s="49"/>
      <c r="S306" s="49"/>
      <c r="T306" s="49"/>
      <c r="U306" s="49"/>
      <c r="V306" s="49"/>
      <c r="W306" s="49"/>
      <c r="X306" s="49"/>
      <c r="Y306" s="49"/>
      <c r="Z306" s="49"/>
      <c r="AA306" s="49"/>
      <c r="AB306" s="49"/>
      <c r="AC306" s="49"/>
      <c r="AD306" s="49"/>
      <c r="AE306" s="49"/>
      <c r="AF306" s="49"/>
      <c r="AG306" s="49"/>
      <c r="AH306" s="49"/>
      <c r="AI306" s="49"/>
      <c r="AJ306" s="49"/>
      <c r="AK306" s="49"/>
      <c r="AL306" s="49"/>
      <c r="AM306" s="49"/>
      <c r="AN306" s="49"/>
      <c r="AO306" s="49"/>
      <c r="AP306" s="49"/>
      <c r="AQ306" s="49"/>
      <c r="AR306" s="49"/>
      <c r="AS306" s="49"/>
      <c r="AT306" s="49"/>
      <c r="AU306" s="49"/>
      <c r="AV306" s="49"/>
      <c r="AW306" s="49"/>
      <c r="AX306" s="49"/>
    </row>
    <row r="307">
      <c r="A307" s="49"/>
      <c r="B307" s="49"/>
      <c r="C307" s="49"/>
      <c r="D307" s="50"/>
      <c r="E307" s="50"/>
      <c r="F307" s="50"/>
      <c r="G307" s="50"/>
      <c r="H307" s="49"/>
      <c r="I307" s="49"/>
      <c r="J307" s="49"/>
      <c r="K307" s="49"/>
      <c r="L307" s="49"/>
      <c r="M307" s="49"/>
      <c r="N307" s="49"/>
      <c r="O307" s="49"/>
      <c r="P307" s="49"/>
      <c r="Q307" s="49"/>
      <c r="R307" s="49"/>
      <c r="S307" s="49"/>
      <c r="T307" s="49"/>
      <c r="U307" s="49"/>
      <c r="V307" s="49"/>
      <c r="W307" s="49"/>
      <c r="X307" s="49"/>
      <c r="Y307" s="49"/>
      <c r="Z307" s="49"/>
      <c r="AA307" s="49"/>
      <c r="AB307" s="49"/>
      <c r="AC307" s="49"/>
      <c r="AD307" s="49"/>
      <c r="AE307" s="49"/>
      <c r="AF307" s="49"/>
      <c r="AG307" s="49"/>
      <c r="AH307" s="49"/>
      <c r="AI307" s="49"/>
      <c r="AJ307" s="49"/>
      <c r="AK307" s="49"/>
      <c r="AL307" s="49"/>
      <c r="AM307" s="49"/>
      <c r="AN307" s="49"/>
      <c r="AO307" s="49"/>
      <c r="AP307" s="49"/>
      <c r="AQ307" s="49"/>
      <c r="AR307" s="49"/>
      <c r="AS307" s="49"/>
      <c r="AT307" s="49"/>
      <c r="AU307" s="49"/>
      <c r="AV307" s="49"/>
      <c r="AW307" s="49"/>
      <c r="AX307" s="49"/>
    </row>
    <row r="308">
      <c r="A308" s="49"/>
      <c r="B308" s="49"/>
      <c r="C308" s="49"/>
      <c r="D308" s="50"/>
      <c r="E308" s="50"/>
      <c r="F308" s="50"/>
      <c r="G308" s="50"/>
      <c r="H308" s="49"/>
      <c r="I308" s="49"/>
      <c r="J308" s="49"/>
      <c r="K308" s="49"/>
      <c r="L308" s="49"/>
      <c r="M308" s="49"/>
      <c r="N308" s="49"/>
      <c r="O308" s="49"/>
      <c r="P308" s="49"/>
      <c r="Q308" s="49"/>
      <c r="R308" s="49"/>
      <c r="S308" s="49"/>
      <c r="T308" s="49"/>
      <c r="U308" s="49"/>
      <c r="V308" s="49"/>
      <c r="W308" s="49"/>
      <c r="X308" s="49"/>
      <c r="Y308" s="49"/>
      <c r="Z308" s="49"/>
      <c r="AA308" s="49"/>
      <c r="AB308" s="49"/>
      <c r="AC308" s="49"/>
      <c r="AD308" s="49"/>
      <c r="AE308" s="49"/>
      <c r="AF308" s="49"/>
      <c r="AG308" s="49"/>
      <c r="AH308" s="49"/>
      <c r="AI308" s="49"/>
      <c r="AJ308" s="49"/>
      <c r="AK308" s="49"/>
      <c r="AL308" s="49"/>
      <c r="AM308" s="49"/>
      <c r="AN308" s="49"/>
      <c r="AO308" s="49"/>
      <c r="AP308" s="49"/>
      <c r="AQ308" s="49"/>
      <c r="AR308" s="49"/>
      <c r="AS308" s="49"/>
      <c r="AT308" s="49"/>
      <c r="AU308" s="49"/>
      <c r="AV308" s="49"/>
      <c r="AW308" s="49"/>
      <c r="AX308" s="49"/>
    </row>
    <row r="309">
      <c r="A309" s="49"/>
      <c r="B309" s="49"/>
      <c r="C309" s="49"/>
      <c r="D309" s="50"/>
      <c r="E309" s="50"/>
      <c r="F309" s="50"/>
      <c r="G309" s="50"/>
      <c r="H309" s="49"/>
      <c r="I309" s="49"/>
      <c r="J309" s="49"/>
      <c r="K309" s="49"/>
      <c r="L309" s="49"/>
      <c r="M309" s="49"/>
      <c r="N309" s="49"/>
      <c r="O309" s="49"/>
      <c r="P309" s="49"/>
      <c r="Q309" s="49"/>
      <c r="R309" s="49"/>
      <c r="S309" s="49"/>
      <c r="T309" s="49"/>
      <c r="U309" s="49"/>
      <c r="V309" s="49"/>
      <c r="W309" s="49"/>
      <c r="X309" s="49"/>
      <c r="Y309" s="49"/>
      <c r="Z309" s="49"/>
      <c r="AA309" s="49"/>
      <c r="AB309" s="49"/>
      <c r="AC309" s="49"/>
      <c r="AD309" s="49"/>
      <c r="AE309" s="49"/>
      <c r="AF309" s="49"/>
      <c r="AG309" s="49"/>
      <c r="AH309" s="49"/>
      <c r="AI309" s="49"/>
      <c r="AJ309" s="49"/>
      <c r="AK309" s="49"/>
      <c r="AL309" s="49"/>
      <c r="AM309" s="49"/>
      <c r="AN309" s="49"/>
      <c r="AO309" s="49"/>
      <c r="AP309" s="49"/>
      <c r="AQ309" s="49"/>
      <c r="AR309" s="49"/>
      <c r="AS309" s="49"/>
      <c r="AT309" s="49"/>
      <c r="AU309" s="49"/>
      <c r="AV309" s="49"/>
      <c r="AW309" s="49"/>
      <c r="AX309" s="49"/>
    </row>
    <row r="310">
      <c r="A310" s="49"/>
      <c r="B310" s="49"/>
      <c r="C310" s="49"/>
      <c r="D310" s="50"/>
      <c r="E310" s="50"/>
      <c r="F310" s="50"/>
      <c r="G310" s="50"/>
      <c r="H310" s="49"/>
      <c r="I310" s="49"/>
      <c r="J310" s="49"/>
      <c r="K310" s="49"/>
      <c r="L310" s="49"/>
      <c r="M310" s="49"/>
      <c r="N310" s="49"/>
      <c r="O310" s="49"/>
      <c r="P310" s="49"/>
      <c r="Q310" s="49"/>
      <c r="R310" s="49"/>
      <c r="S310" s="49"/>
      <c r="T310" s="49"/>
      <c r="U310" s="49"/>
      <c r="V310" s="49"/>
      <c r="W310" s="49"/>
      <c r="X310" s="49"/>
      <c r="Y310" s="49"/>
      <c r="Z310" s="49"/>
      <c r="AA310" s="49"/>
      <c r="AB310" s="49"/>
      <c r="AC310" s="49"/>
      <c r="AD310" s="49"/>
      <c r="AE310" s="49"/>
      <c r="AF310" s="49"/>
      <c r="AG310" s="49"/>
      <c r="AH310" s="49"/>
      <c r="AI310" s="49"/>
      <c r="AJ310" s="49"/>
      <c r="AK310" s="49"/>
      <c r="AL310" s="49"/>
      <c r="AM310" s="49"/>
      <c r="AN310" s="49"/>
      <c r="AO310" s="49"/>
      <c r="AP310" s="49"/>
      <c r="AQ310" s="49"/>
      <c r="AR310" s="49"/>
      <c r="AS310" s="49"/>
      <c r="AT310" s="49"/>
      <c r="AU310" s="49"/>
      <c r="AV310" s="49"/>
      <c r="AW310" s="49"/>
      <c r="AX310" s="49"/>
    </row>
    <row r="311">
      <c r="A311" s="49"/>
      <c r="B311" s="49"/>
      <c r="C311" s="49"/>
      <c r="D311" s="50"/>
      <c r="E311" s="50"/>
      <c r="F311" s="50"/>
      <c r="G311" s="50"/>
      <c r="H311" s="49"/>
      <c r="I311" s="49"/>
      <c r="J311" s="49"/>
      <c r="K311" s="49"/>
      <c r="L311" s="49"/>
      <c r="M311" s="49"/>
      <c r="N311" s="49"/>
      <c r="O311" s="49"/>
      <c r="P311" s="49"/>
      <c r="Q311" s="49"/>
      <c r="R311" s="49"/>
      <c r="S311" s="49"/>
      <c r="T311" s="49"/>
      <c r="U311" s="49"/>
      <c r="V311" s="49"/>
      <c r="W311" s="49"/>
      <c r="X311" s="49"/>
      <c r="Y311" s="49"/>
      <c r="Z311" s="49"/>
      <c r="AA311" s="49"/>
      <c r="AB311" s="49"/>
      <c r="AC311" s="49"/>
      <c r="AD311" s="49"/>
      <c r="AE311" s="49"/>
      <c r="AF311" s="49"/>
      <c r="AG311" s="49"/>
      <c r="AH311" s="49"/>
      <c r="AI311" s="49"/>
      <c r="AJ311" s="49"/>
      <c r="AK311" s="49"/>
      <c r="AL311" s="49"/>
      <c r="AM311" s="49"/>
      <c r="AN311" s="49"/>
      <c r="AO311" s="49"/>
      <c r="AP311" s="49"/>
      <c r="AQ311" s="49"/>
      <c r="AR311" s="49"/>
      <c r="AS311" s="49"/>
      <c r="AT311" s="49"/>
      <c r="AU311" s="49"/>
      <c r="AV311" s="49"/>
      <c r="AW311" s="49"/>
      <c r="AX311" s="49"/>
    </row>
    <row r="312">
      <c r="A312" s="49"/>
      <c r="B312" s="49"/>
      <c r="C312" s="49"/>
      <c r="D312" s="50"/>
      <c r="E312" s="50"/>
      <c r="F312" s="50"/>
      <c r="G312" s="50"/>
      <c r="H312" s="49"/>
      <c r="I312" s="49"/>
      <c r="J312" s="49"/>
      <c r="K312" s="49"/>
      <c r="L312" s="49"/>
      <c r="M312" s="49"/>
      <c r="N312" s="49"/>
      <c r="O312" s="49"/>
      <c r="P312" s="49"/>
      <c r="Q312" s="49"/>
      <c r="R312" s="49"/>
      <c r="S312" s="49"/>
      <c r="T312" s="49"/>
      <c r="U312" s="49"/>
      <c r="V312" s="49"/>
      <c r="W312" s="49"/>
      <c r="X312" s="49"/>
      <c r="Y312" s="49"/>
      <c r="Z312" s="49"/>
      <c r="AA312" s="49"/>
      <c r="AB312" s="49"/>
      <c r="AC312" s="49"/>
      <c r="AD312" s="49"/>
      <c r="AE312" s="49"/>
      <c r="AF312" s="49"/>
      <c r="AG312" s="49"/>
      <c r="AH312" s="49"/>
      <c r="AI312" s="49"/>
      <c r="AJ312" s="49"/>
      <c r="AK312" s="49"/>
      <c r="AL312" s="49"/>
      <c r="AM312" s="49"/>
      <c r="AN312" s="49"/>
      <c r="AO312" s="49"/>
      <c r="AP312" s="49"/>
      <c r="AQ312" s="49"/>
      <c r="AR312" s="49"/>
      <c r="AS312" s="49"/>
      <c r="AT312" s="49"/>
      <c r="AU312" s="49"/>
      <c r="AV312" s="49"/>
      <c r="AW312" s="49"/>
      <c r="AX312" s="49"/>
    </row>
    <row r="313">
      <c r="A313" s="49"/>
      <c r="B313" s="49"/>
      <c r="C313" s="49"/>
      <c r="D313" s="50"/>
      <c r="E313" s="50"/>
      <c r="F313" s="50"/>
      <c r="G313" s="50"/>
      <c r="H313" s="49"/>
      <c r="I313" s="49"/>
      <c r="J313" s="49"/>
      <c r="K313" s="49"/>
      <c r="L313" s="49"/>
      <c r="M313" s="49"/>
      <c r="N313" s="49"/>
      <c r="O313" s="49"/>
      <c r="P313" s="49"/>
      <c r="Q313" s="49"/>
      <c r="R313" s="49"/>
      <c r="S313" s="49"/>
      <c r="T313" s="49"/>
      <c r="U313" s="49"/>
      <c r="V313" s="49"/>
      <c r="W313" s="49"/>
      <c r="X313" s="49"/>
      <c r="Y313" s="49"/>
      <c r="Z313" s="49"/>
      <c r="AA313" s="49"/>
      <c r="AB313" s="49"/>
      <c r="AC313" s="49"/>
      <c r="AD313" s="49"/>
      <c r="AE313" s="49"/>
      <c r="AF313" s="49"/>
      <c r="AG313" s="49"/>
      <c r="AH313" s="49"/>
      <c r="AI313" s="49"/>
      <c r="AJ313" s="49"/>
      <c r="AK313" s="49"/>
      <c r="AL313" s="49"/>
      <c r="AM313" s="49"/>
      <c r="AN313" s="49"/>
      <c r="AO313" s="49"/>
      <c r="AP313" s="49"/>
      <c r="AQ313" s="49"/>
      <c r="AR313" s="49"/>
      <c r="AS313" s="49"/>
      <c r="AT313" s="49"/>
      <c r="AU313" s="49"/>
      <c r="AV313" s="49"/>
      <c r="AW313" s="49"/>
      <c r="AX313" s="49"/>
    </row>
    <row r="314">
      <c r="A314" s="49"/>
      <c r="B314" s="49"/>
      <c r="C314" s="49"/>
      <c r="D314" s="50"/>
      <c r="E314" s="50"/>
      <c r="F314" s="50"/>
      <c r="G314" s="50"/>
      <c r="H314" s="49"/>
      <c r="I314" s="49"/>
      <c r="J314" s="49"/>
      <c r="K314" s="49"/>
      <c r="L314" s="49"/>
      <c r="M314" s="49"/>
      <c r="N314" s="49"/>
      <c r="O314" s="49"/>
      <c r="P314" s="49"/>
      <c r="Q314" s="49"/>
      <c r="R314" s="49"/>
      <c r="S314" s="49"/>
      <c r="T314" s="49"/>
      <c r="U314" s="49"/>
      <c r="V314" s="49"/>
      <c r="W314" s="49"/>
      <c r="X314" s="49"/>
      <c r="Y314" s="49"/>
      <c r="Z314" s="49"/>
      <c r="AA314" s="49"/>
      <c r="AB314" s="49"/>
      <c r="AC314" s="49"/>
      <c r="AD314" s="49"/>
      <c r="AE314" s="49"/>
      <c r="AF314" s="49"/>
      <c r="AG314" s="49"/>
      <c r="AH314" s="49"/>
      <c r="AI314" s="49"/>
      <c r="AJ314" s="49"/>
      <c r="AK314" s="49"/>
      <c r="AL314" s="49"/>
      <c r="AM314" s="49"/>
      <c r="AN314" s="49"/>
      <c r="AO314" s="49"/>
      <c r="AP314" s="49"/>
      <c r="AQ314" s="49"/>
      <c r="AR314" s="49"/>
      <c r="AS314" s="49"/>
      <c r="AT314" s="49"/>
      <c r="AU314" s="49"/>
      <c r="AV314" s="49"/>
      <c r="AW314" s="49"/>
      <c r="AX314" s="49"/>
    </row>
    <row r="315">
      <c r="A315" s="49"/>
      <c r="B315" s="49"/>
      <c r="C315" s="49"/>
      <c r="D315" s="50"/>
      <c r="E315" s="50"/>
      <c r="F315" s="50"/>
      <c r="G315" s="50"/>
      <c r="H315" s="49"/>
      <c r="I315" s="49"/>
      <c r="J315" s="49"/>
      <c r="K315" s="49"/>
      <c r="L315" s="49"/>
      <c r="M315" s="49"/>
      <c r="N315" s="49"/>
      <c r="O315" s="49"/>
      <c r="P315" s="49"/>
      <c r="Q315" s="49"/>
      <c r="R315" s="49"/>
      <c r="S315" s="49"/>
      <c r="T315" s="49"/>
      <c r="U315" s="49"/>
      <c r="V315" s="49"/>
      <c r="W315" s="49"/>
      <c r="X315" s="49"/>
      <c r="Y315" s="49"/>
      <c r="Z315" s="49"/>
      <c r="AA315" s="49"/>
      <c r="AB315" s="49"/>
      <c r="AC315" s="49"/>
      <c r="AD315" s="49"/>
      <c r="AE315" s="49"/>
      <c r="AF315" s="49"/>
      <c r="AG315" s="49"/>
      <c r="AH315" s="49"/>
      <c r="AI315" s="49"/>
      <c r="AJ315" s="49"/>
      <c r="AK315" s="49"/>
      <c r="AL315" s="49"/>
      <c r="AM315" s="49"/>
      <c r="AN315" s="49"/>
      <c r="AO315" s="49"/>
      <c r="AP315" s="49"/>
      <c r="AQ315" s="49"/>
      <c r="AR315" s="49"/>
      <c r="AS315" s="49"/>
      <c r="AT315" s="49"/>
      <c r="AU315" s="49"/>
      <c r="AV315" s="49"/>
      <c r="AW315" s="49"/>
      <c r="AX315" s="49"/>
    </row>
    <row r="316">
      <c r="A316" s="49"/>
      <c r="B316" s="49"/>
      <c r="C316" s="49"/>
      <c r="D316" s="50"/>
      <c r="E316" s="50"/>
      <c r="F316" s="50"/>
      <c r="G316" s="50"/>
      <c r="H316" s="49"/>
      <c r="I316" s="49"/>
      <c r="J316" s="49"/>
      <c r="K316" s="49"/>
      <c r="L316" s="49"/>
      <c r="M316" s="49"/>
      <c r="N316" s="49"/>
      <c r="O316" s="49"/>
      <c r="P316" s="49"/>
      <c r="Q316" s="49"/>
      <c r="R316" s="49"/>
      <c r="S316" s="49"/>
      <c r="T316" s="49"/>
      <c r="U316" s="49"/>
      <c r="V316" s="49"/>
      <c r="W316" s="49"/>
      <c r="X316" s="49"/>
      <c r="Y316" s="49"/>
      <c r="Z316" s="49"/>
      <c r="AA316" s="49"/>
      <c r="AB316" s="49"/>
      <c r="AC316" s="49"/>
      <c r="AD316" s="49"/>
      <c r="AE316" s="49"/>
      <c r="AF316" s="49"/>
      <c r="AG316" s="49"/>
      <c r="AH316" s="49"/>
      <c r="AI316" s="49"/>
      <c r="AJ316" s="49"/>
      <c r="AK316" s="49"/>
      <c r="AL316" s="49"/>
      <c r="AM316" s="49"/>
      <c r="AN316" s="49"/>
      <c r="AO316" s="49"/>
      <c r="AP316" s="49"/>
      <c r="AQ316" s="49"/>
      <c r="AR316" s="49"/>
      <c r="AS316" s="49"/>
      <c r="AT316" s="49"/>
      <c r="AU316" s="49"/>
      <c r="AV316" s="49"/>
      <c r="AW316" s="49"/>
      <c r="AX316" s="49"/>
    </row>
    <row r="317">
      <c r="A317" s="49"/>
      <c r="B317" s="49"/>
      <c r="C317" s="49"/>
      <c r="D317" s="50"/>
      <c r="E317" s="50"/>
      <c r="F317" s="50"/>
      <c r="G317" s="50"/>
      <c r="H317" s="49"/>
      <c r="I317" s="49"/>
      <c r="J317" s="49"/>
      <c r="K317" s="49"/>
      <c r="L317" s="49"/>
      <c r="M317" s="49"/>
      <c r="N317" s="49"/>
      <c r="O317" s="49"/>
      <c r="P317" s="49"/>
      <c r="Q317" s="49"/>
      <c r="R317" s="49"/>
      <c r="S317" s="49"/>
      <c r="T317" s="49"/>
      <c r="U317" s="49"/>
      <c r="V317" s="49"/>
      <c r="W317" s="49"/>
      <c r="X317" s="49"/>
      <c r="Y317" s="49"/>
      <c r="Z317" s="49"/>
      <c r="AA317" s="49"/>
      <c r="AB317" s="49"/>
      <c r="AC317" s="49"/>
      <c r="AD317" s="49"/>
      <c r="AE317" s="49"/>
      <c r="AF317" s="49"/>
      <c r="AG317" s="49"/>
      <c r="AH317" s="49"/>
      <c r="AI317" s="49"/>
      <c r="AJ317" s="49"/>
      <c r="AK317" s="49"/>
      <c r="AL317" s="49"/>
      <c r="AM317" s="49"/>
      <c r="AN317" s="49"/>
      <c r="AO317" s="49"/>
      <c r="AP317" s="49"/>
      <c r="AQ317" s="49"/>
      <c r="AR317" s="49"/>
      <c r="AS317" s="49"/>
      <c r="AT317" s="49"/>
      <c r="AU317" s="49"/>
      <c r="AV317" s="49"/>
      <c r="AW317" s="49"/>
      <c r="AX317" s="49"/>
    </row>
    <row r="318">
      <c r="A318" s="49"/>
      <c r="B318" s="49"/>
      <c r="C318" s="49"/>
      <c r="D318" s="50"/>
      <c r="E318" s="50"/>
      <c r="F318" s="50"/>
      <c r="G318" s="50"/>
      <c r="H318" s="49"/>
      <c r="I318" s="49"/>
      <c r="J318" s="49"/>
      <c r="K318" s="49"/>
      <c r="L318" s="49"/>
      <c r="M318" s="49"/>
      <c r="N318" s="49"/>
      <c r="O318" s="49"/>
      <c r="P318" s="49"/>
      <c r="Q318" s="49"/>
      <c r="R318" s="49"/>
      <c r="S318" s="49"/>
      <c r="T318" s="49"/>
      <c r="U318" s="49"/>
      <c r="V318" s="49"/>
      <c r="W318" s="49"/>
      <c r="X318" s="49"/>
      <c r="Y318" s="49"/>
      <c r="Z318" s="49"/>
      <c r="AA318" s="49"/>
      <c r="AB318" s="49"/>
      <c r="AC318" s="49"/>
      <c r="AD318" s="49"/>
      <c r="AE318" s="49"/>
      <c r="AF318" s="49"/>
      <c r="AG318" s="49"/>
      <c r="AH318" s="49"/>
      <c r="AI318" s="49"/>
      <c r="AJ318" s="49"/>
      <c r="AK318" s="49"/>
      <c r="AL318" s="49"/>
      <c r="AM318" s="49"/>
      <c r="AN318" s="49"/>
      <c r="AO318" s="49"/>
      <c r="AP318" s="49"/>
      <c r="AQ318" s="49"/>
      <c r="AR318" s="49"/>
      <c r="AS318" s="49"/>
      <c r="AT318" s="49"/>
      <c r="AU318" s="49"/>
      <c r="AV318" s="49"/>
      <c r="AW318" s="49"/>
      <c r="AX318" s="49"/>
    </row>
    <row r="319">
      <c r="A319" s="49"/>
      <c r="B319" s="49"/>
      <c r="C319" s="49"/>
      <c r="D319" s="50"/>
      <c r="E319" s="50"/>
      <c r="F319" s="50"/>
      <c r="G319" s="50"/>
      <c r="H319" s="49"/>
      <c r="I319" s="49"/>
      <c r="J319" s="49"/>
      <c r="K319" s="49"/>
      <c r="L319" s="49"/>
      <c r="M319" s="49"/>
      <c r="N319" s="49"/>
      <c r="O319" s="49"/>
      <c r="P319" s="49"/>
      <c r="Q319" s="49"/>
      <c r="R319" s="49"/>
      <c r="S319" s="49"/>
      <c r="T319" s="49"/>
      <c r="U319" s="49"/>
      <c r="V319" s="49"/>
      <c r="W319" s="49"/>
      <c r="X319" s="49"/>
      <c r="Y319" s="49"/>
      <c r="Z319" s="49"/>
      <c r="AA319" s="49"/>
      <c r="AB319" s="49"/>
      <c r="AC319" s="49"/>
      <c r="AD319" s="49"/>
      <c r="AE319" s="49"/>
      <c r="AF319" s="49"/>
      <c r="AG319" s="49"/>
      <c r="AH319" s="49"/>
      <c r="AI319" s="49"/>
      <c r="AJ319" s="49"/>
      <c r="AK319" s="49"/>
      <c r="AL319" s="49"/>
      <c r="AM319" s="49"/>
      <c r="AN319" s="49"/>
      <c r="AO319" s="49"/>
      <c r="AP319" s="49"/>
      <c r="AQ319" s="49"/>
      <c r="AR319" s="49"/>
      <c r="AS319" s="49"/>
      <c r="AT319" s="49"/>
      <c r="AU319" s="49"/>
      <c r="AV319" s="49"/>
      <c r="AW319" s="49"/>
      <c r="AX319" s="49"/>
    </row>
    <row r="320">
      <c r="A320" s="49"/>
      <c r="B320" s="49"/>
      <c r="C320" s="49"/>
      <c r="D320" s="50"/>
      <c r="E320" s="50"/>
      <c r="F320" s="50"/>
      <c r="G320" s="50"/>
      <c r="H320" s="49"/>
      <c r="I320" s="49"/>
      <c r="J320" s="49"/>
      <c r="K320" s="49"/>
      <c r="L320" s="49"/>
      <c r="M320" s="49"/>
      <c r="N320" s="49"/>
      <c r="O320" s="49"/>
      <c r="P320" s="49"/>
      <c r="Q320" s="49"/>
      <c r="R320" s="49"/>
      <c r="S320" s="49"/>
      <c r="T320" s="49"/>
      <c r="U320" s="49"/>
      <c r="V320" s="49"/>
      <c r="W320" s="49"/>
      <c r="X320" s="49"/>
      <c r="Y320" s="49"/>
      <c r="Z320" s="49"/>
      <c r="AA320" s="49"/>
      <c r="AB320" s="49"/>
      <c r="AC320" s="49"/>
      <c r="AD320" s="49"/>
      <c r="AE320" s="49"/>
      <c r="AF320" s="49"/>
      <c r="AG320" s="49"/>
      <c r="AH320" s="49"/>
      <c r="AI320" s="49"/>
      <c r="AJ320" s="49"/>
      <c r="AK320" s="49"/>
      <c r="AL320" s="49"/>
      <c r="AM320" s="49"/>
      <c r="AN320" s="49"/>
      <c r="AO320" s="49"/>
      <c r="AP320" s="49"/>
      <c r="AQ320" s="49"/>
      <c r="AR320" s="49"/>
      <c r="AS320" s="49"/>
      <c r="AT320" s="49"/>
      <c r="AU320" s="49"/>
      <c r="AV320" s="49"/>
      <c r="AW320" s="49"/>
      <c r="AX320" s="49"/>
    </row>
    <row r="321">
      <c r="A321" s="49"/>
      <c r="B321" s="49"/>
      <c r="C321" s="49"/>
      <c r="D321" s="50"/>
      <c r="E321" s="50"/>
      <c r="F321" s="50"/>
      <c r="G321" s="50"/>
      <c r="H321" s="49"/>
      <c r="I321" s="49"/>
      <c r="J321" s="49"/>
      <c r="K321" s="49"/>
      <c r="L321" s="49"/>
      <c r="M321" s="49"/>
      <c r="N321" s="49"/>
      <c r="O321" s="49"/>
      <c r="P321" s="49"/>
      <c r="Q321" s="49"/>
      <c r="R321" s="49"/>
      <c r="S321" s="49"/>
      <c r="T321" s="49"/>
      <c r="U321" s="49"/>
      <c r="V321" s="49"/>
      <c r="W321" s="49"/>
      <c r="X321" s="49"/>
      <c r="Y321" s="49"/>
      <c r="Z321" s="49"/>
      <c r="AA321" s="49"/>
      <c r="AB321" s="49"/>
      <c r="AC321" s="49"/>
      <c r="AD321" s="49"/>
      <c r="AE321" s="49"/>
      <c r="AF321" s="49"/>
      <c r="AG321" s="49"/>
      <c r="AH321" s="49"/>
      <c r="AI321" s="49"/>
      <c r="AJ321" s="49"/>
      <c r="AK321" s="49"/>
      <c r="AL321" s="49"/>
      <c r="AM321" s="49"/>
      <c r="AN321" s="49"/>
      <c r="AO321" s="49"/>
      <c r="AP321" s="49"/>
      <c r="AQ321" s="49"/>
      <c r="AR321" s="49"/>
      <c r="AS321" s="49"/>
      <c r="AT321" s="49"/>
      <c r="AU321" s="49"/>
      <c r="AV321" s="49"/>
      <c r="AW321" s="49"/>
      <c r="AX321" s="49"/>
    </row>
    <row r="322">
      <c r="A322" s="49"/>
      <c r="B322" s="49"/>
      <c r="C322" s="49"/>
      <c r="D322" s="50"/>
      <c r="E322" s="50"/>
      <c r="F322" s="50"/>
      <c r="G322" s="50"/>
      <c r="H322" s="49"/>
      <c r="I322" s="49"/>
      <c r="J322" s="49"/>
      <c r="K322" s="49"/>
      <c r="L322" s="49"/>
      <c r="M322" s="49"/>
      <c r="N322" s="49"/>
      <c r="O322" s="49"/>
      <c r="P322" s="49"/>
      <c r="Q322" s="49"/>
      <c r="R322" s="49"/>
      <c r="S322" s="49"/>
      <c r="T322" s="49"/>
      <c r="U322" s="49"/>
      <c r="V322" s="49"/>
      <c r="W322" s="49"/>
      <c r="X322" s="49"/>
      <c r="Y322" s="49"/>
      <c r="Z322" s="49"/>
      <c r="AA322" s="49"/>
      <c r="AB322" s="49"/>
      <c r="AC322" s="49"/>
      <c r="AD322" s="49"/>
      <c r="AE322" s="49"/>
      <c r="AF322" s="49"/>
      <c r="AG322" s="49"/>
      <c r="AH322" s="49"/>
      <c r="AI322" s="49"/>
      <c r="AJ322" s="49"/>
      <c r="AK322" s="49"/>
      <c r="AL322" s="49"/>
      <c r="AM322" s="49"/>
      <c r="AN322" s="49"/>
      <c r="AO322" s="49"/>
      <c r="AP322" s="49"/>
      <c r="AQ322" s="49"/>
      <c r="AR322" s="49"/>
      <c r="AS322" s="49"/>
      <c r="AT322" s="49"/>
      <c r="AU322" s="49"/>
      <c r="AV322" s="49"/>
      <c r="AW322" s="49"/>
      <c r="AX322" s="49"/>
    </row>
    <row r="323">
      <c r="A323" s="49"/>
      <c r="B323" s="49"/>
      <c r="C323" s="49"/>
      <c r="D323" s="50"/>
      <c r="E323" s="50"/>
      <c r="F323" s="50"/>
      <c r="G323" s="50"/>
      <c r="H323" s="49"/>
      <c r="I323" s="49"/>
      <c r="J323" s="49"/>
      <c r="K323" s="49"/>
      <c r="L323" s="49"/>
      <c r="M323" s="49"/>
      <c r="N323" s="49"/>
      <c r="O323" s="49"/>
      <c r="P323" s="49"/>
      <c r="Q323" s="49"/>
      <c r="R323" s="49"/>
      <c r="S323" s="49"/>
      <c r="T323" s="49"/>
      <c r="U323" s="49"/>
      <c r="V323" s="49"/>
      <c r="W323" s="49"/>
      <c r="X323" s="49"/>
      <c r="Y323" s="49"/>
      <c r="Z323" s="49"/>
      <c r="AA323" s="49"/>
      <c r="AB323" s="49"/>
      <c r="AC323" s="49"/>
      <c r="AD323" s="49"/>
      <c r="AE323" s="49"/>
      <c r="AF323" s="49"/>
      <c r="AG323" s="49"/>
      <c r="AH323" s="49"/>
      <c r="AI323" s="49"/>
      <c r="AJ323" s="49"/>
      <c r="AK323" s="49"/>
      <c r="AL323" s="49"/>
      <c r="AM323" s="49"/>
      <c r="AN323" s="49"/>
      <c r="AO323" s="49"/>
      <c r="AP323" s="49"/>
      <c r="AQ323" s="49"/>
      <c r="AR323" s="49"/>
      <c r="AS323" s="49"/>
      <c r="AT323" s="49"/>
      <c r="AU323" s="49"/>
      <c r="AV323" s="49"/>
      <c r="AW323" s="49"/>
      <c r="AX323" s="49"/>
    </row>
    <row r="324">
      <c r="A324" s="49"/>
      <c r="B324" s="49"/>
      <c r="C324" s="49"/>
      <c r="D324" s="50"/>
      <c r="E324" s="50"/>
      <c r="F324" s="50"/>
      <c r="G324" s="50"/>
      <c r="H324" s="49"/>
      <c r="I324" s="49"/>
      <c r="J324" s="49"/>
      <c r="K324" s="49"/>
      <c r="L324" s="49"/>
      <c r="M324" s="49"/>
      <c r="N324" s="49"/>
      <c r="O324" s="49"/>
      <c r="P324" s="49"/>
      <c r="Q324" s="49"/>
      <c r="R324" s="49"/>
      <c r="S324" s="49"/>
      <c r="T324" s="49"/>
      <c r="U324" s="49"/>
      <c r="V324" s="49"/>
      <c r="W324" s="49"/>
      <c r="X324" s="49"/>
      <c r="Y324" s="49"/>
      <c r="Z324" s="49"/>
      <c r="AA324" s="49"/>
      <c r="AB324" s="49"/>
      <c r="AC324" s="49"/>
      <c r="AD324" s="49"/>
      <c r="AE324" s="49"/>
      <c r="AF324" s="49"/>
      <c r="AG324" s="49"/>
      <c r="AH324" s="49"/>
      <c r="AI324" s="49"/>
      <c r="AJ324" s="49"/>
      <c r="AK324" s="49"/>
      <c r="AL324" s="49"/>
      <c r="AM324" s="49"/>
      <c r="AN324" s="49"/>
      <c r="AO324" s="49"/>
      <c r="AP324" s="49"/>
      <c r="AQ324" s="49"/>
      <c r="AR324" s="49"/>
      <c r="AS324" s="49"/>
      <c r="AT324" s="49"/>
      <c r="AU324" s="49"/>
      <c r="AV324" s="49"/>
      <c r="AW324" s="49"/>
      <c r="AX324" s="49"/>
    </row>
    <row r="325">
      <c r="A325" s="49"/>
      <c r="B325" s="49"/>
      <c r="C325" s="49"/>
      <c r="D325" s="50"/>
      <c r="E325" s="50"/>
      <c r="F325" s="50"/>
      <c r="G325" s="50"/>
      <c r="H325" s="49"/>
      <c r="I325" s="49"/>
      <c r="J325" s="49"/>
      <c r="K325" s="49"/>
      <c r="L325" s="49"/>
      <c r="M325" s="49"/>
      <c r="N325" s="49"/>
      <c r="O325" s="49"/>
      <c r="P325" s="49"/>
      <c r="Q325" s="49"/>
      <c r="R325" s="49"/>
      <c r="S325" s="49"/>
      <c r="T325" s="49"/>
      <c r="U325" s="49"/>
      <c r="V325" s="49"/>
      <c r="W325" s="49"/>
      <c r="X325" s="49"/>
      <c r="Y325" s="49"/>
      <c r="Z325" s="49"/>
      <c r="AA325" s="49"/>
      <c r="AB325" s="49"/>
      <c r="AC325" s="49"/>
      <c r="AD325" s="49"/>
      <c r="AE325" s="49"/>
      <c r="AF325" s="49"/>
      <c r="AG325" s="49"/>
      <c r="AH325" s="49"/>
      <c r="AI325" s="49"/>
      <c r="AJ325" s="49"/>
      <c r="AK325" s="49"/>
      <c r="AL325" s="49"/>
      <c r="AM325" s="49"/>
      <c r="AN325" s="49"/>
      <c r="AO325" s="49"/>
      <c r="AP325" s="49"/>
      <c r="AQ325" s="49"/>
      <c r="AR325" s="49"/>
      <c r="AS325" s="49"/>
      <c r="AT325" s="49"/>
      <c r="AU325" s="49"/>
      <c r="AV325" s="49"/>
      <c r="AW325" s="49"/>
      <c r="AX325" s="49"/>
    </row>
    <row r="326">
      <c r="A326" s="49"/>
      <c r="B326" s="49"/>
      <c r="C326" s="49"/>
      <c r="D326" s="50"/>
      <c r="E326" s="50"/>
      <c r="F326" s="50"/>
      <c r="G326" s="50"/>
      <c r="H326" s="49"/>
      <c r="I326" s="49"/>
      <c r="J326" s="49"/>
      <c r="K326" s="49"/>
      <c r="L326" s="49"/>
      <c r="M326" s="49"/>
      <c r="N326" s="49"/>
      <c r="O326" s="49"/>
      <c r="P326" s="49"/>
      <c r="Q326" s="49"/>
      <c r="R326" s="49"/>
      <c r="S326" s="49"/>
      <c r="T326" s="49"/>
      <c r="U326" s="49"/>
      <c r="V326" s="49"/>
      <c r="W326" s="49"/>
      <c r="X326" s="49"/>
      <c r="Y326" s="49"/>
      <c r="Z326" s="49"/>
      <c r="AA326" s="49"/>
      <c r="AB326" s="49"/>
      <c r="AC326" s="49"/>
      <c r="AD326" s="49"/>
      <c r="AE326" s="49"/>
      <c r="AF326" s="49"/>
      <c r="AG326" s="49"/>
      <c r="AH326" s="49"/>
      <c r="AI326" s="49"/>
      <c r="AJ326" s="49"/>
      <c r="AK326" s="49"/>
      <c r="AL326" s="49"/>
      <c r="AM326" s="49"/>
      <c r="AN326" s="49"/>
      <c r="AO326" s="49"/>
      <c r="AP326" s="49"/>
      <c r="AQ326" s="49"/>
      <c r="AR326" s="49"/>
      <c r="AS326" s="49"/>
      <c r="AT326" s="49"/>
      <c r="AU326" s="49"/>
      <c r="AV326" s="49"/>
      <c r="AW326" s="49"/>
      <c r="AX326" s="49"/>
    </row>
    <row r="327">
      <c r="A327" s="49"/>
      <c r="B327" s="49"/>
      <c r="C327" s="49"/>
      <c r="D327" s="50"/>
      <c r="E327" s="50"/>
      <c r="F327" s="50"/>
      <c r="G327" s="50"/>
      <c r="H327" s="49"/>
      <c r="I327" s="49"/>
      <c r="J327" s="49"/>
      <c r="K327" s="49"/>
      <c r="L327" s="49"/>
      <c r="M327" s="49"/>
      <c r="N327" s="49"/>
      <c r="O327" s="49"/>
      <c r="P327" s="49"/>
      <c r="Q327" s="49"/>
      <c r="R327" s="49"/>
      <c r="S327" s="49"/>
      <c r="T327" s="49"/>
      <c r="U327" s="49"/>
      <c r="V327" s="49"/>
      <c r="W327" s="49"/>
      <c r="X327" s="49"/>
      <c r="Y327" s="49"/>
      <c r="Z327" s="49"/>
      <c r="AA327" s="49"/>
      <c r="AB327" s="49"/>
      <c r="AC327" s="49"/>
      <c r="AD327" s="49"/>
      <c r="AE327" s="49"/>
      <c r="AF327" s="49"/>
      <c r="AG327" s="49"/>
      <c r="AH327" s="49"/>
      <c r="AI327" s="49"/>
      <c r="AJ327" s="49"/>
      <c r="AK327" s="49"/>
      <c r="AL327" s="49"/>
      <c r="AM327" s="49"/>
      <c r="AN327" s="49"/>
      <c r="AO327" s="49"/>
      <c r="AP327" s="49"/>
      <c r="AQ327" s="49"/>
      <c r="AR327" s="49"/>
      <c r="AS327" s="49"/>
      <c r="AT327" s="49"/>
      <c r="AU327" s="49"/>
      <c r="AV327" s="49"/>
      <c r="AW327" s="49"/>
      <c r="AX327" s="49"/>
    </row>
    <row r="328">
      <c r="A328" s="49"/>
      <c r="B328" s="49"/>
      <c r="C328" s="49"/>
      <c r="D328" s="50"/>
      <c r="E328" s="50"/>
      <c r="F328" s="50"/>
      <c r="G328" s="50"/>
      <c r="H328" s="49"/>
      <c r="I328" s="49"/>
      <c r="J328" s="49"/>
      <c r="K328" s="49"/>
      <c r="L328" s="49"/>
      <c r="M328" s="49"/>
      <c r="N328" s="49"/>
      <c r="O328" s="49"/>
      <c r="P328" s="49"/>
      <c r="Q328" s="49"/>
      <c r="R328" s="49"/>
      <c r="S328" s="49"/>
      <c r="T328" s="49"/>
      <c r="U328" s="49"/>
      <c r="V328" s="49"/>
      <c r="W328" s="49"/>
      <c r="X328" s="49"/>
      <c r="Y328" s="49"/>
      <c r="Z328" s="49"/>
      <c r="AA328" s="49"/>
      <c r="AB328" s="49"/>
      <c r="AC328" s="49"/>
      <c r="AD328" s="49"/>
      <c r="AE328" s="49"/>
      <c r="AF328" s="49"/>
      <c r="AG328" s="49"/>
      <c r="AH328" s="49"/>
      <c r="AI328" s="49"/>
      <c r="AJ328" s="49"/>
      <c r="AK328" s="49"/>
      <c r="AL328" s="49"/>
      <c r="AM328" s="49"/>
      <c r="AN328" s="49"/>
      <c r="AO328" s="49"/>
      <c r="AP328" s="49"/>
      <c r="AQ328" s="49"/>
      <c r="AR328" s="49"/>
      <c r="AS328" s="49"/>
      <c r="AT328" s="49"/>
      <c r="AU328" s="49"/>
      <c r="AV328" s="49"/>
      <c r="AW328" s="49"/>
      <c r="AX328" s="49"/>
    </row>
    <row r="329">
      <c r="A329" s="49"/>
      <c r="B329" s="49"/>
      <c r="C329" s="49"/>
      <c r="D329" s="50"/>
      <c r="E329" s="50"/>
      <c r="F329" s="50"/>
      <c r="G329" s="50"/>
      <c r="H329" s="49"/>
      <c r="I329" s="49"/>
      <c r="J329" s="49"/>
      <c r="K329" s="49"/>
      <c r="L329" s="49"/>
      <c r="M329" s="49"/>
      <c r="N329" s="49"/>
      <c r="O329" s="49"/>
      <c r="P329" s="49"/>
      <c r="Q329" s="49"/>
      <c r="R329" s="49"/>
      <c r="S329" s="49"/>
      <c r="T329" s="49"/>
      <c r="U329" s="49"/>
      <c r="V329" s="49"/>
      <c r="W329" s="49"/>
      <c r="X329" s="49"/>
      <c r="Y329" s="49"/>
      <c r="Z329" s="49"/>
      <c r="AA329" s="49"/>
      <c r="AB329" s="49"/>
      <c r="AC329" s="49"/>
      <c r="AD329" s="49"/>
      <c r="AE329" s="49"/>
      <c r="AF329" s="49"/>
      <c r="AG329" s="49"/>
      <c r="AH329" s="49"/>
      <c r="AI329" s="49"/>
      <c r="AJ329" s="49"/>
      <c r="AK329" s="49"/>
      <c r="AL329" s="49"/>
      <c r="AM329" s="49"/>
      <c r="AN329" s="49"/>
      <c r="AO329" s="49"/>
      <c r="AP329" s="49"/>
      <c r="AQ329" s="49"/>
      <c r="AR329" s="49"/>
      <c r="AS329" s="49"/>
      <c r="AT329" s="49"/>
      <c r="AU329" s="49"/>
      <c r="AV329" s="49"/>
      <c r="AW329" s="49"/>
      <c r="AX329" s="49"/>
    </row>
    <row r="330">
      <c r="A330" s="49"/>
      <c r="B330" s="49"/>
      <c r="C330" s="49"/>
      <c r="D330" s="50"/>
      <c r="E330" s="50"/>
      <c r="F330" s="50"/>
      <c r="G330" s="50"/>
      <c r="H330" s="49"/>
      <c r="I330" s="49"/>
      <c r="J330" s="49"/>
      <c r="K330" s="49"/>
      <c r="L330" s="49"/>
      <c r="M330" s="49"/>
      <c r="N330" s="49"/>
      <c r="O330" s="49"/>
      <c r="P330" s="49"/>
      <c r="Q330" s="49"/>
      <c r="R330" s="49"/>
      <c r="S330" s="49"/>
      <c r="T330" s="49"/>
      <c r="U330" s="49"/>
      <c r="V330" s="49"/>
      <c r="W330" s="49"/>
      <c r="X330" s="49"/>
      <c r="Y330" s="49"/>
      <c r="Z330" s="49"/>
      <c r="AA330" s="49"/>
      <c r="AB330" s="49"/>
      <c r="AC330" s="49"/>
      <c r="AD330" s="49"/>
      <c r="AE330" s="49"/>
      <c r="AF330" s="49"/>
      <c r="AG330" s="49"/>
      <c r="AH330" s="49"/>
      <c r="AI330" s="49"/>
      <c r="AJ330" s="49"/>
      <c r="AK330" s="49"/>
      <c r="AL330" s="49"/>
      <c r="AM330" s="49"/>
      <c r="AN330" s="49"/>
      <c r="AO330" s="49"/>
      <c r="AP330" s="49"/>
      <c r="AQ330" s="49"/>
      <c r="AR330" s="49"/>
      <c r="AS330" s="49"/>
      <c r="AT330" s="49"/>
      <c r="AU330" s="49"/>
      <c r="AV330" s="49"/>
      <c r="AW330" s="49"/>
      <c r="AX330" s="49"/>
    </row>
    <row r="331">
      <c r="A331" s="49"/>
      <c r="B331" s="49"/>
      <c r="C331" s="49"/>
      <c r="D331" s="50"/>
      <c r="E331" s="50"/>
      <c r="F331" s="50"/>
      <c r="G331" s="50"/>
      <c r="H331" s="49"/>
      <c r="I331" s="49"/>
      <c r="J331" s="49"/>
      <c r="K331" s="49"/>
      <c r="L331" s="49"/>
      <c r="M331" s="49"/>
      <c r="N331" s="49"/>
      <c r="O331" s="49"/>
      <c r="P331" s="49"/>
      <c r="Q331" s="49"/>
      <c r="R331" s="49"/>
      <c r="S331" s="49"/>
      <c r="T331" s="49"/>
      <c r="U331" s="49"/>
      <c r="V331" s="49"/>
      <c r="W331" s="49"/>
      <c r="X331" s="49"/>
      <c r="Y331" s="49"/>
      <c r="Z331" s="49"/>
      <c r="AA331" s="49"/>
      <c r="AB331" s="49"/>
      <c r="AC331" s="49"/>
      <c r="AD331" s="49"/>
      <c r="AE331" s="49"/>
      <c r="AF331" s="49"/>
      <c r="AG331" s="49"/>
      <c r="AH331" s="49"/>
      <c r="AI331" s="49"/>
      <c r="AJ331" s="49"/>
      <c r="AK331" s="49"/>
      <c r="AL331" s="49"/>
      <c r="AM331" s="49"/>
      <c r="AN331" s="49"/>
      <c r="AO331" s="49"/>
      <c r="AP331" s="49"/>
      <c r="AQ331" s="49"/>
      <c r="AR331" s="49"/>
      <c r="AS331" s="49"/>
      <c r="AT331" s="49"/>
      <c r="AU331" s="49"/>
      <c r="AV331" s="49"/>
      <c r="AW331" s="49"/>
      <c r="AX331" s="49"/>
    </row>
    <row r="332">
      <c r="A332" s="49"/>
      <c r="B332" s="49"/>
      <c r="C332" s="49"/>
      <c r="D332" s="50"/>
      <c r="E332" s="50"/>
      <c r="F332" s="50"/>
      <c r="G332" s="50"/>
      <c r="H332" s="49"/>
      <c r="I332" s="49"/>
      <c r="J332" s="49"/>
      <c r="K332" s="49"/>
      <c r="L332" s="49"/>
      <c r="M332" s="49"/>
      <c r="N332" s="49"/>
      <c r="O332" s="49"/>
      <c r="P332" s="49"/>
      <c r="Q332" s="49"/>
      <c r="R332" s="49"/>
      <c r="S332" s="49"/>
      <c r="T332" s="49"/>
      <c r="U332" s="49"/>
      <c r="V332" s="49"/>
      <c r="W332" s="49"/>
      <c r="X332" s="49"/>
      <c r="Y332" s="49"/>
      <c r="Z332" s="49"/>
      <c r="AA332" s="49"/>
      <c r="AB332" s="49"/>
      <c r="AC332" s="49"/>
      <c r="AD332" s="49"/>
      <c r="AE332" s="49"/>
      <c r="AF332" s="49"/>
      <c r="AG332" s="49"/>
      <c r="AH332" s="49"/>
      <c r="AI332" s="49"/>
      <c r="AJ332" s="49"/>
      <c r="AK332" s="49"/>
      <c r="AL332" s="49"/>
      <c r="AM332" s="49"/>
      <c r="AN332" s="49"/>
      <c r="AO332" s="49"/>
      <c r="AP332" s="49"/>
      <c r="AQ332" s="49"/>
      <c r="AR332" s="49"/>
      <c r="AS332" s="49"/>
      <c r="AT332" s="49"/>
      <c r="AU332" s="49"/>
      <c r="AV332" s="49"/>
      <c r="AW332" s="49"/>
      <c r="AX332" s="49"/>
    </row>
    <row r="333">
      <c r="A333" s="49"/>
      <c r="B333" s="49"/>
      <c r="C333" s="49"/>
      <c r="D333" s="50"/>
      <c r="E333" s="50"/>
      <c r="F333" s="50"/>
      <c r="G333" s="50"/>
      <c r="H333" s="49"/>
      <c r="I333" s="49"/>
      <c r="J333" s="49"/>
      <c r="K333" s="49"/>
      <c r="L333" s="49"/>
      <c r="M333" s="49"/>
      <c r="N333" s="49"/>
      <c r="O333" s="49"/>
      <c r="P333" s="49"/>
      <c r="Q333" s="49"/>
      <c r="R333" s="49"/>
      <c r="S333" s="49"/>
      <c r="T333" s="49"/>
      <c r="U333" s="49"/>
      <c r="V333" s="49"/>
      <c r="W333" s="49"/>
      <c r="X333" s="49"/>
      <c r="Y333" s="49"/>
      <c r="Z333" s="49"/>
      <c r="AA333" s="49"/>
      <c r="AB333" s="49"/>
      <c r="AC333" s="49"/>
      <c r="AD333" s="49"/>
      <c r="AE333" s="49"/>
      <c r="AF333" s="49"/>
      <c r="AG333" s="49"/>
      <c r="AH333" s="49"/>
      <c r="AI333" s="49"/>
      <c r="AJ333" s="49"/>
      <c r="AK333" s="49"/>
      <c r="AL333" s="49"/>
      <c r="AM333" s="49"/>
      <c r="AN333" s="49"/>
      <c r="AO333" s="49"/>
      <c r="AP333" s="49"/>
      <c r="AQ333" s="49"/>
      <c r="AR333" s="49"/>
      <c r="AS333" s="49"/>
      <c r="AT333" s="49"/>
      <c r="AU333" s="49"/>
      <c r="AV333" s="49"/>
      <c r="AW333" s="49"/>
      <c r="AX333" s="49"/>
    </row>
    <row r="334">
      <c r="A334" s="49"/>
      <c r="B334" s="49"/>
      <c r="C334" s="49"/>
      <c r="D334" s="50"/>
      <c r="E334" s="50"/>
      <c r="F334" s="50"/>
      <c r="G334" s="50"/>
      <c r="H334" s="49"/>
      <c r="I334" s="49"/>
      <c r="J334" s="49"/>
      <c r="K334" s="49"/>
      <c r="L334" s="49"/>
      <c r="M334" s="49"/>
      <c r="N334" s="49"/>
      <c r="O334" s="49"/>
      <c r="P334" s="49"/>
      <c r="Q334" s="49"/>
      <c r="R334" s="49"/>
      <c r="S334" s="49"/>
      <c r="T334" s="49"/>
      <c r="U334" s="49"/>
      <c r="V334" s="49"/>
      <c r="W334" s="49"/>
      <c r="X334" s="49"/>
      <c r="Y334" s="49"/>
      <c r="Z334" s="49"/>
      <c r="AA334" s="49"/>
      <c r="AB334" s="49"/>
      <c r="AC334" s="49"/>
      <c r="AD334" s="49"/>
      <c r="AE334" s="49"/>
      <c r="AF334" s="49"/>
      <c r="AG334" s="49"/>
      <c r="AH334" s="49"/>
      <c r="AI334" s="49"/>
      <c r="AJ334" s="49"/>
      <c r="AK334" s="49"/>
      <c r="AL334" s="49"/>
      <c r="AM334" s="49"/>
      <c r="AN334" s="49"/>
      <c r="AO334" s="49"/>
      <c r="AP334" s="49"/>
      <c r="AQ334" s="49"/>
      <c r="AR334" s="49"/>
      <c r="AS334" s="49"/>
      <c r="AT334" s="49"/>
      <c r="AU334" s="49"/>
      <c r="AV334" s="49"/>
      <c r="AW334" s="49"/>
      <c r="AX334" s="49"/>
    </row>
    <row r="335">
      <c r="A335" s="49"/>
      <c r="B335" s="49"/>
      <c r="C335" s="49"/>
      <c r="D335" s="50"/>
      <c r="E335" s="50"/>
      <c r="F335" s="50"/>
      <c r="G335" s="50"/>
      <c r="H335" s="49"/>
      <c r="I335" s="49"/>
      <c r="J335" s="49"/>
      <c r="K335" s="49"/>
      <c r="L335" s="49"/>
      <c r="M335" s="49"/>
      <c r="N335" s="49"/>
      <c r="O335" s="49"/>
      <c r="P335" s="49"/>
      <c r="Q335" s="49"/>
      <c r="R335" s="49"/>
      <c r="S335" s="49"/>
      <c r="T335" s="49"/>
      <c r="U335" s="49"/>
      <c r="V335" s="49"/>
      <c r="W335" s="49"/>
      <c r="X335" s="49"/>
      <c r="Y335" s="49"/>
      <c r="Z335" s="49"/>
      <c r="AA335" s="49"/>
      <c r="AB335" s="49"/>
      <c r="AC335" s="49"/>
      <c r="AD335" s="49"/>
      <c r="AE335" s="49"/>
      <c r="AF335" s="49"/>
      <c r="AG335" s="49"/>
      <c r="AH335" s="49"/>
      <c r="AI335" s="49"/>
      <c r="AJ335" s="49"/>
      <c r="AK335" s="49"/>
      <c r="AL335" s="49"/>
      <c r="AM335" s="49"/>
      <c r="AN335" s="49"/>
      <c r="AO335" s="49"/>
      <c r="AP335" s="49"/>
      <c r="AQ335" s="49"/>
      <c r="AR335" s="49"/>
      <c r="AS335" s="49"/>
      <c r="AT335" s="49"/>
      <c r="AU335" s="49"/>
      <c r="AV335" s="49"/>
      <c r="AW335" s="49"/>
      <c r="AX335" s="49"/>
    </row>
    <row r="336">
      <c r="A336" s="49"/>
      <c r="B336" s="49"/>
      <c r="C336" s="49"/>
      <c r="D336" s="50"/>
      <c r="E336" s="50"/>
      <c r="F336" s="50"/>
      <c r="G336" s="50"/>
      <c r="H336" s="49"/>
      <c r="I336" s="49"/>
      <c r="J336" s="49"/>
      <c r="K336" s="49"/>
      <c r="L336" s="49"/>
      <c r="M336" s="49"/>
      <c r="N336" s="49"/>
      <c r="O336" s="49"/>
      <c r="P336" s="49"/>
      <c r="Q336" s="49"/>
      <c r="R336" s="49"/>
      <c r="S336" s="49"/>
      <c r="T336" s="49"/>
      <c r="U336" s="49"/>
      <c r="V336" s="49"/>
      <c r="W336" s="49"/>
      <c r="X336" s="49"/>
      <c r="Y336" s="49"/>
      <c r="Z336" s="49"/>
      <c r="AA336" s="49"/>
      <c r="AB336" s="49"/>
      <c r="AC336" s="49"/>
      <c r="AD336" s="49"/>
      <c r="AE336" s="49"/>
      <c r="AF336" s="49"/>
      <c r="AG336" s="49"/>
      <c r="AH336" s="49"/>
      <c r="AI336" s="49"/>
      <c r="AJ336" s="49"/>
      <c r="AK336" s="49"/>
      <c r="AL336" s="49"/>
      <c r="AM336" s="49"/>
      <c r="AN336" s="49"/>
      <c r="AO336" s="49"/>
      <c r="AP336" s="49"/>
      <c r="AQ336" s="49"/>
      <c r="AR336" s="49"/>
      <c r="AS336" s="49"/>
      <c r="AT336" s="49"/>
      <c r="AU336" s="49"/>
      <c r="AV336" s="49"/>
      <c r="AW336" s="49"/>
      <c r="AX336" s="49"/>
    </row>
    <row r="337">
      <c r="A337" s="49"/>
      <c r="B337" s="49"/>
      <c r="C337" s="49"/>
      <c r="D337" s="50"/>
      <c r="E337" s="50"/>
      <c r="F337" s="50"/>
      <c r="G337" s="50"/>
      <c r="H337" s="49"/>
      <c r="I337" s="49"/>
      <c r="J337" s="49"/>
      <c r="K337" s="49"/>
      <c r="L337" s="49"/>
      <c r="M337" s="49"/>
      <c r="N337" s="49"/>
      <c r="O337" s="49"/>
      <c r="P337" s="49"/>
      <c r="Q337" s="49"/>
      <c r="R337" s="49"/>
      <c r="S337" s="49"/>
      <c r="T337" s="49"/>
      <c r="U337" s="49"/>
      <c r="V337" s="49"/>
      <c r="W337" s="49"/>
      <c r="X337" s="49"/>
      <c r="Y337" s="49"/>
      <c r="Z337" s="49"/>
      <c r="AA337" s="49"/>
      <c r="AB337" s="49"/>
      <c r="AC337" s="49"/>
      <c r="AD337" s="49"/>
      <c r="AE337" s="49"/>
      <c r="AF337" s="49"/>
      <c r="AG337" s="49"/>
      <c r="AH337" s="49"/>
      <c r="AI337" s="49"/>
      <c r="AJ337" s="49"/>
      <c r="AK337" s="49"/>
      <c r="AL337" s="49"/>
      <c r="AM337" s="49"/>
      <c r="AN337" s="49"/>
      <c r="AO337" s="49"/>
      <c r="AP337" s="49"/>
      <c r="AQ337" s="49"/>
      <c r="AR337" s="49"/>
      <c r="AS337" s="49"/>
      <c r="AT337" s="49"/>
      <c r="AU337" s="49"/>
      <c r="AV337" s="49"/>
      <c r="AW337" s="49"/>
      <c r="AX337" s="49"/>
    </row>
    <row r="338">
      <c r="A338" s="49"/>
      <c r="B338" s="49"/>
      <c r="C338" s="49"/>
      <c r="D338" s="50"/>
      <c r="E338" s="50"/>
      <c r="F338" s="50"/>
      <c r="G338" s="50"/>
      <c r="H338" s="49"/>
      <c r="I338" s="49"/>
      <c r="J338" s="49"/>
      <c r="K338" s="49"/>
      <c r="L338" s="49"/>
      <c r="M338" s="49"/>
      <c r="N338" s="49"/>
      <c r="O338" s="49"/>
      <c r="P338" s="49"/>
      <c r="Q338" s="49"/>
      <c r="R338" s="49"/>
      <c r="S338" s="49"/>
      <c r="T338" s="49"/>
      <c r="U338" s="49"/>
      <c r="V338" s="49"/>
      <c r="W338" s="49"/>
      <c r="X338" s="49"/>
      <c r="Y338" s="49"/>
      <c r="Z338" s="49"/>
      <c r="AA338" s="49"/>
      <c r="AB338" s="49"/>
      <c r="AC338" s="49"/>
      <c r="AD338" s="49"/>
      <c r="AE338" s="49"/>
      <c r="AF338" s="49"/>
      <c r="AG338" s="49"/>
      <c r="AH338" s="49"/>
      <c r="AI338" s="49"/>
      <c r="AJ338" s="49"/>
      <c r="AK338" s="49"/>
      <c r="AL338" s="49"/>
      <c r="AM338" s="49"/>
      <c r="AN338" s="49"/>
      <c r="AO338" s="49"/>
      <c r="AP338" s="49"/>
      <c r="AQ338" s="49"/>
      <c r="AR338" s="49"/>
      <c r="AS338" s="49"/>
      <c r="AT338" s="49"/>
      <c r="AU338" s="49"/>
      <c r="AV338" s="49"/>
      <c r="AW338" s="49"/>
      <c r="AX338" s="49"/>
    </row>
    <row r="339">
      <c r="A339" s="49"/>
      <c r="B339" s="49"/>
      <c r="C339" s="49"/>
      <c r="D339" s="50"/>
      <c r="E339" s="50"/>
      <c r="F339" s="50"/>
      <c r="G339" s="50"/>
      <c r="H339" s="49"/>
      <c r="I339" s="49"/>
      <c r="J339" s="49"/>
      <c r="K339" s="49"/>
      <c r="L339" s="49"/>
      <c r="M339" s="49"/>
      <c r="N339" s="49"/>
      <c r="O339" s="49"/>
      <c r="P339" s="49"/>
      <c r="Q339" s="49"/>
      <c r="R339" s="49"/>
      <c r="S339" s="49"/>
      <c r="T339" s="49"/>
      <c r="U339" s="49"/>
      <c r="V339" s="49"/>
      <c r="W339" s="49"/>
      <c r="X339" s="49"/>
      <c r="Y339" s="49"/>
      <c r="Z339" s="49"/>
      <c r="AA339" s="49"/>
      <c r="AB339" s="49"/>
      <c r="AC339" s="49"/>
      <c r="AD339" s="49"/>
      <c r="AE339" s="49"/>
      <c r="AF339" s="49"/>
      <c r="AG339" s="49"/>
      <c r="AH339" s="49"/>
      <c r="AI339" s="49"/>
      <c r="AJ339" s="49"/>
      <c r="AK339" s="49"/>
      <c r="AL339" s="49"/>
      <c r="AM339" s="49"/>
      <c r="AN339" s="49"/>
      <c r="AO339" s="49"/>
      <c r="AP339" s="49"/>
      <c r="AQ339" s="49"/>
      <c r="AR339" s="49"/>
      <c r="AS339" s="49"/>
      <c r="AT339" s="49"/>
      <c r="AU339" s="49"/>
      <c r="AV339" s="49"/>
      <c r="AW339" s="49"/>
      <c r="AX339" s="49"/>
    </row>
    <row r="340">
      <c r="A340" s="49"/>
      <c r="B340" s="49"/>
      <c r="C340" s="49"/>
      <c r="D340" s="50"/>
      <c r="E340" s="50"/>
      <c r="F340" s="50"/>
      <c r="G340" s="50"/>
      <c r="H340" s="49"/>
      <c r="I340" s="49"/>
      <c r="J340" s="49"/>
      <c r="K340" s="49"/>
      <c r="L340" s="49"/>
      <c r="M340" s="49"/>
      <c r="N340" s="49"/>
      <c r="O340" s="49"/>
      <c r="P340" s="49"/>
      <c r="Q340" s="49"/>
      <c r="R340" s="49"/>
      <c r="S340" s="49"/>
      <c r="T340" s="49"/>
      <c r="U340" s="49"/>
      <c r="V340" s="49"/>
      <c r="W340" s="49"/>
      <c r="X340" s="49"/>
      <c r="Y340" s="49"/>
      <c r="Z340" s="49"/>
      <c r="AA340" s="49"/>
      <c r="AB340" s="49"/>
      <c r="AC340" s="49"/>
      <c r="AD340" s="49"/>
      <c r="AE340" s="49"/>
      <c r="AF340" s="49"/>
      <c r="AG340" s="49"/>
      <c r="AH340" s="49"/>
      <c r="AI340" s="49"/>
      <c r="AJ340" s="49"/>
      <c r="AK340" s="49"/>
      <c r="AL340" s="49"/>
      <c r="AM340" s="49"/>
      <c r="AN340" s="49"/>
      <c r="AO340" s="49"/>
      <c r="AP340" s="49"/>
      <c r="AQ340" s="49"/>
      <c r="AR340" s="49"/>
      <c r="AS340" s="49"/>
      <c r="AT340" s="49"/>
      <c r="AU340" s="49"/>
      <c r="AV340" s="49"/>
      <c r="AW340" s="49"/>
      <c r="AX340" s="49"/>
    </row>
    <row r="341">
      <c r="A341" s="49"/>
      <c r="B341" s="49"/>
      <c r="C341" s="49"/>
      <c r="D341" s="50"/>
      <c r="E341" s="50"/>
      <c r="F341" s="50"/>
      <c r="G341" s="50"/>
      <c r="H341" s="49"/>
      <c r="I341" s="49"/>
      <c r="J341" s="49"/>
      <c r="K341" s="49"/>
      <c r="L341" s="49"/>
      <c r="M341" s="49"/>
      <c r="N341" s="49"/>
      <c r="O341" s="49"/>
      <c r="P341" s="49"/>
      <c r="Q341" s="49"/>
      <c r="R341" s="49"/>
      <c r="S341" s="49"/>
      <c r="T341" s="49"/>
      <c r="U341" s="49"/>
      <c r="V341" s="49"/>
      <c r="W341" s="49"/>
      <c r="X341" s="49"/>
      <c r="Y341" s="49"/>
      <c r="Z341" s="49"/>
      <c r="AA341" s="49"/>
      <c r="AB341" s="49"/>
      <c r="AC341" s="49"/>
      <c r="AD341" s="49"/>
      <c r="AE341" s="49"/>
      <c r="AF341" s="49"/>
      <c r="AG341" s="49"/>
      <c r="AH341" s="49"/>
      <c r="AI341" s="49"/>
      <c r="AJ341" s="49"/>
      <c r="AK341" s="49"/>
      <c r="AL341" s="49"/>
      <c r="AM341" s="49"/>
      <c r="AN341" s="49"/>
      <c r="AO341" s="49"/>
      <c r="AP341" s="49"/>
      <c r="AQ341" s="49"/>
      <c r="AR341" s="49"/>
      <c r="AS341" s="49"/>
      <c r="AT341" s="49"/>
      <c r="AU341" s="49"/>
      <c r="AV341" s="49"/>
      <c r="AW341" s="49"/>
      <c r="AX341" s="49"/>
    </row>
    <row r="342">
      <c r="A342" s="49"/>
      <c r="B342" s="49"/>
      <c r="C342" s="49"/>
      <c r="D342" s="50"/>
      <c r="E342" s="50"/>
      <c r="F342" s="50"/>
      <c r="G342" s="50"/>
      <c r="H342" s="49"/>
      <c r="I342" s="49"/>
      <c r="J342" s="49"/>
      <c r="K342" s="49"/>
      <c r="L342" s="49"/>
      <c r="M342" s="49"/>
      <c r="N342" s="49"/>
      <c r="O342" s="49"/>
      <c r="P342" s="49"/>
      <c r="Q342" s="49"/>
      <c r="R342" s="49"/>
      <c r="S342" s="49"/>
      <c r="T342" s="49"/>
      <c r="U342" s="49"/>
      <c r="V342" s="49"/>
      <c r="W342" s="49"/>
      <c r="X342" s="49"/>
      <c r="Y342" s="49"/>
      <c r="Z342" s="49"/>
      <c r="AA342" s="49"/>
      <c r="AB342" s="49"/>
      <c r="AC342" s="49"/>
      <c r="AD342" s="49"/>
      <c r="AE342" s="49"/>
      <c r="AF342" s="49"/>
      <c r="AG342" s="49"/>
      <c r="AH342" s="49"/>
      <c r="AI342" s="49"/>
      <c r="AJ342" s="49"/>
      <c r="AK342" s="49"/>
      <c r="AL342" s="49"/>
      <c r="AM342" s="49"/>
      <c r="AN342" s="49"/>
      <c r="AO342" s="49"/>
      <c r="AP342" s="49"/>
      <c r="AQ342" s="49"/>
      <c r="AR342" s="49"/>
      <c r="AS342" s="49"/>
      <c r="AT342" s="49"/>
      <c r="AU342" s="49"/>
      <c r="AV342" s="49"/>
      <c r="AW342" s="49"/>
      <c r="AX342" s="49"/>
    </row>
    <row r="343">
      <c r="A343" s="49"/>
      <c r="B343" s="49"/>
      <c r="C343" s="49"/>
      <c r="D343" s="50"/>
      <c r="E343" s="50"/>
      <c r="F343" s="50"/>
      <c r="G343" s="50"/>
      <c r="H343" s="49"/>
      <c r="I343" s="49"/>
      <c r="J343" s="49"/>
      <c r="K343" s="49"/>
      <c r="L343" s="49"/>
      <c r="M343" s="49"/>
      <c r="N343" s="49"/>
      <c r="O343" s="49"/>
      <c r="P343" s="49"/>
      <c r="Q343" s="49"/>
      <c r="R343" s="49"/>
      <c r="S343" s="49"/>
      <c r="T343" s="49"/>
      <c r="U343" s="49"/>
      <c r="V343" s="49"/>
      <c r="W343" s="49"/>
      <c r="X343" s="49"/>
      <c r="Y343" s="49"/>
      <c r="Z343" s="49"/>
      <c r="AA343" s="49"/>
      <c r="AB343" s="49"/>
      <c r="AC343" s="49"/>
      <c r="AD343" s="49"/>
      <c r="AE343" s="49"/>
      <c r="AF343" s="49"/>
      <c r="AG343" s="49"/>
      <c r="AH343" s="49"/>
      <c r="AI343" s="49"/>
      <c r="AJ343" s="49"/>
      <c r="AK343" s="49"/>
      <c r="AL343" s="49"/>
      <c r="AM343" s="49"/>
      <c r="AN343" s="49"/>
      <c r="AO343" s="49"/>
      <c r="AP343" s="49"/>
      <c r="AQ343" s="49"/>
      <c r="AR343" s="49"/>
      <c r="AS343" s="49"/>
      <c r="AT343" s="49"/>
      <c r="AU343" s="49"/>
      <c r="AV343" s="49"/>
      <c r="AW343" s="49"/>
      <c r="AX343" s="49"/>
    </row>
    <row r="344">
      <c r="A344" s="49"/>
      <c r="B344" s="49"/>
      <c r="C344" s="49"/>
      <c r="D344" s="50"/>
      <c r="E344" s="50"/>
      <c r="F344" s="50"/>
      <c r="G344" s="50"/>
      <c r="H344" s="49"/>
      <c r="I344" s="49"/>
      <c r="J344" s="49"/>
      <c r="K344" s="49"/>
      <c r="L344" s="49"/>
      <c r="M344" s="49"/>
      <c r="N344" s="49"/>
      <c r="O344" s="49"/>
      <c r="P344" s="49"/>
      <c r="Q344" s="49"/>
      <c r="R344" s="49"/>
      <c r="S344" s="49"/>
      <c r="T344" s="49"/>
      <c r="U344" s="49"/>
      <c r="V344" s="49"/>
      <c r="W344" s="49"/>
      <c r="X344" s="49"/>
      <c r="Y344" s="49"/>
      <c r="Z344" s="49"/>
      <c r="AA344" s="49"/>
      <c r="AB344" s="49"/>
      <c r="AC344" s="49"/>
      <c r="AD344" s="49"/>
      <c r="AE344" s="49"/>
      <c r="AF344" s="49"/>
      <c r="AG344" s="49"/>
      <c r="AH344" s="49"/>
      <c r="AI344" s="49"/>
      <c r="AJ344" s="49"/>
      <c r="AK344" s="49"/>
      <c r="AL344" s="49"/>
      <c r="AM344" s="49"/>
      <c r="AN344" s="49"/>
      <c r="AO344" s="49"/>
      <c r="AP344" s="49"/>
      <c r="AQ344" s="49"/>
      <c r="AR344" s="49"/>
      <c r="AS344" s="49"/>
      <c r="AT344" s="49"/>
      <c r="AU344" s="49"/>
      <c r="AV344" s="49"/>
      <c r="AW344" s="49"/>
      <c r="AX344" s="49"/>
    </row>
    <row r="345">
      <c r="A345" s="49"/>
      <c r="B345" s="49"/>
      <c r="C345" s="49"/>
      <c r="D345" s="50"/>
      <c r="E345" s="50"/>
      <c r="F345" s="50"/>
      <c r="G345" s="50"/>
      <c r="H345" s="49"/>
      <c r="I345" s="49"/>
      <c r="J345" s="49"/>
      <c r="K345" s="49"/>
      <c r="L345" s="49"/>
      <c r="M345" s="49"/>
      <c r="N345" s="49"/>
      <c r="O345" s="49"/>
      <c r="P345" s="49"/>
      <c r="Q345" s="49"/>
      <c r="R345" s="49"/>
      <c r="S345" s="49"/>
      <c r="T345" s="49"/>
      <c r="U345" s="49"/>
      <c r="V345" s="49"/>
      <c r="W345" s="49"/>
      <c r="X345" s="49"/>
      <c r="Y345" s="49"/>
      <c r="Z345" s="49"/>
      <c r="AA345" s="49"/>
      <c r="AB345" s="49"/>
      <c r="AC345" s="49"/>
      <c r="AD345" s="49"/>
      <c r="AE345" s="49"/>
      <c r="AF345" s="49"/>
      <c r="AG345" s="49"/>
      <c r="AH345" s="49"/>
      <c r="AI345" s="49"/>
      <c r="AJ345" s="49"/>
      <c r="AK345" s="49"/>
      <c r="AL345" s="49"/>
      <c r="AM345" s="49"/>
      <c r="AN345" s="49"/>
      <c r="AO345" s="49"/>
      <c r="AP345" s="49"/>
      <c r="AQ345" s="49"/>
      <c r="AR345" s="49"/>
      <c r="AS345" s="49"/>
      <c r="AT345" s="49"/>
      <c r="AU345" s="49"/>
      <c r="AV345" s="49"/>
      <c r="AW345" s="49"/>
      <c r="AX345" s="49"/>
    </row>
    <row r="346">
      <c r="A346" s="49"/>
      <c r="B346" s="49"/>
      <c r="C346" s="49"/>
      <c r="D346" s="50"/>
      <c r="E346" s="50"/>
      <c r="F346" s="50"/>
      <c r="G346" s="50"/>
      <c r="H346" s="49"/>
      <c r="I346" s="49"/>
      <c r="J346" s="49"/>
      <c r="K346" s="49"/>
      <c r="L346" s="49"/>
      <c r="M346" s="49"/>
      <c r="N346" s="49"/>
      <c r="O346" s="49"/>
      <c r="P346" s="49"/>
      <c r="Q346" s="49"/>
      <c r="R346" s="49"/>
      <c r="S346" s="49"/>
      <c r="T346" s="49"/>
      <c r="U346" s="49"/>
      <c r="V346" s="49"/>
      <c r="W346" s="49"/>
      <c r="X346" s="49"/>
      <c r="Y346" s="49"/>
      <c r="Z346" s="49"/>
      <c r="AA346" s="49"/>
      <c r="AB346" s="49"/>
      <c r="AC346" s="49"/>
      <c r="AD346" s="49"/>
      <c r="AE346" s="49"/>
      <c r="AF346" s="49"/>
      <c r="AG346" s="49"/>
      <c r="AH346" s="49"/>
      <c r="AI346" s="49"/>
      <c r="AJ346" s="49"/>
      <c r="AK346" s="49"/>
      <c r="AL346" s="49"/>
      <c r="AM346" s="49"/>
      <c r="AN346" s="49"/>
      <c r="AO346" s="49"/>
      <c r="AP346" s="49"/>
      <c r="AQ346" s="49"/>
      <c r="AR346" s="49"/>
      <c r="AS346" s="49"/>
      <c r="AT346" s="49"/>
      <c r="AU346" s="49"/>
      <c r="AV346" s="49"/>
      <c r="AW346" s="49"/>
      <c r="AX346" s="49"/>
    </row>
    <row r="347">
      <c r="A347" s="49"/>
      <c r="B347" s="49"/>
      <c r="C347" s="49"/>
      <c r="D347" s="50"/>
      <c r="E347" s="50"/>
      <c r="F347" s="50"/>
      <c r="G347" s="50"/>
      <c r="H347" s="49"/>
      <c r="I347" s="49"/>
      <c r="J347" s="49"/>
      <c r="K347" s="49"/>
      <c r="L347" s="49"/>
      <c r="M347" s="49"/>
      <c r="N347" s="49"/>
      <c r="O347" s="49"/>
      <c r="P347" s="49"/>
      <c r="Q347" s="49"/>
      <c r="R347" s="49"/>
      <c r="S347" s="49"/>
      <c r="T347" s="49"/>
      <c r="U347" s="49"/>
      <c r="V347" s="49"/>
      <c r="W347" s="49"/>
      <c r="X347" s="49"/>
      <c r="Y347" s="49"/>
      <c r="Z347" s="49"/>
      <c r="AA347" s="49"/>
      <c r="AB347" s="49"/>
      <c r="AC347" s="49"/>
      <c r="AD347" s="49"/>
      <c r="AE347" s="49"/>
      <c r="AF347" s="49"/>
      <c r="AG347" s="49"/>
      <c r="AH347" s="49"/>
      <c r="AI347" s="49"/>
      <c r="AJ347" s="49"/>
      <c r="AK347" s="49"/>
      <c r="AL347" s="49"/>
      <c r="AM347" s="49"/>
      <c r="AN347" s="49"/>
      <c r="AO347" s="49"/>
      <c r="AP347" s="49"/>
      <c r="AQ347" s="49"/>
      <c r="AR347" s="49"/>
      <c r="AS347" s="49"/>
      <c r="AT347" s="49"/>
      <c r="AU347" s="49"/>
      <c r="AV347" s="49"/>
      <c r="AW347" s="49"/>
      <c r="AX347" s="49"/>
    </row>
    <row r="348">
      <c r="A348" s="49"/>
      <c r="B348" s="49"/>
      <c r="C348" s="49"/>
      <c r="D348" s="50"/>
      <c r="E348" s="50"/>
      <c r="F348" s="50"/>
      <c r="G348" s="50"/>
      <c r="H348" s="49"/>
      <c r="I348" s="49"/>
      <c r="J348" s="49"/>
      <c r="K348" s="49"/>
      <c r="L348" s="49"/>
      <c r="M348" s="49"/>
      <c r="N348" s="49"/>
      <c r="O348" s="49"/>
      <c r="P348" s="49"/>
      <c r="Q348" s="49"/>
      <c r="R348" s="49"/>
      <c r="S348" s="49"/>
      <c r="T348" s="49"/>
      <c r="U348" s="49"/>
      <c r="V348" s="49"/>
      <c r="W348" s="49"/>
      <c r="X348" s="49"/>
      <c r="Y348" s="49"/>
      <c r="Z348" s="49"/>
      <c r="AA348" s="49"/>
      <c r="AB348" s="49"/>
      <c r="AC348" s="49"/>
      <c r="AD348" s="49"/>
      <c r="AE348" s="49"/>
      <c r="AF348" s="49"/>
      <c r="AG348" s="49"/>
      <c r="AH348" s="49"/>
      <c r="AI348" s="49"/>
      <c r="AJ348" s="49"/>
      <c r="AK348" s="49"/>
      <c r="AL348" s="49"/>
      <c r="AM348" s="49"/>
      <c r="AN348" s="49"/>
      <c r="AO348" s="49"/>
      <c r="AP348" s="49"/>
      <c r="AQ348" s="49"/>
      <c r="AR348" s="49"/>
      <c r="AS348" s="49"/>
      <c r="AT348" s="49"/>
      <c r="AU348" s="49"/>
      <c r="AV348" s="49"/>
      <c r="AW348" s="49"/>
      <c r="AX348" s="49"/>
    </row>
    <row r="349">
      <c r="A349" s="49"/>
      <c r="B349" s="49"/>
      <c r="C349" s="49"/>
      <c r="D349" s="50"/>
      <c r="E349" s="50"/>
      <c r="F349" s="50"/>
      <c r="G349" s="50"/>
      <c r="H349" s="49"/>
      <c r="I349" s="49"/>
      <c r="J349" s="49"/>
      <c r="K349" s="49"/>
      <c r="L349" s="49"/>
      <c r="M349" s="49"/>
      <c r="N349" s="49"/>
      <c r="O349" s="49"/>
      <c r="P349" s="49"/>
      <c r="Q349" s="49"/>
      <c r="R349" s="49"/>
      <c r="S349" s="49"/>
      <c r="T349" s="49"/>
      <c r="U349" s="49"/>
      <c r="V349" s="49"/>
      <c r="W349" s="49"/>
      <c r="X349" s="49"/>
      <c r="Y349" s="49"/>
      <c r="Z349" s="49"/>
      <c r="AA349" s="49"/>
      <c r="AB349" s="49"/>
      <c r="AC349" s="49"/>
      <c r="AD349" s="49"/>
      <c r="AE349" s="49"/>
      <c r="AF349" s="49"/>
      <c r="AG349" s="49"/>
      <c r="AH349" s="49"/>
      <c r="AI349" s="49"/>
      <c r="AJ349" s="49"/>
      <c r="AK349" s="49"/>
      <c r="AL349" s="49"/>
      <c r="AM349" s="49"/>
      <c r="AN349" s="49"/>
      <c r="AO349" s="49"/>
      <c r="AP349" s="49"/>
      <c r="AQ349" s="49"/>
      <c r="AR349" s="49"/>
      <c r="AS349" s="49"/>
      <c r="AT349" s="49"/>
      <c r="AU349" s="49"/>
      <c r="AV349" s="49"/>
      <c r="AW349" s="49"/>
      <c r="AX349" s="49"/>
    </row>
    <row r="350">
      <c r="A350" s="49"/>
      <c r="B350" s="49"/>
      <c r="C350" s="49"/>
      <c r="D350" s="50"/>
      <c r="E350" s="50"/>
      <c r="F350" s="50"/>
      <c r="G350" s="50"/>
      <c r="H350" s="49"/>
      <c r="I350" s="49"/>
      <c r="J350" s="49"/>
      <c r="K350" s="49"/>
      <c r="L350" s="49"/>
      <c r="M350" s="49"/>
      <c r="N350" s="49"/>
      <c r="O350" s="49"/>
      <c r="P350" s="49"/>
      <c r="Q350" s="49"/>
      <c r="R350" s="49"/>
      <c r="S350" s="49"/>
      <c r="T350" s="49"/>
      <c r="U350" s="49"/>
      <c r="V350" s="49"/>
      <c r="W350" s="49"/>
      <c r="X350" s="49"/>
      <c r="Y350" s="49"/>
      <c r="Z350" s="49"/>
      <c r="AA350" s="49"/>
      <c r="AB350" s="49"/>
      <c r="AC350" s="49"/>
      <c r="AD350" s="49"/>
      <c r="AE350" s="49"/>
      <c r="AF350" s="49"/>
      <c r="AG350" s="49"/>
      <c r="AH350" s="49"/>
      <c r="AI350" s="49"/>
      <c r="AJ350" s="49"/>
      <c r="AK350" s="49"/>
      <c r="AL350" s="49"/>
      <c r="AM350" s="49"/>
      <c r="AN350" s="49"/>
      <c r="AO350" s="49"/>
      <c r="AP350" s="49"/>
      <c r="AQ350" s="49"/>
      <c r="AR350" s="49"/>
      <c r="AS350" s="49"/>
      <c r="AT350" s="49"/>
      <c r="AU350" s="49"/>
      <c r="AV350" s="49"/>
      <c r="AW350" s="49"/>
      <c r="AX350" s="49"/>
    </row>
    <row r="351">
      <c r="A351" s="49"/>
      <c r="B351" s="49"/>
      <c r="C351" s="49"/>
      <c r="D351" s="50"/>
      <c r="E351" s="50"/>
      <c r="F351" s="50"/>
      <c r="G351" s="50"/>
      <c r="H351" s="49"/>
      <c r="I351" s="49"/>
      <c r="J351" s="49"/>
      <c r="K351" s="49"/>
      <c r="L351" s="49"/>
      <c r="M351" s="49"/>
      <c r="N351" s="49"/>
      <c r="O351" s="49"/>
      <c r="P351" s="49"/>
      <c r="Q351" s="49"/>
      <c r="R351" s="49"/>
      <c r="S351" s="49"/>
      <c r="T351" s="49"/>
      <c r="U351" s="49"/>
      <c r="V351" s="49"/>
      <c r="W351" s="49"/>
      <c r="X351" s="49"/>
      <c r="Y351" s="49"/>
      <c r="Z351" s="49"/>
      <c r="AA351" s="49"/>
      <c r="AB351" s="49"/>
      <c r="AC351" s="49"/>
      <c r="AD351" s="49"/>
      <c r="AE351" s="49"/>
      <c r="AF351" s="49"/>
      <c r="AG351" s="49"/>
      <c r="AH351" s="49"/>
      <c r="AI351" s="49"/>
      <c r="AJ351" s="49"/>
      <c r="AK351" s="49"/>
      <c r="AL351" s="49"/>
      <c r="AM351" s="49"/>
      <c r="AN351" s="49"/>
      <c r="AO351" s="49"/>
      <c r="AP351" s="49"/>
      <c r="AQ351" s="49"/>
      <c r="AR351" s="49"/>
      <c r="AS351" s="49"/>
      <c r="AT351" s="49"/>
      <c r="AU351" s="49"/>
      <c r="AV351" s="49"/>
      <c r="AW351" s="49"/>
      <c r="AX351" s="49"/>
    </row>
    <row r="352">
      <c r="A352" s="49"/>
      <c r="B352" s="49"/>
      <c r="C352" s="49"/>
      <c r="D352" s="50"/>
      <c r="E352" s="50"/>
      <c r="F352" s="50"/>
      <c r="G352" s="50"/>
      <c r="H352" s="49"/>
      <c r="I352" s="49"/>
      <c r="J352" s="49"/>
      <c r="K352" s="49"/>
      <c r="L352" s="49"/>
      <c r="M352" s="49"/>
      <c r="N352" s="49"/>
      <c r="O352" s="49"/>
      <c r="P352" s="49"/>
      <c r="Q352" s="49"/>
      <c r="R352" s="49"/>
      <c r="S352" s="49"/>
      <c r="T352" s="49"/>
      <c r="U352" s="49"/>
      <c r="V352" s="49"/>
      <c r="W352" s="49"/>
      <c r="X352" s="49"/>
      <c r="Y352" s="49"/>
      <c r="Z352" s="49"/>
      <c r="AA352" s="49"/>
      <c r="AB352" s="49"/>
      <c r="AC352" s="49"/>
      <c r="AD352" s="49"/>
      <c r="AE352" s="49"/>
      <c r="AF352" s="49"/>
      <c r="AG352" s="49"/>
      <c r="AH352" s="49"/>
      <c r="AI352" s="49"/>
      <c r="AJ352" s="49"/>
      <c r="AK352" s="49"/>
      <c r="AL352" s="49"/>
      <c r="AM352" s="49"/>
      <c r="AN352" s="49"/>
      <c r="AO352" s="49"/>
      <c r="AP352" s="49"/>
      <c r="AQ352" s="49"/>
      <c r="AR352" s="49"/>
      <c r="AS352" s="49"/>
      <c r="AT352" s="49"/>
      <c r="AU352" s="49"/>
      <c r="AV352" s="49"/>
      <c r="AW352" s="49"/>
      <c r="AX352" s="49"/>
    </row>
    <row r="353">
      <c r="A353" s="49"/>
      <c r="B353" s="49"/>
      <c r="C353" s="49"/>
      <c r="D353" s="50"/>
      <c r="E353" s="50"/>
      <c r="F353" s="50"/>
      <c r="G353" s="50"/>
      <c r="H353" s="49"/>
      <c r="I353" s="49"/>
      <c r="J353" s="49"/>
      <c r="K353" s="49"/>
      <c r="L353" s="49"/>
      <c r="M353" s="49"/>
      <c r="N353" s="49"/>
      <c r="O353" s="49"/>
      <c r="P353" s="49"/>
      <c r="Q353" s="49"/>
      <c r="R353" s="49"/>
      <c r="S353" s="49"/>
      <c r="T353" s="49"/>
      <c r="U353" s="49"/>
      <c r="V353" s="49"/>
      <c r="W353" s="49"/>
      <c r="X353" s="49"/>
      <c r="Y353" s="49"/>
      <c r="Z353" s="49"/>
      <c r="AA353" s="49"/>
      <c r="AB353" s="49"/>
      <c r="AC353" s="49"/>
      <c r="AD353" s="49"/>
      <c r="AE353" s="49"/>
      <c r="AF353" s="49"/>
      <c r="AG353" s="49"/>
      <c r="AH353" s="49"/>
      <c r="AI353" s="49"/>
      <c r="AJ353" s="49"/>
      <c r="AK353" s="49"/>
      <c r="AL353" s="49"/>
      <c r="AM353" s="49"/>
      <c r="AN353" s="49"/>
      <c r="AO353" s="49"/>
      <c r="AP353" s="49"/>
      <c r="AQ353" s="49"/>
      <c r="AR353" s="49"/>
      <c r="AS353" s="49"/>
      <c r="AT353" s="49"/>
      <c r="AU353" s="49"/>
      <c r="AV353" s="49"/>
      <c r="AW353" s="49"/>
      <c r="AX353" s="49"/>
    </row>
    <row r="354">
      <c r="A354" s="49"/>
      <c r="B354" s="49"/>
      <c r="C354" s="49"/>
      <c r="D354" s="50"/>
      <c r="E354" s="50"/>
      <c r="F354" s="50"/>
      <c r="G354" s="50"/>
      <c r="H354" s="49"/>
      <c r="I354" s="49"/>
      <c r="J354" s="49"/>
      <c r="K354" s="49"/>
      <c r="L354" s="49"/>
      <c r="M354" s="49"/>
      <c r="N354" s="49"/>
      <c r="O354" s="49"/>
      <c r="P354" s="49"/>
      <c r="Q354" s="49"/>
      <c r="R354" s="49"/>
      <c r="S354" s="49"/>
      <c r="T354" s="49"/>
      <c r="U354" s="49"/>
      <c r="V354" s="49"/>
      <c r="W354" s="49"/>
      <c r="X354" s="49"/>
      <c r="Y354" s="49"/>
      <c r="Z354" s="49"/>
      <c r="AA354" s="49"/>
      <c r="AB354" s="49"/>
      <c r="AC354" s="49"/>
      <c r="AD354" s="49"/>
      <c r="AE354" s="49"/>
      <c r="AF354" s="49"/>
      <c r="AG354" s="49"/>
      <c r="AH354" s="49"/>
      <c r="AI354" s="49"/>
      <c r="AJ354" s="49"/>
      <c r="AK354" s="49"/>
      <c r="AL354" s="49"/>
      <c r="AM354" s="49"/>
      <c r="AN354" s="49"/>
      <c r="AO354" s="49"/>
      <c r="AP354" s="49"/>
      <c r="AQ354" s="49"/>
      <c r="AR354" s="49"/>
      <c r="AS354" s="49"/>
      <c r="AT354" s="49"/>
      <c r="AU354" s="49"/>
      <c r="AV354" s="49"/>
      <c r="AW354" s="49"/>
      <c r="AX354" s="49"/>
    </row>
    <row r="355">
      <c r="A355" s="49"/>
      <c r="B355" s="49"/>
      <c r="C355" s="49"/>
      <c r="D355" s="50"/>
      <c r="E355" s="50"/>
      <c r="F355" s="50"/>
      <c r="G355" s="50"/>
      <c r="H355" s="49"/>
      <c r="I355" s="49"/>
      <c r="J355" s="49"/>
      <c r="K355" s="49"/>
      <c r="L355" s="49"/>
      <c r="M355" s="49"/>
      <c r="N355" s="49"/>
      <c r="O355" s="49"/>
      <c r="P355" s="49"/>
      <c r="Q355" s="49"/>
      <c r="R355" s="49"/>
      <c r="S355" s="49"/>
      <c r="T355" s="49"/>
      <c r="U355" s="49"/>
      <c r="V355" s="49"/>
      <c r="W355" s="49"/>
      <c r="X355" s="49"/>
      <c r="Y355" s="49"/>
      <c r="Z355" s="49"/>
      <c r="AA355" s="49"/>
      <c r="AB355" s="49"/>
      <c r="AC355" s="49"/>
      <c r="AD355" s="49"/>
      <c r="AE355" s="49"/>
      <c r="AF355" s="49"/>
      <c r="AG355" s="49"/>
      <c r="AH355" s="49"/>
      <c r="AI355" s="49"/>
      <c r="AJ355" s="49"/>
      <c r="AK355" s="49"/>
      <c r="AL355" s="49"/>
      <c r="AM355" s="49"/>
      <c r="AN355" s="49"/>
      <c r="AO355" s="49"/>
      <c r="AP355" s="49"/>
      <c r="AQ355" s="49"/>
      <c r="AR355" s="49"/>
      <c r="AS355" s="49"/>
      <c r="AT355" s="49"/>
      <c r="AU355" s="49"/>
      <c r="AV355" s="49"/>
      <c r="AW355" s="49"/>
      <c r="AX355" s="49"/>
    </row>
    <row r="356">
      <c r="A356" s="49"/>
      <c r="B356" s="49"/>
      <c r="C356" s="49"/>
      <c r="D356" s="50"/>
      <c r="E356" s="50"/>
      <c r="F356" s="50"/>
      <c r="G356" s="50"/>
      <c r="H356" s="49"/>
      <c r="I356" s="49"/>
      <c r="J356" s="49"/>
      <c r="K356" s="49"/>
      <c r="L356" s="49"/>
      <c r="M356" s="49"/>
      <c r="N356" s="49"/>
      <c r="O356" s="49"/>
      <c r="P356" s="49"/>
      <c r="Q356" s="49"/>
      <c r="R356" s="49"/>
      <c r="S356" s="49"/>
      <c r="T356" s="49"/>
      <c r="U356" s="49"/>
      <c r="V356" s="49"/>
      <c r="W356" s="49"/>
      <c r="X356" s="49"/>
      <c r="Y356" s="49"/>
      <c r="Z356" s="49"/>
      <c r="AA356" s="49"/>
      <c r="AB356" s="49"/>
      <c r="AC356" s="49"/>
      <c r="AD356" s="49"/>
      <c r="AE356" s="49"/>
      <c r="AF356" s="49"/>
      <c r="AG356" s="49"/>
      <c r="AH356" s="49"/>
      <c r="AI356" s="49"/>
      <c r="AJ356" s="49"/>
      <c r="AK356" s="49"/>
      <c r="AL356" s="49"/>
      <c r="AM356" s="49"/>
      <c r="AN356" s="49"/>
      <c r="AO356" s="49"/>
      <c r="AP356" s="49"/>
      <c r="AQ356" s="49"/>
      <c r="AR356" s="49"/>
      <c r="AS356" s="49"/>
      <c r="AT356" s="49"/>
      <c r="AU356" s="49"/>
      <c r="AV356" s="49"/>
      <c r="AW356" s="49"/>
      <c r="AX356" s="49"/>
    </row>
    <row r="357">
      <c r="A357" s="49"/>
      <c r="B357" s="49"/>
      <c r="C357" s="49"/>
      <c r="D357" s="50"/>
      <c r="E357" s="50"/>
      <c r="F357" s="50"/>
      <c r="G357" s="50"/>
      <c r="H357" s="49"/>
      <c r="I357" s="49"/>
      <c r="J357" s="49"/>
      <c r="K357" s="49"/>
      <c r="L357" s="49"/>
      <c r="M357" s="49"/>
      <c r="N357" s="49"/>
      <c r="O357" s="49"/>
      <c r="P357" s="49"/>
      <c r="Q357" s="49"/>
      <c r="R357" s="49"/>
      <c r="S357" s="49"/>
      <c r="T357" s="49"/>
      <c r="U357" s="49"/>
      <c r="V357" s="49"/>
      <c r="W357" s="49"/>
      <c r="X357" s="49"/>
      <c r="Y357" s="49"/>
      <c r="Z357" s="49"/>
      <c r="AA357" s="49"/>
      <c r="AB357" s="49"/>
      <c r="AC357" s="49"/>
      <c r="AD357" s="49"/>
      <c r="AE357" s="49"/>
      <c r="AF357" s="49"/>
      <c r="AG357" s="49"/>
      <c r="AH357" s="49"/>
      <c r="AI357" s="49"/>
      <c r="AJ357" s="49"/>
      <c r="AK357" s="49"/>
      <c r="AL357" s="49"/>
      <c r="AM357" s="49"/>
      <c r="AN357" s="49"/>
      <c r="AO357" s="49"/>
      <c r="AP357" s="49"/>
      <c r="AQ357" s="49"/>
      <c r="AR357" s="49"/>
      <c r="AS357" s="49"/>
      <c r="AT357" s="49"/>
      <c r="AU357" s="49"/>
      <c r="AV357" s="49"/>
      <c r="AW357" s="49"/>
      <c r="AX357" s="49"/>
    </row>
    <row r="358">
      <c r="A358" s="49"/>
      <c r="B358" s="49"/>
      <c r="C358" s="49"/>
      <c r="D358" s="50"/>
      <c r="E358" s="50"/>
      <c r="F358" s="50"/>
      <c r="G358" s="50"/>
      <c r="H358" s="49"/>
      <c r="I358" s="49"/>
      <c r="J358" s="49"/>
      <c r="K358" s="49"/>
      <c r="L358" s="49"/>
      <c r="M358" s="49"/>
      <c r="N358" s="49"/>
      <c r="O358" s="49"/>
      <c r="P358" s="49"/>
      <c r="Q358" s="49"/>
      <c r="R358" s="49"/>
      <c r="S358" s="49"/>
      <c r="T358" s="49"/>
      <c r="U358" s="49"/>
      <c r="V358" s="49"/>
      <c r="W358" s="49"/>
      <c r="X358" s="49"/>
      <c r="Y358" s="49"/>
      <c r="Z358" s="49"/>
      <c r="AA358" s="49"/>
      <c r="AB358" s="49"/>
      <c r="AC358" s="49"/>
      <c r="AD358" s="49"/>
      <c r="AE358" s="49"/>
      <c r="AF358" s="49"/>
      <c r="AG358" s="49"/>
      <c r="AH358" s="49"/>
      <c r="AI358" s="49"/>
      <c r="AJ358" s="49"/>
      <c r="AK358" s="49"/>
      <c r="AL358" s="49"/>
      <c r="AM358" s="49"/>
      <c r="AN358" s="49"/>
      <c r="AO358" s="49"/>
      <c r="AP358" s="49"/>
      <c r="AQ358" s="49"/>
      <c r="AR358" s="49"/>
      <c r="AS358" s="49"/>
      <c r="AT358" s="49"/>
      <c r="AU358" s="49"/>
      <c r="AV358" s="49"/>
      <c r="AW358" s="49"/>
      <c r="AX358" s="49"/>
    </row>
    <row r="359">
      <c r="A359" s="49"/>
      <c r="B359" s="49"/>
      <c r="C359" s="49"/>
      <c r="D359" s="50"/>
      <c r="E359" s="50"/>
      <c r="F359" s="50"/>
      <c r="G359" s="50"/>
      <c r="H359" s="49"/>
      <c r="I359" s="49"/>
      <c r="J359" s="49"/>
      <c r="K359" s="49"/>
      <c r="L359" s="49"/>
      <c r="M359" s="49"/>
      <c r="N359" s="49"/>
      <c r="O359" s="49"/>
      <c r="P359" s="49"/>
      <c r="Q359" s="49"/>
      <c r="R359" s="49"/>
      <c r="S359" s="49"/>
      <c r="T359" s="49"/>
      <c r="U359" s="49"/>
      <c r="V359" s="49"/>
      <c r="W359" s="49"/>
      <c r="X359" s="49"/>
      <c r="Y359" s="49"/>
      <c r="Z359" s="49"/>
      <c r="AA359" s="49"/>
      <c r="AB359" s="49"/>
      <c r="AC359" s="49"/>
      <c r="AD359" s="49"/>
      <c r="AE359" s="49"/>
      <c r="AF359" s="49"/>
      <c r="AG359" s="49"/>
      <c r="AH359" s="49"/>
      <c r="AI359" s="49"/>
      <c r="AJ359" s="49"/>
      <c r="AK359" s="49"/>
      <c r="AL359" s="49"/>
      <c r="AM359" s="49"/>
      <c r="AN359" s="49"/>
      <c r="AO359" s="49"/>
      <c r="AP359" s="49"/>
      <c r="AQ359" s="49"/>
      <c r="AR359" s="49"/>
      <c r="AS359" s="49"/>
      <c r="AT359" s="49"/>
      <c r="AU359" s="49"/>
      <c r="AV359" s="49"/>
      <c r="AW359" s="49"/>
      <c r="AX359" s="49"/>
    </row>
    <row r="360">
      <c r="A360" s="49"/>
      <c r="B360" s="49"/>
      <c r="C360" s="49"/>
      <c r="D360" s="50"/>
      <c r="E360" s="50"/>
      <c r="F360" s="50"/>
      <c r="G360" s="50"/>
      <c r="H360" s="49"/>
      <c r="I360" s="49"/>
      <c r="J360" s="49"/>
      <c r="K360" s="49"/>
      <c r="L360" s="49"/>
      <c r="M360" s="49"/>
      <c r="N360" s="49"/>
      <c r="O360" s="49"/>
      <c r="P360" s="49"/>
      <c r="Q360" s="49"/>
      <c r="R360" s="49"/>
      <c r="S360" s="49"/>
      <c r="T360" s="49"/>
      <c r="U360" s="49"/>
      <c r="V360" s="49"/>
      <c r="W360" s="49"/>
      <c r="X360" s="49"/>
      <c r="Y360" s="49"/>
      <c r="Z360" s="49"/>
      <c r="AA360" s="49"/>
      <c r="AB360" s="49"/>
      <c r="AC360" s="49"/>
      <c r="AD360" s="49"/>
      <c r="AE360" s="49"/>
      <c r="AF360" s="49"/>
      <c r="AG360" s="49"/>
      <c r="AH360" s="49"/>
      <c r="AI360" s="49"/>
      <c r="AJ360" s="49"/>
      <c r="AK360" s="49"/>
      <c r="AL360" s="49"/>
      <c r="AM360" s="49"/>
      <c r="AN360" s="49"/>
      <c r="AO360" s="49"/>
      <c r="AP360" s="49"/>
      <c r="AQ360" s="49"/>
      <c r="AR360" s="49"/>
      <c r="AS360" s="49"/>
      <c r="AT360" s="49"/>
      <c r="AU360" s="49"/>
      <c r="AV360" s="49"/>
      <c r="AW360" s="49"/>
      <c r="AX360" s="49"/>
    </row>
    <row r="361">
      <c r="A361" s="49"/>
      <c r="B361" s="49"/>
      <c r="C361" s="49"/>
      <c r="D361" s="50"/>
      <c r="E361" s="50"/>
      <c r="F361" s="50"/>
      <c r="G361" s="50"/>
      <c r="H361" s="49"/>
      <c r="I361" s="49"/>
      <c r="J361" s="49"/>
      <c r="K361" s="49"/>
      <c r="L361" s="49"/>
      <c r="M361" s="49"/>
      <c r="N361" s="49"/>
      <c r="O361" s="49"/>
      <c r="P361" s="49"/>
      <c r="Q361" s="49"/>
      <c r="R361" s="49"/>
      <c r="S361" s="49"/>
      <c r="T361" s="49"/>
      <c r="U361" s="49"/>
      <c r="V361" s="49"/>
      <c r="W361" s="49"/>
      <c r="X361" s="49"/>
      <c r="Y361" s="49"/>
      <c r="Z361" s="49"/>
      <c r="AA361" s="49"/>
      <c r="AB361" s="49"/>
      <c r="AC361" s="49"/>
      <c r="AD361" s="49"/>
      <c r="AE361" s="49"/>
      <c r="AF361" s="49"/>
      <c r="AG361" s="49"/>
      <c r="AH361" s="49"/>
      <c r="AI361" s="49"/>
      <c r="AJ361" s="49"/>
      <c r="AK361" s="49"/>
      <c r="AL361" s="49"/>
      <c r="AM361" s="49"/>
      <c r="AN361" s="49"/>
      <c r="AO361" s="49"/>
      <c r="AP361" s="49"/>
      <c r="AQ361" s="49"/>
      <c r="AR361" s="49"/>
      <c r="AS361" s="49"/>
      <c r="AT361" s="49"/>
      <c r="AU361" s="49"/>
      <c r="AV361" s="49"/>
      <c r="AW361" s="49"/>
      <c r="AX361" s="49"/>
    </row>
    <row r="362">
      <c r="A362" s="49"/>
      <c r="B362" s="49"/>
      <c r="C362" s="49"/>
      <c r="D362" s="50"/>
      <c r="E362" s="50"/>
      <c r="F362" s="50"/>
      <c r="G362" s="50"/>
      <c r="H362" s="49"/>
      <c r="I362" s="49"/>
      <c r="J362" s="49"/>
      <c r="K362" s="49"/>
      <c r="L362" s="49"/>
      <c r="M362" s="49"/>
      <c r="N362" s="49"/>
      <c r="O362" s="49"/>
      <c r="P362" s="49"/>
      <c r="Q362" s="49"/>
      <c r="R362" s="49"/>
      <c r="S362" s="49"/>
      <c r="T362" s="49"/>
      <c r="U362" s="49"/>
      <c r="V362" s="49"/>
      <c r="W362" s="49"/>
      <c r="X362" s="49"/>
      <c r="Y362" s="49"/>
      <c r="Z362" s="49"/>
      <c r="AA362" s="49"/>
      <c r="AB362" s="49"/>
      <c r="AC362" s="49"/>
      <c r="AD362" s="49"/>
      <c r="AE362" s="49"/>
      <c r="AF362" s="49"/>
      <c r="AG362" s="49"/>
      <c r="AH362" s="49"/>
      <c r="AI362" s="49"/>
      <c r="AJ362" s="49"/>
      <c r="AK362" s="49"/>
      <c r="AL362" s="49"/>
      <c r="AM362" s="49"/>
      <c r="AN362" s="49"/>
      <c r="AO362" s="49"/>
      <c r="AP362" s="49"/>
      <c r="AQ362" s="49"/>
      <c r="AR362" s="49"/>
      <c r="AS362" s="49"/>
      <c r="AT362" s="49"/>
      <c r="AU362" s="49"/>
      <c r="AV362" s="49"/>
      <c r="AW362" s="49"/>
      <c r="AX362" s="49"/>
    </row>
    <row r="363">
      <c r="A363" s="49"/>
      <c r="B363" s="49"/>
      <c r="C363" s="49"/>
      <c r="D363" s="50"/>
      <c r="E363" s="50"/>
      <c r="F363" s="50"/>
      <c r="G363" s="50"/>
      <c r="H363" s="49"/>
      <c r="I363" s="49"/>
      <c r="J363" s="49"/>
      <c r="K363" s="49"/>
      <c r="L363" s="49"/>
      <c r="M363" s="49"/>
      <c r="N363" s="49"/>
      <c r="O363" s="49"/>
      <c r="P363" s="49"/>
      <c r="Q363" s="49"/>
      <c r="R363" s="49"/>
      <c r="S363" s="49"/>
      <c r="T363" s="49"/>
      <c r="U363" s="49"/>
      <c r="V363" s="49"/>
      <c r="W363" s="49"/>
      <c r="X363" s="49"/>
      <c r="Y363" s="49"/>
      <c r="Z363" s="49"/>
      <c r="AA363" s="49"/>
      <c r="AB363" s="49"/>
      <c r="AC363" s="49"/>
      <c r="AD363" s="49"/>
      <c r="AE363" s="49"/>
      <c r="AF363" s="49"/>
      <c r="AG363" s="49"/>
      <c r="AH363" s="49"/>
      <c r="AI363" s="49"/>
      <c r="AJ363" s="49"/>
      <c r="AK363" s="49"/>
      <c r="AL363" s="49"/>
      <c r="AM363" s="49"/>
      <c r="AN363" s="49"/>
      <c r="AO363" s="49"/>
      <c r="AP363" s="49"/>
      <c r="AQ363" s="49"/>
      <c r="AR363" s="49"/>
      <c r="AS363" s="49"/>
      <c r="AT363" s="49"/>
      <c r="AU363" s="49"/>
      <c r="AV363" s="49"/>
      <c r="AW363" s="49"/>
      <c r="AX363" s="49"/>
    </row>
    <row r="364">
      <c r="A364" s="49"/>
      <c r="B364" s="49"/>
      <c r="C364" s="49"/>
      <c r="D364" s="50"/>
      <c r="E364" s="50"/>
      <c r="F364" s="50"/>
      <c r="G364" s="50"/>
      <c r="H364" s="49"/>
      <c r="I364" s="49"/>
      <c r="J364" s="49"/>
      <c r="K364" s="49"/>
      <c r="L364" s="49"/>
      <c r="M364" s="49"/>
      <c r="N364" s="49"/>
      <c r="O364" s="49"/>
      <c r="P364" s="49"/>
      <c r="Q364" s="49"/>
      <c r="R364" s="49"/>
      <c r="S364" s="49"/>
      <c r="T364" s="49"/>
      <c r="U364" s="49"/>
      <c r="V364" s="49"/>
      <c r="W364" s="49"/>
      <c r="X364" s="49"/>
      <c r="Y364" s="49"/>
      <c r="Z364" s="49"/>
      <c r="AA364" s="49"/>
      <c r="AB364" s="49"/>
      <c r="AC364" s="49"/>
      <c r="AD364" s="49"/>
      <c r="AE364" s="49"/>
      <c r="AF364" s="49"/>
      <c r="AG364" s="49"/>
      <c r="AH364" s="49"/>
      <c r="AI364" s="49"/>
      <c r="AJ364" s="49"/>
      <c r="AK364" s="49"/>
      <c r="AL364" s="49"/>
      <c r="AM364" s="49"/>
      <c r="AN364" s="49"/>
      <c r="AO364" s="49"/>
      <c r="AP364" s="49"/>
      <c r="AQ364" s="49"/>
      <c r="AR364" s="49"/>
      <c r="AS364" s="49"/>
      <c r="AT364" s="49"/>
      <c r="AU364" s="49"/>
      <c r="AV364" s="49"/>
      <c r="AW364" s="49"/>
      <c r="AX364" s="49"/>
    </row>
    <row r="365">
      <c r="A365" s="49"/>
      <c r="B365" s="49"/>
      <c r="C365" s="49"/>
      <c r="D365" s="50"/>
      <c r="E365" s="50"/>
      <c r="F365" s="50"/>
      <c r="G365" s="50"/>
      <c r="H365" s="49"/>
      <c r="I365" s="49"/>
      <c r="J365" s="49"/>
      <c r="K365" s="49"/>
      <c r="L365" s="49"/>
      <c r="M365" s="49"/>
      <c r="N365" s="49"/>
      <c r="O365" s="49"/>
      <c r="P365" s="49"/>
      <c r="Q365" s="49"/>
      <c r="R365" s="49"/>
      <c r="S365" s="49"/>
      <c r="T365" s="49"/>
      <c r="U365" s="49"/>
      <c r="V365" s="49"/>
      <c r="W365" s="49"/>
      <c r="X365" s="49"/>
      <c r="Y365" s="49"/>
      <c r="Z365" s="49"/>
      <c r="AA365" s="49"/>
      <c r="AB365" s="49"/>
      <c r="AC365" s="49"/>
      <c r="AD365" s="49"/>
      <c r="AE365" s="49"/>
      <c r="AF365" s="49"/>
      <c r="AG365" s="49"/>
      <c r="AH365" s="49"/>
      <c r="AI365" s="49"/>
      <c r="AJ365" s="49"/>
      <c r="AK365" s="49"/>
      <c r="AL365" s="49"/>
      <c r="AM365" s="49"/>
      <c r="AN365" s="49"/>
      <c r="AO365" s="49"/>
      <c r="AP365" s="49"/>
      <c r="AQ365" s="49"/>
      <c r="AR365" s="49"/>
      <c r="AS365" s="49"/>
      <c r="AT365" s="49"/>
      <c r="AU365" s="49"/>
      <c r="AV365" s="49"/>
      <c r="AW365" s="49"/>
      <c r="AX365" s="49"/>
    </row>
    <row r="366">
      <c r="A366" s="49"/>
      <c r="B366" s="49"/>
      <c r="C366" s="49"/>
      <c r="D366" s="50"/>
      <c r="E366" s="50"/>
      <c r="F366" s="50"/>
      <c r="G366" s="50"/>
      <c r="H366" s="49"/>
      <c r="I366" s="49"/>
      <c r="J366" s="49"/>
      <c r="K366" s="49"/>
      <c r="L366" s="49"/>
      <c r="M366" s="49"/>
      <c r="N366" s="49"/>
      <c r="O366" s="49"/>
      <c r="P366" s="49"/>
      <c r="Q366" s="49"/>
      <c r="R366" s="49"/>
      <c r="S366" s="49"/>
      <c r="T366" s="49"/>
      <c r="U366" s="49"/>
      <c r="V366" s="49"/>
      <c r="W366" s="49"/>
      <c r="X366" s="49"/>
      <c r="Y366" s="49"/>
      <c r="Z366" s="49"/>
      <c r="AA366" s="49"/>
      <c r="AB366" s="49"/>
      <c r="AC366" s="49"/>
      <c r="AD366" s="49"/>
      <c r="AE366" s="49"/>
      <c r="AF366" s="49"/>
      <c r="AG366" s="49"/>
      <c r="AH366" s="49"/>
      <c r="AI366" s="49"/>
      <c r="AJ366" s="49"/>
      <c r="AK366" s="49"/>
      <c r="AL366" s="49"/>
      <c r="AM366" s="49"/>
      <c r="AN366" s="49"/>
      <c r="AO366" s="49"/>
      <c r="AP366" s="49"/>
      <c r="AQ366" s="49"/>
      <c r="AR366" s="49"/>
      <c r="AS366" s="49"/>
      <c r="AT366" s="49"/>
      <c r="AU366" s="49"/>
      <c r="AV366" s="49"/>
      <c r="AW366" s="49"/>
      <c r="AX366" s="49"/>
    </row>
    <row r="367">
      <c r="A367" s="49"/>
      <c r="B367" s="49"/>
      <c r="C367" s="49"/>
      <c r="D367" s="50"/>
      <c r="E367" s="50"/>
      <c r="F367" s="50"/>
      <c r="G367" s="50"/>
      <c r="H367" s="49"/>
      <c r="I367" s="49"/>
      <c r="J367" s="49"/>
      <c r="K367" s="49"/>
      <c r="L367" s="49"/>
      <c r="M367" s="49"/>
      <c r="N367" s="49"/>
      <c r="O367" s="49"/>
      <c r="P367" s="49"/>
      <c r="Q367" s="49"/>
      <c r="R367" s="49"/>
      <c r="S367" s="49"/>
      <c r="T367" s="49"/>
      <c r="U367" s="49"/>
      <c r="V367" s="49"/>
      <c r="W367" s="49"/>
      <c r="X367" s="49"/>
      <c r="Y367" s="49"/>
      <c r="Z367" s="49"/>
      <c r="AA367" s="49"/>
      <c r="AB367" s="49"/>
      <c r="AC367" s="49"/>
      <c r="AD367" s="49"/>
      <c r="AE367" s="49"/>
      <c r="AF367" s="49"/>
      <c r="AG367" s="49"/>
      <c r="AH367" s="49"/>
      <c r="AI367" s="49"/>
      <c r="AJ367" s="49"/>
      <c r="AK367" s="49"/>
      <c r="AL367" s="49"/>
      <c r="AM367" s="49"/>
      <c r="AN367" s="49"/>
      <c r="AO367" s="49"/>
      <c r="AP367" s="49"/>
      <c r="AQ367" s="49"/>
      <c r="AR367" s="49"/>
      <c r="AS367" s="49"/>
      <c r="AT367" s="49"/>
      <c r="AU367" s="49"/>
      <c r="AV367" s="49"/>
      <c r="AW367" s="49"/>
      <c r="AX367" s="49"/>
    </row>
    <row r="368">
      <c r="A368" s="49"/>
      <c r="B368" s="49"/>
      <c r="C368" s="49"/>
      <c r="D368" s="50"/>
      <c r="E368" s="50"/>
      <c r="F368" s="50"/>
      <c r="G368" s="50"/>
      <c r="H368" s="49"/>
      <c r="I368" s="49"/>
      <c r="J368" s="49"/>
      <c r="K368" s="49"/>
      <c r="L368" s="49"/>
      <c r="M368" s="49"/>
      <c r="N368" s="49"/>
      <c r="O368" s="49"/>
      <c r="P368" s="49"/>
      <c r="Q368" s="49"/>
      <c r="R368" s="49"/>
      <c r="S368" s="49"/>
      <c r="T368" s="49"/>
      <c r="U368" s="49"/>
      <c r="V368" s="49"/>
      <c r="W368" s="49"/>
      <c r="X368" s="49"/>
      <c r="Y368" s="49"/>
      <c r="Z368" s="49"/>
      <c r="AA368" s="49"/>
      <c r="AB368" s="49"/>
      <c r="AC368" s="49"/>
      <c r="AD368" s="49"/>
      <c r="AE368" s="49"/>
      <c r="AF368" s="49"/>
      <c r="AG368" s="49"/>
      <c r="AH368" s="49"/>
      <c r="AI368" s="49"/>
      <c r="AJ368" s="49"/>
      <c r="AK368" s="49"/>
      <c r="AL368" s="49"/>
      <c r="AM368" s="49"/>
      <c r="AN368" s="49"/>
      <c r="AO368" s="49"/>
      <c r="AP368" s="49"/>
      <c r="AQ368" s="49"/>
      <c r="AR368" s="49"/>
      <c r="AS368" s="49"/>
      <c r="AT368" s="49"/>
      <c r="AU368" s="49"/>
      <c r="AV368" s="49"/>
      <c r="AW368" s="49"/>
      <c r="AX368" s="49"/>
    </row>
    <row r="369">
      <c r="A369" s="49"/>
      <c r="B369" s="49"/>
      <c r="C369" s="49"/>
      <c r="D369" s="50"/>
      <c r="E369" s="50"/>
      <c r="F369" s="50"/>
      <c r="G369" s="50"/>
      <c r="H369" s="49"/>
      <c r="I369" s="49"/>
      <c r="J369" s="49"/>
      <c r="K369" s="49"/>
      <c r="L369" s="49"/>
      <c r="M369" s="49"/>
      <c r="N369" s="49"/>
      <c r="O369" s="49"/>
      <c r="P369" s="49"/>
      <c r="Q369" s="49"/>
      <c r="R369" s="49"/>
      <c r="S369" s="49"/>
      <c r="T369" s="49"/>
      <c r="U369" s="49"/>
      <c r="V369" s="49"/>
      <c r="W369" s="49"/>
      <c r="X369" s="49"/>
      <c r="Y369" s="49"/>
      <c r="Z369" s="49"/>
      <c r="AA369" s="49"/>
      <c r="AB369" s="49"/>
      <c r="AC369" s="49"/>
      <c r="AD369" s="49"/>
      <c r="AE369" s="49"/>
      <c r="AF369" s="49"/>
      <c r="AG369" s="49"/>
      <c r="AH369" s="49"/>
      <c r="AI369" s="49"/>
      <c r="AJ369" s="49"/>
      <c r="AK369" s="49"/>
      <c r="AL369" s="49"/>
      <c r="AM369" s="49"/>
      <c r="AN369" s="49"/>
      <c r="AO369" s="49"/>
      <c r="AP369" s="49"/>
      <c r="AQ369" s="49"/>
      <c r="AR369" s="49"/>
      <c r="AS369" s="49"/>
      <c r="AT369" s="49"/>
      <c r="AU369" s="49"/>
      <c r="AV369" s="49"/>
      <c r="AW369" s="49"/>
      <c r="AX369" s="49"/>
    </row>
    <row r="370">
      <c r="A370" s="49"/>
      <c r="B370" s="49"/>
      <c r="C370" s="49"/>
      <c r="D370" s="50"/>
      <c r="E370" s="50"/>
      <c r="F370" s="50"/>
      <c r="G370" s="50"/>
      <c r="H370" s="49"/>
      <c r="I370" s="49"/>
      <c r="J370" s="49"/>
      <c r="K370" s="49"/>
      <c r="L370" s="49"/>
      <c r="M370" s="49"/>
      <c r="N370" s="49"/>
      <c r="O370" s="49"/>
      <c r="P370" s="49"/>
      <c r="Q370" s="49"/>
      <c r="R370" s="49"/>
      <c r="S370" s="49"/>
      <c r="T370" s="49"/>
      <c r="U370" s="49"/>
      <c r="V370" s="49"/>
      <c r="W370" s="49"/>
      <c r="X370" s="49"/>
      <c r="Y370" s="49"/>
      <c r="Z370" s="49"/>
      <c r="AA370" s="49"/>
      <c r="AB370" s="49"/>
      <c r="AC370" s="49"/>
      <c r="AD370" s="49"/>
      <c r="AE370" s="49"/>
      <c r="AF370" s="49"/>
      <c r="AG370" s="49"/>
      <c r="AH370" s="49"/>
      <c r="AI370" s="49"/>
      <c r="AJ370" s="49"/>
      <c r="AK370" s="49"/>
      <c r="AL370" s="49"/>
      <c r="AM370" s="49"/>
      <c r="AN370" s="49"/>
      <c r="AO370" s="49"/>
      <c r="AP370" s="49"/>
      <c r="AQ370" s="49"/>
      <c r="AR370" s="49"/>
      <c r="AS370" s="49"/>
      <c r="AT370" s="49"/>
      <c r="AU370" s="49"/>
      <c r="AV370" s="49"/>
      <c r="AW370" s="49"/>
      <c r="AX370" s="49"/>
    </row>
    <row r="371">
      <c r="A371" s="49"/>
      <c r="B371" s="49"/>
      <c r="C371" s="49"/>
      <c r="D371" s="50"/>
      <c r="E371" s="50"/>
      <c r="F371" s="50"/>
      <c r="G371" s="50"/>
      <c r="H371" s="49"/>
      <c r="I371" s="49"/>
      <c r="J371" s="49"/>
      <c r="K371" s="49"/>
      <c r="L371" s="49"/>
      <c r="M371" s="49"/>
      <c r="N371" s="49"/>
      <c r="O371" s="49"/>
      <c r="P371" s="49"/>
      <c r="Q371" s="49"/>
      <c r="R371" s="49"/>
      <c r="S371" s="49"/>
      <c r="T371" s="49"/>
      <c r="U371" s="49"/>
      <c r="V371" s="49"/>
      <c r="W371" s="49"/>
      <c r="X371" s="49"/>
      <c r="Y371" s="49"/>
      <c r="Z371" s="49"/>
      <c r="AA371" s="49"/>
      <c r="AB371" s="49"/>
      <c r="AC371" s="49"/>
      <c r="AD371" s="49"/>
      <c r="AE371" s="49"/>
      <c r="AF371" s="49"/>
      <c r="AG371" s="49"/>
      <c r="AH371" s="49"/>
      <c r="AI371" s="49"/>
      <c r="AJ371" s="49"/>
      <c r="AK371" s="49"/>
      <c r="AL371" s="49"/>
      <c r="AM371" s="49"/>
      <c r="AN371" s="49"/>
      <c r="AO371" s="49"/>
      <c r="AP371" s="49"/>
      <c r="AQ371" s="49"/>
      <c r="AR371" s="49"/>
      <c r="AS371" s="49"/>
      <c r="AT371" s="49"/>
      <c r="AU371" s="49"/>
      <c r="AV371" s="49"/>
      <c r="AW371" s="49"/>
      <c r="AX371" s="49"/>
    </row>
    <row r="372">
      <c r="A372" s="49"/>
      <c r="B372" s="49"/>
      <c r="C372" s="49"/>
      <c r="D372" s="50"/>
      <c r="E372" s="50"/>
      <c r="F372" s="50"/>
      <c r="G372" s="50"/>
      <c r="H372" s="49"/>
      <c r="I372" s="49"/>
      <c r="J372" s="49"/>
      <c r="K372" s="49"/>
      <c r="L372" s="49"/>
      <c r="M372" s="49"/>
      <c r="N372" s="49"/>
      <c r="O372" s="49"/>
      <c r="P372" s="49"/>
      <c r="Q372" s="49"/>
      <c r="R372" s="49"/>
      <c r="S372" s="49"/>
      <c r="T372" s="49"/>
      <c r="U372" s="49"/>
      <c r="V372" s="49"/>
      <c r="W372" s="49"/>
      <c r="X372" s="49"/>
      <c r="Y372" s="49"/>
      <c r="Z372" s="49"/>
      <c r="AA372" s="49"/>
      <c r="AB372" s="49"/>
      <c r="AC372" s="49"/>
      <c r="AD372" s="49"/>
      <c r="AE372" s="49"/>
      <c r="AF372" s="49"/>
      <c r="AG372" s="49"/>
      <c r="AH372" s="49"/>
      <c r="AI372" s="49"/>
      <c r="AJ372" s="49"/>
      <c r="AK372" s="49"/>
      <c r="AL372" s="49"/>
      <c r="AM372" s="49"/>
      <c r="AN372" s="49"/>
      <c r="AO372" s="49"/>
      <c r="AP372" s="49"/>
      <c r="AQ372" s="49"/>
      <c r="AR372" s="49"/>
      <c r="AS372" s="49"/>
      <c r="AT372" s="49"/>
      <c r="AU372" s="49"/>
      <c r="AV372" s="49"/>
      <c r="AW372" s="49"/>
      <c r="AX372" s="49"/>
    </row>
    <row r="373">
      <c r="A373" s="49"/>
      <c r="B373" s="49"/>
      <c r="C373" s="49"/>
      <c r="D373" s="50"/>
      <c r="E373" s="50"/>
      <c r="F373" s="50"/>
      <c r="G373" s="50"/>
      <c r="H373" s="49"/>
      <c r="I373" s="49"/>
      <c r="J373" s="49"/>
      <c r="K373" s="49"/>
      <c r="L373" s="49"/>
      <c r="M373" s="49"/>
      <c r="N373" s="49"/>
      <c r="O373" s="49"/>
      <c r="P373" s="49"/>
      <c r="Q373" s="49"/>
      <c r="R373" s="49"/>
      <c r="S373" s="49"/>
      <c r="T373" s="49"/>
      <c r="U373" s="49"/>
      <c r="V373" s="49"/>
      <c r="W373" s="49"/>
      <c r="X373" s="49"/>
      <c r="Y373" s="49"/>
      <c r="Z373" s="49"/>
      <c r="AA373" s="49"/>
      <c r="AB373" s="49"/>
      <c r="AC373" s="49"/>
      <c r="AD373" s="49"/>
      <c r="AE373" s="49"/>
      <c r="AF373" s="49"/>
      <c r="AG373" s="49"/>
      <c r="AH373" s="49"/>
      <c r="AI373" s="49"/>
      <c r="AJ373" s="49"/>
      <c r="AK373" s="49"/>
      <c r="AL373" s="49"/>
      <c r="AM373" s="49"/>
      <c r="AN373" s="49"/>
      <c r="AO373" s="49"/>
      <c r="AP373" s="49"/>
      <c r="AQ373" s="49"/>
      <c r="AR373" s="49"/>
      <c r="AS373" s="49"/>
      <c r="AT373" s="49"/>
      <c r="AU373" s="49"/>
      <c r="AV373" s="49"/>
      <c r="AW373" s="49"/>
      <c r="AX373" s="49"/>
    </row>
    <row r="374">
      <c r="A374" s="49"/>
      <c r="B374" s="49"/>
      <c r="C374" s="49"/>
      <c r="D374" s="50"/>
      <c r="E374" s="50"/>
      <c r="F374" s="50"/>
      <c r="G374" s="50"/>
      <c r="H374" s="49"/>
      <c r="I374" s="49"/>
      <c r="J374" s="49"/>
      <c r="K374" s="49"/>
      <c r="L374" s="49"/>
      <c r="M374" s="49"/>
      <c r="N374" s="49"/>
      <c r="O374" s="49"/>
      <c r="P374" s="49"/>
      <c r="Q374" s="49"/>
      <c r="R374" s="49"/>
      <c r="S374" s="49"/>
      <c r="T374" s="49"/>
      <c r="U374" s="49"/>
      <c r="V374" s="49"/>
      <c r="W374" s="49"/>
      <c r="X374" s="49"/>
      <c r="Y374" s="49"/>
      <c r="Z374" s="49"/>
      <c r="AA374" s="49"/>
      <c r="AB374" s="49"/>
      <c r="AC374" s="49"/>
      <c r="AD374" s="49"/>
      <c r="AE374" s="49"/>
      <c r="AF374" s="49"/>
      <c r="AG374" s="49"/>
      <c r="AH374" s="49"/>
      <c r="AI374" s="49"/>
      <c r="AJ374" s="49"/>
      <c r="AK374" s="49"/>
      <c r="AL374" s="49"/>
      <c r="AM374" s="49"/>
      <c r="AN374" s="49"/>
      <c r="AO374" s="49"/>
      <c r="AP374" s="49"/>
      <c r="AQ374" s="49"/>
      <c r="AR374" s="49"/>
      <c r="AS374" s="49"/>
      <c r="AT374" s="49"/>
      <c r="AU374" s="49"/>
      <c r="AV374" s="49"/>
      <c r="AW374" s="49"/>
      <c r="AX374" s="49"/>
    </row>
    <row r="375">
      <c r="A375" s="49"/>
      <c r="B375" s="49"/>
      <c r="C375" s="49"/>
      <c r="D375" s="50"/>
      <c r="E375" s="50"/>
      <c r="F375" s="50"/>
      <c r="G375" s="50"/>
      <c r="H375" s="49"/>
      <c r="I375" s="49"/>
      <c r="J375" s="49"/>
      <c r="K375" s="49"/>
      <c r="L375" s="49"/>
      <c r="M375" s="49"/>
      <c r="N375" s="49"/>
      <c r="O375" s="49"/>
      <c r="P375" s="49"/>
      <c r="Q375" s="49"/>
      <c r="R375" s="49"/>
      <c r="S375" s="49"/>
      <c r="T375" s="49"/>
      <c r="U375" s="49"/>
      <c r="V375" s="49"/>
      <c r="W375" s="49"/>
      <c r="X375" s="49"/>
      <c r="Y375" s="49"/>
      <c r="Z375" s="49"/>
      <c r="AA375" s="49"/>
      <c r="AB375" s="49"/>
      <c r="AC375" s="49"/>
      <c r="AD375" s="49"/>
      <c r="AE375" s="49"/>
      <c r="AF375" s="49"/>
      <c r="AG375" s="49"/>
      <c r="AH375" s="49"/>
      <c r="AI375" s="49"/>
      <c r="AJ375" s="49"/>
      <c r="AK375" s="49"/>
      <c r="AL375" s="49"/>
      <c r="AM375" s="49"/>
      <c r="AN375" s="49"/>
      <c r="AO375" s="49"/>
      <c r="AP375" s="49"/>
      <c r="AQ375" s="49"/>
      <c r="AR375" s="49"/>
      <c r="AS375" s="49"/>
      <c r="AT375" s="49"/>
      <c r="AU375" s="49"/>
      <c r="AV375" s="49"/>
      <c r="AW375" s="49"/>
      <c r="AX375" s="49"/>
    </row>
    <row r="376">
      <c r="A376" s="49"/>
      <c r="B376" s="49"/>
      <c r="C376" s="49"/>
      <c r="D376" s="50"/>
      <c r="E376" s="50"/>
      <c r="F376" s="50"/>
      <c r="G376" s="50"/>
      <c r="H376" s="49"/>
      <c r="I376" s="49"/>
      <c r="J376" s="49"/>
      <c r="K376" s="49"/>
      <c r="L376" s="49"/>
      <c r="M376" s="49"/>
      <c r="N376" s="49"/>
      <c r="O376" s="49"/>
      <c r="P376" s="49"/>
      <c r="Q376" s="49"/>
      <c r="R376" s="49"/>
      <c r="S376" s="49"/>
      <c r="T376" s="49"/>
      <c r="U376" s="49"/>
      <c r="V376" s="49"/>
      <c r="W376" s="49"/>
      <c r="X376" s="49"/>
      <c r="Y376" s="49"/>
      <c r="Z376" s="49"/>
      <c r="AA376" s="49"/>
      <c r="AB376" s="49"/>
      <c r="AC376" s="49"/>
      <c r="AD376" s="49"/>
      <c r="AE376" s="49"/>
      <c r="AF376" s="49"/>
      <c r="AG376" s="49"/>
      <c r="AH376" s="49"/>
      <c r="AI376" s="49"/>
      <c r="AJ376" s="49"/>
      <c r="AK376" s="49"/>
      <c r="AL376" s="49"/>
      <c r="AM376" s="49"/>
      <c r="AN376" s="49"/>
      <c r="AO376" s="49"/>
      <c r="AP376" s="49"/>
      <c r="AQ376" s="49"/>
      <c r="AR376" s="49"/>
      <c r="AS376" s="49"/>
      <c r="AT376" s="49"/>
      <c r="AU376" s="49"/>
      <c r="AV376" s="49"/>
      <c r="AW376" s="49"/>
      <c r="AX376" s="49"/>
    </row>
    <row r="377">
      <c r="A377" s="49"/>
      <c r="B377" s="49"/>
      <c r="C377" s="49"/>
      <c r="D377" s="50"/>
      <c r="E377" s="50"/>
      <c r="F377" s="50"/>
      <c r="G377" s="50"/>
      <c r="H377" s="49"/>
      <c r="I377" s="49"/>
      <c r="J377" s="49"/>
      <c r="K377" s="49"/>
      <c r="L377" s="49"/>
      <c r="M377" s="49"/>
      <c r="N377" s="49"/>
      <c r="O377" s="49"/>
      <c r="P377" s="49"/>
      <c r="Q377" s="49"/>
      <c r="R377" s="49"/>
      <c r="S377" s="49"/>
      <c r="T377" s="49"/>
      <c r="U377" s="49"/>
      <c r="V377" s="49"/>
      <c r="W377" s="49"/>
      <c r="X377" s="49"/>
      <c r="Y377" s="49"/>
      <c r="Z377" s="49"/>
      <c r="AA377" s="49"/>
      <c r="AB377" s="49"/>
      <c r="AC377" s="49"/>
      <c r="AD377" s="49"/>
      <c r="AE377" s="49"/>
      <c r="AF377" s="49"/>
      <c r="AG377" s="49"/>
      <c r="AH377" s="49"/>
      <c r="AI377" s="49"/>
      <c r="AJ377" s="49"/>
      <c r="AK377" s="49"/>
      <c r="AL377" s="49"/>
      <c r="AM377" s="49"/>
      <c r="AN377" s="49"/>
      <c r="AO377" s="49"/>
      <c r="AP377" s="49"/>
      <c r="AQ377" s="49"/>
      <c r="AR377" s="49"/>
      <c r="AS377" s="49"/>
      <c r="AT377" s="49"/>
      <c r="AU377" s="49"/>
      <c r="AV377" s="49"/>
      <c r="AW377" s="49"/>
      <c r="AX377" s="49"/>
    </row>
    <row r="378">
      <c r="A378" s="49"/>
      <c r="B378" s="49"/>
      <c r="C378" s="49"/>
      <c r="D378" s="50"/>
      <c r="E378" s="50"/>
      <c r="F378" s="50"/>
      <c r="G378" s="50"/>
      <c r="H378" s="49"/>
      <c r="I378" s="49"/>
      <c r="J378" s="49"/>
      <c r="K378" s="49"/>
      <c r="L378" s="49"/>
      <c r="M378" s="49"/>
      <c r="N378" s="49"/>
      <c r="O378" s="49"/>
      <c r="P378" s="49"/>
      <c r="Q378" s="49"/>
      <c r="R378" s="49"/>
      <c r="S378" s="49"/>
      <c r="T378" s="49"/>
      <c r="U378" s="49"/>
      <c r="V378" s="49"/>
      <c r="W378" s="49"/>
      <c r="X378" s="49"/>
      <c r="Y378" s="49"/>
      <c r="Z378" s="49"/>
      <c r="AA378" s="49"/>
      <c r="AB378" s="49"/>
      <c r="AC378" s="49"/>
      <c r="AD378" s="49"/>
      <c r="AE378" s="49"/>
      <c r="AF378" s="49"/>
      <c r="AG378" s="49"/>
      <c r="AH378" s="49"/>
      <c r="AI378" s="49"/>
      <c r="AJ378" s="49"/>
      <c r="AK378" s="49"/>
      <c r="AL378" s="49"/>
      <c r="AM378" s="49"/>
      <c r="AN378" s="49"/>
      <c r="AO378" s="49"/>
      <c r="AP378" s="49"/>
      <c r="AQ378" s="49"/>
      <c r="AR378" s="49"/>
      <c r="AS378" s="49"/>
      <c r="AT378" s="49"/>
      <c r="AU378" s="49"/>
      <c r="AV378" s="49"/>
      <c r="AW378" s="49"/>
      <c r="AX378" s="49"/>
    </row>
    <row r="379">
      <c r="A379" s="49"/>
      <c r="B379" s="49"/>
      <c r="C379" s="49"/>
      <c r="D379" s="50"/>
      <c r="E379" s="50"/>
      <c r="F379" s="50"/>
      <c r="G379" s="50"/>
      <c r="H379" s="49"/>
      <c r="I379" s="49"/>
      <c r="J379" s="49"/>
      <c r="K379" s="49"/>
      <c r="L379" s="49"/>
      <c r="M379" s="49"/>
      <c r="N379" s="49"/>
      <c r="O379" s="49"/>
      <c r="P379" s="49"/>
      <c r="Q379" s="49"/>
      <c r="R379" s="49"/>
      <c r="S379" s="49"/>
      <c r="T379" s="49"/>
      <c r="U379" s="49"/>
      <c r="V379" s="49"/>
      <c r="W379" s="49"/>
      <c r="X379" s="49"/>
      <c r="Y379" s="49"/>
      <c r="Z379" s="49"/>
      <c r="AA379" s="49"/>
      <c r="AB379" s="49"/>
      <c r="AC379" s="49"/>
      <c r="AD379" s="49"/>
      <c r="AE379" s="49"/>
      <c r="AF379" s="49"/>
      <c r="AG379" s="49"/>
      <c r="AH379" s="49"/>
      <c r="AI379" s="49"/>
      <c r="AJ379" s="49"/>
      <c r="AK379" s="49"/>
      <c r="AL379" s="49"/>
      <c r="AM379" s="49"/>
      <c r="AN379" s="49"/>
      <c r="AO379" s="49"/>
      <c r="AP379" s="49"/>
      <c r="AQ379" s="49"/>
      <c r="AR379" s="49"/>
      <c r="AS379" s="49"/>
      <c r="AT379" s="49"/>
      <c r="AU379" s="49"/>
      <c r="AV379" s="49"/>
      <c r="AW379" s="49"/>
      <c r="AX379" s="49"/>
    </row>
    <row r="380">
      <c r="A380" s="49"/>
      <c r="B380" s="49"/>
      <c r="C380" s="49"/>
      <c r="D380" s="50"/>
      <c r="E380" s="50"/>
      <c r="F380" s="50"/>
      <c r="G380" s="50"/>
      <c r="H380" s="49"/>
      <c r="I380" s="49"/>
      <c r="J380" s="49"/>
      <c r="K380" s="49"/>
      <c r="L380" s="49"/>
      <c r="M380" s="49"/>
      <c r="N380" s="49"/>
      <c r="O380" s="49"/>
      <c r="P380" s="49"/>
      <c r="Q380" s="49"/>
      <c r="R380" s="49"/>
      <c r="S380" s="49"/>
      <c r="T380" s="49"/>
      <c r="U380" s="49"/>
      <c r="V380" s="49"/>
      <c r="W380" s="49"/>
      <c r="X380" s="49"/>
      <c r="Y380" s="49"/>
      <c r="Z380" s="49"/>
      <c r="AA380" s="49"/>
      <c r="AB380" s="49"/>
      <c r="AC380" s="49"/>
      <c r="AD380" s="49"/>
      <c r="AE380" s="49"/>
      <c r="AF380" s="49"/>
      <c r="AG380" s="49"/>
      <c r="AH380" s="49"/>
      <c r="AI380" s="49"/>
      <c r="AJ380" s="49"/>
      <c r="AK380" s="49"/>
      <c r="AL380" s="49"/>
      <c r="AM380" s="49"/>
      <c r="AN380" s="49"/>
      <c r="AO380" s="49"/>
      <c r="AP380" s="49"/>
      <c r="AQ380" s="49"/>
      <c r="AR380" s="49"/>
      <c r="AS380" s="49"/>
      <c r="AT380" s="49"/>
      <c r="AU380" s="49"/>
      <c r="AV380" s="49"/>
      <c r="AW380" s="49"/>
      <c r="AX380" s="49"/>
    </row>
    <row r="381">
      <c r="A381" s="49"/>
      <c r="B381" s="49"/>
      <c r="C381" s="49"/>
      <c r="D381" s="50"/>
      <c r="E381" s="50"/>
      <c r="F381" s="50"/>
      <c r="G381" s="50"/>
      <c r="H381" s="49"/>
      <c r="I381" s="49"/>
      <c r="J381" s="49"/>
      <c r="K381" s="49"/>
      <c r="L381" s="49"/>
      <c r="M381" s="49"/>
      <c r="N381" s="49"/>
      <c r="O381" s="49"/>
      <c r="P381" s="49"/>
      <c r="Q381" s="49"/>
      <c r="R381" s="49"/>
      <c r="S381" s="49"/>
      <c r="T381" s="49"/>
      <c r="U381" s="49"/>
      <c r="V381" s="49"/>
      <c r="W381" s="49"/>
      <c r="X381" s="49"/>
      <c r="Y381" s="49"/>
      <c r="Z381" s="49"/>
      <c r="AA381" s="49"/>
      <c r="AB381" s="49"/>
      <c r="AC381" s="49"/>
      <c r="AD381" s="49"/>
      <c r="AE381" s="49"/>
      <c r="AF381" s="49"/>
      <c r="AG381" s="49"/>
      <c r="AH381" s="49"/>
      <c r="AI381" s="49"/>
      <c r="AJ381" s="49"/>
      <c r="AK381" s="49"/>
      <c r="AL381" s="49"/>
      <c r="AM381" s="49"/>
      <c r="AN381" s="49"/>
      <c r="AO381" s="49"/>
      <c r="AP381" s="49"/>
      <c r="AQ381" s="49"/>
      <c r="AR381" s="49"/>
      <c r="AS381" s="49"/>
      <c r="AT381" s="49"/>
      <c r="AU381" s="49"/>
      <c r="AV381" s="49"/>
      <c r="AW381" s="49"/>
      <c r="AX381" s="49"/>
    </row>
    <row r="382">
      <c r="A382" s="49"/>
      <c r="B382" s="49"/>
      <c r="C382" s="49"/>
      <c r="D382" s="50"/>
      <c r="E382" s="50"/>
      <c r="F382" s="50"/>
      <c r="G382" s="50"/>
      <c r="H382" s="49"/>
      <c r="I382" s="49"/>
      <c r="J382" s="49"/>
      <c r="K382" s="49"/>
      <c r="L382" s="49"/>
      <c r="M382" s="49"/>
      <c r="N382" s="49"/>
      <c r="O382" s="49"/>
      <c r="P382" s="49"/>
      <c r="Q382" s="49"/>
      <c r="R382" s="49"/>
      <c r="S382" s="49"/>
      <c r="T382" s="49"/>
      <c r="U382" s="49"/>
      <c r="V382" s="49"/>
      <c r="W382" s="49"/>
      <c r="X382" s="49"/>
      <c r="Y382" s="49"/>
      <c r="Z382" s="49"/>
      <c r="AA382" s="49"/>
      <c r="AB382" s="49"/>
      <c r="AC382" s="49"/>
      <c r="AD382" s="49"/>
      <c r="AE382" s="49"/>
      <c r="AF382" s="49"/>
      <c r="AG382" s="49"/>
      <c r="AH382" s="49"/>
      <c r="AI382" s="49"/>
      <c r="AJ382" s="49"/>
      <c r="AK382" s="49"/>
      <c r="AL382" s="49"/>
      <c r="AM382" s="49"/>
      <c r="AN382" s="49"/>
      <c r="AO382" s="49"/>
      <c r="AP382" s="49"/>
      <c r="AQ382" s="49"/>
      <c r="AR382" s="49"/>
      <c r="AS382" s="49"/>
      <c r="AT382" s="49"/>
      <c r="AU382" s="49"/>
      <c r="AV382" s="49"/>
      <c r="AW382" s="49"/>
      <c r="AX382" s="49"/>
    </row>
    <row r="383">
      <c r="A383" s="49"/>
      <c r="B383" s="49"/>
      <c r="C383" s="49"/>
      <c r="D383" s="50"/>
      <c r="E383" s="50"/>
      <c r="F383" s="50"/>
      <c r="G383" s="50"/>
      <c r="H383" s="49"/>
      <c r="I383" s="49"/>
      <c r="J383" s="49"/>
      <c r="K383" s="49"/>
      <c r="L383" s="49"/>
      <c r="M383" s="49"/>
      <c r="N383" s="49"/>
      <c r="O383" s="49"/>
      <c r="P383" s="49"/>
      <c r="Q383" s="49"/>
      <c r="R383" s="49"/>
      <c r="S383" s="49"/>
      <c r="T383" s="49"/>
      <c r="U383" s="49"/>
      <c r="V383" s="49"/>
      <c r="W383" s="49"/>
      <c r="X383" s="49"/>
      <c r="Y383" s="49"/>
      <c r="Z383" s="49"/>
      <c r="AA383" s="49"/>
      <c r="AB383" s="49"/>
      <c r="AC383" s="49"/>
      <c r="AD383" s="49"/>
      <c r="AE383" s="49"/>
      <c r="AF383" s="49"/>
      <c r="AG383" s="49"/>
      <c r="AH383" s="49"/>
      <c r="AI383" s="49"/>
      <c r="AJ383" s="49"/>
      <c r="AK383" s="49"/>
      <c r="AL383" s="49"/>
      <c r="AM383" s="49"/>
      <c r="AN383" s="49"/>
      <c r="AO383" s="49"/>
      <c r="AP383" s="49"/>
      <c r="AQ383" s="49"/>
      <c r="AR383" s="49"/>
      <c r="AS383" s="49"/>
      <c r="AT383" s="49"/>
      <c r="AU383" s="49"/>
      <c r="AV383" s="49"/>
      <c r="AW383" s="49"/>
      <c r="AX383" s="49"/>
    </row>
    <row r="384">
      <c r="A384" s="49"/>
      <c r="B384" s="49"/>
      <c r="C384" s="49"/>
      <c r="D384" s="50"/>
      <c r="E384" s="50"/>
      <c r="F384" s="50"/>
      <c r="G384" s="50"/>
      <c r="H384" s="49"/>
      <c r="I384" s="49"/>
      <c r="J384" s="49"/>
      <c r="K384" s="49"/>
      <c r="L384" s="49"/>
      <c r="M384" s="49"/>
      <c r="N384" s="49"/>
      <c r="O384" s="49"/>
      <c r="P384" s="49"/>
      <c r="Q384" s="49"/>
      <c r="R384" s="49"/>
      <c r="S384" s="49"/>
      <c r="T384" s="49"/>
      <c r="U384" s="49"/>
      <c r="V384" s="49"/>
      <c r="W384" s="49"/>
      <c r="X384" s="49"/>
      <c r="Y384" s="49"/>
      <c r="Z384" s="49"/>
      <c r="AA384" s="49"/>
      <c r="AB384" s="49"/>
      <c r="AC384" s="49"/>
      <c r="AD384" s="49"/>
      <c r="AE384" s="49"/>
      <c r="AF384" s="49"/>
      <c r="AG384" s="49"/>
      <c r="AH384" s="49"/>
      <c r="AI384" s="49"/>
      <c r="AJ384" s="49"/>
      <c r="AK384" s="49"/>
      <c r="AL384" s="49"/>
      <c r="AM384" s="49"/>
      <c r="AN384" s="49"/>
      <c r="AO384" s="49"/>
      <c r="AP384" s="49"/>
      <c r="AQ384" s="49"/>
      <c r="AR384" s="49"/>
      <c r="AS384" s="49"/>
      <c r="AT384" s="49"/>
      <c r="AU384" s="49"/>
      <c r="AV384" s="49"/>
      <c r="AW384" s="49"/>
      <c r="AX384" s="49"/>
    </row>
    <row r="385">
      <c r="A385" s="49"/>
      <c r="B385" s="49"/>
      <c r="C385" s="49"/>
      <c r="D385" s="50"/>
      <c r="E385" s="50"/>
      <c r="F385" s="50"/>
      <c r="G385" s="50"/>
      <c r="H385" s="49"/>
      <c r="I385" s="49"/>
      <c r="J385" s="49"/>
      <c r="K385" s="49"/>
      <c r="L385" s="49"/>
      <c r="M385" s="49"/>
      <c r="N385" s="49"/>
      <c r="O385" s="49"/>
      <c r="P385" s="49"/>
      <c r="Q385" s="49"/>
      <c r="R385" s="49"/>
      <c r="S385" s="49"/>
      <c r="T385" s="49"/>
      <c r="U385" s="49"/>
      <c r="V385" s="49"/>
      <c r="W385" s="49"/>
      <c r="X385" s="49"/>
      <c r="Y385" s="49"/>
      <c r="Z385" s="49"/>
      <c r="AA385" s="49"/>
      <c r="AB385" s="49"/>
      <c r="AC385" s="49"/>
      <c r="AD385" s="49"/>
      <c r="AE385" s="49"/>
      <c r="AF385" s="49"/>
      <c r="AG385" s="49"/>
      <c r="AH385" s="49"/>
      <c r="AI385" s="49"/>
      <c r="AJ385" s="49"/>
      <c r="AK385" s="49"/>
      <c r="AL385" s="49"/>
      <c r="AM385" s="49"/>
      <c r="AN385" s="49"/>
      <c r="AO385" s="49"/>
      <c r="AP385" s="49"/>
      <c r="AQ385" s="49"/>
      <c r="AR385" s="49"/>
      <c r="AS385" s="49"/>
      <c r="AT385" s="49"/>
      <c r="AU385" s="49"/>
      <c r="AV385" s="49"/>
      <c r="AW385" s="49"/>
      <c r="AX385" s="49"/>
    </row>
    <row r="386">
      <c r="A386" s="49"/>
      <c r="B386" s="49"/>
      <c r="C386" s="49"/>
      <c r="D386" s="50"/>
      <c r="E386" s="50"/>
      <c r="F386" s="50"/>
      <c r="G386" s="50"/>
      <c r="H386" s="49"/>
      <c r="I386" s="49"/>
      <c r="J386" s="49"/>
      <c r="K386" s="49"/>
      <c r="L386" s="49"/>
      <c r="M386" s="49"/>
      <c r="N386" s="49"/>
      <c r="O386" s="49"/>
      <c r="P386" s="49"/>
      <c r="Q386" s="49"/>
      <c r="R386" s="49"/>
      <c r="S386" s="49"/>
      <c r="T386" s="49"/>
      <c r="U386" s="49"/>
      <c r="V386" s="49"/>
      <c r="W386" s="49"/>
      <c r="X386" s="49"/>
      <c r="Y386" s="49"/>
      <c r="Z386" s="49"/>
      <c r="AA386" s="49"/>
      <c r="AB386" s="49"/>
      <c r="AC386" s="49"/>
      <c r="AD386" s="49"/>
      <c r="AE386" s="49"/>
      <c r="AF386" s="49"/>
      <c r="AG386" s="49"/>
      <c r="AH386" s="49"/>
      <c r="AI386" s="49"/>
      <c r="AJ386" s="49"/>
      <c r="AK386" s="49"/>
      <c r="AL386" s="49"/>
      <c r="AM386" s="49"/>
      <c r="AN386" s="49"/>
      <c r="AO386" s="49"/>
      <c r="AP386" s="49"/>
      <c r="AQ386" s="49"/>
      <c r="AR386" s="49"/>
      <c r="AS386" s="49"/>
      <c r="AT386" s="49"/>
      <c r="AU386" s="49"/>
      <c r="AV386" s="49"/>
      <c r="AW386" s="49"/>
      <c r="AX386" s="49"/>
    </row>
    <row r="387">
      <c r="A387" s="49"/>
      <c r="B387" s="49"/>
      <c r="C387" s="49"/>
      <c r="D387" s="50"/>
      <c r="E387" s="50"/>
      <c r="F387" s="50"/>
      <c r="G387" s="50"/>
      <c r="H387" s="49"/>
      <c r="I387" s="49"/>
      <c r="J387" s="49"/>
      <c r="K387" s="49"/>
      <c r="L387" s="49"/>
      <c r="M387" s="49"/>
      <c r="N387" s="49"/>
      <c r="O387" s="49"/>
      <c r="P387" s="49"/>
      <c r="Q387" s="49"/>
      <c r="R387" s="49"/>
      <c r="S387" s="49"/>
      <c r="T387" s="49"/>
      <c r="U387" s="49"/>
      <c r="V387" s="49"/>
      <c r="W387" s="49"/>
      <c r="X387" s="49"/>
      <c r="Y387" s="49"/>
      <c r="Z387" s="49"/>
      <c r="AA387" s="49"/>
      <c r="AB387" s="49"/>
      <c r="AC387" s="49"/>
      <c r="AD387" s="49"/>
      <c r="AE387" s="49"/>
      <c r="AF387" s="49"/>
      <c r="AG387" s="49"/>
      <c r="AH387" s="49"/>
      <c r="AI387" s="49"/>
      <c r="AJ387" s="49"/>
      <c r="AK387" s="49"/>
      <c r="AL387" s="49"/>
      <c r="AM387" s="49"/>
      <c r="AN387" s="49"/>
      <c r="AO387" s="49"/>
      <c r="AP387" s="49"/>
      <c r="AQ387" s="49"/>
      <c r="AR387" s="49"/>
      <c r="AS387" s="49"/>
      <c r="AT387" s="49"/>
      <c r="AU387" s="49"/>
      <c r="AV387" s="49"/>
      <c r="AW387" s="49"/>
      <c r="AX387" s="49"/>
    </row>
    <row r="388">
      <c r="A388" s="49"/>
      <c r="B388" s="49"/>
      <c r="C388" s="49"/>
      <c r="D388" s="50"/>
      <c r="E388" s="50"/>
      <c r="F388" s="50"/>
      <c r="G388" s="50"/>
      <c r="H388" s="49"/>
      <c r="I388" s="49"/>
      <c r="J388" s="49"/>
      <c r="K388" s="49"/>
      <c r="L388" s="49"/>
      <c r="M388" s="49"/>
      <c r="N388" s="49"/>
      <c r="O388" s="49"/>
      <c r="P388" s="49"/>
      <c r="Q388" s="49"/>
      <c r="R388" s="49"/>
      <c r="S388" s="49"/>
      <c r="T388" s="49"/>
      <c r="U388" s="49"/>
      <c r="V388" s="49"/>
      <c r="W388" s="49"/>
      <c r="X388" s="49"/>
      <c r="Y388" s="49"/>
      <c r="Z388" s="49"/>
      <c r="AA388" s="49"/>
      <c r="AB388" s="49"/>
      <c r="AC388" s="49"/>
      <c r="AD388" s="49"/>
      <c r="AE388" s="49"/>
      <c r="AF388" s="49"/>
      <c r="AG388" s="49"/>
      <c r="AH388" s="49"/>
      <c r="AI388" s="49"/>
      <c r="AJ388" s="49"/>
      <c r="AK388" s="49"/>
      <c r="AL388" s="49"/>
      <c r="AM388" s="49"/>
      <c r="AN388" s="49"/>
      <c r="AO388" s="49"/>
      <c r="AP388" s="49"/>
      <c r="AQ388" s="49"/>
      <c r="AR388" s="49"/>
      <c r="AS388" s="49"/>
      <c r="AT388" s="49"/>
      <c r="AU388" s="49"/>
      <c r="AV388" s="49"/>
      <c r="AW388" s="49"/>
      <c r="AX388" s="49"/>
    </row>
    <row r="389">
      <c r="A389" s="49"/>
      <c r="B389" s="49"/>
      <c r="C389" s="49"/>
      <c r="D389" s="50"/>
      <c r="E389" s="50"/>
      <c r="F389" s="50"/>
      <c r="G389" s="50"/>
      <c r="H389" s="49"/>
      <c r="I389" s="49"/>
      <c r="J389" s="49"/>
      <c r="K389" s="49"/>
      <c r="L389" s="49"/>
      <c r="M389" s="49"/>
      <c r="N389" s="49"/>
      <c r="O389" s="49"/>
      <c r="P389" s="49"/>
      <c r="Q389" s="49"/>
      <c r="R389" s="49"/>
      <c r="S389" s="49"/>
      <c r="T389" s="49"/>
      <c r="U389" s="49"/>
      <c r="V389" s="49"/>
      <c r="W389" s="49"/>
      <c r="X389" s="49"/>
      <c r="Y389" s="49"/>
      <c r="Z389" s="49"/>
      <c r="AA389" s="49"/>
      <c r="AB389" s="49"/>
      <c r="AC389" s="49"/>
      <c r="AD389" s="49"/>
      <c r="AE389" s="49"/>
      <c r="AF389" s="49"/>
      <c r="AG389" s="49"/>
      <c r="AH389" s="49"/>
      <c r="AI389" s="49"/>
      <c r="AJ389" s="49"/>
      <c r="AK389" s="49"/>
      <c r="AL389" s="49"/>
      <c r="AM389" s="49"/>
      <c r="AN389" s="49"/>
      <c r="AO389" s="49"/>
      <c r="AP389" s="49"/>
      <c r="AQ389" s="49"/>
      <c r="AR389" s="49"/>
      <c r="AS389" s="49"/>
      <c r="AT389" s="49"/>
      <c r="AU389" s="49"/>
      <c r="AV389" s="49"/>
      <c r="AW389" s="49"/>
      <c r="AX389" s="49"/>
    </row>
    <row r="390">
      <c r="A390" s="49"/>
      <c r="B390" s="49"/>
      <c r="C390" s="49"/>
      <c r="D390" s="50"/>
      <c r="E390" s="50"/>
      <c r="F390" s="50"/>
      <c r="G390" s="50"/>
      <c r="H390" s="49"/>
      <c r="I390" s="49"/>
      <c r="J390" s="49"/>
      <c r="K390" s="49"/>
      <c r="L390" s="49"/>
      <c r="M390" s="49"/>
      <c r="N390" s="49"/>
      <c r="O390" s="49"/>
      <c r="P390" s="49"/>
      <c r="Q390" s="49"/>
      <c r="R390" s="49"/>
      <c r="S390" s="49"/>
      <c r="T390" s="49"/>
      <c r="U390" s="49"/>
      <c r="V390" s="49"/>
      <c r="W390" s="49"/>
      <c r="X390" s="49"/>
      <c r="Y390" s="49"/>
      <c r="Z390" s="49"/>
      <c r="AA390" s="49"/>
      <c r="AB390" s="49"/>
      <c r="AC390" s="49"/>
      <c r="AD390" s="49"/>
      <c r="AE390" s="49"/>
      <c r="AF390" s="49"/>
      <c r="AG390" s="49"/>
      <c r="AH390" s="49"/>
      <c r="AI390" s="49"/>
      <c r="AJ390" s="49"/>
      <c r="AK390" s="49"/>
      <c r="AL390" s="49"/>
      <c r="AM390" s="49"/>
      <c r="AN390" s="49"/>
      <c r="AO390" s="49"/>
      <c r="AP390" s="49"/>
      <c r="AQ390" s="49"/>
      <c r="AR390" s="49"/>
      <c r="AS390" s="49"/>
      <c r="AT390" s="49"/>
      <c r="AU390" s="49"/>
      <c r="AV390" s="49"/>
      <c r="AW390" s="49"/>
      <c r="AX390" s="49"/>
    </row>
    <row r="391">
      <c r="A391" s="49"/>
      <c r="B391" s="49"/>
      <c r="C391" s="49"/>
      <c r="D391" s="50"/>
      <c r="E391" s="50"/>
      <c r="F391" s="50"/>
      <c r="G391" s="50"/>
      <c r="H391" s="49"/>
      <c r="I391" s="49"/>
      <c r="J391" s="49"/>
      <c r="K391" s="49"/>
      <c r="L391" s="49"/>
      <c r="M391" s="49"/>
      <c r="N391" s="49"/>
      <c r="O391" s="49"/>
      <c r="P391" s="49"/>
      <c r="Q391" s="49"/>
      <c r="R391" s="49"/>
      <c r="S391" s="49"/>
      <c r="T391" s="49"/>
      <c r="U391" s="49"/>
      <c r="V391" s="49"/>
      <c r="W391" s="49"/>
      <c r="X391" s="49"/>
      <c r="Y391" s="49"/>
      <c r="Z391" s="49"/>
      <c r="AA391" s="49"/>
      <c r="AB391" s="49"/>
      <c r="AC391" s="49"/>
      <c r="AD391" s="49"/>
      <c r="AE391" s="49"/>
      <c r="AF391" s="49"/>
      <c r="AG391" s="49"/>
      <c r="AH391" s="49"/>
      <c r="AI391" s="49"/>
      <c r="AJ391" s="49"/>
      <c r="AK391" s="49"/>
      <c r="AL391" s="49"/>
      <c r="AM391" s="49"/>
      <c r="AN391" s="49"/>
      <c r="AO391" s="49"/>
      <c r="AP391" s="49"/>
      <c r="AQ391" s="49"/>
      <c r="AR391" s="49"/>
      <c r="AS391" s="49"/>
      <c r="AT391" s="49"/>
      <c r="AU391" s="49"/>
      <c r="AV391" s="49"/>
      <c r="AW391" s="49"/>
      <c r="AX391" s="49"/>
    </row>
    <row r="392">
      <c r="A392" s="49"/>
      <c r="B392" s="49"/>
      <c r="C392" s="49"/>
      <c r="D392" s="50"/>
      <c r="E392" s="50"/>
      <c r="F392" s="50"/>
      <c r="G392" s="50"/>
      <c r="H392" s="49"/>
      <c r="I392" s="49"/>
      <c r="J392" s="49"/>
      <c r="K392" s="49"/>
      <c r="L392" s="49"/>
      <c r="M392" s="49"/>
      <c r="N392" s="49"/>
      <c r="O392" s="49"/>
      <c r="P392" s="49"/>
      <c r="Q392" s="49"/>
      <c r="R392" s="49"/>
      <c r="S392" s="49"/>
      <c r="T392" s="49"/>
      <c r="U392" s="49"/>
      <c r="V392" s="49"/>
      <c r="W392" s="49"/>
      <c r="X392" s="49"/>
      <c r="Y392" s="49"/>
      <c r="Z392" s="49"/>
      <c r="AA392" s="49"/>
      <c r="AB392" s="49"/>
      <c r="AC392" s="49"/>
      <c r="AD392" s="49"/>
      <c r="AE392" s="49"/>
      <c r="AF392" s="49"/>
      <c r="AG392" s="49"/>
      <c r="AH392" s="49"/>
      <c r="AI392" s="49"/>
      <c r="AJ392" s="49"/>
      <c r="AK392" s="49"/>
      <c r="AL392" s="49"/>
      <c r="AM392" s="49"/>
      <c r="AN392" s="49"/>
      <c r="AO392" s="49"/>
      <c r="AP392" s="49"/>
      <c r="AQ392" s="49"/>
      <c r="AR392" s="49"/>
      <c r="AS392" s="49"/>
      <c r="AT392" s="49"/>
      <c r="AU392" s="49"/>
      <c r="AV392" s="49"/>
      <c r="AW392" s="49"/>
      <c r="AX392" s="49"/>
    </row>
    <row r="393">
      <c r="A393" s="49"/>
      <c r="B393" s="49"/>
      <c r="C393" s="49"/>
      <c r="D393" s="50"/>
      <c r="E393" s="50"/>
      <c r="F393" s="50"/>
      <c r="G393" s="50"/>
      <c r="H393" s="49"/>
      <c r="I393" s="49"/>
      <c r="J393" s="49"/>
      <c r="K393" s="49"/>
      <c r="L393" s="49"/>
      <c r="M393" s="49"/>
      <c r="N393" s="49"/>
      <c r="O393" s="49"/>
      <c r="P393" s="49"/>
      <c r="Q393" s="49"/>
      <c r="R393" s="49"/>
      <c r="S393" s="49"/>
      <c r="T393" s="49"/>
      <c r="U393" s="49"/>
      <c r="V393" s="49"/>
      <c r="W393" s="49"/>
      <c r="X393" s="49"/>
      <c r="Y393" s="49"/>
      <c r="Z393" s="49"/>
      <c r="AA393" s="49"/>
      <c r="AB393" s="49"/>
      <c r="AC393" s="49"/>
      <c r="AD393" s="49"/>
      <c r="AE393" s="49"/>
      <c r="AF393" s="49"/>
      <c r="AG393" s="49"/>
      <c r="AH393" s="49"/>
      <c r="AI393" s="49"/>
      <c r="AJ393" s="49"/>
      <c r="AK393" s="49"/>
      <c r="AL393" s="49"/>
      <c r="AM393" s="49"/>
      <c r="AN393" s="49"/>
      <c r="AO393" s="49"/>
      <c r="AP393" s="49"/>
      <c r="AQ393" s="49"/>
      <c r="AR393" s="49"/>
      <c r="AS393" s="49"/>
      <c r="AT393" s="49"/>
      <c r="AU393" s="49"/>
      <c r="AV393" s="49"/>
      <c r="AW393" s="49"/>
      <c r="AX393" s="49"/>
    </row>
    <row r="394">
      <c r="A394" s="49"/>
      <c r="B394" s="49"/>
      <c r="C394" s="49"/>
      <c r="D394" s="50"/>
      <c r="E394" s="50"/>
      <c r="F394" s="50"/>
      <c r="G394" s="50"/>
      <c r="H394" s="49"/>
      <c r="I394" s="49"/>
      <c r="J394" s="49"/>
      <c r="K394" s="49"/>
      <c r="L394" s="49"/>
      <c r="M394" s="49"/>
      <c r="N394" s="49"/>
      <c r="O394" s="49"/>
      <c r="P394" s="49"/>
      <c r="Q394" s="49"/>
      <c r="R394" s="49"/>
      <c r="S394" s="49"/>
      <c r="T394" s="49"/>
      <c r="U394" s="49"/>
      <c r="V394" s="49"/>
      <c r="W394" s="49"/>
      <c r="X394" s="49"/>
      <c r="Y394" s="49"/>
      <c r="Z394" s="49"/>
      <c r="AA394" s="49"/>
      <c r="AB394" s="49"/>
      <c r="AC394" s="49"/>
      <c r="AD394" s="49"/>
      <c r="AE394" s="49"/>
      <c r="AF394" s="49"/>
      <c r="AG394" s="49"/>
      <c r="AH394" s="49"/>
      <c r="AI394" s="49"/>
      <c r="AJ394" s="49"/>
      <c r="AK394" s="49"/>
      <c r="AL394" s="49"/>
      <c r="AM394" s="49"/>
      <c r="AN394" s="49"/>
      <c r="AO394" s="49"/>
      <c r="AP394" s="49"/>
      <c r="AQ394" s="49"/>
      <c r="AR394" s="49"/>
      <c r="AS394" s="49"/>
      <c r="AT394" s="49"/>
      <c r="AU394" s="49"/>
      <c r="AV394" s="49"/>
      <c r="AW394" s="49"/>
      <c r="AX394" s="49"/>
    </row>
    <row r="395">
      <c r="A395" s="49"/>
      <c r="B395" s="49"/>
      <c r="C395" s="49"/>
      <c r="D395" s="50"/>
      <c r="E395" s="50"/>
      <c r="F395" s="50"/>
      <c r="G395" s="50"/>
      <c r="H395" s="49"/>
      <c r="I395" s="49"/>
      <c r="J395" s="49"/>
      <c r="K395" s="49"/>
      <c r="L395" s="49"/>
      <c r="M395" s="49"/>
      <c r="N395" s="49"/>
      <c r="O395" s="49"/>
      <c r="P395" s="49"/>
      <c r="Q395" s="49"/>
      <c r="R395" s="49"/>
      <c r="S395" s="49"/>
      <c r="T395" s="49"/>
      <c r="U395" s="49"/>
      <c r="V395" s="49"/>
      <c r="W395" s="49"/>
      <c r="X395" s="49"/>
      <c r="Y395" s="49"/>
      <c r="Z395" s="49"/>
      <c r="AA395" s="49"/>
      <c r="AB395" s="49"/>
      <c r="AC395" s="49"/>
      <c r="AD395" s="49"/>
      <c r="AE395" s="49"/>
      <c r="AF395" s="49"/>
      <c r="AG395" s="49"/>
      <c r="AH395" s="49"/>
      <c r="AI395" s="49"/>
      <c r="AJ395" s="49"/>
      <c r="AK395" s="49"/>
      <c r="AL395" s="49"/>
      <c r="AM395" s="49"/>
      <c r="AN395" s="49"/>
      <c r="AO395" s="49"/>
      <c r="AP395" s="49"/>
      <c r="AQ395" s="49"/>
      <c r="AR395" s="49"/>
      <c r="AS395" s="49"/>
      <c r="AT395" s="49"/>
      <c r="AU395" s="49"/>
      <c r="AV395" s="49"/>
      <c r="AW395" s="49"/>
      <c r="AX395" s="49"/>
    </row>
    <row r="396">
      <c r="A396" s="49"/>
      <c r="B396" s="49"/>
      <c r="C396" s="49"/>
      <c r="D396" s="50"/>
      <c r="E396" s="50"/>
      <c r="F396" s="50"/>
      <c r="G396" s="50"/>
      <c r="H396" s="49"/>
      <c r="I396" s="49"/>
      <c r="J396" s="49"/>
      <c r="K396" s="49"/>
      <c r="L396" s="49"/>
      <c r="M396" s="49"/>
      <c r="N396" s="49"/>
      <c r="O396" s="49"/>
      <c r="P396" s="49"/>
      <c r="Q396" s="49"/>
      <c r="R396" s="49"/>
      <c r="S396" s="49"/>
      <c r="T396" s="49"/>
      <c r="U396" s="49"/>
      <c r="V396" s="49"/>
      <c r="W396" s="49"/>
      <c r="X396" s="49"/>
      <c r="Y396" s="49"/>
      <c r="Z396" s="49"/>
      <c r="AA396" s="49"/>
      <c r="AB396" s="49"/>
      <c r="AC396" s="49"/>
      <c r="AD396" s="49"/>
      <c r="AE396" s="49"/>
      <c r="AF396" s="49"/>
      <c r="AG396" s="49"/>
      <c r="AH396" s="49"/>
      <c r="AI396" s="49"/>
      <c r="AJ396" s="49"/>
      <c r="AK396" s="49"/>
      <c r="AL396" s="49"/>
      <c r="AM396" s="49"/>
      <c r="AN396" s="49"/>
      <c r="AO396" s="49"/>
      <c r="AP396" s="49"/>
      <c r="AQ396" s="49"/>
      <c r="AR396" s="49"/>
      <c r="AS396" s="49"/>
      <c r="AT396" s="49"/>
      <c r="AU396" s="49"/>
      <c r="AV396" s="49"/>
      <c r="AW396" s="49"/>
      <c r="AX396" s="49"/>
    </row>
    <row r="397">
      <c r="A397" s="49"/>
      <c r="B397" s="49"/>
      <c r="C397" s="49"/>
      <c r="D397" s="50"/>
      <c r="E397" s="50"/>
      <c r="F397" s="50"/>
      <c r="G397" s="50"/>
      <c r="H397" s="49"/>
      <c r="I397" s="49"/>
      <c r="J397" s="49"/>
      <c r="K397" s="49"/>
      <c r="L397" s="49"/>
      <c r="M397" s="49"/>
      <c r="N397" s="49"/>
      <c r="O397" s="49"/>
      <c r="P397" s="49"/>
      <c r="Q397" s="49"/>
      <c r="R397" s="49"/>
      <c r="S397" s="49"/>
      <c r="T397" s="49"/>
      <c r="U397" s="49"/>
      <c r="V397" s="49"/>
      <c r="W397" s="49"/>
      <c r="X397" s="49"/>
      <c r="Y397" s="49"/>
      <c r="Z397" s="49"/>
      <c r="AA397" s="49"/>
      <c r="AB397" s="49"/>
      <c r="AC397" s="49"/>
      <c r="AD397" s="49"/>
      <c r="AE397" s="49"/>
      <c r="AF397" s="49"/>
      <c r="AG397" s="49"/>
      <c r="AH397" s="49"/>
      <c r="AI397" s="49"/>
      <c r="AJ397" s="49"/>
      <c r="AK397" s="49"/>
      <c r="AL397" s="49"/>
      <c r="AM397" s="49"/>
      <c r="AN397" s="49"/>
      <c r="AO397" s="49"/>
      <c r="AP397" s="49"/>
      <c r="AQ397" s="49"/>
      <c r="AR397" s="49"/>
      <c r="AS397" s="49"/>
      <c r="AT397" s="49"/>
      <c r="AU397" s="49"/>
      <c r="AV397" s="49"/>
      <c r="AW397" s="49"/>
      <c r="AX397" s="49"/>
    </row>
    <row r="398">
      <c r="A398" s="49"/>
      <c r="B398" s="49"/>
      <c r="C398" s="49"/>
      <c r="D398" s="50"/>
      <c r="E398" s="50"/>
      <c r="F398" s="50"/>
      <c r="G398" s="50"/>
      <c r="H398" s="49"/>
      <c r="I398" s="49"/>
      <c r="J398" s="49"/>
      <c r="K398" s="49"/>
      <c r="L398" s="49"/>
      <c r="M398" s="49"/>
      <c r="N398" s="49"/>
      <c r="O398" s="49"/>
      <c r="P398" s="49"/>
      <c r="Q398" s="49"/>
      <c r="R398" s="49"/>
      <c r="S398" s="49"/>
      <c r="T398" s="49"/>
      <c r="U398" s="49"/>
      <c r="V398" s="49"/>
      <c r="W398" s="49"/>
      <c r="X398" s="49"/>
      <c r="Y398" s="49"/>
      <c r="Z398" s="49"/>
      <c r="AA398" s="49"/>
      <c r="AB398" s="49"/>
      <c r="AC398" s="49"/>
      <c r="AD398" s="49"/>
      <c r="AE398" s="49"/>
      <c r="AF398" s="49"/>
      <c r="AG398" s="49"/>
      <c r="AH398" s="49"/>
      <c r="AI398" s="49"/>
      <c r="AJ398" s="49"/>
      <c r="AK398" s="49"/>
      <c r="AL398" s="49"/>
      <c r="AM398" s="49"/>
      <c r="AN398" s="49"/>
      <c r="AO398" s="49"/>
      <c r="AP398" s="49"/>
      <c r="AQ398" s="49"/>
      <c r="AR398" s="49"/>
      <c r="AS398" s="49"/>
      <c r="AT398" s="49"/>
      <c r="AU398" s="49"/>
      <c r="AV398" s="49"/>
      <c r="AW398" s="49"/>
      <c r="AX398" s="49"/>
    </row>
    <row r="399">
      <c r="A399" s="49"/>
      <c r="B399" s="49"/>
      <c r="C399" s="49"/>
      <c r="D399" s="50"/>
      <c r="E399" s="50"/>
      <c r="F399" s="50"/>
      <c r="G399" s="50"/>
      <c r="H399" s="49"/>
      <c r="I399" s="49"/>
      <c r="J399" s="49"/>
      <c r="K399" s="49"/>
      <c r="L399" s="49"/>
      <c r="M399" s="49"/>
      <c r="N399" s="49"/>
      <c r="O399" s="49"/>
      <c r="P399" s="49"/>
      <c r="Q399" s="49"/>
      <c r="R399" s="49"/>
      <c r="S399" s="49"/>
      <c r="T399" s="49"/>
      <c r="U399" s="49"/>
      <c r="V399" s="49"/>
      <c r="W399" s="49"/>
      <c r="X399" s="49"/>
      <c r="Y399" s="49"/>
      <c r="Z399" s="49"/>
      <c r="AA399" s="49"/>
      <c r="AB399" s="49"/>
      <c r="AC399" s="49"/>
      <c r="AD399" s="49"/>
      <c r="AE399" s="49"/>
      <c r="AF399" s="49"/>
      <c r="AG399" s="49"/>
      <c r="AH399" s="49"/>
      <c r="AI399" s="49"/>
      <c r="AJ399" s="49"/>
      <c r="AK399" s="49"/>
      <c r="AL399" s="49"/>
      <c r="AM399" s="49"/>
      <c r="AN399" s="49"/>
      <c r="AO399" s="49"/>
      <c r="AP399" s="49"/>
      <c r="AQ399" s="49"/>
      <c r="AR399" s="49"/>
      <c r="AS399" s="49"/>
      <c r="AT399" s="49"/>
      <c r="AU399" s="49"/>
      <c r="AV399" s="49"/>
      <c r="AW399" s="49"/>
      <c r="AX399" s="49"/>
    </row>
    <row r="400">
      <c r="A400" s="49"/>
      <c r="B400" s="49"/>
      <c r="C400" s="49"/>
      <c r="D400" s="50"/>
      <c r="E400" s="50"/>
      <c r="F400" s="50"/>
      <c r="G400" s="50"/>
      <c r="H400" s="49"/>
      <c r="I400" s="49"/>
      <c r="J400" s="49"/>
      <c r="K400" s="49"/>
      <c r="L400" s="49"/>
      <c r="M400" s="49"/>
      <c r="N400" s="49"/>
      <c r="O400" s="49"/>
      <c r="P400" s="49"/>
      <c r="Q400" s="49"/>
      <c r="R400" s="49"/>
      <c r="S400" s="49"/>
      <c r="T400" s="49"/>
      <c r="U400" s="49"/>
      <c r="V400" s="49"/>
      <c r="W400" s="49"/>
      <c r="X400" s="49"/>
      <c r="Y400" s="49"/>
      <c r="Z400" s="49"/>
      <c r="AA400" s="49"/>
      <c r="AB400" s="49"/>
      <c r="AC400" s="49"/>
      <c r="AD400" s="49"/>
      <c r="AE400" s="49"/>
      <c r="AF400" s="49"/>
      <c r="AG400" s="49"/>
      <c r="AH400" s="49"/>
      <c r="AI400" s="49"/>
      <c r="AJ400" s="49"/>
      <c r="AK400" s="49"/>
      <c r="AL400" s="49"/>
      <c r="AM400" s="49"/>
      <c r="AN400" s="49"/>
      <c r="AO400" s="49"/>
      <c r="AP400" s="49"/>
      <c r="AQ400" s="49"/>
      <c r="AR400" s="49"/>
      <c r="AS400" s="49"/>
      <c r="AT400" s="49"/>
      <c r="AU400" s="49"/>
      <c r="AV400" s="49"/>
      <c r="AW400" s="49"/>
      <c r="AX400" s="49"/>
    </row>
    <row r="401">
      <c r="A401" s="49"/>
      <c r="B401" s="49"/>
      <c r="C401" s="49"/>
      <c r="D401" s="50"/>
      <c r="E401" s="50"/>
      <c r="F401" s="50"/>
      <c r="G401" s="50"/>
      <c r="H401" s="49"/>
      <c r="I401" s="49"/>
      <c r="J401" s="49"/>
      <c r="K401" s="49"/>
      <c r="L401" s="49"/>
      <c r="M401" s="49"/>
      <c r="N401" s="49"/>
      <c r="O401" s="49"/>
      <c r="P401" s="49"/>
      <c r="Q401" s="49"/>
      <c r="R401" s="49"/>
      <c r="S401" s="49"/>
      <c r="T401" s="49"/>
      <c r="U401" s="49"/>
      <c r="V401" s="49"/>
      <c r="W401" s="49"/>
      <c r="X401" s="49"/>
      <c r="Y401" s="49"/>
      <c r="Z401" s="49"/>
      <c r="AA401" s="49"/>
      <c r="AB401" s="49"/>
      <c r="AC401" s="49"/>
      <c r="AD401" s="49"/>
      <c r="AE401" s="49"/>
      <c r="AF401" s="49"/>
      <c r="AG401" s="49"/>
      <c r="AH401" s="49"/>
      <c r="AI401" s="49"/>
      <c r="AJ401" s="49"/>
      <c r="AK401" s="49"/>
      <c r="AL401" s="49"/>
      <c r="AM401" s="49"/>
      <c r="AN401" s="49"/>
      <c r="AO401" s="49"/>
      <c r="AP401" s="49"/>
      <c r="AQ401" s="49"/>
      <c r="AR401" s="49"/>
      <c r="AS401" s="49"/>
      <c r="AT401" s="49"/>
      <c r="AU401" s="49"/>
      <c r="AV401" s="49"/>
      <c r="AW401" s="49"/>
      <c r="AX401" s="49"/>
    </row>
    <row r="402">
      <c r="A402" s="49"/>
      <c r="B402" s="49"/>
      <c r="C402" s="49"/>
      <c r="D402" s="50"/>
      <c r="E402" s="50"/>
      <c r="F402" s="50"/>
      <c r="G402" s="50"/>
      <c r="H402" s="49"/>
      <c r="I402" s="49"/>
      <c r="J402" s="49"/>
      <c r="K402" s="49"/>
      <c r="L402" s="49"/>
      <c r="M402" s="49"/>
      <c r="N402" s="49"/>
      <c r="O402" s="49"/>
      <c r="P402" s="49"/>
      <c r="Q402" s="49"/>
      <c r="R402" s="49"/>
      <c r="S402" s="49"/>
      <c r="T402" s="49"/>
      <c r="U402" s="49"/>
      <c r="V402" s="49"/>
      <c r="W402" s="49"/>
      <c r="X402" s="49"/>
      <c r="Y402" s="49"/>
      <c r="Z402" s="49"/>
      <c r="AA402" s="49"/>
      <c r="AB402" s="49"/>
      <c r="AC402" s="49"/>
      <c r="AD402" s="49"/>
      <c r="AE402" s="49"/>
      <c r="AF402" s="49"/>
      <c r="AG402" s="49"/>
      <c r="AH402" s="49"/>
      <c r="AI402" s="49"/>
      <c r="AJ402" s="49"/>
      <c r="AK402" s="49"/>
      <c r="AL402" s="49"/>
      <c r="AM402" s="49"/>
      <c r="AN402" s="49"/>
      <c r="AO402" s="49"/>
      <c r="AP402" s="49"/>
      <c r="AQ402" s="49"/>
      <c r="AR402" s="49"/>
      <c r="AS402" s="49"/>
      <c r="AT402" s="49"/>
      <c r="AU402" s="49"/>
      <c r="AV402" s="49"/>
      <c r="AW402" s="49"/>
      <c r="AX402" s="49"/>
    </row>
    <row r="403">
      <c r="A403" s="49"/>
      <c r="B403" s="49"/>
      <c r="C403" s="49"/>
      <c r="D403" s="50"/>
      <c r="E403" s="50"/>
      <c r="F403" s="50"/>
      <c r="G403" s="50"/>
      <c r="H403" s="49"/>
      <c r="I403" s="49"/>
      <c r="J403" s="49"/>
      <c r="K403" s="49"/>
      <c r="L403" s="49"/>
      <c r="M403" s="49"/>
      <c r="N403" s="49"/>
      <c r="O403" s="49"/>
      <c r="P403" s="49"/>
      <c r="Q403" s="49"/>
      <c r="R403" s="49"/>
      <c r="S403" s="49"/>
      <c r="T403" s="49"/>
      <c r="U403" s="49"/>
      <c r="V403" s="49"/>
      <c r="W403" s="49"/>
      <c r="X403" s="49"/>
      <c r="Y403" s="49"/>
      <c r="Z403" s="49"/>
      <c r="AA403" s="49"/>
      <c r="AB403" s="49"/>
      <c r="AC403" s="49"/>
      <c r="AD403" s="49"/>
      <c r="AE403" s="49"/>
      <c r="AF403" s="49"/>
      <c r="AG403" s="49"/>
      <c r="AH403" s="49"/>
      <c r="AI403" s="49"/>
      <c r="AJ403" s="49"/>
      <c r="AK403" s="49"/>
      <c r="AL403" s="49"/>
      <c r="AM403" s="49"/>
      <c r="AN403" s="49"/>
      <c r="AO403" s="49"/>
      <c r="AP403" s="49"/>
      <c r="AQ403" s="49"/>
      <c r="AR403" s="49"/>
      <c r="AS403" s="49"/>
      <c r="AT403" s="49"/>
      <c r="AU403" s="49"/>
      <c r="AV403" s="49"/>
      <c r="AW403" s="49"/>
      <c r="AX403" s="49"/>
    </row>
    <row r="404">
      <c r="A404" s="49"/>
      <c r="B404" s="49"/>
      <c r="C404" s="49"/>
      <c r="D404" s="50"/>
      <c r="E404" s="50"/>
      <c r="F404" s="50"/>
      <c r="G404" s="50"/>
      <c r="H404" s="49"/>
      <c r="I404" s="49"/>
      <c r="J404" s="49"/>
      <c r="K404" s="49"/>
      <c r="L404" s="49"/>
      <c r="M404" s="49"/>
      <c r="N404" s="49"/>
      <c r="O404" s="49"/>
      <c r="P404" s="49"/>
      <c r="Q404" s="49"/>
      <c r="R404" s="49"/>
      <c r="S404" s="49"/>
      <c r="T404" s="49"/>
      <c r="U404" s="49"/>
      <c r="V404" s="49"/>
      <c r="W404" s="49"/>
      <c r="X404" s="49"/>
      <c r="Y404" s="49"/>
      <c r="Z404" s="49"/>
      <c r="AA404" s="49"/>
      <c r="AB404" s="49"/>
      <c r="AC404" s="49"/>
      <c r="AD404" s="49"/>
      <c r="AE404" s="49"/>
      <c r="AF404" s="49"/>
      <c r="AG404" s="49"/>
      <c r="AH404" s="49"/>
      <c r="AI404" s="49"/>
      <c r="AJ404" s="49"/>
      <c r="AK404" s="49"/>
      <c r="AL404" s="49"/>
      <c r="AM404" s="49"/>
      <c r="AN404" s="49"/>
      <c r="AO404" s="49"/>
      <c r="AP404" s="49"/>
      <c r="AQ404" s="49"/>
      <c r="AR404" s="49"/>
      <c r="AS404" s="49"/>
      <c r="AT404" s="49"/>
      <c r="AU404" s="49"/>
      <c r="AV404" s="49"/>
      <c r="AW404" s="49"/>
      <c r="AX404" s="49"/>
    </row>
    <row r="405">
      <c r="A405" s="49"/>
      <c r="B405" s="49"/>
      <c r="C405" s="49"/>
      <c r="D405" s="50"/>
      <c r="E405" s="50"/>
      <c r="F405" s="50"/>
      <c r="G405" s="50"/>
      <c r="H405" s="49"/>
      <c r="I405" s="49"/>
      <c r="J405" s="49"/>
      <c r="K405" s="49"/>
      <c r="L405" s="49"/>
      <c r="M405" s="49"/>
      <c r="N405" s="49"/>
      <c r="O405" s="49"/>
      <c r="P405" s="49"/>
      <c r="Q405" s="49"/>
      <c r="R405" s="49"/>
      <c r="S405" s="49"/>
      <c r="T405" s="49"/>
      <c r="U405" s="49"/>
      <c r="V405" s="49"/>
      <c r="W405" s="49"/>
      <c r="X405" s="49"/>
      <c r="Y405" s="49"/>
      <c r="Z405" s="49"/>
      <c r="AA405" s="49"/>
      <c r="AB405" s="49"/>
      <c r="AC405" s="49"/>
      <c r="AD405" s="49"/>
      <c r="AE405" s="49"/>
      <c r="AF405" s="49"/>
      <c r="AG405" s="49"/>
      <c r="AH405" s="49"/>
      <c r="AI405" s="49"/>
      <c r="AJ405" s="49"/>
      <c r="AK405" s="49"/>
      <c r="AL405" s="49"/>
      <c r="AM405" s="49"/>
      <c r="AN405" s="49"/>
      <c r="AO405" s="49"/>
      <c r="AP405" s="49"/>
      <c r="AQ405" s="49"/>
      <c r="AR405" s="49"/>
      <c r="AS405" s="49"/>
      <c r="AT405" s="49"/>
      <c r="AU405" s="49"/>
      <c r="AV405" s="49"/>
      <c r="AW405" s="49"/>
      <c r="AX405" s="49"/>
    </row>
    <row r="406">
      <c r="A406" s="49"/>
      <c r="B406" s="49"/>
      <c r="C406" s="49"/>
      <c r="D406" s="50"/>
      <c r="E406" s="50"/>
      <c r="F406" s="50"/>
      <c r="G406" s="50"/>
      <c r="H406" s="49"/>
      <c r="I406" s="49"/>
      <c r="J406" s="49"/>
      <c r="K406" s="49"/>
      <c r="L406" s="49"/>
      <c r="M406" s="49"/>
      <c r="N406" s="49"/>
      <c r="O406" s="49"/>
      <c r="P406" s="49"/>
      <c r="Q406" s="49"/>
      <c r="R406" s="49"/>
      <c r="S406" s="49"/>
      <c r="T406" s="49"/>
      <c r="U406" s="49"/>
      <c r="V406" s="49"/>
      <c r="W406" s="49"/>
      <c r="X406" s="49"/>
      <c r="Y406" s="49"/>
      <c r="Z406" s="49"/>
      <c r="AA406" s="49"/>
      <c r="AB406" s="49"/>
      <c r="AC406" s="49"/>
      <c r="AD406" s="49"/>
      <c r="AE406" s="49"/>
      <c r="AF406" s="49"/>
      <c r="AG406" s="49"/>
      <c r="AH406" s="49"/>
      <c r="AI406" s="49"/>
      <c r="AJ406" s="49"/>
      <c r="AK406" s="49"/>
      <c r="AL406" s="49"/>
      <c r="AM406" s="49"/>
      <c r="AN406" s="49"/>
      <c r="AO406" s="49"/>
      <c r="AP406" s="49"/>
      <c r="AQ406" s="49"/>
      <c r="AR406" s="49"/>
      <c r="AS406" s="49"/>
      <c r="AT406" s="49"/>
      <c r="AU406" s="49"/>
      <c r="AV406" s="49"/>
      <c r="AW406" s="49"/>
      <c r="AX406" s="49"/>
    </row>
    <row r="407">
      <c r="A407" s="49"/>
      <c r="B407" s="49"/>
      <c r="C407" s="49"/>
      <c r="D407" s="50"/>
      <c r="E407" s="50"/>
      <c r="F407" s="50"/>
      <c r="G407" s="50"/>
      <c r="H407" s="49"/>
      <c r="I407" s="49"/>
      <c r="J407" s="49"/>
      <c r="K407" s="49"/>
      <c r="L407" s="49"/>
      <c r="M407" s="49"/>
      <c r="N407" s="49"/>
      <c r="O407" s="49"/>
      <c r="P407" s="49"/>
      <c r="Q407" s="49"/>
      <c r="R407" s="49"/>
      <c r="S407" s="49"/>
      <c r="T407" s="49"/>
      <c r="U407" s="49"/>
      <c r="V407" s="49"/>
      <c r="W407" s="49"/>
      <c r="X407" s="49"/>
      <c r="Y407" s="49"/>
      <c r="Z407" s="49"/>
      <c r="AA407" s="49"/>
      <c r="AB407" s="49"/>
      <c r="AC407" s="49"/>
      <c r="AD407" s="49"/>
      <c r="AE407" s="49"/>
      <c r="AF407" s="49"/>
      <c r="AG407" s="49"/>
      <c r="AH407" s="49"/>
      <c r="AI407" s="49"/>
      <c r="AJ407" s="49"/>
      <c r="AK407" s="49"/>
      <c r="AL407" s="49"/>
      <c r="AM407" s="49"/>
      <c r="AN407" s="49"/>
      <c r="AO407" s="49"/>
      <c r="AP407" s="49"/>
      <c r="AQ407" s="49"/>
      <c r="AR407" s="49"/>
      <c r="AS407" s="49"/>
      <c r="AT407" s="49"/>
      <c r="AU407" s="49"/>
      <c r="AV407" s="49"/>
      <c r="AW407" s="49"/>
      <c r="AX407" s="49"/>
    </row>
    <row r="408">
      <c r="A408" s="49"/>
      <c r="B408" s="49"/>
      <c r="C408" s="49"/>
      <c r="D408" s="50"/>
      <c r="E408" s="50"/>
      <c r="F408" s="50"/>
      <c r="G408" s="50"/>
      <c r="H408" s="49"/>
      <c r="I408" s="49"/>
      <c r="J408" s="49"/>
      <c r="K408" s="49"/>
      <c r="L408" s="49"/>
      <c r="M408" s="49"/>
      <c r="N408" s="49"/>
      <c r="O408" s="49"/>
      <c r="P408" s="49"/>
      <c r="Q408" s="49"/>
      <c r="R408" s="49"/>
      <c r="S408" s="49"/>
      <c r="T408" s="49"/>
      <c r="U408" s="49"/>
      <c r="V408" s="49"/>
      <c r="W408" s="49"/>
      <c r="X408" s="49"/>
      <c r="Y408" s="49"/>
      <c r="Z408" s="49"/>
      <c r="AA408" s="49"/>
      <c r="AB408" s="49"/>
      <c r="AC408" s="49"/>
      <c r="AD408" s="49"/>
      <c r="AE408" s="49"/>
      <c r="AF408" s="49"/>
      <c r="AG408" s="49"/>
      <c r="AH408" s="49"/>
      <c r="AI408" s="49"/>
      <c r="AJ408" s="49"/>
      <c r="AK408" s="49"/>
      <c r="AL408" s="49"/>
      <c r="AM408" s="49"/>
      <c r="AN408" s="49"/>
      <c r="AO408" s="49"/>
      <c r="AP408" s="49"/>
      <c r="AQ408" s="49"/>
      <c r="AR408" s="49"/>
      <c r="AS408" s="49"/>
      <c r="AT408" s="49"/>
      <c r="AU408" s="49"/>
      <c r="AV408" s="49"/>
      <c r="AW408" s="49"/>
      <c r="AX408" s="49"/>
    </row>
    <row r="409">
      <c r="A409" s="49"/>
      <c r="B409" s="49"/>
      <c r="C409" s="49"/>
      <c r="D409" s="50"/>
      <c r="E409" s="50"/>
      <c r="F409" s="50"/>
      <c r="G409" s="50"/>
      <c r="H409" s="49"/>
      <c r="I409" s="49"/>
      <c r="J409" s="49"/>
      <c r="K409" s="49"/>
      <c r="L409" s="49"/>
      <c r="M409" s="49"/>
      <c r="N409" s="49"/>
      <c r="O409" s="49"/>
      <c r="P409" s="49"/>
      <c r="Q409" s="49"/>
      <c r="R409" s="49"/>
      <c r="S409" s="49"/>
      <c r="T409" s="49"/>
      <c r="U409" s="49"/>
      <c r="V409" s="49"/>
      <c r="W409" s="49"/>
      <c r="X409" s="49"/>
      <c r="Y409" s="49"/>
      <c r="Z409" s="49"/>
      <c r="AA409" s="49"/>
      <c r="AB409" s="49"/>
      <c r="AC409" s="49"/>
      <c r="AD409" s="49"/>
      <c r="AE409" s="49"/>
      <c r="AF409" s="49"/>
      <c r="AG409" s="49"/>
      <c r="AH409" s="49"/>
      <c r="AI409" s="49"/>
      <c r="AJ409" s="49"/>
      <c r="AK409" s="49"/>
      <c r="AL409" s="49"/>
      <c r="AM409" s="49"/>
      <c r="AN409" s="49"/>
      <c r="AO409" s="49"/>
      <c r="AP409" s="49"/>
      <c r="AQ409" s="49"/>
      <c r="AR409" s="49"/>
      <c r="AS409" s="49"/>
      <c r="AT409" s="49"/>
      <c r="AU409" s="49"/>
      <c r="AV409" s="49"/>
      <c r="AW409" s="49"/>
      <c r="AX409" s="49"/>
    </row>
    <row r="410">
      <c r="A410" s="49"/>
      <c r="B410" s="49"/>
      <c r="C410" s="49"/>
      <c r="D410" s="50"/>
      <c r="E410" s="50"/>
      <c r="F410" s="50"/>
      <c r="G410" s="50"/>
      <c r="H410" s="49"/>
      <c r="I410" s="49"/>
      <c r="J410" s="49"/>
      <c r="K410" s="49"/>
      <c r="L410" s="49"/>
      <c r="M410" s="49"/>
      <c r="N410" s="49"/>
      <c r="O410" s="49"/>
      <c r="P410" s="49"/>
      <c r="Q410" s="49"/>
      <c r="R410" s="49"/>
      <c r="S410" s="49"/>
      <c r="T410" s="49"/>
      <c r="U410" s="49"/>
      <c r="V410" s="49"/>
      <c r="W410" s="49"/>
      <c r="X410" s="49"/>
      <c r="Y410" s="49"/>
      <c r="Z410" s="49"/>
      <c r="AA410" s="49"/>
      <c r="AB410" s="49"/>
      <c r="AC410" s="49"/>
      <c r="AD410" s="49"/>
      <c r="AE410" s="49"/>
      <c r="AF410" s="49"/>
      <c r="AG410" s="49"/>
      <c r="AH410" s="49"/>
      <c r="AI410" s="49"/>
      <c r="AJ410" s="49"/>
      <c r="AK410" s="49"/>
      <c r="AL410" s="49"/>
      <c r="AM410" s="49"/>
      <c r="AN410" s="49"/>
      <c r="AO410" s="49"/>
      <c r="AP410" s="49"/>
      <c r="AQ410" s="49"/>
      <c r="AR410" s="49"/>
      <c r="AS410" s="49"/>
      <c r="AT410" s="49"/>
      <c r="AU410" s="49"/>
      <c r="AV410" s="49"/>
      <c r="AW410" s="49"/>
      <c r="AX410" s="49"/>
    </row>
    <row r="411">
      <c r="A411" s="49"/>
      <c r="B411" s="49"/>
      <c r="C411" s="49"/>
      <c r="D411" s="50"/>
      <c r="E411" s="50"/>
      <c r="F411" s="50"/>
      <c r="G411" s="50"/>
      <c r="H411" s="49"/>
      <c r="I411" s="49"/>
      <c r="J411" s="49"/>
      <c r="K411" s="49"/>
      <c r="L411" s="49"/>
      <c r="M411" s="49"/>
      <c r="N411" s="49"/>
      <c r="O411" s="49"/>
      <c r="P411" s="49"/>
      <c r="Q411" s="49"/>
      <c r="R411" s="49"/>
      <c r="S411" s="49"/>
      <c r="T411" s="49"/>
      <c r="U411" s="49"/>
      <c r="V411" s="49"/>
      <c r="W411" s="49"/>
      <c r="X411" s="49"/>
      <c r="Y411" s="49"/>
      <c r="Z411" s="49"/>
      <c r="AA411" s="49"/>
      <c r="AB411" s="49"/>
      <c r="AC411" s="49"/>
      <c r="AD411" s="49"/>
      <c r="AE411" s="49"/>
      <c r="AF411" s="49"/>
      <c r="AG411" s="49"/>
      <c r="AH411" s="49"/>
      <c r="AI411" s="49"/>
      <c r="AJ411" s="49"/>
      <c r="AK411" s="49"/>
      <c r="AL411" s="49"/>
      <c r="AM411" s="49"/>
      <c r="AN411" s="49"/>
      <c r="AO411" s="49"/>
      <c r="AP411" s="49"/>
      <c r="AQ411" s="49"/>
      <c r="AR411" s="49"/>
      <c r="AS411" s="49"/>
      <c r="AT411" s="49"/>
      <c r="AU411" s="49"/>
      <c r="AV411" s="49"/>
      <c r="AW411" s="49"/>
      <c r="AX411" s="49"/>
    </row>
    <row r="412">
      <c r="A412" s="49"/>
      <c r="B412" s="49"/>
      <c r="C412" s="49"/>
      <c r="D412" s="50"/>
      <c r="E412" s="50"/>
      <c r="F412" s="50"/>
      <c r="G412" s="50"/>
      <c r="H412" s="49"/>
      <c r="I412" s="49"/>
      <c r="J412" s="49"/>
      <c r="K412" s="49"/>
      <c r="L412" s="49"/>
      <c r="M412" s="49"/>
      <c r="N412" s="49"/>
      <c r="O412" s="49"/>
      <c r="P412" s="49"/>
      <c r="Q412" s="49"/>
      <c r="R412" s="49"/>
      <c r="S412" s="49"/>
      <c r="T412" s="49"/>
      <c r="U412" s="49"/>
      <c r="V412" s="49"/>
      <c r="W412" s="49"/>
      <c r="X412" s="49"/>
      <c r="Y412" s="49"/>
      <c r="Z412" s="49"/>
      <c r="AA412" s="49"/>
      <c r="AB412" s="49"/>
      <c r="AC412" s="49"/>
      <c r="AD412" s="49"/>
      <c r="AE412" s="49"/>
      <c r="AF412" s="49"/>
      <c r="AG412" s="49"/>
      <c r="AH412" s="49"/>
      <c r="AI412" s="49"/>
      <c r="AJ412" s="49"/>
      <c r="AK412" s="49"/>
      <c r="AL412" s="49"/>
      <c r="AM412" s="49"/>
      <c r="AN412" s="49"/>
      <c r="AO412" s="49"/>
      <c r="AP412" s="49"/>
      <c r="AQ412" s="49"/>
      <c r="AR412" s="49"/>
      <c r="AS412" s="49"/>
      <c r="AT412" s="49"/>
      <c r="AU412" s="49"/>
      <c r="AV412" s="49"/>
      <c r="AW412" s="49"/>
      <c r="AX412" s="49"/>
    </row>
    <row r="413">
      <c r="A413" s="49"/>
      <c r="B413" s="49"/>
      <c r="C413" s="49"/>
      <c r="D413" s="50"/>
      <c r="E413" s="50"/>
      <c r="F413" s="50"/>
      <c r="G413" s="50"/>
      <c r="H413" s="49"/>
      <c r="I413" s="49"/>
      <c r="J413" s="49"/>
      <c r="K413" s="49"/>
      <c r="L413" s="49"/>
      <c r="M413" s="49"/>
      <c r="N413" s="49"/>
      <c r="O413" s="49"/>
      <c r="P413" s="49"/>
      <c r="Q413" s="49"/>
      <c r="R413" s="49"/>
      <c r="S413" s="49"/>
      <c r="T413" s="49"/>
      <c r="U413" s="49"/>
      <c r="V413" s="49"/>
      <c r="W413" s="49"/>
      <c r="X413" s="49"/>
      <c r="Y413" s="49"/>
      <c r="Z413" s="49"/>
      <c r="AA413" s="49"/>
      <c r="AB413" s="49"/>
      <c r="AC413" s="49"/>
      <c r="AD413" s="49"/>
      <c r="AE413" s="49"/>
      <c r="AF413" s="49"/>
      <c r="AG413" s="49"/>
      <c r="AH413" s="49"/>
      <c r="AI413" s="49"/>
      <c r="AJ413" s="49"/>
      <c r="AK413" s="49"/>
      <c r="AL413" s="49"/>
      <c r="AM413" s="49"/>
      <c r="AN413" s="49"/>
      <c r="AO413" s="49"/>
      <c r="AP413" s="49"/>
      <c r="AQ413" s="49"/>
      <c r="AR413" s="49"/>
      <c r="AS413" s="49"/>
      <c r="AT413" s="49"/>
      <c r="AU413" s="49"/>
      <c r="AV413" s="49"/>
      <c r="AW413" s="49"/>
      <c r="AX413" s="49"/>
    </row>
    <row r="414">
      <c r="A414" s="49"/>
      <c r="B414" s="49"/>
      <c r="C414" s="49"/>
      <c r="D414" s="50"/>
      <c r="E414" s="50"/>
      <c r="F414" s="50"/>
      <c r="G414" s="50"/>
      <c r="H414" s="49"/>
      <c r="I414" s="49"/>
      <c r="J414" s="49"/>
      <c r="K414" s="49"/>
      <c r="L414" s="49"/>
      <c r="M414" s="49"/>
      <c r="N414" s="49"/>
      <c r="O414" s="49"/>
      <c r="P414" s="49"/>
      <c r="Q414" s="49"/>
      <c r="R414" s="49"/>
      <c r="S414" s="49"/>
      <c r="T414" s="49"/>
      <c r="U414" s="49"/>
      <c r="V414" s="49"/>
      <c r="W414" s="49"/>
      <c r="X414" s="49"/>
      <c r="Y414" s="49"/>
      <c r="Z414" s="49"/>
      <c r="AA414" s="49"/>
      <c r="AB414" s="49"/>
      <c r="AC414" s="49"/>
      <c r="AD414" s="49"/>
      <c r="AE414" s="49"/>
      <c r="AF414" s="49"/>
      <c r="AG414" s="49"/>
      <c r="AH414" s="49"/>
      <c r="AI414" s="49"/>
      <c r="AJ414" s="49"/>
      <c r="AK414" s="49"/>
      <c r="AL414" s="49"/>
      <c r="AM414" s="49"/>
      <c r="AN414" s="49"/>
      <c r="AO414" s="49"/>
      <c r="AP414" s="49"/>
      <c r="AQ414" s="49"/>
      <c r="AR414" s="49"/>
      <c r="AS414" s="49"/>
      <c r="AT414" s="49"/>
      <c r="AU414" s="49"/>
      <c r="AV414" s="49"/>
      <c r="AW414" s="49"/>
      <c r="AX414" s="49"/>
    </row>
    <row r="415">
      <c r="A415" s="49"/>
      <c r="B415" s="49"/>
      <c r="C415" s="49"/>
      <c r="D415" s="50"/>
      <c r="E415" s="50"/>
      <c r="F415" s="50"/>
      <c r="G415" s="50"/>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c r="AF415" s="49"/>
      <c r="AG415" s="49"/>
      <c r="AH415" s="49"/>
      <c r="AI415" s="49"/>
      <c r="AJ415" s="49"/>
      <c r="AK415" s="49"/>
      <c r="AL415" s="49"/>
      <c r="AM415" s="49"/>
      <c r="AN415" s="49"/>
      <c r="AO415" s="49"/>
      <c r="AP415" s="49"/>
      <c r="AQ415" s="49"/>
      <c r="AR415" s="49"/>
      <c r="AS415" s="49"/>
      <c r="AT415" s="49"/>
      <c r="AU415" s="49"/>
      <c r="AV415" s="49"/>
      <c r="AW415" s="49"/>
      <c r="AX415" s="49"/>
    </row>
    <row r="416">
      <c r="A416" s="49"/>
      <c r="B416" s="49"/>
      <c r="C416" s="49"/>
      <c r="D416" s="50"/>
      <c r="E416" s="50"/>
      <c r="F416" s="50"/>
      <c r="G416" s="50"/>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c r="AF416" s="49"/>
      <c r="AG416" s="49"/>
      <c r="AH416" s="49"/>
      <c r="AI416" s="49"/>
      <c r="AJ416" s="49"/>
      <c r="AK416" s="49"/>
      <c r="AL416" s="49"/>
      <c r="AM416" s="49"/>
      <c r="AN416" s="49"/>
      <c r="AO416" s="49"/>
      <c r="AP416" s="49"/>
      <c r="AQ416" s="49"/>
      <c r="AR416" s="49"/>
      <c r="AS416" s="49"/>
      <c r="AT416" s="49"/>
      <c r="AU416" s="49"/>
      <c r="AV416" s="49"/>
      <c r="AW416" s="49"/>
      <c r="AX416" s="49"/>
    </row>
    <row r="417">
      <c r="A417" s="49"/>
      <c r="B417" s="49"/>
      <c r="C417" s="49"/>
      <c r="D417" s="50"/>
      <c r="E417" s="50"/>
      <c r="F417" s="50"/>
      <c r="G417" s="50"/>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c r="AF417" s="49"/>
      <c r="AG417" s="49"/>
      <c r="AH417" s="49"/>
      <c r="AI417" s="49"/>
      <c r="AJ417" s="49"/>
      <c r="AK417" s="49"/>
      <c r="AL417" s="49"/>
      <c r="AM417" s="49"/>
      <c r="AN417" s="49"/>
      <c r="AO417" s="49"/>
      <c r="AP417" s="49"/>
      <c r="AQ417" s="49"/>
      <c r="AR417" s="49"/>
      <c r="AS417" s="49"/>
      <c r="AT417" s="49"/>
      <c r="AU417" s="49"/>
      <c r="AV417" s="49"/>
      <c r="AW417" s="49"/>
      <c r="AX417" s="49"/>
    </row>
    <row r="418">
      <c r="A418" s="49"/>
      <c r="B418" s="49"/>
      <c r="C418" s="49"/>
      <c r="D418" s="50"/>
      <c r="E418" s="50"/>
      <c r="F418" s="50"/>
      <c r="G418" s="50"/>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c r="AF418" s="49"/>
      <c r="AG418" s="49"/>
      <c r="AH418" s="49"/>
      <c r="AI418" s="49"/>
      <c r="AJ418" s="49"/>
      <c r="AK418" s="49"/>
      <c r="AL418" s="49"/>
      <c r="AM418" s="49"/>
      <c r="AN418" s="49"/>
      <c r="AO418" s="49"/>
      <c r="AP418" s="49"/>
      <c r="AQ418" s="49"/>
      <c r="AR418" s="49"/>
      <c r="AS418" s="49"/>
      <c r="AT418" s="49"/>
      <c r="AU418" s="49"/>
      <c r="AV418" s="49"/>
      <c r="AW418" s="49"/>
      <c r="AX418" s="49"/>
    </row>
    <row r="419">
      <c r="A419" s="49"/>
      <c r="B419" s="49"/>
      <c r="C419" s="49"/>
      <c r="D419" s="50"/>
      <c r="E419" s="50"/>
      <c r="F419" s="50"/>
      <c r="G419" s="50"/>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c r="AF419" s="49"/>
      <c r="AG419" s="49"/>
      <c r="AH419" s="49"/>
      <c r="AI419" s="49"/>
      <c r="AJ419" s="49"/>
      <c r="AK419" s="49"/>
      <c r="AL419" s="49"/>
      <c r="AM419" s="49"/>
      <c r="AN419" s="49"/>
      <c r="AO419" s="49"/>
      <c r="AP419" s="49"/>
      <c r="AQ419" s="49"/>
      <c r="AR419" s="49"/>
      <c r="AS419" s="49"/>
      <c r="AT419" s="49"/>
      <c r="AU419" s="49"/>
      <c r="AV419" s="49"/>
      <c r="AW419" s="49"/>
      <c r="AX419" s="49"/>
    </row>
    <row r="420">
      <c r="A420" s="49"/>
      <c r="B420" s="49"/>
      <c r="C420" s="49"/>
      <c r="D420" s="50"/>
      <c r="E420" s="50"/>
      <c r="F420" s="50"/>
      <c r="G420" s="50"/>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c r="AF420" s="49"/>
      <c r="AG420" s="49"/>
      <c r="AH420" s="49"/>
      <c r="AI420" s="49"/>
      <c r="AJ420" s="49"/>
      <c r="AK420" s="49"/>
      <c r="AL420" s="49"/>
      <c r="AM420" s="49"/>
      <c r="AN420" s="49"/>
      <c r="AO420" s="49"/>
      <c r="AP420" s="49"/>
      <c r="AQ420" s="49"/>
      <c r="AR420" s="49"/>
      <c r="AS420" s="49"/>
      <c r="AT420" s="49"/>
      <c r="AU420" s="49"/>
      <c r="AV420" s="49"/>
      <c r="AW420" s="49"/>
      <c r="AX420" s="49"/>
    </row>
    <row r="421">
      <c r="A421" s="49"/>
      <c r="B421" s="49"/>
      <c r="C421" s="49"/>
      <c r="D421" s="50"/>
      <c r="E421" s="50"/>
      <c r="F421" s="50"/>
      <c r="G421" s="50"/>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c r="AF421" s="49"/>
      <c r="AG421" s="49"/>
      <c r="AH421" s="49"/>
      <c r="AI421" s="49"/>
      <c r="AJ421" s="49"/>
      <c r="AK421" s="49"/>
      <c r="AL421" s="49"/>
      <c r="AM421" s="49"/>
      <c r="AN421" s="49"/>
      <c r="AO421" s="49"/>
      <c r="AP421" s="49"/>
      <c r="AQ421" s="49"/>
      <c r="AR421" s="49"/>
      <c r="AS421" s="49"/>
      <c r="AT421" s="49"/>
      <c r="AU421" s="49"/>
      <c r="AV421" s="49"/>
      <c r="AW421" s="49"/>
      <c r="AX421" s="49"/>
    </row>
    <row r="422">
      <c r="A422" s="49"/>
      <c r="B422" s="49"/>
      <c r="C422" s="49"/>
      <c r="D422" s="50"/>
      <c r="E422" s="50"/>
      <c r="F422" s="50"/>
      <c r="G422" s="50"/>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c r="AF422" s="49"/>
      <c r="AG422" s="49"/>
      <c r="AH422" s="49"/>
      <c r="AI422" s="49"/>
      <c r="AJ422" s="49"/>
      <c r="AK422" s="49"/>
      <c r="AL422" s="49"/>
      <c r="AM422" s="49"/>
      <c r="AN422" s="49"/>
      <c r="AO422" s="49"/>
      <c r="AP422" s="49"/>
      <c r="AQ422" s="49"/>
      <c r="AR422" s="49"/>
      <c r="AS422" s="49"/>
      <c r="AT422" s="49"/>
      <c r="AU422" s="49"/>
      <c r="AV422" s="49"/>
      <c r="AW422" s="49"/>
      <c r="AX422" s="49"/>
    </row>
    <row r="423">
      <c r="A423" s="49"/>
      <c r="B423" s="49"/>
      <c r="C423" s="49"/>
      <c r="D423" s="50"/>
      <c r="E423" s="50"/>
      <c r="F423" s="50"/>
      <c r="G423" s="50"/>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c r="AF423" s="49"/>
      <c r="AG423" s="49"/>
      <c r="AH423" s="49"/>
      <c r="AI423" s="49"/>
      <c r="AJ423" s="49"/>
      <c r="AK423" s="49"/>
      <c r="AL423" s="49"/>
      <c r="AM423" s="49"/>
      <c r="AN423" s="49"/>
      <c r="AO423" s="49"/>
      <c r="AP423" s="49"/>
      <c r="AQ423" s="49"/>
      <c r="AR423" s="49"/>
      <c r="AS423" s="49"/>
      <c r="AT423" s="49"/>
      <c r="AU423" s="49"/>
      <c r="AV423" s="49"/>
      <c r="AW423" s="49"/>
      <c r="AX423" s="49"/>
    </row>
    <row r="424">
      <c r="A424" s="49"/>
      <c r="B424" s="49"/>
      <c r="C424" s="49"/>
      <c r="D424" s="50"/>
      <c r="E424" s="50"/>
      <c r="F424" s="50"/>
      <c r="G424" s="50"/>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c r="AF424" s="49"/>
      <c r="AG424" s="49"/>
      <c r="AH424" s="49"/>
      <c r="AI424" s="49"/>
      <c r="AJ424" s="49"/>
      <c r="AK424" s="49"/>
      <c r="AL424" s="49"/>
      <c r="AM424" s="49"/>
      <c r="AN424" s="49"/>
      <c r="AO424" s="49"/>
      <c r="AP424" s="49"/>
      <c r="AQ424" s="49"/>
      <c r="AR424" s="49"/>
      <c r="AS424" s="49"/>
      <c r="AT424" s="49"/>
      <c r="AU424" s="49"/>
      <c r="AV424" s="49"/>
      <c r="AW424" s="49"/>
      <c r="AX424" s="49"/>
    </row>
    <row r="425">
      <c r="A425" s="49"/>
      <c r="B425" s="49"/>
      <c r="C425" s="49"/>
      <c r="D425" s="50"/>
      <c r="E425" s="50"/>
      <c r="F425" s="50"/>
      <c r="G425" s="50"/>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c r="AF425" s="49"/>
      <c r="AG425" s="49"/>
      <c r="AH425" s="49"/>
      <c r="AI425" s="49"/>
      <c r="AJ425" s="49"/>
      <c r="AK425" s="49"/>
      <c r="AL425" s="49"/>
      <c r="AM425" s="49"/>
      <c r="AN425" s="49"/>
      <c r="AO425" s="49"/>
      <c r="AP425" s="49"/>
      <c r="AQ425" s="49"/>
      <c r="AR425" s="49"/>
      <c r="AS425" s="49"/>
      <c r="AT425" s="49"/>
      <c r="AU425" s="49"/>
      <c r="AV425" s="49"/>
      <c r="AW425" s="49"/>
      <c r="AX425" s="49"/>
    </row>
    <row r="426">
      <c r="A426" s="49"/>
      <c r="B426" s="49"/>
      <c r="C426" s="49"/>
      <c r="D426" s="50"/>
      <c r="E426" s="50"/>
      <c r="F426" s="50"/>
      <c r="G426" s="50"/>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c r="AF426" s="49"/>
      <c r="AG426" s="49"/>
      <c r="AH426" s="49"/>
      <c r="AI426" s="49"/>
      <c r="AJ426" s="49"/>
      <c r="AK426" s="49"/>
      <c r="AL426" s="49"/>
      <c r="AM426" s="49"/>
      <c r="AN426" s="49"/>
      <c r="AO426" s="49"/>
      <c r="AP426" s="49"/>
      <c r="AQ426" s="49"/>
      <c r="AR426" s="49"/>
      <c r="AS426" s="49"/>
      <c r="AT426" s="49"/>
      <c r="AU426" s="49"/>
      <c r="AV426" s="49"/>
      <c r="AW426" s="49"/>
      <c r="AX426" s="49"/>
    </row>
    <row r="427">
      <c r="A427" s="49"/>
      <c r="B427" s="49"/>
      <c r="C427" s="49"/>
      <c r="D427" s="50"/>
      <c r="E427" s="50"/>
      <c r="F427" s="50"/>
      <c r="G427" s="50"/>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c r="AF427" s="49"/>
      <c r="AG427" s="49"/>
      <c r="AH427" s="49"/>
      <c r="AI427" s="49"/>
      <c r="AJ427" s="49"/>
      <c r="AK427" s="49"/>
      <c r="AL427" s="49"/>
      <c r="AM427" s="49"/>
      <c r="AN427" s="49"/>
      <c r="AO427" s="49"/>
      <c r="AP427" s="49"/>
      <c r="AQ427" s="49"/>
      <c r="AR427" s="49"/>
      <c r="AS427" s="49"/>
      <c r="AT427" s="49"/>
      <c r="AU427" s="49"/>
      <c r="AV427" s="49"/>
      <c r="AW427" s="49"/>
      <c r="AX427" s="49"/>
    </row>
    <row r="428">
      <c r="A428" s="49"/>
      <c r="B428" s="49"/>
      <c r="C428" s="49"/>
      <c r="D428" s="50"/>
      <c r="E428" s="50"/>
      <c r="F428" s="50"/>
      <c r="G428" s="50"/>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c r="AF428" s="49"/>
      <c r="AG428" s="49"/>
      <c r="AH428" s="49"/>
      <c r="AI428" s="49"/>
      <c r="AJ428" s="49"/>
      <c r="AK428" s="49"/>
      <c r="AL428" s="49"/>
      <c r="AM428" s="49"/>
      <c r="AN428" s="49"/>
      <c r="AO428" s="49"/>
      <c r="AP428" s="49"/>
      <c r="AQ428" s="49"/>
      <c r="AR428" s="49"/>
      <c r="AS428" s="49"/>
      <c r="AT428" s="49"/>
      <c r="AU428" s="49"/>
      <c r="AV428" s="49"/>
      <c r="AW428" s="49"/>
      <c r="AX428" s="49"/>
    </row>
    <row r="429">
      <c r="A429" s="49"/>
      <c r="B429" s="49"/>
      <c r="C429" s="49"/>
      <c r="D429" s="50"/>
      <c r="E429" s="50"/>
      <c r="F429" s="50"/>
      <c r="G429" s="50"/>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c r="AF429" s="49"/>
      <c r="AG429" s="49"/>
      <c r="AH429" s="49"/>
      <c r="AI429" s="49"/>
      <c r="AJ429" s="49"/>
      <c r="AK429" s="49"/>
      <c r="AL429" s="49"/>
      <c r="AM429" s="49"/>
      <c r="AN429" s="49"/>
      <c r="AO429" s="49"/>
      <c r="AP429" s="49"/>
      <c r="AQ429" s="49"/>
      <c r="AR429" s="49"/>
      <c r="AS429" s="49"/>
      <c r="AT429" s="49"/>
      <c r="AU429" s="49"/>
      <c r="AV429" s="49"/>
      <c r="AW429" s="49"/>
      <c r="AX429" s="49"/>
    </row>
    <row r="430">
      <c r="A430" s="49"/>
      <c r="B430" s="49"/>
      <c r="C430" s="49"/>
      <c r="D430" s="50"/>
      <c r="E430" s="50"/>
      <c r="F430" s="50"/>
      <c r="G430" s="50"/>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c r="AF430" s="49"/>
      <c r="AG430" s="49"/>
      <c r="AH430" s="49"/>
      <c r="AI430" s="49"/>
      <c r="AJ430" s="49"/>
      <c r="AK430" s="49"/>
      <c r="AL430" s="49"/>
      <c r="AM430" s="49"/>
      <c r="AN430" s="49"/>
      <c r="AO430" s="49"/>
      <c r="AP430" s="49"/>
      <c r="AQ430" s="49"/>
      <c r="AR430" s="49"/>
      <c r="AS430" s="49"/>
      <c r="AT430" s="49"/>
      <c r="AU430" s="49"/>
      <c r="AV430" s="49"/>
      <c r="AW430" s="49"/>
      <c r="AX430" s="49"/>
    </row>
    <row r="431">
      <c r="A431" s="49"/>
      <c r="B431" s="49"/>
      <c r="C431" s="49"/>
      <c r="D431" s="50"/>
      <c r="E431" s="50"/>
      <c r="F431" s="50"/>
      <c r="G431" s="50"/>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c r="AF431" s="49"/>
      <c r="AG431" s="49"/>
      <c r="AH431" s="49"/>
      <c r="AI431" s="49"/>
      <c r="AJ431" s="49"/>
      <c r="AK431" s="49"/>
      <c r="AL431" s="49"/>
      <c r="AM431" s="49"/>
      <c r="AN431" s="49"/>
      <c r="AO431" s="49"/>
      <c r="AP431" s="49"/>
      <c r="AQ431" s="49"/>
      <c r="AR431" s="49"/>
      <c r="AS431" s="49"/>
      <c r="AT431" s="49"/>
      <c r="AU431" s="49"/>
      <c r="AV431" s="49"/>
      <c r="AW431" s="49"/>
      <c r="AX431" s="49"/>
    </row>
    <row r="432">
      <c r="A432" s="49"/>
      <c r="B432" s="49"/>
      <c r="C432" s="49"/>
      <c r="D432" s="50"/>
      <c r="E432" s="50"/>
      <c r="F432" s="50"/>
      <c r="G432" s="50"/>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c r="AF432" s="49"/>
      <c r="AG432" s="49"/>
      <c r="AH432" s="49"/>
      <c r="AI432" s="49"/>
      <c r="AJ432" s="49"/>
      <c r="AK432" s="49"/>
      <c r="AL432" s="49"/>
      <c r="AM432" s="49"/>
      <c r="AN432" s="49"/>
      <c r="AO432" s="49"/>
      <c r="AP432" s="49"/>
      <c r="AQ432" s="49"/>
      <c r="AR432" s="49"/>
      <c r="AS432" s="49"/>
      <c r="AT432" s="49"/>
      <c r="AU432" s="49"/>
      <c r="AV432" s="49"/>
      <c r="AW432" s="49"/>
      <c r="AX432" s="49"/>
    </row>
    <row r="433">
      <c r="A433" s="49"/>
      <c r="B433" s="49"/>
      <c r="C433" s="49"/>
      <c r="D433" s="50"/>
      <c r="E433" s="50"/>
      <c r="F433" s="50"/>
      <c r="G433" s="50"/>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c r="AF433" s="49"/>
      <c r="AG433" s="49"/>
      <c r="AH433" s="49"/>
      <c r="AI433" s="49"/>
      <c r="AJ433" s="49"/>
      <c r="AK433" s="49"/>
      <c r="AL433" s="49"/>
      <c r="AM433" s="49"/>
      <c r="AN433" s="49"/>
      <c r="AO433" s="49"/>
      <c r="AP433" s="49"/>
      <c r="AQ433" s="49"/>
      <c r="AR433" s="49"/>
      <c r="AS433" s="49"/>
      <c r="AT433" s="49"/>
      <c r="AU433" s="49"/>
      <c r="AV433" s="49"/>
      <c r="AW433" s="49"/>
      <c r="AX433" s="49"/>
    </row>
    <row r="434">
      <c r="A434" s="49"/>
      <c r="B434" s="49"/>
      <c r="C434" s="49"/>
      <c r="D434" s="50"/>
      <c r="E434" s="50"/>
      <c r="F434" s="50"/>
      <c r="G434" s="50"/>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c r="AF434" s="49"/>
      <c r="AG434" s="49"/>
      <c r="AH434" s="49"/>
      <c r="AI434" s="49"/>
      <c r="AJ434" s="49"/>
      <c r="AK434" s="49"/>
      <c r="AL434" s="49"/>
      <c r="AM434" s="49"/>
      <c r="AN434" s="49"/>
      <c r="AO434" s="49"/>
      <c r="AP434" s="49"/>
      <c r="AQ434" s="49"/>
      <c r="AR434" s="49"/>
      <c r="AS434" s="49"/>
      <c r="AT434" s="49"/>
      <c r="AU434" s="49"/>
      <c r="AV434" s="49"/>
      <c r="AW434" s="49"/>
      <c r="AX434" s="49"/>
    </row>
    <row r="435">
      <c r="A435" s="49"/>
      <c r="B435" s="49"/>
      <c r="C435" s="49"/>
      <c r="D435" s="50"/>
      <c r="E435" s="50"/>
      <c r="F435" s="50"/>
      <c r="G435" s="50"/>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c r="AF435" s="49"/>
      <c r="AG435" s="49"/>
      <c r="AH435" s="49"/>
      <c r="AI435" s="49"/>
      <c r="AJ435" s="49"/>
      <c r="AK435" s="49"/>
      <c r="AL435" s="49"/>
      <c r="AM435" s="49"/>
      <c r="AN435" s="49"/>
      <c r="AO435" s="49"/>
      <c r="AP435" s="49"/>
      <c r="AQ435" s="49"/>
      <c r="AR435" s="49"/>
      <c r="AS435" s="49"/>
      <c r="AT435" s="49"/>
      <c r="AU435" s="49"/>
      <c r="AV435" s="49"/>
      <c r="AW435" s="49"/>
      <c r="AX435" s="49"/>
    </row>
    <row r="436">
      <c r="A436" s="49"/>
      <c r="B436" s="49"/>
      <c r="C436" s="49"/>
      <c r="D436" s="50"/>
      <c r="E436" s="50"/>
      <c r="F436" s="50"/>
      <c r="G436" s="50"/>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c r="AF436" s="49"/>
      <c r="AG436" s="49"/>
      <c r="AH436" s="49"/>
      <c r="AI436" s="49"/>
      <c r="AJ436" s="49"/>
      <c r="AK436" s="49"/>
      <c r="AL436" s="49"/>
      <c r="AM436" s="49"/>
      <c r="AN436" s="49"/>
      <c r="AO436" s="49"/>
      <c r="AP436" s="49"/>
      <c r="AQ436" s="49"/>
      <c r="AR436" s="49"/>
      <c r="AS436" s="49"/>
      <c r="AT436" s="49"/>
      <c r="AU436" s="49"/>
      <c r="AV436" s="49"/>
      <c r="AW436" s="49"/>
      <c r="AX436" s="49"/>
    </row>
    <row r="437">
      <c r="A437" s="49"/>
      <c r="B437" s="49"/>
      <c r="C437" s="49"/>
      <c r="D437" s="50"/>
      <c r="E437" s="50"/>
      <c r="F437" s="50"/>
      <c r="G437" s="50"/>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c r="AF437" s="49"/>
      <c r="AG437" s="49"/>
      <c r="AH437" s="49"/>
      <c r="AI437" s="49"/>
      <c r="AJ437" s="49"/>
      <c r="AK437" s="49"/>
      <c r="AL437" s="49"/>
      <c r="AM437" s="49"/>
      <c r="AN437" s="49"/>
      <c r="AO437" s="49"/>
      <c r="AP437" s="49"/>
      <c r="AQ437" s="49"/>
      <c r="AR437" s="49"/>
      <c r="AS437" s="49"/>
      <c r="AT437" s="49"/>
      <c r="AU437" s="49"/>
      <c r="AV437" s="49"/>
      <c r="AW437" s="49"/>
      <c r="AX437" s="49"/>
    </row>
    <row r="438">
      <c r="A438" s="49"/>
      <c r="B438" s="49"/>
      <c r="C438" s="49"/>
      <c r="D438" s="50"/>
      <c r="E438" s="50"/>
      <c r="F438" s="50"/>
      <c r="G438" s="50"/>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c r="AF438" s="49"/>
      <c r="AG438" s="49"/>
      <c r="AH438" s="49"/>
      <c r="AI438" s="49"/>
      <c r="AJ438" s="49"/>
      <c r="AK438" s="49"/>
      <c r="AL438" s="49"/>
      <c r="AM438" s="49"/>
      <c r="AN438" s="49"/>
      <c r="AO438" s="49"/>
      <c r="AP438" s="49"/>
      <c r="AQ438" s="49"/>
      <c r="AR438" s="49"/>
      <c r="AS438" s="49"/>
      <c r="AT438" s="49"/>
      <c r="AU438" s="49"/>
      <c r="AV438" s="49"/>
      <c r="AW438" s="49"/>
      <c r="AX438" s="49"/>
    </row>
    <row r="439">
      <c r="A439" s="49"/>
      <c r="B439" s="49"/>
      <c r="C439" s="49"/>
      <c r="D439" s="50"/>
      <c r="E439" s="50"/>
      <c r="F439" s="50"/>
      <c r="G439" s="50"/>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c r="AF439" s="49"/>
      <c r="AG439" s="49"/>
      <c r="AH439" s="49"/>
      <c r="AI439" s="49"/>
      <c r="AJ439" s="49"/>
      <c r="AK439" s="49"/>
      <c r="AL439" s="49"/>
      <c r="AM439" s="49"/>
      <c r="AN439" s="49"/>
      <c r="AO439" s="49"/>
      <c r="AP439" s="49"/>
      <c r="AQ439" s="49"/>
      <c r="AR439" s="49"/>
      <c r="AS439" s="49"/>
      <c r="AT439" s="49"/>
      <c r="AU439" s="49"/>
      <c r="AV439" s="49"/>
      <c r="AW439" s="49"/>
      <c r="AX439" s="49"/>
    </row>
    <row r="440">
      <c r="A440" s="49"/>
      <c r="B440" s="49"/>
      <c r="C440" s="49"/>
      <c r="D440" s="50"/>
      <c r="E440" s="50"/>
      <c r="F440" s="50"/>
      <c r="G440" s="50"/>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c r="AF440" s="49"/>
      <c r="AG440" s="49"/>
      <c r="AH440" s="49"/>
      <c r="AI440" s="49"/>
      <c r="AJ440" s="49"/>
      <c r="AK440" s="49"/>
      <c r="AL440" s="49"/>
      <c r="AM440" s="49"/>
      <c r="AN440" s="49"/>
      <c r="AO440" s="49"/>
      <c r="AP440" s="49"/>
      <c r="AQ440" s="49"/>
      <c r="AR440" s="49"/>
      <c r="AS440" s="49"/>
      <c r="AT440" s="49"/>
      <c r="AU440" s="49"/>
      <c r="AV440" s="49"/>
      <c r="AW440" s="49"/>
      <c r="AX440" s="49"/>
    </row>
    <row r="441">
      <c r="A441" s="49"/>
      <c r="B441" s="49"/>
      <c r="C441" s="49"/>
      <c r="D441" s="50"/>
      <c r="E441" s="50"/>
      <c r="F441" s="50"/>
      <c r="G441" s="50"/>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c r="AF441" s="49"/>
      <c r="AG441" s="49"/>
      <c r="AH441" s="49"/>
      <c r="AI441" s="49"/>
      <c r="AJ441" s="49"/>
      <c r="AK441" s="49"/>
      <c r="AL441" s="49"/>
      <c r="AM441" s="49"/>
      <c r="AN441" s="49"/>
      <c r="AO441" s="49"/>
      <c r="AP441" s="49"/>
      <c r="AQ441" s="49"/>
      <c r="AR441" s="49"/>
      <c r="AS441" s="49"/>
      <c r="AT441" s="49"/>
      <c r="AU441" s="49"/>
      <c r="AV441" s="49"/>
      <c r="AW441" s="49"/>
      <c r="AX441" s="49"/>
    </row>
    <row r="442">
      <c r="A442" s="49"/>
      <c r="B442" s="49"/>
      <c r="C442" s="49"/>
      <c r="D442" s="50"/>
      <c r="E442" s="50"/>
      <c r="F442" s="50"/>
      <c r="G442" s="50"/>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c r="AF442" s="49"/>
      <c r="AG442" s="49"/>
      <c r="AH442" s="49"/>
      <c r="AI442" s="49"/>
      <c r="AJ442" s="49"/>
      <c r="AK442" s="49"/>
      <c r="AL442" s="49"/>
      <c r="AM442" s="49"/>
      <c r="AN442" s="49"/>
      <c r="AO442" s="49"/>
      <c r="AP442" s="49"/>
      <c r="AQ442" s="49"/>
      <c r="AR442" s="49"/>
      <c r="AS442" s="49"/>
      <c r="AT442" s="49"/>
      <c r="AU442" s="49"/>
      <c r="AV442" s="49"/>
      <c r="AW442" s="49"/>
      <c r="AX442" s="49"/>
    </row>
    <row r="443">
      <c r="A443" s="49"/>
      <c r="B443" s="49"/>
      <c r="C443" s="49"/>
      <c r="D443" s="50"/>
      <c r="E443" s="50"/>
      <c r="F443" s="50"/>
      <c r="G443" s="50"/>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c r="AF443" s="49"/>
      <c r="AG443" s="49"/>
      <c r="AH443" s="49"/>
      <c r="AI443" s="49"/>
      <c r="AJ443" s="49"/>
      <c r="AK443" s="49"/>
      <c r="AL443" s="49"/>
      <c r="AM443" s="49"/>
      <c r="AN443" s="49"/>
      <c r="AO443" s="49"/>
      <c r="AP443" s="49"/>
      <c r="AQ443" s="49"/>
      <c r="AR443" s="49"/>
      <c r="AS443" s="49"/>
      <c r="AT443" s="49"/>
      <c r="AU443" s="49"/>
      <c r="AV443" s="49"/>
      <c r="AW443" s="49"/>
      <c r="AX443" s="49"/>
    </row>
    <row r="444">
      <c r="A444" s="49"/>
      <c r="B444" s="49"/>
      <c r="C444" s="49"/>
      <c r="D444" s="50"/>
      <c r="E444" s="50"/>
      <c r="F444" s="50"/>
      <c r="G444" s="50"/>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c r="AF444" s="49"/>
      <c r="AG444" s="49"/>
      <c r="AH444" s="49"/>
      <c r="AI444" s="49"/>
      <c r="AJ444" s="49"/>
      <c r="AK444" s="49"/>
      <c r="AL444" s="49"/>
      <c r="AM444" s="49"/>
      <c r="AN444" s="49"/>
      <c r="AO444" s="49"/>
      <c r="AP444" s="49"/>
      <c r="AQ444" s="49"/>
      <c r="AR444" s="49"/>
      <c r="AS444" s="49"/>
      <c r="AT444" s="49"/>
      <c r="AU444" s="49"/>
      <c r="AV444" s="49"/>
      <c r="AW444" s="49"/>
      <c r="AX444" s="49"/>
    </row>
    <row r="445">
      <c r="A445" s="49"/>
      <c r="B445" s="49"/>
      <c r="C445" s="49"/>
      <c r="D445" s="50"/>
      <c r="E445" s="50"/>
      <c r="F445" s="50"/>
      <c r="G445" s="50"/>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c r="AF445" s="49"/>
      <c r="AG445" s="49"/>
      <c r="AH445" s="49"/>
      <c r="AI445" s="49"/>
      <c r="AJ445" s="49"/>
      <c r="AK445" s="49"/>
      <c r="AL445" s="49"/>
      <c r="AM445" s="49"/>
      <c r="AN445" s="49"/>
      <c r="AO445" s="49"/>
      <c r="AP445" s="49"/>
      <c r="AQ445" s="49"/>
      <c r="AR445" s="49"/>
      <c r="AS445" s="49"/>
      <c r="AT445" s="49"/>
      <c r="AU445" s="49"/>
      <c r="AV445" s="49"/>
      <c r="AW445" s="49"/>
      <c r="AX445" s="49"/>
    </row>
    <row r="446">
      <c r="A446" s="49"/>
      <c r="B446" s="49"/>
      <c r="C446" s="49"/>
      <c r="D446" s="50"/>
      <c r="E446" s="50"/>
      <c r="F446" s="50"/>
      <c r="G446" s="50"/>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c r="AF446" s="49"/>
      <c r="AG446" s="49"/>
      <c r="AH446" s="49"/>
      <c r="AI446" s="49"/>
      <c r="AJ446" s="49"/>
      <c r="AK446" s="49"/>
      <c r="AL446" s="49"/>
      <c r="AM446" s="49"/>
      <c r="AN446" s="49"/>
      <c r="AO446" s="49"/>
      <c r="AP446" s="49"/>
      <c r="AQ446" s="49"/>
      <c r="AR446" s="49"/>
      <c r="AS446" s="49"/>
      <c r="AT446" s="49"/>
      <c r="AU446" s="49"/>
      <c r="AV446" s="49"/>
      <c r="AW446" s="49"/>
      <c r="AX446" s="49"/>
    </row>
    <row r="447">
      <c r="A447" s="49"/>
      <c r="B447" s="49"/>
      <c r="C447" s="49"/>
      <c r="D447" s="50"/>
      <c r="E447" s="50"/>
      <c r="F447" s="50"/>
      <c r="G447" s="50"/>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c r="AF447" s="49"/>
      <c r="AG447" s="49"/>
      <c r="AH447" s="49"/>
      <c r="AI447" s="49"/>
      <c r="AJ447" s="49"/>
      <c r="AK447" s="49"/>
      <c r="AL447" s="49"/>
      <c r="AM447" s="49"/>
      <c r="AN447" s="49"/>
      <c r="AO447" s="49"/>
      <c r="AP447" s="49"/>
      <c r="AQ447" s="49"/>
      <c r="AR447" s="49"/>
      <c r="AS447" s="49"/>
      <c r="AT447" s="49"/>
      <c r="AU447" s="49"/>
      <c r="AV447" s="49"/>
      <c r="AW447" s="49"/>
      <c r="AX447" s="49"/>
    </row>
    <row r="448">
      <c r="A448" s="49"/>
      <c r="B448" s="49"/>
      <c r="C448" s="49"/>
      <c r="D448" s="50"/>
      <c r="E448" s="50"/>
      <c r="F448" s="50"/>
      <c r="G448" s="50"/>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c r="AF448" s="49"/>
      <c r="AG448" s="49"/>
      <c r="AH448" s="49"/>
      <c r="AI448" s="49"/>
      <c r="AJ448" s="49"/>
      <c r="AK448" s="49"/>
      <c r="AL448" s="49"/>
      <c r="AM448" s="49"/>
      <c r="AN448" s="49"/>
      <c r="AO448" s="49"/>
      <c r="AP448" s="49"/>
      <c r="AQ448" s="49"/>
      <c r="AR448" s="49"/>
      <c r="AS448" s="49"/>
      <c r="AT448" s="49"/>
      <c r="AU448" s="49"/>
      <c r="AV448" s="49"/>
      <c r="AW448" s="49"/>
      <c r="AX448" s="49"/>
    </row>
    <row r="449">
      <c r="A449" s="49"/>
      <c r="B449" s="49"/>
      <c r="C449" s="49"/>
      <c r="D449" s="50"/>
      <c r="E449" s="50"/>
      <c r="F449" s="50"/>
      <c r="G449" s="50"/>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c r="AF449" s="49"/>
      <c r="AG449" s="49"/>
      <c r="AH449" s="49"/>
      <c r="AI449" s="49"/>
      <c r="AJ449" s="49"/>
      <c r="AK449" s="49"/>
      <c r="AL449" s="49"/>
      <c r="AM449" s="49"/>
      <c r="AN449" s="49"/>
      <c r="AO449" s="49"/>
      <c r="AP449" s="49"/>
      <c r="AQ449" s="49"/>
      <c r="AR449" s="49"/>
      <c r="AS449" s="49"/>
      <c r="AT449" s="49"/>
      <c r="AU449" s="49"/>
      <c r="AV449" s="49"/>
      <c r="AW449" s="49"/>
      <c r="AX449" s="49"/>
    </row>
    <row r="450">
      <c r="A450" s="49"/>
      <c r="B450" s="49"/>
      <c r="C450" s="49"/>
      <c r="D450" s="50"/>
      <c r="E450" s="50"/>
      <c r="F450" s="50"/>
      <c r="G450" s="50"/>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c r="AF450" s="49"/>
      <c r="AG450" s="49"/>
      <c r="AH450" s="49"/>
      <c r="AI450" s="49"/>
      <c r="AJ450" s="49"/>
      <c r="AK450" s="49"/>
      <c r="AL450" s="49"/>
      <c r="AM450" s="49"/>
      <c r="AN450" s="49"/>
      <c r="AO450" s="49"/>
      <c r="AP450" s="49"/>
      <c r="AQ450" s="49"/>
      <c r="AR450" s="49"/>
      <c r="AS450" s="49"/>
      <c r="AT450" s="49"/>
      <c r="AU450" s="49"/>
      <c r="AV450" s="49"/>
      <c r="AW450" s="49"/>
      <c r="AX450" s="49"/>
    </row>
    <row r="451">
      <c r="A451" s="49"/>
      <c r="B451" s="49"/>
      <c r="C451" s="49"/>
      <c r="D451" s="50"/>
      <c r="E451" s="50"/>
      <c r="F451" s="50"/>
      <c r="G451" s="50"/>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c r="AF451" s="49"/>
      <c r="AG451" s="49"/>
      <c r="AH451" s="49"/>
      <c r="AI451" s="49"/>
      <c r="AJ451" s="49"/>
      <c r="AK451" s="49"/>
      <c r="AL451" s="49"/>
      <c r="AM451" s="49"/>
      <c r="AN451" s="49"/>
      <c r="AO451" s="49"/>
      <c r="AP451" s="49"/>
      <c r="AQ451" s="49"/>
      <c r="AR451" s="49"/>
      <c r="AS451" s="49"/>
      <c r="AT451" s="49"/>
      <c r="AU451" s="49"/>
      <c r="AV451" s="49"/>
      <c r="AW451" s="49"/>
      <c r="AX451" s="49"/>
    </row>
    <row r="452">
      <c r="A452" s="49"/>
      <c r="B452" s="49"/>
      <c r="C452" s="49"/>
      <c r="D452" s="50"/>
      <c r="E452" s="50"/>
      <c r="F452" s="50"/>
      <c r="G452" s="50"/>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c r="AF452" s="49"/>
      <c r="AG452" s="49"/>
      <c r="AH452" s="49"/>
      <c r="AI452" s="49"/>
      <c r="AJ452" s="49"/>
      <c r="AK452" s="49"/>
      <c r="AL452" s="49"/>
      <c r="AM452" s="49"/>
      <c r="AN452" s="49"/>
      <c r="AO452" s="49"/>
      <c r="AP452" s="49"/>
      <c r="AQ452" s="49"/>
      <c r="AR452" s="49"/>
      <c r="AS452" s="49"/>
      <c r="AT452" s="49"/>
      <c r="AU452" s="49"/>
      <c r="AV452" s="49"/>
      <c r="AW452" s="49"/>
      <c r="AX452" s="49"/>
    </row>
    <row r="453">
      <c r="A453" s="49"/>
      <c r="B453" s="49"/>
      <c r="C453" s="49"/>
      <c r="D453" s="50"/>
      <c r="E453" s="50"/>
      <c r="F453" s="50"/>
      <c r="G453" s="50"/>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c r="AF453" s="49"/>
      <c r="AG453" s="49"/>
      <c r="AH453" s="49"/>
      <c r="AI453" s="49"/>
      <c r="AJ453" s="49"/>
      <c r="AK453" s="49"/>
      <c r="AL453" s="49"/>
      <c r="AM453" s="49"/>
      <c r="AN453" s="49"/>
      <c r="AO453" s="49"/>
      <c r="AP453" s="49"/>
      <c r="AQ453" s="49"/>
      <c r="AR453" s="49"/>
      <c r="AS453" s="49"/>
      <c r="AT453" s="49"/>
      <c r="AU453" s="49"/>
      <c r="AV453" s="49"/>
      <c r="AW453" s="49"/>
      <c r="AX453" s="49"/>
    </row>
    <row r="454">
      <c r="A454" s="49"/>
      <c r="B454" s="49"/>
      <c r="C454" s="49"/>
      <c r="D454" s="50"/>
      <c r="E454" s="50"/>
      <c r="F454" s="50"/>
      <c r="G454" s="50"/>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c r="AF454" s="49"/>
      <c r="AG454" s="49"/>
      <c r="AH454" s="49"/>
      <c r="AI454" s="49"/>
      <c r="AJ454" s="49"/>
      <c r="AK454" s="49"/>
      <c r="AL454" s="49"/>
      <c r="AM454" s="49"/>
      <c r="AN454" s="49"/>
      <c r="AO454" s="49"/>
      <c r="AP454" s="49"/>
      <c r="AQ454" s="49"/>
      <c r="AR454" s="49"/>
      <c r="AS454" s="49"/>
      <c r="AT454" s="49"/>
      <c r="AU454" s="49"/>
      <c r="AV454" s="49"/>
      <c r="AW454" s="49"/>
      <c r="AX454" s="49"/>
    </row>
    <row r="455">
      <c r="A455" s="49"/>
      <c r="B455" s="49"/>
      <c r="C455" s="49"/>
      <c r="D455" s="50"/>
      <c r="E455" s="50"/>
      <c r="F455" s="50"/>
      <c r="G455" s="50"/>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c r="AF455" s="49"/>
      <c r="AG455" s="49"/>
      <c r="AH455" s="49"/>
      <c r="AI455" s="49"/>
      <c r="AJ455" s="49"/>
      <c r="AK455" s="49"/>
      <c r="AL455" s="49"/>
      <c r="AM455" s="49"/>
      <c r="AN455" s="49"/>
      <c r="AO455" s="49"/>
      <c r="AP455" s="49"/>
      <c r="AQ455" s="49"/>
      <c r="AR455" s="49"/>
      <c r="AS455" s="49"/>
      <c r="AT455" s="49"/>
      <c r="AU455" s="49"/>
      <c r="AV455" s="49"/>
      <c r="AW455" s="49"/>
      <c r="AX455" s="49"/>
    </row>
    <row r="456">
      <c r="A456" s="49"/>
      <c r="B456" s="49"/>
      <c r="C456" s="49"/>
      <c r="D456" s="50"/>
      <c r="E456" s="50"/>
      <c r="F456" s="50"/>
      <c r="G456" s="50"/>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c r="AF456" s="49"/>
      <c r="AG456" s="49"/>
      <c r="AH456" s="49"/>
      <c r="AI456" s="49"/>
      <c r="AJ456" s="49"/>
      <c r="AK456" s="49"/>
      <c r="AL456" s="49"/>
      <c r="AM456" s="49"/>
      <c r="AN456" s="49"/>
      <c r="AO456" s="49"/>
      <c r="AP456" s="49"/>
      <c r="AQ456" s="49"/>
      <c r="AR456" s="49"/>
      <c r="AS456" s="49"/>
      <c r="AT456" s="49"/>
      <c r="AU456" s="49"/>
      <c r="AV456" s="49"/>
      <c r="AW456" s="49"/>
      <c r="AX456" s="49"/>
    </row>
    <row r="457">
      <c r="A457" s="49"/>
      <c r="B457" s="49"/>
      <c r="C457" s="49"/>
      <c r="D457" s="50"/>
      <c r="E457" s="50"/>
      <c r="F457" s="50"/>
      <c r="G457" s="50"/>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c r="AF457" s="49"/>
      <c r="AG457" s="49"/>
      <c r="AH457" s="49"/>
      <c r="AI457" s="49"/>
      <c r="AJ457" s="49"/>
      <c r="AK457" s="49"/>
      <c r="AL457" s="49"/>
      <c r="AM457" s="49"/>
      <c r="AN457" s="49"/>
      <c r="AO457" s="49"/>
      <c r="AP457" s="49"/>
      <c r="AQ457" s="49"/>
      <c r="AR457" s="49"/>
      <c r="AS457" s="49"/>
      <c r="AT457" s="49"/>
      <c r="AU457" s="49"/>
      <c r="AV457" s="49"/>
      <c r="AW457" s="49"/>
      <c r="AX457" s="49"/>
    </row>
    <row r="458">
      <c r="A458" s="49"/>
      <c r="B458" s="49"/>
      <c r="C458" s="49"/>
      <c r="D458" s="50"/>
      <c r="E458" s="50"/>
      <c r="F458" s="50"/>
      <c r="G458" s="50"/>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c r="AF458" s="49"/>
      <c r="AG458" s="49"/>
      <c r="AH458" s="49"/>
      <c r="AI458" s="49"/>
      <c r="AJ458" s="49"/>
      <c r="AK458" s="49"/>
      <c r="AL458" s="49"/>
      <c r="AM458" s="49"/>
      <c r="AN458" s="49"/>
      <c r="AO458" s="49"/>
      <c r="AP458" s="49"/>
      <c r="AQ458" s="49"/>
      <c r="AR458" s="49"/>
      <c r="AS458" s="49"/>
      <c r="AT458" s="49"/>
      <c r="AU458" s="49"/>
      <c r="AV458" s="49"/>
      <c r="AW458" s="49"/>
      <c r="AX458" s="49"/>
    </row>
    <row r="459">
      <c r="A459" s="49"/>
      <c r="B459" s="49"/>
      <c r="C459" s="49"/>
      <c r="D459" s="50"/>
      <c r="E459" s="50"/>
      <c r="F459" s="50"/>
      <c r="G459" s="50"/>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c r="AF459" s="49"/>
      <c r="AG459" s="49"/>
      <c r="AH459" s="49"/>
      <c r="AI459" s="49"/>
      <c r="AJ459" s="49"/>
      <c r="AK459" s="49"/>
      <c r="AL459" s="49"/>
      <c r="AM459" s="49"/>
      <c r="AN459" s="49"/>
      <c r="AO459" s="49"/>
      <c r="AP459" s="49"/>
      <c r="AQ459" s="49"/>
      <c r="AR459" s="49"/>
      <c r="AS459" s="49"/>
      <c r="AT459" s="49"/>
      <c r="AU459" s="49"/>
      <c r="AV459" s="49"/>
      <c r="AW459" s="49"/>
      <c r="AX459" s="49"/>
    </row>
    <row r="460">
      <c r="A460" s="49"/>
      <c r="B460" s="49"/>
      <c r="C460" s="49"/>
      <c r="D460" s="50"/>
      <c r="E460" s="50"/>
      <c r="F460" s="50"/>
      <c r="G460" s="50"/>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c r="AF460" s="49"/>
      <c r="AG460" s="49"/>
      <c r="AH460" s="49"/>
      <c r="AI460" s="49"/>
      <c r="AJ460" s="49"/>
      <c r="AK460" s="49"/>
      <c r="AL460" s="49"/>
      <c r="AM460" s="49"/>
      <c r="AN460" s="49"/>
      <c r="AO460" s="49"/>
      <c r="AP460" s="49"/>
      <c r="AQ460" s="49"/>
      <c r="AR460" s="49"/>
      <c r="AS460" s="49"/>
      <c r="AT460" s="49"/>
      <c r="AU460" s="49"/>
      <c r="AV460" s="49"/>
      <c r="AW460" s="49"/>
      <c r="AX460" s="49"/>
    </row>
    <row r="461">
      <c r="A461" s="49"/>
      <c r="B461" s="49"/>
      <c r="C461" s="49"/>
      <c r="D461" s="50"/>
      <c r="E461" s="50"/>
      <c r="F461" s="50"/>
      <c r="G461" s="50"/>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c r="AF461" s="49"/>
      <c r="AG461" s="49"/>
      <c r="AH461" s="49"/>
      <c r="AI461" s="49"/>
      <c r="AJ461" s="49"/>
      <c r="AK461" s="49"/>
      <c r="AL461" s="49"/>
      <c r="AM461" s="49"/>
      <c r="AN461" s="49"/>
      <c r="AO461" s="49"/>
      <c r="AP461" s="49"/>
      <c r="AQ461" s="49"/>
      <c r="AR461" s="49"/>
      <c r="AS461" s="49"/>
      <c r="AT461" s="49"/>
      <c r="AU461" s="49"/>
      <c r="AV461" s="49"/>
      <c r="AW461" s="49"/>
      <c r="AX461" s="49"/>
    </row>
    <row r="462">
      <c r="A462" s="49"/>
      <c r="B462" s="49"/>
      <c r="C462" s="49"/>
      <c r="D462" s="50"/>
      <c r="E462" s="50"/>
      <c r="F462" s="50"/>
      <c r="G462" s="50"/>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c r="AF462" s="49"/>
      <c r="AG462" s="49"/>
      <c r="AH462" s="49"/>
      <c r="AI462" s="49"/>
      <c r="AJ462" s="49"/>
      <c r="AK462" s="49"/>
      <c r="AL462" s="49"/>
      <c r="AM462" s="49"/>
      <c r="AN462" s="49"/>
      <c r="AO462" s="49"/>
      <c r="AP462" s="49"/>
      <c r="AQ462" s="49"/>
      <c r="AR462" s="49"/>
      <c r="AS462" s="49"/>
      <c r="AT462" s="49"/>
      <c r="AU462" s="49"/>
      <c r="AV462" s="49"/>
      <c r="AW462" s="49"/>
      <c r="AX462" s="49"/>
    </row>
    <row r="463">
      <c r="A463" s="49"/>
      <c r="B463" s="49"/>
      <c r="C463" s="49"/>
      <c r="D463" s="50"/>
      <c r="E463" s="50"/>
      <c r="F463" s="50"/>
      <c r="G463" s="50"/>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c r="AF463" s="49"/>
      <c r="AG463" s="49"/>
      <c r="AH463" s="49"/>
      <c r="AI463" s="49"/>
      <c r="AJ463" s="49"/>
      <c r="AK463" s="49"/>
      <c r="AL463" s="49"/>
      <c r="AM463" s="49"/>
      <c r="AN463" s="49"/>
      <c r="AO463" s="49"/>
      <c r="AP463" s="49"/>
      <c r="AQ463" s="49"/>
      <c r="AR463" s="49"/>
      <c r="AS463" s="49"/>
      <c r="AT463" s="49"/>
      <c r="AU463" s="49"/>
      <c r="AV463" s="49"/>
      <c r="AW463" s="49"/>
      <c r="AX463" s="49"/>
    </row>
    <row r="464">
      <c r="A464" s="49"/>
      <c r="B464" s="49"/>
      <c r="C464" s="49"/>
      <c r="D464" s="50"/>
      <c r="E464" s="50"/>
      <c r="F464" s="50"/>
      <c r="G464" s="50"/>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c r="AF464" s="49"/>
      <c r="AG464" s="49"/>
      <c r="AH464" s="49"/>
      <c r="AI464" s="49"/>
      <c r="AJ464" s="49"/>
      <c r="AK464" s="49"/>
      <c r="AL464" s="49"/>
      <c r="AM464" s="49"/>
      <c r="AN464" s="49"/>
      <c r="AO464" s="49"/>
      <c r="AP464" s="49"/>
      <c r="AQ464" s="49"/>
      <c r="AR464" s="49"/>
      <c r="AS464" s="49"/>
      <c r="AT464" s="49"/>
      <c r="AU464" s="49"/>
      <c r="AV464" s="49"/>
      <c r="AW464" s="49"/>
      <c r="AX464" s="49"/>
    </row>
    <row r="465">
      <c r="A465" s="49"/>
      <c r="B465" s="49"/>
      <c r="C465" s="49"/>
      <c r="D465" s="50"/>
      <c r="E465" s="50"/>
      <c r="F465" s="50"/>
      <c r="G465" s="50"/>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c r="AF465" s="49"/>
      <c r="AG465" s="49"/>
      <c r="AH465" s="49"/>
      <c r="AI465" s="49"/>
      <c r="AJ465" s="49"/>
      <c r="AK465" s="49"/>
      <c r="AL465" s="49"/>
      <c r="AM465" s="49"/>
      <c r="AN465" s="49"/>
      <c r="AO465" s="49"/>
      <c r="AP465" s="49"/>
      <c r="AQ465" s="49"/>
      <c r="AR465" s="49"/>
      <c r="AS465" s="49"/>
      <c r="AT465" s="49"/>
      <c r="AU465" s="49"/>
      <c r="AV465" s="49"/>
      <c r="AW465" s="49"/>
      <c r="AX465" s="49"/>
    </row>
    <row r="466">
      <c r="A466" s="49"/>
      <c r="B466" s="49"/>
      <c r="C466" s="49"/>
      <c r="D466" s="50"/>
      <c r="E466" s="50"/>
      <c r="F466" s="50"/>
      <c r="G466" s="50"/>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c r="AF466" s="49"/>
      <c r="AG466" s="49"/>
      <c r="AH466" s="49"/>
      <c r="AI466" s="49"/>
      <c r="AJ466" s="49"/>
      <c r="AK466" s="49"/>
      <c r="AL466" s="49"/>
      <c r="AM466" s="49"/>
      <c r="AN466" s="49"/>
      <c r="AO466" s="49"/>
      <c r="AP466" s="49"/>
      <c r="AQ466" s="49"/>
      <c r="AR466" s="49"/>
      <c r="AS466" s="49"/>
      <c r="AT466" s="49"/>
      <c r="AU466" s="49"/>
      <c r="AV466" s="49"/>
      <c r="AW466" s="49"/>
      <c r="AX466" s="49"/>
    </row>
    <row r="467">
      <c r="A467" s="49"/>
      <c r="B467" s="49"/>
      <c r="C467" s="49"/>
      <c r="D467" s="50"/>
      <c r="E467" s="50"/>
      <c r="F467" s="50"/>
      <c r="G467" s="50"/>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c r="AF467" s="49"/>
      <c r="AG467" s="49"/>
      <c r="AH467" s="49"/>
      <c r="AI467" s="49"/>
      <c r="AJ467" s="49"/>
      <c r="AK467" s="49"/>
      <c r="AL467" s="49"/>
      <c r="AM467" s="49"/>
      <c r="AN467" s="49"/>
      <c r="AO467" s="49"/>
      <c r="AP467" s="49"/>
      <c r="AQ467" s="49"/>
      <c r="AR467" s="49"/>
      <c r="AS467" s="49"/>
      <c r="AT467" s="49"/>
      <c r="AU467" s="49"/>
      <c r="AV467" s="49"/>
      <c r="AW467" s="49"/>
      <c r="AX467" s="49"/>
    </row>
    <row r="468">
      <c r="A468" s="49"/>
      <c r="B468" s="49"/>
      <c r="C468" s="49"/>
      <c r="D468" s="50"/>
      <c r="E468" s="50"/>
      <c r="F468" s="50"/>
      <c r="G468" s="50"/>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c r="AF468" s="49"/>
      <c r="AG468" s="49"/>
      <c r="AH468" s="49"/>
      <c r="AI468" s="49"/>
      <c r="AJ468" s="49"/>
      <c r="AK468" s="49"/>
      <c r="AL468" s="49"/>
      <c r="AM468" s="49"/>
      <c r="AN468" s="49"/>
      <c r="AO468" s="49"/>
      <c r="AP468" s="49"/>
      <c r="AQ468" s="49"/>
      <c r="AR468" s="49"/>
      <c r="AS468" s="49"/>
      <c r="AT468" s="49"/>
      <c r="AU468" s="49"/>
      <c r="AV468" s="49"/>
      <c r="AW468" s="49"/>
      <c r="AX468" s="49"/>
    </row>
    <row r="469">
      <c r="A469" s="49"/>
      <c r="B469" s="49"/>
      <c r="C469" s="49"/>
      <c r="D469" s="50"/>
      <c r="E469" s="50"/>
      <c r="F469" s="50"/>
      <c r="G469" s="50"/>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c r="AF469" s="49"/>
      <c r="AG469" s="49"/>
      <c r="AH469" s="49"/>
      <c r="AI469" s="49"/>
      <c r="AJ469" s="49"/>
      <c r="AK469" s="49"/>
      <c r="AL469" s="49"/>
      <c r="AM469" s="49"/>
      <c r="AN469" s="49"/>
      <c r="AO469" s="49"/>
      <c r="AP469" s="49"/>
      <c r="AQ469" s="49"/>
      <c r="AR469" s="49"/>
      <c r="AS469" s="49"/>
      <c r="AT469" s="49"/>
      <c r="AU469" s="49"/>
      <c r="AV469" s="49"/>
      <c r="AW469" s="49"/>
      <c r="AX469" s="49"/>
    </row>
    <row r="470">
      <c r="A470" s="49"/>
      <c r="B470" s="49"/>
      <c r="C470" s="49"/>
      <c r="D470" s="50"/>
      <c r="E470" s="50"/>
      <c r="F470" s="50"/>
      <c r="G470" s="50"/>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c r="AF470" s="49"/>
      <c r="AG470" s="49"/>
      <c r="AH470" s="49"/>
      <c r="AI470" s="49"/>
      <c r="AJ470" s="49"/>
      <c r="AK470" s="49"/>
      <c r="AL470" s="49"/>
      <c r="AM470" s="49"/>
      <c r="AN470" s="49"/>
      <c r="AO470" s="49"/>
      <c r="AP470" s="49"/>
      <c r="AQ470" s="49"/>
      <c r="AR470" s="49"/>
      <c r="AS470" s="49"/>
      <c r="AT470" s="49"/>
      <c r="AU470" s="49"/>
      <c r="AV470" s="49"/>
      <c r="AW470" s="49"/>
      <c r="AX470" s="49"/>
    </row>
    <row r="471">
      <c r="A471" s="49"/>
      <c r="B471" s="49"/>
      <c r="C471" s="49"/>
      <c r="D471" s="50"/>
      <c r="E471" s="50"/>
      <c r="F471" s="50"/>
      <c r="G471" s="50"/>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c r="AF471" s="49"/>
      <c r="AG471" s="49"/>
      <c r="AH471" s="49"/>
      <c r="AI471" s="49"/>
      <c r="AJ471" s="49"/>
      <c r="AK471" s="49"/>
      <c r="AL471" s="49"/>
      <c r="AM471" s="49"/>
      <c r="AN471" s="49"/>
      <c r="AO471" s="49"/>
      <c r="AP471" s="49"/>
      <c r="AQ471" s="49"/>
      <c r="AR471" s="49"/>
      <c r="AS471" s="49"/>
      <c r="AT471" s="49"/>
      <c r="AU471" s="49"/>
      <c r="AV471" s="49"/>
      <c r="AW471" s="49"/>
      <c r="AX471" s="49"/>
    </row>
    <row r="472">
      <c r="A472" s="49"/>
      <c r="B472" s="49"/>
      <c r="C472" s="49"/>
      <c r="D472" s="50"/>
      <c r="E472" s="50"/>
      <c r="F472" s="50"/>
      <c r="G472" s="50"/>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c r="AF472" s="49"/>
      <c r="AG472" s="49"/>
      <c r="AH472" s="49"/>
      <c r="AI472" s="49"/>
      <c r="AJ472" s="49"/>
      <c r="AK472" s="49"/>
      <c r="AL472" s="49"/>
      <c r="AM472" s="49"/>
      <c r="AN472" s="49"/>
      <c r="AO472" s="49"/>
      <c r="AP472" s="49"/>
      <c r="AQ472" s="49"/>
      <c r="AR472" s="49"/>
      <c r="AS472" s="49"/>
      <c r="AT472" s="49"/>
      <c r="AU472" s="49"/>
      <c r="AV472" s="49"/>
      <c r="AW472" s="49"/>
      <c r="AX472" s="49"/>
    </row>
    <row r="473">
      <c r="A473" s="49"/>
      <c r="B473" s="49"/>
      <c r="C473" s="49"/>
      <c r="D473" s="50"/>
      <c r="E473" s="50"/>
      <c r="F473" s="50"/>
      <c r="G473" s="50"/>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c r="AF473" s="49"/>
      <c r="AG473" s="49"/>
      <c r="AH473" s="49"/>
      <c r="AI473" s="49"/>
      <c r="AJ473" s="49"/>
      <c r="AK473" s="49"/>
      <c r="AL473" s="49"/>
      <c r="AM473" s="49"/>
      <c r="AN473" s="49"/>
      <c r="AO473" s="49"/>
      <c r="AP473" s="49"/>
      <c r="AQ473" s="49"/>
      <c r="AR473" s="49"/>
      <c r="AS473" s="49"/>
      <c r="AT473" s="49"/>
      <c r="AU473" s="49"/>
      <c r="AV473" s="49"/>
      <c r="AW473" s="49"/>
      <c r="AX473" s="49"/>
    </row>
    <row r="474">
      <c r="A474" s="49"/>
      <c r="B474" s="49"/>
      <c r="C474" s="49"/>
      <c r="D474" s="50"/>
      <c r="E474" s="50"/>
      <c r="F474" s="50"/>
      <c r="G474" s="50"/>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c r="AF474" s="49"/>
      <c r="AG474" s="49"/>
      <c r="AH474" s="49"/>
      <c r="AI474" s="49"/>
      <c r="AJ474" s="49"/>
      <c r="AK474" s="49"/>
      <c r="AL474" s="49"/>
      <c r="AM474" s="49"/>
      <c r="AN474" s="49"/>
      <c r="AO474" s="49"/>
      <c r="AP474" s="49"/>
      <c r="AQ474" s="49"/>
      <c r="AR474" s="49"/>
      <c r="AS474" s="49"/>
      <c r="AT474" s="49"/>
      <c r="AU474" s="49"/>
      <c r="AV474" s="49"/>
      <c r="AW474" s="49"/>
      <c r="AX474" s="49"/>
    </row>
    <row r="475">
      <c r="A475" s="49"/>
      <c r="B475" s="49"/>
      <c r="C475" s="49"/>
      <c r="D475" s="50"/>
      <c r="E475" s="50"/>
      <c r="F475" s="50"/>
      <c r="G475" s="50"/>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c r="AF475" s="49"/>
      <c r="AG475" s="49"/>
      <c r="AH475" s="49"/>
      <c r="AI475" s="49"/>
      <c r="AJ475" s="49"/>
      <c r="AK475" s="49"/>
      <c r="AL475" s="49"/>
      <c r="AM475" s="49"/>
      <c r="AN475" s="49"/>
      <c r="AO475" s="49"/>
      <c r="AP475" s="49"/>
      <c r="AQ475" s="49"/>
      <c r="AR475" s="49"/>
      <c r="AS475" s="49"/>
      <c r="AT475" s="49"/>
      <c r="AU475" s="49"/>
      <c r="AV475" s="49"/>
      <c r="AW475" s="49"/>
      <c r="AX475" s="49"/>
    </row>
    <row r="476">
      <c r="A476" s="49"/>
      <c r="B476" s="49"/>
      <c r="C476" s="49"/>
      <c r="D476" s="50"/>
      <c r="E476" s="50"/>
      <c r="F476" s="50"/>
      <c r="G476" s="50"/>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c r="AF476" s="49"/>
      <c r="AG476" s="49"/>
      <c r="AH476" s="49"/>
      <c r="AI476" s="49"/>
      <c r="AJ476" s="49"/>
      <c r="AK476" s="49"/>
      <c r="AL476" s="49"/>
      <c r="AM476" s="49"/>
      <c r="AN476" s="49"/>
      <c r="AO476" s="49"/>
      <c r="AP476" s="49"/>
      <c r="AQ476" s="49"/>
      <c r="AR476" s="49"/>
      <c r="AS476" s="49"/>
      <c r="AT476" s="49"/>
      <c r="AU476" s="49"/>
      <c r="AV476" s="49"/>
      <c r="AW476" s="49"/>
      <c r="AX476" s="49"/>
    </row>
    <row r="477">
      <c r="A477" s="49"/>
      <c r="B477" s="49"/>
      <c r="C477" s="49"/>
      <c r="D477" s="50"/>
      <c r="E477" s="50"/>
      <c r="F477" s="50"/>
      <c r="G477" s="50"/>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c r="AF477" s="49"/>
      <c r="AG477" s="49"/>
      <c r="AH477" s="49"/>
      <c r="AI477" s="49"/>
      <c r="AJ477" s="49"/>
      <c r="AK477" s="49"/>
      <c r="AL477" s="49"/>
      <c r="AM477" s="49"/>
      <c r="AN477" s="49"/>
      <c r="AO477" s="49"/>
      <c r="AP477" s="49"/>
      <c r="AQ477" s="49"/>
      <c r="AR477" s="49"/>
      <c r="AS477" s="49"/>
      <c r="AT477" s="49"/>
      <c r="AU477" s="49"/>
      <c r="AV477" s="49"/>
      <c r="AW477" s="49"/>
      <c r="AX477" s="49"/>
    </row>
    <row r="478">
      <c r="A478" s="49"/>
      <c r="B478" s="49"/>
      <c r="C478" s="49"/>
      <c r="D478" s="50"/>
      <c r="E478" s="50"/>
      <c r="F478" s="50"/>
      <c r="G478" s="50"/>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c r="AF478" s="49"/>
      <c r="AG478" s="49"/>
      <c r="AH478" s="49"/>
      <c r="AI478" s="49"/>
      <c r="AJ478" s="49"/>
      <c r="AK478" s="49"/>
      <c r="AL478" s="49"/>
      <c r="AM478" s="49"/>
      <c r="AN478" s="49"/>
      <c r="AO478" s="49"/>
      <c r="AP478" s="49"/>
      <c r="AQ478" s="49"/>
      <c r="AR478" s="49"/>
      <c r="AS478" s="49"/>
      <c r="AT478" s="49"/>
      <c r="AU478" s="49"/>
      <c r="AV478" s="49"/>
      <c r="AW478" s="49"/>
      <c r="AX478" s="49"/>
    </row>
    <row r="479">
      <c r="A479" s="49"/>
      <c r="B479" s="49"/>
      <c r="C479" s="49"/>
      <c r="D479" s="50"/>
      <c r="E479" s="50"/>
      <c r="F479" s="50"/>
      <c r="G479" s="50"/>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c r="AF479" s="49"/>
      <c r="AG479" s="49"/>
      <c r="AH479" s="49"/>
      <c r="AI479" s="49"/>
      <c r="AJ479" s="49"/>
      <c r="AK479" s="49"/>
      <c r="AL479" s="49"/>
      <c r="AM479" s="49"/>
      <c r="AN479" s="49"/>
      <c r="AO479" s="49"/>
      <c r="AP479" s="49"/>
      <c r="AQ479" s="49"/>
      <c r="AR479" s="49"/>
      <c r="AS479" s="49"/>
      <c r="AT479" s="49"/>
      <c r="AU479" s="49"/>
      <c r="AV479" s="49"/>
      <c r="AW479" s="49"/>
      <c r="AX479" s="49"/>
    </row>
    <row r="480">
      <c r="A480" s="49"/>
      <c r="B480" s="49"/>
      <c r="C480" s="49"/>
      <c r="D480" s="50"/>
      <c r="E480" s="50"/>
      <c r="F480" s="50"/>
      <c r="G480" s="50"/>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c r="AF480" s="49"/>
      <c r="AG480" s="49"/>
      <c r="AH480" s="49"/>
      <c r="AI480" s="49"/>
      <c r="AJ480" s="49"/>
      <c r="AK480" s="49"/>
      <c r="AL480" s="49"/>
      <c r="AM480" s="49"/>
      <c r="AN480" s="49"/>
      <c r="AO480" s="49"/>
      <c r="AP480" s="49"/>
      <c r="AQ480" s="49"/>
      <c r="AR480" s="49"/>
      <c r="AS480" s="49"/>
      <c r="AT480" s="49"/>
      <c r="AU480" s="49"/>
      <c r="AV480" s="49"/>
      <c r="AW480" s="49"/>
      <c r="AX480" s="49"/>
    </row>
    <row r="481">
      <c r="A481" s="49"/>
      <c r="B481" s="49"/>
      <c r="C481" s="49"/>
      <c r="D481" s="50"/>
      <c r="E481" s="50"/>
      <c r="F481" s="50"/>
      <c r="G481" s="50"/>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c r="AF481" s="49"/>
      <c r="AG481" s="49"/>
      <c r="AH481" s="49"/>
      <c r="AI481" s="49"/>
      <c r="AJ481" s="49"/>
      <c r="AK481" s="49"/>
      <c r="AL481" s="49"/>
      <c r="AM481" s="49"/>
      <c r="AN481" s="49"/>
      <c r="AO481" s="49"/>
      <c r="AP481" s="49"/>
      <c r="AQ481" s="49"/>
      <c r="AR481" s="49"/>
      <c r="AS481" s="49"/>
      <c r="AT481" s="49"/>
      <c r="AU481" s="49"/>
      <c r="AV481" s="49"/>
      <c r="AW481" s="49"/>
      <c r="AX481" s="49"/>
    </row>
    <row r="482">
      <c r="A482" s="49"/>
      <c r="B482" s="49"/>
      <c r="C482" s="49"/>
      <c r="D482" s="50"/>
      <c r="E482" s="50"/>
      <c r="F482" s="50"/>
      <c r="G482" s="50"/>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c r="AF482" s="49"/>
      <c r="AG482" s="49"/>
      <c r="AH482" s="49"/>
      <c r="AI482" s="49"/>
      <c r="AJ482" s="49"/>
      <c r="AK482" s="49"/>
      <c r="AL482" s="49"/>
      <c r="AM482" s="49"/>
      <c r="AN482" s="49"/>
      <c r="AO482" s="49"/>
      <c r="AP482" s="49"/>
      <c r="AQ482" s="49"/>
      <c r="AR482" s="49"/>
      <c r="AS482" s="49"/>
      <c r="AT482" s="49"/>
      <c r="AU482" s="49"/>
      <c r="AV482" s="49"/>
      <c r="AW482" s="49"/>
      <c r="AX482" s="49"/>
    </row>
    <row r="483">
      <c r="A483" s="49"/>
      <c r="B483" s="49"/>
      <c r="C483" s="49"/>
      <c r="D483" s="50"/>
      <c r="E483" s="50"/>
      <c r="F483" s="50"/>
      <c r="G483" s="50"/>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c r="AF483" s="49"/>
      <c r="AG483" s="49"/>
      <c r="AH483" s="49"/>
      <c r="AI483" s="49"/>
      <c r="AJ483" s="49"/>
      <c r="AK483" s="49"/>
      <c r="AL483" s="49"/>
      <c r="AM483" s="49"/>
      <c r="AN483" s="49"/>
      <c r="AO483" s="49"/>
      <c r="AP483" s="49"/>
      <c r="AQ483" s="49"/>
      <c r="AR483" s="49"/>
      <c r="AS483" s="49"/>
      <c r="AT483" s="49"/>
      <c r="AU483" s="49"/>
      <c r="AV483" s="49"/>
      <c r="AW483" s="49"/>
      <c r="AX483" s="49"/>
    </row>
    <row r="484">
      <c r="A484" s="49"/>
      <c r="B484" s="49"/>
      <c r="C484" s="49"/>
      <c r="D484" s="50"/>
      <c r="E484" s="50"/>
      <c r="F484" s="50"/>
      <c r="G484" s="50"/>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c r="AF484" s="49"/>
      <c r="AG484" s="49"/>
      <c r="AH484" s="49"/>
      <c r="AI484" s="49"/>
      <c r="AJ484" s="49"/>
      <c r="AK484" s="49"/>
      <c r="AL484" s="49"/>
      <c r="AM484" s="49"/>
      <c r="AN484" s="49"/>
      <c r="AO484" s="49"/>
      <c r="AP484" s="49"/>
      <c r="AQ484" s="49"/>
      <c r="AR484" s="49"/>
      <c r="AS484" s="49"/>
      <c r="AT484" s="49"/>
      <c r="AU484" s="49"/>
      <c r="AV484" s="49"/>
      <c r="AW484" s="49"/>
      <c r="AX484" s="49"/>
    </row>
    <row r="485">
      <c r="A485" s="49"/>
      <c r="B485" s="49"/>
      <c r="C485" s="49"/>
      <c r="D485" s="50"/>
      <c r="E485" s="50"/>
      <c r="F485" s="50"/>
      <c r="G485" s="50"/>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c r="AF485" s="49"/>
      <c r="AG485" s="49"/>
      <c r="AH485" s="49"/>
      <c r="AI485" s="49"/>
      <c r="AJ485" s="49"/>
      <c r="AK485" s="49"/>
      <c r="AL485" s="49"/>
      <c r="AM485" s="49"/>
      <c r="AN485" s="49"/>
      <c r="AO485" s="49"/>
      <c r="AP485" s="49"/>
      <c r="AQ485" s="49"/>
      <c r="AR485" s="49"/>
      <c r="AS485" s="49"/>
      <c r="AT485" s="49"/>
      <c r="AU485" s="49"/>
      <c r="AV485" s="49"/>
      <c r="AW485" s="49"/>
      <c r="AX485" s="49"/>
    </row>
    <row r="486">
      <c r="A486" s="49"/>
      <c r="B486" s="49"/>
      <c r="C486" s="49"/>
      <c r="D486" s="50"/>
      <c r="E486" s="50"/>
      <c r="F486" s="50"/>
      <c r="G486" s="50"/>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c r="AF486" s="49"/>
      <c r="AG486" s="49"/>
      <c r="AH486" s="49"/>
      <c r="AI486" s="49"/>
      <c r="AJ486" s="49"/>
      <c r="AK486" s="49"/>
      <c r="AL486" s="49"/>
      <c r="AM486" s="49"/>
      <c r="AN486" s="49"/>
      <c r="AO486" s="49"/>
      <c r="AP486" s="49"/>
      <c r="AQ486" s="49"/>
      <c r="AR486" s="49"/>
      <c r="AS486" s="49"/>
      <c r="AT486" s="49"/>
      <c r="AU486" s="49"/>
      <c r="AV486" s="49"/>
      <c r="AW486" s="49"/>
      <c r="AX486" s="49"/>
    </row>
    <row r="487">
      <c r="A487" s="49"/>
      <c r="B487" s="49"/>
      <c r="C487" s="49"/>
      <c r="D487" s="50"/>
      <c r="E487" s="50"/>
      <c r="F487" s="50"/>
      <c r="G487" s="50"/>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c r="AF487" s="49"/>
      <c r="AG487" s="49"/>
      <c r="AH487" s="49"/>
      <c r="AI487" s="49"/>
      <c r="AJ487" s="49"/>
      <c r="AK487" s="49"/>
      <c r="AL487" s="49"/>
      <c r="AM487" s="49"/>
      <c r="AN487" s="49"/>
      <c r="AO487" s="49"/>
      <c r="AP487" s="49"/>
      <c r="AQ487" s="49"/>
      <c r="AR487" s="49"/>
      <c r="AS487" s="49"/>
      <c r="AT487" s="49"/>
      <c r="AU487" s="49"/>
      <c r="AV487" s="49"/>
      <c r="AW487" s="49"/>
      <c r="AX487" s="49"/>
    </row>
    <row r="488">
      <c r="A488" s="49"/>
      <c r="B488" s="49"/>
      <c r="C488" s="49"/>
      <c r="D488" s="50"/>
      <c r="E488" s="50"/>
      <c r="F488" s="50"/>
      <c r="G488" s="50"/>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c r="AF488" s="49"/>
      <c r="AG488" s="49"/>
      <c r="AH488" s="49"/>
      <c r="AI488" s="49"/>
      <c r="AJ488" s="49"/>
      <c r="AK488" s="49"/>
      <c r="AL488" s="49"/>
      <c r="AM488" s="49"/>
      <c r="AN488" s="49"/>
      <c r="AO488" s="49"/>
      <c r="AP488" s="49"/>
      <c r="AQ488" s="49"/>
      <c r="AR488" s="49"/>
      <c r="AS488" s="49"/>
      <c r="AT488" s="49"/>
      <c r="AU488" s="49"/>
      <c r="AV488" s="49"/>
      <c r="AW488" s="49"/>
      <c r="AX488" s="49"/>
    </row>
    <row r="489">
      <c r="A489" s="49"/>
      <c r="B489" s="49"/>
      <c r="C489" s="49"/>
      <c r="D489" s="50"/>
      <c r="E489" s="50"/>
      <c r="F489" s="50"/>
      <c r="G489" s="50"/>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c r="AF489" s="49"/>
      <c r="AG489" s="49"/>
      <c r="AH489" s="49"/>
      <c r="AI489" s="49"/>
      <c r="AJ489" s="49"/>
      <c r="AK489" s="49"/>
      <c r="AL489" s="49"/>
      <c r="AM489" s="49"/>
      <c r="AN489" s="49"/>
      <c r="AO489" s="49"/>
      <c r="AP489" s="49"/>
      <c r="AQ489" s="49"/>
      <c r="AR489" s="49"/>
      <c r="AS489" s="49"/>
      <c r="AT489" s="49"/>
      <c r="AU489" s="49"/>
      <c r="AV489" s="49"/>
      <c r="AW489" s="49"/>
      <c r="AX489" s="49"/>
    </row>
    <row r="490">
      <c r="A490" s="49"/>
      <c r="B490" s="49"/>
      <c r="C490" s="49"/>
      <c r="D490" s="50"/>
      <c r="E490" s="50"/>
      <c r="F490" s="50"/>
      <c r="G490" s="50"/>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c r="AF490" s="49"/>
      <c r="AG490" s="49"/>
      <c r="AH490" s="49"/>
      <c r="AI490" s="49"/>
      <c r="AJ490" s="49"/>
      <c r="AK490" s="49"/>
      <c r="AL490" s="49"/>
      <c r="AM490" s="49"/>
      <c r="AN490" s="49"/>
      <c r="AO490" s="49"/>
      <c r="AP490" s="49"/>
      <c r="AQ490" s="49"/>
      <c r="AR490" s="49"/>
      <c r="AS490" s="49"/>
      <c r="AT490" s="49"/>
      <c r="AU490" s="49"/>
      <c r="AV490" s="49"/>
      <c r="AW490" s="49"/>
      <c r="AX490" s="49"/>
    </row>
    <row r="491">
      <c r="A491" s="49"/>
      <c r="B491" s="49"/>
      <c r="C491" s="49"/>
      <c r="D491" s="50"/>
      <c r="E491" s="50"/>
      <c r="F491" s="50"/>
      <c r="G491" s="50"/>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c r="AF491" s="49"/>
      <c r="AG491" s="49"/>
      <c r="AH491" s="49"/>
      <c r="AI491" s="49"/>
      <c r="AJ491" s="49"/>
      <c r="AK491" s="49"/>
      <c r="AL491" s="49"/>
      <c r="AM491" s="49"/>
      <c r="AN491" s="49"/>
      <c r="AO491" s="49"/>
      <c r="AP491" s="49"/>
      <c r="AQ491" s="49"/>
      <c r="AR491" s="49"/>
      <c r="AS491" s="49"/>
      <c r="AT491" s="49"/>
      <c r="AU491" s="49"/>
      <c r="AV491" s="49"/>
      <c r="AW491" s="49"/>
      <c r="AX491" s="49"/>
    </row>
    <row r="492">
      <c r="A492" s="49"/>
      <c r="B492" s="49"/>
      <c r="C492" s="49"/>
      <c r="D492" s="50"/>
      <c r="E492" s="50"/>
      <c r="F492" s="50"/>
      <c r="G492" s="50"/>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c r="AF492" s="49"/>
      <c r="AG492" s="49"/>
      <c r="AH492" s="49"/>
      <c r="AI492" s="49"/>
      <c r="AJ492" s="49"/>
      <c r="AK492" s="49"/>
      <c r="AL492" s="49"/>
      <c r="AM492" s="49"/>
      <c r="AN492" s="49"/>
      <c r="AO492" s="49"/>
      <c r="AP492" s="49"/>
      <c r="AQ492" s="49"/>
      <c r="AR492" s="49"/>
      <c r="AS492" s="49"/>
      <c r="AT492" s="49"/>
      <c r="AU492" s="49"/>
      <c r="AV492" s="49"/>
      <c r="AW492" s="49"/>
      <c r="AX492" s="49"/>
    </row>
    <row r="493">
      <c r="A493" s="49"/>
      <c r="B493" s="49"/>
      <c r="C493" s="49"/>
      <c r="D493" s="50"/>
      <c r="E493" s="50"/>
      <c r="F493" s="50"/>
      <c r="G493" s="50"/>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c r="AF493" s="49"/>
      <c r="AG493" s="49"/>
      <c r="AH493" s="49"/>
      <c r="AI493" s="49"/>
      <c r="AJ493" s="49"/>
      <c r="AK493" s="49"/>
      <c r="AL493" s="49"/>
      <c r="AM493" s="49"/>
      <c r="AN493" s="49"/>
      <c r="AO493" s="49"/>
      <c r="AP493" s="49"/>
      <c r="AQ493" s="49"/>
      <c r="AR493" s="49"/>
      <c r="AS493" s="49"/>
      <c r="AT493" s="49"/>
      <c r="AU493" s="49"/>
      <c r="AV493" s="49"/>
      <c r="AW493" s="49"/>
      <c r="AX493" s="49"/>
    </row>
    <row r="494">
      <c r="A494" s="49"/>
      <c r="B494" s="49"/>
      <c r="C494" s="49"/>
      <c r="D494" s="50"/>
      <c r="E494" s="50"/>
      <c r="F494" s="50"/>
      <c r="G494" s="50"/>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c r="AF494" s="49"/>
      <c r="AG494" s="49"/>
      <c r="AH494" s="49"/>
      <c r="AI494" s="49"/>
      <c r="AJ494" s="49"/>
      <c r="AK494" s="49"/>
      <c r="AL494" s="49"/>
      <c r="AM494" s="49"/>
      <c r="AN494" s="49"/>
      <c r="AO494" s="49"/>
      <c r="AP494" s="49"/>
      <c r="AQ494" s="49"/>
      <c r="AR494" s="49"/>
      <c r="AS494" s="49"/>
      <c r="AT494" s="49"/>
      <c r="AU494" s="49"/>
      <c r="AV494" s="49"/>
      <c r="AW494" s="49"/>
      <c r="AX494" s="49"/>
    </row>
    <row r="495">
      <c r="A495" s="49"/>
      <c r="B495" s="49"/>
      <c r="C495" s="49"/>
      <c r="D495" s="50"/>
      <c r="E495" s="50"/>
      <c r="F495" s="50"/>
      <c r="G495" s="50"/>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c r="AF495" s="49"/>
      <c r="AG495" s="49"/>
      <c r="AH495" s="49"/>
      <c r="AI495" s="49"/>
      <c r="AJ495" s="49"/>
      <c r="AK495" s="49"/>
      <c r="AL495" s="49"/>
      <c r="AM495" s="49"/>
      <c r="AN495" s="49"/>
      <c r="AO495" s="49"/>
      <c r="AP495" s="49"/>
      <c r="AQ495" s="49"/>
      <c r="AR495" s="49"/>
      <c r="AS495" s="49"/>
      <c r="AT495" s="49"/>
      <c r="AU495" s="49"/>
      <c r="AV495" s="49"/>
      <c r="AW495" s="49"/>
      <c r="AX495" s="49"/>
    </row>
    <row r="496">
      <c r="A496" s="49"/>
      <c r="B496" s="49"/>
      <c r="C496" s="49"/>
      <c r="D496" s="50"/>
      <c r="E496" s="50"/>
      <c r="F496" s="50"/>
      <c r="G496" s="50"/>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c r="AF496" s="49"/>
      <c r="AG496" s="49"/>
      <c r="AH496" s="49"/>
      <c r="AI496" s="49"/>
      <c r="AJ496" s="49"/>
      <c r="AK496" s="49"/>
      <c r="AL496" s="49"/>
      <c r="AM496" s="49"/>
      <c r="AN496" s="49"/>
      <c r="AO496" s="49"/>
      <c r="AP496" s="49"/>
      <c r="AQ496" s="49"/>
      <c r="AR496" s="49"/>
      <c r="AS496" s="49"/>
      <c r="AT496" s="49"/>
      <c r="AU496" s="49"/>
      <c r="AV496" s="49"/>
      <c r="AW496" s="49"/>
      <c r="AX496" s="49"/>
    </row>
    <row r="497">
      <c r="A497" s="49"/>
      <c r="B497" s="49"/>
      <c r="C497" s="49"/>
      <c r="D497" s="50"/>
      <c r="E497" s="50"/>
      <c r="F497" s="50"/>
      <c r="G497" s="50"/>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c r="AF497" s="49"/>
      <c r="AG497" s="49"/>
      <c r="AH497" s="49"/>
      <c r="AI497" s="49"/>
      <c r="AJ497" s="49"/>
      <c r="AK497" s="49"/>
      <c r="AL497" s="49"/>
      <c r="AM497" s="49"/>
      <c r="AN497" s="49"/>
      <c r="AO497" s="49"/>
      <c r="AP497" s="49"/>
      <c r="AQ497" s="49"/>
      <c r="AR497" s="49"/>
      <c r="AS497" s="49"/>
      <c r="AT497" s="49"/>
      <c r="AU497" s="49"/>
      <c r="AV497" s="49"/>
      <c r="AW497" s="49"/>
      <c r="AX497" s="49"/>
    </row>
    <row r="498">
      <c r="A498" s="49"/>
      <c r="B498" s="49"/>
      <c r="C498" s="49"/>
      <c r="D498" s="50"/>
      <c r="E498" s="50"/>
      <c r="F498" s="50"/>
      <c r="G498" s="50"/>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c r="AF498" s="49"/>
      <c r="AG498" s="49"/>
      <c r="AH498" s="49"/>
      <c r="AI498" s="49"/>
      <c r="AJ498" s="49"/>
      <c r="AK498" s="49"/>
      <c r="AL498" s="49"/>
      <c r="AM498" s="49"/>
      <c r="AN498" s="49"/>
      <c r="AO498" s="49"/>
      <c r="AP498" s="49"/>
      <c r="AQ498" s="49"/>
      <c r="AR498" s="49"/>
      <c r="AS498" s="49"/>
      <c r="AT498" s="49"/>
      <c r="AU498" s="49"/>
      <c r="AV498" s="49"/>
      <c r="AW498" s="49"/>
      <c r="AX498" s="49"/>
    </row>
    <row r="499">
      <c r="A499" s="49"/>
      <c r="B499" s="49"/>
      <c r="C499" s="49"/>
      <c r="D499" s="50"/>
      <c r="E499" s="50"/>
      <c r="F499" s="50"/>
      <c r="G499" s="50"/>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c r="AF499" s="49"/>
      <c r="AG499" s="49"/>
      <c r="AH499" s="49"/>
      <c r="AI499" s="49"/>
      <c r="AJ499" s="49"/>
      <c r="AK499" s="49"/>
      <c r="AL499" s="49"/>
      <c r="AM499" s="49"/>
      <c r="AN499" s="49"/>
      <c r="AO499" s="49"/>
      <c r="AP499" s="49"/>
      <c r="AQ499" s="49"/>
      <c r="AR499" s="49"/>
      <c r="AS499" s="49"/>
      <c r="AT499" s="49"/>
      <c r="AU499" s="49"/>
      <c r="AV499" s="49"/>
      <c r="AW499" s="49"/>
      <c r="AX499" s="49"/>
    </row>
    <row r="500">
      <c r="A500" s="49"/>
      <c r="B500" s="49"/>
      <c r="C500" s="49"/>
      <c r="D500" s="50"/>
      <c r="E500" s="50"/>
      <c r="F500" s="50"/>
      <c r="G500" s="50"/>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c r="AF500" s="49"/>
      <c r="AG500" s="49"/>
      <c r="AH500" s="49"/>
      <c r="AI500" s="49"/>
      <c r="AJ500" s="49"/>
      <c r="AK500" s="49"/>
      <c r="AL500" s="49"/>
      <c r="AM500" s="49"/>
      <c r="AN500" s="49"/>
      <c r="AO500" s="49"/>
      <c r="AP500" s="49"/>
      <c r="AQ500" s="49"/>
      <c r="AR500" s="49"/>
      <c r="AS500" s="49"/>
      <c r="AT500" s="49"/>
      <c r="AU500" s="49"/>
      <c r="AV500" s="49"/>
      <c r="AW500" s="49"/>
      <c r="AX500" s="49"/>
    </row>
    <row r="501">
      <c r="A501" s="49"/>
      <c r="B501" s="49"/>
      <c r="C501" s="49"/>
      <c r="D501" s="50"/>
      <c r="E501" s="50"/>
      <c r="F501" s="50"/>
      <c r="G501" s="50"/>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c r="AF501" s="49"/>
      <c r="AG501" s="49"/>
      <c r="AH501" s="49"/>
      <c r="AI501" s="49"/>
      <c r="AJ501" s="49"/>
      <c r="AK501" s="49"/>
      <c r="AL501" s="49"/>
      <c r="AM501" s="49"/>
      <c r="AN501" s="49"/>
      <c r="AO501" s="49"/>
      <c r="AP501" s="49"/>
      <c r="AQ501" s="49"/>
      <c r="AR501" s="49"/>
      <c r="AS501" s="49"/>
      <c r="AT501" s="49"/>
      <c r="AU501" s="49"/>
      <c r="AV501" s="49"/>
      <c r="AW501" s="49"/>
      <c r="AX501" s="49"/>
    </row>
    <row r="502">
      <c r="A502" s="49"/>
      <c r="B502" s="49"/>
      <c r="C502" s="49"/>
      <c r="D502" s="50"/>
      <c r="E502" s="50"/>
      <c r="F502" s="50"/>
      <c r="G502" s="50"/>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c r="AF502" s="49"/>
      <c r="AG502" s="49"/>
      <c r="AH502" s="49"/>
      <c r="AI502" s="49"/>
      <c r="AJ502" s="49"/>
      <c r="AK502" s="49"/>
      <c r="AL502" s="49"/>
      <c r="AM502" s="49"/>
      <c r="AN502" s="49"/>
      <c r="AO502" s="49"/>
      <c r="AP502" s="49"/>
      <c r="AQ502" s="49"/>
      <c r="AR502" s="49"/>
      <c r="AS502" s="49"/>
      <c r="AT502" s="49"/>
      <c r="AU502" s="49"/>
      <c r="AV502" s="49"/>
      <c r="AW502" s="49"/>
      <c r="AX502" s="49"/>
    </row>
    <row r="503">
      <c r="A503" s="49"/>
      <c r="B503" s="49"/>
      <c r="C503" s="49"/>
      <c r="D503" s="50"/>
      <c r="E503" s="50"/>
      <c r="F503" s="50"/>
      <c r="G503" s="50"/>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c r="AF503" s="49"/>
      <c r="AG503" s="49"/>
      <c r="AH503" s="49"/>
      <c r="AI503" s="49"/>
      <c r="AJ503" s="49"/>
      <c r="AK503" s="49"/>
      <c r="AL503" s="49"/>
      <c r="AM503" s="49"/>
      <c r="AN503" s="49"/>
      <c r="AO503" s="49"/>
      <c r="AP503" s="49"/>
      <c r="AQ503" s="49"/>
      <c r="AR503" s="49"/>
      <c r="AS503" s="49"/>
      <c r="AT503" s="49"/>
      <c r="AU503" s="49"/>
      <c r="AV503" s="49"/>
      <c r="AW503" s="49"/>
      <c r="AX503" s="49"/>
    </row>
    <row r="504">
      <c r="A504" s="49"/>
      <c r="B504" s="49"/>
      <c r="C504" s="49"/>
      <c r="D504" s="50"/>
      <c r="E504" s="50"/>
      <c r="F504" s="50"/>
      <c r="G504" s="50"/>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c r="AF504" s="49"/>
      <c r="AG504" s="49"/>
      <c r="AH504" s="49"/>
      <c r="AI504" s="49"/>
      <c r="AJ504" s="49"/>
      <c r="AK504" s="49"/>
      <c r="AL504" s="49"/>
      <c r="AM504" s="49"/>
      <c r="AN504" s="49"/>
      <c r="AO504" s="49"/>
      <c r="AP504" s="49"/>
      <c r="AQ504" s="49"/>
      <c r="AR504" s="49"/>
      <c r="AS504" s="49"/>
      <c r="AT504" s="49"/>
      <c r="AU504" s="49"/>
      <c r="AV504" s="49"/>
      <c r="AW504" s="49"/>
      <c r="AX504" s="49"/>
    </row>
    <row r="505">
      <c r="A505" s="49"/>
      <c r="B505" s="49"/>
      <c r="C505" s="49"/>
      <c r="D505" s="50"/>
      <c r="E505" s="50"/>
      <c r="F505" s="50"/>
      <c r="G505" s="50"/>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c r="AF505" s="49"/>
      <c r="AG505" s="49"/>
      <c r="AH505" s="49"/>
      <c r="AI505" s="49"/>
      <c r="AJ505" s="49"/>
      <c r="AK505" s="49"/>
      <c r="AL505" s="49"/>
      <c r="AM505" s="49"/>
      <c r="AN505" s="49"/>
      <c r="AO505" s="49"/>
      <c r="AP505" s="49"/>
      <c r="AQ505" s="49"/>
      <c r="AR505" s="49"/>
      <c r="AS505" s="49"/>
      <c r="AT505" s="49"/>
      <c r="AU505" s="49"/>
      <c r="AV505" s="49"/>
      <c r="AW505" s="49"/>
      <c r="AX505" s="49"/>
    </row>
    <row r="506">
      <c r="A506" s="49"/>
      <c r="B506" s="49"/>
      <c r="C506" s="49"/>
      <c r="D506" s="50"/>
      <c r="E506" s="50"/>
      <c r="F506" s="50"/>
      <c r="G506" s="50"/>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c r="AF506" s="49"/>
      <c r="AG506" s="49"/>
      <c r="AH506" s="49"/>
      <c r="AI506" s="49"/>
      <c r="AJ506" s="49"/>
      <c r="AK506" s="49"/>
      <c r="AL506" s="49"/>
      <c r="AM506" s="49"/>
      <c r="AN506" s="49"/>
      <c r="AO506" s="49"/>
      <c r="AP506" s="49"/>
      <c r="AQ506" s="49"/>
      <c r="AR506" s="49"/>
      <c r="AS506" s="49"/>
      <c r="AT506" s="49"/>
      <c r="AU506" s="49"/>
      <c r="AV506" s="49"/>
      <c r="AW506" s="49"/>
      <c r="AX506" s="49"/>
    </row>
    <row r="507">
      <c r="A507" s="49"/>
      <c r="B507" s="49"/>
      <c r="C507" s="49"/>
      <c r="D507" s="50"/>
      <c r="E507" s="50"/>
      <c r="F507" s="50"/>
      <c r="G507" s="50"/>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c r="AF507" s="49"/>
      <c r="AG507" s="49"/>
      <c r="AH507" s="49"/>
      <c r="AI507" s="49"/>
      <c r="AJ507" s="49"/>
      <c r="AK507" s="49"/>
      <c r="AL507" s="49"/>
      <c r="AM507" s="49"/>
      <c r="AN507" s="49"/>
      <c r="AO507" s="49"/>
      <c r="AP507" s="49"/>
      <c r="AQ507" s="49"/>
      <c r="AR507" s="49"/>
      <c r="AS507" s="49"/>
      <c r="AT507" s="49"/>
      <c r="AU507" s="49"/>
      <c r="AV507" s="49"/>
      <c r="AW507" s="49"/>
      <c r="AX507" s="49"/>
    </row>
    <row r="508">
      <c r="A508" s="49"/>
      <c r="B508" s="49"/>
      <c r="C508" s="49"/>
      <c r="D508" s="50"/>
      <c r="E508" s="50"/>
      <c r="F508" s="50"/>
      <c r="G508" s="50"/>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c r="AF508" s="49"/>
      <c r="AG508" s="49"/>
      <c r="AH508" s="49"/>
      <c r="AI508" s="49"/>
      <c r="AJ508" s="49"/>
      <c r="AK508" s="49"/>
      <c r="AL508" s="49"/>
      <c r="AM508" s="49"/>
      <c r="AN508" s="49"/>
      <c r="AO508" s="49"/>
      <c r="AP508" s="49"/>
      <c r="AQ508" s="49"/>
      <c r="AR508" s="49"/>
      <c r="AS508" s="49"/>
      <c r="AT508" s="49"/>
      <c r="AU508" s="49"/>
      <c r="AV508" s="49"/>
      <c r="AW508" s="49"/>
      <c r="AX508" s="49"/>
    </row>
    <row r="509">
      <c r="A509" s="49"/>
      <c r="B509" s="49"/>
      <c r="C509" s="49"/>
      <c r="D509" s="50"/>
      <c r="E509" s="50"/>
      <c r="F509" s="50"/>
      <c r="G509" s="50"/>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c r="AF509" s="49"/>
      <c r="AG509" s="49"/>
      <c r="AH509" s="49"/>
      <c r="AI509" s="49"/>
      <c r="AJ509" s="49"/>
      <c r="AK509" s="49"/>
      <c r="AL509" s="49"/>
      <c r="AM509" s="49"/>
      <c r="AN509" s="49"/>
      <c r="AO509" s="49"/>
      <c r="AP509" s="49"/>
      <c r="AQ509" s="49"/>
      <c r="AR509" s="49"/>
      <c r="AS509" s="49"/>
      <c r="AT509" s="49"/>
      <c r="AU509" s="49"/>
      <c r="AV509" s="49"/>
      <c r="AW509" s="49"/>
      <c r="AX509" s="49"/>
    </row>
    <row r="510">
      <c r="A510" s="49"/>
      <c r="B510" s="49"/>
      <c r="C510" s="49"/>
      <c r="D510" s="50"/>
      <c r="E510" s="50"/>
      <c r="F510" s="50"/>
      <c r="G510" s="50"/>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c r="AF510" s="49"/>
      <c r="AG510" s="49"/>
      <c r="AH510" s="49"/>
      <c r="AI510" s="49"/>
      <c r="AJ510" s="49"/>
      <c r="AK510" s="49"/>
      <c r="AL510" s="49"/>
      <c r="AM510" s="49"/>
      <c r="AN510" s="49"/>
      <c r="AO510" s="49"/>
      <c r="AP510" s="49"/>
      <c r="AQ510" s="49"/>
      <c r="AR510" s="49"/>
      <c r="AS510" s="49"/>
      <c r="AT510" s="49"/>
      <c r="AU510" s="49"/>
      <c r="AV510" s="49"/>
      <c r="AW510" s="49"/>
      <c r="AX510" s="49"/>
    </row>
    <row r="511">
      <c r="A511" s="49"/>
      <c r="B511" s="49"/>
      <c r="C511" s="49"/>
      <c r="D511" s="50"/>
      <c r="E511" s="50"/>
      <c r="F511" s="50"/>
      <c r="G511" s="50"/>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c r="AF511" s="49"/>
      <c r="AG511" s="49"/>
      <c r="AH511" s="49"/>
      <c r="AI511" s="49"/>
      <c r="AJ511" s="49"/>
      <c r="AK511" s="49"/>
      <c r="AL511" s="49"/>
      <c r="AM511" s="49"/>
      <c r="AN511" s="49"/>
      <c r="AO511" s="49"/>
      <c r="AP511" s="49"/>
      <c r="AQ511" s="49"/>
      <c r="AR511" s="49"/>
      <c r="AS511" s="49"/>
      <c r="AT511" s="49"/>
      <c r="AU511" s="49"/>
      <c r="AV511" s="49"/>
      <c r="AW511" s="49"/>
      <c r="AX511" s="49"/>
    </row>
    <row r="512">
      <c r="A512" s="49"/>
      <c r="B512" s="49"/>
      <c r="C512" s="49"/>
      <c r="D512" s="50"/>
      <c r="E512" s="50"/>
      <c r="F512" s="50"/>
      <c r="G512" s="50"/>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c r="AF512" s="49"/>
      <c r="AG512" s="49"/>
      <c r="AH512" s="49"/>
      <c r="AI512" s="49"/>
      <c r="AJ512" s="49"/>
      <c r="AK512" s="49"/>
      <c r="AL512" s="49"/>
      <c r="AM512" s="49"/>
      <c r="AN512" s="49"/>
      <c r="AO512" s="49"/>
      <c r="AP512" s="49"/>
      <c r="AQ512" s="49"/>
      <c r="AR512" s="49"/>
      <c r="AS512" s="49"/>
      <c r="AT512" s="49"/>
      <c r="AU512" s="49"/>
      <c r="AV512" s="49"/>
      <c r="AW512" s="49"/>
      <c r="AX512" s="49"/>
    </row>
    <row r="513">
      <c r="A513" s="49"/>
      <c r="B513" s="49"/>
      <c r="C513" s="49"/>
      <c r="D513" s="50"/>
      <c r="E513" s="50"/>
      <c r="F513" s="50"/>
      <c r="G513" s="50"/>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c r="AF513" s="49"/>
      <c r="AG513" s="49"/>
      <c r="AH513" s="49"/>
      <c r="AI513" s="49"/>
      <c r="AJ513" s="49"/>
      <c r="AK513" s="49"/>
      <c r="AL513" s="49"/>
      <c r="AM513" s="49"/>
      <c r="AN513" s="49"/>
      <c r="AO513" s="49"/>
      <c r="AP513" s="49"/>
      <c r="AQ513" s="49"/>
      <c r="AR513" s="49"/>
      <c r="AS513" s="49"/>
      <c r="AT513" s="49"/>
      <c r="AU513" s="49"/>
      <c r="AV513" s="49"/>
      <c r="AW513" s="49"/>
      <c r="AX513" s="49"/>
    </row>
    <row r="514">
      <c r="A514" s="49"/>
      <c r="B514" s="49"/>
      <c r="C514" s="49"/>
      <c r="D514" s="50"/>
      <c r="E514" s="50"/>
      <c r="F514" s="50"/>
      <c r="G514" s="50"/>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c r="AF514" s="49"/>
      <c r="AG514" s="49"/>
      <c r="AH514" s="49"/>
      <c r="AI514" s="49"/>
      <c r="AJ514" s="49"/>
      <c r="AK514" s="49"/>
      <c r="AL514" s="49"/>
      <c r="AM514" s="49"/>
      <c r="AN514" s="49"/>
      <c r="AO514" s="49"/>
      <c r="AP514" s="49"/>
      <c r="AQ514" s="49"/>
      <c r="AR514" s="49"/>
      <c r="AS514" s="49"/>
      <c r="AT514" s="49"/>
      <c r="AU514" s="49"/>
      <c r="AV514" s="49"/>
      <c r="AW514" s="49"/>
      <c r="AX514" s="49"/>
    </row>
    <row r="515">
      <c r="A515" s="49"/>
      <c r="B515" s="49"/>
      <c r="C515" s="49"/>
      <c r="D515" s="50"/>
      <c r="E515" s="50"/>
      <c r="F515" s="50"/>
      <c r="G515" s="50"/>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c r="AF515" s="49"/>
      <c r="AG515" s="49"/>
      <c r="AH515" s="49"/>
      <c r="AI515" s="49"/>
      <c r="AJ515" s="49"/>
      <c r="AK515" s="49"/>
      <c r="AL515" s="49"/>
      <c r="AM515" s="49"/>
      <c r="AN515" s="49"/>
      <c r="AO515" s="49"/>
      <c r="AP515" s="49"/>
      <c r="AQ515" s="49"/>
      <c r="AR515" s="49"/>
      <c r="AS515" s="49"/>
      <c r="AT515" s="49"/>
      <c r="AU515" s="49"/>
      <c r="AV515" s="49"/>
      <c r="AW515" s="49"/>
      <c r="AX515" s="49"/>
    </row>
    <row r="516">
      <c r="A516" s="49"/>
      <c r="B516" s="49"/>
      <c r="C516" s="49"/>
      <c r="D516" s="50"/>
      <c r="E516" s="50"/>
      <c r="F516" s="50"/>
      <c r="G516" s="50"/>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c r="AF516" s="49"/>
      <c r="AG516" s="49"/>
      <c r="AH516" s="49"/>
      <c r="AI516" s="49"/>
      <c r="AJ516" s="49"/>
      <c r="AK516" s="49"/>
      <c r="AL516" s="49"/>
      <c r="AM516" s="49"/>
      <c r="AN516" s="49"/>
      <c r="AO516" s="49"/>
      <c r="AP516" s="49"/>
      <c r="AQ516" s="49"/>
      <c r="AR516" s="49"/>
      <c r="AS516" s="49"/>
      <c r="AT516" s="49"/>
      <c r="AU516" s="49"/>
      <c r="AV516" s="49"/>
      <c r="AW516" s="49"/>
      <c r="AX516" s="49"/>
    </row>
    <row r="517">
      <c r="A517" s="49"/>
      <c r="B517" s="49"/>
      <c r="C517" s="49"/>
      <c r="D517" s="50"/>
      <c r="E517" s="50"/>
      <c r="F517" s="50"/>
      <c r="G517" s="50"/>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c r="AF517" s="49"/>
      <c r="AG517" s="49"/>
      <c r="AH517" s="49"/>
      <c r="AI517" s="49"/>
      <c r="AJ517" s="49"/>
      <c r="AK517" s="49"/>
      <c r="AL517" s="49"/>
      <c r="AM517" s="49"/>
      <c r="AN517" s="49"/>
      <c r="AO517" s="49"/>
      <c r="AP517" s="49"/>
      <c r="AQ517" s="49"/>
      <c r="AR517" s="49"/>
      <c r="AS517" s="49"/>
      <c r="AT517" s="49"/>
      <c r="AU517" s="49"/>
      <c r="AV517" s="49"/>
      <c r="AW517" s="49"/>
      <c r="AX517" s="49"/>
    </row>
    <row r="518">
      <c r="A518" s="49"/>
      <c r="B518" s="49"/>
      <c r="C518" s="49"/>
      <c r="D518" s="50"/>
      <c r="E518" s="50"/>
      <c r="F518" s="50"/>
      <c r="G518" s="50"/>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c r="AF518" s="49"/>
      <c r="AG518" s="49"/>
      <c r="AH518" s="49"/>
      <c r="AI518" s="49"/>
      <c r="AJ518" s="49"/>
      <c r="AK518" s="49"/>
      <c r="AL518" s="49"/>
      <c r="AM518" s="49"/>
      <c r="AN518" s="49"/>
      <c r="AO518" s="49"/>
      <c r="AP518" s="49"/>
      <c r="AQ518" s="49"/>
      <c r="AR518" s="49"/>
      <c r="AS518" s="49"/>
      <c r="AT518" s="49"/>
      <c r="AU518" s="49"/>
      <c r="AV518" s="49"/>
      <c r="AW518" s="49"/>
      <c r="AX518" s="49"/>
    </row>
    <row r="519">
      <c r="A519" s="49"/>
      <c r="B519" s="49"/>
      <c r="C519" s="49"/>
      <c r="D519" s="50"/>
      <c r="E519" s="50"/>
      <c r="F519" s="50"/>
      <c r="G519" s="50"/>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c r="AF519" s="49"/>
      <c r="AG519" s="49"/>
      <c r="AH519" s="49"/>
      <c r="AI519" s="49"/>
      <c r="AJ519" s="49"/>
      <c r="AK519" s="49"/>
      <c r="AL519" s="49"/>
      <c r="AM519" s="49"/>
      <c r="AN519" s="49"/>
      <c r="AO519" s="49"/>
      <c r="AP519" s="49"/>
      <c r="AQ519" s="49"/>
      <c r="AR519" s="49"/>
      <c r="AS519" s="49"/>
      <c r="AT519" s="49"/>
      <c r="AU519" s="49"/>
      <c r="AV519" s="49"/>
      <c r="AW519" s="49"/>
      <c r="AX519" s="49"/>
    </row>
    <row r="520">
      <c r="A520" s="49"/>
      <c r="B520" s="49"/>
      <c r="C520" s="49"/>
      <c r="D520" s="50"/>
      <c r="E520" s="50"/>
      <c r="F520" s="50"/>
      <c r="G520" s="50"/>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c r="AF520" s="49"/>
      <c r="AG520" s="49"/>
      <c r="AH520" s="49"/>
      <c r="AI520" s="49"/>
      <c r="AJ520" s="49"/>
      <c r="AK520" s="49"/>
      <c r="AL520" s="49"/>
      <c r="AM520" s="49"/>
      <c r="AN520" s="49"/>
      <c r="AO520" s="49"/>
      <c r="AP520" s="49"/>
      <c r="AQ520" s="49"/>
      <c r="AR520" s="49"/>
      <c r="AS520" s="49"/>
      <c r="AT520" s="49"/>
      <c r="AU520" s="49"/>
      <c r="AV520" s="49"/>
      <c r="AW520" s="49"/>
      <c r="AX520" s="49"/>
    </row>
    <row r="521">
      <c r="A521" s="49"/>
      <c r="B521" s="49"/>
      <c r="C521" s="49"/>
      <c r="D521" s="50"/>
      <c r="E521" s="50"/>
      <c r="F521" s="50"/>
      <c r="G521" s="50"/>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c r="AF521" s="49"/>
      <c r="AG521" s="49"/>
      <c r="AH521" s="49"/>
      <c r="AI521" s="49"/>
      <c r="AJ521" s="49"/>
      <c r="AK521" s="49"/>
      <c r="AL521" s="49"/>
      <c r="AM521" s="49"/>
      <c r="AN521" s="49"/>
      <c r="AO521" s="49"/>
      <c r="AP521" s="49"/>
      <c r="AQ521" s="49"/>
      <c r="AR521" s="49"/>
      <c r="AS521" s="49"/>
      <c r="AT521" s="49"/>
      <c r="AU521" s="49"/>
      <c r="AV521" s="49"/>
      <c r="AW521" s="49"/>
      <c r="AX521" s="49"/>
    </row>
    <row r="522">
      <c r="A522" s="49"/>
      <c r="B522" s="49"/>
      <c r="C522" s="49"/>
      <c r="D522" s="50"/>
      <c r="E522" s="50"/>
      <c r="F522" s="50"/>
      <c r="G522" s="50"/>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c r="AF522" s="49"/>
      <c r="AG522" s="49"/>
      <c r="AH522" s="49"/>
      <c r="AI522" s="49"/>
      <c r="AJ522" s="49"/>
      <c r="AK522" s="49"/>
      <c r="AL522" s="49"/>
      <c r="AM522" s="49"/>
      <c r="AN522" s="49"/>
      <c r="AO522" s="49"/>
      <c r="AP522" s="49"/>
      <c r="AQ522" s="49"/>
      <c r="AR522" s="49"/>
      <c r="AS522" s="49"/>
      <c r="AT522" s="49"/>
      <c r="AU522" s="49"/>
      <c r="AV522" s="49"/>
      <c r="AW522" s="49"/>
      <c r="AX522" s="49"/>
    </row>
    <row r="523">
      <c r="A523" s="49"/>
      <c r="B523" s="49"/>
      <c r="C523" s="49"/>
      <c r="D523" s="50"/>
      <c r="E523" s="50"/>
      <c r="F523" s="50"/>
      <c r="G523" s="50"/>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c r="AF523" s="49"/>
      <c r="AG523" s="49"/>
      <c r="AH523" s="49"/>
      <c r="AI523" s="49"/>
      <c r="AJ523" s="49"/>
      <c r="AK523" s="49"/>
      <c r="AL523" s="49"/>
      <c r="AM523" s="49"/>
      <c r="AN523" s="49"/>
      <c r="AO523" s="49"/>
      <c r="AP523" s="49"/>
      <c r="AQ523" s="49"/>
      <c r="AR523" s="49"/>
      <c r="AS523" s="49"/>
      <c r="AT523" s="49"/>
      <c r="AU523" s="49"/>
      <c r="AV523" s="49"/>
      <c r="AW523" s="49"/>
      <c r="AX523" s="49"/>
    </row>
    <row r="524">
      <c r="A524" s="49"/>
      <c r="B524" s="49"/>
      <c r="C524" s="49"/>
      <c r="D524" s="50"/>
      <c r="E524" s="50"/>
      <c r="F524" s="50"/>
      <c r="G524" s="50"/>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c r="AF524" s="49"/>
      <c r="AG524" s="49"/>
      <c r="AH524" s="49"/>
      <c r="AI524" s="49"/>
      <c r="AJ524" s="49"/>
      <c r="AK524" s="49"/>
      <c r="AL524" s="49"/>
      <c r="AM524" s="49"/>
      <c r="AN524" s="49"/>
      <c r="AO524" s="49"/>
      <c r="AP524" s="49"/>
      <c r="AQ524" s="49"/>
      <c r="AR524" s="49"/>
      <c r="AS524" s="49"/>
      <c r="AT524" s="49"/>
      <c r="AU524" s="49"/>
      <c r="AV524" s="49"/>
      <c r="AW524" s="49"/>
      <c r="AX524" s="49"/>
    </row>
    <row r="525">
      <c r="A525" s="49"/>
      <c r="B525" s="49"/>
      <c r="C525" s="49"/>
      <c r="D525" s="50"/>
      <c r="E525" s="50"/>
      <c r="F525" s="50"/>
      <c r="G525" s="50"/>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c r="AF525" s="49"/>
      <c r="AG525" s="49"/>
      <c r="AH525" s="49"/>
      <c r="AI525" s="49"/>
      <c r="AJ525" s="49"/>
      <c r="AK525" s="49"/>
      <c r="AL525" s="49"/>
      <c r="AM525" s="49"/>
      <c r="AN525" s="49"/>
      <c r="AO525" s="49"/>
      <c r="AP525" s="49"/>
      <c r="AQ525" s="49"/>
      <c r="AR525" s="49"/>
      <c r="AS525" s="49"/>
      <c r="AT525" s="49"/>
      <c r="AU525" s="49"/>
      <c r="AV525" s="49"/>
      <c r="AW525" s="49"/>
      <c r="AX525" s="49"/>
    </row>
    <row r="526">
      <c r="A526" s="49"/>
      <c r="B526" s="49"/>
      <c r="C526" s="49"/>
      <c r="D526" s="50"/>
      <c r="E526" s="50"/>
      <c r="F526" s="50"/>
      <c r="G526" s="50"/>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c r="AF526" s="49"/>
      <c r="AG526" s="49"/>
      <c r="AH526" s="49"/>
      <c r="AI526" s="49"/>
      <c r="AJ526" s="49"/>
      <c r="AK526" s="49"/>
      <c r="AL526" s="49"/>
      <c r="AM526" s="49"/>
      <c r="AN526" s="49"/>
      <c r="AO526" s="49"/>
      <c r="AP526" s="49"/>
      <c r="AQ526" s="49"/>
      <c r="AR526" s="49"/>
      <c r="AS526" s="49"/>
      <c r="AT526" s="49"/>
      <c r="AU526" s="49"/>
      <c r="AV526" s="49"/>
      <c r="AW526" s="49"/>
      <c r="AX526" s="49"/>
    </row>
    <row r="527">
      <c r="A527" s="49"/>
      <c r="B527" s="49"/>
      <c r="C527" s="49"/>
      <c r="D527" s="50"/>
      <c r="E527" s="50"/>
      <c r="F527" s="50"/>
      <c r="G527" s="50"/>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c r="AF527" s="49"/>
      <c r="AG527" s="49"/>
      <c r="AH527" s="49"/>
      <c r="AI527" s="49"/>
      <c r="AJ527" s="49"/>
      <c r="AK527" s="49"/>
      <c r="AL527" s="49"/>
      <c r="AM527" s="49"/>
      <c r="AN527" s="49"/>
      <c r="AO527" s="49"/>
      <c r="AP527" s="49"/>
      <c r="AQ527" s="49"/>
      <c r="AR527" s="49"/>
      <c r="AS527" s="49"/>
      <c r="AT527" s="49"/>
      <c r="AU527" s="49"/>
      <c r="AV527" s="49"/>
      <c r="AW527" s="49"/>
      <c r="AX527" s="49"/>
    </row>
    <row r="528">
      <c r="A528" s="49"/>
      <c r="B528" s="49"/>
      <c r="C528" s="49"/>
      <c r="D528" s="50"/>
      <c r="E528" s="50"/>
      <c r="F528" s="50"/>
      <c r="G528" s="50"/>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c r="AF528" s="49"/>
      <c r="AG528" s="49"/>
      <c r="AH528" s="49"/>
      <c r="AI528" s="49"/>
      <c r="AJ528" s="49"/>
      <c r="AK528" s="49"/>
      <c r="AL528" s="49"/>
      <c r="AM528" s="49"/>
      <c r="AN528" s="49"/>
      <c r="AO528" s="49"/>
      <c r="AP528" s="49"/>
      <c r="AQ528" s="49"/>
      <c r="AR528" s="49"/>
      <c r="AS528" s="49"/>
      <c r="AT528" s="49"/>
      <c r="AU528" s="49"/>
      <c r="AV528" s="49"/>
      <c r="AW528" s="49"/>
      <c r="AX528" s="49"/>
    </row>
    <row r="529">
      <c r="A529" s="49"/>
      <c r="B529" s="49"/>
      <c r="C529" s="49"/>
      <c r="D529" s="50"/>
      <c r="E529" s="50"/>
      <c r="F529" s="50"/>
      <c r="G529" s="50"/>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c r="AF529" s="49"/>
      <c r="AG529" s="49"/>
      <c r="AH529" s="49"/>
      <c r="AI529" s="49"/>
      <c r="AJ529" s="49"/>
      <c r="AK529" s="49"/>
      <c r="AL529" s="49"/>
      <c r="AM529" s="49"/>
      <c r="AN529" s="49"/>
      <c r="AO529" s="49"/>
      <c r="AP529" s="49"/>
      <c r="AQ529" s="49"/>
      <c r="AR529" s="49"/>
      <c r="AS529" s="49"/>
      <c r="AT529" s="49"/>
      <c r="AU529" s="49"/>
      <c r="AV529" s="49"/>
      <c r="AW529" s="49"/>
      <c r="AX529" s="49"/>
    </row>
    <row r="530">
      <c r="A530" s="49"/>
      <c r="B530" s="49"/>
      <c r="C530" s="49"/>
      <c r="D530" s="50"/>
      <c r="E530" s="50"/>
      <c r="F530" s="50"/>
      <c r="G530" s="50"/>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c r="AF530" s="49"/>
      <c r="AG530" s="49"/>
      <c r="AH530" s="49"/>
      <c r="AI530" s="49"/>
      <c r="AJ530" s="49"/>
      <c r="AK530" s="49"/>
      <c r="AL530" s="49"/>
      <c r="AM530" s="49"/>
      <c r="AN530" s="49"/>
      <c r="AO530" s="49"/>
      <c r="AP530" s="49"/>
      <c r="AQ530" s="49"/>
      <c r="AR530" s="49"/>
      <c r="AS530" s="49"/>
      <c r="AT530" s="49"/>
      <c r="AU530" s="49"/>
      <c r="AV530" s="49"/>
      <c r="AW530" s="49"/>
      <c r="AX530" s="49"/>
    </row>
    <row r="531">
      <c r="A531" s="49"/>
      <c r="B531" s="49"/>
      <c r="C531" s="49"/>
      <c r="D531" s="50"/>
      <c r="E531" s="50"/>
      <c r="F531" s="50"/>
      <c r="G531" s="50"/>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c r="AF531" s="49"/>
      <c r="AG531" s="49"/>
      <c r="AH531" s="49"/>
      <c r="AI531" s="49"/>
      <c r="AJ531" s="49"/>
      <c r="AK531" s="49"/>
      <c r="AL531" s="49"/>
      <c r="AM531" s="49"/>
      <c r="AN531" s="49"/>
      <c r="AO531" s="49"/>
      <c r="AP531" s="49"/>
      <c r="AQ531" s="49"/>
      <c r="AR531" s="49"/>
      <c r="AS531" s="49"/>
      <c r="AT531" s="49"/>
      <c r="AU531" s="49"/>
      <c r="AV531" s="49"/>
      <c r="AW531" s="49"/>
      <c r="AX531" s="49"/>
    </row>
    <row r="532">
      <c r="A532" s="49"/>
      <c r="B532" s="49"/>
      <c r="C532" s="49"/>
      <c r="D532" s="50"/>
      <c r="E532" s="50"/>
      <c r="F532" s="50"/>
      <c r="G532" s="50"/>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c r="AF532" s="49"/>
      <c r="AG532" s="49"/>
      <c r="AH532" s="49"/>
      <c r="AI532" s="49"/>
      <c r="AJ532" s="49"/>
      <c r="AK532" s="49"/>
      <c r="AL532" s="49"/>
      <c r="AM532" s="49"/>
      <c r="AN532" s="49"/>
      <c r="AO532" s="49"/>
      <c r="AP532" s="49"/>
      <c r="AQ532" s="49"/>
      <c r="AR532" s="49"/>
      <c r="AS532" s="49"/>
      <c r="AT532" s="49"/>
      <c r="AU532" s="49"/>
      <c r="AV532" s="49"/>
      <c r="AW532" s="49"/>
      <c r="AX532" s="49"/>
    </row>
    <row r="533">
      <c r="A533" s="49"/>
      <c r="B533" s="49"/>
      <c r="C533" s="49"/>
      <c r="D533" s="50"/>
      <c r="E533" s="50"/>
      <c r="F533" s="50"/>
      <c r="G533" s="50"/>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c r="AF533" s="49"/>
      <c r="AG533" s="49"/>
      <c r="AH533" s="49"/>
      <c r="AI533" s="49"/>
      <c r="AJ533" s="49"/>
      <c r="AK533" s="49"/>
      <c r="AL533" s="49"/>
      <c r="AM533" s="49"/>
      <c r="AN533" s="49"/>
      <c r="AO533" s="49"/>
      <c r="AP533" s="49"/>
      <c r="AQ533" s="49"/>
      <c r="AR533" s="49"/>
      <c r="AS533" s="49"/>
      <c r="AT533" s="49"/>
      <c r="AU533" s="49"/>
      <c r="AV533" s="49"/>
      <c r="AW533" s="49"/>
      <c r="AX533" s="49"/>
    </row>
    <row r="534">
      <c r="A534" s="49"/>
      <c r="B534" s="49"/>
      <c r="C534" s="49"/>
      <c r="D534" s="50"/>
      <c r="E534" s="50"/>
      <c r="F534" s="50"/>
      <c r="G534" s="50"/>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c r="AF534" s="49"/>
      <c r="AG534" s="49"/>
      <c r="AH534" s="49"/>
      <c r="AI534" s="49"/>
      <c r="AJ534" s="49"/>
      <c r="AK534" s="49"/>
      <c r="AL534" s="49"/>
      <c r="AM534" s="49"/>
      <c r="AN534" s="49"/>
      <c r="AO534" s="49"/>
      <c r="AP534" s="49"/>
      <c r="AQ534" s="49"/>
      <c r="AR534" s="49"/>
      <c r="AS534" s="49"/>
      <c r="AT534" s="49"/>
      <c r="AU534" s="49"/>
      <c r="AV534" s="49"/>
      <c r="AW534" s="49"/>
      <c r="AX534" s="49"/>
    </row>
    <row r="535">
      <c r="A535" s="49"/>
      <c r="B535" s="49"/>
      <c r="C535" s="49"/>
      <c r="D535" s="50"/>
      <c r="E535" s="50"/>
      <c r="F535" s="50"/>
      <c r="G535" s="50"/>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c r="AF535" s="49"/>
      <c r="AG535" s="49"/>
      <c r="AH535" s="49"/>
      <c r="AI535" s="49"/>
      <c r="AJ535" s="49"/>
      <c r="AK535" s="49"/>
      <c r="AL535" s="49"/>
      <c r="AM535" s="49"/>
      <c r="AN535" s="49"/>
      <c r="AO535" s="49"/>
      <c r="AP535" s="49"/>
      <c r="AQ535" s="49"/>
      <c r="AR535" s="49"/>
      <c r="AS535" s="49"/>
      <c r="AT535" s="49"/>
      <c r="AU535" s="49"/>
      <c r="AV535" s="49"/>
      <c r="AW535" s="49"/>
      <c r="AX535" s="49"/>
    </row>
    <row r="536">
      <c r="A536" s="49"/>
      <c r="B536" s="49"/>
      <c r="C536" s="49"/>
      <c r="D536" s="50"/>
      <c r="E536" s="50"/>
      <c r="F536" s="50"/>
      <c r="G536" s="50"/>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c r="AF536" s="49"/>
      <c r="AG536" s="49"/>
      <c r="AH536" s="49"/>
      <c r="AI536" s="49"/>
      <c r="AJ536" s="49"/>
      <c r="AK536" s="49"/>
      <c r="AL536" s="49"/>
      <c r="AM536" s="49"/>
      <c r="AN536" s="49"/>
      <c r="AO536" s="49"/>
      <c r="AP536" s="49"/>
      <c r="AQ536" s="49"/>
      <c r="AR536" s="49"/>
      <c r="AS536" s="49"/>
      <c r="AT536" s="49"/>
      <c r="AU536" s="49"/>
      <c r="AV536" s="49"/>
      <c r="AW536" s="49"/>
      <c r="AX536" s="49"/>
    </row>
    <row r="537">
      <c r="A537" s="49"/>
      <c r="B537" s="49"/>
      <c r="C537" s="49"/>
      <c r="D537" s="50"/>
      <c r="E537" s="50"/>
      <c r="F537" s="50"/>
      <c r="G537" s="50"/>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c r="AF537" s="49"/>
      <c r="AG537" s="49"/>
      <c r="AH537" s="49"/>
      <c r="AI537" s="49"/>
      <c r="AJ537" s="49"/>
      <c r="AK537" s="49"/>
      <c r="AL537" s="49"/>
      <c r="AM537" s="49"/>
      <c r="AN537" s="49"/>
      <c r="AO537" s="49"/>
      <c r="AP537" s="49"/>
      <c r="AQ537" s="49"/>
      <c r="AR537" s="49"/>
      <c r="AS537" s="49"/>
      <c r="AT537" s="49"/>
      <c r="AU537" s="49"/>
      <c r="AV537" s="49"/>
      <c r="AW537" s="49"/>
      <c r="AX537" s="49"/>
    </row>
    <row r="538">
      <c r="A538" s="49"/>
      <c r="B538" s="49"/>
      <c r="C538" s="49"/>
      <c r="D538" s="50"/>
      <c r="E538" s="50"/>
      <c r="F538" s="50"/>
      <c r="G538" s="50"/>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c r="AF538" s="49"/>
      <c r="AG538" s="49"/>
      <c r="AH538" s="49"/>
      <c r="AI538" s="49"/>
      <c r="AJ538" s="49"/>
      <c r="AK538" s="49"/>
      <c r="AL538" s="49"/>
      <c r="AM538" s="49"/>
      <c r="AN538" s="49"/>
      <c r="AO538" s="49"/>
      <c r="AP538" s="49"/>
      <c r="AQ538" s="49"/>
      <c r="AR538" s="49"/>
      <c r="AS538" s="49"/>
      <c r="AT538" s="49"/>
      <c r="AU538" s="49"/>
      <c r="AV538" s="49"/>
      <c r="AW538" s="49"/>
      <c r="AX538" s="49"/>
    </row>
    <row r="539">
      <c r="A539" s="49"/>
      <c r="B539" s="49"/>
      <c r="C539" s="49"/>
      <c r="D539" s="50"/>
      <c r="E539" s="50"/>
      <c r="F539" s="50"/>
      <c r="G539" s="50"/>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c r="AF539" s="49"/>
      <c r="AG539" s="49"/>
      <c r="AH539" s="49"/>
      <c r="AI539" s="49"/>
      <c r="AJ539" s="49"/>
      <c r="AK539" s="49"/>
      <c r="AL539" s="49"/>
      <c r="AM539" s="49"/>
      <c r="AN539" s="49"/>
      <c r="AO539" s="49"/>
      <c r="AP539" s="49"/>
      <c r="AQ539" s="49"/>
      <c r="AR539" s="49"/>
      <c r="AS539" s="49"/>
      <c r="AT539" s="49"/>
      <c r="AU539" s="49"/>
      <c r="AV539" s="49"/>
      <c r="AW539" s="49"/>
      <c r="AX539" s="49"/>
    </row>
    <row r="540">
      <c r="A540" s="49"/>
      <c r="B540" s="49"/>
      <c r="C540" s="49"/>
      <c r="D540" s="50"/>
      <c r="E540" s="50"/>
      <c r="F540" s="50"/>
      <c r="G540" s="50"/>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c r="AF540" s="49"/>
      <c r="AG540" s="49"/>
      <c r="AH540" s="49"/>
      <c r="AI540" s="49"/>
      <c r="AJ540" s="49"/>
      <c r="AK540" s="49"/>
      <c r="AL540" s="49"/>
      <c r="AM540" s="49"/>
      <c r="AN540" s="49"/>
      <c r="AO540" s="49"/>
      <c r="AP540" s="49"/>
      <c r="AQ540" s="49"/>
      <c r="AR540" s="49"/>
      <c r="AS540" s="49"/>
      <c r="AT540" s="49"/>
      <c r="AU540" s="49"/>
      <c r="AV540" s="49"/>
      <c r="AW540" s="49"/>
      <c r="AX540" s="49"/>
    </row>
    <row r="541">
      <c r="A541" s="49"/>
      <c r="B541" s="49"/>
      <c r="C541" s="49"/>
      <c r="D541" s="50"/>
      <c r="E541" s="50"/>
      <c r="F541" s="50"/>
      <c r="G541" s="50"/>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c r="AF541" s="49"/>
      <c r="AG541" s="49"/>
      <c r="AH541" s="49"/>
      <c r="AI541" s="49"/>
      <c r="AJ541" s="49"/>
      <c r="AK541" s="49"/>
      <c r="AL541" s="49"/>
      <c r="AM541" s="49"/>
      <c r="AN541" s="49"/>
      <c r="AO541" s="49"/>
      <c r="AP541" s="49"/>
      <c r="AQ541" s="49"/>
      <c r="AR541" s="49"/>
      <c r="AS541" s="49"/>
      <c r="AT541" s="49"/>
      <c r="AU541" s="49"/>
      <c r="AV541" s="49"/>
      <c r="AW541" s="49"/>
      <c r="AX541" s="49"/>
    </row>
    <row r="542">
      <c r="A542" s="49"/>
      <c r="B542" s="49"/>
      <c r="C542" s="49"/>
      <c r="D542" s="50"/>
      <c r="E542" s="50"/>
      <c r="F542" s="50"/>
      <c r="G542" s="50"/>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c r="AF542" s="49"/>
      <c r="AG542" s="49"/>
      <c r="AH542" s="49"/>
      <c r="AI542" s="49"/>
      <c r="AJ542" s="49"/>
      <c r="AK542" s="49"/>
      <c r="AL542" s="49"/>
      <c r="AM542" s="49"/>
      <c r="AN542" s="49"/>
      <c r="AO542" s="49"/>
      <c r="AP542" s="49"/>
      <c r="AQ542" s="49"/>
      <c r="AR542" s="49"/>
      <c r="AS542" s="49"/>
      <c r="AT542" s="49"/>
      <c r="AU542" s="49"/>
      <c r="AV542" s="49"/>
      <c r="AW542" s="49"/>
      <c r="AX542" s="49"/>
    </row>
    <row r="543">
      <c r="A543" s="49"/>
      <c r="B543" s="49"/>
      <c r="C543" s="49"/>
      <c r="D543" s="50"/>
      <c r="E543" s="50"/>
      <c r="F543" s="50"/>
      <c r="G543" s="50"/>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c r="AF543" s="49"/>
      <c r="AG543" s="49"/>
      <c r="AH543" s="49"/>
      <c r="AI543" s="49"/>
      <c r="AJ543" s="49"/>
      <c r="AK543" s="49"/>
      <c r="AL543" s="49"/>
      <c r="AM543" s="49"/>
      <c r="AN543" s="49"/>
      <c r="AO543" s="49"/>
      <c r="AP543" s="49"/>
      <c r="AQ543" s="49"/>
      <c r="AR543" s="49"/>
      <c r="AS543" s="49"/>
      <c r="AT543" s="49"/>
      <c r="AU543" s="49"/>
      <c r="AV543" s="49"/>
      <c r="AW543" s="49"/>
      <c r="AX543" s="49"/>
    </row>
    <row r="544">
      <c r="A544" s="49"/>
      <c r="B544" s="49"/>
      <c r="C544" s="49"/>
      <c r="D544" s="50"/>
      <c r="E544" s="50"/>
      <c r="F544" s="50"/>
      <c r="G544" s="50"/>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c r="AF544" s="49"/>
      <c r="AG544" s="49"/>
      <c r="AH544" s="49"/>
      <c r="AI544" s="49"/>
      <c r="AJ544" s="49"/>
      <c r="AK544" s="49"/>
      <c r="AL544" s="49"/>
      <c r="AM544" s="49"/>
      <c r="AN544" s="49"/>
      <c r="AO544" s="49"/>
      <c r="AP544" s="49"/>
      <c r="AQ544" s="49"/>
      <c r="AR544" s="49"/>
      <c r="AS544" s="49"/>
      <c r="AT544" s="49"/>
      <c r="AU544" s="49"/>
      <c r="AV544" s="49"/>
      <c r="AW544" s="49"/>
      <c r="AX544" s="49"/>
    </row>
    <row r="545">
      <c r="A545" s="49"/>
      <c r="B545" s="49"/>
      <c r="C545" s="49"/>
      <c r="D545" s="50"/>
      <c r="E545" s="50"/>
      <c r="F545" s="50"/>
      <c r="G545" s="50"/>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c r="AF545" s="49"/>
      <c r="AG545" s="49"/>
      <c r="AH545" s="49"/>
      <c r="AI545" s="49"/>
      <c r="AJ545" s="49"/>
      <c r="AK545" s="49"/>
      <c r="AL545" s="49"/>
      <c r="AM545" s="49"/>
      <c r="AN545" s="49"/>
      <c r="AO545" s="49"/>
      <c r="AP545" s="49"/>
      <c r="AQ545" s="49"/>
      <c r="AR545" s="49"/>
      <c r="AS545" s="49"/>
      <c r="AT545" s="49"/>
      <c r="AU545" s="49"/>
      <c r="AV545" s="49"/>
      <c r="AW545" s="49"/>
      <c r="AX545" s="49"/>
    </row>
    <row r="546">
      <c r="A546" s="49"/>
      <c r="B546" s="49"/>
      <c r="C546" s="49"/>
      <c r="D546" s="50"/>
      <c r="E546" s="50"/>
      <c r="F546" s="50"/>
      <c r="G546" s="50"/>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c r="AF546" s="49"/>
      <c r="AG546" s="49"/>
      <c r="AH546" s="49"/>
      <c r="AI546" s="49"/>
      <c r="AJ546" s="49"/>
      <c r="AK546" s="49"/>
      <c r="AL546" s="49"/>
      <c r="AM546" s="49"/>
      <c r="AN546" s="49"/>
      <c r="AO546" s="49"/>
      <c r="AP546" s="49"/>
      <c r="AQ546" s="49"/>
      <c r="AR546" s="49"/>
      <c r="AS546" s="49"/>
      <c r="AT546" s="49"/>
      <c r="AU546" s="49"/>
      <c r="AV546" s="49"/>
      <c r="AW546" s="49"/>
      <c r="AX546" s="49"/>
    </row>
    <row r="547">
      <c r="A547" s="49"/>
      <c r="B547" s="49"/>
      <c r="C547" s="49"/>
      <c r="D547" s="50"/>
      <c r="E547" s="50"/>
      <c r="F547" s="50"/>
      <c r="G547" s="50"/>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c r="AF547" s="49"/>
      <c r="AG547" s="49"/>
      <c r="AH547" s="49"/>
      <c r="AI547" s="49"/>
      <c r="AJ547" s="49"/>
      <c r="AK547" s="49"/>
      <c r="AL547" s="49"/>
      <c r="AM547" s="49"/>
      <c r="AN547" s="49"/>
      <c r="AO547" s="49"/>
      <c r="AP547" s="49"/>
      <c r="AQ547" s="49"/>
      <c r="AR547" s="49"/>
      <c r="AS547" s="49"/>
      <c r="AT547" s="49"/>
      <c r="AU547" s="49"/>
      <c r="AV547" s="49"/>
      <c r="AW547" s="49"/>
      <c r="AX547" s="49"/>
    </row>
    <row r="548">
      <c r="A548" s="49"/>
      <c r="B548" s="49"/>
      <c r="C548" s="49"/>
      <c r="D548" s="50"/>
      <c r="E548" s="50"/>
      <c r="F548" s="50"/>
      <c r="G548" s="50"/>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c r="AF548" s="49"/>
      <c r="AG548" s="49"/>
      <c r="AH548" s="49"/>
      <c r="AI548" s="49"/>
      <c r="AJ548" s="49"/>
      <c r="AK548" s="49"/>
      <c r="AL548" s="49"/>
      <c r="AM548" s="49"/>
      <c r="AN548" s="49"/>
      <c r="AO548" s="49"/>
      <c r="AP548" s="49"/>
      <c r="AQ548" s="49"/>
      <c r="AR548" s="49"/>
      <c r="AS548" s="49"/>
      <c r="AT548" s="49"/>
      <c r="AU548" s="49"/>
      <c r="AV548" s="49"/>
      <c r="AW548" s="49"/>
      <c r="AX548" s="49"/>
    </row>
    <row r="549">
      <c r="A549" s="49"/>
      <c r="B549" s="49"/>
      <c r="C549" s="49"/>
      <c r="D549" s="50"/>
      <c r="E549" s="50"/>
      <c r="F549" s="50"/>
      <c r="G549" s="50"/>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c r="AF549" s="49"/>
      <c r="AG549" s="49"/>
      <c r="AH549" s="49"/>
      <c r="AI549" s="49"/>
      <c r="AJ549" s="49"/>
      <c r="AK549" s="49"/>
      <c r="AL549" s="49"/>
      <c r="AM549" s="49"/>
      <c r="AN549" s="49"/>
      <c r="AO549" s="49"/>
      <c r="AP549" s="49"/>
      <c r="AQ549" s="49"/>
      <c r="AR549" s="49"/>
      <c r="AS549" s="49"/>
      <c r="AT549" s="49"/>
      <c r="AU549" s="49"/>
      <c r="AV549" s="49"/>
      <c r="AW549" s="49"/>
      <c r="AX549" s="49"/>
    </row>
    <row r="550">
      <c r="A550" s="49"/>
      <c r="B550" s="49"/>
      <c r="C550" s="49"/>
      <c r="D550" s="50"/>
      <c r="E550" s="50"/>
      <c r="F550" s="50"/>
      <c r="G550" s="50"/>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c r="AF550" s="49"/>
      <c r="AG550" s="49"/>
      <c r="AH550" s="49"/>
      <c r="AI550" s="49"/>
      <c r="AJ550" s="49"/>
      <c r="AK550" s="49"/>
      <c r="AL550" s="49"/>
      <c r="AM550" s="49"/>
      <c r="AN550" s="49"/>
      <c r="AO550" s="49"/>
      <c r="AP550" s="49"/>
      <c r="AQ550" s="49"/>
      <c r="AR550" s="49"/>
      <c r="AS550" s="49"/>
      <c r="AT550" s="49"/>
      <c r="AU550" s="49"/>
      <c r="AV550" s="49"/>
      <c r="AW550" s="49"/>
      <c r="AX550" s="49"/>
    </row>
    <row r="551">
      <c r="A551" s="49"/>
      <c r="B551" s="49"/>
      <c r="C551" s="49"/>
      <c r="D551" s="50"/>
      <c r="E551" s="50"/>
      <c r="F551" s="50"/>
      <c r="G551" s="50"/>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c r="AF551" s="49"/>
      <c r="AG551" s="49"/>
      <c r="AH551" s="49"/>
      <c r="AI551" s="49"/>
      <c r="AJ551" s="49"/>
      <c r="AK551" s="49"/>
      <c r="AL551" s="49"/>
      <c r="AM551" s="49"/>
      <c r="AN551" s="49"/>
      <c r="AO551" s="49"/>
      <c r="AP551" s="49"/>
      <c r="AQ551" s="49"/>
      <c r="AR551" s="49"/>
      <c r="AS551" s="49"/>
      <c r="AT551" s="49"/>
      <c r="AU551" s="49"/>
      <c r="AV551" s="49"/>
      <c r="AW551" s="49"/>
      <c r="AX551" s="49"/>
    </row>
    <row r="552">
      <c r="A552" s="49"/>
      <c r="B552" s="49"/>
      <c r="C552" s="49"/>
      <c r="D552" s="50"/>
      <c r="E552" s="50"/>
      <c r="F552" s="50"/>
      <c r="G552" s="50"/>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c r="AF552" s="49"/>
      <c r="AG552" s="49"/>
      <c r="AH552" s="49"/>
      <c r="AI552" s="49"/>
      <c r="AJ552" s="49"/>
      <c r="AK552" s="49"/>
      <c r="AL552" s="49"/>
      <c r="AM552" s="49"/>
      <c r="AN552" s="49"/>
      <c r="AO552" s="49"/>
      <c r="AP552" s="49"/>
      <c r="AQ552" s="49"/>
      <c r="AR552" s="49"/>
      <c r="AS552" s="49"/>
      <c r="AT552" s="49"/>
      <c r="AU552" s="49"/>
      <c r="AV552" s="49"/>
      <c r="AW552" s="49"/>
      <c r="AX552" s="49"/>
    </row>
    <row r="553">
      <c r="A553" s="49"/>
      <c r="B553" s="49"/>
      <c r="C553" s="49"/>
      <c r="D553" s="50"/>
      <c r="E553" s="50"/>
      <c r="F553" s="50"/>
      <c r="G553" s="50"/>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c r="AF553" s="49"/>
      <c r="AG553" s="49"/>
      <c r="AH553" s="49"/>
      <c r="AI553" s="49"/>
      <c r="AJ553" s="49"/>
      <c r="AK553" s="49"/>
      <c r="AL553" s="49"/>
      <c r="AM553" s="49"/>
      <c r="AN553" s="49"/>
      <c r="AO553" s="49"/>
      <c r="AP553" s="49"/>
      <c r="AQ553" s="49"/>
      <c r="AR553" s="49"/>
      <c r="AS553" s="49"/>
      <c r="AT553" s="49"/>
      <c r="AU553" s="49"/>
      <c r="AV553" s="49"/>
      <c r="AW553" s="49"/>
      <c r="AX553" s="49"/>
    </row>
    <row r="554">
      <c r="A554" s="49"/>
      <c r="B554" s="49"/>
      <c r="C554" s="49"/>
      <c r="D554" s="50"/>
      <c r="E554" s="50"/>
      <c r="F554" s="50"/>
      <c r="G554" s="50"/>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c r="AF554" s="49"/>
      <c r="AG554" s="49"/>
      <c r="AH554" s="49"/>
      <c r="AI554" s="49"/>
      <c r="AJ554" s="49"/>
      <c r="AK554" s="49"/>
      <c r="AL554" s="49"/>
      <c r="AM554" s="49"/>
      <c r="AN554" s="49"/>
      <c r="AO554" s="49"/>
      <c r="AP554" s="49"/>
      <c r="AQ554" s="49"/>
      <c r="AR554" s="49"/>
      <c r="AS554" s="49"/>
      <c r="AT554" s="49"/>
      <c r="AU554" s="49"/>
      <c r="AV554" s="49"/>
      <c r="AW554" s="49"/>
      <c r="AX554" s="49"/>
    </row>
    <row r="555">
      <c r="A555" s="49"/>
      <c r="B555" s="49"/>
      <c r="C555" s="49"/>
      <c r="D555" s="50"/>
      <c r="E555" s="50"/>
      <c r="F555" s="50"/>
      <c r="G555" s="50"/>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c r="AF555" s="49"/>
      <c r="AG555" s="49"/>
      <c r="AH555" s="49"/>
      <c r="AI555" s="49"/>
      <c r="AJ555" s="49"/>
      <c r="AK555" s="49"/>
      <c r="AL555" s="49"/>
      <c r="AM555" s="49"/>
      <c r="AN555" s="49"/>
      <c r="AO555" s="49"/>
      <c r="AP555" s="49"/>
      <c r="AQ555" s="49"/>
      <c r="AR555" s="49"/>
      <c r="AS555" s="49"/>
      <c r="AT555" s="49"/>
      <c r="AU555" s="49"/>
      <c r="AV555" s="49"/>
      <c r="AW555" s="49"/>
      <c r="AX555" s="49"/>
    </row>
    <row r="556">
      <c r="A556" s="49"/>
      <c r="B556" s="49"/>
      <c r="C556" s="49"/>
      <c r="D556" s="50"/>
      <c r="E556" s="50"/>
      <c r="F556" s="50"/>
      <c r="G556" s="50"/>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c r="AF556" s="49"/>
      <c r="AG556" s="49"/>
      <c r="AH556" s="49"/>
      <c r="AI556" s="49"/>
      <c r="AJ556" s="49"/>
      <c r="AK556" s="49"/>
      <c r="AL556" s="49"/>
      <c r="AM556" s="49"/>
      <c r="AN556" s="49"/>
      <c r="AO556" s="49"/>
      <c r="AP556" s="49"/>
      <c r="AQ556" s="49"/>
      <c r="AR556" s="49"/>
      <c r="AS556" s="49"/>
      <c r="AT556" s="49"/>
      <c r="AU556" s="49"/>
      <c r="AV556" s="49"/>
      <c r="AW556" s="49"/>
      <c r="AX556" s="49"/>
    </row>
    <row r="557">
      <c r="A557" s="49"/>
      <c r="B557" s="49"/>
      <c r="C557" s="49"/>
      <c r="D557" s="50"/>
      <c r="E557" s="50"/>
      <c r="F557" s="50"/>
      <c r="G557" s="50"/>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c r="AF557" s="49"/>
      <c r="AG557" s="49"/>
      <c r="AH557" s="49"/>
      <c r="AI557" s="49"/>
      <c r="AJ557" s="49"/>
      <c r="AK557" s="49"/>
      <c r="AL557" s="49"/>
      <c r="AM557" s="49"/>
      <c r="AN557" s="49"/>
      <c r="AO557" s="49"/>
      <c r="AP557" s="49"/>
      <c r="AQ557" s="49"/>
      <c r="AR557" s="49"/>
      <c r="AS557" s="49"/>
      <c r="AT557" s="49"/>
      <c r="AU557" s="49"/>
      <c r="AV557" s="49"/>
      <c r="AW557" s="49"/>
      <c r="AX557" s="49"/>
    </row>
    <row r="558">
      <c r="A558" s="49"/>
      <c r="B558" s="49"/>
      <c r="C558" s="49"/>
      <c r="D558" s="50"/>
      <c r="E558" s="50"/>
      <c r="F558" s="50"/>
      <c r="G558" s="50"/>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c r="AF558" s="49"/>
      <c r="AG558" s="49"/>
      <c r="AH558" s="49"/>
      <c r="AI558" s="49"/>
      <c r="AJ558" s="49"/>
      <c r="AK558" s="49"/>
      <c r="AL558" s="49"/>
      <c r="AM558" s="49"/>
      <c r="AN558" s="49"/>
      <c r="AO558" s="49"/>
      <c r="AP558" s="49"/>
      <c r="AQ558" s="49"/>
      <c r="AR558" s="49"/>
      <c r="AS558" s="49"/>
      <c r="AT558" s="49"/>
      <c r="AU558" s="49"/>
      <c r="AV558" s="49"/>
      <c r="AW558" s="49"/>
      <c r="AX558" s="49"/>
    </row>
    <row r="559">
      <c r="A559" s="49"/>
      <c r="B559" s="49"/>
      <c r="C559" s="49"/>
      <c r="D559" s="50"/>
      <c r="E559" s="50"/>
      <c r="F559" s="50"/>
      <c r="G559" s="50"/>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c r="AF559" s="49"/>
      <c r="AG559" s="49"/>
      <c r="AH559" s="49"/>
      <c r="AI559" s="49"/>
      <c r="AJ559" s="49"/>
      <c r="AK559" s="49"/>
      <c r="AL559" s="49"/>
      <c r="AM559" s="49"/>
      <c r="AN559" s="49"/>
      <c r="AO559" s="49"/>
      <c r="AP559" s="49"/>
      <c r="AQ559" s="49"/>
      <c r="AR559" s="49"/>
      <c r="AS559" s="49"/>
      <c r="AT559" s="49"/>
      <c r="AU559" s="49"/>
      <c r="AV559" s="49"/>
      <c r="AW559" s="49"/>
      <c r="AX559" s="49"/>
    </row>
    <row r="560">
      <c r="A560" s="49"/>
      <c r="B560" s="49"/>
      <c r="C560" s="49"/>
      <c r="D560" s="50"/>
      <c r="E560" s="50"/>
      <c r="F560" s="50"/>
      <c r="G560" s="50"/>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c r="AF560" s="49"/>
      <c r="AG560" s="49"/>
      <c r="AH560" s="49"/>
      <c r="AI560" s="49"/>
      <c r="AJ560" s="49"/>
      <c r="AK560" s="49"/>
      <c r="AL560" s="49"/>
      <c r="AM560" s="49"/>
      <c r="AN560" s="49"/>
      <c r="AO560" s="49"/>
      <c r="AP560" s="49"/>
      <c r="AQ560" s="49"/>
      <c r="AR560" s="49"/>
      <c r="AS560" s="49"/>
      <c r="AT560" s="49"/>
      <c r="AU560" s="49"/>
      <c r="AV560" s="49"/>
      <c r="AW560" s="49"/>
      <c r="AX560" s="49"/>
    </row>
    <row r="561">
      <c r="A561" s="49"/>
      <c r="B561" s="49"/>
      <c r="C561" s="49"/>
      <c r="D561" s="50"/>
      <c r="E561" s="50"/>
      <c r="F561" s="50"/>
      <c r="G561" s="50"/>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c r="AF561" s="49"/>
      <c r="AG561" s="49"/>
      <c r="AH561" s="49"/>
      <c r="AI561" s="49"/>
      <c r="AJ561" s="49"/>
      <c r="AK561" s="49"/>
      <c r="AL561" s="49"/>
      <c r="AM561" s="49"/>
      <c r="AN561" s="49"/>
      <c r="AO561" s="49"/>
      <c r="AP561" s="49"/>
      <c r="AQ561" s="49"/>
      <c r="AR561" s="49"/>
      <c r="AS561" s="49"/>
      <c r="AT561" s="49"/>
      <c r="AU561" s="49"/>
      <c r="AV561" s="49"/>
      <c r="AW561" s="49"/>
      <c r="AX561" s="49"/>
    </row>
    <row r="562">
      <c r="A562" s="49"/>
      <c r="B562" s="49"/>
      <c r="C562" s="49"/>
      <c r="D562" s="50"/>
      <c r="E562" s="50"/>
      <c r="F562" s="50"/>
      <c r="G562" s="50"/>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c r="AF562" s="49"/>
      <c r="AG562" s="49"/>
      <c r="AH562" s="49"/>
      <c r="AI562" s="49"/>
      <c r="AJ562" s="49"/>
      <c r="AK562" s="49"/>
      <c r="AL562" s="49"/>
      <c r="AM562" s="49"/>
      <c r="AN562" s="49"/>
      <c r="AO562" s="49"/>
      <c r="AP562" s="49"/>
      <c r="AQ562" s="49"/>
      <c r="AR562" s="49"/>
      <c r="AS562" s="49"/>
      <c r="AT562" s="49"/>
      <c r="AU562" s="49"/>
      <c r="AV562" s="49"/>
      <c r="AW562" s="49"/>
      <c r="AX562" s="49"/>
    </row>
    <row r="563">
      <c r="A563" s="49"/>
      <c r="B563" s="49"/>
      <c r="C563" s="49"/>
      <c r="D563" s="50"/>
      <c r="E563" s="50"/>
      <c r="F563" s="50"/>
      <c r="G563" s="50"/>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c r="AF563" s="49"/>
      <c r="AG563" s="49"/>
      <c r="AH563" s="49"/>
      <c r="AI563" s="49"/>
      <c r="AJ563" s="49"/>
      <c r="AK563" s="49"/>
      <c r="AL563" s="49"/>
      <c r="AM563" s="49"/>
      <c r="AN563" s="49"/>
      <c r="AO563" s="49"/>
      <c r="AP563" s="49"/>
      <c r="AQ563" s="49"/>
      <c r="AR563" s="49"/>
      <c r="AS563" s="49"/>
      <c r="AT563" s="49"/>
      <c r="AU563" s="49"/>
      <c r="AV563" s="49"/>
      <c r="AW563" s="49"/>
      <c r="AX563" s="49"/>
    </row>
    <row r="564">
      <c r="A564" s="49"/>
      <c r="B564" s="49"/>
      <c r="C564" s="49"/>
      <c r="D564" s="50"/>
      <c r="E564" s="50"/>
      <c r="F564" s="50"/>
      <c r="G564" s="50"/>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c r="AF564" s="49"/>
      <c r="AG564" s="49"/>
      <c r="AH564" s="49"/>
      <c r="AI564" s="49"/>
      <c r="AJ564" s="49"/>
      <c r="AK564" s="49"/>
      <c r="AL564" s="49"/>
      <c r="AM564" s="49"/>
      <c r="AN564" s="49"/>
      <c r="AO564" s="49"/>
      <c r="AP564" s="49"/>
      <c r="AQ564" s="49"/>
      <c r="AR564" s="49"/>
      <c r="AS564" s="49"/>
      <c r="AT564" s="49"/>
      <c r="AU564" s="49"/>
      <c r="AV564" s="49"/>
      <c r="AW564" s="49"/>
      <c r="AX564" s="49"/>
    </row>
    <row r="565">
      <c r="A565" s="49"/>
      <c r="B565" s="49"/>
      <c r="C565" s="49"/>
      <c r="D565" s="50"/>
      <c r="E565" s="50"/>
      <c r="F565" s="50"/>
      <c r="G565" s="50"/>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c r="AF565" s="49"/>
      <c r="AG565" s="49"/>
      <c r="AH565" s="49"/>
      <c r="AI565" s="49"/>
      <c r="AJ565" s="49"/>
      <c r="AK565" s="49"/>
      <c r="AL565" s="49"/>
      <c r="AM565" s="49"/>
      <c r="AN565" s="49"/>
      <c r="AO565" s="49"/>
      <c r="AP565" s="49"/>
      <c r="AQ565" s="49"/>
      <c r="AR565" s="49"/>
      <c r="AS565" s="49"/>
      <c r="AT565" s="49"/>
      <c r="AU565" s="49"/>
      <c r="AV565" s="49"/>
      <c r="AW565" s="49"/>
      <c r="AX565" s="49"/>
    </row>
    <row r="566">
      <c r="A566" s="49"/>
      <c r="B566" s="49"/>
      <c r="C566" s="49"/>
      <c r="D566" s="50"/>
      <c r="E566" s="50"/>
      <c r="F566" s="50"/>
      <c r="G566" s="50"/>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c r="AF566" s="49"/>
      <c r="AG566" s="49"/>
      <c r="AH566" s="49"/>
      <c r="AI566" s="49"/>
      <c r="AJ566" s="49"/>
      <c r="AK566" s="49"/>
      <c r="AL566" s="49"/>
      <c r="AM566" s="49"/>
      <c r="AN566" s="49"/>
      <c r="AO566" s="49"/>
      <c r="AP566" s="49"/>
      <c r="AQ566" s="49"/>
      <c r="AR566" s="49"/>
      <c r="AS566" s="49"/>
      <c r="AT566" s="49"/>
      <c r="AU566" s="49"/>
      <c r="AV566" s="49"/>
      <c r="AW566" s="49"/>
      <c r="AX566" s="49"/>
    </row>
    <row r="567">
      <c r="A567" s="49"/>
      <c r="B567" s="49"/>
      <c r="C567" s="49"/>
      <c r="D567" s="50"/>
      <c r="E567" s="50"/>
      <c r="F567" s="50"/>
      <c r="G567" s="50"/>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c r="AF567" s="49"/>
      <c r="AG567" s="49"/>
      <c r="AH567" s="49"/>
      <c r="AI567" s="49"/>
      <c r="AJ567" s="49"/>
      <c r="AK567" s="49"/>
      <c r="AL567" s="49"/>
      <c r="AM567" s="49"/>
      <c r="AN567" s="49"/>
      <c r="AO567" s="49"/>
      <c r="AP567" s="49"/>
      <c r="AQ567" s="49"/>
      <c r="AR567" s="49"/>
      <c r="AS567" s="49"/>
      <c r="AT567" s="49"/>
      <c r="AU567" s="49"/>
      <c r="AV567" s="49"/>
      <c r="AW567" s="49"/>
      <c r="AX567" s="49"/>
    </row>
    <row r="568">
      <c r="A568" s="49"/>
      <c r="B568" s="49"/>
      <c r="C568" s="49"/>
      <c r="D568" s="50"/>
      <c r="E568" s="50"/>
      <c r="F568" s="50"/>
      <c r="G568" s="50"/>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c r="AF568" s="49"/>
      <c r="AG568" s="49"/>
      <c r="AH568" s="49"/>
      <c r="AI568" s="49"/>
      <c r="AJ568" s="49"/>
      <c r="AK568" s="49"/>
      <c r="AL568" s="49"/>
      <c r="AM568" s="49"/>
      <c r="AN568" s="49"/>
      <c r="AO568" s="49"/>
      <c r="AP568" s="49"/>
      <c r="AQ568" s="49"/>
      <c r="AR568" s="49"/>
      <c r="AS568" s="49"/>
      <c r="AT568" s="49"/>
      <c r="AU568" s="49"/>
      <c r="AV568" s="49"/>
      <c r="AW568" s="49"/>
      <c r="AX568" s="49"/>
    </row>
    <row r="569">
      <c r="A569" s="49"/>
      <c r="B569" s="49"/>
      <c r="C569" s="49"/>
      <c r="D569" s="50"/>
      <c r="E569" s="50"/>
      <c r="F569" s="50"/>
      <c r="G569" s="50"/>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c r="AF569" s="49"/>
      <c r="AG569" s="49"/>
      <c r="AH569" s="49"/>
      <c r="AI569" s="49"/>
      <c r="AJ569" s="49"/>
      <c r="AK569" s="49"/>
      <c r="AL569" s="49"/>
      <c r="AM569" s="49"/>
      <c r="AN569" s="49"/>
      <c r="AO569" s="49"/>
      <c r="AP569" s="49"/>
      <c r="AQ569" s="49"/>
      <c r="AR569" s="49"/>
      <c r="AS569" s="49"/>
      <c r="AT569" s="49"/>
      <c r="AU569" s="49"/>
      <c r="AV569" s="49"/>
      <c r="AW569" s="49"/>
      <c r="AX569" s="49"/>
    </row>
    <row r="570">
      <c r="A570" s="49"/>
      <c r="B570" s="49"/>
      <c r="C570" s="49"/>
      <c r="D570" s="50"/>
      <c r="E570" s="50"/>
      <c r="F570" s="50"/>
      <c r="G570" s="50"/>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c r="AF570" s="49"/>
      <c r="AG570" s="49"/>
      <c r="AH570" s="49"/>
      <c r="AI570" s="49"/>
      <c r="AJ570" s="49"/>
      <c r="AK570" s="49"/>
      <c r="AL570" s="49"/>
      <c r="AM570" s="49"/>
      <c r="AN570" s="49"/>
      <c r="AO570" s="49"/>
      <c r="AP570" s="49"/>
      <c r="AQ570" s="49"/>
      <c r="AR570" s="49"/>
      <c r="AS570" s="49"/>
      <c r="AT570" s="49"/>
      <c r="AU570" s="49"/>
      <c r="AV570" s="49"/>
      <c r="AW570" s="49"/>
      <c r="AX570" s="49"/>
    </row>
    <row r="571">
      <c r="A571" s="49"/>
      <c r="B571" s="49"/>
      <c r="C571" s="49"/>
      <c r="D571" s="50"/>
      <c r="E571" s="50"/>
      <c r="F571" s="50"/>
      <c r="G571" s="50"/>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c r="AF571" s="49"/>
      <c r="AG571" s="49"/>
      <c r="AH571" s="49"/>
      <c r="AI571" s="49"/>
      <c r="AJ571" s="49"/>
      <c r="AK571" s="49"/>
      <c r="AL571" s="49"/>
      <c r="AM571" s="49"/>
      <c r="AN571" s="49"/>
      <c r="AO571" s="49"/>
      <c r="AP571" s="49"/>
      <c r="AQ571" s="49"/>
      <c r="AR571" s="49"/>
      <c r="AS571" s="49"/>
      <c r="AT571" s="49"/>
      <c r="AU571" s="49"/>
      <c r="AV571" s="49"/>
      <c r="AW571" s="49"/>
      <c r="AX571" s="49"/>
    </row>
    <row r="572">
      <c r="A572" s="49"/>
      <c r="B572" s="49"/>
      <c r="C572" s="49"/>
      <c r="D572" s="50"/>
      <c r="E572" s="50"/>
      <c r="F572" s="50"/>
      <c r="G572" s="50"/>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c r="AF572" s="49"/>
      <c r="AG572" s="49"/>
      <c r="AH572" s="49"/>
      <c r="AI572" s="49"/>
      <c r="AJ572" s="49"/>
      <c r="AK572" s="49"/>
      <c r="AL572" s="49"/>
      <c r="AM572" s="49"/>
      <c r="AN572" s="49"/>
      <c r="AO572" s="49"/>
      <c r="AP572" s="49"/>
      <c r="AQ572" s="49"/>
      <c r="AR572" s="49"/>
      <c r="AS572" s="49"/>
      <c r="AT572" s="49"/>
      <c r="AU572" s="49"/>
      <c r="AV572" s="49"/>
      <c r="AW572" s="49"/>
      <c r="AX572" s="49"/>
    </row>
    <row r="573">
      <c r="A573" s="49"/>
      <c r="B573" s="49"/>
      <c r="C573" s="49"/>
      <c r="D573" s="50"/>
      <c r="E573" s="50"/>
      <c r="F573" s="50"/>
      <c r="G573" s="50"/>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c r="AF573" s="49"/>
      <c r="AG573" s="49"/>
      <c r="AH573" s="49"/>
      <c r="AI573" s="49"/>
      <c r="AJ573" s="49"/>
      <c r="AK573" s="49"/>
      <c r="AL573" s="49"/>
      <c r="AM573" s="49"/>
      <c r="AN573" s="49"/>
      <c r="AO573" s="49"/>
      <c r="AP573" s="49"/>
      <c r="AQ573" s="49"/>
      <c r="AR573" s="49"/>
      <c r="AS573" s="49"/>
      <c r="AT573" s="49"/>
      <c r="AU573" s="49"/>
      <c r="AV573" s="49"/>
      <c r="AW573" s="49"/>
      <c r="AX573" s="49"/>
    </row>
    <row r="574">
      <c r="A574" s="49"/>
      <c r="B574" s="49"/>
      <c r="C574" s="49"/>
      <c r="D574" s="50"/>
      <c r="E574" s="50"/>
      <c r="F574" s="50"/>
      <c r="G574" s="50"/>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c r="AF574" s="49"/>
      <c r="AG574" s="49"/>
      <c r="AH574" s="49"/>
      <c r="AI574" s="49"/>
      <c r="AJ574" s="49"/>
      <c r="AK574" s="49"/>
      <c r="AL574" s="49"/>
      <c r="AM574" s="49"/>
      <c r="AN574" s="49"/>
      <c r="AO574" s="49"/>
      <c r="AP574" s="49"/>
      <c r="AQ574" s="49"/>
      <c r="AR574" s="49"/>
      <c r="AS574" s="49"/>
      <c r="AT574" s="49"/>
      <c r="AU574" s="49"/>
      <c r="AV574" s="49"/>
      <c r="AW574" s="49"/>
      <c r="AX574" s="49"/>
    </row>
    <row r="575">
      <c r="A575" s="49"/>
      <c r="B575" s="49"/>
      <c r="C575" s="49"/>
      <c r="D575" s="50"/>
      <c r="E575" s="50"/>
      <c r="F575" s="50"/>
      <c r="G575" s="50"/>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c r="AF575" s="49"/>
      <c r="AG575" s="49"/>
      <c r="AH575" s="49"/>
      <c r="AI575" s="49"/>
      <c r="AJ575" s="49"/>
      <c r="AK575" s="49"/>
      <c r="AL575" s="49"/>
      <c r="AM575" s="49"/>
      <c r="AN575" s="49"/>
      <c r="AO575" s="49"/>
      <c r="AP575" s="49"/>
      <c r="AQ575" s="49"/>
      <c r="AR575" s="49"/>
      <c r="AS575" s="49"/>
      <c r="AT575" s="49"/>
      <c r="AU575" s="49"/>
      <c r="AV575" s="49"/>
      <c r="AW575" s="49"/>
      <c r="AX575" s="49"/>
    </row>
    <row r="576">
      <c r="A576" s="49"/>
      <c r="B576" s="49"/>
      <c r="C576" s="49"/>
      <c r="D576" s="50"/>
      <c r="E576" s="50"/>
      <c r="F576" s="50"/>
      <c r="G576" s="50"/>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c r="AF576" s="49"/>
      <c r="AG576" s="49"/>
      <c r="AH576" s="49"/>
      <c r="AI576" s="49"/>
      <c r="AJ576" s="49"/>
      <c r="AK576" s="49"/>
      <c r="AL576" s="49"/>
      <c r="AM576" s="49"/>
      <c r="AN576" s="49"/>
      <c r="AO576" s="49"/>
      <c r="AP576" s="49"/>
      <c r="AQ576" s="49"/>
      <c r="AR576" s="49"/>
      <c r="AS576" s="49"/>
      <c r="AT576" s="49"/>
      <c r="AU576" s="49"/>
      <c r="AV576" s="49"/>
      <c r="AW576" s="49"/>
      <c r="AX576" s="49"/>
    </row>
    <row r="577">
      <c r="A577" s="49"/>
      <c r="B577" s="49"/>
      <c r="C577" s="49"/>
      <c r="D577" s="50"/>
      <c r="E577" s="50"/>
      <c r="F577" s="50"/>
      <c r="G577" s="50"/>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c r="AF577" s="49"/>
      <c r="AG577" s="49"/>
      <c r="AH577" s="49"/>
      <c r="AI577" s="49"/>
      <c r="AJ577" s="49"/>
      <c r="AK577" s="49"/>
      <c r="AL577" s="49"/>
      <c r="AM577" s="49"/>
      <c r="AN577" s="49"/>
      <c r="AO577" s="49"/>
      <c r="AP577" s="49"/>
      <c r="AQ577" s="49"/>
      <c r="AR577" s="49"/>
      <c r="AS577" s="49"/>
      <c r="AT577" s="49"/>
      <c r="AU577" s="49"/>
      <c r="AV577" s="49"/>
      <c r="AW577" s="49"/>
      <c r="AX577" s="49"/>
    </row>
    <row r="578">
      <c r="A578" s="49"/>
      <c r="B578" s="49"/>
      <c r="C578" s="49"/>
      <c r="D578" s="50"/>
      <c r="E578" s="50"/>
      <c r="F578" s="50"/>
      <c r="G578" s="50"/>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c r="AF578" s="49"/>
      <c r="AG578" s="49"/>
      <c r="AH578" s="49"/>
      <c r="AI578" s="49"/>
      <c r="AJ578" s="49"/>
      <c r="AK578" s="49"/>
      <c r="AL578" s="49"/>
      <c r="AM578" s="49"/>
      <c r="AN578" s="49"/>
      <c r="AO578" s="49"/>
      <c r="AP578" s="49"/>
      <c r="AQ578" s="49"/>
      <c r="AR578" s="49"/>
      <c r="AS578" s="49"/>
      <c r="AT578" s="49"/>
      <c r="AU578" s="49"/>
      <c r="AV578" s="49"/>
      <c r="AW578" s="49"/>
      <c r="AX578" s="49"/>
    </row>
    <row r="579">
      <c r="A579" s="49"/>
      <c r="B579" s="49"/>
      <c r="C579" s="49"/>
      <c r="D579" s="50"/>
      <c r="E579" s="50"/>
      <c r="F579" s="50"/>
      <c r="G579" s="50"/>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c r="AF579" s="49"/>
      <c r="AG579" s="49"/>
      <c r="AH579" s="49"/>
      <c r="AI579" s="49"/>
      <c r="AJ579" s="49"/>
      <c r="AK579" s="49"/>
      <c r="AL579" s="49"/>
      <c r="AM579" s="49"/>
      <c r="AN579" s="49"/>
      <c r="AO579" s="49"/>
      <c r="AP579" s="49"/>
      <c r="AQ579" s="49"/>
      <c r="AR579" s="49"/>
      <c r="AS579" s="49"/>
      <c r="AT579" s="49"/>
      <c r="AU579" s="49"/>
      <c r="AV579" s="49"/>
      <c r="AW579" s="49"/>
      <c r="AX579" s="49"/>
    </row>
    <row r="580">
      <c r="A580" s="49"/>
      <c r="B580" s="49"/>
      <c r="C580" s="49"/>
      <c r="D580" s="50"/>
      <c r="E580" s="50"/>
      <c r="F580" s="50"/>
      <c r="G580" s="50"/>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c r="AF580" s="49"/>
      <c r="AG580" s="49"/>
      <c r="AH580" s="49"/>
      <c r="AI580" s="49"/>
      <c r="AJ580" s="49"/>
      <c r="AK580" s="49"/>
      <c r="AL580" s="49"/>
      <c r="AM580" s="49"/>
      <c r="AN580" s="49"/>
      <c r="AO580" s="49"/>
      <c r="AP580" s="49"/>
      <c r="AQ580" s="49"/>
      <c r="AR580" s="49"/>
      <c r="AS580" s="49"/>
      <c r="AT580" s="49"/>
      <c r="AU580" s="49"/>
      <c r="AV580" s="49"/>
      <c r="AW580" s="49"/>
      <c r="AX580" s="49"/>
    </row>
    <row r="581">
      <c r="A581" s="49"/>
      <c r="B581" s="49"/>
      <c r="C581" s="49"/>
      <c r="D581" s="50"/>
      <c r="E581" s="50"/>
      <c r="F581" s="50"/>
      <c r="G581" s="50"/>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c r="AF581" s="49"/>
      <c r="AG581" s="49"/>
      <c r="AH581" s="49"/>
      <c r="AI581" s="49"/>
      <c r="AJ581" s="49"/>
      <c r="AK581" s="49"/>
      <c r="AL581" s="49"/>
      <c r="AM581" s="49"/>
      <c r="AN581" s="49"/>
      <c r="AO581" s="49"/>
      <c r="AP581" s="49"/>
      <c r="AQ581" s="49"/>
      <c r="AR581" s="49"/>
      <c r="AS581" s="49"/>
      <c r="AT581" s="49"/>
      <c r="AU581" s="49"/>
      <c r="AV581" s="49"/>
      <c r="AW581" s="49"/>
      <c r="AX581" s="49"/>
    </row>
    <row r="582">
      <c r="A582" s="49"/>
      <c r="B582" s="49"/>
      <c r="C582" s="49"/>
      <c r="D582" s="50"/>
      <c r="E582" s="50"/>
      <c r="F582" s="50"/>
      <c r="G582" s="50"/>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c r="AF582" s="49"/>
      <c r="AG582" s="49"/>
      <c r="AH582" s="49"/>
      <c r="AI582" s="49"/>
      <c r="AJ582" s="49"/>
      <c r="AK582" s="49"/>
      <c r="AL582" s="49"/>
      <c r="AM582" s="49"/>
      <c r="AN582" s="49"/>
      <c r="AO582" s="49"/>
      <c r="AP582" s="49"/>
      <c r="AQ582" s="49"/>
      <c r="AR582" s="49"/>
      <c r="AS582" s="49"/>
      <c r="AT582" s="49"/>
      <c r="AU582" s="49"/>
      <c r="AV582" s="49"/>
      <c r="AW582" s="49"/>
      <c r="AX582" s="49"/>
    </row>
    <row r="583">
      <c r="A583" s="49"/>
      <c r="B583" s="49"/>
      <c r="C583" s="49"/>
      <c r="D583" s="50"/>
      <c r="E583" s="50"/>
      <c r="F583" s="50"/>
      <c r="G583" s="50"/>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c r="AF583" s="49"/>
      <c r="AG583" s="49"/>
      <c r="AH583" s="49"/>
      <c r="AI583" s="49"/>
      <c r="AJ583" s="49"/>
      <c r="AK583" s="49"/>
      <c r="AL583" s="49"/>
      <c r="AM583" s="49"/>
      <c r="AN583" s="49"/>
      <c r="AO583" s="49"/>
      <c r="AP583" s="49"/>
      <c r="AQ583" s="49"/>
      <c r="AR583" s="49"/>
      <c r="AS583" s="49"/>
      <c r="AT583" s="49"/>
      <c r="AU583" s="49"/>
      <c r="AV583" s="49"/>
      <c r="AW583" s="49"/>
      <c r="AX583" s="49"/>
    </row>
    <row r="584">
      <c r="A584" s="49"/>
      <c r="B584" s="49"/>
      <c r="C584" s="49"/>
      <c r="D584" s="50"/>
      <c r="E584" s="50"/>
      <c r="F584" s="50"/>
      <c r="G584" s="50"/>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c r="AF584" s="49"/>
      <c r="AG584" s="49"/>
      <c r="AH584" s="49"/>
      <c r="AI584" s="49"/>
      <c r="AJ584" s="49"/>
      <c r="AK584" s="49"/>
      <c r="AL584" s="49"/>
      <c r="AM584" s="49"/>
      <c r="AN584" s="49"/>
      <c r="AO584" s="49"/>
      <c r="AP584" s="49"/>
      <c r="AQ584" s="49"/>
      <c r="AR584" s="49"/>
      <c r="AS584" s="49"/>
      <c r="AT584" s="49"/>
      <c r="AU584" s="49"/>
      <c r="AV584" s="49"/>
      <c r="AW584" s="49"/>
      <c r="AX584" s="49"/>
    </row>
    <row r="585">
      <c r="A585" s="49"/>
      <c r="B585" s="49"/>
      <c r="C585" s="49"/>
      <c r="D585" s="50"/>
      <c r="E585" s="50"/>
      <c r="F585" s="50"/>
      <c r="G585" s="50"/>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c r="AF585" s="49"/>
      <c r="AG585" s="49"/>
      <c r="AH585" s="49"/>
      <c r="AI585" s="49"/>
      <c r="AJ585" s="49"/>
      <c r="AK585" s="49"/>
      <c r="AL585" s="49"/>
      <c r="AM585" s="49"/>
      <c r="AN585" s="49"/>
      <c r="AO585" s="49"/>
      <c r="AP585" s="49"/>
      <c r="AQ585" s="49"/>
      <c r="AR585" s="49"/>
      <c r="AS585" s="49"/>
      <c r="AT585" s="49"/>
      <c r="AU585" s="49"/>
      <c r="AV585" s="49"/>
      <c r="AW585" s="49"/>
      <c r="AX585" s="49"/>
    </row>
    <row r="586">
      <c r="A586" s="49"/>
      <c r="B586" s="49"/>
      <c r="C586" s="49"/>
      <c r="D586" s="50"/>
      <c r="E586" s="50"/>
      <c r="F586" s="50"/>
      <c r="G586" s="50"/>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c r="AF586" s="49"/>
      <c r="AG586" s="49"/>
      <c r="AH586" s="49"/>
      <c r="AI586" s="49"/>
      <c r="AJ586" s="49"/>
      <c r="AK586" s="49"/>
      <c r="AL586" s="49"/>
      <c r="AM586" s="49"/>
      <c r="AN586" s="49"/>
      <c r="AO586" s="49"/>
      <c r="AP586" s="49"/>
      <c r="AQ586" s="49"/>
      <c r="AR586" s="49"/>
      <c r="AS586" s="49"/>
      <c r="AT586" s="49"/>
      <c r="AU586" s="49"/>
      <c r="AV586" s="49"/>
      <c r="AW586" s="49"/>
      <c r="AX586" s="49"/>
    </row>
    <row r="587">
      <c r="A587" s="49"/>
      <c r="B587" s="49"/>
      <c r="C587" s="49"/>
      <c r="D587" s="50"/>
      <c r="E587" s="50"/>
      <c r="F587" s="50"/>
      <c r="G587" s="50"/>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c r="AF587" s="49"/>
      <c r="AG587" s="49"/>
      <c r="AH587" s="49"/>
      <c r="AI587" s="49"/>
      <c r="AJ587" s="49"/>
      <c r="AK587" s="49"/>
      <c r="AL587" s="49"/>
      <c r="AM587" s="49"/>
      <c r="AN587" s="49"/>
      <c r="AO587" s="49"/>
      <c r="AP587" s="49"/>
      <c r="AQ587" s="49"/>
      <c r="AR587" s="49"/>
      <c r="AS587" s="49"/>
      <c r="AT587" s="49"/>
      <c r="AU587" s="49"/>
      <c r="AV587" s="49"/>
      <c r="AW587" s="49"/>
      <c r="AX587" s="49"/>
    </row>
    <row r="588">
      <c r="A588" s="49"/>
      <c r="B588" s="49"/>
      <c r="C588" s="49"/>
      <c r="D588" s="50"/>
      <c r="E588" s="50"/>
      <c r="F588" s="50"/>
      <c r="G588" s="50"/>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c r="AF588" s="49"/>
      <c r="AG588" s="49"/>
      <c r="AH588" s="49"/>
      <c r="AI588" s="49"/>
      <c r="AJ588" s="49"/>
      <c r="AK588" s="49"/>
      <c r="AL588" s="49"/>
      <c r="AM588" s="49"/>
      <c r="AN588" s="49"/>
      <c r="AO588" s="49"/>
      <c r="AP588" s="49"/>
      <c r="AQ588" s="49"/>
      <c r="AR588" s="49"/>
      <c r="AS588" s="49"/>
      <c r="AT588" s="49"/>
      <c r="AU588" s="49"/>
      <c r="AV588" s="49"/>
      <c r="AW588" s="49"/>
      <c r="AX588" s="49"/>
    </row>
    <row r="589">
      <c r="A589" s="49"/>
      <c r="B589" s="49"/>
      <c r="C589" s="49"/>
      <c r="D589" s="50"/>
      <c r="E589" s="50"/>
      <c r="F589" s="50"/>
      <c r="G589" s="50"/>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c r="AF589" s="49"/>
      <c r="AG589" s="49"/>
      <c r="AH589" s="49"/>
      <c r="AI589" s="49"/>
      <c r="AJ589" s="49"/>
      <c r="AK589" s="49"/>
      <c r="AL589" s="49"/>
      <c r="AM589" s="49"/>
      <c r="AN589" s="49"/>
      <c r="AO589" s="49"/>
      <c r="AP589" s="49"/>
      <c r="AQ589" s="49"/>
      <c r="AR589" s="49"/>
      <c r="AS589" s="49"/>
      <c r="AT589" s="49"/>
      <c r="AU589" s="49"/>
      <c r="AV589" s="49"/>
      <c r="AW589" s="49"/>
      <c r="AX589" s="49"/>
    </row>
    <row r="590">
      <c r="A590" s="49"/>
      <c r="B590" s="49"/>
      <c r="C590" s="49"/>
      <c r="D590" s="50"/>
      <c r="E590" s="50"/>
      <c r="F590" s="50"/>
      <c r="G590" s="50"/>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c r="AF590" s="49"/>
      <c r="AG590" s="49"/>
      <c r="AH590" s="49"/>
      <c r="AI590" s="49"/>
      <c r="AJ590" s="49"/>
      <c r="AK590" s="49"/>
      <c r="AL590" s="49"/>
      <c r="AM590" s="49"/>
      <c r="AN590" s="49"/>
      <c r="AO590" s="49"/>
      <c r="AP590" s="49"/>
      <c r="AQ590" s="49"/>
      <c r="AR590" s="49"/>
      <c r="AS590" s="49"/>
      <c r="AT590" s="49"/>
      <c r="AU590" s="49"/>
      <c r="AV590" s="49"/>
      <c r="AW590" s="49"/>
      <c r="AX590" s="49"/>
    </row>
    <row r="591">
      <c r="A591" s="49"/>
      <c r="B591" s="49"/>
      <c r="C591" s="49"/>
      <c r="D591" s="50"/>
      <c r="E591" s="50"/>
      <c r="F591" s="50"/>
      <c r="G591" s="50"/>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c r="AF591" s="49"/>
      <c r="AG591" s="49"/>
      <c r="AH591" s="49"/>
      <c r="AI591" s="49"/>
      <c r="AJ591" s="49"/>
      <c r="AK591" s="49"/>
      <c r="AL591" s="49"/>
      <c r="AM591" s="49"/>
      <c r="AN591" s="49"/>
      <c r="AO591" s="49"/>
      <c r="AP591" s="49"/>
      <c r="AQ591" s="49"/>
      <c r="AR591" s="49"/>
      <c r="AS591" s="49"/>
      <c r="AT591" s="49"/>
      <c r="AU591" s="49"/>
      <c r="AV591" s="49"/>
      <c r="AW591" s="49"/>
      <c r="AX591" s="49"/>
    </row>
    <row r="592">
      <c r="A592" s="49"/>
      <c r="B592" s="49"/>
      <c r="C592" s="49"/>
      <c r="D592" s="50"/>
      <c r="E592" s="50"/>
      <c r="F592" s="50"/>
      <c r="G592" s="50"/>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c r="AF592" s="49"/>
      <c r="AG592" s="49"/>
      <c r="AH592" s="49"/>
      <c r="AI592" s="49"/>
      <c r="AJ592" s="49"/>
      <c r="AK592" s="49"/>
      <c r="AL592" s="49"/>
      <c r="AM592" s="49"/>
      <c r="AN592" s="49"/>
      <c r="AO592" s="49"/>
      <c r="AP592" s="49"/>
      <c r="AQ592" s="49"/>
      <c r="AR592" s="49"/>
      <c r="AS592" s="49"/>
      <c r="AT592" s="49"/>
      <c r="AU592" s="49"/>
      <c r="AV592" s="49"/>
      <c r="AW592" s="49"/>
      <c r="AX592" s="49"/>
    </row>
    <row r="593">
      <c r="A593" s="49"/>
      <c r="B593" s="49"/>
      <c r="C593" s="49"/>
      <c r="D593" s="50"/>
      <c r="E593" s="50"/>
      <c r="F593" s="50"/>
      <c r="G593" s="50"/>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c r="AF593" s="49"/>
      <c r="AG593" s="49"/>
      <c r="AH593" s="49"/>
      <c r="AI593" s="49"/>
      <c r="AJ593" s="49"/>
      <c r="AK593" s="49"/>
      <c r="AL593" s="49"/>
      <c r="AM593" s="49"/>
      <c r="AN593" s="49"/>
      <c r="AO593" s="49"/>
      <c r="AP593" s="49"/>
      <c r="AQ593" s="49"/>
      <c r="AR593" s="49"/>
      <c r="AS593" s="49"/>
      <c r="AT593" s="49"/>
      <c r="AU593" s="49"/>
      <c r="AV593" s="49"/>
      <c r="AW593" s="49"/>
      <c r="AX593" s="49"/>
    </row>
    <row r="594">
      <c r="A594" s="49"/>
      <c r="B594" s="49"/>
      <c r="C594" s="49"/>
      <c r="D594" s="50"/>
      <c r="E594" s="50"/>
      <c r="F594" s="50"/>
      <c r="G594" s="50"/>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c r="AF594" s="49"/>
      <c r="AG594" s="49"/>
      <c r="AH594" s="49"/>
      <c r="AI594" s="49"/>
      <c r="AJ594" s="49"/>
      <c r="AK594" s="49"/>
      <c r="AL594" s="49"/>
      <c r="AM594" s="49"/>
      <c r="AN594" s="49"/>
      <c r="AO594" s="49"/>
      <c r="AP594" s="49"/>
      <c r="AQ594" s="49"/>
      <c r="AR594" s="49"/>
      <c r="AS594" s="49"/>
      <c r="AT594" s="49"/>
      <c r="AU594" s="49"/>
      <c r="AV594" s="49"/>
      <c r="AW594" s="49"/>
      <c r="AX594" s="49"/>
    </row>
    <row r="595">
      <c r="A595" s="49"/>
      <c r="B595" s="49"/>
      <c r="C595" s="49"/>
      <c r="D595" s="50"/>
      <c r="E595" s="50"/>
      <c r="F595" s="50"/>
      <c r="G595" s="50"/>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c r="AF595" s="49"/>
      <c r="AG595" s="49"/>
      <c r="AH595" s="49"/>
      <c r="AI595" s="49"/>
      <c r="AJ595" s="49"/>
      <c r="AK595" s="49"/>
      <c r="AL595" s="49"/>
      <c r="AM595" s="49"/>
      <c r="AN595" s="49"/>
      <c r="AO595" s="49"/>
      <c r="AP595" s="49"/>
      <c r="AQ595" s="49"/>
      <c r="AR595" s="49"/>
      <c r="AS595" s="49"/>
      <c r="AT595" s="49"/>
      <c r="AU595" s="49"/>
      <c r="AV595" s="49"/>
      <c r="AW595" s="49"/>
      <c r="AX595" s="49"/>
    </row>
    <row r="596">
      <c r="A596" s="49"/>
      <c r="B596" s="49"/>
      <c r="C596" s="49"/>
      <c r="D596" s="50"/>
      <c r="E596" s="50"/>
      <c r="F596" s="50"/>
      <c r="G596" s="50"/>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c r="AF596" s="49"/>
      <c r="AG596" s="49"/>
      <c r="AH596" s="49"/>
      <c r="AI596" s="49"/>
      <c r="AJ596" s="49"/>
      <c r="AK596" s="49"/>
      <c r="AL596" s="49"/>
      <c r="AM596" s="49"/>
      <c r="AN596" s="49"/>
      <c r="AO596" s="49"/>
      <c r="AP596" s="49"/>
      <c r="AQ596" s="49"/>
      <c r="AR596" s="49"/>
      <c r="AS596" s="49"/>
      <c r="AT596" s="49"/>
      <c r="AU596" s="49"/>
      <c r="AV596" s="49"/>
      <c r="AW596" s="49"/>
      <c r="AX596" s="49"/>
    </row>
    <row r="597">
      <c r="A597" s="49"/>
      <c r="B597" s="49"/>
      <c r="C597" s="49"/>
      <c r="D597" s="50"/>
      <c r="E597" s="50"/>
      <c r="F597" s="50"/>
      <c r="G597" s="50"/>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c r="AF597" s="49"/>
      <c r="AG597" s="49"/>
      <c r="AH597" s="49"/>
      <c r="AI597" s="49"/>
      <c r="AJ597" s="49"/>
      <c r="AK597" s="49"/>
      <c r="AL597" s="49"/>
      <c r="AM597" s="49"/>
      <c r="AN597" s="49"/>
      <c r="AO597" s="49"/>
      <c r="AP597" s="49"/>
      <c r="AQ597" s="49"/>
      <c r="AR597" s="49"/>
      <c r="AS597" s="49"/>
      <c r="AT597" s="49"/>
      <c r="AU597" s="49"/>
      <c r="AV597" s="49"/>
      <c r="AW597" s="49"/>
      <c r="AX597" s="49"/>
    </row>
    <row r="598">
      <c r="A598" s="49"/>
      <c r="B598" s="49"/>
      <c r="C598" s="49"/>
      <c r="D598" s="50"/>
      <c r="E598" s="50"/>
      <c r="F598" s="50"/>
      <c r="G598" s="50"/>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c r="AF598" s="49"/>
      <c r="AG598" s="49"/>
      <c r="AH598" s="49"/>
      <c r="AI598" s="49"/>
      <c r="AJ598" s="49"/>
      <c r="AK598" s="49"/>
      <c r="AL598" s="49"/>
      <c r="AM598" s="49"/>
      <c r="AN598" s="49"/>
      <c r="AO598" s="49"/>
      <c r="AP598" s="49"/>
      <c r="AQ598" s="49"/>
      <c r="AR598" s="49"/>
      <c r="AS598" s="49"/>
      <c r="AT598" s="49"/>
      <c r="AU598" s="49"/>
      <c r="AV598" s="49"/>
      <c r="AW598" s="49"/>
      <c r="AX598" s="49"/>
    </row>
    <row r="599">
      <c r="A599" s="49"/>
      <c r="B599" s="49"/>
      <c r="C599" s="49"/>
      <c r="D599" s="50"/>
      <c r="E599" s="50"/>
      <c r="F599" s="50"/>
      <c r="G599" s="50"/>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c r="AF599" s="49"/>
      <c r="AG599" s="49"/>
      <c r="AH599" s="49"/>
      <c r="AI599" s="49"/>
      <c r="AJ599" s="49"/>
      <c r="AK599" s="49"/>
      <c r="AL599" s="49"/>
      <c r="AM599" s="49"/>
      <c r="AN599" s="49"/>
      <c r="AO599" s="49"/>
      <c r="AP599" s="49"/>
      <c r="AQ599" s="49"/>
      <c r="AR599" s="49"/>
      <c r="AS599" s="49"/>
      <c r="AT599" s="49"/>
      <c r="AU599" s="49"/>
      <c r="AV599" s="49"/>
      <c r="AW599" s="49"/>
      <c r="AX599" s="49"/>
    </row>
    <row r="600">
      <c r="A600" s="49"/>
      <c r="B600" s="49"/>
      <c r="C600" s="49"/>
      <c r="D600" s="50"/>
      <c r="E600" s="50"/>
      <c r="F600" s="50"/>
      <c r="G600" s="50"/>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c r="AF600" s="49"/>
      <c r="AG600" s="49"/>
      <c r="AH600" s="49"/>
      <c r="AI600" s="49"/>
      <c r="AJ600" s="49"/>
      <c r="AK600" s="49"/>
      <c r="AL600" s="49"/>
      <c r="AM600" s="49"/>
      <c r="AN600" s="49"/>
      <c r="AO600" s="49"/>
      <c r="AP600" s="49"/>
      <c r="AQ600" s="49"/>
      <c r="AR600" s="49"/>
      <c r="AS600" s="49"/>
      <c r="AT600" s="49"/>
      <c r="AU600" s="49"/>
      <c r="AV600" s="49"/>
      <c r="AW600" s="49"/>
      <c r="AX600" s="49"/>
    </row>
    <row r="601">
      <c r="A601" s="49"/>
      <c r="B601" s="49"/>
      <c r="C601" s="49"/>
      <c r="D601" s="50"/>
      <c r="E601" s="50"/>
      <c r="F601" s="50"/>
      <c r="G601" s="50"/>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c r="AF601" s="49"/>
      <c r="AG601" s="49"/>
      <c r="AH601" s="49"/>
      <c r="AI601" s="49"/>
      <c r="AJ601" s="49"/>
      <c r="AK601" s="49"/>
      <c r="AL601" s="49"/>
      <c r="AM601" s="49"/>
      <c r="AN601" s="49"/>
      <c r="AO601" s="49"/>
      <c r="AP601" s="49"/>
      <c r="AQ601" s="49"/>
      <c r="AR601" s="49"/>
      <c r="AS601" s="49"/>
      <c r="AT601" s="49"/>
      <c r="AU601" s="49"/>
      <c r="AV601" s="49"/>
      <c r="AW601" s="49"/>
      <c r="AX601" s="49"/>
    </row>
    <row r="602">
      <c r="A602" s="49"/>
      <c r="B602" s="49"/>
      <c r="C602" s="49"/>
      <c r="D602" s="50"/>
      <c r="E602" s="50"/>
      <c r="F602" s="50"/>
      <c r="G602" s="50"/>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c r="AF602" s="49"/>
      <c r="AG602" s="49"/>
      <c r="AH602" s="49"/>
      <c r="AI602" s="49"/>
      <c r="AJ602" s="49"/>
      <c r="AK602" s="49"/>
      <c r="AL602" s="49"/>
      <c r="AM602" s="49"/>
      <c r="AN602" s="49"/>
      <c r="AO602" s="49"/>
      <c r="AP602" s="49"/>
      <c r="AQ602" s="49"/>
      <c r="AR602" s="49"/>
      <c r="AS602" s="49"/>
      <c r="AT602" s="49"/>
      <c r="AU602" s="49"/>
      <c r="AV602" s="49"/>
      <c r="AW602" s="49"/>
      <c r="AX602" s="49"/>
    </row>
    <row r="603">
      <c r="A603" s="49"/>
      <c r="B603" s="49"/>
      <c r="C603" s="49"/>
      <c r="D603" s="50"/>
      <c r="E603" s="50"/>
      <c r="F603" s="50"/>
      <c r="G603" s="50"/>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c r="AF603" s="49"/>
      <c r="AG603" s="49"/>
      <c r="AH603" s="49"/>
      <c r="AI603" s="49"/>
      <c r="AJ603" s="49"/>
      <c r="AK603" s="49"/>
      <c r="AL603" s="49"/>
      <c r="AM603" s="49"/>
      <c r="AN603" s="49"/>
      <c r="AO603" s="49"/>
      <c r="AP603" s="49"/>
      <c r="AQ603" s="49"/>
      <c r="AR603" s="49"/>
      <c r="AS603" s="49"/>
      <c r="AT603" s="49"/>
      <c r="AU603" s="49"/>
      <c r="AV603" s="49"/>
      <c r="AW603" s="49"/>
      <c r="AX603" s="49"/>
    </row>
    <row r="604">
      <c r="A604" s="49"/>
      <c r="B604" s="49"/>
      <c r="C604" s="49"/>
      <c r="D604" s="50"/>
      <c r="E604" s="50"/>
      <c r="F604" s="50"/>
      <c r="G604" s="50"/>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c r="AF604" s="49"/>
      <c r="AG604" s="49"/>
      <c r="AH604" s="49"/>
      <c r="AI604" s="49"/>
      <c r="AJ604" s="49"/>
      <c r="AK604" s="49"/>
      <c r="AL604" s="49"/>
      <c r="AM604" s="49"/>
      <c r="AN604" s="49"/>
      <c r="AO604" s="49"/>
      <c r="AP604" s="49"/>
      <c r="AQ604" s="49"/>
      <c r="AR604" s="49"/>
      <c r="AS604" s="49"/>
      <c r="AT604" s="49"/>
      <c r="AU604" s="49"/>
      <c r="AV604" s="49"/>
      <c r="AW604" s="49"/>
      <c r="AX604" s="49"/>
    </row>
    <row r="605">
      <c r="A605" s="49"/>
      <c r="B605" s="49"/>
      <c r="C605" s="49"/>
      <c r="D605" s="50"/>
      <c r="E605" s="50"/>
      <c r="F605" s="50"/>
      <c r="G605" s="50"/>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c r="AF605" s="49"/>
      <c r="AG605" s="49"/>
      <c r="AH605" s="49"/>
      <c r="AI605" s="49"/>
      <c r="AJ605" s="49"/>
      <c r="AK605" s="49"/>
      <c r="AL605" s="49"/>
      <c r="AM605" s="49"/>
      <c r="AN605" s="49"/>
      <c r="AO605" s="49"/>
      <c r="AP605" s="49"/>
      <c r="AQ605" s="49"/>
      <c r="AR605" s="49"/>
      <c r="AS605" s="49"/>
      <c r="AT605" s="49"/>
      <c r="AU605" s="49"/>
      <c r="AV605" s="49"/>
      <c r="AW605" s="49"/>
      <c r="AX605" s="49"/>
    </row>
    <row r="606">
      <c r="A606" s="49"/>
      <c r="B606" s="49"/>
      <c r="C606" s="49"/>
      <c r="D606" s="50"/>
      <c r="E606" s="50"/>
      <c r="F606" s="50"/>
      <c r="G606" s="50"/>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c r="AF606" s="49"/>
      <c r="AG606" s="49"/>
      <c r="AH606" s="49"/>
      <c r="AI606" s="49"/>
      <c r="AJ606" s="49"/>
      <c r="AK606" s="49"/>
      <c r="AL606" s="49"/>
      <c r="AM606" s="49"/>
      <c r="AN606" s="49"/>
      <c r="AO606" s="49"/>
      <c r="AP606" s="49"/>
      <c r="AQ606" s="49"/>
      <c r="AR606" s="49"/>
      <c r="AS606" s="49"/>
      <c r="AT606" s="49"/>
      <c r="AU606" s="49"/>
      <c r="AV606" s="49"/>
      <c r="AW606" s="49"/>
      <c r="AX606" s="49"/>
    </row>
    <row r="607">
      <c r="A607" s="49"/>
      <c r="B607" s="49"/>
      <c r="C607" s="49"/>
      <c r="D607" s="50"/>
      <c r="E607" s="50"/>
      <c r="F607" s="50"/>
      <c r="G607" s="50"/>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c r="AF607" s="49"/>
      <c r="AG607" s="49"/>
      <c r="AH607" s="49"/>
      <c r="AI607" s="49"/>
      <c r="AJ607" s="49"/>
      <c r="AK607" s="49"/>
      <c r="AL607" s="49"/>
      <c r="AM607" s="49"/>
      <c r="AN607" s="49"/>
      <c r="AO607" s="49"/>
      <c r="AP607" s="49"/>
      <c r="AQ607" s="49"/>
      <c r="AR607" s="49"/>
      <c r="AS607" s="49"/>
      <c r="AT607" s="49"/>
      <c r="AU607" s="49"/>
      <c r="AV607" s="49"/>
      <c r="AW607" s="49"/>
      <c r="AX607" s="49"/>
    </row>
    <row r="608">
      <c r="A608" s="49"/>
      <c r="B608" s="49"/>
      <c r="C608" s="49"/>
      <c r="D608" s="50"/>
      <c r="E608" s="50"/>
      <c r="F608" s="50"/>
      <c r="G608" s="50"/>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c r="AF608" s="49"/>
      <c r="AG608" s="49"/>
      <c r="AH608" s="49"/>
      <c r="AI608" s="49"/>
      <c r="AJ608" s="49"/>
      <c r="AK608" s="49"/>
      <c r="AL608" s="49"/>
      <c r="AM608" s="49"/>
      <c r="AN608" s="49"/>
      <c r="AO608" s="49"/>
      <c r="AP608" s="49"/>
      <c r="AQ608" s="49"/>
      <c r="AR608" s="49"/>
      <c r="AS608" s="49"/>
      <c r="AT608" s="49"/>
      <c r="AU608" s="49"/>
      <c r="AV608" s="49"/>
      <c r="AW608" s="49"/>
      <c r="AX608" s="49"/>
    </row>
    <row r="609">
      <c r="A609" s="49"/>
      <c r="B609" s="49"/>
      <c r="C609" s="49"/>
      <c r="D609" s="50"/>
      <c r="E609" s="50"/>
      <c r="F609" s="50"/>
      <c r="G609" s="50"/>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c r="AF609" s="49"/>
      <c r="AG609" s="49"/>
      <c r="AH609" s="49"/>
      <c r="AI609" s="49"/>
      <c r="AJ609" s="49"/>
      <c r="AK609" s="49"/>
      <c r="AL609" s="49"/>
      <c r="AM609" s="49"/>
      <c r="AN609" s="49"/>
      <c r="AO609" s="49"/>
      <c r="AP609" s="49"/>
      <c r="AQ609" s="49"/>
      <c r="AR609" s="49"/>
      <c r="AS609" s="49"/>
      <c r="AT609" s="49"/>
      <c r="AU609" s="49"/>
      <c r="AV609" s="49"/>
      <c r="AW609" s="49"/>
      <c r="AX609" s="49"/>
    </row>
    <row r="610">
      <c r="A610" s="49"/>
      <c r="B610" s="49"/>
      <c r="C610" s="49"/>
      <c r="D610" s="50"/>
      <c r="E610" s="50"/>
      <c r="F610" s="50"/>
      <c r="G610" s="50"/>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c r="AF610" s="49"/>
      <c r="AG610" s="49"/>
      <c r="AH610" s="49"/>
      <c r="AI610" s="49"/>
      <c r="AJ610" s="49"/>
      <c r="AK610" s="49"/>
      <c r="AL610" s="49"/>
      <c r="AM610" s="49"/>
      <c r="AN610" s="49"/>
      <c r="AO610" s="49"/>
      <c r="AP610" s="49"/>
      <c r="AQ610" s="49"/>
      <c r="AR610" s="49"/>
      <c r="AS610" s="49"/>
      <c r="AT610" s="49"/>
      <c r="AU610" s="49"/>
      <c r="AV610" s="49"/>
      <c r="AW610" s="49"/>
      <c r="AX610" s="49"/>
    </row>
    <row r="611">
      <c r="A611" s="49"/>
      <c r="B611" s="49"/>
      <c r="C611" s="49"/>
      <c r="D611" s="50"/>
      <c r="E611" s="50"/>
      <c r="F611" s="50"/>
      <c r="G611" s="50"/>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c r="AF611" s="49"/>
      <c r="AG611" s="49"/>
      <c r="AH611" s="49"/>
      <c r="AI611" s="49"/>
      <c r="AJ611" s="49"/>
      <c r="AK611" s="49"/>
      <c r="AL611" s="49"/>
      <c r="AM611" s="49"/>
      <c r="AN611" s="49"/>
      <c r="AO611" s="49"/>
      <c r="AP611" s="49"/>
      <c r="AQ611" s="49"/>
      <c r="AR611" s="49"/>
      <c r="AS611" s="49"/>
      <c r="AT611" s="49"/>
      <c r="AU611" s="49"/>
      <c r="AV611" s="49"/>
      <c r="AW611" s="49"/>
      <c r="AX611" s="49"/>
    </row>
    <row r="612">
      <c r="A612" s="49"/>
      <c r="B612" s="49"/>
      <c r="C612" s="49"/>
      <c r="D612" s="50"/>
      <c r="E612" s="50"/>
      <c r="F612" s="50"/>
      <c r="G612" s="50"/>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c r="AF612" s="49"/>
      <c r="AG612" s="49"/>
      <c r="AH612" s="49"/>
      <c r="AI612" s="49"/>
      <c r="AJ612" s="49"/>
      <c r="AK612" s="49"/>
      <c r="AL612" s="49"/>
      <c r="AM612" s="49"/>
      <c r="AN612" s="49"/>
      <c r="AO612" s="49"/>
      <c r="AP612" s="49"/>
      <c r="AQ612" s="49"/>
      <c r="AR612" s="49"/>
      <c r="AS612" s="49"/>
      <c r="AT612" s="49"/>
      <c r="AU612" s="49"/>
      <c r="AV612" s="49"/>
      <c r="AW612" s="49"/>
      <c r="AX612" s="49"/>
    </row>
    <row r="613">
      <c r="A613" s="49"/>
      <c r="B613" s="49"/>
      <c r="C613" s="49"/>
      <c r="D613" s="50"/>
      <c r="E613" s="50"/>
      <c r="F613" s="50"/>
      <c r="G613" s="50"/>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c r="AF613" s="49"/>
      <c r="AG613" s="49"/>
      <c r="AH613" s="49"/>
      <c r="AI613" s="49"/>
      <c r="AJ613" s="49"/>
      <c r="AK613" s="49"/>
      <c r="AL613" s="49"/>
      <c r="AM613" s="49"/>
      <c r="AN613" s="49"/>
      <c r="AO613" s="49"/>
      <c r="AP613" s="49"/>
      <c r="AQ613" s="49"/>
      <c r="AR613" s="49"/>
      <c r="AS613" s="49"/>
      <c r="AT613" s="49"/>
      <c r="AU613" s="49"/>
      <c r="AV613" s="49"/>
      <c r="AW613" s="49"/>
      <c r="AX613" s="49"/>
    </row>
    <row r="614">
      <c r="A614" s="49"/>
      <c r="B614" s="49"/>
      <c r="C614" s="49"/>
      <c r="D614" s="50"/>
      <c r="E614" s="50"/>
      <c r="F614" s="50"/>
      <c r="G614" s="50"/>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c r="AF614" s="49"/>
      <c r="AG614" s="49"/>
      <c r="AH614" s="49"/>
      <c r="AI614" s="49"/>
      <c r="AJ614" s="49"/>
      <c r="AK614" s="49"/>
      <c r="AL614" s="49"/>
      <c r="AM614" s="49"/>
      <c r="AN614" s="49"/>
      <c r="AO614" s="49"/>
      <c r="AP614" s="49"/>
      <c r="AQ614" s="49"/>
      <c r="AR614" s="49"/>
      <c r="AS614" s="49"/>
      <c r="AT614" s="49"/>
      <c r="AU614" s="49"/>
      <c r="AV614" s="49"/>
      <c r="AW614" s="49"/>
      <c r="AX614" s="49"/>
    </row>
    <row r="615">
      <c r="A615" s="49"/>
      <c r="B615" s="49"/>
      <c r="C615" s="49"/>
      <c r="D615" s="50"/>
      <c r="E615" s="50"/>
      <c r="F615" s="50"/>
      <c r="G615" s="50"/>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c r="AF615" s="49"/>
      <c r="AG615" s="49"/>
      <c r="AH615" s="49"/>
      <c r="AI615" s="49"/>
      <c r="AJ615" s="49"/>
      <c r="AK615" s="49"/>
      <c r="AL615" s="49"/>
      <c r="AM615" s="49"/>
      <c r="AN615" s="49"/>
      <c r="AO615" s="49"/>
      <c r="AP615" s="49"/>
      <c r="AQ615" s="49"/>
      <c r="AR615" s="49"/>
      <c r="AS615" s="49"/>
      <c r="AT615" s="49"/>
      <c r="AU615" s="49"/>
      <c r="AV615" s="49"/>
      <c r="AW615" s="49"/>
      <c r="AX615" s="49"/>
    </row>
    <row r="616">
      <c r="A616" s="49"/>
      <c r="B616" s="49"/>
      <c r="C616" s="49"/>
      <c r="D616" s="50"/>
      <c r="E616" s="50"/>
      <c r="F616" s="50"/>
      <c r="G616" s="50"/>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c r="AF616" s="49"/>
      <c r="AG616" s="49"/>
      <c r="AH616" s="49"/>
      <c r="AI616" s="49"/>
      <c r="AJ616" s="49"/>
      <c r="AK616" s="49"/>
      <c r="AL616" s="49"/>
      <c r="AM616" s="49"/>
      <c r="AN616" s="49"/>
      <c r="AO616" s="49"/>
      <c r="AP616" s="49"/>
      <c r="AQ616" s="49"/>
      <c r="AR616" s="49"/>
      <c r="AS616" s="49"/>
      <c r="AT616" s="49"/>
      <c r="AU616" s="49"/>
      <c r="AV616" s="49"/>
      <c r="AW616" s="49"/>
      <c r="AX616" s="49"/>
    </row>
    <row r="617">
      <c r="A617" s="49"/>
      <c r="B617" s="49"/>
      <c r="C617" s="49"/>
      <c r="D617" s="50"/>
      <c r="E617" s="50"/>
      <c r="F617" s="50"/>
      <c r="G617" s="50"/>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c r="AF617" s="49"/>
      <c r="AG617" s="49"/>
      <c r="AH617" s="49"/>
      <c r="AI617" s="49"/>
      <c r="AJ617" s="49"/>
      <c r="AK617" s="49"/>
      <c r="AL617" s="49"/>
      <c r="AM617" s="49"/>
      <c r="AN617" s="49"/>
      <c r="AO617" s="49"/>
      <c r="AP617" s="49"/>
      <c r="AQ617" s="49"/>
      <c r="AR617" s="49"/>
      <c r="AS617" s="49"/>
      <c r="AT617" s="49"/>
      <c r="AU617" s="49"/>
      <c r="AV617" s="49"/>
      <c r="AW617" s="49"/>
      <c r="AX617" s="49"/>
    </row>
    <row r="618">
      <c r="A618" s="49"/>
      <c r="B618" s="49"/>
      <c r="C618" s="49"/>
      <c r="D618" s="50"/>
      <c r="E618" s="50"/>
      <c r="F618" s="50"/>
      <c r="G618" s="50"/>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c r="AF618" s="49"/>
      <c r="AG618" s="49"/>
      <c r="AH618" s="49"/>
      <c r="AI618" s="49"/>
      <c r="AJ618" s="49"/>
      <c r="AK618" s="49"/>
      <c r="AL618" s="49"/>
      <c r="AM618" s="49"/>
      <c r="AN618" s="49"/>
      <c r="AO618" s="49"/>
      <c r="AP618" s="49"/>
      <c r="AQ618" s="49"/>
      <c r="AR618" s="49"/>
      <c r="AS618" s="49"/>
      <c r="AT618" s="49"/>
      <c r="AU618" s="49"/>
      <c r="AV618" s="49"/>
      <c r="AW618" s="49"/>
      <c r="AX618" s="49"/>
    </row>
    <row r="619">
      <c r="A619" s="49"/>
      <c r="B619" s="49"/>
      <c r="C619" s="49"/>
      <c r="D619" s="50"/>
      <c r="E619" s="50"/>
      <c r="F619" s="50"/>
      <c r="G619" s="50"/>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c r="AF619" s="49"/>
      <c r="AG619" s="49"/>
      <c r="AH619" s="49"/>
      <c r="AI619" s="49"/>
      <c r="AJ619" s="49"/>
      <c r="AK619" s="49"/>
      <c r="AL619" s="49"/>
      <c r="AM619" s="49"/>
      <c r="AN619" s="49"/>
      <c r="AO619" s="49"/>
      <c r="AP619" s="49"/>
      <c r="AQ619" s="49"/>
      <c r="AR619" s="49"/>
      <c r="AS619" s="49"/>
      <c r="AT619" s="49"/>
      <c r="AU619" s="49"/>
      <c r="AV619" s="49"/>
      <c r="AW619" s="49"/>
      <c r="AX619" s="49"/>
    </row>
    <row r="620">
      <c r="A620" s="49"/>
      <c r="B620" s="49"/>
      <c r="C620" s="49"/>
      <c r="D620" s="50"/>
      <c r="E620" s="50"/>
      <c r="F620" s="50"/>
      <c r="G620" s="50"/>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c r="AF620" s="49"/>
      <c r="AG620" s="49"/>
      <c r="AH620" s="49"/>
      <c r="AI620" s="49"/>
      <c r="AJ620" s="49"/>
      <c r="AK620" s="49"/>
      <c r="AL620" s="49"/>
      <c r="AM620" s="49"/>
      <c r="AN620" s="49"/>
      <c r="AO620" s="49"/>
      <c r="AP620" s="49"/>
      <c r="AQ620" s="49"/>
      <c r="AR620" s="49"/>
      <c r="AS620" s="49"/>
      <c r="AT620" s="49"/>
      <c r="AU620" s="49"/>
      <c r="AV620" s="49"/>
      <c r="AW620" s="49"/>
      <c r="AX620" s="49"/>
    </row>
    <row r="621">
      <c r="A621" s="49"/>
      <c r="B621" s="49"/>
      <c r="C621" s="49"/>
      <c r="D621" s="50"/>
      <c r="E621" s="50"/>
      <c r="F621" s="50"/>
      <c r="G621" s="50"/>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c r="AF621" s="49"/>
      <c r="AG621" s="49"/>
      <c r="AH621" s="49"/>
      <c r="AI621" s="49"/>
      <c r="AJ621" s="49"/>
      <c r="AK621" s="49"/>
      <c r="AL621" s="49"/>
      <c r="AM621" s="49"/>
      <c r="AN621" s="49"/>
      <c r="AO621" s="49"/>
      <c r="AP621" s="49"/>
      <c r="AQ621" s="49"/>
      <c r="AR621" s="49"/>
      <c r="AS621" s="49"/>
      <c r="AT621" s="49"/>
      <c r="AU621" s="49"/>
      <c r="AV621" s="49"/>
      <c r="AW621" s="49"/>
      <c r="AX621" s="49"/>
    </row>
    <row r="622">
      <c r="A622" s="49"/>
      <c r="B622" s="49"/>
      <c r="C622" s="49"/>
      <c r="D622" s="50"/>
      <c r="E622" s="50"/>
      <c r="F622" s="50"/>
      <c r="G622" s="50"/>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c r="AF622" s="49"/>
      <c r="AG622" s="49"/>
      <c r="AH622" s="49"/>
      <c r="AI622" s="49"/>
      <c r="AJ622" s="49"/>
      <c r="AK622" s="49"/>
      <c r="AL622" s="49"/>
      <c r="AM622" s="49"/>
      <c r="AN622" s="49"/>
      <c r="AO622" s="49"/>
      <c r="AP622" s="49"/>
      <c r="AQ622" s="49"/>
      <c r="AR622" s="49"/>
      <c r="AS622" s="49"/>
      <c r="AT622" s="49"/>
      <c r="AU622" s="49"/>
      <c r="AV622" s="49"/>
      <c r="AW622" s="49"/>
      <c r="AX622" s="49"/>
    </row>
    <row r="623">
      <c r="A623" s="49"/>
      <c r="B623" s="49"/>
      <c r="C623" s="49"/>
      <c r="D623" s="50"/>
      <c r="E623" s="50"/>
      <c r="F623" s="50"/>
      <c r="G623" s="50"/>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c r="AF623" s="49"/>
      <c r="AG623" s="49"/>
      <c r="AH623" s="49"/>
      <c r="AI623" s="49"/>
      <c r="AJ623" s="49"/>
      <c r="AK623" s="49"/>
      <c r="AL623" s="49"/>
      <c r="AM623" s="49"/>
      <c r="AN623" s="49"/>
      <c r="AO623" s="49"/>
      <c r="AP623" s="49"/>
      <c r="AQ623" s="49"/>
      <c r="AR623" s="49"/>
      <c r="AS623" s="49"/>
      <c r="AT623" s="49"/>
      <c r="AU623" s="49"/>
      <c r="AV623" s="49"/>
      <c r="AW623" s="49"/>
      <c r="AX623" s="49"/>
    </row>
    <row r="624">
      <c r="A624" s="49"/>
      <c r="B624" s="49"/>
      <c r="C624" s="49"/>
      <c r="D624" s="50"/>
      <c r="E624" s="50"/>
      <c r="F624" s="50"/>
      <c r="G624" s="50"/>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c r="AF624" s="49"/>
      <c r="AG624" s="49"/>
      <c r="AH624" s="49"/>
      <c r="AI624" s="49"/>
      <c r="AJ624" s="49"/>
      <c r="AK624" s="49"/>
      <c r="AL624" s="49"/>
      <c r="AM624" s="49"/>
      <c r="AN624" s="49"/>
      <c r="AO624" s="49"/>
      <c r="AP624" s="49"/>
      <c r="AQ624" s="49"/>
      <c r="AR624" s="49"/>
      <c r="AS624" s="49"/>
      <c r="AT624" s="49"/>
      <c r="AU624" s="49"/>
      <c r="AV624" s="49"/>
      <c r="AW624" s="49"/>
      <c r="AX624" s="49"/>
    </row>
    <row r="625">
      <c r="A625" s="49"/>
      <c r="B625" s="49"/>
      <c r="C625" s="49"/>
      <c r="D625" s="50"/>
      <c r="E625" s="50"/>
      <c r="F625" s="50"/>
      <c r="G625" s="50"/>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c r="AF625" s="49"/>
      <c r="AG625" s="49"/>
      <c r="AH625" s="49"/>
      <c r="AI625" s="49"/>
      <c r="AJ625" s="49"/>
      <c r="AK625" s="49"/>
      <c r="AL625" s="49"/>
      <c r="AM625" s="49"/>
      <c r="AN625" s="49"/>
      <c r="AO625" s="49"/>
      <c r="AP625" s="49"/>
      <c r="AQ625" s="49"/>
      <c r="AR625" s="49"/>
      <c r="AS625" s="49"/>
      <c r="AT625" s="49"/>
      <c r="AU625" s="49"/>
      <c r="AV625" s="49"/>
      <c r="AW625" s="49"/>
      <c r="AX625" s="49"/>
    </row>
    <row r="626">
      <c r="A626" s="49"/>
      <c r="B626" s="49"/>
      <c r="C626" s="49"/>
      <c r="D626" s="50"/>
      <c r="E626" s="50"/>
      <c r="F626" s="50"/>
      <c r="G626" s="50"/>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c r="AF626" s="49"/>
      <c r="AG626" s="49"/>
      <c r="AH626" s="49"/>
      <c r="AI626" s="49"/>
      <c r="AJ626" s="49"/>
      <c r="AK626" s="49"/>
      <c r="AL626" s="49"/>
      <c r="AM626" s="49"/>
      <c r="AN626" s="49"/>
      <c r="AO626" s="49"/>
      <c r="AP626" s="49"/>
      <c r="AQ626" s="49"/>
      <c r="AR626" s="49"/>
      <c r="AS626" s="49"/>
      <c r="AT626" s="49"/>
      <c r="AU626" s="49"/>
      <c r="AV626" s="49"/>
      <c r="AW626" s="49"/>
      <c r="AX626" s="49"/>
    </row>
    <row r="627">
      <c r="A627" s="49"/>
      <c r="B627" s="49"/>
      <c r="C627" s="49"/>
      <c r="D627" s="50"/>
      <c r="E627" s="50"/>
      <c r="F627" s="50"/>
      <c r="G627" s="50"/>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c r="AF627" s="49"/>
      <c r="AG627" s="49"/>
      <c r="AH627" s="49"/>
      <c r="AI627" s="49"/>
      <c r="AJ627" s="49"/>
      <c r="AK627" s="49"/>
      <c r="AL627" s="49"/>
      <c r="AM627" s="49"/>
      <c r="AN627" s="49"/>
      <c r="AO627" s="49"/>
      <c r="AP627" s="49"/>
      <c r="AQ627" s="49"/>
      <c r="AR627" s="49"/>
      <c r="AS627" s="49"/>
      <c r="AT627" s="49"/>
      <c r="AU627" s="49"/>
      <c r="AV627" s="49"/>
      <c r="AW627" s="49"/>
      <c r="AX627" s="49"/>
    </row>
    <row r="628">
      <c r="A628" s="49"/>
      <c r="B628" s="49"/>
      <c r="C628" s="49"/>
      <c r="D628" s="50"/>
      <c r="E628" s="50"/>
      <c r="F628" s="50"/>
      <c r="G628" s="50"/>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c r="AF628" s="49"/>
      <c r="AG628" s="49"/>
      <c r="AH628" s="49"/>
      <c r="AI628" s="49"/>
      <c r="AJ628" s="49"/>
      <c r="AK628" s="49"/>
      <c r="AL628" s="49"/>
      <c r="AM628" s="49"/>
      <c r="AN628" s="49"/>
      <c r="AO628" s="49"/>
      <c r="AP628" s="49"/>
      <c r="AQ628" s="49"/>
      <c r="AR628" s="49"/>
      <c r="AS628" s="49"/>
      <c r="AT628" s="49"/>
      <c r="AU628" s="49"/>
      <c r="AV628" s="49"/>
      <c r="AW628" s="49"/>
      <c r="AX628" s="49"/>
    </row>
    <row r="629">
      <c r="A629" s="49"/>
      <c r="B629" s="49"/>
      <c r="C629" s="49"/>
      <c r="D629" s="50"/>
      <c r="E629" s="50"/>
      <c r="F629" s="50"/>
      <c r="G629" s="50"/>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c r="AF629" s="49"/>
      <c r="AG629" s="49"/>
      <c r="AH629" s="49"/>
      <c r="AI629" s="49"/>
      <c r="AJ629" s="49"/>
      <c r="AK629" s="49"/>
      <c r="AL629" s="49"/>
      <c r="AM629" s="49"/>
      <c r="AN629" s="49"/>
      <c r="AO629" s="49"/>
      <c r="AP629" s="49"/>
      <c r="AQ629" s="49"/>
      <c r="AR629" s="49"/>
      <c r="AS629" s="49"/>
      <c r="AT629" s="49"/>
      <c r="AU629" s="49"/>
      <c r="AV629" s="49"/>
      <c r="AW629" s="49"/>
      <c r="AX629" s="49"/>
    </row>
    <row r="630">
      <c r="A630" s="49"/>
      <c r="B630" s="49"/>
      <c r="C630" s="49"/>
      <c r="D630" s="50"/>
      <c r="E630" s="50"/>
      <c r="F630" s="50"/>
      <c r="G630" s="50"/>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c r="AF630" s="49"/>
      <c r="AG630" s="49"/>
      <c r="AH630" s="49"/>
      <c r="AI630" s="49"/>
      <c r="AJ630" s="49"/>
      <c r="AK630" s="49"/>
      <c r="AL630" s="49"/>
      <c r="AM630" s="49"/>
      <c r="AN630" s="49"/>
      <c r="AO630" s="49"/>
      <c r="AP630" s="49"/>
      <c r="AQ630" s="49"/>
      <c r="AR630" s="49"/>
      <c r="AS630" s="49"/>
      <c r="AT630" s="49"/>
      <c r="AU630" s="49"/>
      <c r="AV630" s="49"/>
      <c r="AW630" s="49"/>
      <c r="AX630" s="49"/>
    </row>
    <row r="631">
      <c r="A631" s="49"/>
      <c r="B631" s="49"/>
      <c r="C631" s="49"/>
      <c r="D631" s="50"/>
      <c r="E631" s="50"/>
      <c r="F631" s="50"/>
      <c r="G631" s="50"/>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c r="AF631" s="49"/>
      <c r="AG631" s="49"/>
      <c r="AH631" s="49"/>
      <c r="AI631" s="49"/>
      <c r="AJ631" s="49"/>
      <c r="AK631" s="49"/>
      <c r="AL631" s="49"/>
      <c r="AM631" s="49"/>
      <c r="AN631" s="49"/>
      <c r="AO631" s="49"/>
      <c r="AP631" s="49"/>
      <c r="AQ631" s="49"/>
      <c r="AR631" s="49"/>
      <c r="AS631" s="49"/>
      <c r="AT631" s="49"/>
      <c r="AU631" s="49"/>
      <c r="AV631" s="49"/>
      <c r="AW631" s="49"/>
      <c r="AX631" s="49"/>
    </row>
    <row r="632">
      <c r="A632" s="49"/>
      <c r="B632" s="49"/>
      <c r="C632" s="49"/>
      <c r="D632" s="50"/>
      <c r="E632" s="50"/>
      <c r="F632" s="50"/>
      <c r="G632" s="50"/>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c r="AF632" s="49"/>
      <c r="AG632" s="49"/>
      <c r="AH632" s="49"/>
      <c r="AI632" s="49"/>
      <c r="AJ632" s="49"/>
      <c r="AK632" s="49"/>
      <c r="AL632" s="49"/>
      <c r="AM632" s="49"/>
      <c r="AN632" s="49"/>
      <c r="AO632" s="49"/>
      <c r="AP632" s="49"/>
      <c r="AQ632" s="49"/>
      <c r="AR632" s="49"/>
      <c r="AS632" s="49"/>
      <c r="AT632" s="49"/>
      <c r="AU632" s="49"/>
      <c r="AV632" s="49"/>
      <c r="AW632" s="49"/>
      <c r="AX632" s="49"/>
    </row>
    <row r="633">
      <c r="A633" s="49"/>
      <c r="B633" s="49"/>
      <c r="C633" s="49"/>
      <c r="D633" s="50"/>
      <c r="E633" s="50"/>
      <c r="F633" s="50"/>
      <c r="G633" s="50"/>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c r="AF633" s="49"/>
      <c r="AG633" s="49"/>
      <c r="AH633" s="49"/>
      <c r="AI633" s="49"/>
      <c r="AJ633" s="49"/>
      <c r="AK633" s="49"/>
      <c r="AL633" s="49"/>
      <c r="AM633" s="49"/>
      <c r="AN633" s="49"/>
      <c r="AO633" s="49"/>
      <c r="AP633" s="49"/>
      <c r="AQ633" s="49"/>
      <c r="AR633" s="49"/>
      <c r="AS633" s="49"/>
      <c r="AT633" s="49"/>
      <c r="AU633" s="49"/>
      <c r="AV633" s="49"/>
      <c r="AW633" s="49"/>
      <c r="AX633" s="49"/>
    </row>
    <row r="634">
      <c r="A634" s="49"/>
      <c r="B634" s="49"/>
      <c r="C634" s="49"/>
      <c r="D634" s="50"/>
      <c r="E634" s="50"/>
      <c r="F634" s="50"/>
      <c r="G634" s="50"/>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c r="AF634" s="49"/>
      <c r="AG634" s="49"/>
      <c r="AH634" s="49"/>
      <c r="AI634" s="49"/>
      <c r="AJ634" s="49"/>
      <c r="AK634" s="49"/>
      <c r="AL634" s="49"/>
      <c r="AM634" s="49"/>
      <c r="AN634" s="49"/>
      <c r="AO634" s="49"/>
      <c r="AP634" s="49"/>
      <c r="AQ634" s="49"/>
      <c r="AR634" s="49"/>
      <c r="AS634" s="49"/>
      <c r="AT634" s="49"/>
      <c r="AU634" s="49"/>
      <c r="AV634" s="49"/>
      <c r="AW634" s="49"/>
      <c r="AX634" s="49"/>
    </row>
    <row r="635">
      <c r="A635" s="49"/>
      <c r="B635" s="49"/>
      <c r="C635" s="49"/>
      <c r="D635" s="50"/>
      <c r="E635" s="50"/>
      <c r="F635" s="50"/>
      <c r="G635" s="50"/>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c r="AF635" s="49"/>
      <c r="AG635" s="49"/>
      <c r="AH635" s="49"/>
      <c r="AI635" s="49"/>
      <c r="AJ635" s="49"/>
      <c r="AK635" s="49"/>
      <c r="AL635" s="49"/>
      <c r="AM635" s="49"/>
      <c r="AN635" s="49"/>
      <c r="AO635" s="49"/>
      <c r="AP635" s="49"/>
      <c r="AQ635" s="49"/>
      <c r="AR635" s="49"/>
      <c r="AS635" s="49"/>
      <c r="AT635" s="49"/>
      <c r="AU635" s="49"/>
      <c r="AV635" s="49"/>
      <c r="AW635" s="49"/>
      <c r="AX635" s="49"/>
    </row>
    <row r="636">
      <c r="A636" s="49"/>
      <c r="B636" s="49"/>
      <c r="C636" s="49"/>
      <c r="D636" s="50"/>
      <c r="E636" s="50"/>
      <c r="F636" s="50"/>
      <c r="G636" s="50"/>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c r="AF636" s="49"/>
      <c r="AG636" s="49"/>
      <c r="AH636" s="49"/>
      <c r="AI636" s="49"/>
      <c r="AJ636" s="49"/>
      <c r="AK636" s="49"/>
      <c r="AL636" s="49"/>
      <c r="AM636" s="49"/>
      <c r="AN636" s="49"/>
      <c r="AO636" s="49"/>
      <c r="AP636" s="49"/>
      <c r="AQ636" s="49"/>
      <c r="AR636" s="49"/>
      <c r="AS636" s="49"/>
      <c r="AT636" s="49"/>
      <c r="AU636" s="49"/>
      <c r="AV636" s="49"/>
      <c r="AW636" s="49"/>
      <c r="AX636" s="49"/>
    </row>
    <row r="637">
      <c r="A637" s="49"/>
      <c r="B637" s="49"/>
      <c r="C637" s="49"/>
      <c r="D637" s="50"/>
      <c r="E637" s="50"/>
      <c r="F637" s="50"/>
      <c r="G637" s="50"/>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c r="AF637" s="49"/>
      <c r="AG637" s="49"/>
      <c r="AH637" s="49"/>
      <c r="AI637" s="49"/>
      <c r="AJ637" s="49"/>
      <c r="AK637" s="49"/>
      <c r="AL637" s="49"/>
      <c r="AM637" s="49"/>
      <c r="AN637" s="49"/>
      <c r="AO637" s="49"/>
      <c r="AP637" s="49"/>
      <c r="AQ637" s="49"/>
      <c r="AR637" s="49"/>
      <c r="AS637" s="49"/>
      <c r="AT637" s="49"/>
      <c r="AU637" s="49"/>
      <c r="AV637" s="49"/>
      <c r="AW637" s="49"/>
      <c r="AX637" s="49"/>
    </row>
    <row r="638">
      <c r="A638" s="49"/>
      <c r="B638" s="49"/>
      <c r="C638" s="49"/>
      <c r="D638" s="50"/>
      <c r="E638" s="50"/>
      <c r="F638" s="50"/>
      <c r="G638" s="50"/>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c r="AF638" s="49"/>
      <c r="AG638" s="49"/>
      <c r="AH638" s="49"/>
      <c r="AI638" s="49"/>
      <c r="AJ638" s="49"/>
      <c r="AK638" s="49"/>
      <c r="AL638" s="49"/>
      <c r="AM638" s="49"/>
      <c r="AN638" s="49"/>
      <c r="AO638" s="49"/>
      <c r="AP638" s="49"/>
      <c r="AQ638" s="49"/>
      <c r="AR638" s="49"/>
      <c r="AS638" s="49"/>
      <c r="AT638" s="49"/>
      <c r="AU638" s="49"/>
      <c r="AV638" s="49"/>
      <c r="AW638" s="49"/>
      <c r="AX638" s="49"/>
    </row>
    <row r="639">
      <c r="A639" s="49"/>
      <c r="B639" s="49"/>
      <c r="C639" s="49"/>
      <c r="D639" s="50"/>
      <c r="E639" s="50"/>
      <c r="F639" s="50"/>
      <c r="G639" s="50"/>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c r="AF639" s="49"/>
      <c r="AG639" s="49"/>
      <c r="AH639" s="49"/>
      <c r="AI639" s="49"/>
      <c r="AJ639" s="49"/>
      <c r="AK639" s="49"/>
      <c r="AL639" s="49"/>
      <c r="AM639" s="49"/>
      <c r="AN639" s="49"/>
      <c r="AO639" s="49"/>
      <c r="AP639" s="49"/>
      <c r="AQ639" s="49"/>
      <c r="AR639" s="49"/>
      <c r="AS639" s="49"/>
      <c r="AT639" s="49"/>
      <c r="AU639" s="49"/>
      <c r="AV639" s="49"/>
      <c r="AW639" s="49"/>
      <c r="AX639" s="49"/>
    </row>
    <row r="640">
      <c r="A640" s="49"/>
      <c r="B640" s="49"/>
      <c r="C640" s="49"/>
      <c r="D640" s="50"/>
      <c r="E640" s="50"/>
      <c r="F640" s="50"/>
      <c r="G640" s="50"/>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c r="AF640" s="49"/>
      <c r="AG640" s="49"/>
      <c r="AH640" s="49"/>
      <c r="AI640" s="49"/>
      <c r="AJ640" s="49"/>
      <c r="AK640" s="49"/>
      <c r="AL640" s="49"/>
      <c r="AM640" s="49"/>
      <c r="AN640" s="49"/>
      <c r="AO640" s="49"/>
      <c r="AP640" s="49"/>
      <c r="AQ640" s="49"/>
      <c r="AR640" s="49"/>
      <c r="AS640" s="49"/>
      <c r="AT640" s="49"/>
      <c r="AU640" s="49"/>
      <c r="AV640" s="49"/>
      <c r="AW640" s="49"/>
      <c r="AX640" s="49"/>
    </row>
    <row r="641">
      <c r="A641" s="49"/>
      <c r="B641" s="49"/>
      <c r="C641" s="49"/>
      <c r="D641" s="50"/>
      <c r="E641" s="50"/>
      <c r="F641" s="50"/>
      <c r="G641" s="50"/>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c r="AF641" s="49"/>
      <c r="AG641" s="49"/>
      <c r="AH641" s="49"/>
      <c r="AI641" s="49"/>
      <c r="AJ641" s="49"/>
      <c r="AK641" s="49"/>
      <c r="AL641" s="49"/>
      <c r="AM641" s="49"/>
      <c r="AN641" s="49"/>
      <c r="AO641" s="49"/>
      <c r="AP641" s="49"/>
      <c r="AQ641" s="49"/>
      <c r="AR641" s="49"/>
      <c r="AS641" s="49"/>
      <c r="AT641" s="49"/>
      <c r="AU641" s="49"/>
      <c r="AV641" s="49"/>
      <c r="AW641" s="49"/>
      <c r="AX641" s="49"/>
    </row>
    <row r="642">
      <c r="A642" s="49"/>
      <c r="B642" s="49"/>
      <c r="C642" s="49"/>
      <c r="D642" s="50"/>
      <c r="E642" s="50"/>
      <c r="F642" s="50"/>
      <c r="G642" s="50"/>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c r="AF642" s="49"/>
      <c r="AG642" s="49"/>
      <c r="AH642" s="49"/>
      <c r="AI642" s="49"/>
      <c r="AJ642" s="49"/>
      <c r="AK642" s="49"/>
      <c r="AL642" s="49"/>
      <c r="AM642" s="49"/>
      <c r="AN642" s="49"/>
      <c r="AO642" s="49"/>
      <c r="AP642" s="49"/>
      <c r="AQ642" s="49"/>
      <c r="AR642" s="49"/>
      <c r="AS642" s="49"/>
      <c r="AT642" s="49"/>
      <c r="AU642" s="49"/>
      <c r="AV642" s="49"/>
      <c r="AW642" s="49"/>
      <c r="AX642" s="49"/>
    </row>
    <row r="643">
      <c r="A643" s="49"/>
      <c r="B643" s="49"/>
      <c r="C643" s="49"/>
      <c r="D643" s="50"/>
      <c r="E643" s="50"/>
      <c r="F643" s="50"/>
      <c r="G643" s="50"/>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c r="AF643" s="49"/>
      <c r="AG643" s="49"/>
      <c r="AH643" s="49"/>
      <c r="AI643" s="49"/>
      <c r="AJ643" s="49"/>
      <c r="AK643" s="49"/>
      <c r="AL643" s="49"/>
      <c r="AM643" s="49"/>
      <c r="AN643" s="49"/>
      <c r="AO643" s="49"/>
      <c r="AP643" s="49"/>
      <c r="AQ643" s="49"/>
      <c r="AR643" s="49"/>
      <c r="AS643" s="49"/>
      <c r="AT643" s="49"/>
      <c r="AU643" s="49"/>
      <c r="AV643" s="49"/>
      <c r="AW643" s="49"/>
      <c r="AX643" s="49"/>
    </row>
    <row r="644">
      <c r="A644" s="49"/>
      <c r="B644" s="49"/>
      <c r="C644" s="49"/>
      <c r="D644" s="50"/>
      <c r="E644" s="50"/>
      <c r="F644" s="50"/>
      <c r="G644" s="50"/>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c r="AF644" s="49"/>
      <c r="AG644" s="49"/>
      <c r="AH644" s="49"/>
      <c r="AI644" s="49"/>
      <c r="AJ644" s="49"/>
      <c r="AK644" s="49"/>
      <c r="AL644" s="49"/>
      <c r="AM644" s="49"/>
      <c r="AN644" s="49"/>
      <c r="AO644" s="49"/>
      <c r="AP644" s="49"/>
      <c r="AQ644" s="49"/>
      <c r="AR644" s="49"/>
      <c r="AS644" s="49"/>
      <c r="AT644" s="49"/>
      <c r="AU644" s="49"/>
      <c r="AV644" s="49"/>
      <c r="AW644" s="49"/>
      <c r="AX644" s="49"/>
    </row>
    <row r="645">
      <c r="A645" s="49"/>
      <c r="B645" s="49"/>
      <c r="C645" s="49"/>
      <c r="D645" s="50"/>
      <c r="E645" s="50"/>
      <c r="F645" s="50"/>
      <c r="G645" s="50"/>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c r="AF645" s="49"/>
      <c r="AG645" s="49"/>
      <c r="AH645" s="49"/>
      <c r="AI645" s="49"/>
      <c r="AJ645" s="49"/>
      <c r="AK645" s="49"/>
      <c r="AL645" s="49"/>
      <c r="AM645" s="49"/>
      <c r="AN645" s="49"/>
      <c r="AO645" s="49"/>
      <c r="AP645" s="49"/>
      <c r="AQ645" s="49"/>
      <c r="AR645" s="49"/>
      <c r="AS645" s="49"/>
      <c r="AT645" s="49"/>
      <c r="AU645" s="49"/>
      <c r="AV645" s="49"/>
      <c r="AW645" s="49"/>
      <c r="AX645" s="49"/>
    </row>
    <row r="646">
      <c r="A646" s="49"/>
      <c r="B646" s="49"/>
      <c r="C646" s="49"/>
      <c r="D646" s="50"/>
      <c r="E646" s="50"/>
      <c r="F646" s="50"/>
      <c r="G646" s="50"/>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c r="AF646" s="49"/>
      <c r="AG646" s="49"/>
      <c r="AH646" s="49"/>
      <c r="AI646" s="49"/>
      <c r="AJ646" s="49"/>
      <c r="AK646" s="49"/>
      <c r="AL646" s="49"/>
      <c r="AM646" s="49"/>
      <c r="AN646" s="49"/>
      <c r="AO646" s="49"/>
      <c r="AP646" s="49"/>
      <c r="AQ646" s="49"/>
      <c r="AR646" s="49"/>
      <c r="AS646" s="49"/>
      <c r="AT646" s="49"/>
      <c r="AU646" s="49"/>
      <c r="AV646" s="49"/>
      <c r="AW646" s="49"/>
      <c r="AX646" s="49"/>
    </row>
    <row r="647">
      <c r="A647" s="49"/>
      <c r="B647" s="49"/>
      <c r="C647" s="49"/>
      <c r="D647" s="50"/>
      <c r="E647" s="50"/>
      <c r="F647" s="50"/>
      <c r="G647" s="50"/>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c r="AF647" s="49"/>
      <c r="AG647" s="49"/>
      <c r="AH647" s="49"/>
      <c r="AI647" s="49"/>
      <c r="AJ647" s="49"/>
      <c r="AK647" s="49"/>
      <c r="AL647" s="49"/>
      <c r="AM647" s="49"/>
      <c r="AN647" s="49"/>
      <c r="AO647" s="49"/>
      <c r="AP647" s="49"/>
      <c r="AQ647" s="49"/>
      <c r="AR647" s="49"/>
      <c r="AS647" s="49"/>
      <c r="AT647" s="49"/>
      <c r="AU647" s="49"/>
      <c r="AV647" s="49"/>
      <c r="AW647" s="49"/>
      <c r="AX647" s="49"/>
    </row>
    <row r="648">
      <c r="A648" s="49"/>
      <c r="B648" s="49"/>
      <c r="C648" s="49"/>
      <c r="D648" s="50"/>
      <c r="E648" s="50"/>
      <c r="F648" s="50"/>
      <c r="G648" s="50"/>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c r="AF648" s="49"/>
      <c r="AG648" s="49"/>
      <c r="AH648" s="49"/>
      <c r="AI648" s="49"/>
      <c r="AJ648" s="49"/>
      <c r="AK648" s="49"/>
      <c r="AL648" s="49"/>
      <c r="AM648" s="49"/>
      <c r="AN648" s="49"/>
      <c r="AO648" s="49"/>
      <c r="AP648" s="49"/>
      <c r="AQ648" s="49"/>
      <c r="AR648" s="49"/>
      <c r="AS648" s="49"/>
      <c r="AT648" s="49"/>
      <c r="AU648" s="49"/>
      <c r="AV648" s="49"/>
      <c r="AW648" s="49"/>
      <c r="AX648" s="49"/>
    </row>
    <row r="649">
      <c r="A649" s="49"/>
      <c r="B649" s="49"/>
      <c r="C649" s="49"/>
      <c r="D649" s="50"/>
      <c r="E649" s="50"/>
      <c r="F649" s="50"/>
      <c r="G649" s="50"/>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c r="AF649" s="49"/>
      <c r="AG649" s="49"/>
      <c r="AH649" s="49"/>
      <c r="AI649" s="49"/>
      <c r="AJ649" s="49"/>
      <c r="AK649" s="49"/>
      <c r="AL649" s="49"/>
      <c r="AM649" s="49"/>
      <c r="AN649" s="49"/>
      <c r="AO649" s="49"/>
      <c r="AP649" s="49"/>
      <c r="AQ649" s="49"/>
      <c r="AR649" s="49"/>
      <c r="AS649" s="49"/>
      <c r="AT649" s="49"/>
      <c r="AU649" s="49"/>
      <c r="AV649" s="49"/>
      <c r="AW649" s="49"/>
      <c r="AX649" s="49"/>
    </row>
    <row r="650">
      <c r="A650" s="49"/>
      <c r="B650" s="49"/>
      <c r="C650" s="49"/>
      <c r="D650" s="50"/>
      <c r="E650" s="50"/>
      <c r="F650" s="50"/>
      <c r="G650" s="50"/>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c r="AF650" s="49"/>
      <c r="AG650" s="49"/>
      <c r="AH650" s="49"/>
      <c r="AI650" s="49"/>
      <c r="AJ650" s="49"/>
      <c r="AK650" s="49"/>
      <c r="AL650" s="49"/>
      <c r="AM650" s="49"/>
      <c r="AN650" s="49"/>
      <c r="AO650" s="49"/>
      <c r="AP650" s="49"/>
      <c r="AQ650" s="49"/>
      <c r="AR650" s="49"/>
      <c r="AS650" s="49"/>
      <c r="AT650" s="49"/>
      <c r="AU650" s="49"/>
      <c r="AV650" s="49"/>
      <c r="AW650" s="49"/>
      <c r="AX650" s="49"/>
    </row>
    <row r="651">
      <c r="A651" s="49"/>
      <c r="B651" s="49"/>
      <c r="C651" s="49"/>
      <c r="D651" s="50"/>
      <c r="E651" s="50"/>
      <c r="F651" s="50"/>
      <c r="G651" s="50"/>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c r="AF651" s="49"/>
      <c r="AG651" s="49"/>
      <c r="AH651" s="49"/>
      <c r="AI651" s="49"/>
      <c r="AJ651" s="49"/>
      <c r="AK651" s="49"/>
      <c r="AL651" s="49"/>
      <c r="AM651" s="49"/>
      <c r="AN651" s="49"/>
      <c r="AO651" s="49"/>
      <c r="AP651" s="49"/>
      <c r="AQ651" s="49"/>
      <c r="AR651" s="49"/>
      <c r="AS651" s="49"/>
      <c r="AT651" s="49"/>
      <c r="AU651" s="49"/>
      <c r="AV651" s="49"/>
      <c r="AW651" s="49"/>
      <c r="AX651" s="49"/>
    </row>
    <row r="652">
      <c r="A652" s="49"/>
      <c r="B652" s="49"/>
      <c r="C652" s="49"/>
      <c r="D652" s="50"/>
      <c r="E652" s="50"/>
      <c r="F652" s="50"/>
      <c r="G652" s="50"/>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c r="AF652" s="49"/>
      <c r="AG652" s="49"/>
      <c r="AH652" s="49"/>
      <c r="AI652" s="49"/>
      <c r="AJ652" s="49"/>
      <c r="AK652" s="49"/>
      <c r="AL652" s="49"/>
      <c r="AM652" s="49"/>
      <c r="AN652" s="49"/>
      <c r="AO652" s="49"/>
      <c r="AP652" s="49"/>
      <c r="AQ652" s="49"/>
      <c r="AR652" s="49"/>
      <c r="AS652" s="49"/>
      <c r="AT652" s="49"/>
      <c r="AU652" s="49"/>
      <c r="AV652" s="49"/>
      <c r="AW652" s="49"/>
      <c r="AX652" s="49"/>
    </row>
    <row r="653">
      <c r="A653" s="49"/>
      <c r="B653" s="49"/>
      <c r="C653" s="49"/>
      <c r="D653" s="50"/>
      <c r="E653" s="50"/>
      <c r="F653" s="50"/>
      <c r="G653" s="50"/>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c r="AF653" s="49"/>
      <c r="AG653" s="49"/>
      <c r="AH653" s="49"/>
      <c r="AI653" s="49"/>
      <c r="AJ653" s="49"/>
      <c r="AK653" s="49"/>
      <c r="AL653" s="49"/>
      <c r="AM653" s="49"/>
      <c r="AN653" s="49"/>
      <c r="AO653" s="49"/>
      <c r="AP653" s="49"/>
      <c r="AQ653" s="49"/>
      <c r="AR653" s="49"/>
      <c r="AS653" s="49"/>
      <c r="AT653" s="49"/>
      <c r="AU653" s="49"/>
      <c r="AV653" s="49"/>
      <c r="AW653" s="49"/>
      <c r="AX653" s="49"/>
    </row>
    <row r="654">
      <c r="A654" s="49"/>
      <c r="B654" s="49"/>
      <c r="C654" s="49"/>
      <c r="D654" s="50"/>
      <c r="E654" s="50"/>
      <c r="F654" s="50"/>
      <c r="G654" s="50"/>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c r="AF654" s="49"/>
      <c r="AG654" s="49"/>
      <c r="AH654" s="49"/>
      <c r="AI654" s="49"/>
      <c r="AJ654" s="49"/>
      <c r="AK654" s="49"/>
      <c r="AL654" s="49"/>
      <c r="AM654" s="49"/>
      <c r="AN654" s="49"/>
      <c r="AO654" s="49"/>
      <c r="AP654" s="49"/>
      <c r="AQ654" s="49"/>
      <c r="AR654" s="49"/>
      <c r="AS654" s="49"/>
      <c r="AT654" s="49"/>
      <c r="AU654" s="49"/>
      <c r="AV654" s="49"/>
      <c r="AW654" s="49"/>
      <c r="AX654" s="49"/>
    </row>
    <row r="655">
      <c r="A655" s="49"/>
      <c r="B655" s="49"/>
      <c r="C655" s="49"/>
      <c r="D655" s="50"/>
      <c r="E655" s="50"/>
      <c r="F655" s="50"/>
      <c r="G655" s="50"/>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c r="AF655" s="49"/>
      <c r="AG655" s="49"/>
      <c r="AH655" s="49"/>
      <c r="AI655" s="49"/>
      <c r="AJ655" s="49"/>
      <c r="AK655" s="49"/>
      <c r="AL655" s="49"/>
      <c r="AM655" s="49"/>
      <c r="AN655" s="49"/>
      <c r="AO655" s="49"/>
      <c r="AP655" s="49"/>
      <c r="AQ655" s="49"/>
      <c r="AR655" s="49"/>
      <c r="AS655" s="49"/>
      <c r="AT655" s="49"/>
      <c r="AU655" s="49"/>
      <c r="AV655" s="49"/>
      <c r="AW655" s="49"/>
      <c r="AX655" s="49"/>
    </row>
    <row r="656">
      <c r="A656" s="49"/>
      <c r="B656" s="49"/>
      <c r="C656" s="49"/>
      <c r="D656" s="50"/>
      <c r="E656" s="50"/>
      <c r="F656" s="50"/>
      <c r="G656" s="50"/>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c r="AF656" s="49"/>
      <c r="AG656" s="49"/>
      <c r="AH656" s="49"/>
      <c r="AI656" s="49"/>
      <c r="AJ656" s="49"/>
      <c r="AK656" s="49"/>
      <c r="AL656" s="49"/>
      <c r="AM656" s="49"/>
      <c r="AN656" s="49"/>
      <c r="AO656" s="49"/>
      <c r="AP656" s="49"/>
      <c r="AQ656" s="49"/>
      <c r="AR656" s="49"/>
      <c r="AS656" s="49"/>
      <c r="AT656" s="49"/>
      <c r="AU656" s="49"/>
      <c r="AV656" s="49"/>
      <c r="AW656" s="49"/>
      <c r="AX656" s="49"/>
    </row>
    <row r="657">
      <c r="A657" s="49"/>
      <c r="B657" s="49"/>
      <c r="C657" s="49"/>
      <c r="D657" s="50"/>
      <c r="E657" s="50"/>
      <c r="F657" s="50"/>
      <c r="G657" s="50"/>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c r="AF657" s="49"/>
      <c r="AG657" s="49"/>
      <c r="AH657" s="49"/>
      <c r="AI657" s="49"/>
      <c r="AJ657" s="49"/>
      <c r="AK657" s="49"/>
      <c r="AL657" s="49"/>
      <c r="AM657" s="49"/>
      <c r="AN657" s="49"/>
      <c r="AO657" s="49"/>
      <c r="AP657" s="49"/>
      <c r="AQ657" s="49"/>
      <c r="AR657" s="49"/>
      <c r="AS657" s="49"/>
      <c r="AT657" s="49"/>
      <c r="AU657" s="49"/>
      <c r="AV657" s="49"/>
      <c r="AW657" s="49"/>
      <c r="AX657" s="49"/>
    </row>
    <row r="658">
      <c r="A658" s="49"/>
      <c r="B658" s="49"/>
      <c r="C658" s="49"/>
      <c r="D658" s="50"/>
      <c r="E658" s="50"/>
      <c r="F658" s="50"/>
      <c r="G658" s="50"/>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c r="AF658" s="49"/>
      <c r="AG658" s="49"/>
      <c r="AH658" s="49"/>
      <c r="AI658" s="49"/>
      <c r="AJ658" s="49"/>
      <c r="AK658" s="49"/>
      <c r="AL658" s="49"/>
      <c r="AM658" s="49"/>
      <c r="AN658" s="49"/>
      <c r="AO658" s="49"/>
      <c r="AP658" s="49"/>
      <c r="AQ658" s="49"/>
      <c r="AR658" s="49"/>
      <c r="AS658" s="49"/>
      <c r="AT658" s="49"/>
      <c r="AU658" s="49"/>
      <c r="AV658" s="49"/>
      <c r="AW658" s="49"/>
      <c r="AX658" s="49"/>
    </row>
    <row r="659">
      <c r="A659" s="49"/>
      <c r="B659" s="49"/>
      <c r="C659" s="49"/>
      <c r="D659" s="50"/>
      <c r="E659" s="50"/>
      <c r="F659" s="50"/>
      <c r="G659" s="50"/>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c r="AF659" s="49"/>
      <c r="AG659" s="49"/>
      <c r="AH659" s="49"/>
      <c r="AI659" s="49"/>
      <c r="AJ659" s="49"/>
      <c r="AK659" s="49"/>
      <c r="AL659" s="49"/>
      <c r="AM659" s="49"/>
      <c r="AN659" s="49"/>
      <c r="AO659" s="49"/>
      <c r="AP659" s="49"/>
      <c r="AQ659" s="49"/>
      <c r="AR659" s="49"/>
      <c r="AS659" s="49"/>
      <c r="AT659" s="49"/>
      <c r="AU659" s="49"/>
      <c r="AV659" s="49"/>
      <c r="AW659" s="49"/>
      <c r="AX659" s="49"/>
    </row>
    <row r="660">
      <c r="A660" s="49"/>
      <c r="B660" s="49"/>
      <c r="C660" s="49"/>
      <c r="D660" s="50"/>
      <c r="E660" s="50"/>
      <c r="F660" s="50"/>
      <c r="G660" s="50"/>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c r="AF660" s="49"/>
      <c r="AG660" s="49"/>
      <c r="AH660" s="49"/>
      <c r="AI660" s="49"/>
      <c r="AJ660" s="49"/>
      <c r="AK660" s="49"/>
      <c r="AL660" s="49"/>
      <c r="AM660" s="49"/>
      <c r="AN660" s="49"/>
      <c r="AO660" s="49"/>
      <c r="AP660" s="49"/>
      <c r="AQ660" s="49"/>
      <c r="AR660" s="49"/>
      <c r="AS660" s="49"/>
      <c r="AT660" s="49"/>
      <c r="AU660" s="49"/>
      <c r="AV660" s="49"/>
      <c r="AW660" s="49"/>
      <c r="AX660" s="49"/>
    </row>
    <row r="661">
      <c r="A661" s="49"/>
      <c r="B661" s="49"/>
      <c r="C661" s="49"/>
      <c r="D661" s="50"/>
      <c r="E661" s="50"/>
      <c r="F661" s="50"/>
      <c r="G661" s="50"/>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c r="AF661" s="49"/>
      <c r="AG661" s="49"/>
      <c r="AH661" s="49"/>
      <c r="AI661" s="49"/>
      <c r="AJ661" s="49"/>
      <c r="AK661" s="49"/>
      <c r="AL661" s="49"/>
      <c r="AM661" s="49"/>
      <c r="AN661" s="49"/>
      <c r="AO661" s="49"/>
      <c r="AP661" s="49"/>
      <c r="AQ661" s="49"/>
      <c r="AR661" s="49"/>
      <c r="AS661" s="49"/>
      <c r="AT661" s="49"/>
      <c r="AU661" s="49"/>
      <c r="AV661" s="49"/>
      <c r="AW661" s="49"/>
      <c r="AX661" s="49"/>
    </row>
    <row r="662">
      <c r="A662" s="49"/>
      <c r="B662" s="49"/>
      <c r="C662" s="49"/>
      <c r="D662" s="50"/>
      <c r="E662" s="50"/>
      <c r="F662" s="50"/>
      <c r="G662" s="50"/>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c r="AF662" s="49"/>
      <c r="AG662" s="49"/>
      <c r="AH662" s="49"/>
      <c r="AI662" s="49"/>
      <c r="AJ662" s="49"/>
      <c r="AK662" s="49"/>
      <c r="AL662" s="49"/>
      <c r="AM662" s="49"/>
      <c r="AN662" s="49"/>
      <c r="AO662" s="49"/>
      <c r="AP662" s="49"/>
      <c r="AQ662" s="49"/>
      <c r="AR662" s="49"/>
      <c r="AS662" s="49"/>
      <c r="AT662" s="49"/>
      <c r="AU662" s="49"/>
      <c r="AV662" s="49"/>
      <c r="AW662" s="49"/>
      <c r="AX662" s="49"/>
    </row>
    <row r="663">
      <c r="A663" s="49"/>
      <c r="B663" s="49"/>
      <c r="C663" s="49"/>
      <c r="D663" s="50"/>
      <c r="E663" s="50"/>
      <c r="F663" s="50"/>
      <c r="G663" s="50"/>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c r="AF663" s="49"/>
      <c r="AG663" s="49"/>
      <c r="AH663" s="49"/>
      <c r="AI663" s="49"/>
      <c r="AJ663" s="49"/>
      <c r="AK663" s="49"/>
      <c r="AL663" s="49"/>
      <c r="AM663" s="49"/>
      <c r="AN663" s="49"/>
      <c r="AO663" s="49"/>
      <c r="AP663" s="49"/>
      <c r="AQ663" s="49"/>
      <c r="AR663" s="49"/>
      <c r="AS663" s="49"/>
      <c r="AT663" s="49"/>
      <c r="AU663" s="49"/>
      <c r="AV663" s="49"/>
      <c r="AW663" s="49"/>
      <c r="AX663" s="49"/>
    </row>
    <row r="664">
      <c r="A664" s="49"/>
      <c r="B664" s="49"/>
      <c r="C664" s="49"/>
      <c r="D664" s="50"/>
      <c r="E664" s="50"/>
      <c r="F664" s="50"/>
      <c r="G664" s="50"/>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c r="AF664" s="49"/>
      <c r="AG664" s="49"/>
      <c r="AH664" s="49"/>
      <c r="AI664" s="49"/>
      <c r="AJ664" s="49"/>
      <c r="AK664" s="49"/>
      <c r="AL664" s="49"/>
      <c r="AM664" s="49"/>
      <c r="AN664" s="49"/>
      <c r="AO664" s="49"/>
      <c r="AP664" s="49"/>
      <c r="AQ664" s="49"/>
      <c r="AR664" s="49"/>
      <c r="AS664" s="49"/>
      <c r="AT664" s="49"/>
      <c r="AU664" s="49"/>
      <c r="AV664" s="49"/>
      <c r="AW664" s="49"/>
      <c r="AX664" s="49"/>
    </row>
    <row r="665">
      <c r="A665" s="49"/>
      <c r="B665" s="49"/>
      <c r="C665" s="49"/>
      <c r="D665" s="50"/>
      <c r="E665" s="50"/>
      <c r="F665" s="50"/>
      <c r="G665" s="50"/>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c r="AF665" s="49"/>
      <c r="AG665" s="49"/>
      <c r="AH665" s="49"/>
      <c r="AI665" s="49"/>
      <c r="AJ665" s="49"/>
      <c r="AK665" s="49"/>
      <c r="AL665" s="49"/>
      <c r="AM665" s="49"/>
      <c r="AN665" s="49"/>
      <c r="AO665" s="49"/>
      <c r="AP665" s="49"/>
      <c r="AQ665" s="49"/>
      <c r="AR665" s="49"/>
      <c r="AS665" s="49"/>
      <c r="AT665" s="49"/>
      <c r="AU665" s="49"/>
      <c r="AV665" s="49"/>
      <c r="AW665" s="49"/>
      <c r="AX665" s="49"/>
    </row>
    <row r="666">
      <c r="A666" s="49"/>
      <c r="B666" s="49"/>
      <c r="C666" s="49"/>
      <c r="D666" s="50"/>
      <c r="E666" s="50"/>
      <c r="F666" s="50"/>
      <c r="G666" s="50"/>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c r="AF666" s="49"/>
      <c r="AG666" s="49"/>
      <c r="AH666" s="49"/>
      <c r="AI666" s="49"/>
      <c r="AJ666" s="49"/>
      <c r="AK666" s="49"/>
      <c r="AL666" s="49"/>
      <c r="AM666" s="49"/>
      <c r="AN666" s="49"/>
      <c r="AO666" s="49"/>
      <c r="AP666" s="49"/>
      <c r="AQ666" s="49"/>
      <c r="AR666" s="49"/>
      <c r="AS666" s="49"/>
      <c r="AT666" s="49"/>
      <c r="AU666" s="49"/>
      <c r="AV666" s="49"/>
      <c r="AW666" s="49"/>
      <c r="AX666" s="49"/>
    </row>
    <row r="667">
      <c r="A667" s="49"/>
      <c r="B667" s="49"/>
      <c r="C667" s="49"/>
      <c r="D667" s="50"/>
      <c r="E667" s="50"/>
      <c r="F667" s="50"/>
      <c r="G667" s="50"/>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c r="AF667" s="49"/>
      <c r="AG667" s="49"/>
      <c r="AH667" s="49"/>
      <c r="AI667" s="49"/>
      <c r="AJ667" s="49"/>
      <c r="AK667" s="49"/>
      <c r="AL667" s="49"/>
      <c r="AM667" s="49"/>
      <c r="AN667" s="49"/>
      <c r="AO667" s="49"/>
      <c r="AP667" s="49"/>
      <c r="AQ667" s="49"/>
      <c r="AR667" s="49"/>
      <c r="AS667" s="49"/>
      <c r="AT667" s="49"/>
      <c r="AU667" s="49"/>
      <c r="AV667" s="49"/>
      <c r="AW667" s="49"/>
      <c r="AX667" s="49"/>
    </row>
    <row r="668">
      <c r="A668" s="49"/>
      <c r="B668" s="49"/>
      <c r="C668" s="49"/>
      <c r="D668" s="50"/>
      <c r="E668" s="50"/>
      <c r="F668" s="50"/>
      <c r="G668" s="50"/>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c r="AF668" s="49"/>
      <c r="AG668" s="49"/>
      <c r="AH668" s="49"/>
      <c r="AI668" s="49"/>
      <c r="AJ668" s="49"/>
      <c r="AK668" s="49"/>
      <c r="AL668" s="49"/>
      <c r="AM668" s="49"/>
      <c r="AN668" s="49"/>
      <c r="AO668" s="49"/>
      <c r="AP668" s="49"/>
      <c r="AQ668" s="49"/>
      <c r="AR668" s="49"/>
      <c r="AS668" s="49"/>
      <c r="AT668" s="49"/>
      <c r="AU668" s="49"/>
      <c r="AV668" s="49"/>
      <c r="AW668" s="49"/>
      <c r="AX668" s="49"/>
    </row>
    <row r="669">
      <c r="A669" s="49"/>
      <c r="B669" s="49"/>
      <c r="C669" s="49"/>
      <c r="D669" s="50"/>
      <c r="E669" s="50"/>
      <c r="F669" s="50"/>
      <c r="G669" s="50"/>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c r="AF669" s="49"/>
      <c r="AG669" s="49"/>
      <c r="AH669" s="49"/>
      <c r="AI669" s="49"/>
      <c r="AJ669" s="49"/>
      <c r="AK669" s="49"/>
      <c r="AL669" s="49"/>
      <c r="AM669" s="49"/>
      <c r="AN669" s="49"/>
      <c r="AO669" s="49"/>
      <c r="AP669" s="49"/>
      <c r="AQ669" s="49"/>
      <c r="AR669" s="49"/>
      <c r="AS669" s="49"/>
      <c r="AT669" s="49"/>
      <c r="AU669" s="49"/>
      <c r="AV669" s="49"/>
      <c r="AW669" s="49"/>
      <c r="AX669" s="49"/>
    </row>
    <row r="670">
      <c r="A670" s="49"/>
      <c r="B670" s="49"/>
      <c r="C670" s="49"/>
      <c r="D670" s="50"/>
      <c r="E670" s="50"/>
      <c r="F670" s="50"/>
      <c r="G670" s="50"/>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c r="AF670" s="49"/>
      <c r="AG670" s="49"/>
      <c r="AH670" s="49"/>
      <c r="AI670" s="49"/>
      <c r="AJ670" s="49"/>
      <c r="AK670" s="49"/>
      <c r="AL670" s="49"/>
      <c r="AM670" s="49"/>
      <c r="AN670" s="49"/>
      <c r="AO670" s="49"/>
      <c r="AP670" s="49"/>
      <c r="AQ670" s="49"/>
      <c r="AR670" s="49"/>
      <c r="AS670" s="49"/>
      <c r="AT670" s="49"/>
      <c r="AU670" s="49"/>
      <c r="AV670" s="49"/>
      <c r="AW670" s="49"/>
      <c r="AX670" s="49"/>
    </row>
    <row r="671">
      <c r="A671" s="49"/>
      <c r="B671" s="49"/>
      <c r="C671" s="49"/>
      <c r="D671" s="50"/>
      <c r="E671" s="50"/>
      <c r="F671" s="50"/>
      <c r="G671" s="50"/>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c r="AF671" s="49"/>
      <c r="AG671" s="49"/>
      <c r="AH671" s="49"/>
      <c r="AI671" s="49"/>
      <c r="AJ671" s="49"/>
      <c r="AK671" s="49"/>
      <c r="AL671" s="49"/>
      <c r="AM671" s="49"/>
      <c r="AN671" s="49"/>
      <c r="AO671" s="49"/>
      <c r="AP671" s="49"/>
      <c r="AQ671" s="49"/>
      <c r="AR671" s="49"/>
      <c r="AS671" s="49"/>
      <c r="AT671" s="49"/>
      <c r="AU671" s="49"/>
      <c r="AV671" s="49"/>
      <c r="AW671" s="49"/>
      <c r="AX671" s="49"/>
    </row>
    <row r="672">
      <c r="A672" s="49"/>
      <c r="B672" s="49"/>
      <c r="C672" s="49"/>
      <c r="D672" s="50"/>
      <c r="E672" s="50"/>
      <c r="F672" s="50"/>
      <c r="G672" s="50"/>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c r="AF672" s="49"/>
      <c r="AG672" s="49"/>
      <c r="AH672" s="49"/>
      <c r="AI672" s="49"/>
      <c r="AJ672" s="49"/>
      <c r="AK672" s="49"/>
      <c r="AL672" s="49"/>
      <c r="AM672" s="49"/>
      <c r="AN672" s="49"/>
      <c r="AO672" s="49"/>
      <c r="AP672" s="49"/>
      <c r="AQ672" s="49"/>
      <c r="AR672" s="49"/>
      <c r="AS672" s="49"/>
      <c r="AT672" s="49"/>
      <c r="AU672" s="49"/>
      <c r="AV672" s="49"/>
      <c r="AW672" s="49"/>
      <c r="AX672" s="49"/>
    </row>
    <row r="673">
      <c r="A673" s="49"/>
      <c r="B673" s="49"/>
      <c r="C673" s="49"/>
      <c r="D673" s="50"/>
      <c r="E673" s="50"/>
      <c r="F673" s="50"/>
      <c r="G673" s="50"/>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c r="AF673" s="49"/>
      <c r="AG673" s="49"/>
      <c r="AH673" s="49"/>
      <c r="AI673" s="49"/>
      <c r="AJ673" s="49"/>
      <c r="AK673" s="49"/>
      <c r="AL673" s="49"/>
      <c r="AM673" s="49"/>
      <c r="AN673" s="49"/>
      <c r="AO673" s="49"/>
      <c r="AP673" s="49"/>
      <c r="AQ673" s="49"/>
      <c r="AR673" s="49"/>
      <c r="AS673" s="49"/>
      <c r="AT673" s="49"/>
      <c r="AU673" s="49"/>
      <c r="AV673" s="49"/>
      <c r="AW673" s="49"/>
      <c r="AX673" s="49"/>
    </row>
    <row r="674">
      <c r="A674" s="49"/>
      <c r="B674" s="49"/>
      <c r="C674" s="49"/>
      <c r="D674" s="50"/>
      <c r="E674" s="50"/>
      <c r="F674" s="50"/>
      <c r="G674" s="50"/>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c r="AF674" s="49"/>
      <c r="AG674" s="49"/>
      <c r="AH674" s="49"/>
      <c r="AI674" s="49"/>
      <c r="AJ674" s="49"/>
      <c r="AK674" s="49"/>
      <c r="AL674" s="49"/>
      <c r="AM674" s="49"/>
      <c r="AN674" s="49"/>
      <c r="AO674" s="49"/>
      <c r="AP674" s="49"/>
      <c r="AQ674" s="49"/>
      <c r="AR674" s="49"/>
      <c r="AS674" s="49"/>
      <c r="AT674" s="49"/>
      <c r="AU674" s="49"/>
      <c r="AV674" s="49"/>
      <c r="AW674" s="49"/>
      <c r="AX674" s="49"/>
    </row>
    <row r="675">
      <c r="A675" s="49"/>
      <c r="B675" s="49"/>
      <c r="C675" s="49"/>
      <c r="D675" s="50"/>
      <c r="E675" s="50"/>
      <c r="F675" s="50"/>
      <c r="G675" s="50"/>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c r="AF675" s="49"/>
      <c r="AG675" s="49"/>
      <c r="AH675" s="49"/>
      <c r="AI675" s="49"/>
      <c r="AJ675" s="49"/>
      <c r="AK675" s="49"/>
      <c r="AL675" s="49"/>
      <c r="AM675" s="49"/>
      <c r="AN675" s="49"/>
      <c r="AO675" s="49"/>
      <c r="AP675" s="49"/>
      <c r="AQ675" s="49"/>
      <c r="AR675" s="49"/>
      <c r="AS675" s="49"/>
      <c r="AT675" s="49"/>
      <c r="AU675" s="49"/>
      <c r="AV675" s="49"/>
      <c r="AW675" s="49"/>
      <c r="AX675" s="49"/>
    </row>
    <row r="676">
      <c r="A676" s="49"/>
      <c r="B676" s="49"/>
      <c r="C676" s="49"/>
      <c r="D676" s="50"/>
      <c r="E676" s="50"/>
      <c r="F676" s="50"/>
      <c r="G676" s="50"/>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c r="AF676" s="49"/>
      <c r="AG676" s="49"/>
      <c r="AH676" s="49"/>
      <c r="AI676" s="49"/>
      <c r="AJ676" s="49"/>
      <c r="AK676" s="49"/>
      <c r="AL676" s="49"/>
      <c r="AM676" s="49"/>
      <c r="AN676" s="49"/>
      <c r="AO676" s="49"/>
      <c r="AP676" s="49"/>
      <c r="AQ676" s="49"/>
      <c r="AR676" s="49"/>
      <c r="AS676" s="49"/>
      <c r="AT676" s="49"/>
      <c r="AU676" s="49"/>
      <c r="AV676" s="49"/>
      <c r="AW676" s="49"/>
      <c r="AX676" s="49"/>
    </row>
    <row r="677">
      <c r="A677" s="49"/>
      <c r="B677" s="49"/>
      <c r="C677" s="49"/>
      <c r="D677" s="50"/>
      <c r="E677" s="50"/>
      <c r="F677" s="50"/>
      <c r="G677" s="50"/>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c r="AF677" s="49"/>
      <c r="AG677" s="49"/>
      <c r="AH677" s="49"/>
      <c r="AI677" s="49"/>
      <c r="AJ677" s="49"/>
      <c r="AK677" s="49"/>
      <c r="AL677" s="49"/>
      <c r="AM677" s="49"/>
      <c r="AN677" s="49"/>
      <c r="AO677" s="49"/>
      <c r="AP677" s="49"/>
      <c r="AQ677" s="49"/>
      <c r="AR677" s="49"/>
      <c r="AS677" s="49"/>
      <c r="AT677" s="49"/>
      <c r="AU677" s="49"/>
      <c r="AV677" s="49"/>
      <c r="AW677" s="49"/>
      <c r="AX677" s="49"/>
    </row>
    <row r="678">
      <c r="A678" s="49"/>
      <c r="B678" s="49"/>
      <c r="C678" s="49"/>
      <c r="D678" s="50"/>
      <c r="E678" s="50"/>
      <c r="F678" s="50"/>
      <c r="G678" s="50"/>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c r="AF678" s="49"/>
      <c r="AG678" s="49"/>
      <c r="AH678" s="49"/>
      <c r="AI678" s="49"/>
      <c r="AJ678" s="49"/>
      <c r="AK678" s="49"/>
      <c r="AL678" s="49"/>
      <c r="AM678" s="49"/>
      <c r="AN678" s="49"/>
      <c r="AO678" s="49"/>
      <c r="AP678" s="49"/>
      <c r="AQ678" s="49"/>
      <c r="AR678" s="49"/>
      <c r="AS678" s="49"/>
      <c r="AT678" s="49"/>
      <c r="AU678" s="49"/>
      <c r="AV678" s="49"/>
      <c r="AW678" s="49"/>
      <c r="AX678" s="49"/>
    </row>
    <row r="679">
      <c r="A679" s="49"/>
      <c r="B679" s="49"/>
      <c r="C679" s="49"/>
      <c r="D679" s="50"/>
      <c r="E679" s="50"/>
      <c r="F679" s="50"/>
      <c r="G679" s="50"/>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c r="AF679" s="49"/>
      <c r="AG679" s="49"/>
      <c r="AH679" s="49"/>
      <c r="AI679" s="49"/>
      <c r="AJ679" s="49"/>
      <c r="AK679" s="49"/>
      <c r="AL679" s="49"/>
      <c r="AM679" s="49"/>
      <c r="AN679" s="49"/>
      <c r="AO679" s="49"/>
      <c r="AP679" s="49"/>
      <c r="AQ679" s="49"/>
      <c r="AR679" s="49"/>
      <c r="AS679" s="49"/>
      <c r="AT679" s="49"/>
      <c r="AU679" s="49"/>
      <c r="AV679" s="49"/>
      <c r="AW679" s="49"/>
      <c r="AX679" s="49"/>
    </row>
    <row r="680">
      <c r="A680" s="49"/>
      <c r="B680" s="49"/>
      <c r="C680" s="49"/>
      <c r="D680" s="50"/>
      <c r="E680" s="50"/>
      <c r="F680" s="50"/>
      <c r="G680" s="50"/>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c r="AF680" s="49"/>
      <c r="AG680" s="49"/>
      <c r="AH680" s="49"/>
      <c r="AI680" s="49"/>
      <c r="AJ680" s="49"/>
      <c r="AK680" s="49"/>
      <c r="AL680" s="49"/>
      <c r="AM680" s="49"/>
      <c r="AN680" s="49"/>
      <c r="AO680" s="49"/>
      <c r="AP680" s="49"/>
      <c r="AQ680" s="49"/>
      <c r="AR680" s="49"/>
      <c r="AS680" s="49"/>
      <c r="AT680" s="49"/>
      <c r="AU680" s="49"/>
      <c r="AV680" s="49"/>
      <c r="AW680" s="49"/>
      <c r="AX680" s="49"/>
    </row>
    <row r="681">
      <c r="A681" s="49"/>
      <c r="B681" s="49"/>
      <c r="C681" s="49"/>
      <c r="D681" s="50"/>
      <c r="E681" s="50"/>
      <c r="F681" s="50"/>
      <c r="G681" s="50"/>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c r="AF681" s="49"/>
      <c r="AG681" s="49"/>
      <c r="AH681" s="49"/>
      <c r="AI681" s="49"/>
      <c r="AJ681" s="49"/>
      <c r="AK681" s="49"/>
      <c r="AL681" s="49"/>
      <c r="AM681" s="49"/>
      <c r="AN681" s="49"/>
      <c r="AO681" s="49"/>
      <c r="AP681" s="49"/>
      <c r="AQ681" s="49"/>
      <c r="AR681" s="49"/>
      <c r="AS681" s="49"/>
      <c r="AT681" s="49"/>
      <c r="AU681" s="49"/>
      <c r="AV681" s="49"/>
      <c r="AW681" s="49"/>
      <c r="AX681" s="49"/>
    </row>
    <row r="682">
      <c r="A682" s="49"/>
      <c r="B682" s="49"/>
      <c r="C682" s="49"/>
      <c r="D682" s="50"/>
      <c r="E682" s="50"/>
      <c r="F682" s="50"/>
      <c r="G682" s="50"/>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c r="AF682" s="49"/>
      <c r="AG682" s="49"/>
      <c r="AH682" s="49"/>
      <c r="AI682" s="49"/>
      <c r="AJ682" s="49"/>
      <c r="AK682" s="49"/>
      <c r="AL682" s="49"/>
      <c r="AM682" s="49"/>
      <c r="AN682" s="49"/>
      <c r="AO682" s="49"/>
      <c r="AP682" s="49"/>
      <c r="AQ682" s="49"/>
      <c r="AR682" s="49"/>
      <c r="AS682" s="49"/>
      <c r="AT682" s="49"/>
      <c r="AU682" s="49"/>
      <c r="AV682" s="49"/>
      <c r="AW682" s="49"/>
      <c r="AX682" s="49"/>
    </row>
    <row r="683">
      <c r="A683" s="49"/>
      <c r="B683" s="49"/>
      <c r="C683" s="49"/>
      <c r="D683" s="50"/>
      <c r="E683" s="50"/>
      <c r="F683" s="50"/>
      <c r="G683" s="50"/>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c r="AF683" s="49"/>
      <c r="AG683" s="49"/>
      <c r="AH683" s="49"/>
      <c r="AI683" s="49"/>
      <c r="AJ683" s="49"/>
      <c r="AK683" s="49"/>
      <c r="AL683" s="49"/>
      <c r="AM683" s="49"/>
      <c r="AN683" s="49"/>
      <c r="AO683" s="49"/>
      <c r="AP683" s="49"/>
      <c r="AQ683" s="49"/>
      <c r="AR683" s="49"/>
      <c r="AS683" s="49"/>
      <c r="AT683" s="49"/>
      <c r="AU683" s="49"/>
      <c r="AV683" s="49"/>
      <c r="AW683" s="49"/>
      <c r="AX683" s="49"/>
    </row>
    <row r="684">
      <c r="A684" s="49"/>
      <c r="B684" s="49"/>
      <c r="C684" s="49"/>
      <c r="D684" s="50"/>
      <c r="E684" s="50"/>
      <c r="F684" s="50"/>
      <c r="G684" s="50"/>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c r="AF684" s="49"/>
      <c r="AG684" s="49"/>
      <c r="AH684" s="49"/>
      <c r="AI684" s="49"/>
      <c r="AJ684" s="49"/>
      <c r="AK684" s="49"/>
      <c r="AL684" s="49"/>
      <c r="AM684" s="49"/>
      <c r="AN684" s="49"/>
      <c r="AO684" s="49"/>
      <c r="AP684" s="49"/>
      <c r="AQ684" s="49"/>
      <c r="AR684" s="49"/>
      <c r="AS684" s="49"/>
      <c r="AT684" s="49"/>
      <c r="AU684" s="49"/>
      <c r="AV684" s="49"/>
      <c r="AW684" s="49"/>
      <c r="AX684" s="49"/>
    </row>
    <row r="685">
      <c r="A685" s="49"/>
      <c r="B685" s="49"/>
      <c r="C685" s="49"/>
      <c r="D685" s="50"/>
      <c r="E685" s="50"/>
      <c r="F685" s="50"/>
      <c r="G685" s="50"/>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c r="AF685" s="49"/>
      <c r="AG685" s="49"/>
      <c r="AH685" s="49"/>
      <c r="AI685" s="49"/>
      <c r="AJ685" s="49"/>
      <c r="AK685" s="49"/>
      <c r="AL685" s="49"/>
      <c r="AM685" s="49"/>
      <c r="AN685" s="49"/>
      <c r="AO685" s="49"/>
      <c r="AP685" s="49"/>
      <c r="AQ685" s="49"/>
      <c r="AR685" s="49"/>
      <c r="AS685" s="49"/>
      <c r="AT685" s="49"/>
      <c r="AU685" s="49"/>
      <c r="AV685" s="49"/>
      <c r="AW685" s="49"/>
      <c r="AX685" s="49"/>
    </row>
    <row r="686">
      <c r="A686" s="49"/>
      <c r="B686" s="49"/>
      <c r="C686" s="49"/>
      <c r="D686" s="50"/>
      <c r="E686" s="50"/>
      <c r="F686" s="50"/>
      <c r="G686" s="50"/>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c r="AF686" s="49"/>
      <c r="AG686" s="49"/>
      <c r="AH686" s="49"/>
      <c r="AI686" s="49"/>
      <c r="AJ686" s="49"/>
      <c r="AK686" s="49"/>
      <c r="AL686" s="49"/>
      <c r="AM686" s="49"/>
      <c r="AN686" s="49"/>
      <c r="AO686" s="49"/>
      <c r="AP686" s="49"/>
      <c r="AQ686" s="49"/>
      <c r="AR686" s="49"/>
      <c r="AS686" s="49"/>
      <c r="AT686" s="49"/>
      <c r="AU686" s="49"/>
      <c r="AV686" s="49"/>
      <c r="AW686" s="49"/>
      <c r="AX686" s="49"/>
    </row>
    <row r="687">
      <c r="A687" s="49"/>
      <c r="B687" s="49"/>
      <c r="C687" s="49"/>
      <c r="D687" s="50"/>
      <c r="E687" s="50"/>
      <c r="F687" s="50"/>
      <c r="G687" s="50"/>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c r="AF687" s="49"/>
      <c r="AG687" s="49"/>
      <c r="AH687" s="49"/>
      <c r="AI687" s="49"/>
      <c r="AJ687" s="49"/>
      <c r="AK687" s="49"/>
      <c r="AL687" s="49"/>
      <c r="AM687" s="49"/>
      <c r="AN687" s="49"/>
      <c r="AO687" s="49"/>
      <c r="AP687" s="49"/>
      <c r="AQ687" s="49"/>
      <c r="AR687" s="49"/>
      <c r="AS687" s="49"/>
      <c r="AT687" s="49"/>
      <c r="AU687" s="49"/>
      <c r="AV687" s="49"/>
      <c r="AW687" s="49"/>
      <c r="AX687" s="49"/>
    </row>
    <row r="688">
      <c r="A688" s="49"/>
      <c r="B688" s="49"/>
      <c r="C688" s="49"/>
      <c r="D688" s="50"/>
      <c r="E688" s="50"/>
      <c r="F688" s="50"/>
      <c r="G688" s="50"/>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c r="AF688" s="49"/>
      <c r="AG688" s="49"/>
      <c r="AH688" s="49"/>
      <c r="AI688" s="49"/>
      <c r="AJ688" s="49"/>
      <c r="AK688" s="49"/>
      <c r="AL688" s="49"/>
      <c r="AM688" s="49"/>
      <c r="AN688" s="49"/>
      <c r="AO688" s="49"/>
      <c r="AP688" s="49"/>
      <c r="AQ688" s="49"/>
      <c r="AR688" s="49"/>
      <c r="AS688" s="49"/>
      <c r="AT688" s="49"/>
      <c r="AU688" s="49"/>
      <c r="AV688" s="49"/>
      <c r="AW688" s="49"/>
      <c r="AX688" s="49"/>
    </row>
    <row r="689">
      <c r="A689" s="49"/>
      <c r="B689" s="49"/>
      <c r="C689" s="49"/>
      <c r="D689" s="50"/>
      <c r="E689" s="50"/>
      <c r="F689" s="50"/>
      <c r="G689" s="50"/>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c r="AF689" s="49"/>
      <c r="AG689" s="49"/>
      <c r="AH689" s="49"/>
      <c r="AI689" s="49"/>
      <c r="AJ689" s="49"/>
      <c r="AK689" s="49"/>
      <c r="AL689" s="49"/>
      <c r="AM689" s="49"/>
      <c r="AN689" s="49"/>
      <c r="AO689" s="49"/>
      <c r="AP689" s="49"/>
      <c r="AQ689" s="49"/>
      <c r="AR689" s="49"/>
      <c r="AS689" s="49"/>
      <c r="AT689" s="49"/>
      <c r="AU689" s="49"/>
      <c r="AV689" s="49"/>
      <c r="AW689" s="49"/>
      <c r="AX689" s="49"/>
    </row>
    <row r="690">
      <c r="A690" s="49"/>
      <c r="B690" s="49"/>
      <c r="C690" s="49"/>
      <c r="D690" s="50"/>
      <c r="E690" s="50"/>
      <c r="F690" s="50"/>
      <c r="G690" s="50"/>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c r="AF690" s="49"/>
      <c r="AG690" s="49"/>
      <c r="AH690" s="49"/>
      <c r="AI690" s="49"/>
      <c r="AJ690" s="49"/>
      <c r="AK690" s="49"/>
      <c r="AL690" s="49"/>
      <c r="AM690" s="49"/>
      <c r="AN690" s="49"/>
      <c r="AO690" s="49"/>
      <c r="AP690" s="49"/>
      <c r="AQ690" s="49"/>
      <c r="AR690" s="49"/>
      <c r="AS690" s="49"/>
      <c r="AT690" s="49"/>
      <c r="AU690" s="49"/>
      <c r="AV690" s="49"/>
      <c r="AW690" s="49"/>
      <c r="AX690" s="49"/>
    </row>
    <row r="691">
      <c r="A691" s="49"/>
      <c r="B691" s="49"/>
      <c r="C691" s="49"/>
      <c r="D691" s="50"/>
      <c r="E691" s="50"/>
      <c r="F691" s="50"/>
      <c r="G691" s="50"/>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c r="AF691" s="49"/>
      <c r="AG691" s="49"/>
      <c r="AH691" s="49"/>
      <c r="AI691" s="49"/>
      <c r="AJ691" s="49"/>
      <c r="AK691" s="49"/>
      <c r="AL691" s="49"/>
      <c r="AM691" s="49"/>
      <c r="AN691" s="49"/>
      <c r="AO691" s="49"/>
      <c r="AP691" s="49"/>
      <c r="AQ691" s="49"/>
      <c r="AR691" s="49"/>
      <c r="AS691" s="49"/>
      <c r="AT691" s="49"/>
      <c r="AU691" s="49"/>
      <c r="AV691" s="49"/>
      <c r="AW691" s="49"/>
      <c r="AX691" s="49"/>
    </row>
    <row r="692">
      <c r="A692" s="49"/>
      <c r="B692" s="49"/>
      <c r="C692" s="49"/>
      <c r="D692" s="50"/>
      <c r="E692" s="50"/>
      <c r="F692" s="50"/>
      <c r="G692" s="50"/>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c r="AF692" s="49"/>
      <c r="AG692" s="49"/>
      <c r="AH692" s="49"/>
      <c r="AI692" s="49"/>
      <c r="AJ692" s="49"/>
      <c r="AK692" s="49"/>
      <c r="AL692" s="49"/>
      <c r="AM692" s="49"/>
      <c r="AN692" s="49"/>
      <c r="AO692" s="49"/>
      <c r="AP692" s="49"/>
      <c r="AQ692" s="49"/>
      <c r="AR692" s="49"/>
      <c r="AS692" s="49"/>
      <c r="AT692" s="49"/>
      <c r="AU692" s="49"/>
      <c r="AV692" s="49"/>
      <c r="AW692" s="49"/>
      <c r="AX692" s="49"/>
    </row>
    <row r="693">
      <c r="A693" s="49"/>
      <c r="B693" s="49"/>
      <c r="C693" s="49"/>
      <c r="D693" s="50"/>
      <c r="E693" s="50"/>
      <c r="F693" s="50"/>
      <c r="G693" s="50"/>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c r="AF693" s="49"/>
      <c r="AG693" s="49"/>
      <c r="AH693" s="49"/>
      <c r="AI693" s="49"/>
      <c r="AJ693" s="49"/>
      <c r="AK693" s="49"/>
      <c r="AL693" s="49"/>
      <c r="AM693" s="49"/>
      <c r="AN693" s="49"/>
      <c r="AO693" s="49"/>
      <c r="AP693" s="49"/>
      <c r="AQ693" s="49"/>
      <c r="AR693" s="49"/>
      <c r="AS693" s="49"/>
      <c r="AT693" s="49"/>
      <c r="AU693" s="49"/>
      <c r="AV693" s="49"/>
      <c r="AW693" s="49"/>
      <c r="AX693" s="49"/>
    </row>
    <row r="694">
      <c r="A694" s="49"/>
      <c r="B694" s="49"/>
      <c r="C694" s="49"/>
      <c r="D694" s="50"/>
      <c r="E694" s="50"/>
      <c r="F694" s="50"/>
      <c r="G694" s="50"/>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c r="AF694" s="49"/>
      <c r="AG694" s="49"/>
      <c r="AH694" s="49"/>
      <c r="AI694" s="49"/>
      <c r="AJ694" s="49"/>
      <c r="AK694" s="49"/>
      <c r="AL694" s="49"/>
      <c r="AM694" s="49"/>
      <c r="AN694" s="49"/>
      <c r="AO694" s="49"/>
      <c r="AP694" s="49"/>
      <c r="AQ694" s="49"/>
      <c r="AR694" s="49"/>
      <c r="AS694" s="49"/>
      <c r="AT694" s="49"/>
      <c r="AU694" s="49"/>
      <c r="AV694" s="49"/>
      <c r="AW694" s="49"/>
      <c r="AX694" s="49"/>
    </row>
    <row r="695">
      <c r="A695" s="49"/>
      <c r="B695" s="49"/>
      <c r="C695" s="49"/>
      <c r="D695" s="50"/>
      <c r="E695" s="50"/>
      <c r="F695" s="50"/>
      <c r="G695" s="50"/>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c r="AF695" s="49"/>
      <c r="AG695" s="49"/>
      <c r="AH695" s="49"/>
      <c r="AI695" s="49"/>
      <c r="AJ695" s="49"/>
      <c r="AK695" s="49"/>
      <c r="AL695" s="49"/>
      <c r="AM695" s="49"/>
      <c r="AN695" s="49"/>
      <c r="AO695" s="49"/>
      <c r="AP695" s="49"/>
      <c r="AQ695" s="49"/>
      <c r="AR695" s="49"/>
      <c r="AS695" s="49"/>
      <c r="AT695" s="49"/>
      <c r="AU695" s="49"/>
      <c r="AV695" s="49"/>
      <c r="AW695" s="49"/>
      <c r="AX695" s="49"/>
    </row>
    <row r="696">
      <c r="A696" s="49"/>
      <c r="B696" s="49"/>
      <c r="C696" s="49"/>
      <c r="D696" s="50"/>
      <c r="E696" s="50"/>
      <c r="F696" s="50"/>
      <c r="G696" s="50"/>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c r="AF696" s="49"/>
      <c r="AG696" s="49"/>
      <c r="AH696" s="49"/>
      <c r="AI696" s="49"/>
      <c r="AJ696" s="49"/>
      <c r="AK696" s="49"/>
      <c r="AL696" s="49"/>
      <c r="AM696" s="49"/>
      <c r="AN696" s="49"/>
      <c r="AO696" s="49"/>
      <c r="AP696" s="49"/>
      <c r="AQ696" s="49"/>
      <c r="AR696" s="49"/>
      <c r="AS696" s="49"/>
      <c r="AT696" s="49"/>
      <c r="AU696" s="49"/>
      <c r="AV696" s="49"/>
      <c r="AW696" s="49"/>
      <c r="AX696" s="49"/>
    </row>
    <row r="697">
      <c r="A697" s="49"/>
      <c r="B697" s="49"/>
      <c r="C697" s="49"/>
      <c r="D697" s="50"/>
      <c r="E697" s="50"/>
      <c r="F697" s="50"/>
      <c r="G697" s="50"/>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c r="AF697" s="49"/>
      <c r="AG697" s="49"/>
      <c r="AH697" s="49"/>
      <c r="AI697" s="49"/>
      <c r="AJ697" s="49"/>
      <c r="AK697" s="49"/>
      <c r="AL697" s="49"/>
      <c r="AM697" s="49"/>
      <c r="AN697" s="49"/>
      <c r="AO697" s="49"/>
      <c r="AP697" s="49"/>
      <c r="AQ697" s="49"/>
      <c r="AR697" s="49"/>
      <c r="AS697" s="49"/>
      <c r="AT697" s="49"/>
      <c r="AU697" s="49"/>
      <c r="AV697" s="49"/>
      <c r="AW697" s="49"/>
      <c r="AX697" s="49"/>
    </row>
    <row r="698">
      <c r="A698" s="49"/>
      <c r="B698" s="49"/>
      <c r="C698" s="49"/>
      <c r="D698" s="50"/>
      <c r="E698" s="50"/>
      <c r="F698" s="50"/>
      <c r="G698" s="50"/>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c r="AF698" s="49"/>
      <c r="AG698" s="49"/>
      <c r="AH698" s="49"/>
      <c r="AI698" s="49"/>
      <c r="AJ698" s="49"/>
      <c r="AK698" s="49"/>
      <c r="AL698" s="49"/>
      <c r="AM698" s="49"/>
      <c r="AN698" s="49"/>
      <c r="AO698" s="49"/>
      <c r="AP698" s="49"/>
      <c r="AQ698" s="49"/>
      <c r="AR698" s="49"/>
      <c r="AS698" s="49"/>
      <c r="AT698" s="49"/>
      <c r="AU698" s="49"/>
      <c r="AV698" s="49"/>
      <c r="AW698" s="49"/>
      <c r="AX698" s="49"/>
    </row>
    <row r="699">
      <c r="A699" s="49"/>
      <c r="B699" s="49"/>
      <c r="C699" s="49"/>
      <c r="D699" s="50"/>
      <c r="E699" s="50"/>
      <c r="F699" s="50"/>
      <c r="G699" s="50"/>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c r="AF699" s="49"/>
      <c r="AG699" s="49"/>
      <c r="AH699" s="49"/>
      <c r="AI699" s="49"/>
      <c r="AJ699" s="49"/>
      <c r="AK699" s="49"/>
      <c r="AL699" s="49"/>
      <c r="AM699" s="49"/>
      <c r="AN699" s="49"/>
      <c r="AO699" s="49"/>
      <c r="AP699" s="49"/>
      <c r="AQ699" s="49"/>
      <c r="AR699" s="49"/>
      <c r="AS699" s="49"/>
      <c r="AT699" s="49"/>
      <c r="AU699" s="49"/>
      <c r="AV699" s="49"/>
      <c r="AW699" s="49"/>
      <c r="AX699" s="49"/>
    </row>
    <row r="700">
      <c r="A700" s="49"/>
      <c r="B700" s="49"/>
      <c r="C700" s="49"/>
      <c r="D700" s="50"/>
      <c r="E700" s="50"/>
      <c r="F700" s="50"/>
      <c r="G700" s="50"/>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c r="AF700" s="49"/>
      <c r="AG700" s="49"/>
      <c r="AH700" s="49"/>
      <c r="AI700" s="49"/>
      <c r="AJ700" s="49"/>
      <c r="AK700" s="49"/>
      <c r="AL700" s="49"/>
      <c r="AM700" s="49"/>
      <c r="AN700" s="49"/>
      <c r="AO700" s="49"/>
      <c r="AP700" s="49"/>
      <c r="AQ700" s="49"/>
      <c r="AR700" s="49"/>
      <c r="AS700" s="49"/>
      <c r="AT700" s="49"/>
      <c r="AU700" s="49"/>
      <c r="AV700" s="49"/>
      <c r="AW700" s="49"/>
      <c r="AX700" s="49"/>
    </row>
    <row r="701">
      <c r="A701" s="49"/>
      <c r="B701" s="49"/>
      <c r="C701" s="49"/>
      <c r="D701" s="50"/>
      <c r="E701" s="50"/>
      <c r="F701" s="50"/>
      <c r="G701" s="50"/>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c r="AF701" s="49"/>
      <c r="AG701" s="49"/>
      <c r="AH701" s="49"/>
      <c r="AI701" s="49"/>
      <c r="AJ701" s="49"/>
      <c r="AK701" s="49"/>
      <c r="AL701" s="49"/>
      <c r="AM701" s="49"/>
      <c r="AN701" s="49"/>
      <c r="AO701" s="49"/>
      <c r="AP701" s="49"/>
      <c r="AQ701" s="49"/>
      <c r="AR701" s="49"/>
      <c r="AS701" s="49"/>
      <c r="AT701" s="49"/>
      <c r="AU701" s="49"/>
      <c r="AV701" s="49"/>
      <c r="AW701" s="49"/>
      <c r="AX701" s="49"/>
    </row>
    <row r="702">
      <c r="A702" s="49"/>
      <c r="B702" s="49"/>
      <c r="C702" s="49"/>
      <c r="D702" s="50"/>
      <c r="E702" s="50"/>
      <c r="F702" s="50"/>
      <c r="G702" s="50"/>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c r="AF702" s="49"/>
      <c r="AG702" s="49"/>
      <c r="AH702" s="49"/>
      <c r="AI702" s="49"/>
      <c r="AJ702" s="49"/>
      <c r="AK702" s="49"/>
      <c r="AL702" s="49"/>
      <c r="AM702" s="49"/>
      <c r="AN702" s="49"/>
      <c r="AO702" s="49"/>
      <c r="AP702" s="49"/>
      <c r="AQ702" s="49"/>
      <c r="AR702" s="49"/>
      <c r="AS702" s="49"/>
      <c r="AT702" s="49"/>
      <c r="AU702" s="49"/>
      <c r="AV702" s="49"/>
      <c r="AW702" s="49"/>
      <c r="AX702" s="49"/>
    </row>
    <row r="703">
      <c r="A703" s="49"/>
      <c r="B703" s="49"/>
      <c r="C703" s="49"/>
      <c r="D703" s="50"/>
      <c r="E703" s="50"/>
      <c r="F703" s="50"/>
      <c r="G703" s="50"/>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c r="AF703" s="49"/>
      <c r="AG703" s="49"/>
      <c r="AH703" s="49"/>
      <c r="AI703" s="49"/>
      <c r="AJ703" s="49"/>
      <c r="AK703" s="49"/>
      <c r="AL703" s="49"/>
      <c r="AM703" s="49"/>
      <c r="AN703" s="49"/>
      <c r="AO703" s="49"/>
      <c r="AP703" s="49"/>
      <c r="AQ703" s="49"/>
      <c r="AR703" s="49"/>
      <c r="AS703" s="49"/>
      <c r="AT703" s="49"/>
      <c r="AU703" s="49"/>
      <c r="AV703" s="49"/>
      <c r="AW703" s="49"/>
      <c r="AX703" s="49"/>
    </row>
    <row r="704">
      <c r="A704" s="49"/>
      <c r="B704" s="49"/>
      <c r="C704" s="49"/>
      <c r="D704" s="50"/>
      <c r="E704" s="50"/>
      <c r="F704" s="50"/>
      <c r="G704" s="50"/>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c r="AF704" s="49"/>
      <c r="AG704" s="49"/>
      <c r="AH704" s="49"/>
      <c r="AI704" s="49"/>
      <c r="AJ704" s="49"/>
      <c r="AK704" s="49"/>
      <c r="AL704" s="49"/>
      <c r="AM704" s="49"/>
      <c r="AN704" s="49"/>
      <c r="AO704" s="49"/>
      <c r="AP704" s="49"/>
      <c r="AQ704" s="49"/>
      <c r="AR704" s="49"/>
      <c r="AS704" s="49"/>
      <c r="AT704" s="49"/>
      <c r="AU704" s="49"/>
      <c r="AV704" s="49"/>
      <c r="AW704" s="49"/>
      <c r="AX704" s="49"/>
    </row>
    <row r="705">
      <c r="A705" s="49"/>
      <c r="B705" s="49"/>
      <c r="C705" s="49"/>
      <c r="D705" s="50"/>
      <c r="E705" s="50"/>
      <c r="F705" s="50"/>
      <c r="G705" s="50"/>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c r="AF705" s="49"/>
      <c r="AG705" s="49"/>
      <c r="AH705" s="49"/>
      <c r="AI705" s="49"/>
      <c r="AJ705" s="49"/>
      <c r="AK705" s="49"/>
      <c r="AL705" s="49"/>
      <c r="AM705" s="49"/>
      <c r="AN705" s="49"/>
      <c r="AO705" s="49"/>
      <c r="AP705" s="49"/>
      <c r="AQ705" s="49"/>
      <c r="AR705" s="49"/>
      <c r="AS705" s="49"/>
      <c r="AT705" s="49"/>
      <c r="AU705" s="49"/>
      <c r="AV705" s="49"/>
      <c r="AW705" s="49"/>
      <c r="AX705" s="49"/>
    </row>
    <row r="706">
      <c r="A706" s="49"/>
      <c r="B706" s="49"/>
      <c r="C706" s="49"/>
      <c r="D706" s="50"/>
      <c r="E706" s="50"/>
      <c r="F706" s="50"/>
      <c r="G706" s="50"/>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c r="AF706" s="49"/>
      <c r="AG706" s="49"/>
      <c r="AH706" s="49"/>
      <c r="AI706" s="49"/>
      <c r="AJ706" s="49"/>
      <c r="AK706" s="49"/>
      <c r="AL706" s="49"/>
      <c r="AM706" s="49"/>
      <c r="AN706" s="49"/>
      <c r="AO706" s="49"/>
      <c r="AP706" s="49"/>
      <c r="AQ706" s="49"/>
      <c r="AR706" s="49"/>
      <c r="AS706" s="49"/>
      <c r="AT706" s="49"/>
      <c r="AU706" s="49"/>
      <c r="AV706" s="49"/>
      <c r="AW706" s="49"/>
      <c r="AX706" s="49"/>
    </row>
    <row r="707">
      <c r="A707" s="49"/>
      <c r="B707" s="49"/>
      <c r="C707" s="49"/>
      <c r="D707" s="50"/>
      <c r="E707" s="50"/>
      <c r="F707" s="50"/>
      <c r="G707" s="50"/>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c r="AF707" s="49"/>
      <c r="AG707" s="49"/>
      <c r="AH707" s="49"/>
      <c r="AI707" s="49"/>
      <c r="AJ707" s="49"/>
      <c r="AK707" s="49"/>
      <c r="AL707" s="49"/>
      <c r="AM707" s="49"/>
      <c r="AN707" s="49"/>
      <c r="AO707" s="49"/>
      <c r="AP707" s="49"/>
      <c r="AQ707" s="49"/>
      <c r="AR707" s="49"/>
      <c r="AS707" s="49"/>
      <c r="AT707" s="49"/>
      <c r="AU707" s="49"/>
      <c r="AV707" s="49"/>
      <c r="AW707" s="49"/>
      <c r="AX707" s="49"/>
    </row>
    <row r="708">
      <c r="A708" s="49"/>
      <c r="B708" s="49"/>
      <c r="C708" s="49"/>
      <c r="D708" s="50"/>
      <c r="E708" s="50"/>
      <c r="F708" s="50"/>
      <c r="G708" s="50"/>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c r="AF708" s="49"/>
      <c r="AG708" s="49"/>
      <c r="AH708" s="49"/>
      <c r="AI708" s="49"/>
      <c r="AJ708" s="49"/>
      <c r="AK708" s="49"/>
      <c r="AL708" s="49"/>
      <c r="AM708" s="49"/>
      <c r="AN708" s="49"/>
      <c r="AO708" s="49"/>
      <c r="AP708" s="49"/>
      <c r="AQ708" s="49"/>
      <c r="AR708" s="49"/>
      <c r="AS708" s="49"/>
      <c r="AT708" s="49"/>
      <c r="AU708" s="49"/>
      <c r="AV708" s="49"/>
      <c r="AW708" s="49"/>
      <c r="AX708" s="49"/>
    </row>
    <row r="709">
      <c r="A709" s="49"/>
      <c r="B709" s="49"/>
      <c r="C709" s="49"/>
      <c r="D709" s="50"/>
      <c r="E709" s="50"/>
      <c r="F709" s="50"/>
      <c r="G709" s="50"/>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c r="AF709" s="49"/>
      <c r="AG709" s="49"/>
      <c r="AH709" s="49"/>
      <c r="AI709" s="49"/>
      <c r="AJ709" s="49"/>
      <c r="AK709" s="49"/>
      <c r="AL709" s="49"/>
      <c r="AM709" s="49"/>
      <c r="AN709" s="49"/>
      <c r="AO709" s="49"/>
      <c r="AP709" s="49"/>
      <c r="AQ709" s="49"/>
      <c r="AR709" s="49"/>
      <c r="AS709" s="49"/>
      <c r="AT709" s="49"/>
      <c r="AU709" s="49"/>
      <c r="AV709" s="49"/>
      <c r="AW709" s="49"/>
      <c r="AX709" s="49"/>
    </row>
    <row r="710">
      <c r="A710" s="49"/>
      <c r="B710" s="49"/>
      <c r="C710" s="49"/>
      <c r="D710" s="50"/>
      <c r="E710" s="50"/>
      <c r="F710" s="50"/>
      <c r="G710" s="50"/>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c r="AF710" s="49"/>
      <c r="AG710" s="49"/>
      <c r="AH710" s="49"/>
      <c r="AI710" s="49"/>
      <c r="AJ710" s="49"/>
      <c r="AK710" s="49"/>
      <c r="AL710" s="49"/>
      <c r="AM710" s="49"/>
      <c r="AN710" s="49"/>
      <c r="AO710" s="49"/>
      <c r="AP710" s="49"/>
      <c r="AQ710" s="49"/>
      <c r="AR710" s="49"/>
      <c r="AS710" s="49"/>
      <c r="AT710" s="49"/>
      <c r="AU710" s="49"/>
      <c r="AV710" s="49"/>
      <c r="AW710" s="49"/>
      <c r="AX710" s="49"/>
    </row>
    <row r="711">
      <c r="A711" s="49"/>
      <c r="B711" s="49"/>
      <c r="C711" s="49"/>
      <c r="D711" s="50"/>
      <c r="E711" s="50"/>
      <c r="F711" s="50"/>
      <c r="G711" s="50"/>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c r="AF711" s="49"/>
      <c r="AG711" s="49"/>
      <c r="AH711" s="49"/>
      <c r="AI711" s="49"/>
      <c r="AJ711" s="49"/>
      <c r="AK711" s="49"/>
      <c r="AL711" s="49"/>
      <c r="AM711" s="49"/>
      <c r="AN711" s="49"/>
      <c r="AO711" s="49"/>
      <c r="AP711" s="49"/>
      <c r="AQ711" s="49"/>
      <c r="AR711" s="49"/>
      <c r="AS711" s="49"/>
      <c r="AT711" s="49"/>
      <c r="AU711" s="49"/>
      <c r="AV711" s="49"/>
      <c r="AW711" s="49"/>
      <c r="AX711" s="49"/>
    </row>
    <row r="712">
      <c r="A712" s="49"/>
      <c r="B712" s="49"/>
      <c r="C712" s="49"/>
      <c r="D712" s="50"/>
      <c r="E712" s="50"/>
      <c r="F712" s="50"/>
      <c r="G712" s="50"/>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c r="AF712" s="49"/>
      <c r="AG712" s="49"/>
      <c r="AH712" s="49"/>
      <c r="AI712" s="49"/>
      <c r="AJ712" s="49"/>
      <c r="AK712" s="49"/>
      <c r="AL712" s="49"/>
      <c r="AM712" s="49"/>
      <c r="AN712" s="49"/>
      <c r="AO712" s="49"/>
      <c r="AP712" s="49"/>
      <c r="AQ712" s="49"/>
      <c r="AR712" s="49"/>
      <c r="AS712" s="49"/>
      <c r="AT712" s="49"/>
      <c r="AU712" s="49"/>
      <c r="AV712" s="49"/>
      <c r="AW712" s="49"/>
      <c r="AX712" s="49"/>
    </row>
    <row r="713">
      <c r="A713" s="49"/>
      <c r="B713" s="49"/>
      <c r="C713" s="49"/>
      <c r="D713" s="50"/>
      <c r="E713" s="50"/>
      <c r="F713" s="50"/>
      <c r="G713" s="50"/>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c r="AF713" s="49"/>
      <c r="AG713" s="49"/>
      <c r="AH713" s="49"/>
      <c r="AI713" s="49"/>
      <c r="AJ713" s="49"/>
      <c r="AK713" s="49"/>
      <c r="AL713" s="49"/>
      <c r="AM713" s="49"/>
      <c r="AN713" s="49"/>
      <c r="AO713" s="49"/>
      <c r="AP713" s="49"/>
      <c r="AQ713" s="49"/>
      <c r="AR713" s="49"/>
      <c r="AS713" s="49"/>
      <c r="AT713" s="49"/>
      <c r="AU713" s="49"/>
      <c r="AV713" s="49"/>
      <c r="AW713" s="49"/>
      <c r="AX713" s="49"/>
    </row>
    <row r="714">
      <c r="A714" s="49"/>
      <c r="B714" s="49"/>
      <c r="C714" s="49"/>
      <c r="D714" s="50"/>
      <c r="E714" s="50"/>
      <c r="F714" s="50"/>
      <c r="G714" s="50"/>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c r="AF714" s="49"/>
      <c r="AG714" s="49"/>
      <c r="AH714" s="49"/>
      <c r="AI714" s="49"/>
      <c r="AJ714" s="49"/>
      <c r="AK714" s="49"/>
      <c r="AL714" s="49"/>
      <c r="AM714" s="49"/>
      <c r="AN714" s="49"/>
      <c r="AO714" s="49"/>
      <c r="AP714" s="49"/>
      <c r="AQ714" s="49"/>
      <c r="AR714" s="49"/>
      <c r="AS714" s="49"/>
      <c r="AT714" s="49"/>
      <c r="AU714" s="49"/>
      <c r="AV714" s="49"/>
      <c r="AW714" s="49"/>
      <c r="AX714" s="49"/>
    </row>
    <row r="715">
      <c r="A715" s="49"/>
      <c r="B715" s="49"/>
      <c r="C715" s="49"/>
      <c r="D715" s="50"/>
      <c r="E715" s="50"/>
      <c r="F715" s="50"/>
      <c r="G715" s="50"/>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c r="AF715" s="49"/>
      <c r="AG715" s="49"/>
      <c r="AH715" s="49"/>
      <c r="AI715" s="49"/>
      <c r="AJ715" s="49"/>
      <c r="AK715" s="49"/>
      <c r="AL715" s="49"/>
      <c r="AM715" s="49"/>
      <c r="AN715" s="49"/>
      <c r="AO715" s="49"/>
      <c r="AP715" s="49"/>
      <c r="AQ715" s="49"/>
      <c r="AR715" s="49"/>
      <c r="AS715" s="49"/>
      <c r="AT715" s="49"/>
      <c r="AU715" s="49"/>
      <c r="AV715" s="49"/>
      <c r="AW715" s="49"/>
      <c r="AX715" s="49"/>
    </row>
    <row r="716">
      <c r="A716" s="49"/>
      <c r="B716" s="49"/>
      <c r="C716" s="49"/>
      <c r="D716" s="50"/>
      <c r="E716" s="50"/>
      <c r="F716" s="50"/>
      <c r="G716" s="50"/>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c r="AF716" s="49"/>
      <c r="AG716" s="49"/>
      <c r="AH716" s="49"/>
      <c r="AI716" s="49"/>
      <c r="AJ716" s="49"/>
      <c r="AK716" s="49"/>
      <c r="AL716" s="49"/>
      <c r="AM716" s="49"/>
      <c r="AN716" s="49"/>
      <c r="AO716" s="49"/>
      <c r="AP716" s="49"/>
      <c r="AQ716" s="49"/>
      <c r="AR716" s="49"/>
      <c r="AS716" s="49"/>
      <c r="AT716" s="49"/>
      <c r="AU716" s="49"/>
      <c r="AV716" s="49"/>
      <c r="AW716" s="49"/>
      <c r="AX716" s="49"/>
    </row>
    <row r="717">
      <c r="A717" s="49"/>
      <c r="B717" s="49"/>
      <c r="C717" s="49"/>
      <c r="D717" s="50"/>
      <c r="E717" s="50"/>
      <c r="F717" s="50"/>
      <c r="G717" s="50"/>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c r="AF717" s="49"/>
      <c r="AG717" s="49"/>
      <c r="AH717" s="49"/>
      <c r="AI717" s="49"/>
      <c r="AJ717" s="49"/>
      <c r="AK717" s="49"/>
      <c r="AL717" s="49"/>
      <c r="AM717" s="49"/>
      <c r="AN717" s="49"/>
      <c r="AO717" s="49"/>
      <c r="AP717" s="49"/>
      <c r="AQ717" s="49"/>
      <c r="AR717" s="49"/>
      <c r="AS717" s="49"/>
      <c r="AT717" s="49"/>
      <c r="AU717" s="49"/>
      <c r="AV717" s="49"/>
      <c r="AW717" s="49"/>
      <c r="AX717" s="49"/>
    </row>
    <row r="718">
      <c r="A718" s="49"/>
      <c r="B718" s="49"/>
      <c r="C718" s="49"/>
      <c r="D718" s="50"/>
      <c r="E718" s="50"/>
      <c r="F718" s="50"/>
      <c r="G718" s="50"/>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c r="AF718" s="49"/>
      <c r="AG718" s="49"/>
      <c r="AH718" s="49"/>
      <c r="AI718" s="49"/>
      <c r="AJ718" s="49"/>
      <c r="AK718" s="49"/>
      <c r="AL718" s="49"/>
      <c r="AM718" s="49"/>
      <c r="AN718" s="49"/>
      <c r="AO718" s="49"/>
      <c r="AP718" s="49"/>
      <c r="AQ718" s="49"/>
      <c r="AR718" s="49"/>
      <c r="AS718" s="49"/>
      <c r="AT718" s="49"/>
      <c r="AU718" s="49"/>
      <c r="AV718" s="49"/>
      <c r="AW718" s="49"/>
      <c r="AX718" s="49"/>
    </row>
    <row r="719">
      <c r="A719" s="49"/>
      <c r="B719" s="49"/>
      <c r="C719" s="49"/>
      <c r="D719" s="50"/>
      <c r="E719" s="50"/>
      <c r="F719" s="50"/>
      <c r="G719" s="50"/>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c r="AF719" s="49"/>
      <c r="AG719" s="49"/>
      <c r="AH719" s="49"/>
      <c r="AI719" s="49"/>
      <c r="AJ719" s="49"/>
      <c r="AK719" s="49"/>
      <c r="AL719" s="49"/>
      <c r="AM719" s="49"/>
      <c r="AN719" s="49"/>
      <c r="AO719" s="49"/>
      <c r="AP719" s="49"/>
      <c r="AQ719" s="49"/>
      <c r="AR719" s="49"/>
      <c r="AS719" s="49"/>
      <c r="AT719" s="49"/>
      <c r="AU719" s="49"/>
      <c r="AV719" s="49"/>
      <c r="AW719" s="49"/>
      <c r="AX719" s="49"/>
    </row>
    <row r="720">
      <c r="A720" s="49"/>
      <c r="B720" s="49"/>
      <c r="C720" s="49"/>
      <c r="D720" s="50"/>
      <c r="E720" s="50"/>
      <c r="F720" s="50"/>
      <c r="G720" s="50"/>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c r="AF720" s="49"/>
      <c r="AG720" s="49"/>
      <c r="AH720" s="49"/>
      <c r="AI720" s="49"/>
      <c r="AJ720" s="49"/>
      <c r="AK720" s="49"/>
      <c r="AL720" s="49"/>
      <c r="AM720" s="49"/>
      <c r="AN720" s="49"/>
      <c r="AO720" s="49"/>
      <c r="AP720" s="49"/>
      <c r="AQ720" s="49"/>
      <c r="AR720" s="49"/>
      <c r="AS720" s="49"/>
      <c r="AT720" s="49"/>
      <c r="AU720" s="49"/>
      <c r="AV720" s="49"/>
      <c r="AW720" s="49"/>
      <c r="AX720" s="49"/>
    </row>
    <row r="721">
      <c r="A721" s="49"/>
      <c r="B721" s="49"/>
      <c r="C721" s="49"/>
      <c r="D721" s="50"/>
      <c r="E721" s="50"/>
      <c r="F721" s="50"/>
      <c r="G721" s="50"/>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c r="AF721" s="49"/>
      <c r="AG721" s="49"/>
      <c r="AH721" s="49"/>
      <c r="AI721" s="49"/>
      <c r="AJ721" s="49"/>
      <c r="AK721" s="49"/>
      <c r="AL721" s="49"/>
      <c r="AM721" s="49"/>
      <c r="AN721" s="49"/>
      <c r="AO721" s="49"/>
      <c r="AP721" s="49"/>
      <c r="AQ721" s="49"/>
      <c r="AR721" s="49"/>
      <c r="AS721" s="49"/>
      <c r="AT721" s="49"/>
      <c r="AU721" s="49"/>
      <c r="AV721" s="49"/>
      <c r="AW721" s="49"/>
      <c r="AX721" s="49"/>
    </row>
    <row r="722">
      <c r="A722" s="49"/>
      <c r="B722" s="49"/>
      <c r="C722" s="49"/>
      <c r="D722" s="50"/>
      <c r="E722" s="50"/>
      <c r="F722" s="50"/>
      <c r="G722" s="50"/>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c r="AF722" s="49"/>
      <c r="AG722" s="49"/>
      <c r="AH722" s="49"/>
      <c r="AI722" s="49"/>
      <c r="AJ722" s="49"/>
      <c r="AK722" s="49"/>
      <c r="AL722" s="49"/>
      <c r="AM722" s="49"/>
      <c r="AN722" s="49"/>
      <c r="AO722" s="49"/>
      <c r="AP722" s="49"/>
      <c r="AQ722" s="49"/>
      <c r="AR722" s="49"/>
      <c r="AS722" s="49"/>
      <c r="AT722" s="49"/>
      <c r="AU722" s="49"/>
      <c r="AV722" s="49"/>
      <c r="AW722" s="49"/>
      <c r="AX722" s="49"/>
    </row>
    <row r="723">
      <c r="A723" s="49"/>
      <c r="B723" s="49"/>
      <c r="C723" s="49"/>
      <c r="D723" s="50"/>
      <c r="E723" s="50"/>
      <c r="F723" s="50"/>
      <c r="G723" s="50"/>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c r="AF723" s="49"/>
      <c r="AG723" s="49"/>
      <c r="AH723" s="49"/>
      <c r="AI723" s="49"/>
      <c r="AJ723" s="49"/>
      <c r="AK723" s="49"/>
      <c r="AL723" s="49"/>
      <c r="AM723" s="49"/>
      <c r="AN723" s="49"/>
      <c r="AO723" s="49"/>
      <c r="AP723" s="49"/>
      <c r="AQ723" s="49"/>
      <c r="AR723" s="49"/>
      <c r="AS723" s="49"/>
      <c r="AT723" s="49"/>
      <c r="AU723" s="49"/>
      <c r="AV723" s="49"/>
      <c r="AW723" s="49"/>
      <c r="AX723" s="49"/>
    </row>
    <row r="724">
      <c r="A724" s="49"/>
      <c r="B724" s="49"/>
      <c r="C724" s="49"/>
      <c r="D724" s="50"/>
      <c r="E724" s="50"/>
      <c r="F724" s="50"/>
      <c r="G724" s="50"/>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c r="AF724" s="49"/>
      <c r="AG724" s="49"/>
      <c r="AH724" s="49"/>
      <c r="AI724" s="49"/>
      <c r="AJ724" s="49"/>
      <c r="AK724" s="49"/>
      <c r="AL724" s="49"/>
      <c r="AM724" s="49"/>
      <c r="AN724" s="49"/>
      <c r="AO724" s="49"/>
      <c r="AP724" s="49"/>
      <c r="AQ724" s="49"/>
      <c r="AR724" s="49"/>
      <c r="AS724" s="49"/>
      <c r="AT724" s="49"/>
      <c r="AU724" s="49"/>
      <c r="AV724" s="49"/>
      <c r="AW724" s="49"/>
      <c r="AX724" s="49"/>
    </row>
    <row r="725">
      <c r="A725" s="49"/>
      <c r="B725" s="49"/>
      <c r="C725" s="49"/>
      <c r="D725" s="50"/>
      <c r="E725" s="50"/>
      <c r="F725" s="50"/>
      <c r="G725" s="50"/>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c r="AF725" s="49"/>
      <c r="AG725" s="49"/>
      <c r="AH725" s="49"/>
      <c r="AI725" s="49"/>
      <c r="AJ725" s="49"/>
      <c r="AK725" s="49"/>
      <c r="AL725" s="49"/>
      <c r="AM725" s="49"/>
      <c r="AN725" s="49"/>
      <c r="AO725" s="49"/>
      <c r="AP725" s="49"/>
      <c r="AQ725" s="49"/>
      <c r="AR725" s="49"/>
      <c r="AS725" s="49"/>
      <c r="AT725" s="49"/>
      <c r="AU725" s="49"/>
      <c r="AV725" s="49"/>
      <c r="AW725" s="49"/>
      <c r="AX725" s="49"/>
    </row>
    <row r="726">
      <c r="A726" s="49"/>
      <c r="B726" s="49"/>
      <c r="C726" s="49"/>
      <c r="D726" s="50"/>
      <c r="E726" s="50"/>
      <c r="F726" s="50"/>
      <c r="G726" s="50"/>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c r="AF726" s="49"/>
      <c r="AG726" s="49"/>
      <c r="AH726" s="49"/>
      <c r="AI726" s="49"/>
      <c r="AJ726" s="49"/>
      <c r="AK726" s="49"/>
      <c r="AL726" s="49"/>
      <c r="AM726" s="49"/>
      <c r="AN726" s="49"/>
      <c r="AO726" s="49"/>
      <c r="AP726" s="49"/>
      <c r="AQ726" s="49"/>
      <c r="AR726" s="49"/>
      <c r="AS726" s="49"/>
      <c r="AT726" s="49"/>
      <c r="AU726" s="49"/>
      <c r="AV726" s="49"/>
      <c r="AW726" s="49"/>
      <c r="AX726" s="49"/>
    </row>
    <row r="727">
      <c r="A727" s="49"/>
      <c r="B727" s="49"/>
      <c r="C727" s="49"/>
      <c r="D727" s="50"/>
      <c r="E727" s="50"/>
      <c r="F727" s="50"/>
      <c r="G727" s="50"/>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c r="AF727" s="49"/>
      <c r="AG727" s="49"/>
      <c r="AH727" s="49"/>
      <c r="AI727" s="49"/>
      <c r="AJ727" s="49"/>
      <c r="AK727" s="49"/>
      <c r="AL727" s="49"/>
      <c r="AM727" s="49"/>
      <c r="AN727" s="49"/>
      <c r="AO727" s="49"/>
      <c r="AP727" s="49"/>
      <c r="AQ727" s="49"/>
      <c r="AR727" s="49"/>
      <c r="AS727" s="49"/>
      <c r="AT727" s="49"/>
      <c r="AU727" s="49"/>
      <c r="AV727" s="49"/>
      <c r="AW727" s="49"/>
      <c r="AX727" s="49"/>
    </row>
    <row r="728">
      <c r="A728" s="49"/>
      <c r="B728" s="49"/>
      <c r="C728" s="49"/>
      <c r="D728" s="50"/>
      <c r="E728" s="50"/>
      <c r="F728" s="50"/>
      <c r="G728" s="50"/>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c r="AF728" s="49"/>
      <c r="AG728" s="49"/>
      <c r="AH728" s="49"/>
      <c r="AI728" s="49"/>
      <c r="AJ728" s="49"/>
      <c r="AK728" s="49"/>
      <c r="AL728" s="49"/>
      <c r="AM728" s="49"/>
      <c r="AN728" s="49"/>
      <c r="AO728" s="49"/>
      <c r="AP728" s="49"/>
      <c r="AQ728" s="49"/>
      <c r="AR728" s="49"/>
      <c r="AS728" s="49"/>
      <c r="AT728" s="49"/>
      <c r="AU728" s="49"/>
      <c r="AV728" s="49"/>
      <c r="AW728" s="49"/>
      <c r="AX728" s="49"/>
    </row>
    <row r="729">
      <c r="A729" s="49"/>
      <c r="B729" s="49"/>
      <c r="C729" s="49"/>
      <c r="D729" s="50"/>
      <c r="E729" s="50"/>
      <c r="F729" s="50"/>
      <c r="G729" s="50"/>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c r="AF729" s="49"/>
      <c r="AG729" s="49"/>
      <c r="AH729" s="49"/>
      <c r="AI729" s="49"/>
      <c r="AJ729" s="49"/>
      <c r="AK729" s="49"/>
      <c r="AL729" s="49"/>
      <c r="AM729" s="49"/>
      <c r="AN729" s="49"/>
      <c r="AO729" s="49"/>
      <c r="AP729" s="49"/>
      <c r="AQ729" s="49"/>
      <c r="AR729" s="49"/>
      <c r="AS729" s="49"/>
      <c r="AT729" s="49"/>
      <c r="AU729" s="49"/>
      <c r="AV729" s="49"/>
      <c r="AW729" s="49"/>
      <c r="AX729" s="49"/>
    </row>
    <row r="730">
      <c r="A730" s="49"/>
      <c r="B730" s="49"/>
      <c r="C730" s="49"/>
      <c r="D730" s="50"/>
      <c r="E730" s="50"/>
      <c r="F730" s="50"/>
      <c r="G730" s="50"/>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c r="AF730" s="49"/>
      <c r="AG730" s="49"/>
      <c r="AH730" s="49"/>
      <c r="AI730" s="49"/>
      <c r="AJ730" s="49"/>
      <c r="AK730" s="49"/>
      <c r="AL730" s="49"/>
      <c r="AM730" s="49"/>
      <c r="AN730" s="49"/>
      <c r="AO730" s="49"/>
      <c r="AP730" s="49"/>
      <c r="AQ730" s="49"/>
      <c r="AR730" s="49"/>
      <c r="AS730" s="49"/>
      <c r="AT730" s="49"/>
      <c r="AU730" s="49"/>
      <c r="AV730" s="49"/>
      <c r="AW730" s="49"/>
      <c r="AX730" s="49"/>
    </row>
    <row r="731">
      <c r="A731" s="49"/>
      <c r="B731" s="49"/>
      <c r="C731" s="49"/>
      <c r="D731" s="50"/>
      <c r="E731" s="50"/>
      <c r="F731" s="50"/>
      <c r="G731" s="50"/>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c r="AF731" s="49"/>
      <c r="AG731" s="49"/>
      <c r="AH731" s="49"/>
      <c r="AI731" s="49"/>
      <c r="AJ731" s="49"/>
      <c r="AK731" s="49"/>
      <c r="AL731" s="49"/>
      <c r="AM731" s="49"/>
      <c r="AN731" s="49"/>
      <c r="AO731" s="49"/>
      <c r="AP731" s="49"/>
      <c r="AQ731" s="49"/>
      <c r="AR731" s="49"/>
      <c r="AS731" s="49"/>
      <c r="AT731" s="49"/>
      <c r="AU731" s="49"/>
      <c r="AV731" s="49"/>
      <c r="AW731" s="49"/>
      <c r="AX731" s="49"/>
    </row>
    <row r="732">
      <c r="A732" s="49"/>
      <c r="B732" s="49"/>
      <c r="C732" s="49"/>
      <c r="D732" s="50"/>
      <c r="E732" s="50"/>
      <c r="F732" s="50"/>
      <c r="G732" s="50"/>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c r="AF732" s="49"/>
      <c r="AG732" s="49"/>
      <c r="AH732" s="49"/>
      <c r="AI732" s="49"/>
      <c r="AJ732" s="49"/>
      <c r="AK732" s="49"/>
      <c r="AL732" s="49"/>
      <c r="AM732" s="49"/>
      <c r="AN732" s="49"/>
      <c r="AO732" s="49"/>
      <c r="AP732" s="49"/>
      <c r="AQ732" s="49"/>
      <c r="AR732" s="49"/>
      <c r="AS732" s="49"/>
      <c r="AT732" s="49"/>
      <c r="AU732" s="49"/>
      <c r="AV732" s="49"/>
      <c r="AW732" s="49"/>
      <c r="AX732" s="49"/>
    </row>
    <row r="733">
      <c r="A733" s="49"/>
      <c r="B733" s="49"/>
      <c r="C733" s="49"/>
      <c r="D733" s="50"/>
      <c r="E733" s="50"/>
      <c r="F733" s="50"/>
      <c r="G733" s="50"/>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c r="AF733" s="49"/>
      <c r="AG733" s="49"/>
      <c r="AH733" s="49"/>
      <c r="AI733" s="49"/>
      <c r="AJ733" s="49"/>
      <c r="AK733" s="49"/>
      <c r="AL733" s="49"/>
      <c r="AM733" s="49"/>
      <c r="AN733" s="49"/>
      <c r="AO733" s="49"/>
      <c r="AP733" s="49"/>
      <c r="AQ733" s="49"/>
      <c r="AR733" s="49"/>
      <c r="AS733" s="49"/>
      <c r="AT733" s="49"/>
      <c r="AU733" s="49"/>
      <c r="AV733" s="49"/>
      <c r="AW733" s="49"/>
      <c r="AX733" s="49"/>
    </row>
    <row r="734">
      <c r="A734" s="49"/>
      <c r="B734" s="49"/>
      <c r="C734" s="49"/>
      <c r="D734" s="50"/>
      <c r="E734" s="50"/>
      <c r="F734" s="50"/>
      <c r="G734" s="50"/>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c r="AF734" s="49"/>
      <c r="AG734" s="49"/>
      <c r="AH734" s="49"/>
      <c r="AI734" s="49"/>
      <c r="AJ734" s="49"/>
      <c r="AK734" s="49"/>
      <c r="AL734" s="49"/>
      <c r="AM734" s="49"/>
      <c r="AN734" s="49"/>
      <c r="AO734" s="49"/>
      <c r="AP734" s="49"/>
      <c r="AQ734" s="49"/>
      <c r="AR734" s="49"/>
      <c r="AS734" s="49"/>
      <c r="AT734" s="49"/>
      <c r="AU734" s="49"/>
      <c r="AV734" s="49"/>
      <c r="AW734" s="49"/>
      <c r="AX734" s="49"/>
    </row>
    <row r="735">
      <c r="A735" s="49"/>
      <c r="B735" s="49"/>
      <c r="C735" s="49"/>
      <c r="D735" s="50"/>
      <c r="E735" s="50"/>
      <c r="F735" s="50"/>
      <c r="G735" s="50"/>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c r="AF735" s="49"/>
      <c r="AG735" s="49"/>
      <c r="AH735" s="49"/>
      <c r="AI735" s="49"/>
      <c r="AJ735" s="49"/>
      <c r="AK735" s="49"/>
      <c r="AL735" s="49"/>
      <c r="AM735" s="49"/>
      <c r="AN735" s="49"/>
      <c r="AO735" s="49"/>
      <c r="AP735" s="49"/>
      <c r="AQ735" s="49"/>
      <c r="AR735" s="49"/>
      <c r="AS735" s="49"/>
      <c r="AT735" s="49"/>
      <c r="AU735" s="49"/>
      <c r="AV735" s="49"/>
      <c r="AW735" s="49"/>
      <c r="AX735" s="49"/>
    </row>
    <row r="736">
      <c r="A736" s="49"/>
      <c r="B736" s="49"/>
      <c r="C736" s="49"/>
      <c r="D736" s="50"/>
      <c r="E736" s="50"/>
      <c r="F736" s="50"/>
      <c r="G736" s="50"/>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c r="AF736" s="49"/>
      <c r="AG736" s="49"/>
      <c r="AH736" s="49"/>
      <c r="AI736" s="49"/>
      <c r="AJ736" s="49"/>
      <c r="AK736" s="49"/>
      <c r="AL736" s="49"/>
      <c r="AM736" s="49"/>
      <c r="AN736" s="49"/>
      <c r="AO736" s="49"/>
      <c r="AP736" s="49"/>
      <c r="AQ736" s="49"/>
      <c r="AR736" s="49"/>
      <c r="AS736" s="49"/>
      <c r="AT736" s="49"/>
      <c r="AU736" s="49"/>
      <c r="AV736" s="49"/>
      <c r="AW736" s="49"/>
      <c r="AX736" s="49"/>
    </row>
    <row r="737">
      <c r="A737" s="49"/>
      <c r="B737" s="49"/>
      <c r="C737" s="49"/>
      <c r="D737" s="50"/>
      <c r="E737" s="50"/>
      <c r="F737" s="50"/>
      <c r="G737" s="50"/>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c r="AF737" s="49"/>
      <c r="AG737" s="49"/>
      <c r="AH737" s="49"/>
      <c r="AI737" s="49"/>
      <c r="AJ737" s="49"/>
      <c r="AK737" s="49"/>
      <c r="AL737" s="49"/>
      <c r="AM737" s="49"/>
      <c r="AN737" s="49"/>
      <c r="AO737" s="49"/>
      <c r="AP737" s="49"/>
      <c r="AQ737" s="49"/>
      <c r="AR737" s="49"/>
      <c r="AS737" s="49"/>
      <c r="AT737" s="49"/>
      <c r="AU737" s="49"/>
      <c r="AV737" s="49"/>
      <c r="AW737" s="49"/>
      <c r="AX737" s="49"/>
    </row>
    <row r="738">
      <c r="A738" s="49"/>
      <c r="B738" s="49"/>
      <c r="C738" s="49"/>
      <c r="D738" s="50"/>
      <c r="E738" s="50"/>
      <c r="F738" s="50"/>
      <c r="G738" s="50"/>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c r="AF738" s="49"/>
      <c r="AG738" s="49"/>
      <c r="AH738" s="49"/>
      <c r="AI738" s="49"/>
      <c r="AJ738" s="49"/>
      <c r="AK738" s="49"/>
      <c r="AL738" s="49"/>
      <c r="AM738" s="49"/>
      <c r="AN738" s="49"/>
      <c r="AO738" s="49"/>
      <c r="AP738" s="49"/>
      <c r="AQ738" s="49"/>
      <c r="AR738" s="49"/>
      <c r="AS738" s="49"/>
      <c r="AT738" s="49"/>
      <c r="AU738" s="49"/>
      <c r="AV738" s="49"/>
      <c r="AW738" s="49"/>
      <c r="AX738" s="49"/>
    </row>
    <row r="739">
      <c r="A739" s="49"/>
      <c r="B739" s="49"/>
      <c r="C739" s="49"/>
      <c r="D739" s="50"/>
      <c r="E739" s="50"/>
      <c r="F739" s="50"/>
      <c r="G739" s="50"/>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c r="AF739" s="49"/>
      <c r="AG739" s="49"/>
      <c r="AH739" s="49"/>
      <c r="AI739" s="49"/>
      <c r="AJ739" s="49"/>
      <c r="AK739" s="49"/>
      <c r="AL739" s="49"/>
      <c r="AM739" s="49"/>
      <c r="AN739" s="49"/>
      <c r="AO739" s="49"/>
      <c r="AP739" s="49"/>
      <c r="AQ739" s="49"/>
      <c r="AR739" s="49"/>
      <c r="AS739" s="49"/>
      <c r="AT739" s="49"/>
      <c r="AU739" s="49"/>
      <c r="AV739" s="49"/>
      <c r="AW739" s="49"/>
      <c r="AX739" s="49"/>
    </row>
    <row r="740">
      <c r="A740" s="49"/>
      <c r="B740" s="49"/>
      <c r="C740" s="49"/>
      <c r="D740" s="50"/>
      <c r="E740" s="50"/>
      <c r="F740" s="50"/>
      <c r="G740" s="50"/>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c r="AF740" s="49"/>
      <c r="AG740" s="49"/>
      <c r="AH740" s="49"/>
      <c r="AI740" s="49"/>
      <c r="AJ740" s="49"/>
      <c r="AK740" s="49"/>
      <c r="AL740" s="49"/>
      <c r="AM740" s="49"/>
      <c r="AN740" s="49"/>
      <c r="AO740" s="49"/>
      <c r="AP740" s="49"/>
      <c r="AQ740" s="49"/>
      <c r="AR740" s="49"/>
      <c r="AS740" s="49"/>
      <c r="AT740" s="49"/>
      <c r="AU740" s="49"/>
      <c r="AV740" s="49"/>
      <c r="AW740" s="49"/>
      <c r="AX740" s="49"/>
    </row>
    <row r="741">
      <c r="A741" s="49"/>
      <c r="B741" s="49"/>
      <c r="C741" s="49"/>
      <c r="D741" s="50"/>
      <c r="E741" s="50"/>
      <c r="F741" s="50"/>
      <c r="G741" s="50"/>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c r="AF741" s="49"/>
      <c r="AG741" s="49"/>
      <c r="AH741" s="49"/>
      <c r="AI741" s="49"/>
      <c r="AJ741" s="49"/>
      <c r="AK741" s="49"/>
      <c r="AL741" s="49"/>
      <c r="AM741" s="49"/>
      <c r="AN741" s="49"/>
      <c r="AO741" s="49"/>
      <c r="AP741" s="49"/>
      <c r="AQ741" s="49"/>
      <c r="AR741" s="49"/>
      <c r="AS741" s="49"/>
      <c r="AT741" s="49"/>
      <c r="AU741" s="49"/>
      <c r="AV741" s="49"/>
      <c r="AW741" s="49"/>
      <c r="AX741" s="49"/>
    </row>
    <row r="742">
      <c r="A742" s="49"/>
      <c r="B742" s="49"/>
      <c r="C742" s="49"/>
      <c r="D742" s="50"/>
      <c r="E742" s="50"/>
      <c r="F742" s="50"/>
      <c r="G742" s="50"/>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c r="AF742" s="49"/>
      <c r="AG742" s="49"/>
      <c r="AH742" s="49"/>
      <c r="AI742" s="49"/>
      <c r="AJ742" s="49"/>
      <c r="AK742" s="49"/>
      <c r="AL742" s="49"/>
      <c r="AM742" s="49"/>
      <c r="AN742" s="49"/>
      <c r="AO742" s="49"/>
      <c r="AP742" s="49"/>
      <c r="AQ742" s="49"/>
      <c r="AR742" s="49"/>
      <c r="AS742" s="49"/>
      <c r="AT742" s="49"/>
      <c r="AU742" s="49"/>
      <c r="AV742" s="49"/>
      <c r="AW742" s="49"/>
      <c r="AX742" s="49"/>
    </row>
    <row r="743">
      <c r="A743" s="49"/>
      <c r="B743" s="49"/>
      <c r="C743" s="49"/>
      <c r="D743" s="50"/>
      <c r="E743" s="50"/>
      <c r="F743" s="50"/>
      <c r="G743" s="50"/>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c r="AF743" s="49"/>
      <c r="AG743" s="49"/>
      <c r="AH743" s="49"/>
      <c r="AI743" s="49"/>
      <c r="AJ743" s="49"/>
      <c r="AK743" s="49"/>
      <c r="AL743" s="49"/>
      <c r="AM743" s="49"/>
      <c r="AN743" s="49"/>
      <c r="AO743" s="49"/>
      <c r="AP743" s="49"/>
      <c r="AQ743" s="49"/>
      <c r="AR743" s="49"/>
      <c r="AS743" s="49"/>
      <c r="AT743" s="49"/>
      <c r="AU743" s="49"/>
      <c r="AV743" s="49"/>
      <c r="AW743" s="49"/>
      <c r="AX743" s="49"/>
    </row>
    <row r="744">
      <c r="A744" s="49"/>
      <c r="B744" s="49"/>
      <c r="C744" s="49"/>
      <c r="D744" s="50"/>
      <c r="E744" s="50"/>
      <c r="F744" s="50"/>
      <c r="G744" s="50"/>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c r="AF744" s="49"/>
      <c r="AG744" s="49"/>
      <c r="AH744" s="49"/>
      <c r="AI744" s="49"/>
      <c r="AJ744" s="49"/>
      <c r="AK744" s="49"/>
      <c r="AL744" s="49"/>
      <c r="AM744" s="49"/>
      <c r="AN744" s="49"/>
      <c r="AO744" s="49"/>
      <c r="AP744" s="49"/>
      <c r="AQ744" s="49"/>
      <c r="AR744" s="49"/>
      <c r="AS744" s="49"/>
      <c r="AT744" s="49"/>
      <c r="AU744" s="49"/>
      <c r="AV744" s="49"/>
      <c r="AW744" s="49"/>
      <c r="AX744" s="49"/>
    </row>
    <row r="745">
      <c r="A745" s="49"/>
      <c r="B745" s="49"/>
      <c r="C745" s="49"/>
      <c r="D745" s="50"/>
      <c r="E745" s="50"/>
      <c r="F745" s="50"/>
      <c r="G745" s="50"/>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c r="AF745" s="49"/>
      <c r="AG745" s="49"/>
      <c r="AH745" s="49"/>
      <c r="AI745" s="49"/>
      <c r="AJ745" s="49"/>
      <c r="AK745" s="49"/>
      <c r="AL745" s="49"/>
      <c r="AM745" s="49"/>
      <c r="AN745" s="49"/>
      <c r="AO745" s="49"/>
      <c r="AP745" s="49"/>
      <c r="AQ745" s="49"/>
      <c r="AR745" s="49"/>
      <c r="AS745" s="49"/>
      <c r="AT745" s="49"/>
      <c r="AU745" s="49"/>
      <c r="AV745" s="49"/>
      <c r="AW745" s="49"/>
      <c r="AX745" s="49"/>
    </row>
    <row r="746">
      <c r="A746" s="49"/>
      <c r="B746" s="49"/>
      <c r="C746" s="49"/>
      <c r="D746" s="50"/>
      <c r="E746" s="50"/>
      <c r="F746" s="50"/>
      <c r="G746" s="50"/>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c r="AF746" s="49"/>
      <c r="AG746" s="49"/>
      <c r="AH746" s="49"/>
      <c r="AI746" s="49"/>
      <c r="AJ746" s="49"/>
      <c r="AK746" s="49"/>
      <c r="AL746" s="49"/>
      <c r="AM746" s="49"/>
      <c r="AN746" s="49"/>
      <c r="AO746" s="49"/>
      <c r="AP746" s="49"/>
      <c r="AQ746" s="49"/>
      <c r="AR746" s="49"/>
      <c r="AS746" s="49"/>
      <c r="AT746" s="49"/>
      <c r="AU746" s="49"/>
      <c r="AV746" s="49"/>
      <c r="AW746" s="49"/>
      <c r="AX746" s="49"/>
    </row>
    <row r="747">
      <c r="A747" s="49"/>
      <c r="B747" s="49"/>
      <c r="C747" s="49"/>
      <c r="D747" s="50"/>
      <c r="E747" s="50"/>
      <c r="F747" s="50"/>
      <c r="G747" s="50"/>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c r="AF747" s="49"/>
      <c r="AG747" s="49"/>
      <c r="AH747" s="49"/>
      <c r="AI747" s="49"/>
      <c r="AJ747" s="49"/>
      <c r="AK747" s="49"/>
      <c r="AL747" s="49"/>
      <c r="AM747" s="49"/>
      <c r="AN747" s="49"/>
      <c r="AO747" s="49"/>
      <c r="AP747" s="49"/>
      <c r="AQ747" s="49"/>
      <c r="AR747" s="49"/>
      <c r="AS747" s="49"/>
      <c r="AT747" s="49"/>
      <c r="AU747" s="49"/>
      <c r="AV747" s="49"/>
      <c r="AW747" s="49"/>
      <c r="AX747" s="49"/>
    </row>
    <row r="748">
      <c r="A748" s="49"/>
      <c r="B748" s="49"/>
      <c r="C748" s="49"/>
      <c r="D748" s="50"/>
      <c r="E748" s="50"/>
      <c r="F748" s="50"/>
      <c r="G748" s="50"/>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c r="AF748" s="49"/>
      <c r="AG748" s="49"/>
      <c r="AH748" s="49"/>
      <c r="AI748" s="49"/>
      <c r="AJ748" s="49"/>
      <c r="AK748" s="49"/>
      <c r="AL748" s="49"/>
      <c r="AM748" s="49"/>
      <c r="AN748" s="49"/>
      <c r="AO748" s="49"/>
      <c r="AP748" s="49"/>
      <c r="AQ748" s="49"/>
      <c r="AR748" s="49"/>
      <c r="AS748" s="49"/>
      <c r="AT748" s="49"/>
      <c r="AU748" s="49"/>
      <c r="AV748" s="49"/>
      <c r="AW748" s="49"/>
      <c r="AX748" s="49"/>
    </row>
    <row r="749">
      <c r="A749" s="49"/>
      <c r="B749" s="49"/>
      <c r="C749" s="49"/>
      <c r="D749" s="50"/>
      <c r="E749" s="50"/>
      <c r="F749" s="50"/>
      <c r="G749" s="50"/>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c r="AF749" s="49"/>
      <c r="AG749" s="49"/>
      <c r="AH749" s="49"/>
      <c r="AI749" s="49"/>
      <c r="AJ749" s="49"/>
      <c r="AK749" s="49"/>
      <c r="AL749" s="49"/>
      <c r="AM749" s="49"/>
      <c r="AN749" s="49"/>
      <c r="AO749" s="49"/>
      <c r="AP749" s="49"/>
      <c r="AQ749" s="49"/>
      <c r="AR749" s="49"/>
      <c r="AS749" s="49"/>
      <c r="AT749" s="49"/>
      <c r="AU749" s="49"/>
      <c r="AV749" s="49"/>
      <c r="AW749" s="49"/>
      <c r="AX749" s="49"/>
    </row>
    <row r="750">
      <c r="A750" s="49"/>
      <c r="B750" s="49"/>
      <c r="C750" s="49"/>
      <c r="D750" s="50"/>
      <c r="E750" s="50"/>
      <c r="F750" s="50"/>
      <c r="G750" s="50"/>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c r="AF750" s="49"/>
      <c r="AG750" s="49"/>
      <c r="AH750" s="49"/>
      <c r="AI750" s="49"/>
      <c r="AJ750" s="49"/>
      <c r="AK750" s="49"/>
      <c r="AL750" s="49"/>
      <c r="AM750" s="49"/>
      <c r="AN750" s="49"/>
      <c r="AO750" s="49"/>
      <c r="AP750" s="49"/>
      <c r="AQ750" s="49"/>
      <c r="AR750" s="49"/>
      <c r="AS750" s="49"/>
      <c r="AT750" s="49"/>
      <c r="AU750" s="49"/>
      <c r="AV750" s="49"/>
      <c r="AW750" s="49"/>
      <c r="AX750" s="49"/>
    </row>
    <row r="751">
      <c r="A751" s="49"/>
      <c r="B751" s="49"/>
      <c r="C751" s="49"/>
      <c r="D751" s="50"/>
      <c r="E751" s="50"/>
      <c r="F751" s="50"/>
      <c r="G751" s="50"/>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c r="AF751" s="49"/>
      <c r="AG751" s="49"/>
      <c r="AH751" s="49"/>
      <c r="AI751" s="49"/>
      <c r="AJ751" s="49"/>
      <c r="AK751" s="49"/>
      <c r="AL751" s="49"/>
      <c r="AM751" s="49"/>
      <c r="AN751" s="49"/>
      <c r="AO751" s="49"/>
      <c r="AP751" s="49"/>
      <c r="AQ751" s="49"/>
      <c r="AR751" s="49"/>
      <c r="AS751" s="49"/>
      <c r="AT751" s="49"/>
      <c r="AU751" s="49"/>
      <c r="AV751" s="49"/>
      <c r="AW751" s="49"/>
      <c r="AX751" s="49"/>
    </row>
    <row r="752">
      <c r="A752" s="49"/>
      <c r="B752" s="49"/>
      <c r="C752" s="49"/>
      <c r="D752" s="50"/>
      <c r="E752" s="50"/>
      <c r="F752" s="50"/>
      <c r="G752" s="50"/>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c r="AF752" s="49"/>
      <c r="AG752" s="49"/>
      <c r="AH752" s="49"/>
      <c r="AI752" s="49"/>
      <c r="AJ752" s="49"/>
      <c r="AK752" s="49"/>
      <c r="AL752" s="49"/>
      <c r="AM752" s="49"/>
      <c r="AN752" s="49"/>
      <c r="AO752" s="49"/>
      <c r="AP752" s="49"/>
      <c r="AQ752" s="49"/>
      <c r="AR752" s="49"/>
      <c r="AS752" s="49"/>
      <c r="AT752" s="49"/>
      <c r="AU752" s="49"/>
      <c r="AV752" s="49"/>
      <c r="AW752" s="49"/>
      <c r="AX752" s="49"/>
    </row>
    <row r="753">
      <c r="A753" s="49"/>
      <c r="B753" s="49"/>
      <c r="C753" s="49"/>
      <c r="D753" s="50"/>
      <c r="E753" s="50"/>
      <c r="F753" s="50"/>
      <c r="G753" s="50"/>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c r="AF753" s="49"/>
      <c r="AG753" s="49"/>
      <c r="AH753" s="49"/>
      <c r="AI753" s="49"/>
      <c r="AJ753" s="49"/>
      <c r="AK753" s="49"/>
      <c r="AL753" s="49"/>
      <c r="AM753" s="49"/>
      <c r="AN753" s="49"/>
      <c r="AO753" s="49"/>
      <c r="AP753" s="49"/>
      <c r="AQ753" s="49"/>
      <c r="AR753" s="49"/>
      <c r="AS753" s="49"/>
      <c r="AT753" s="49"/>
      <c r="AU753" s="49"/>
      <c r="AV753" s="49"/>
      <c r="AW753" s="49"/>
      <c r="AX753" s="49"/>
    </row>
    <row r="754">
      <c r="A754" s="49"/>
      <c r="B754" s="49"/>
      <c r="C754" s="49"/>
      <c r="D754" s="50"/>
      <c r="E754" s="50"/>
      <c r="F754" s="50"/>
      <c r="G754" s="50"/>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c r="AF754" s="49"/>
      <c r="AG754" s="49"/>
      <c r="AH754" s="49"/>
      <c r="AI754" s="49"/>
      <c r="AJ754" s="49"/>
      <c r="AK754" s="49"/>
      <c r="AL754" s="49"/>
      <c r="AM754" s="49"/>
      <c r="AN754" s="49"/>
      <c r="AO754" s="49"/>
      <c r="AP754" s="49"/>
      <c r="AQ754" s="49"/>
      <c r="AR754" s="49"/>
      <c r="AS754" s="49"/>
      <c r="AT754" s="49"/>
      <c r="AU754" s="49"/>
      <c r="AV754" s="49"/>
      <c r="AW754" s="49"/>
      <c r="AX754" s="49"/>
    </row>
    <row r="755">
      <c r="A755" s="49"/>
      <c r="B755" s="49"/>
      <c r="C755" s="49"/>
      <c r="D755" s="50"/>
      <c r="E755" s="50"/>
      <c r="F755" s="50"/>
      <c r="G755" s="50"/>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c r="AF755" s="49"/>
      <c r="AG755" s="49"/>
      <c r="AH755" s="49"/>
      <c r="AI755" s="49"/>
      <c r="AJ755" s="49"/>
      <c r="AK755" s="49"/>
      <c r="AL755" s="49"/>
      <c r="AM755" s="49"/>
      <c r="AN755" s="49"/>
      <c r="AO755" s="49"/>
      <c r="AP755" s="49"/>
      <c r="AQ755" s="49"/>
      <c r="AR755" s="49"/>
      <c r="AS755" s="49"/>
      <c r="AT755" s="49"/>
      <c r="AU755" s="49"/>
      <c r="AV755" s="49"/>
      <c r="AW755" s="49"/>
      <c r="AX755" s="49"/>
    </row>
    <row r="756">
      <c r="A756" s="49"/>
      <c r="B756" s="49"/>
      <c r="C756" s="49"/>
      <c r="D756" s="50"/>
      <c r="E756" s="50"/>
      <c r="F756" s="50"/>
      <c r="G756" s="50"/>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c r="AF756" s="49"/>
      <c r="AG756" s="49"/>
      <c r="AH756" s="49"/>
      <c r="AI756" s="49"/>
      <c r="AJ756" s="49"/>
      <c r="AK756" s="49"/>
      <c r="AL756" s="49"/>
      <c r="AM756" s="49"/>
      <c r="AN756" s="49"/>
      <c r="AO756" s="49"/>
      <c r="AP756" s="49"/>
      <c r="AQ756" s="49"/>
      <c r="AR756" s="49"/>
      <c r="AS756" s="49"/>
      <c r="AT756" s="49"/>
      <c r="AU756" s="49"/>
      <c r="AV756" s="49"/>
      <c r="AW756" s="49"/>
      <c r="AX756" s="49"/>
    </row>
    <row r="757">
      <c r="A757" s="49"/>
      <c r="B757" s="49"/>
      <c r="C757" s="49"/>
      <c r="D757" s="50"/>
      <c r="E757" s="50"/>
      <c r="F757" s="50"/>
      <c r="G757" s="50"/>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c r="AF757" s="49"/>
      <c r="AG757" s="49"/>
      <c r="AH757" s="49"/>
      <c r="AI757" s="49"/>
      <c r="AJ757" s="49"/>
      <c r="AK757" s="49"/>
      <c r="AL757" s="49"/>
      <c r="AM757" s="49"/>
      <c r="AN757" s="49"/>
      <c r="AO757" s="49"/>
      <c r="AP757" s="49"/>
      <c r="AQ757" s="49"/>
      <c r="AR757" s="49"/>
      <c r="AS757" s="49"/>
      <c r="AT757" s="49"/>
      <c r="AU757" s="49"/>
      <c r="AV757" s="49"/>
      <c r="AW757" s="49"/>
      <c r="AX757" s="49"/>
    </row>
    <row r="758">
      <c r="A758" s="49"/>
      <c r="B758" s="49"/>
      <c r="C758" s="49"/>
      <c r="D758" s="50"/>
      <c r="E758" s="50"/>
      <c r="F758" s="50"/>
      <c r="G758" s="50"/>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c r="AF758" s="49"/>
      <c r="AG758" s="49"/>
      <c r="AH758" s="49"/>
      <c r="AI758" s="49"/>
      <c r="AJ758" s="49"/>
      <c r="AK758" s="49"/>
      <c r="AL758" s="49"/>
      <c r="AM758" s="49"/>
      <c r="AN758" s="49"/>
      <c r="AO758" s="49"/>
      <c r="AP758" s="49"/>
      <c r="AQ758" s="49"/>
      <c r="AR758" s="49"/>
      <c r="AS758" s="49"/>
      <c r="AT758" s="49"/>
      <c r="AU758" s="49"/>
      <c r="AV758" s="49"/>
      <c r="AW758" s="49"/>
      <c r="AX758" s="49"/>
    </row>
    <row r="759">
      <c r="A759" s="49"/>
      <c r="B759" s="49"/>
      <c r="C759" s="49"/>
      <c r="D759" s="50"/>
      <c r="E759" s="50"/>
      <c r="F759" s="50"/>
      <c r="G759" s="50"/>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c r="AF759" s="49"/>
      <c r="AG759" s="49"/>
      <c r="AH759" s="49"/>
      <c r="AI759" s="49"/>
      <c r="AJ759" s="49"/>
      <c r="AK759" s="49"/>
      <c r="AL759" s="49"/>
      <c r="AM759" s="49"/>
      <c r="AN759" s="49"/>
      <c r="AO759" s="49"/>
      <c r="AP759" s="49"/>
      <c r="AQ759" s="49"/>
      <c r="AR759" s="49"/>
      <c r="AS759" s="49"/>
      <c r="AT759" s="49"/>
      <c r="AU759" s="49"/>
      <c r="AV759" s="49"/>
      <c r="AW759" s="49"/>
      <c r="AX759" s="49"/>
    </row>
    <row r="760">
      <c r="A760" s="49"/>
      <c r="B760" s="49"/>
      <c r="C760" s="49"/>
      <c r="D760" s="50"/>
      <c r="E760" s="50"/>
      <c r="F760" s="50"/>
      <c r="G760" s="50"/>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c r="AF760" s="49"/>
      <c r="AG760" s="49"/>
      <c r="AH760" s="49"/>
      <c r="AI760" s="49"/>
      <c r="AJ760" s="49"/>
      <c r="AK760" s="49"/>
      <c r="AL760" s="49"/>
      <c r="AM760" s="49"/>
      <c r="AN760" s="49"/>
      <c r="AO760" s="49"/>
      <c r="AP760" s="49"/>
      <c r="AQ760" s="49"/>
      <c r="AR760" s="49"/>
      <c r="AS760" s="49"/>
      <c r="AT760" s="49"/>
      <c r="AU760" s="49"/>
      <c r="AV760" s="49"/>
      <c r="AW760" s="49"/>
      <c r="AX760" s="49"/>
    </row>
    <row r="761">
      <c r="A761" s="49"/>
      <c r="B761" s="49"/>
      <c r="C761" s="49"/>
      <c r="D761" s="50"/>
      <c r="E761" s="50"/>
      <c r="F761" s="50"/>
      <c r="G761" s="50"/>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c r="AF761" s="49"/>
      <c r="AG761" s="49"/>
      <c r="AH761" s="49"/>
      <c r="AI761" s="49"/>
      <c r="AJ761" s="49"/>
      <c r="AK761" s="49"/>
      <c r="AL761" s="49"/>
      <c r="AM761" s="49"/>
      <c r="AN761" s="49"/>
      <c r="AO761" s="49"/>
      <c r="AP761" s="49"/>
      <c r="AQ761" s="49"/>
      <c r="AR761" s="49"/>
      <c r="AS761" s="49"/>
      <c r="AT761" s="49"/>
      <c r="AU761" s="49"/>
      <c r="AV761" s="49"/>
      <c r="AW761" s="49"/>
      <c r="AX761" s="49"/>
    </row>
    <row r="762">
      <c r="A762" s="49"/>
      <c r="B762" s="49"/>
      <c r="C762" s="49"/>
      <c r="D762" s="50"/>
      <c r="E762" s="50"/>
      <c r="F762" s="50"/>
      <c r="G762" s="50"/>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c r="AF762" s="49"/>
      <c r="AG762" s="49"/>
      <c r="AH762" s="49"/>
      <c r="AI762" s="49"/>
      <c r="AJ762" s="49"/>
      <c r="AK762" s="49"/>
      <c r="AL762" s="49"/>
      <c r="AM762" s="49"/>
      <c r="AN762" s="49"/>
      <c r="AO762" s="49"/>
      <c r="AP762" s="49"/>
      <c r="AQ762" s="49"/>
      <c r="AR762" s="49"/>
      <c r="AS762" s="49"/>
      <c r="AT762" s="49"/>
      <c r="AU762" s="49"/>
      <c r="AV762" s="49"/>
      <c r="AW762" s="49"/>
      <c r="AX762" s="49"/>
    </row>
    <row r="763">
      <c r="A763" s="49"/>
      <c r="B763" s="49"/>
      <c r="C763" s="49"/>
      <c r="D763" s="50"/>
      <c r="E763" s="50"/>
      <c r="F763" s="50"/>
      <c r="G763" s="50"/>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c r="AF763" s="49"/>
      <c r="AG763" s="49"/>
      <c r="AH763" s="49"/>
      <c r="AI763" s="49"/>
      <c r="AJ763" s="49"/>
      <c r="AK763" s="49"/>
      <c r="AL763" s="49"/>
      <c r="AM763" s="49"/>
      <c r="AN763" s="49"/>
      <c r="AO763" s="49"/>
      <c r="AP763" s="49"/>
      <c r="AQ763" s="49"/>
      <c r="AR763" s="49"/>
      <c r="AS763" s="49"/>
      <c r="AT763" s="49"/>
      <c r="AU763" s="49"/>
      <c r="AV763" s="49"/>
      <c r="AW763" s="49"/>
      <c r="AX763" s="49"/>
    </row>
    <row r="764">
      <c r="A764" s="49"/>
      <c r="B764" s="49"/>
      <c r="C764" s="49"/>
      <c r="D764" s="50"/>
      <c r="E764" s="50"/>
      <c r="F764" s="50"/>
      <c r="G764" s="50"/>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c r="AF764" s="49"/>
      <c r="AG764" s="49"/>
      <c r="AH764" s="49"/>
      <c r="AI764" s="49"/>
      <c r="AJ764" s="49"/>
      <c r="AK764" s="49"/>
      <c r="AL764" s="49"/>
      <c r="AM764" s="49"/>
      <c r="AN764" s="49"/>
      <c r="AO764" s="49"/>
      <c r="AP764" s="49"/>
      <c r="AQ764" s="49"/>
      <c r="AR764" s="49"/>
      <c r="AS764" s="49"/>
      <c r="AT764" s="49"/>
      <c r="AU764" s="49"/>
      <c r="AV764" s="49"/>
      <c r="AW764" s="49"/>
      <c r="AX764" s="49"/>
    </row>
    <row r="765">
      <c r="A765" s="49"/>
      <c r="B765" s="49"/>
      <c r="C765" s="49"/>
      <c r="D765" s="50"/>
      <c r="E765" s="50"/>
      <c r="F765" s="50"/>
      <c r="G765" s="50"/>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c r="AF765" s="49"/>
      <c r="AG765" s="49"/>
      <c r="AH765" s="49"/>
      <c r="AI765" s="49"/>
      <c r="AJ765" s="49"/>
      <c r="AK765" s="49"/>
      <c r="AL765" s="49"/>
      <c r="AM765" s="49"/>
      <c r="AN765" s="49"/>
      <c r="AO765" s="49"/>
      <c r="AP765" s="49"/>
      <c r="AQ765" s="49"/>
      <c r="AR765" s="49"/>
      <c r="AS765" s="49"/>
      <c r="AT765" s="49"/>
      <c r="AU765" s="49"/>
      <c r="AV765" s="49"/>
      <c r="AW765" s="49"/>
      <c r="AX765" s="49"/>
    </row>
    <row r="766">
      <c r="A766" s="49"/>
      <c r="B766" s="49"/>
      <c r="C766" s="49"/>
      <c r="D766" s="50"/>
      <c r="E766" s="50"/>
      <c r="F766" s="50"/>
      <c r="G766" s="50"/>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c r="AF766" s="49"/>
      <c r="AG766" s="49"/>
      <c r="AH766" s="49"/>
      <c r="AI766" s="49"/>
      <c r="AJ766" s="49"/>
      <c r="AK766" s="49"/>
      <c r="AL766" s="49"/>
      <c r="AM766" s="49"/>
      <c r="AN766" s="49"/>
      <c r="AO766" s="49"/>
      <c r="AP766" s="49"/>
      <c r="AQ766" s="49"/>
      <c r="AR766" s="49"/>
      <c r="AS766" s="49"/>
      <c r="AT766" s="49"/>
      <c r="AU766" s="49"/>
      <c r="AV766" s="49"/>
      <c r="AW766" s="49"/>
      <c r="AX766" s="49"/>
    </row>
    <row r="767">
      <c r="A767" s="49"/>
      <c r="B767" s="49"/>
      <c r="C767" s="49"/>
      <c r="D767" s="50"/>
      <c r="E767" s="50"/>
      <c r="F767" s="50"/>
      <c r="G767" s="50"/>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c r="AF767" s="49"/>
      <c r="AG767" s="49"/>
      <c r="AH767" s="49"/>
      <c r="AI767" s="49"/>
      <c r="AJ767" s="49"/>
      <c r="AK767" s="49"/>
      <c r="AL767" s="49"/>
      <c r="AM767" s="49"/>
      <c r="AN767" s="49"/>
      <c r="AO767" s="49"/>
      <c r="AP767" s="49"/>
      <c r="AQ767" s="49"/>
      <c r="AR767" s="49"/>
      <c r="AS767" s="49"/>
      <c r="AT767" s="49"/>
      <c r="AU767" s="49"/>
      <c r="AV767" s="49"/>
      <c r="AW767" s="49"/>
      <c r="AX767" s="49"/>
    </row>
    <row r="768">
      <c r="A768" s="49"/>
      <c r="B768" s="49"/>
      <c r="C768" s="49"/>
      <c r="D768" s="50"/>
      <c r="E768" s="50"/>
      <c r="F768" s="50"/>
      <c r="G768" s="50"/>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c r="AF768" s="49"/>
      <c r="AG768" s="49"/>
      <c r="AH768" s="49"/>
      <c r="AI768" s="49"/>
      <c r="AJ768" s="49"/>
      <c r="AK768" s="49"/>
      <c r="AL768" s="49"/>
      <c r="AM768" s="49"/>
      <c r="AN768" s="49"/>
      <c r="AO768" s="49"/>
      <c r="AP768" s="49"/>
      <c r="AQ768" s="49"/>
      <c r="AR768" s="49"/>
      <c r="AS768" s="49"/>
      <c r="AT768" s="49"/>
      <c r="AU768" s="49"/>
      <c r="AV768" s="49"/>
      <c r="AW768" s="49"/>
      <c r="AX768" s="49"/>
    </row>
    <row r="769">
      <c r="A769" s="49"/>
      <c r="B769" s="49"/>
      <c r="C769" s="49"/>
      <c r="D769" s="50"/>
      <c r="E769" s="50"/>
      <c r="F769" s="50"/>
      <c r="G769" s="50"/>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c r="AF769" s="49"/>
      <c r="AG769" s="49"/>
      <c r="AH769" s="49"/>
      <c r="AI769" s="49"/>
      <c r="AJ769" s="49"/>
      <c r="AK769" s="49"/>
      <c r="AL769" s="49"/>
      <c r="AM769" s="49"/>
      <c r="AN769" s="49"/>
      <c r="AO769" s="49"/>
      <c r="AP769" s="49"/>
      <c r="AQ769" s="49"/>
      <c r="AR769" s="49"/>
      <c r="AS769" s="49"/>
      <c r="AT769" s="49"/>
      <c r="AU769" s="49"/>
      <c r="AV769" s="49"/>
      <c r="AW769" s="49"/>
      <c r="AX769" s="49"/>
    </row>
    <row r="770">
      <c r="A770" s="49"/>
      <c r="B770" s="49"/>
      <c r="C770" s="49"/>
      <c r="D770" s="50"/>
      <c r="E770" s="50"/>
      <c r="F770" s="50"/>
      <c r="G770" s="50"/>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c r="AF770" s="49"/>
      <c r="AG770" s="49"/>
      <c r="AH770" s="49"/>
      <c r="AI770" s="49"/>
      <c r="AJ770" s="49"/>
      <c r="AK770" s="49"/>
      <c r="AL770" s="49"/>
      <c r="AM770" s="49"/>
      <c r="AN770" s="49"/>
      <c r="AO770" s="49"/>
      <c r="AP770" s="49"/>
      <c r="AQ770" s="49"/>
      <c r="AR770" s="49"/>
      <c r="AS770" s="49"/>
      <c r="AT770" s="49"/>
      <c r="AU770" s="49"/>
      <c r="AV770" s="49"/>
      <c r="AW770" s="49"/>
      <c r="AX770" s="49"/>
    </row>
    <row r="771">
      <c r="A771" s="49"/>
      <c r="B771" s="49"/>
      <c r="C771" s="49"/>
      <c r="D771" s="50"/>
      <c r="E771" s="50"/>
      <c r="F771" s="50"/>
      <c r="G771" s="50"/>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c r="AF771" s="49"/>
      <c r="AG771" s="49"/>
      <c r="AH771" s="49"/>
      <c r="AI771" s="49"/>
      <c r="AJ771" s="49"/>
      <c r="AK771" s="49"/>
      <c r="AL771" s="49"/>
      <c r="AM771" s="49"/>
      <c r="AN771" s="49"/>
      <c r="AO771" s="49"/>
      <c r="AP771" s="49"/>
      <c r="AQ771" s="49"/>
      <c r="AR771" s="49"/>
      <c r="AS771" s="49"/>
      <c r="AT771" s="49"/>
      <c r="AU771" s="49"/>
      <c r="AV771" s="49"/>
      <c r="AW771" s="49"/>
      <c r="AX771" s="49"/>
    </row>
    <row r="772">
      <c r="A772" s="49"/>
      <c r="B772" s="49"/>
      <c r="C772" s="49"/>
      <c r="D772" s="50"/>
      <c r="E772" s="50"/>
      <c r="F772" s="50"/>
      <c r="G772" s="50"/>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c r="AF772" s="49"/>
      <c r="AG772" s="49"/>
      <c r="AH772" s="49"/>
      <c r="AI772" s="49"/>
      <c r="AJ772" s="49"/>
      <c r="AK772" s="49"/>
      <c r="AL772" s="49"/>
      <c r="AM772" s="49"/>
      <c r="AN772" s="49"/>
      <c r="AO772" s="49"/>
      <c r="AP772" s="49"/>
      <c r="AQ772" s="49"/>
      <c r="AR772" s="49"/>
      <c r="AS772" s="49"/>
      <c r="AT772" s="49"/>
      <c r="AU772" s="49"/>
      <c r="AV772" s="49"/>
      <c r="AW772" s="49"/>
      <c r="AX772" s="49"/>
    </row>
    <row r="773">
      <c r="A773" s="49"/>
      <c r="B773" s="49"/>
      <c r="C773" s="49"/>
      <c r="D773" s="50"/>
      <c r="E773" s="50"/>
      <c r="F773" s="50"/>
      <c r="G773" s="50"/>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c r="AF773" s="49"/>
      <c r="AG773" s="49"/>
      <c r="AH773" s="49"/>
      <c r="AI773" s="49"/>
      <c r="AJ773" s="49"/>
      <c r="AK773" s="49"/>
      <c r="AL773" s="49"/>
      <c r="AM773" s="49"/>
      <c r="AN773" s="49"/>
      <c r="AO773" s="49"/>
      <c r="AP773" s="49"/>
      <c r="AQ773" s="49"/>
      <c r="AR773" s="49"/>
      <c r="AS773" s="49"/>
      <c r="AT773" s="49"/>
      <c r="AU773" s="49"/>
      <c r="AV773" s="49"/>
      <c r="AW773" s="49"/>
      <c r="AX773" s="49"/>
    </row>
    <row r="774">
      <c r="A774" s="49"/>
      <c r="B774" s="49"/>
      <c r="C774" s="49"/>
      <c r="D774" s="50"/>
      <c r="E774" s="50"/>
      <c r="F774" s="50"/>
      <c r="G774" s="50"/>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c r="AF774" s="49"/>
      <c r="AG774" s="49"/>
      <c r="AH774" s="49"/>
      <c r="AI774" s="49"/>
      <c r="AJ774" s="49"/>
      <c r="AK774" s="49"/>
      <c r="AL774" s="49"/>
      <c r="AM774" s="49"/>
      <c r="AN774" s="49"/>
      <c r="AO774" s="49"/>
      <c r="AP774" s="49"/>
      <c r="AQ774" s="49"/>
      <c r="AR774" s="49"/>
      <c r="AS774" s="49"/>
      <c r="AT774" s="49"/>
      <c r="AU774" s="49"/>
      <c r="AV774" s="49"/>
      <c r="AW774" s="49"/>
      <c r="AX774" s="49"/>
    </row>
    <row r="775">
      <c r="A775" s="49"/>
      <c r="B775" s="49"/>
      <c r="C775" s="49"/>
      <c r="D775" s="50"/>
      <c r="E775" s="50"/>
      <c r="F775" s="50"/>
      <c r="G775" s="50"/>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c r="AF775" s="49"/>
      <c r="AG775" s="49"/>
      <c r="AH775" s="49"/>
      <c r="AI775" s="49"/>
      <c r="AJ775" s="49"/>
      <c r="AK775" s="49"/>
      <c r="AL775" s="49"/>
      <c r="AM775" s="49"/>
      <c r="AN775" s="49"/>
      <c r="AO775" s="49"/>
      <c r="AP775" s="49"/>
      <c r="AQ775" s="49"/>
      <c r="AR775" s="49"/>
      <c r="AS775" s="49"/>
      <c r="AT775" s="49"/>
      <c r="AU775" s="49"/>
      <c r="AV775" s="49"/>
      <c r="AW775" s="49"/>
      <c r="AX775" s="49"/>
    </row>
    <row r="776">
      <c r="A776" s="49"/>
      <c r="B776" s="49"/>
      <c r="C776" s="49"/>
      <c r="D776" s="50"/>
      <c r="E776" s="50"/>
      <c r="F776" s="50"/>
      <c r="G776" s="50"/>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c r="AF776" s="49"/>
      <c r="AG776" s="49"/>
      <c r="AH776" s="49"/>
      <c r="AI776" s="49"/>
      <c r="AJ776" s="49"/>
      <c r="AK776" s="49"/>
      <c r="AL776" s="49"/>
      <c r="AM776" s="49"/>
      <c r="AN776" s="49"/>
      <c r="AO776" s="49"/>
      <c r="AP776" s="49"/>
      <c r="AQ776" s="49"/>
      <c r="AR776" s="49"/>
      <c r="AS776" s="49"/>
      <c r="AT776" s="49"/>
      <c r="AU776" s="49"/>
      <c r="AV776" s="49"/>
      <c r="AW776" s="49"/>
      <c r="AX776" s="49"/>
    </row>
    <row r="777">
      <c r="A777" s="49"/>
      <c r="B777" s="49"/>
      <c r="C777" s="49"/>
      <c r="D777" s="50"/>
      <c r="E777" s="50"/>
      <c r="F777" s="50"/>
      <c r="G777" s="50"/>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c r="AF777" s="49"/>
      <c r="AG777" s="49"/>
      <c r="AH777" s="49"/>
      <c r="AI777" s="49"/>
      <c r="AJ777" s="49"/>
      <c r="AK777" s="49"/>
      <c r="AL777" s="49"/>
      <c r="AM777" s="49"/>
      <c r="AN777" s="49"/>
      <c r="AO777" s="49"/>
      <c r="AP777" s="49"/>
      <c r="AQ777" s="49"/>
      <c r="AR777" s="49"/>
      <c r="AS777" s="49"/>
      <c r="AT777" s="49"/>
      <c r="AU777" s="49"/>
      <c r="AV777" s="49"/>
      <c r="AW777" s="49"/>
      <c r="AX777" s="49"/>
    </row>
    <row r="778">
      <c r="A778" s="49"/>
      <c r="B778" s="49"/>
      <c r="C778" s="49"/>
      <c r="D778" s="50"/>
      <c r="E778" s="50"/>
      <c r="F778" s="50"/>
      <c r="G778" s="50"/>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c r="AF778" s="49"/>
      <c r="AG778" s="49"/>
      <c r="AH778" s="49"/>
      <c r="AI778" s="49"/>
      <c r="AJ778" s="49"/>
      <c r="AK778" s="49"/>
      <c r="AL778" s="49"/>
      <c r="AM778" s="49"/>
      <c r="AN778" s="49"/>
      <c r="AO778" s="49"/>
      <c r="AP778" s="49"/>
      <c r="AQ778" s="49"/>
      <c r="AR778" s="49"/>
      <c r="AS778" s="49"/>
      <c r="AT778" s="49"/>
      <c r="AU778" s="49"/>
      <c r="AV778" s="49"/>
      <c r="AW778" s="49"/>
      <c r="AX778" s="49"/>
    </row>
    <row r="779">
      <c r="A779" s="49"/>
      <c r="B779" s="49"/>
      <c r="C779" s="49"/>
      <c r="D779" s="50"/>
      <c r="E779" s="50"/>
      <c r="F779" s="50"/>
      <c r="G779" s="50"/>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c r="AF779" s="49"/>
      <c r="AG779" s="49"/>
      <c r="AH779" s="49"/>
      <c r="AI779" s="49"/>
      <c r="AJ779" s="49"/>
      <c r="AK779" s="49"/>
      <c r="AL779" s="49"/>
      <c r="AM779" s="49"/>
      <c r="AN779" s="49"/>
      <c r="AO779" s="49"/>
      <c r="AP779" s="49"/>
      <c r="AQ779" s="49"/>
      <c r="AR779" s="49"/>
      <c r="AS779" s="49"/>
      <c r="AT779" s="49"/>
      <c r="AU779" s="49"/>
      <c r="AV779" s="49"/>
      <c r="AW779" s="49"/>
      <c r="AX779" s="49"/>
    </row>
    <row r="780">
      <c r="A780" s="49"/>
      <c r="B780" s="49"/>
      <c r="C780" s="49"/>
      <c r="D780" s="50"/>
      <c r="E780" s="50"/>
      <c r="F780" s="50"/>
      <c r="G780" s="50"/>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c r="AF780" s="49"/>
      <c r="AG780" s="49"/>
      <c r="AH780" s="49"/>
      <c r="AI780" s="49"/>
      <c r="AJ780" s="49"/>
      <c r="AK780" s="49"/>
      <c r="AL780" s="49"/>
      <c r="AM780" s="49"/>
      <c r="AN780" s="49"/>
      <c r="AO780" s="49"/>
      <c r="AP780" s="49"/>
      <c r="AQ780" s="49"/>
      <c r="AR780" s="49"/>
      <c r="AS780" s="49"/>
      <c r="AT780" s="49"/>
      <c r="AU780" s="49"/>
      <c r="AV780" s="49"/>
      <c r="AW780" s="49"/>
      <c r="AX780" s="49"/>
    </row>
    <row r="781">
      <c r="A781" s="49"/>
      <c r="B781" s="49"/>
      <c r="C781" s="49"/>
      <c r="D781" s="50"/>
      <c r="E781" s="50"/>
      <c r="F781" s="50"/>
      <c r="G781" s="50"/>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c r="AF781" s="49"/>
      <c r="AG781" s="49"/>
      <c r="AH781" s="49"/>
      <c r="AI781" s="49"/>
      <c r="AJ781" s="49"/>
      <c r="AK781" s="49"/>
      <c r="AL781" s="49"/>
      <c r="AM781" s="49"/>
      <c r="AN781" s="49"/>
      <c r="AO781" s="49"/>
      <c r="AP781" s="49"/>
      <c r="AQ781" s="49"/>
      <c r="AR781" s="49"/>
      <c r="AS781" s="49"/>
      <c r="AT781" s="49"/>
      <c r="AU781" s="49"/>
      <c r="AV781" s="49"/>
      <c r="AW781" s="49"/>
      <c r="AX781" s="49"/>
    </row>
    <row r="782">
      <c r="A782" s="49"/>
      <c r="B782" s="49"/>
      <c r="C782" s="49"/>
      <c r="D782" s="50"/>
      <c r="E782" s="50"/>
      <c r="F782" s="50"/>
      <c r="G782" s="50"/>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c r="AF782" s="49"/>
      <c r="AG782" s="49"/>
      <c r="AH782" s="49"/>
      <c r="AI782" s="49"/>
      <c r="AJ782" s="49"/>
      <c r="AK782" s="49"/>
      <c r="AL782" s="49"/>
      <c r="AM782" s="49"/>
      <c r="AN782" s="49"/>
      <c r="AO782" s="49"/>
      <c r="AP782" s="49"/>
      <c r="AQ782" s="49"/>
      <c r="AR782" s="49"/>
      <c r="AS782" s="49"/>
      <c r="AT782" s="49"/>
      <c r="AU782" s="49"/>
      <c r="AV782" s="49"/>
      <c r="AW782" s="49"/>
      <c r="AX782" s="49"/>
    </row>
    <row r="783">
      <c r="A783" s="49"/>
      <c r="B783" s="49"/>
      <c r="C783" s="49"/>
      <c r="D783" s="50"/>
      <c r="E783" s="50"/>
      <c r="F783" s="50"/>
      <c r="G783" s="50"/>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c r="AF783" s="49"/>
      <c r="AG783" s="49"/>
      <c r="AH783" s="49"/>
      <c r="AI783" s="49"/>
      <c r="AJ783" s="49"/>
      <c r="AK783" s="49"/>
      <c r="AL783" s="49"/>
      <c r="AM783" s="49"/>
      <c r="AN783" s="49"/>
      <c r="AO783" s="49"/>
      <c r="AP783" s="49"/>
      <c r="AQ783" s="49"/>
      <c r="AR783" s="49"/>
      <c r="AS783" s="49"/>
      <c r="AT783" s="49"/>
      <c r="AU783" s="49"/>
      <c r="AV783" s="49"/>
      <c r="AW783" s="49"/>
      <c r="AX783" s="49"/>
    </row>
    <row r="784">
      <c r="A784" s="49"/>
      <c r="B784" s="49"/>
      <c r="C784" s="49"/>
      <c r="D784" s="50"/>
      <c r="E784" s="50"/>
      <c r="F784" s="50"/>
      <c r="G784" s="50"/>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c r="AF784" s="49"/>
      <c r="AG784" s="49"/>
      <c r="AH784" s="49"/>
      <c r="AI784" s="49"/>
      <c r="AJ784" s="49"/>
      <c r="AK784" s="49"/>
      <c r="AL784" s="49"/>
      <c r="AM784" s="49"/>
      <c r="AN784" s="49"/>
      <c r="AO784" s="49"/>
      <c r="AP784" s="49"/>
      <c r="AQ784" s="49"/>
      <c r="AR784" s="49"/>
      <c r="AS784" s="49"/>
      <c r="AT784" s="49"/>
      <c r="AU784" s="49"/>
      <c r="AV784" s="49"/>
      <c r="AW784" s="49"/>
      <c r="AX784" s="49"/>
    </row>
    <row r="785">
      <c r="A785" s="49"/>
      <c r="B785" s="49"/>
      <c r="C785" s="49"/>
      <c r="D785" s="50"/>
      <c r="E785" s="50"/>
      <c r="F785" s="50"/>
      <c r="G785" s="50"/>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c r="AF785" s="49"/>
      <c r="AG785" s="49"/>
      <c r="AH785" s="49"/>
      <c r="AI785" s="49"/>
      <c r="AJ785" s="49"/>
      <c r="AK785" s="49"/>
      <c r="AL785" s="49"/>
      <c r="AM785" s="49"/>
      <c r="AN785" s="49"/>
      <c r="AO785" s="49"/>
      <c r="AP785" s="49"/>
      <c r="AQ785" s="49"/>
      <c r="AR785" s="49"/>
      <c r="AS785" s="49"/>
      <c r="AT785" s="49"/>
      <c r="AU785" s="49"/>
      <c r="AV785" s="49"/>
      <c r="AW785" s="49"/>
      <c r="AX785" s="49"/>
    </row>
    <row r="786">
      <c r="A786" s="49"/>
      <c r="B786" s="49"/>
      <c r="C786" s="49"/>
      <c r="D786" s="50"/>
      <c r="E786" s="50"/>
      <c r="F786" s="50"/>
      <c r="G786" s="50"/>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c r="AF786" s="49"/>
      <c r="AG786" s="49"/>
      <c r="AH786" s="49"/>
      <c r="AI786" s="49"/>
      <c r="AJ786" s="49"/>
      <c r="AK786" s="49"/>
      <c r="AL786" s="49"/>
      <c r="AM786" s="49"/>
      <c r="AN786" s="49"/>
      <c r="AO786" s="49"/>
      <c r="AP786" s="49"/>
      <c r="AQ786" s="49"/>
      <c r="AR786" s="49"/>
      <c r="AS786" s="49"/>
      <c r="AT786" s="49"/>
      <c r="AU786" s="49"/>
      <c r="AV786" s="49"/>
      <c r="AW786" s="49"/>
      <c r="AX786" s="49"/>
    </row>
    <row r="787">
      <c r="A787" s="49"/>
      <c r="B787" s="49"/>
      <c r="C787" s="49"/>
      <c r="D787" s="50"/>
      <c r="E787" s="50"/>
      <c r="F787" s="50"/>
      <c r="G787" s="50"/>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c r="AF787" s="49"/>
      <c r="AG787" s="49"/>
      <c r="AH787" s="49"/>
      <c r="AI787" s="49"/>
      <c r="AJ787" s="49"/>
      <c r="AK787" s="49"/>
      <c r="AL787" s="49"/>
      <c r="AM787" s="49"/>
      <c r="AN787" s="49"/>
      <c r="AO787" s="49"/>
      <c r="AP787" s="49"/>
      <c r="AQ787" s="49"/>
      <c r="AR787" s="49"/>
      <c r="AS787" s="49"/>
      <c r="AT787" s="49"/>
      <c r="AU787" s="49"/>
      <c r="AV787" s="49"/>
      <c r="AW787" s="49"/>
      <c r="AX787" s="49"/>
    </row>
    <row r="788">
      <c r="A788" s="49"/>
      <c r="B788" s="49"/>
      <c r="C788" s="49"/>
      <c r="D788" s="50"/>
      <c r="E788" s="50"/>
      <c r="F788" s="50"/>
      <c r="G788" s="50"/>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c r="AF788" s="49"/>
      <c r="AG788" s="49"/>
      <c r="AH788" s="49"/>
      <c r="AI788" s="49"/>
      <c r="AJ788" s="49"/>
      <c r="AK788" s="49"/>
      <c r="AL788" s="49"/>
      <c r="AM788" s="49"/>
      <c r="AN788" s="49"/>
      <c r="AO788" s="49"/>
      <c r="AP788" s="49"/>
      <c r="AQ788" s="49"/>
      <c r="AR788" s="49"/>
      <c r="AS788" s="49"/>
      <c r="AT788" s="49"/>
      <c r="AU788" s="49"/>
      <c r="AV788" s="49"/>
      <c r="AW788" s="49"/>
      <c r="AX788" s="49"/>
    </row>
    <row r="789">
      <c r="A789" s="49"/>
      <c r="B789" s="49"/>
      <c r="C789" s="49"/>
      <c r="D789" s="50"/>
      <c r="E789" s="50"/>
      <c r="F789" s="50"/>
      <c r="G789" s="50"/>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c r="AF789" s="49"/>
      <c r="AG789" s="49"/>
      <c r="AH789" s="49"/>
      <c r="AI789" s="49"/>
      <c r="AJ789" s="49"/>
      <c r="AK789" s="49"/>
      <c r="AL789" s="49"/>
      <c r="AM789" s="49"/>
      <c r="AN789" s="49"/>
      <c r="AO789" s="49"/>
      <c r="AP789" s="49"/>
      <c r="AQ789" s="49"/>
      <c r="AR789" s="49"/>
      <c r="AS789" s="49"/>
      <c r="AT789" s="49"/>
      <c r="AU789" s="49"/>
      <c r="AV789" s="49"/>
      <c r="AW789" s="49"/>
      <c r="AX789" s="49"/>
    </row>
    <row r="790">
      <c r="A790" s="49"/>
      <c r="B790" s="49"/>
      <c r="C790" s="49"/>
      <c r="D790" s="50"/>
      <c r="E790" s="50"/>
      <c r="F790" s="50"/>
      <c r="G790" s="50"/>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c r="AF790" s="49"/>
      <c r="AG790" s="49"/>
      <c r="AH790" s="49"/>
      <c r="AI790" s="49"/>
      <c r="AJ790" s="49"/>
      <c r="AK790" s="49"/>
      <c r="AL790" s="49"/>
      <c r="AM790" s="49"/>
      <c r="AN790" s="49"/>
      <c r="AO790" s="49"/>
      <c r="AP790" s="49"/>
      <c r="AQ790" s="49"/>
      <c r="AR790" s="49"/>
      <c r="AS790" s="49"/>
      <c r="AT790" s="49"/>
      <c r="AU790" s="49"/>
      <c r="AV790" s="49"/>
      <c r="AW790" s="49"/>
      <c r="AX790" s="49"/>
    </row>
    <row r="791">
      <c r="A791" s="49"/>
      <c r="B791" s="49"/>
      <c r="C791" s="49"/>
      <c r="D791" s="50"/>
      <c r="E791" s="50"/>
      <c r="F791" s="50"/>
      <c r="G791" s="50"/>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c r="AF791" s="49"/>
      <c r="AG791" s="49"/>
      <c r="AH791" s="49"/>
      <c r="AI791" s="49"/>
      <c r="AJ791" s="49"/>
      <c r="AK791" s="49"/>
      <c r="AL791" s="49"/>
      <c r="AM791" s="49"/>
      <c r="AN791" s="49"/>
      <c r="AO791" s="49"/>
      <c r="AP791" s="49"/>
      <c r="AQ791" s="49"/>
      <c r="AR791" s="49"/>
      <c r="AS791" s="49"/>
      <c r="AT791" s="49"/>
      <c r="AU791" s="49"/>
      <c r="AV791" s="49"/>
      <c r="AW791" s="49"/>
      <c r="AX791" s="49"/>
    </row>
    <row r="792">
      <c r="A792" s="49"/>
      <c r="B792" s="49"/>
      <c r="C792" s="49"/>
      <c r="D792" s="50"/>
      <c r="E792" s="50"/>
      <c r="F792" s="50"/>
      <c r="G792" s="50"/>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c r="AF792" s="49"/>
      <c r="AG792" s="49"/>
      <c r="AH792" s="49"/>
      <c r="AI792" s="49"/>
      <c r="AJ792" s="49"/>
      <c r="AK792" s="49"/>
      <c r="AL792" s="49"/>
      <c r="AM792" s="49"/>
      <c r="AN792" s="49"/>
      <c r="AO792" s="49"/>
      <c r="AP792" s="49"/>
      <c r="AQ792" s="49"/>
      <c r="AR792" s="49"/>
      <c r="AS792" s="49"/>
      <c r="AT792" s="49"/>
      <c r="AU792" s="49"/>
      <c r="AV792" s="49"/>
      <c r="AW792" s="49"/>
      <c r="AX792" s="49"/>
    </row>
    <row r="793">
      <c r="A793" s="49"/>
      <c r="B793" s="49"/>
      <c r="C793" s="49"/>
      <c r="D793" s="50"/>
      <c r="E793" s="50"/>
      <c r="F793" s="50"/>
      <c r="G793" s="50"/>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c r="AF793" s="49"/>
      <c r="AG793" s="49"/>
      <c r="AH793" s="49"/>
      <c r="AI793" s="49"/>
      <c r="AJ793" s="49"/>
      <c r="AK793" s="49"/>
      <c r="AL793" s="49"/>
      <c r="AM793" s="49"/>
      <c r="AN793" s="49"/>
      <c r="AO793" s="49"/>
      <c r="AP793" s="49"/>
      <c r="AQ793" s="49"/>
      <c r="AR793" s="49"/>
      <c r="AS793" s="49"/>
      <c r="AT793" s="49"/>
      <c r="AU793" s="49"/>
      <c r="AV793" s="49"/>
      <c r="AW793" s="49"/>
      <c r="AX793" s="49"/>
    </row>
    <row r="794">
      <c r="A794" s="49"/>
      <c r="B794" s="49"/>
      <c r="C794" s="49"/>
      <c r="D794" s="50"/>
      <c r="E794" s="50"/>
      <c r="F794" s="50"/>
      <c r="G794" s="50"/>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c r="AF794" s="49"/>
      <c r="AG794" s="49"/>
      <c r="AH794" s="49"/>
      <c r="AI794" s="49"/>
      <c r="AJ794" s="49"/>
      <c r="AK794" s="49"/>
      <c r="AL794" s="49"/>
      <c r="AM794" s="49"/>
      <c r="AN794" s="49"/>
      <c r="AO794" s="49"/>
      <c r="AP794" s="49"/>
      <c r="AQ794" s="49"/>
      <c r="AR794" s="49"/>
      <c r="AS794" s="49"/>
      <c r="AT794" s="49"/>
      <c r="AU794" s="49"/>
      <c r="AV794" s="49"/>
      <c r="AW794" s="49"/>
      <c r="AX794" s="49"/>
    </row>
    <row r="795">
      <c r="A795" s="49"/>
      <c r="B795" s="49"/>
      <c r="C795" s="49"/>
      <c r="D795" s="50"/>
      <c r="E795" s="50"/>
      <c r="F795" s="50"/>
      <c r="G795" s="50"/>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c r="AF795" s="49"/>
      <c r="AG795" s="49"/>
      <c r="AH795" s="49"/>
      <c r="AI795" s="49"/>
      <c r="AJ795" s="49"/>
      <c r="AK795" s="49"/>
      <c r="AL795" s="49"/>
      <c r="AM795" s="49"/>
      <c r="AN795" s="49"/>
      <c r="AO795" s="49"/>
      <c r="AP795" s="49"/>
      <c r="AQ795" s="49"/>
      <c r="AR795" s="49"/>
      <c r="AS795" s="49"/>
      <c r="AT795" s="49"/>
      <c r="AU795" s="49"/>
      <c r="AV795" s="49"/>
      <c r="AW795" s="49"/>
      <c r="AX795" s="49"/>
    </row>
    <row r="796">
      <c r="A796" s="49"/>
      <c r="B796" s="49"/>
      <c r="C796" s="49"/>
      <c r="D796" s="50"/>
      <c r="E796" s="50"/>
      <c r="F796" s="50"/>
      <c r="G796" s="50"/>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c r="AF796" s="49"/>
      <c r="AG796" s="49"/>
      <c r="AH796" s="49"/>
      <c r="AI796" s="49"/>
      <c r="AJ796" s="49"/>
      <c r="AK796" s="49"/>
      <c r="AL796" s="49"/>
      <c r="AM796" s="49"/>
      <c r="AN796" s="49"/>
      <c r="AO796" s="49"/>
      <c r="AP796" s="49"/>
      <c r="AQ796" s="49"/>
      <c r="AR796" s="49"/>
      <c r="AS796" s="49"/>
      <c r="AT796" s="49"/>
      <c r="AU796" s="49"/>
      <c r="AV796" s="49"/>
      <c r="AW796" s="49"/>
      <c r="AX796" s="49"/>
    </row>
    <row r="797">
      <c r="A797" s="49"/>
      <c r="B797" s="49"/>
      <c r="C797" s="49"/>
      <c r="D797" s="50"/>
      <c r="E797" s="50"/>
      <c r="F797" s="50"/>
      <c r="G797" s="50"/>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c r="AF797" s="49"/>
      <c r="AG797" s="49"/>
      <c r="AH797" s="49"/>
      <c r="AI797" s="49"/>
      <c r="AJ797" s="49"/>
      <c r="AK797" s="49"/>
      <c r="AL797" s="49"/>
      <c r="AM797" s="49"/>
      <c r="AN797" s="49"/>
      <c r="AO797" s="49"/>
      <c r="AP797" s="49"/>
      <c r="AQ797" s="49"/>
      <c r="AR797" s="49"/>
      <c r="AS797" s="49"/>
      <c r="AT797" s="49"/>
      <c r="AU797" s="49"/>
      <c r="AV797" s="49"/>
      <c r="AW797" s="49"/>
      <c r="AX797" s="49"/>
    </row>
    <row r="798">
      <c r="A798" s="49"/>
      <c r="B798" s="49"/>
      <c r="C798" s="49"/>
      <c r="D798" s="50"/>
      <c r="E798" s="50"/>
      <c r="F798" s="50"/>
      <c r="G798" s="50"/>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c r="AF798" s="49"/>
      <c r="AG798" s="49"/>
      <c r="AH798" s="49"/>
      <c r="AI798" s="49"/>
      <c r="AJ798" s="49"/>
      <c r="AK798" s="49"/>
      <c r="AL798" s="49"/>
      <c r="AM798" s="49"/>
      <c r="AN798" s="49"/>
      <c r="AO798" s="49"/>
      <c r="AP798" s="49"/>
      <c r="AQ798" s="49"/>
      <c r="AR798" s="49"/>
      <c r="AS798" s="49"/>
      <c r="AT798" s="49"/>
      <c r="AU798" s="49"/>
      <c r="AV798" s="49"/>
      <c r="AW798" s="49"/>
      <c r="AX798" s="49"/>
    </row>
    <row r="799">
      <c r="A799" s="49"/>
      <c r="B799" s="49"/>
      <c r="C799" s="49"/>
      <c r="D799" s="50"/>
      <c r="E799" s="50"/>
      <c r="F799" s="50"/>
      <c r="G799" s="50"/>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c r="AF799" s="49"/>
      <c r="AG799" s="49"/>
      <c r="AH799" s="49"/>
      <c r="AI799" s="49"/>
      <c r="AJ799" s="49"/>
      <c r="AK799" s="49"/>
      <c r="AL799" s="49"/>
      <c r="AM799" s="49"/>
      <c r="AN799" s="49"/>
      <c r="AO799" s="49"/>
      <c r="AP799" s="49"/>
      <c r="AQ799" s="49"/>
      <c r="AR799" s="49"/>
      <c r="AS799" s="49"/>
      <c r="AT799" s="49"/>
      <c r="AU799" s="49"/>
      <c r="AV799" s="49"/>
      <c r="AW799" s="49"/>
      <c r="AX799" s="49"/>
    </row>
    <row r="800">
      <c r="A800" s="49"/>
      <c r="B800" s="49"/>
      <c r="C800" s="49"/>
      <c r="D800" s="50"/>
      <c r="E800" s="50"/>
      <c r="F800" s="50"/>
      <c r="G800" s="50"/>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c r="AF800" s="49"/>
      <c r="AG800" s="49"/>
      <c r="AH800" s="49"/>
      <c r="AI800" s="49"/>
      <c r="AJ800" s="49"/>
      <c r="AK800" s="49"/>
      <c r="AL800" s="49"/>
      <c r="AM800" s="49"/>
      <c r="AN800" s="49"/>
      <c r="AO800" s="49"/>
      <c r="AP800" s="49"/>
      <c r="AQ800" s="49"/>
      <c r="AR800" s="49"/>
      <c r="AS800" s="49"/>
      <c r="AT800" s="49"/>
      <c r="AU800" s="49"/>
      <c r="AV800" s="49"/>
      <c r="AW800" s="49"/>
      <c r="AX800" s="49"/>
    </row>
    <row r="801">
      <c r="A801" s="49"/>
      <c r="B801" s="49"/>
      <c r="C801" s="49"/>
      <c r="D801" s="50"/>
      <c r="E801" s="50"/>
      <c r="F801" s="50"/>
      <c r="G801" s="50"/>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c r="AF801" s="49"/>
      <c r="AG801" s="49"/>
      <c r="AH801" s="49"/>
      <c r="AI801" s="49"/>
      <c r="AJ801" s="49"/>
      <c r="AK801" s="49"/>
      <c r="AL801" s="49"/>
      <c r="AM801" s="49"/>
      <c r="AN801" s="49"/>
      <c r="AO801" s="49"/>
      <c r="AP801" s="49"/>
      <c r="AQ801" s="49"/>
      <c r="AR801" s="49"/>
      <c r="AS801" s="49"/>
      <c r="AT801" s="49"/>
      <c r="AU801" s="49"/>
      <c r="AV801" s="49"/>
      <c r="AW801" s="49"/>
      <c r="AX801" s="49"/>
    </row>
    <row r="802">
      <c r="A802" s="49"/>
      <c r="B802" s="49"/>
      <c r="C802" s="49"/>
      <c r="D802" s="50"/>
      <c r="E802" s="50"/>
      <c r="F802" s="50"/>
      <c r="G802" s="50"/>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c r="AF802" s="49"/>
      <c r="AG802" s="49"/>
      <c r="AH802" s="49"/>
      <c r="AI802" s="49"/>
      <c r="AJ802" s="49"/>
      <c r="AK802" s="49"/>
      <c r="AL802" s="49"/>
      <c r="AM802" s="49"/>
      <c r="AN802" s="49"/>
      <c r="AO802" s="49"/>
      <c r="AP802" s="49"/>
      <c r="AQ802" s="49"/>
      <c r="AR802" s="49"/>
      <c r="AS802" s="49"/>
      <c r="AT802" s="49"/>
      <c r="AU802" s="49"/>
      <c r="AV802" s="49"/>
      <c r="AW802" s="49"/>
      <c r="AX802" s="49"/>
    </row>
    <row r="803">
      <c r="A803" s="49"/>
      <c r="B803" s="49"/>
      <c r="C803" s="49"/>
      <c r="D803" s="50"/>
      <c r="E803" s="50"/>
      <c r="F803" s="50"/>
      <c r="G803" s="50"/>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c r="AF803" s="49"/>
      <c r="AG803" s="49"/>
      <c r="AH803" s="49"/>
      <c r="AI803" s="49"/>
      <c r="AJ803" s="49"/>
      <c r="AK803" s="49"/>
      <c r="AL803" s="49"/>
      <c r="AM803" s="49"/>
      <c r="AN803" s="49"/>
      <c r="AO803" s="49"/>
      <c r="AP803" s="49"/>
      <c r="AQ803" s="49"/>
      <c r="AR803" s="49"/>
      <c r="AS803" s="49"/>
      <c r="AT803" s="49"/>
      <c r="AU803" s="49"/>
      <c r="AV803" s="49"/>
      <c r="AW803" s="49"/>
      <c r="AX803" s="49"/>
    </row>
    <row r="804">
      <c r="A804" s="49"/>
      <c r="B804" s="49"/>
      <c r="C804" s="49"/>
      <c r="D804" s="50"/>
      <c r="E804" s="50"/>
      <c r="F804" s="50"/>
      <c r="G804" s="50"/>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c r="AF804" s="49"/>
      <c r="AG804" s="49"/>
      <c r="AH804" s="49"/>
      <c r="AI804" s="49"/>
      <c r="AJ804" s="49"/>
      <c r="AK804" s="49"/>
      <c r="AL804" s="49"/>
      <c r="AM804" s="49"/>
      <c r="AN804" s="49"/>
      <c r="AO804" s="49"/>
      <c r="AP804" s="49"/>
      <c r="AQ804" s="49"/>
      <c r="AR804" s="49"/>
      <c r="AS804" s="49"/>
      <c r="AT804" s="49"/>
      <c r="AU804" s="49"/>
      <c r="AV804" s="49"/>
      <c r="AW804" s="49"/>
      <c r="AX804" s="49"/>
    </row>
    <row r="805">
      <c r="A805" s="49"/>
      <c r="B805" s="49"/>
      <c r="C805" s="49"/>
      <c r="D805" s="50"/>
      <c r="E805" s="50"/>
      <c r="F805" s="50"/>
      <c r="G805" s="50"/>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c r="AF805" s="49"/>
      <c r="AG805" s="49"/>
      <c r="AH805" s="49"/>
      <c r="AI805" s="49"/>
      <c r="AJ805" s="49"/>
      <c r="AK805" s="49"/>
      <c r="AL805" s="49"/>
      <c r="AM805" s="49"/>
      <c r="AN805" s="49"/>
      <c r="AO805" s="49"/>
      <c r="AP805" s="49"/>
      <c r="AQ805" s="49"/>
      <c r="AR805" s="49"/>
      <c r="AS805" s="49"/>
      <c r="AT805" s="49"/>
      <c r="AU805" s="49"/>
      <c r="AV805" s="49"/>
      <c r="AW805" s="49"/>
      <c r="AX805" s="49"/>
    </row>
    <row r="806">
      <c r="A806" s="49"/>
      <c r="B806" s="49"/>
      <c r="C806" s="49"/>
      <c r="D806" s="50"/>
      <c r="E806" s="50"/>
      <c r="F806" s="50"/>
      <c r="G806" s="50"/>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c r="AF806" s="49"/>
      <c r="AG806" s="49"/>
      <c r="AH806" s="49"/>
      <c r="AI806" s="49"/>
      <c r="AJ806" s="49"/>
      <c r="AK806" s="49"/>
      <c r="AL806" s="49"/>
      <c r="AM806" s="49"/>
      <c r="AN806" s="49"/>
      <c r="AO806" s="49"/>
      <c r="AP806" s="49"/>
      <c r="AQ806" s="49"/>
      <c r="AR806" s="49"/>
      <c r="AS806" s="49"/>
      <c r="AT806" s="49"/>
      <c r="AU806" s="49"/>
      <c r="AV806" s="49"/>
      <c r="AW806" s="49"/>
      <c r="AX806" s="49"/>
    </row>
    <row r="807">
      <c r="A807" s="49"/>
      <c r="B807" s="49"/>
      <c r="C807" s="49"/>
      <c r="D807" s="50"/>
      <c r="E807" s="50"/>
      <c r="F807" s="50"/>
      <c r="G807" s="50"/>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c r="AF807" s="49"/>
      <c r="AG807" s="49"/>
      <c r="AH807" s="49"/>
      <c r="AI807" s="49"/>
      <c r="AJ807" s="49"/>
      <c r="AK807" s="49"/>
      <c r="AL807" s="49"/>
      <c r="AM807" s="49"/>
      <c r="AN807" s="49"/>
      <c r="AO807" s="49"/>
      <c r="AP807" s="49"/>
      <c r="AQ807" s="49"/>
      <c r="AR807" s="49"/>
      <c r="AS807" s="49"/>
      <c r="AT807" s="49"/>
      <c r="AU807" s="49"/>
      <c r="AV807" s="49"/>
      <c r="AW807" s="49"/>
      <c r="AX807" s="49"/>
    </row>
    <row r="808">
      <c r="A808" s="49"/>
      <c r="B808" s="49"/>
      <c r="C808" s="49"/>
      <c r="D808" s="50"/>
      <c r="E808" s="50"/>
      <c r="F808" s="50"/>
      <c r="G808" s="50"/>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c r="AF808" s="49"/>
      <c r="AG808" s="49"/>
      <c r="AH808" s="49"/>
      <c r="AI808" s="49"/>
      <c r="AJ808" s="49"/>
      <c r="AK808" s="49"/>
      <c r="AL808" s="49"/>
      <c r="AM808" s="49"/>
      <c r="AN808" s="49"/>
      <c r="AO808" s="49"/>
      <c r="AP808" s="49"/>
      <c r="AQ808" s="49"/>
      <c r="AR808" s="49"/>
      <c r="AS808" s="49"/>
      <c r="AT808" s="49"/>
      <c r="AU808" s="49"/>
      <c r="AV808" s="49"/>
      <c r="AW808" s="49"/>
      <c r="AX808" s="49"/>
    </row>
    <row r="809">
      <c r="A809" s="49"/>
      <c r="B809" s="49"/>
      <c r="C809" s="49"/>
      <c r="D809" s="50"/>
      <c r="E809" s="50"/>
      <c r="F809" s="50"/>
      <c r="G809" s="50"/>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c r="AF809" s="49"/>
      <c r="AG809" s="49"/>
      <c r="AH809" s="49"/>
      <c r="AI809" s="49"/>
      <c r="AJ809" s="49"/>
      <c r="AK809" s="49"/>
      <c r="AL809" s="49"/>
      <c r="AM809" s="49"/>
      <c r="AN809" s="49"/>
      <c r="AO809" s="49"/>
      <c r="AP809" s="49"/>
      <c r="AQ809" s="49"/>
      <c r="AR809" s="49"/>
      <c r="AS809" s="49"/>
      <c r="AT809" s="49"/>
      <c r="AU809" s="49"/>
      <c r="AV809" s="49"/>
      <c r="AW809" s="49"/>
      <c r="AX809" s="49"/>
    </row>
    <row r="810">
      <c r="A810" s="49"/>
      <c r="B810" s="49"/>
      <c r="C810" s="49"/>
      <c r="D810" s="50"/>
      <c r="E810" s="50"/>
      <c r="F810" s="50"/>
      <c r="G810" s="50"/>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c r="AF810" s="49"/>
      <c r="AG810" s="49"/>
      <c r="AH810" s="49"/>
      <c r="AI810" s="49"/>
      <c r="AJ810" s="49"/>
      <c r="AK810" s="49"/>
      <c r="AL810" s="49"/>
      <c r="AM810" s="49"/>
      <c r="AN810" s="49"/>
      <c r="AO810" s="49"/>
      <c r="AP810" s="49"/>
      <c r="AQ810" s="49"/>
      <c r="AR810" s="49"/>
      <c r="AS810" s="49"/>
      <c r="AT810" s="49"/>
      <c r="AU810" s="49"/>
      <c r="AV810" s="49"/>
      <c r="AW810" s="49"/>
      <c r="AX810" s="49"/>
    </row>
    <row r="811">
      <c r="A811" s="49"/>
      <c r="B811" s="49"/>
      <c r="C811" s="49"/>
      <c r="D811" s="50"/>
      <c r="E811" s="50"/>
      <c r="F811" s="50"/>
      <c r="G811" s="50"/>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c r="AF811" s="49"/>
      <c r="AG811" s="49"/>
      <c r="AH811" s="49"/>
      <c r="AI811" s="49"/>
      <c r="AJ811" s="49"/>
      <c r="AK811" s="49"/>
      <c r="AL811" s="49"/>
      <c r="AM811" s="49"/>
      <c r="AN811" s="49"/>
      <c r="AO811" s="49"/>
      <c r="AP811" s="49"/>
      <c r="AQ811" s="49"/>
      <c r="AR811" s="49"/>
      <c r="AS811" s="49"/>
      <c r="AT811" s="49"/>
      <c r="AU811" s="49"/>
      <c r="AV811" s="49"/>
      <c r="AW811" s="49"/>
      <c r="AX811" s="49"/>
    </row>
    <row r="812">
      <c r="A812" s="49"/>
      <c r="B812" s="49"/>
      <c r="C812" s="49"/>
      <c r="D812" s="50"/>
      <c r="E812" s="50"/>
      <c r="F812" s="50"/>
      <c r="G812" s="50"/>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c r="AF812" s="49"/>
      <c r="AG812" s="49"/>
      <c r="AH812" s="49"/>
      <c r="AI812" s="49"/>
      <c r="AJ812" s="49"/>
      <c r="AK812" s="49"/>
      <c r="AL812" s="49"/>
      <c r="AM812" s="49"/>
      <c r="AN812" s="49"/>
      <c r="AO812" s="49"/>
      <c r="AP812" s="49"/>
      <c r="AQ812" s="49"/>
      <c r="AR812" s="49"/>
      <c r="AS812" s="49"/>
      <c r="AT812" s="49"/>
      <c r="AU812" s="49"/>
      <c r="AV812" s="49"/>
      <c r="AW812" s="49"/>
      <c r="AX812" s="49"/>
    </row>
    <row r="813">
      <c r="A813" s="49"/>
      <c r="B813" s="49"/>
      <c r="C813" s="49"/>
      <c r="D813" s="50"/>
      <c r="E813" s="50"/>
      <c r="F813" s="50"/>
      <c r="G813" s="50"/>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c r="AF813" s="49"/>
      <c r="AG813" s="49"/>
      <c r="AH813" s="49"/>
      <c r="AI813" s="49"/>
      <c r="AJ813" s="49"/>
      <c r="AK813" s="49"/>
      <c r="AL813" s="49"/>
      <c r="AM813" s="49"/>
      <c r="AN813" s="49"/>
      <c r="AO813" s="49"/>
      <c r="AP813" s="49"/>
      <c r="AQ813" s="49"/>
      <c r="AR813" s="49"/>
      <c r="AS813" s="49"/>
      <c r="AT813" s="49"/>
      <c r="AU813" s="49"/>
      <c r="AV813" s="49"/>
      <c r="AW813" s="49"/>
      <c r="AX813" s="49"/>
    </row>
    <row r="814">
      <c r="A814" s="49"/>
      <c r="B814" s="49"/>
      <c r="C814" s="49"/>
      <c r="D814" s="50"/>
      <c r="E814" s="50"/>
      <c r="F814" s="50"/>
      <c r="G814" s="50"/>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c r="AF814" s="49"/>
      <c r="AG814" s="49"/>
      <c r="AH814" s="49"/>
      <c r="AI814" s="49"/>
      <c r="AJ814" s="49"/>
      <c r="AK814" s="49"/>
      <c r="AL814" s="49"/>
      <c r="AM814" s="49"/>
      <c r="AN814" s="49"/>
      <c r="AO814" s="49"/>
      <c r="AP814" s="49"/>
      <c r="AQ814" s="49"/>
      <c r="AR814" s="49"/>
      <c r="AS814" s="49"/>
      <c r="AT814" s="49"/>
      <c r="AU814" s="49"/>
      <c r="AV814" s="49"/>
      <c r="AW814" s="49"/>
      <c r="AX814" s="49"/>
    </row>
    <row r="815">
      <c r="A815" s="49"/>
      <c r="B815" s="49"/>
      <c r="C815" s="49"/>
      <c r="D815" s="50"/>
      <c r="E815" s="50"/>
      <c r="F815" s="50"/>
      <c r="G815" s="50"/>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c r="AF815" s="49"/>
      <c r="AG815" s="49"/>
      <c r="AH815" s="49"/>
      <c r="AI815" s="49"/>
      <c r="AJ815" s="49"/>
      <c r="AK815" s="49"/>
      <c r="AL815" s="49"/>
      <c r="AM815" s="49"/>
      <c r="AN815" s="49"/>
      <c r="AO815" s="49"/>
      <c r="AP815" s="49"/>
      <c r="AQ815" s="49"/>
      <c r="AR815" s="49"/>
      <c r="AS815" s="49"/>
      <c r="AT815" s="49"/>
      <c r="AU815" s="49"/>
      <c r="AV815" s="49"/>
      <c r="AW815" s="49"/>
      <c r="AX815" s="49"/>
    </row>
    <row r="816">
      <c r="A816" s="49"/>
      <c r="B816" s="49"/>
      <c r="C816" s="49"/>
      <c r="D816" s="50"/>
      <c r="E816" s="50"/>
      <c r="F816" s="50"/>
      <c r="G816" s="50"/>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c r="AF816" s="49"/>
      <c r="AG816" s="49"/>
      <c r="AH816" s="49"/>
      <c r="AI816" s="49"/>
      <c r="AJ816" s="49"/>
      <c r="AK816" s="49"/>
      <c r="AL816" s="49"/>
      <c r="AM816" s="49"/>
      <c r="AN816" s="49"/>
      <c r="AO816" s="49"/>
      <c r="AP816" s="49"/>
      <c r="AQ816" s="49"/>
      <c r="AR816" s="49"/>
      <c r="AS816" s="49"/>
      <c r="AT816" s="49"/>
      <c r="AU816" s="49"/>
      <c r="AV816" s="49"/>
      <c r="AW816" s="49"/>
      <c r="AX816" s="49"/>
    </row>
    <row r="817">
      <c r="A817" s="49"/>
      <c r="B817" s="49"/>
      <c r="C817" s="49"/>
      <c r="D817" s="50"/>
      <c r="E817" s="50"/>
      <c r="F817" s="50"/>
      <c r="G817" s="50"/>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c r="AF817" s="49"/>
      <c r="AG817" s="49"/>
      <c r="AH817" s="49"/>
      <c r="AI817" s="49"/>
      <c r="AJ817" s="49"/>
      <c r="AK817" s="49"/>
      <c r="AL817" s="49"/>
      <c r="AM817" s="49"/>
      <c r="AN817" s="49"/>
      <c r="AO817" s="49"/>
      <c r="AP817" s="49"/>
      <c r="AQ817" s="49"/>
      <c r="AR817" s="49"/>
      <c r="AS817" s="49"/>
      <c r="AT817" s="49"/>
      <c r="AU817" s="49"/>
      <c r="AV817" s="49"/>
      <c r="AW817" s="49"/>
      <c r="AX817" s="49"/>
    </row>
    <row r="818">
      <c r="A818" s="49"/>
      <c r="B818" s="49"/>
      <c r="C818" s="49"/>
      <c r="D818" s="50"/>
      <c r="E818" s="50"/>
      <c r="F818" s="50"/>
      <c r="G818" s="50"/>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c r="AF818" s="49"/>
      <c r="AG818" s="49"/>
      <c r="AH818" s="49"/>
      <c r="AI818" s="49"/>
      <c r="AJ818" s="49"/>
      <c r="AK818" s="49"/>
      <c r="AL818" s="49"/>
      <c r="AM818" s="49"/>
      <c r="AN818" s="49"/>
      <c r="AO818" s="49"/>
      <c r="AP818" s="49"/>
      <c r="AQ818" s="49"/>
      <c r="AR818" s="49"/>
      <c r="AS818" s="49"/>
      <c r="AT818" s="49"/>
      <c r="AU818" s="49"/>
      <c r="AV818" s="49"/>
      <c r="AW818" s="49"/>
      <c r="AX818" s="49"/>
    </row>
    <row r="819">
      <c r="A819" s="49"/>
      <c r="B819" s="49"/>
      <c r="C819" s="49"/>
      <c r="D819" s="50"/>
      <c r="E819" s="50"/>
      <c r="F819" s="50"/>
      <c r="G819" s="50"/>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c r="AF819" s="49"/>
      <c r="AG819" s="49"/>
      <c r="AH819" s="49"/>
      <c r="AI819" s="49"/>
      <c r="AJ819" s="49"/>
      <c r="AK819" s="49"/>
      <c r="AL819" s="49"/>
      <c r="AM819" s="49"/>
      <c r="AN819" s="49"/>
      <c r="AO819" s="49"/>
      <c r="AP819" s="49"/>
      <c r="AQ819" s="49"/>
      <c r="AR819" s="49"/>
      <c r="AS819" s="49"/>
      <c r="AT819" s="49"/>
      <c r="AU819" s="49"/>
      <c r="AV819" s="49"/>
      <c r="AW819" s="49"/>
      <c r="AX819" s="49"/>
    </row>
    <row r="820">
      <c r="A820" s="49"/>
      <c r="B820" s="49"/>
      <c r="C820" s="49"/>
      <c r="D820" s="50"/>
      <c r="E820" s="50"/>
      <c r="F820" s="50"/>
      <c r="G820" s="50"/>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c r="AF820" s="49"/>
      <c r="AG820" s="49"/>
      <c r="AH820" s="49"/>
      <c r="AI820" s="49"/>
      <c r="AJ820" s="49"/>
      <c r="AK820" s="49"/>
      <c r="AL820" s="49"/>
      <c r="AM820" s="49"/>
      <c r="AN820" s="49"/>
      <c r="AO820" s="49"/>
      <c r="AP820" s="49"/>
      <c r="AQ820" s="49"/>
      <c r="AR820" s="49"/>
      <c r="AS820" s="49"/>
      <c r="AT820" s="49"/>
      <c r="AU820" s="49"/>
      <c r="AV820" s="49"/>
      <c r="AW820" s="49"/>
      <c r="AX820" s="49"/>
    </row>
    <row r="821">
      <c r="A821" s="49"/>
      <c r="B821" s="49"/>
      <c r="C821" s="49"/>
      <c r="D821" s="50"/>
      <c r="E821" s="50"/>
      <c r="F821" s="50"/>
      <c r="G821" s="50"/>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c r="AF821" s="49"/>
      <c r="AG821" s="49"/>
      <c r="AH821" s="49"/>
      <c r="AI821" s="49"/>
      <c r="AJ821" s="49"/>
      <c r="AK821" s="49"/>
      <c r="AL821" s="49"/>
      <c r="AM821" s="49"/>
      <c r="AN821" s="49"/>
      <c r="AO821" s="49"/>
      <c r="AP821" s="49"/>
      <c r="AQ821" s="49"/>
      <c r="AR821" s="49"/>
      <c r="AS821" s="49"/>
      <c r="AT821" s="49"/>
      <c r="AU821" s="49"/>
      <c r="AV821" s="49"/>
      <c r="AW821" s="49"/>
      <c r="AX821" s="49"/>
    </row>
    <row r="822">
      <c r="A822" s="49"/>
      <c r="B822" s="49"/>
      <c r="C822" s="49"/>
      <c r="D822" s="50"/>
      <c r="E822" s="50"/>
      <c r="F822" s="50"/>
      <c r="G822" s="50"/>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c r="AF822" s="49"/>
      <c r="AG822" s="49"/>
      <c r="AH822" s="49"/>
      <c r="AI822" s="49"/>
      <c r="AJ822" s="49"/>
      <c r="AK822" s="49"/>
      <c r="AL822" s="49"/>
      <c r="AM822" s="49"/>
      <c r="AN822" s="49"/>
      <c r="AO822" s="49"/>
      <c r="AP822" s="49"/>
      <c r="AQ822" s="49"/>
      <c r="AR822" s="49"/>
      <c r="AS822" s="49"/>
      <c r="AT822" s="49"/>
      <c r="AU822" s="49"/>
      <c r="AV822" s="49"/>
      <c r="AW822" s="49"/>
      <c r="AX822" s="49"/>
    </row>
    <row r="823">
      <c r="A823" s="49"/>
      <c r="B823" s="49"/>
      <c r="C823" s="49"/>
      <c r="D823" s="50"/>
      <c r="E823" s="50"/>
      <c r="F823" s="50"/>
      <c r="G823" s="50"/>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c r="AF823" s="49"/>
      <c r="AG823" s="49"/>
      <c r="AH823" s="49"/>
      <c r="AI823" s="49"/>
      <c r="AJ823" s="49"/>
      <c r="AK823" s="49"/>
      <c r="AL823" s="49"/>
      <c r="AM823" s="49"/>
      <c r="AN823" s="49"/>
      <c r="AO823" s="49"/>
      <c r="AP823" s="49"/>
      <c r="AQ823" s="49"/>
      <c r="AR823" s="49"/>
      <c r="AS823" s="49"/>
      <c r="AT823" s="49"/>
      <c r="AU823" s="49"/>
      <c r="AV823" s="49"/>
      <c r="AW823" s="49"/>
      <c r="AX823" s="49"/>
    </row>
    <row r="824">
      <c r="A824" s="49"/>
      <c r="B824" s="49"/>
      <c r="C824" s="49"/>
      <c r="D824" s="50"/>
      <c r="E824" s="50"/>
      <c r="F824" s="50"/>
      <c r="G824" s="50"/>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c r="AF824" s="49"/>
      <c r="AG824" s="49"/>
      <c r="AH824" s="49"/>
      <c r="AI824" s="49"/>
      <c r="AJ824" s="49"/>
      <c r="AK824" s="49"/>
      <c r="AL824" s="49"/>
      <c r="AM824" s="49"/>
      <c r="AN824" s="49"/>
      <c r="AO824" s="49"/>
      <c r="AP824" s="49"/>
      <c r="AQ824" s="49"/>
      <c r="AR824" s="49"/>
      <c r="AS824" s="49"/>
      <c r="AT824" s="49"/>
      <c r="AU824" s="49"/>
      <c r="AV824" s="49"/>
      <c r="AW824" s="49"/>
      <c r="AX824" s="49"/>
    </row>
    <row r="825">
      <c r="A825" s="49"/>
      <c r="B825" s="49"/>
      <c r="C825" s="49"/>
      <c r="D825" s="50"/>
      <c r="E825" s="50"/>
      <c r="F825" s="50"/>
      <c r="G825" s="50"/>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c r="AF825" s="49"/>
      <c r="AG825" s="49"/>
      <c r="AH825" s="49"/>
      <c r="AI825" s="49"/>
      <c r="AJ825" s="49"/>
      <c r="AK825" s="49"/>
      <c r="AL825" s="49"/>
      <c r="AM825" s="49"/>
      <c r="AN825" s="49"/>
      <c r="AO825" s="49"/>
      <c r="AP825" s="49"/>
      <c r="AQ825" s="49"/>
      <c r="AR825" s="49"/>
      <c r="AS825" s="49"/>
      <c r="AT825" s="49"/>
      <c r="AU825" s="49"/>
      <c r="AV825" s="49"/>
      <c r="AW825" s="49"/>
      <c r="AX825" s="49"/>
    </row>
    <row r="826">
      <c r="A826" s="49"/>
      <c r="B826" s="49"/>
      <c r="C826" s="49"/>
      <c r="D826" s="50"/>
      <c r="E826" s="50"/>
      <c r="F826" s="50"/>
      <c r="G826" s="50"/>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c r="AF826" s="49"/>
      <c r="AG826" s="49"/>
      <c r="AH826" s="49"/>
      <c r="AI826" s="49"/>
      <c r="AJ826" s="49"/>
      <c r="AK826" s="49"/>
      <c r="AL826" s="49"/>
      <c r="AM826" s="49"/>
      <c r="AN826" s="49"/>
      <c r="AO826" s="49"/>
      <c r="AP826" s="49"/>
      <c r="AQ826" s="49"/>
      <c r="AR826" s="49"/>
      <c r="AS826" s="49"/>
      <c r="AT826" s="49"/>
      <c r="AU826" s="49"/>
      <c r="AV826" s="49"/>
      <c r="AW826" s="49"/>
      <c r="AX826" s="49"/>
    </row>
    <row r="827">
      <c r="A827" s="49"/>
      <c r="B827" s="49"/>
      <c r="C827" s="49"/>
      <c r="D827" s="50"/>
      <c r="E827" s="50"/>
      <c r="F827" s="50"/>
      <c r="G827" s="50"/>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c r="AF827" s="49"/>
      <c r="AG827" s="49"/>
      <c r="AH827" s="49"/>
      <c r="AI827" s="49"/>
      <c r="AJ827" s="49"/>
      <c r="AK827" s="49"/>
      <c r="AL827" s="49"/>
      <c r="AM827" s="49"/>
      <c r="AN827" s="49"/>
      <c r="AO827" s="49"/>
      <c r="AP827" s="49"/>
      <c r="AQ827" s="49"/>
      <c r="AR827" s="49"/>
      <c r="AS827" s="49"/>
      <c r="AT827" s="49"/>
      <c r="AU827" s="49"/>
      <c r="AV827" s="49"/>
      <c r="AW827" s="49"/>
      <c r="AX827" s="49"/>
    </row>
    <row r="828">
      <c r="A828" s="49"/>
      <c r="B828" s="49"/>
      <c r="C828" s="49"/>
      <c r="D828" s="50"/>
      <c r="E828" s="50"/>
      <c r="F828" s="50"/>
      <c r="G828" s="50"/>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c r="AF828" s="49"/>
      <c r="AG828" s="49"/>
      <c r="AH828" s="49"/>
      <c r="AI828" s="49"/>
      <c r="AJ828" s="49"/>
      <c r="AK828" s="49"/>
      <c r="AL828" s="49"/>
      <c r="AM828" s="49"/>
      <c r="AN828" s="49"/>
      <c r="AO828" s="49"/>
      <c r="AP828" s="49"/>
      <c r="AQ828" s="49"/>
      <c r="AR828" s="49"/>
      <c r="AS828" s="49"/>
      <c r="AT828" s="49"/>
      <c r="AU828" s="49"/>
      <c r="AV828" s="49"/>
      <c r="AW828" s="49"/>
      <c r="AX828" s="49"/>
    </row>
    <row r="829">
      <c r="A829" s="49"/>
      <c r="B829" s="49"/>
      <c r="C829" s="49"/>
      <c r="D829" s="50"/>
      <c r="E829" s="50"/>
      <c r="F829" s="50"/>
      <c r="G829" s="50"/>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c r="AF829" s="49"/>
      <c r="AG829" s="49"/>
      <c r="AH829" s="49"/>
      <c r="AI829" s="49"/>
      <c r="AJ829" s="49"/>
      <c r="AK829" s="49"/>
      <c r="AL829" s="49"/>
      <c r="AM829" s="49"/>
      <c r="AN829" s="49"/>
      <c r="AO829" s="49"/>
      <c r="AP829" s="49"/>
      <c r="AQ829" s="49"/>
      <c r="AR829" s="49"/>
      <c r="AS829" s="49"/>
      <c r="AT829" s="49"/>
      <c r="AU829" s="49"/>
      <c r="AV829" s="49"/>
      <c r="AW829" s="49"/>
      <c r="AX829" s="49"/>
    </row>
    <row r="830">
      <c r="A830" s="49"/>
      <c r="B830" s="49"/>
      <c r="C830" s="49"/>
      <c r="D830" s="50"/>
      <c r="E830" s="50"/>
      <c r="F830" s="50"/>
      <c r="G830" s="50"/>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c r="AF830" s="49"/>
      <c r="AG830" s="49"/>
      <c r="AH830" s="49"/>
      <c r="AI830" s="49"/>
      <c r="AJ830" s="49"/>
      <c r="AK830" s="49"/>
      <c r="AL830" s="49"/>
      <c r="AM830" s="49"/>
      <c r="AN830" s="49"/>
      <c r="AO830" s="49"/>
      <c r="AP830" s="49"/>
      <c r="AQ830" s="49"/>
      <c r="AR830" s="49"/>
      <c r="AS830" s="49"/>
      <c r="AT830" s="49"/>
      <c r="AU830" s="49"/>
      <c r="AV830" s="49"/>
      <c r="AW830" s="49"/>
      <c r="AX830" s="49"/>
    </row>
    <row r="831">
      <c r="A831" s="49"/>
      <c r="B831" s="49"/>
      <c r="C831" s="49"/>
      <c r="D831" s="50"/>
      <c r="E831" s="50"/>
      <c r="F831" s="50"/>
      <c r="G831" s="50"/>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c r="AF831" s="49"/>
      <c r="AG831" s="49"/>
      <c r="AH831" s="49"/>
      <c r="AI831" s="49"/>
      <c r="AJ831" s="49"/>
      <c r="AK831" s="49"/>
      <c r="AL831" s="49"/>
      <c r="AM831" s="49"/>
      <c r="AN831" s="49"/>
      <c r="AO831" s="49"/>
      <c r="AP831" s="49"/>
      <c r="AQ831" s="49"/>
      <c r="AR831" s="49"/>
      <c r="AS831" s="49"/>
      <c r="AT831" s="49"/>
      <c r="AU831" s="49"/>
      <c r="AV831" s="49"/>
      <c r="AW831" s="49"/>
      <c r="AX831" s="49"/>
    </row>
    <row r="832">
      <c r="A832" s="49"/>
      <c r="B832" s="49"/>
      <c r="C832" s="49"/>
      <c r="D832" s="50"/>
      <c r="E832" s="50"/>
      <c r="F832" s="50"/>
      <c r="G832" s="50"/>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c r="AF832" s="49"/>
      <c r="AG832" s="49"/>
      <c r="AH832" s="49"/>
      <c r="AI832" s="49"/>
      <c r="AJ832" s="49"/>
      <c r="AK832" s="49"/>
      <c r="AL832" s="49"/>
      <c r="AM832" s="49"/>
      <c r="AN832" s="49"/>
      <c r="AO832" s="49"/>
      <c r="AP832" s="49"/>
      <c r="AQ832" s="49"/>
      <c r="AR832" s="49"/>
      <c r="AS832" s="49"/>
      <c r="AT832" s="49"/>
      <c r="AU832" s="49"/>
      <c r="AV832" s="49"/>
      <c r="AW832" s="49"/>
      <c r="AX832" s="49"/>
    </row>
    <row r="833">
      <c r="A833" s="49"/>
      <c r="B833" s="49"/>
      <c r="C833" s="49"/>
      <c r="D833" s="50"/>
      <c r="E833" s="50"/>
      <c r="F833" s="50"/>
      <c r="G833" s="50"/>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c r="AF833" s="49"/>
      <c r="AG833" s="49"/>
      <c r="AH833" s="49"/>
      <c r="AI833" s="49"/>
      <c r="AJ833" s="49"/>
      <c r="AK833" s="49"/>
      <c r="AL833" s="49"/>
      <c r="AM833" s="49"/>
      <c r="AN833" s="49"/>
      <c r="AO833" s="49"/>
      <c r="AP833" s="49"/>
      <c r="AQ833" s="49"/>
      <c r="AR833" s="49"/>
      <c r="AS833" s="49"/>
      <c r="AT833" s="49"/>
      <c r="AU833" s="49"/>
      <c r="AV833" s="49"/>
      <c r="AW833" s="49"/>
      <c r="AX833" s="49"/>
    </row>
    <row r="834">
      <c r="A834" s="49"/>
      <c r="B834" s="49"/>
      <c r="C834" s="49"/>
      <c r="D834" s="50"/>
      <c r="E834" s="50"/>
      <c r="F834" s="50"/>
      <c r="G834" s="50"/>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c r="AF834" s="49"/>
      <c r="AG834" s="49"/>
      <c r="AH834" s="49"/>
      <c r="AI834" s="49"/>
      <c r="AJ834" s="49"/>
      <c r="AK834" s="49"/>
      <c r="AL834" s="49"/>
      <c r="AM834" s="49"/>
      <c r="AN834" s="49"/>
      <c r="AO834" s="49"/>
      <c r="AP834" s="49"/>
      <c r="AQ834" s="49"/>
      <c r="AR834" s="49"/>
      <c r="AS834" s="49"/>
      <c r="AT834" s="49"/>
      <c r="AU834" s="49"/>
      <c r="AV834" s="49"/>
      <c r="AW834" s="49"/>
      <c r="AX834" s="49"/>
    </row>
    <row r="835">
      <c r="A835" s="49"/>
      <c r="B835" s="49"/>
      <c r="C835" s="49"/>
      <c r="D835" s="50"/>
      <c r="E835" s="50"/>
      <c r="F835" s="50"/>
      <c r="G835" s="50"/>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c r="AF835" s="49"/>
      <c r="AG835" s="49"/>
      <c r="AH835" s="49"/>
      <c r="AI835" s="49"/>
      <c r="AJ835" s="49"/>
      <c r="AK835" s="49"/>
      <c r="AL835" s="49"/>
      <c r="AM835" s="49"/>
      <c r="AN835" s="49"/>
      <c r="AO835" s="49"/>
      <c r="AP835" s="49"/>
      <c r="AQ835" s="49"/>
      <c r="AR835" s="49"/>
      <c r="AS835" s="49"/>
      <c r="AT835" s="49"/>
      <c r="AU835" s="49"/>
      <c r="AV835" s="49"/>
      <c r="AW835" s="49"/>
      <c r="AX835" s="49"/>
    </row>
    <row r="836">
      <c r="A836" s="49"/>
      <c r="B836" s="49"/>
      <c r="C836" s="49"/>
      <c r="D836" s="50"/>
      <c r="E836" s="50"/>
      <c r="F836" s="50"/>
      <c r="G836" s="50"/>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c r="AF836" s="49"/>
      <c r="AG836" s="49"/>
      <c r="AH836" s="49"/>
      <c r="AI836" s="49"/>
      <c r="AJ836" s="49"/>
      <c r="AK836" s="49"/>
      <c r="AL836" s="49"/>
      <c r="AM836" s="49"/>
      <c r="AN836" s="49"/>
      <c r="AO836" s="49"/>
      <c r="AP836" s="49"/>
      <c r="AQ836" s="49"/>
      <c r="AR836" s="49"/>
      <c r="AS836" s="49"/>
      <c r="AT836" s="49"/>
      <c r="AU836" s="49"/>
      <c r="AV836" s="49"/>
      <c r="AW836" s="49"/>
      <c r="AX836" s="49"/>
    </row>
    <row r="837">
      <c r="A837" s="49"/>
      <c r="B837" s="49"/>
      <c r="C837" s="49"/>
      <c r="D837" s="50"/>
      <c r="E837" s="50"/>
      <c r="F837" s="50"/>
      <c r="G837" s="50"/>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c r="AF837" s="49"/>
      <c r="AG837" s="49"/>
      <c r="AH837" s="49"/>
      <c r="AI837" s="49"/>
      <c r="AJ837" s="49"/>
      <c r="AK837" s="49"/>
      <c r="AL837" s="49"/>
      <c r="AM837" s="49"/>
      <c r="AN837" s="49"/>
      <c r="AO837" s="49"/>
      <c r="AP837" s="49"/>
      <c r="AQ837" s="49"/>
      <c r="AR837" s="49"/>
      <c r="AS837" s="49"/>
      <c r="AT837" s="49"/>
      <c r="AU837" s="49"/>
      <c r="AV837" s="49"/>
      <c r="AW837" s="49"/>
      <c r="AX837" s="49"/>
    </row>
    <row r="838">
      <c r="A838" s="49"/>
      <c r="B838" s="49"/>
      <c r="C838" s="49"/>
      <c r="D838" s="50"/>
      <c r="E838" s="50"/>
      <c r="F838" s="50"/>
      <c r="G838" s="50"/>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c r="AF838" s="49"/>
      <c r="AG838" s="49"/>
      <c r="AH838" s="49"/>
      <c r="AI838" s="49"/>
      <c r="AJ838" s="49"/>
      <c r="AK838" s="49"/>
      <c r="AL838" s="49"/>
      <c r="AM838" s="49"/>
      <c r="AN838" s="49"/>
      <c r="AO838" s="49"/>
      <c r="AP838" s="49"/>
      <c r="AQ838" s="49"/>
      <c r="AR838" s="49"/>
      <c r="AS838" s="49"/>
      <c r="AT838" s="49"/>
      <c r="AU838" s="49"/>
      <c r="AV838" s="49"/>
      <c r="AW838" s="49"/>
      <c r="AX838" s="49"/>
    </row>
    <row r="839">
      <c r="A839" s="49"/>
      <c r="B839" s="49"/>
      <c r="C839" s="49"/>
      <c r="D839" s="50"/>
      <c r="E839" s="50"/>
      <c r="F839" s="50"/>
      <c r="G839" s="50"/>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c r="AF839" s="49"/>
      <c r="AG839" s="49"/>
      <c r="AH839" s="49"/>
      <c r="AI839" s="49"/>
      <c r="AJ839" s="49"/>
      <c r="AK839" s="49"/>
      <c r="AL839" s="49"/>
      <c r="AM839" s="49"/>
      <c r="AN839" s="49"/>
      <c r="AO839" s="49"/>
      <c r="AP839" s="49"/>
      <c r="AQ839" s="49"/>
      <c r="AR839" s="49"/>
      <c r="AS839" s="49"/>
      <c r="AT839" s="49"/>
      <c r="AU839" s="49"/>
      <c r="AV839" s="49"/>
      <c r="AW839" s="49"/>
      <c r="AX839" s="49"/>
    </row>
    <row r="840">
      <c r="A840" s="49"/>
      <c r="B840" s="49"/>
      <c r="C840" s="49"/>
      <c r="D840" s="50"/>
      <c r="E840" s="50"/>
      <c r="F840" s="50"/>
      <c r="G840" s="50"/>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c r="AF840" s="49"/>
      <c r="AG840" s="49"/>
      <c r="AH840" s="49"/>
      <c r="AI840" s="49"/>
      <c r="AJ840" s="49"/>
      <c r="AK840" s="49"/>
      <c r="AL840" s="49"/>
      <c r="AM840" s="49"/>
      <c r="AN840" s="49"/>
      <c r="AO840" s="49"/>
      <c r="AP840" s="49"/>
      <c r="AQ840" s="49"/>
      <c r="AR840" s="49"/>
      <c r="AS840" s="49"/>
      <c r="AT840" s="49"/>
      <c r="AU840" s="49"/>
      <c r="AV840" s="49"/>
      <c r="AW840" s="49"/>
      <c r="AX840" s="49"/>
    </row>
    <row r="841">
      <c r="A841" s="49"/>
      <c r="B841" s="49"/>
      <c r="C841" s="49"/>
      <c r="D841" s="50"/>
      <c r="E841" s="50"/>
      <c r="F841" s="50"/>
      <c r="G841" s="50"/>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c r="AF841" s="49"/>
      <c r="AG841" s="49"/>
      <c r="AH841" s="49"/>
      <c r="AI841" s="49"/>
      <c r="AJ841" s="49"/>
      <c r="AK841" s="49"/>
      <c r="AL841" s="49"/>
      <c r="AM841" s="49"/>
      <c r="AN841" s="49"/>
      <c r="AO841" s="49"/>
      <c r="AP841" s="49"/>
      <c r="AQ841" s="49"/>
      <c r="AR841" s="49"/>
      <c r="AS841" s="49"/>
      <c r="AT841" s="49"/>
      <c r="AU841" s="49"/>
      <c r="AV841" s="49"/>
      <c r="AW841" s="49"/>
      <c r="AX841" s="49"/>
    </row>
    <row r="842">
      <c r="A842" s="49"/>
      <c r="B842" s="49"/>
      <c r="C842" s="49"/>
      <c r="D842" s="50"/>
      <c r="E842" s="50"/>
      <c r="F842" s="50"/>
      <c r="G842" s="50"/>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c r="AF842" s="49"/>
      <c r="AG842" s="49"/>
      <c r="AH842" s="49"/>
      <c r="AI842" s="49"/>
      <c r="AJ842" s="49"/>
      <c r="AK842" s="49"/>
      <c r="AL842" s="49"/>
      <c r="AM842" s="49"/>
      <c r="AN842" s="49"/>
      <c r="AO842" s="49"/>
      <c r="AP842" s="49"/>
      <c r="AQ842" s="49"/>
      <c r="AR842" s="49"/>
      <c r="AS842" s="49"/>
      <c r="AT842" s="49"/>
      <c r="AU842" s="49"/>
      <c r="AV842" s="49"/>
      <c r="AW842" s="49"/>
      <c r="AX842" s="49"/>
    </row>
    <row r="843">
      <c r="A843" s="49"/>
      <c r="B843" s="49"/>
      <c r="C843" s="49"/>
      <c r="D843" s="50"/>
      <c r="E843" s="50"/>
      <c r="F843" s="50"/>
      <c r="G843" s="50"/>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c r="AF843" s="49"/>
      <c r="AG843" s="49"/>
      <c r="AH843" s="49"/>
      <c r="AI843" s="49"/>
      <c r="AJ843" s="49"/>
      <c r="AK843" s="49"/>
      <c r="AL843" s="49"/>
      <c r="AM843" s="49"/>
      <c r="AN843" s="49"/>
      <c r="AO843" s="49"/>
      <c r="AP843" s="49"/>
      <c r="AQ843" s="49"/>
      <c r="AR843" s="49"/>
      <c r="AS843" s="49"/>
      <c r="AT843" s="49"/>
      <c r="AU843" s="49"/>
      <c r="AV843" s="49"/>
      <c r="AW843" s="49"/>
      <c r="AX843" s="49"/>
    </row>
    <row r="844">
      <c r="A844" s="49"/>
      <c r="B844" s="49"/>
      <c r="C844" s="49"/>
      <c r="D844" s="50"/>
      <c r="E844" s="50"/>
      <c r="F844" s="50"/>
      <c r="G844" s="50"/>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c r="AF844" s="49"/>
      <c r="AG844" s="49"/>
      <c r="AH844" s="49"/>
      <c r="AI844" s="49"/>
      <c r="AJ844" s="49"/>
      <c r="AK844" s="49"/>
      <c r="AL844" s="49"/>
      <c r="AM844" s="49"/>
      <c r="AN844" s="49"/>
      <c r="AO844" s="49"/>
      <c r="AP844" s="49"/>
      <c r="AQ844" s="49"/>
      <c r="AR844" s="49"/>
      <c r="AS844" s="49"/>
      <c r="AT844" s="49"/>
      <c r="AU844" s="49"/>
      <c r="AV844" s="49"/>
      <c r="AW844" s="49"/>
      <c r="AX844" s="49"/>
    </row>
    <row r="845">
      <c r="A845" s="49"/>
      <c r="B845" s="49"/>
      <c r="C845" s="49"/>
      <c r="D845" s="50"/>
      <c r="E845" s="50"/>
      <c r="F845" s="50"/>
      <c r="G845" s="50"/>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c r="AF845" s="49"/>
      <c r="AG845" s="49"/>
      <c r="AH845" s="49"/>
      <c r="AI845" s="49"/>
      <c r="AJ845" s="49"/>
      <c r="AK845" s="49"/>
      <c r="AL845" s="49"/>
      <c r="AM845" s="49"/>
      <c r="AN845" s="49"/>
      <c r="AO845" s="49"/>
      <c r="AP845" s="49"/>
      <c r="AQ845" s="49"/>
      <c r="AR845" s="49"/>
      <c r="AS845" s="49"/>
      <c r="AT845" s="49"/>
      <c r="AU845" s="49"/>
      <c r="AV845" s="49"/>
      <c r="AW845" s="49"/>
      <c r="AX845" s="49"/>
    </row>
    <row r="846">
      <c r="A846" s="49"/>
      <c r="B846" s="49"/>
      <c r="C846" s="49"/>
      <c r="D846" s="50"/>
      <c r="E846" s="50"/>
      <c r="F846" s="50"/>
      <c r="G846" s="50"/>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c r="AF846" s="49"/>
      <c r="AG846" s="49"/>
      <c r="AH846" s="49"/>
      <c r="AI846" s="49"/>
      <c r="AJ846" s="49"/>
      <c r="AK846" s="49"/>
      <c r="AL846" s="49"/>
      <c r="AM846" s="49"/>
      <c r="AN846" s="49"/>
      <c r="AO846" s="49"/>
      <c r="AP846" s="49"/>
      <c r="AQ846" s="49"/>
      <c r="AR846" s="49"/>
      <c r="AS846" s="49"/>
      <c r="AT846" s="49"/>
      <c r="AU846" s="49"/>
      <c r="AV846" s="49"/>
      <c r="AW846" s="49"/>
      <c r="AX846" s="49"/>
    </row>
    <row r="847">
      <c r="A847" s="49"/>
      <c r="B847" s="49"/>
      <c r="C847" s="49"/>
      <c r="D847" s="50"/>
      <c r="E847" s="50"/>
      <c r="F847" s="50"/>
      <c r="G847" s="50"/>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c r="AF847" s="49"/>
      <c r="AG847" s="49"/>
      <c r="AH847" s="49"/>
      <c r="AI847" s="49"/>
      <c r="AJ847" s="49"/>
      <c r="AK847" s="49"/>
      <c r="AL847" s="49"/>
      <c r="AM847" s="49"/>
      <c r="AN847" s="49"/>
      <c r="AO847" s="49"/>
      <c r="AP847" s="49"/>
      <c r="AQ847" s="49"/>
      <c r="AR847" s="49"/>
      <c r="AS847" s="49"/>
      <c r="AT847" s="49"/>
      <c r="AU847" s="49"/>
      <c r="AV847" s="49"/>
      <c r="AW847" s="49"/>
      <c r="AX847" s="49"/>
    </row>
    <row r="848">
      <c r="A848" s="49"/>
      <c r="B848" s="49"/>
      <c r="C848" s="49"/>
      <c r="D848" s="50"/>
      <c r="E848" s="50"/>
      <c r="F848" s="50"/>
      <c r="G848" s="50"/>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c r="AF848" s="49"/>
      <c r="AG848" s="49"/>
      <c r="AH848" s="49"/>
      <c r="AI848" s="49"/>
      <c r="AJ848" s="49"/>
      <c r="AK848" s="49"/>
      <c r="AL848" s="49"/>
      <c r="AM848" s="49"/>
      <c r="AN848" s="49"/>
      <c r="AO848" s="49"/>
      <c r="AP848" s="49"/>
      <c r="AQ848" s="49"/>
      <c r="AR848" s="49"/>
      <c r="AS848" s="49"/>
      <c r="AT848" s="49"/>
      <c r="AU848" s="49"/>
      <c r="AV848" s="49"/>
      <c r="AW848" s="49"/>
      <c r="AX848" s="49"/>
    </row>
    <row r="849">
      <c r="A849" s="49"/>
      <c r="B849" s="49"/>
      <c r="C849" s="49"/>
      <c r="D849" s="50"/>
      <c r="E849" s="50"/>
      <c r="F849" s="50"/>
      <c r="G849" s="50"/>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c r="AF849" s="49"/>
      <c r="AG849" s="49"/>
      <c r="AH849" s="49"/>
      <c r="AI849" s="49"/>
      <c r="AJ849" s="49"/>
      <c r="AK849" s="49"/>
      <c r="AL849" s="49"/>
      <c r="AM849" s="49"/>
      <c r="AN849" s="49"/>
      <c r="AO849" s="49"/>
      <c r="AP849" s="49"/>
      <c r="AQ849" s="49"/>
      <c r="AR849" s="49"/>
      <c r="AS849" s="49"/>
      <c r="AT849" s="49"/>
      <c r="AU849" s="49"/>
      <c r="AV849" s="49"/>
      <c r="AW849" s="49"/>
      <c r="AX849" s="49"/>
    </row>
    <row r="850">
      <c r="A850" s="49"/>
      <c r="B850" s="49"/>
      <c r="C850" s="49"/>
      <c r="D850" s="50"/>
      <c r="E850" s="50"/>
      <c r="F850" s="50"/>
      <c r="G850" s="50"/>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c r="AF850" s="49"/>
      <c r="AG850" s="49"/>
      <c r="AH850" s="49"/>
      <c r="AI850" s="49"/>
      <c r="AJ850" s="49"/>
      <c r="AK850" s="49"/>
      <c r="AL850" s="49"/>
      <c r="AM850" s="49"/>
      <c r="AN850" s="49"/>
      <c r="AO850" s="49"/>
      <c r="AP850" s="49"/>
      <c r="AQ850" s="49"/>
      <c r="AR850" s="49"/>
      <c r="AS850" s="49"/>
      <c r="AT850" s="49"/>
      <c r="AU850" s="49"/>
      <c r="AV850" s="49"/>
      <c r="AW850" s="49"/>
      <c r="AX850" s="49"/>
    </row>
    <row r="851">
      <c r="A851" s="49"/>
      <c r="B851" s="49"/>
      <c r="C851" s="49"/>
      <c r="D851" s="50"/>
      <c r="E851" s="50"/>
      <c r="F851" s="50"/>
      <c r="G851" s="50"/>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c r="AF851" s="49"/>
      <c r="AG851" s="49"/>
      <c r="AH851" s="49"/>
      <c r="AI851" s="49"/>
      <c r="AJ851" s="49"/>
      <c r="AK851" s="49"/>
      <c r="AL851" s="49"/>
      <c r="AM851" s="49"/>
      <c r="AN851" s="49"/>
      <c r="AO851" s="49"/>
      <c r="AP851" s="49"/>
      <c r="AQ851" s="49"/>
      <c r="AR851" s="49"/>
      <c r="AS851" s="49"/>
      <c r="AT851" s="49"/>
      <c r="AU851" s="49"/>
      <c r="AV851" s="49"/>
      <c r="AW851" s="49"/>
      <c r="AX851" s="49"/>
    </row>
    <row r="852">
      <c r="A852" s="49"/>
      <c r="B852" s="49"/>
      <c r="C852" s="49"/>
      <c r="D852" s="50"/>
      <c r="E852" s="50"/>
      <c r="F852" s="50"/>
      <c r="G852" s="50"/>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c r="AF852" s="49"/>
      <c r="AG852" s="49"/>
      <c r="AH852" s="49"/>
      <c r="AI852" s="49"/>
      <c r="AJ852" s="49"/>
      <c r="AK852" s="49"/>
      <c r="AL852" s="49"/>
      <c r="AM852" s="49"/>
      <c r="AN852" s="49"/>
      <c r="AO852" s="49"/>
      <c r="AP852" s="49"/>
      <c r="AQ852" s="49"/>
      <c r="AR852" s="49"/>
      <c r="AS852" s="49"/>
      <c r="AT852" s="49"/>
      <c r="AU852" s="49"/>
      <c r="AV852" s="49"/>
      <c r="AW852" s="49"/>
      <c r="AX852" s="49"/>
    </row>
    <row r="853">
      <c r="A853" s="49"/>
      <c r="B853" s="49"/>
      <c r="C853" s="49"/>
      <c r="D853" s="50"/>
      <c r="E853" s="50"/>
      <c r="F853" s="50"/>
      <c r="G853" s="50"/>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c r="AF853" s="49"/>
      <c r="AG853" s="49"/>
      <c r="AH853" s="49"/>
      <c r="AI853" s="49"/>
      <c r="AJ853" s="49"/>
      <c r="AK853" s="49"/>
      <c r="AL853" s="49"/>
      <c r="AM853" s="49"/>
      <c r="AN853" s="49"/>
      <c r="AO853" s="49"/>
      <c r="AP853" s="49"/>
      <c r="AQ853" s="49"/>
      <c r="AR853" s="49"/>
      <c r="AS853" s="49"/>
      <c r="AT853" s="49"/>
      <c r="AU853" s="49"/>
      <c r="AV853" s="49"/>
      <c r="AW853" s="49"/>
      <c r="AX853" s="49"/>
    </row>
    <row r="854">
      <c r="A854" s="49"/>
      <c r="B854" s="49"/>
      <c r="C854" s="49"/>
      <c r="D854" s="50"/>
      <c r="E854" s="50"/>
      <c r="F854" s="50"/>
      <c r="G854" s="50"/>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c r="AF854" s="49"/>
      <c r="AG854" s="49"/>
      <c r="AH854" s="49"/>
      <c r="AI854" s="49"/>
      <c r="AJ854" s="49"/>
      <c r="AK854" s="49"/>
      <c r="AL854" s="49"/>
      <c r="AM854" s="49"/>
      <c r="AN854" s="49"/>
      <c r="AO854" s="49"/>
      <c r="AP854" s="49"/>
      <c r="AQ854" s="49"/>
      <c r="AR854" s="49"/>
      <c r="AS854" s="49"/>
      <c r="AT854" s="49"/>
      <c r="AU854" s="49"/>
      <c r="AV854" s="49"/>
      <c r="AW854" s="49"/>
      <c r="AX854" s="49"/>
    </row>
    <row r="855">
      <c r="A855" s="49"/>
      <c r="B855" s="49"/>
      <c r="C855" s="49"/>
      <c r="D855" s="50"/>
      <c r="E855" s="50"/>
      <c r="F855" s="50"/>
      <c r="G855" s="50"/>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c r="AF855" s="49"/>
      <c r="AG855" s="49"/>
      <c r="AH855" s="49"/>
      <c r="AI855" s="49"/>
      <c r="AJ855" s="49"/>
      <c r="AK855" s="49"/>
      <c r="AL855" s="49"/>
      <c r="AM855" s="49"/>
      <c r="AN855" s="49"/>
      <c r="AO855" s="49"/>
      <c r="AP855" s="49"/>
      <c r="AQ855" s="49"/>
      <c r="AR855" s="49"/>
      <c r="AS855" s="49"/>
      <c r="AT855" s="49"/>
      <c r="AU855" s="49"/>
      <c r="AV855" s="49"/>
      <c r="AW855" s="49"/>
      <c r="AX855" s="49"/>
    </row>
    <row r="856">
      <c r="A856" s="49"/>
      <c r="B856" s="49"/>
      <c r="C856" s="49"/>
      <c r="D856" s="50"/>
      <c r="E856" s="50"/>
      <c r="F856" s="50"/>
      <c r="G856" s="50"/>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c r="AF856" s="49"/>
      <c r="AG856" s="49"/>
      <c r="AH856" s="49"/>
      <c r="AI856" s="49"/>
      <c r="AJ856" s="49"/>
      <c r="AK856" s="49"/>
      <c r="AL856" s="49"/>
      <c r="AM856" s="49"/>
      <c r="AN856" s="49"/>
      <c r="AO856" s="49"/>
      <c r="AP856" s="49"/>
      <c r="AQ856" s="49"/>
      <c r="AR856" s="49"/>
      <c r="AS856" s="49"/>
      <c r="AT856" s="49"/>
      <c r="AU856" s="49"/>
      <c r="AV856" s="49"/>
      <c r="AW856" s="49"/>
      <c r="AX856" s="49"/>
    </row>
    <row r="857">
      <c r="A857" s="49"/>
      <c r="B857" s="49"/>
      <c r="C857" s="49"/>
      <c r="D857" s="50"/>
      <c r="E857" s="50"/>
      <c r="F857" s="50"/>
      <c r="G857" s="50"/>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c r="AF857" s="49"/>
      <c r="AG857" s="49"/>
      <c r="AH857" s="49"/>
      <c r="AI857" s="49"/>
      <c r="AJ857" s="49"/>
      <c r="AK857" s="49"/>
      <c r="AL857" s="49"/>
      <c r="AM857" s="49"/>
      <c r="AN857" s="49"/>
      <c r="AO857" s="49"/>
      <c r="AP857" s="49"/>
      <c r="AQ857" s="49"/>
      <c r="AR857" s="49"/>
      <c r="AS857" s="49"/>
      <c r="AT857" s="49"/>
      <c r="AU857" s="49"/>
      <c r="AV857" s="49"/>
      <c r="AW857" s="49"/>
      <c r="AX857" s="49"/>
    </row>
    <row r="858">
      <c r="A858" s="49"/>
      <c r="B858" s="49"/>
      <c r="C858" s="49"/>
      <c r="D858" s="50"/>
      <c r="E858" s="50"/>
      <c r="F858" s="50"/>
      <c r="G858" s="50"/>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c r="AF858" s="49"/>
      <c r="AG858" s="49"/>
      <c r="AH858" s="49"/>
      <c r="AI858" s="49"/>
      <c r="AJ858" s="49"/>
      <c r="AK858" s="49"/>
      <c r="AL858" s="49"/>
      <c r="AM858" s="49"/>
      <c r="AN858" s="49"/>
      <c r="AO858" s="49"/>
      <c r="AP858" s="49"/>
      <c r="AQ858" s="49"/>
      <c r="AR858" s="49"/>
      <c r="AS858" s="49"/>
      <c r="AT858" s="49"/>
      <c r="AU858" s="49"/>
      <c r="AV858" s="49"/>
      <c r="AW858" s="49"/>
      <c r="AX858" s="49"/>
    </row>
    <row r="859">
      <c r="A859" s="49"/>
      <c r="B859" s="49"/>
      <c r="C859" s="49"/>
      <c r="D859" s="50"/>
      <c r="E859" s="50"/>
      <c r="F859" s="50"/>
      <c r="G859" s="50"/>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c r="AF859" s="49"/>
      <c r="AG859" s="49"/>
      <c r="AH859" s="49"/>
      <c r="AI859" s="49"/>
      <c r="AJ859" s="49"/>
      <c r="AK859" s="49"/>
      <c r="AL859" s="49"/>
      <c r="AM859" s="49"/>
      <c r="AN859" s="49"/>
      <c r="AO859" s="49"/>
      <c r="AP859" s="49"/>
      <c r="AQ859" s="49"/>
      <c r="AR859" s="49"/>
      <c r="AS859" s="49"/>
      <c r="AT859" s="49"/>
      <c r="AU859" s="49"/>
      <c r="AV859" s="49"/>
      <c r="AW859" s="49"/>
      <c r="AX859" s="49"/>
    </row>
    <row r="860">
      <c r="A860" s="49"/>
      <c r="B860" s="49"/>
      <c r="C860" s="49"/>
      <c r="D860" s="50"/>
      <c r="E860" s="50"/>
      <c r="F860" s="50"/>
      <c r="G860" s="50"/>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c r="AF860" s="49"/>
      <c r="AG860" s="49"/>
      <c r="AH860" s="49"/>
      <c r="AI860" s="49"/>
      <c r="AJ860" s="49"/>
      <c r="AK860" s="49"/>
      <c r="AL860" s="49"/>
      <c r="AM860" s="49"/>
      <c r="AN860" s="49"/>
      <c r="AO860" s="49"/>
      <c r="AP860" s="49"/>
      <c r="AQ860" s="49"/>
      <c r="AR860" s="49"/>
      <c r="AS860" s="49"/>
      <c r="AT860" s="49"/>
      <c r="AU860" s="49"/>
      <c r="AV860" s="49"/>
      <c r="AW860" s="49"/>
      <c r="AX860" s="49"/>
    </row>
    <row r="861">
      <c r="A861" s="49"/>
      <c r="B861" s="49"/>
      <c r="C861" s="49"/>
      <c r="D861" s="50"/>
      <c r="E861" s="50"/>
      <c r="F861" s="50"/>
      <c r="G861" s="50"/>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c r="AF861" s="49"/>
      <c r="AG861" s="49"/>
      <c r="AH861" s="49"/>
      <c r="AI861" s="49"/>
      <c r="AJ861" s="49"/>
      <c r="AK861" s="49"/>
      <c r="AL861" s="49"/>
      <c r="AM861" s="49"/>
      <c r="AN861" s="49"/>
      <c r="AO861" s="49"/>
      <c r="AP861" s="49"/>
      <c r="AQ861" s="49"/>
      <c r="AR861" s="49"/>
      <c r="AS861" s="49"/>
      <c r="AT861" s="49"/>
      <c r="AU861" s="49"/>
      <c r="AV861" s="49"/>
      <c r="AW861" s="49"/>
      <c r="AX861" s="49"/>
    </row>
    <row r="862">
      <c r="A862" s="49"/>
      <c r="B862" s="49"/>
      <c r="C862" s="49"/>
      <c r="D862" s="50"/>
      <c r="E862" s="50"/>
      <c r="F862" s="50"/>
      <c r="G862" s="50"/>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c r="AF862" s="49"/>
      <c r="AG862" s="49"/>
      <c r="AH862" s="49"/>
      <c r="AI862" s="49"/>
      <c r="AJ862" s="49"/>
      <c r="AK862" s="49"/>
      <c r="AL862" s="49"/>
      <c r="AM862" s="49"/>
      <c r="AN862" s="49"/>
      <c r="AO862" s="49"/>
      <c r="AP862" s="49"/>
      <c r="AQ862" s="49"/>
      <c r="AR862" s="49"/>
      <c r="AS862" s="49"/>
      <c r="AT862" s="49"/>
      <c r="AU862" s="49"/>
      <c r="AV862" s="49"/>
      <c r="AW862" s="49"/>
      <c r="AX862" s="49"/>
    </row>
    <row r="863">
      <c r="A863" s="49"/>
      <c r="B863" s="49"/>
      <c r="C863" s="49"/>
      <c r="D863" s="50"/>
      <c r="E863" s="50"/>
      <c r="F863" s="50"/>
      <c r="G863" s="50"/>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c r="AF863" s="49"/>
      <c r="AG863" s="49"/>
      <c r="AH863" s="49"/>
      <c r="AI863" s="49"/>
      <c r="AJ863" s="49"/>
      <c r="AK863" s="49"/>
      <c r="AL863" s="49"/>
      <c r="AM863" s="49"/>
      <c r="AN863" s="49"/>
      <c r="AO863" s="49"/>
      <c r="AP863" s="49"/>
      <c r="AQ863" s="49"/>
      <c r="AR863" s="49"/>
      <c r="AS863" s="49"/>
      <c r="AT863" s="49"/>
      <c r="AU863" s="49"/>
      <c r="AV863" s="49"/>
      <c r="AW863" s="49"/>
      <c r="AX863" s="49"/>
    </row>
    <row r="864">
      <c r="A864" s="49"/>
      <c r="B864" s="49"/>
      <c r="C864" s="49"/>
      <c r="D864" s="50"/>
      <c r="E864" s="50"/>
      <c r="F864" s="50"/>
      <c r="G864" s="50"/>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c r="AF864" s="49"/>
      <c r="AG864" s="49"/>
      <c r="AH864" s="49"/>
      <c r="AI864" s="49"/>
      <c r="AJ864" s="49"/>
      <c r="AK864" s="49"/>
      <c r="AL864" s="49"/>
      <c r="AM864" s="49"/>
      <c r="AN864" s="49"/>
      <c r="AO864" s="49"/>
      <c r="AP864" s="49"/>
      <c r="AQ864" s="49"/>
      <c r="AR864" s="49"/>
      <c r="AS864" s="49"/>
      <c r="AT864" s="49"/>
      <c r="AU864" s="49"/>
      <c r="AV864" s="49"/>
      <c r="AW864" s="49"/>
      <c r="AX864" s="49"/>
    </row>
    <row r="865">
      <c r="A865" s="49"/>
      <c r="B865" s="49"/>
      <c r="C865" s="49"/>
      <c r="D865" s="50"/>
      <c r="E865" s="50"/>
      <c r="F865" s="50"/>
      <c r="G865" s="50"/>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c r="AF865" s="49"/>
      <c r="AG865" s="49"/>
      <c r="AH865" s="49"/>
      <c r="AI865" s="49"/>
      <c r="AJ865" s="49"/>
      <c r="AK865" s="49"/>
      <c r="AL865" s="49"/>
      <c r="AM865" s="49"/>
      <c r="AN865" s="49"/>
      <c r="AO865" s="49"/>
      <c r="AP865" s="49"/>
      <c r="AQ865" s="49"/>
      <c r="AR865" s="49"/>
      <c r="AS865" s="49"/>
      <c r="AT865" s="49"/>
      <c r="AU865" s="49"/>
      <c r="AV865" s="49"/>
      <c r="AW865" s="49"/>
      <c r="AX865" s="49"/>
    </row>
    <row r="866">
      <c r="A866" s="49"/>
      <c r="B866" s="49"/>
      <c r="C866" s="49"/>
      <c r="D866" s="50"/>
      <c r="E866" s="50"/>
      <c r="F866" s="50"/>
      <c r="G866" s="50"/>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c r="AF866" s="49"/>
      <c r="AG866" s="49"/>
      <c r="AH866" s="49"/>
      <c r="AI866" s="49"/>
      <c r="AJ866" s="49"/>
      <c r="AK866" s="49"/>
      <c r="AL866" s="49"/>
      <c r="AM866" s="49"/>
      <c r="AN866" s="49"/>
      <c r="AO866" s="49"/>
      <c r="AP866" s="49"/>
      <c r="AQ866" s="49"/>
      <c r="AR866" s="49"/>
      <c r="AS866" s="49"/>
      <c r="AT866" s="49"/>
      <c r="AU866" s="49"/>
      <c r="AV866" s="49"/>
      <c r="AW866" s="49"/>
      <c r="AX866" s="49"/>
    </row>
    <row r="867">
      <c r="A867" s="49"/>
      <c r="B867" s="49"/>
      <c r="C867" s="49"/>
      <c r="D867" s="50"/>
      <c r="E867" s="50"/>
      <c r="F867" s="50"/>
      <c r="G867" s="50"/>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c r="AF867" s="49"/>
      <c r="AG867" s="49"/>
      <c r="AH867" s="49"/>
      <c r="AI867" s="49"/>
      <c r="AJ867" s="49"/>
      <c r="AK867" s="49"/>
      <c r="AL867" s="49"/>
      <c r="AM867" s="49"/>
      <c r="AN867" s="49"/>
      <c r="AO867" s="49"/>
      <c r="AP867" s="49"/>
      <c r="AQ867" s="49"/>
      <c r="AR867" s="49"/>
      <c r="AS867" s="49"/>
      <c r="AT867" s="49"/>
      <c r="AU867" s="49"/>
      <c r="AV867" s="49"/>
      <c r="AW867" s="49"/>
      <c r="AX867" s="49"/>
    </row>
    <row r="868">
      <c r="A868" s="49"/>
      <c r="B868" s="49"/>
      <c r="C868" s="49"/>
      <c r="D868" s="50"/>
      <c r="E868" s="50"/>
      <c r="F868" s="50"/>
      <c r="G868" s="50"/>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c r="AF868" s="49"/>
      <c r="AG868" s="49"/>
      <c r="AH868" s="49"/>
      <c r="AI868" s="49"/>
      <c r="AJ868" s="49"/>
      <c r="AK868" s="49"/>
      <c r="AL868" s="49"/>
      <c r="AM868" s="49"/>
      <c r="AN868" s="49"/>
      <c r="AO868" s="49"/>
      <c r="AP868" s="49"/>
      <c r="AQ868" s="49"/>
      <c r="AR868" s="49"/>
      <c r="AS868" s="49"/>
      <c r="AT868" s="49"/>
      <c r="AU868" s="49"/>
      <c r="AV868" s="49"/>
      <c r="AW868" s="49"/>
      <c r="AX868" s="49"/>
    </row>
    <row r="869">
      <c r="A869" s="49"/>
      <c r="B869" s="49"/>
      <c r="C869" s="49"/>
      <c r="D869" s="50"/>
      <c r="E869" s="50"/>
      <c r="F869" s="50"/>
      <c r="G869" s="50"/>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c r="AF869" s="49"/>
      <c r="AG869" s="49"/>
      <c r="AH869" s="49"/>
      <c r="AI869" s="49"/>
      <c r="AJ869" s="49"/>
      <c r="AK869" s="49"/>
      <c r="AL869" s="49"/>
      <c r="AM869" s="49"/>
      <c r="AN869" s="49"/>
      <c r="AO869" s="49"/>
      <c r="AP869" s="49"/>
      <c r="AQ869" s="49"/>
      <c r="AR869" s="49"/>
      <c r="AS869" s="49"/>
      <c r="AT869" s="49"/>
      <c r="AU869" s="49"/>
      <c r="AV869" s="49"/>
      <c r="AW869" s="49"/>
      <c r="AX869" s="49"/>
    </row>
    <row r="870">
      <c r="A870" s="49"/>
      <c r="B870" s="49"/>
      <c r="C870" s="49"/>
      <c r="D870" s="50"/>
      <c r="E870" s="50"/>
      <c r="F870" s="50"/>
      <c r="G870" s="50"/>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c r="AF870" s="49"/>
      <c r="AG870" s="49"/>
      <c r="AH870" s="49"/>
      <c r="AI870" s="49"/>
      <c r="AJ870" s="49"/>
      <c r="AK870" s="49"/>
      <c r="AL870" s="49"/>
      <c r="AM870" s="49"/>
      <c r="AN870" s="49"/>
      <c r="AO870" s="49"/>
      <c r="AP870" s="49"/>
      <c r="AQ870" s="49"/>
      <c r="AR870" s="49"/>
      <c r="AS870" s="49"/>
      <c r="AT870" s="49"/>
      <c r="AU870" s="49"/>
      <c r="AV870" s="49"/>
      <c r="AW870" s="49"/>
      <c r="AX870" s="49"/>
    </row>
    <row r="871">
      <c r="A871" s="49"/>
      <c r="B871" s="49"/>
      <c r="C871" s="49"/>
      <c r="D871" s="50"/>
      <c r="E871" s="50"/>
      <c r="F871" s="50"/>
      <c r="G871" s="50"/>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c r="AF871" s="49"/>
      <c r="AG871" s="49"/>
      <c r="AH871" s="49"/>
      <c r="AI871" s="49"/>
      <c r="AJ871" s="49"/>
      <c r="AK871" s="49"/>
      <c r="AL871" s="49"/>
      <c r="AM871" s="49"/>
      <c r="AN871" s="49"/>
      <c r="AO871" s="49"/>
      <c r="AP871" s="49"/>
      <c r="AQ871" s="49"/>
      <c r="AR871" s="49"/>
      <c r="AS871" s="49"/>
      <c r="AT871" s="49"/>
      <c r="AU871" s="49"/>
      <c r="AV871" s="49"/>
      <c r="AW871" s="49"/>
      <c r="AX871" s="49"/>
    </row>
    <row r="872">
      <c r="A872" s="49"/>
      <c r="B872" s="49"/>
      <c r="C872" s="49"/>
      <c r="D872" s="50"/>
      <c r="E872" s="50"/>
      <c r="F872" s="50"/>
      <c r="G872" s="50"/>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c r="AF872" s="49"/>
      <c r="AG872" s="49"/>
      <c r="AH872" s="49"/>
      <c r="AI872" s="49"/>
      <c r="AJ872" s="49"/>
      <c r="AK872" s="49"/>
      <c r="AL872" s="49"/>
      <c r="AM872" s="49"/>
      <c r="AN872" s="49"/>
      <c r="AO872" s="49"/>
      <c r="AP872" s="49"/>
      <c r="AQ872" s="49"/>
      <c r="AR872" s="49"/>
      <c r="AS872" s="49"/>
      <c r="AT872" s="49"/>
      <c r="AU872" s="49"/>
      <c r="AV872" s="49"/>
      <c r="AW872" s="49"/>
      <c r="AX872" s="49"/>
    </row>
    <row r="873">
      <c r="A873" s="49"/>
      <c r="B873" s="49"/>
      <c r="C873" s="49"/>
      <c r="D873" s="50"/>
      <c r="E873" s="50"/>
      <c r="F873" s="50"/>
      <c r="G873" s="50"/>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c r="AF873" s="49"/>
      <c r="AG873" s="49"/>
      <c r="AH873" s="49"/>
      <c r="AI873" s="49"/>
      <c r="AJ873" s="49"/>
      <c r="AK873" s="49"/>
      <c r="AL873" s="49"/>
      <c r="AM873" s="49"/>
      <c r="AN873" s="49"/>
      <c r="AO873" s="49"/>
      <c r="AP873" s="49"/>
      <c r="AQ873" s="49"/>
      <c r="AR873" s="49"/>
      <c r="AS873" s="49"/>
      <c r="AT873" s="49"/>
      <c r="AU873" s="49"/>
      <c r="AV873" s="49"/>
      <c r="AW873" s="49"/>
      <c r="AX873" s="49"/>
    </row>
    <row r="874">
      <c r="A874" s="49"/>
      <c r="B874" s="49"/>
      <c r="C874" s="49"/>
      <c r="D874" s="50"/>
      <c r="E874" s="50"/>
      <c r="F874" s="50"/>
      <c r="G874" s="50"/>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c r="AF874" s="49"/>
      <c r="AG874" s="49"/>
      <c r="AH874" s="49"/>
      <c r="AI874" s="49"/>
      <c r="AJ874" s="49"/>
      <c r="AK874" s="49"/>
      <c r="AL874" s="49"/>
      <c r="AM874" s="49"/>
      <c r="AN874" s="49"/>
      <c r="AO874" s="49"/>
      <c r="AP874" s="49"/>
      <c r="AQ874" s="49"/>
      <c r="AR874" s="49"/>
      <c r="AS874" s="49"/>
      <c r="AT874" s="49"/>
      <c r="AU874" s="49"/>
      <c r="AV874" s="49"/>
      <c r="AW874" s="49"/>
      <c r="AX874" s="49"/>
    </row>
    <row r="875">
      <c r="A875" s="49"/>
      <c r="B875" s="49"/>
      <c r="C875" s="49"/>
      <c r="D875" s="50"/>
      <c r="E875" s="50"/>
      <c r="F875" s="50"/>
      <c r="G875" s="50"/>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c r="AF875" s="49"/>
      <c r="AG875" s="49"/>
      <c r="AH875" s="49"/>
      <c r="AI875" s="49"/>
      <c r="AJ875" s="49"/>
      <c r="AK875" s="49"/>
      <c r="AL875" s="49"/>
      <c r="AM875" s="49"/>
      <c r="AN875" s="49"/>
      <c r="AO875" s="49"/>
      <c r="AP875" s="49"/>
      <c r="AQ875" s="49"/>
      <c r="AR875" s="49"/>
      <c r="AS875" s="49"/>
      <c r="AT875" s="49"/>
      <c r="AU875" s="49"/>
      <c r="AV875" s="49"/>
      <c r="AW875" s="49"/>
      <c r="AX875" s="49"/>
    </row>
    <row r="876">
      <c r="A876" s="49"/>
      <c r="B876" s="49"/>
      <c r="C876" s="49"/>
      <c r="D876" s="50"/>
      <c r="E876" s="50"/>
      <c r="F876" s="50"/>
      <c r="G876" s="50"/>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c r="AF876" s="49"/>
      <c r="AG876" s="49"/>
      <c r="AH876" s="49"/>
      <c r="AI876" s="49"/>
      <c r="AJ876" s="49"/>
      <c r="AK876" s="49"/>
      <c r="AL876" s="49"/>
      <c r="AM876" s="49"/>
      <c r="AN876" s="49"/>
      <c r="AO876" s="49"/>
      <c r="AP876" s="49"/>
      <c r="AQ876" s="49"/>
      <c r="AR876" s="49"/>
      <c r="AS876" s="49"/>
      <c r="AT876" s="49"/>
      <c r="AU876" s="49"/>
      <c r="AV876" s="49"/>
      <c r="AW876" s="49"/>
      <c r="AX876" s="49"/>
    </row>
    <row r="877">
      <c r="A877" s="49"/>
      <c r="B877" s="49"/>
      <c r="C877" s="49"/>
      <c r="D877" s="50"/>
      <c r="E877" s="50"/>
      <c r="F877" s="50"/>
      <c r="G877" s="50"/>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c r="AF877" s="49"/>
      <c r="AG877" s="49"/>
      <c r="AH877" s="49"/>
      <c r="AI877" s="49"/>
      <c r="AJ877" s="49"/>
      <c r="AK877" s="49"/>
      <c r="AL877" s="49"/>
      <c r="AM877" s="49"/>
      <c r="AN877" s="49"/>
      <c r="AO877" s="49"/>
      <c r="AP877" s="49"/>
      <c r="AQ877" s="49"/>
      <c r="AR877" s="49"/>
      <c r="AS877" s="49"/>
      <c r="AT877" s="49"/>
      <c r="AU877" s="49"/>
      <c r="AV877" s="49"/>
      <c r="AW877" s="49"/>
      <c r="AX877" s="49"/>
    </row>
    <row r="878">
      <c r="A878" s="49"/>
      <c r="B878" s="49"/>
      <c r="C878" s="49"/>
      <c r="D878" s="50"/>
      <c r="E878" s="50"/>
      <c r="F878" s="50"/>
      <c r="G878" s="50"/>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c r="AF878" s="49"/>
      <c r="AG878" s="49"/>
      <c r="AH878" s="49"/>
      <c r="AI878" s="49"/>
      <c r="AJ878" s="49"/>
      <c r="AK878" s="49"/>
      <c r="AL878" s="49"/>
      <c r="AM878" s="49"/>
      <c r="AN878" s="49"/>
      <c r="AO878" s="49"/>
      <c r="AP878" s="49"/>
      <c r="AQ878" s="49"/>
      <c r="AR878" s="49"/>
      <c r="AS878" s="49"/>
      <c r="AT878" s="49"/>
      <c r="AU878" s="49"/>
      <c r="AV878" s="49"/>
      <c r="AW878" s="49"/>
      <c r="AX878" s="49"/>
    </row>
    <row r="879">
      <c r="A879" s="49"/>
      <c r="B879" s="49"/>
      <c r="C879" s="49"/>
      <c r="D879" s="50"/>
      <c r="E879" s="50"/>
      <c r="F879" s="50"/>
      <c r="G879" s="50"/>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c r="AF879" s="49"/>
      <c r="AG879" s="49"/>
      <c r="AH879" s="49"/>
      <c r="AI879" s="49"/>
      <c r="AJ879" s="49"/>
      <c r="AK879" s="49"/>
      <c r="AL879" s="49"/>
      <c r="AM879" s="49"/>
      <c r="AN879" s="49"/>
      <c r="AO879" s="49"/>
      <c r="AP879" s="49"/>
      <c r="AQ879" s="49"/>
      <c r="AR879" s="49"/>
      <c r="AS879" s="49"/>
      <c r="AT879" s="49"/>
      <c r="AU879" s="49"/>
      <c r="AV879" s="49"/>
      <c r="AW879" s="49"/>
      <c r="AX879" s="49"/>
    </row>
    <row r="880">
      <c r="A880" s="49"/>
      <c r="B880" s="49"/>
      <c r="C880" s="49"/>
      <c r="D880" s="50"/>
      <c r="E880" s="50"/>
      <c r="F880" s="50"/>
      <c r="G880" s="50"/>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c r="AF880" s="49"/>
      <c r="AG880" s="49"/>
      <c r="AH880" s="49"/>
      <c r="AI880" s="49"/>
      <c r="AJ880" s="49"/>
      <c r="AK880" s="49"/>
      <c r="AL880" s="49"/>
      <c r="AM880" s="49"/>
      <c r="AN880" s="49"/>
      <c r="AO880" s="49"/>
      <c r="AP880" s="49"/>
      <c r="AQ880" s="49"/>
      <c r="AR880" s="49"/>
      <c r="AS880" s="49"/>
      <c r="AT880" s="49"/>
      <c r="AU880" s="49"/>
      <c r="AV880" s="49"/>
      <c r="AW880" s="49"/>
      <c r="AX880" s="49"/>
    </row>
    <row r="881">
      <c r="A881" s="49"/>
      <c r="B881" s="49"/>
      <c r="C881" s="49"/>
      <c r="D881" s="50"/>
      <c r="E881" s="50"/>
      <c r="F881" s="50"/>
      <c r="G881" s="50"/>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c r="AF881" s="49"/>
      <c r="AG881" s="49"/>
      <c r="AH881" s="49"/>
      <c r="AI881" s="49"/>
      <c r="AJ881" s="49"/>
      <c r="AK881" s="49"/>
      <c r="AL881" s="49"/>
      <c r="AM881" s="49"/>
      <c r="AN881" s="49"/>
      <c r="AO881" s="49"/>
      <c r="AP881" s="49"/>
      <c r="AQ881" s="49"/>
      <c r="AR881" s="49"/>
      <c r="AS881" s="49"/>
      <c r="AT881" s="49"/>
      <c r="AU881" s="49"/>
      <c r="AV881" s="49"/>
      <c r="AW881" s="49"/>
      <c r="AX881" s="49"/>
    </row>
    <row r="882">
      <c r="A882" s="49"/>
      <c r="B882" s="49"/>
      <c r="C882" s="49"/>
      <c r="D882" s="50"/>
      <c r="E882" s="50"/>
      <c r="F882" s="50"/>
      <c r="G882" s="50"/>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c r="AF882" s="49"/>
      <c r="AG882" s="49"/>
      <c r="AH882" s="49"/>
      <c r="AI882" s="49"/>
      <c r="AJ882" s="49"/>
      <c r="AK882" s="49"/>
      <c r="AL882" s="49"/>
      <c r="AM882" s="49"/>
      <c r="AN882" s="49"/>
      <c r="AO882" s="49"/>
      <c r="AP882" s="49"/>
      <c r="AQ882" s="49"/>
      <c r="AR882" s="49"/>
      <c r="AS882" s="49"/>
      <c r="AT882" s="49"/>
      <c r="AU882" s="49"/>
      <c r="AV882" s="49"/>
      <c r="AW882" s="49"/>
      <c r="AX882" s="49"/>
    </row>
    <row r="883">
      <c r="A883" s="49"/>
      <c r="B883" s="49"/>
      <c r="C883" s="49"/>
      <c r="D883" s="50"/>
      <c r="E883" s="50"/>
      <c r="F883" s="50"/>
      <c r="G883" s="50"/>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c r="AF883" s="49"/>
      <c r="AG883" s="49"/>
      <c r="AH883" s="49"/>
      <c r="AI883" s="49"/>
      <c r="AJ883" s="49"/>
      <c r="AK883" s="49"/>
      <c r="AL883" s="49"/>
      <c r="AM883" s="49"/>
      <c r="AN883" s="49"/>
      <c r="AO883" s="49"/>
      <c r="AP883" s="49"/>
      <c r="AQ883" s="49"/>
      <c r="AR883" s="49"/>
      <c r="AS883" s="49"/>
      <c r="AT883" s="49"/>
      <c r="AU883" s="49"/>
      <c r="AV883" s="49"/>
      <c r="AW883" s="49"/>
      <c r="AX883" s="49"/>
    </row>
    <row r="884">
      <c r="A884" s="49"/>
      <c r="B884" s="49"/>
      <c r="C884" s="49"/>
      <c r="D884" s="50"/>
      <c r="E884" s="50"/>
      <c r="F884" s="50"/>
      <c r="G884" s="50"/>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c r="AF884" s="49"/>
      <c r="AG884" s="49"/>
      <c r="AH884" s="49"/>
      <c r="AI884" s="49"/>
      <c r="AJ884" s="49"/>
      <c r="AK884" s="49"/>
      <c r="AL884" s="49"/>
      <c r="AM884" s="49"/>
      <c r="AN884" s="49"/>
      <c r="AO884" s="49"/>
      <c r="AP884" s="49"/>
      <c r="AQ884" s="49"/>
      <c r="AR884" s="49"/>
      <c r="AS884" s="49"/>
      <c r="AT884" s="49"/>
      <c r="AU884" s="49"/>
      <c r="AV884" s="49"/>
      <c r="AW884" s="49"/>
      <c r="AX884" s="49"/>
    </row>
    <row r="885">
      <c r="A885" s="49"/>
      <c r="B885" s="49"/>
      <c r="C885" s="49"/>
      <c r="D885" s="50"/>
      <c r="E885" s="50"/>
      <c r="F885" s="50"/>
      <c r="G885" s="50"/>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c r="AF885" s="49"/>
      <c r="AG885" s="49"/>
      <c r="AH885" s="49"/>
      <c r="AI885" s="49"/>
      <c r="AJ885" s="49"/>
      <c r="AK885" s="49"/>
      <c r="AL885" s="49"/>
      <c r="AM885" s="49"/>
      <c r="AN885" s="49"/>
      <c r="AO885" s="49"/>
      <c r="AP885" s="49"/>
      <c r="AQ885" s="49"/>
      <c r="AR885" s="49"/>
      <c r="AS885" s="49"/>
      <c r="AT885" s="49"/>
      <c r="AU885" s="49"/>
      <c r="AV885" s="49"/>
      <c r="AW885" s="49"/>
      <c r="AX885" s="49"/>
    </row>
    <row r="886">
      <c r="A886" s="49"/>
      <c r="B886" s="49"/>
      <c r="C886" s="49"/>
      <c r="D886" s="50"/>
      <c r="E886" s="50"/>
      <c r="F886" s="50"/>
      <c r="G886" s="50"/>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c r="AF886" s="49"/>
      <c r="AG886" s="49"/>
      <c r="AH886" s="49"/>
      <c r="AI886" s="49"/>
      <c r="AJ886" s="49"/>
      <c r="AK886" s="49"/>
      <c r="AL886" s="49"/>
      <c r="AM886" s="49"/>
      <c r="AN886" s="49"/>
      <c r="AO886" s="49"/>
      <c r="AP886" s="49"/>
      <c r="AQ886" s="49"/>
      <c r="AR886" s="49"/>
      <c r="AS886" s="49"/>
      <c r="AT886" s="49"/>
      <c r="AU886" s="49"/>
      <c r="AV886" s="49"/>
      <c r="AW886" s="49"/>
      <c r="AX886" s="49"/>
    </row>
    <row r="887">
      <c r="A887" s="49"/>
      <c r="B887" s="49"/>
      <c r="C887" s="49"/>
      <c r="D887" s="50"/>
      <c r="E887" s="50"/>
      <c r="F887" s="50"/>
      <c r="G887" s="50"/>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c r="AF887" s="49"/>
      <c r="AG887" s="49"/>
      <c r="AH887" s="49"/>
      <c r="AI887" s="49"/>
      <c r="AJ887" s="49"/>
      <c r="AK887" s="49"/>
      <c r="AL887" s="49"/>
      <c r="AM887" s="49"/>
      <c r="AN887" s="49"/>
      <c r="AO887" s="49"/>
      <c r="AP887" s="49"/>
      <c r="AQ887" s="49"/>
      <c r="AR887" s="49"/>
      <c r="AS887" s="49"/>
      <c r="AT887" s="49"/>
      <c r="AU887" s="49"/>
      <c r="AV887" s="49"/>
      <c r="AW887" s="49"/>
      <c r="AX887" s="49"/>
    </row>
    <row r="888">
      <c r="A888" s="49"/>
      <c r="B888" s="49"/>
      <c r="C888" s="49"/>
      <c r="D888" s="50"/>
      <c r="E888" s="50"/>
      <c r="F888" s="50"/>
      <c r="G888" s="50"/>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c r="AF888" s="49"/>
      <c r="AG888" s="49"/>
      <c r="AH888" s="49"/>
      <c r="AI888" s="49"/>
      <c r="AJ888" s="49"/>
      <c r="AK888" s="49"/>
      <c r="AL888" s="49"/>
      <c r="AM888" s="49"/>
      <c r="AN888" s="49"/>
      <c r="AO888" s="49"/>
      <c r="AP888" s="49"/>
      <c r="AQ888" s="49"/>
      <c r="AR888" s="49"/>
      <c r="AS888" s="49"/>
      <c r="AT888" s="49"/>
      <c r="AU888" s="49"/>
      <c r="AV888" s="49"/>
      <c r="AW888" s="49"/>
      <c r="AX888" s="49"/>
    </row>
    <row r="889">
      <c r="A889" s="49"/>
      <c r="B889" s="49"/>
      <c r="C889" s="49"/>
      <c r="D889" s="50"/>
      <c r="E889" s="50"/>
      <c r="F889" s="50"/>
      <c r="G889" s="50"/>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c r="AF889" s="49"/>
      <c r="AG889" s="49"/>
      <c r="AH889" s="49"/>
      <c r="AI889" s="49"/>
      <c r="AJ889" s="49"/>
      <c r="AK889" s="49"/>
      <c r="AL889" s="49"/>
      <c r="AM889" s="49"/>
      <c r="AN889" s="49"/>
      <c r="AO889" s="49"/>
      <c r="AP889" s="49"/>
      <c r="AQ889" s="49"/>
      <c r="AR889" s="49"/>
      <c r="AS889" s="49"/>
      <c r="AT889" s="49"/>
      <c r="AU889" s="49"/>
      <c r="AV889" s="49"/>
      <c r="AW889" s="49"/>
      <c r="AX889" s="49"/>
    </row>
    <row r="890">
      <c r="A890" s="49"/>
      <c r="B890" s="49"/>
      <c r="C890" s="49"/>
      <c r="D890" s="50"/>
      <c r="E890" s="50"/>
      <c r="F890" s="50"/>
      <c r="G890" s="50"/>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c r="AF890" s="49"/>
      <c r="AG890" s="49"/>
      <c r="AH890" s="49"/>
      <c r="AI890" s="49"/>
      <c r="AJ890" s="49"/>
      <c r="AK890" s="49"/>
      <c r="AL890" s="49"/>
      <c r="AM890" s="49"/>
      <c r="AN890" s="49"/>
      <c r="AO890" s="49"/>
      <c r="AP890" s="49"/>
      <c r="AQ890" s="49"/>
      <c r="AR890" s="49"/>
      <c r="AS890" s="49"/>
      <c r="AT890" s="49"/>
      <c r="AU890" s="49"/>
      <c r="AV890" s="49"/>
      <c r="AW890" s="49"/>
      <c r="AX890" s="49"/>
    </row>
    <row r="891">
      <c r="A891" s="49"/>
      <c r="B891" s="49"/>
      <c r="C891" s="49"/>
      <c r="D891" s="50"/>
      <c r="E891" s="50"/>
      <c r="F891" s="50"/>
      <c r="G891" s="50"/>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c r="AF891" s="49"/>
      <c r="AG891" s="49"/>
      <c r="AH891" s="49"/>
      <c r="AI891" s="49"/>
      <c r="AJ891" s="49"/>
      <c r="AK891" s="49"/>
      <c r="AL891" s="49"/>
      <c r="AM891" s="49"/>
      <c r="AN891" s="49"/>
      <c r="AO891" s="49"/>
      <c r="AP891" s="49"/>
      <c r="AQ891" s="49"/>
      <c r="AR891" s="49"/>
      <c r="AS891" s="49"/>
      <c r="AT891" s="49"/>
      <c r="AU891" s="49"/>
      <c r="AV891" s="49"/>
      <c r="AW891" s="49"/>
      <c r="AX891" s="49"/>
    </row>
    <row r="892">
      <c r="A892" s="49"/>
      <c r="B892" s="49"/>
      <c r="C892" s="49"/>
      <c r="D892" s="50"/>
      <c r="E892" s="50"/>
      <c r="F892" s="50"/>
      <c r="G892" s="50"/>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c r="AF892" s="49"/>
      <c r="AG892" s="49"/>
      <c r="AH892" s="49"/>
      <c r="AI892" s="49"/>
      <c r="AJ892" s="49"/>
      <c r="AK892" s="49"/>
      <c r="AL892" s="49"/>
      <c r="AM892" s="49"/>
      <c r="AN892" s="49"/>
      <c r="AO892" s="49"/>
      <c r="AP892" s="49"/>
      <c r="AQ892" s="49"/>
      <c r="AR892" s="49"/>
      <c r="AS892" s="49"/>
      <c r="AT892" s="49"/>
      <c r="AU892" s="49"/>
      <c r="AV892" s="49"/>
      <c r="AW892" s="49"/>
      <c r="AX892" s="49"/>
    </row>
    <row r="893">
      <c r="A893" s="49"/>
      <c r="B893" s="49"/>
      <c r="C893" s="49"/>
      <c r="D893" s="50"/>
      <c r="E893" s="50"/>
      <c r="F893" s="50"/>
      <c r="G893" s="50"/>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c r="AF893" s="49"/>
      <c r="AG893" s="49"/>
      <c r="AH893" s="49"/>
      <c r="AI893" s="49"/>
      <c r="AJ893" s="49"/>
      <c r="AK893" s="49"/>
      <c r="AL893" s="49"/>
      <c r="AM893" s="49"/>
      <c r="AN893" s="49"/>
      <c r="AO893" s="49"/>
      <c r="AP893" s="49"/>
      <c r="AQ893" s="49"/>
      <c r="AR893" s="49"/>
      <c r="AS893" s="49"/>
      <c r="AT893" s="49"/>
      <c r="AU893" s="49"/>
      <c r="AV893" s="49"/>
      <c r="AW893" s="49"/>
      <c r="AX893" s="49"/>
    </row>
    <row r="894">
      <c r="A894" s="49"/>
      <c r="B894" s="49"/>
      <c r="C894" s="49"/>
      <c r="D894" s="50"/>
      <c r="E894" s="50"/>
      <c r="F894" s="50"/>
      <c r="G894" s="50"/>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c r="AF894" s="49"/>
      <c r="AG894" s="49"/>
      <c r="AH894" s="49"/>
      <c r="AI894" s="49"/>
      <c r="AJ894" s="49"/>
      <c r="AK894" s="49"/>
      <c r="AL894" s="49"/>
      <c r="AM894" s="49"/>
      <c r="AN894" s="49"/>
      <c r="AO894" s="49"/>
      <c r="AP894" s="49"/>
      <c r="AQ894" s="49"/>
      <c r="AR894" s="49"/>
      <c r="AS894" s="49"/>
      <c r="AT894" s="49"/>
      <c r="AU894" s="49"/>
      <c r="AV894" s="49"/>
      <c r="AW894" s="49"/>
      <c r="AX894" s="49"/>
    </row>
    <row r="895">
      <c r="A895" s="49"/>
      <c r="B895" s="49"/>
      <c r="C895" s="49"/>
      <c r="D895" s="50"/>
      <c r="E895" s="50"/>
      <c r="F895" s="50"/>
      <c r="G895" s="50"/>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c r="AF895" s="49"/>
      <c r="AG895" s="49"/>
      <c r="AH895" s="49"/>
      <c r="AI895" s="49"/>
      <c r="AJ895" s="49"/>
      <c r="AK895" s="49"/>
      <c r="AL895" s="49"/>
      <c r="AM895" s="49"/>
      <c r="AN895" s="49"/>
      <c r="AO895" s="49"/>
      <c r="AP895" s="49"/>
      <c r="AQ895" s="49"/>
      <c r="AR895" s="49"/>
      <c r="AS895" s="49"/>
      <c r="AT895" s="49"/>
      <c r="AU895" s="49"/>
      <c r="AV895" s="49"/>
      <c r="AW895" s="49"/>
      <c r="AX895" s="49"/>
    </row>
    <row r="896">
      <c r="A896" s="49"/>
      <c r="B896" s="49"/>
      <c r="C896" s="49"/>
      <c r="D896" s="50"/>
      <c r="E896" s="50"/>
      <c r="F896" s="50"/>
      <c r="G896" s="50"/>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c r="AF896" s="49"/>
      <c r="AG896" s="49"/>
      <c r="AH896" s="49"/>
      <c r="AI896" s="49"/>
      <c r="AJ896" s="49"/>
      <c r="AK896" s="49"/>
      <c r="AL896" s="49"/>
      <c r="AM896" s="49"/>
      <c r="AN896" s="49"/>
      <c r="AO896" s="49"/>
      <c r="AP896" s="49"/>
      <c r="AQ896" s="49"/>
      <c r="AR896" s="49"/>
      <c r="AS896" s="49"/>
      <c r="AT896" s="49"/>
      <c r="AU896" s="49"/>
      <c r="AV896" s="49"/>
      <c r="AW896" s="49"/>
      <c r="AX896" s="49"/>
    </row>
    <row r="897">
      <c r="A897" s="49"/>
      <c r="B897" s="49"/>
      <c r="C897" s="49"/>
      <c r="D897" s="50"/>
      <c r="E897" s="50"/>
      <c r="F897" s="50"/>
      <c r="G897" s="50"/>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c r="AF897" s="49"/>
      <c r="AG897" s="49"/>
      <c r="AH897" s="49"/>
      <c r="AI897" s="49"/>
      <c r="AJ897" s="49"/>
      <c r="AK897" s="49"/>
      <c r="AL897" s="49"/>
      <c r="AM897" s="49"/>
      <c r="AN897" s="49"/>
      <c r="AO897" s="49"/>
      <c r="AP897" s="49"/>
      <c r="AQ897" s="49"/>
      <c r="AR897" s="49"/>
      <c r="AS897" s="49"/>
      <c r="AT897" s="49"/>
      <c r="AU897" s="49"/>
      <c r="AV897" s="49"/>
      <c r="AW897" s="49"/>
      <c r="AX897" s="49"/>
    </row>
    <row r="898">
      <c r="A898" s="49"/>
      <c r="B898" s="49"/>
      <c r="C898" s="49"/>
      <c r="D898" s="50"/>
      <c r="E898" s="50"/>
      <c r="F898" s="50"/>
      <c r="G898" s="50"/>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c r="AF898" s="49"/>
      <c r="AG898" s="49"/>
      <c r="AH898" s="49"/>
      <c r="AI898" s="49"/>
      <c r="AJ898" s="49"/>
      <c r="AK898" s="49"/>
      <c r="AL898" s="49"/>
      <c r="AM898" s="49"/>
      <c r="AN898" s="49"/>
      <c r="AO898" s="49"/>
      <c r="AP898" s="49"/>
      <c r="AQ898" s="49"/>
      <c r="AR898" s="49"/>
      <c r="AS898" s="49"/>
      <c r="AT898" s="49"/>
      <c r="AU898" s="49"/>
      <c r="AV898" s="49"/>
      <c r="AW898" s="49"/>
      <c r="AX898" s="49"/>
    </row>
    <row r="899">
      <c r="A899" s="49"/>
      <c r="B899" s="49"/>
      <c r="C899" s="49"/>
      <c r="D899" s="50"/>
      <c r="E899" s="50"/>
      <c r="F899" s="50"/>
      <c r="G899" s="50"/>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c r="AF899" s="49"/>
      <c r="AG899" s="49"/>
      <c r="AH899" s="49"/>
      <c r="AI899" s="49"/>
      <c r="AJ899" s="49"/>
      <c r="AK899" s="49"/>
      <c r="AL899" s="49"/>
      <c r="AM899" s="49"/>
      <c r="AN899" s="49"/>
      <c r="AO899" s="49"/>
      <c r="AP899" s="49"/>
      <c r="AQ899" s="49"/>
      <c r="AR899" s="49"/>
      <c r="AS899" s="49"/>
      <c r="AT899" s="49"/>
      <c r="AU899" s="49"/>
      <c r="AV899" s="49"/>
      <c r="AW899" s="49"/>
      <c r="AX899" s="49"/>
    </row>
    <row r="900">
      <c r="A900" s="49"/>
      <c r="B900" s="49"/>
      <c r="C900" s="49"/>
      <c r="D900" s="50"/>
      <c r="E900" s="50"/>
      <c r="F900" s="50"/>
      <c r="G900" s="50"/>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c r="AF900" s="49"/>
      <c r="AG900" s="49"/>
      <c r="AH900" s="49"/>
      <c r="AI900" s="49"/>
      <c r="AJ900" s="49"/>
      <c r="AK900" s="49"/>
      <c r="AL900" s="49"/>
      <c r="AM900" s="49"/>
      <c r="AN900" s="49"/>
      <c r="AO900" s="49"/>
      <c r="AP900" s="49"/>
      <c r="AQ900" s="49"/>
      <c r="AR900" s="49"/>
      <c r="AS900" s="49"/>
      <c r="AT900" s="49"/>
      <c r="AU900" s="49"/>
      <c r="AV900" s="49"/>
      <c r="AW900" s="49"/>
      <c r="AX900" s="49"/>
    </row>
    <row r="901">
      <c r="A901" s="49"/>
      <c r="B901" s="49"/>
      <c r="C901" s="49"/>
      <c r="D901" s="50"/>
      <c r="E901" s="50"/>
      <c r="F901" s="50"/>
      <c r="G901" s="50"/>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c r="AF901" s="49"/>
      <c r="AG901" s="49"/>
      <c r="AH901" s="49"/>
      <c r="AI901" s="49"/>
      <c r="AJ901" s="49"/>
      <c r="AK901" s="49"/>
      <c r="AL901" s="49"/>
      <c r="AM901" s="49"/>
      <c r="AN901" s="49"/>
      <c r="AO901" s="49"/>
      <c r="AP901" s="49"/>
      <c r="AQ901" s="49"/>
      <c r="AR901" s="49"/>
      <c r="AS901" s="49"/>
      <c r="AT901" s="49"/>
      <c r="AU901" s="49"/>
      <c r="AV901" s="49"/>
      <c r="AW901" s="49"/>
      <c r="AX901" s="49"/>
    </row>
    <row r="902">
      <c r="A902" s="49"/>
      <c r="B902" s="49"/>
      <c r="C902" s="49"/>
      <c r="D902" s="50"/>
      <c r="E902" s="50"/>
      <c r="F902" s="50"/>
      <c r="G902" s="50"/>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c r="AF902" s="49"/>
      <c r="AG902" s="49"/>
      <c r="AH902" s="49"/>
      <c r="AI902" s="49"/>
      <c r="AJ902" s="49"/>
      <c r="AK902" s="49"/>
      <c r="AL902" s="49"/>
      <c r="AM902" s="49"/>
      <c r="AN902" s="49"/>
      <c r="AO902" s="49"/>
      <c r="AP902" s="49"/>
      <c r="AQ902" s="49"/>
      <c r="AR902" s="49"/>
      <c r="AS902" s="49"/>
      <c r="AT902" s="49"/>
      <c r="AU902" s="49"/>
      <c r="AV902" s="49"/>
      <c r="AW902" s="49"/>
      <c r="AX902" s="49"/>
    </row>
    <row r="903">
      <c r="A903" s="49"/>
      <c r="B903" s="49"/>
      <c r="C903" s="49"/>
      <c r="D903" s="50"/>
      <c r="E903" s="50"/>
      <c r="F903" s="50"/>
      <c r="G903" s="50"/>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c r="AF903" s="49"/>
      <c r="AG903" s="49"/>
      <c r="AH903" s="49"/>
      <c r="AI903" s="49"/>
      <c r="AJ903" s="49"/>
      <c r="AK903" s="49"/>
      <c r="AL903" s="49"/>
      <c r="AM903" s="49"/>
      <c r="AN903" s="49"/>
      <c r="AO903" s="49"/>
      <c r="AP903" s="49"/>
      <c r="AQ903" s="49"/>
      <c r="AR903" s="49"/>
      <c r="AS903" s="49"/>
      <c r="AT903" s="49"/>
      <c r="AU903" s="49"/>
      <c r="AV903" s="49"/>
      <c r="AW903" s="49"/>
      <c r="AX903" s="49"/>
    </row>
    <row r="904">
      <c r="A904" s="49"/>
      <c r="B904" s="49"/>
      <c r="C904" s="49"/>
      <c r="D904" s="50"/>
      <c r="E904" s="50"/>
      <c r="F904" s="50"/>
      <c r="G904" s="50"/>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c r="AF904" s="49"/>
      <c r="AG904" s="49"/>
      <c r="AH904" s="49"/>
      <c r="AI904" s="49"/>
      <c r="AJ904" s="49"/>
      <c r="AK904" s="49"/>
      <c r="AL904" s="49"/>
      <c r="AM904" s="49"/>
      <c r="AN904" s="49"/>
      <c r="AO904" s="49"/>
      <c r="AP904" s="49"/>
      <c r="AQ904" s="49"/>
      <c r="AR904" s="49"/>
      <c r="AS904" s="49"/>
      <c r="AT904" s="49"/>
      <c r="AU904" s="49"/>
      <c r="AV904" s="49"/>
      <c r="AW904" s="49"/>
      <c r="AX904" s="49"/>
    </row>
    <row r="905">
      <c r="A905" s="49"/>
      <c r="B905" s="49"/>
      <c r="C905" s="49"/>
      <c r="D905" s="50"/>
      <c r="E905" s="50"/>
      <c r="F905" s="50"/>
      <c r="G905" s="50"/>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c r="AF905" s="49"/>
      <c r="AG905" s="49"/>
      <c r="AH905" s="49"/>
      <c r="AI905" s="49"/>
      <c r="AJ905" s="49"/>
      <c r="AK905" s="49"/>
      <c r="AL905" s="49"/>
      <c r="AM905" s="49"/>
      <c r="AN905" s="49"/>
      <c r="AO905" s="49"/>
      <c r="AP905" s="49"/>
      <c r="AQ905" s="49"/>
      <c r="AR905" s="49"/>
      <c r="AS905" s="49"/>
      <c r="AT905" s="49"/>
      <c r="AU905" s="49"/>
      <c r="AV905" s="49"/>
      <c r="AW905" s="49"/>
      <c r="AX905" s="49"/>
    </row>
    <row r="906">
      <c r="A906" s="49"/>
      <c r="B906" s="49"/>
      <c r="C906" s="49"/>
      <c r="D906" s="50"/>
      <c r="E906" s="50"/>
      <c r="F906" s="50"/>
      <c r="G906" s="50"/>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c r="AF906" s="49"/>
      <c r="AG906" s="49"/>
      <c r="AH906" s="49"/>
      <c r="AI906" s="49"/>
      <c r="AJ906" s="49"/>
      <c r="AK906" s="49"/>
      <c r="AL906" s="49"/>
      <c r="AM906" s="49"/>
      <c r="AN906" s="49"/>
      <c r="AO906" s="49"/>
      <c r="AP906" s="49"/>
      <c r="AQ906" s="49"/>
      <c r="AR906" s="49"/>
      <c r="AS906" s="49"/>
      <c r="AT906" s="49"/>
      <c r="AU906" s="49"/>
      <c r="AV906" s="49"/>
      <c r="AW906" s="49"/>
      <c r="AX906" s="49"/>
    </row>
    <row r="907">
      <c r="A907" s="49"/>
      <c r="B907" s="49"/>
      <c r="C907" s="49"/>
      <c r="D907" s="50"/>
      <c r="E907" s="50"/>
      <c r="F907" s="50"/>
      <c r="G907" s="50"/>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c r="AF907" s="49"/>
      <c r="AG907" s="49"/>
      <c r="AH907" s="49"/>
      <c r="AI907" s="49"/>
      <c r="AJ907" s="49"/>
      <c r="AK907" s="49"/>
      <c r="AL907" s="49"/>
      <c r="AM907" s="49"/>
      <c r="AN907" s="49"/>
      <c r="AO907" s="49"/>
      <c r="AP907" s="49"/>
      <c r="AQ907" s="49"/>
      <c r="AR907" s="49"/>
      <c r="AS907" s="49"/>
      <c r="AT907" s="49"/>
      <c r="AU907" s="49"/>
      <c r="AV907" s="49"/>
      <c r="AW907" s="49"/>
      <c r="AX907" s="49"/>
    </row>
    <row r="908">
      <c r="A908" s="49"/>
      <c r="B908" s="49"/>
      <c r="C908" s="49"/>
      <c r="D908" s="50"/>
      <c r="E908" s="50"/>
      <c r="F908" s="50"/>
      <c r="G908" s="50"/>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c r="AF908" s="49"/>
      <c r="AG908" s="49"/>
      <c r="AH908" s="49"/>
      <c r="AI908" s="49"/>
      <c r="AJ908" s="49"/>
      <c r="AK908" s="49"/>
      <c r="AL908" s="49"/>
      <c r="AM908" s="49"/>
      <c r="AN908" s="49"/>
      <c r="AO908" s="49"/>
      <c r="AP908" s="49"/>
      <c r="AQ908" s="49"/>
      <c r="AR908" s="49"/>
      <c r="AS908" s="49"/>
      <c r="AT908" s="49"/>
      <c r="AU908" s="49"/>
      <c r="AV908" s="49"/>
      <c r="AW908" s="49"/>
      <c r="AX908" s="49"/>
    </row>
    <row r="909">
      <c r="A909" s="49"/>
      <c r="B909" s="49"/>
      <c r="C909" s="49"/>
      <c r="D909" s="50"/>
      <c r="E909" s="50"/>
      <c r="F909" s="50"/>
      <c r="G909" s="50"/>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c r="AF909" s="49"/>
      <c r="AG909" s="49"/>
      <c r="AH909" s="49"/>
      <c r="AI909" s="49"/>
      <c r="AJ909" s="49"/>
      <c r="AK909" s="49"/>
      <c r="AL909" s="49"/>
      <c r="AM909" s="49"/>
      <c r="AN909" s="49"/>
      <c r="AO909" s="49"/>
      <c r="AP909" s="49"/>
      <c r="AQ909" s="49"/>
      <c r="AR909" s="49"/>
      <c r="AS909" s="49"/>
      <c r="AT909" s="49"/>
      <c r="AU909" s="49"/>
      <c r="AV909" s="49"/>
      <c r="AW909" s="49"/>
      <c r="AX909" s="49"/>
    </row>
    <row r="910">
      <c r="A910" s="49"/>
      <c r="B910" s="49"/>
      <c r="C910" s="49"/>
      <c r="D910" s="50"/>
      <c r="E910" s="50"/>
      <c r="F910" s="50"/>
      <c r="G910" s="50"/>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c r="AF910" s="49"/>
      <c r="AG910" s="49"/>
      <c r="AH910" s="49"/>
      <c r="AI910" s="49"/>
      <c r="AJ910" s="49"/>
      <c r="AK910" s="49"/>
      <c r="AL910" s="49"/>
      <c r="AM910" s="49"/>
      <c r="AN910" s="49"/>
      <c r="AO910" s="49"/>
      <c r="AP910" s="49"/>
      <c r="AQ910" s="49"/>
      <c r="AR910" s="49"/>
      <c r="AS910" s="49"/>
      <c r="AT910" s="49"/>
      <c r="AU910" s="49"/>
      <c r="AV910" s="49"/>
      <c r="AW910" s="49"/>
      <c r="AX910" s="49"/>
    </row>
    <row r="911">
      <c r="A911" s="49"/>
      <c r="B911" s="49"/>
      <c r="C911" s="49"/>
      <c r="D911" s="50"/>
      <c r="E911" s="50"/>
      <c r="F911" s="50"/>
      <c r="G911" s="50"/>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c r="AF911" s="49"/>
      <c r="AG911" s="49"/>
      <c r="AH911" s="49"/>
      <c r="AI911" s="49"/>
      <c r="AJ911" s="49"/>
      <c r="AK911" s="49"/>
      <c r="AL911" s="49"/>
      <c r="AM911" s="49"/>
      <c r="AN911" s="49"/>
      <c r="AO911" s="49"/>
      <c r="AP911" s="49"/>
      <c r="AQ911" s="49"/>
      <c r="AR911" s="49"/>
      <c r="AS911" s="49"/>
      <c r="AT911" s="49"/>
      <c r="AU911" s="49"/>
      <c r="AV911" s="49"/>
      <c r="AW911" s="49"/>
      <c r="AX911" s="49"/>
    </row>
    <row r="912">
      <c r="A912" s="49"/>
      <c r="B912" s="49"/>
      <c r="C912" s="49"/>
      <c r="D912" s="50"/>
      <c r="E912" s="50"/>
      <c r="F912" s="50"/>
      <c r="G912" s="50"/>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c r="AF912" s="49"/>
      <c r="AG912" s="49"/>
      <c r="AH912" s="49"/>
      <c r="AI912" s="49"/>
      <c r="AJ912" s="49"/>
      <c r="AK912" s="49"/>
      <c r="AL912" s="49"/>
      <c r="AM912" s="49"/>
      <c r="AN912" s="49"/>
      <c r="AO912" s="49"/>
      <c r="AP912" s="49"/>
      <c r="AQ912" s="49"/>
      <c r="AR912" s="49"/>
      <c r="AS912" s="49"/>
      <c r="AT912" s="49"/>
      <c r="AU912" s="49"/>
      <c r="AV912" s="49"/>
      <c r="AW912" s="49"/>
      <c r="AX912" s="49"/>
    </row>
    <row r="913">
      <c r="A913" s="49"/>
      <c r="B913" s="49"/>
      <c r="C913" s="49"/>
      <c r="D913" s="50"/>
      <c r="E913" s="50"/>
      <c r="F913" s="50"/>
      <c r="G913" s="50"/>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c r="AF913" s="49"/>
      <c r="AG913" s="49"/>
      <c r="AH913" s="49"/>
      <c r="AI913" s="49"/>
      <c r="AJ913" s="49"/>
      <c r="AK913" s="49"/>
      <c r="AL913" s="49"/>
      <c r="AM913" s="49"/>
      <c r="AN913" s="49"/>
      <c r="AO913" s="49"/>
      <c r="AP913" s="49"/>
      <c r="AQ913" s="49"/>
      <c r="AR913" s="49"/>
      <c r="AS913" s="49"/>
      <c r="AT913" s="49"/>
      <c r="AU913" s="49"/>
      <c r="AV913" s="49"/>
      <c r="AW913" s="49"/>
      <c r="AX913" s="49"/>
    </row>
    <row r="914">
      <c r="A914" s="49"/>
      <c r="B914" s="49"/>
      <c r="C914" s="49"/>
      <c r="D914" s="50"/>
      <c r="E914" s="50"/>
      <c r="F914" s="50"/>
      <c r="G914" s="50"/>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c r="AF914" s="49"/>
      <c r="AG914" s="49"/>
      <c r="AH914" s="49"/>
      <c r="AI914" s="49"/>
      <c r="AJ914" s="49"/>
      <c r="AK914" s="49"/>
      <c r="AL914" s="49"/>
      <c r="AM914" s="49"/>
      <c r="AN914" s="49"/>
      <c r="AO914" s="49"/>
      <c r="AP914" s="49"/>
      <c r="AQ914" s="49"/>
      <c r="AR914" s="49"/>
      <c r="AS914" s="49"/>
      <c r="AT914" s="49"/>
      <c r="AU914" s="49"/>
      <c r="AV914" s="49"/>
      <c r="AW914" s="49"/>
      <c r="AX914" s="49"/>
    </row>
    <row r="915">
      <c r="A915" s="49"/>
      <c r="B915" s="49"/>
      <c r="C915" s="49"/>
      <c r="D915" s="50"/>
      <c r="E915" s="50"/>
      <c r="F915" s="50"/>
      <c r="G915" s="50"/>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c r="AF915" s="49"/>
      <c r="AG915" s="49"/>
      <c r="AH915" s="49"/>
      <c r="AI915" s="49"/>
      <c r="AJ915" s="49"/>
      <c r="AK915" s="49"/>
      <c r="AL915" s="49"/>
      <c r="AM915" s="49"/>
      <c r="AN915" s="49"/>
      <c r="AO915" s="49"/>
      <c r="AP915" s="49"/>
      <c r="AQ915" s="49"/>
      <c r="AR915" s="49"/>
      <c r="AS915" s="49"/>
      <c r="AT915" s="49"/>
      <c r="AU915" s="49"/>
      <c r="AV915" s="49"/>
      <c r="AW915" s="49"/>
      <c r="AX915" s="49"/>
    </row>
    <row r="916">
      <c r="A916" s="49"/>
      <c r="B916" s="49"/>
      <c r="C916" s="49"/>
      <c r="D916" s="50"/>
      <c r="E916" s="50"/>
      <c r="F916" s="50"/>
      <c r="G916" s="50"/>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c r="AF916" s="49"/>
      <c r="AG916" s="49"/>
      <c r="AH916" s="49"/>
      <c r="AI916" s="49"/>
      <c r="AJ916" s="49"/>
      <c r="AK916" s="49"/>
      <c r="AL916" s="49"/>
      <c r="AM916" s="49"/>
      <c r="AN916" s="49"/>
      <c r="AO916" s="49"/>
      <c r="AP916" s="49"/>
      <c r="AQ916" s="49"/>
      <c r="AR916" s="49"/>
      <c r="AS916" s="49"/>
      <c r="AT916" s="49"/>
      <c r="AU916" s="49"/>
      <c r="AV916" s="49"/>
      <c r="AW916" s="49"/>
      <c r="AX916" s="49"/>
    </row>
    <row r="917">
      <c r="A917" s="49"/>
      <c r="B917" s="49"/>
      <c r="C917" s="49"/>
      <c r="D917" s="50"/>
      <c r="E917" s="50"/>
      <c r="F917" s="50"/>
      <c r="G917" s="50"/>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c r="AF917" s="49"/>
      <c r="AG917" s="49"/>
      <c r="AH917" s="49"/>
      <c r="AI917" s="49"/>
      <c r="AJ917" s="49"/>
      <c r="AK917" s="49"/>
      <c r="AL917" s="49"/>
      <c r="AM917" s="49"/>
      <c r="AN917" s="49"/>
      <c r="AO917" s="49"/>
      <c r="AP917" s="49"/>
      <c r="AQ917" s="49"/>
      <c r="AR917" s="49"/>
      <c r="AS917" s="49"/>
      <c r="AT917" s="49"/>
      <c r="AU917" s="49"/>
      <c r="AV917" s="49"/>
      <c r="AW917" s="49"/>
      <c r="AX917" s="49"/>
    </row>
    <row r="918">
      <c r="A918" s="49"/>
      <c r="B918" s="49"/>
      <c r="C918" s="49"/>
      <c r="D918" s="50"/>
      <c r="E918" s="50"/>
      <c r="F918" s="50"/>
      <c r="G918" s="50"/>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c r="AF918" s="49"/>
      <c r="AG918" s="49"/>
      <c r="AH918" s="49"/>
      <c r="AI918" s="49"/>
      <c r="AJ918" s="49"/>
      <c r="AK918" s="49"/>
      <c r="AL918" s="49"/>
      <c r="AM918" s="49"/>
      <c r="AN918" s="49"/>
      <c r="AO918" s="49"/>
      <c r="AP918" s="49"/>
      <c r="AQ918" s="49"/>
      <c r="AR918" s="49"/>
      <c r="AS918" s="49"/>
      <c r="AT918" s="49"/>
      <c r="AU918" s="49"/>
      <c r="AV918" s="49"/>
      <c r="AW918" s="49"/>
      <c r="AX918" s="49"/>
    </row>
    <row r="919">
      <c r="A919" s="49"/>
      <c r="B919" s="49"/>
      <c r="C919" s="49"/>
      <c r="D919" s="50"/>
      <c r="E919" s="50"/>
      <c r="F919" s="50"/>
      <c r="G919" s="50"/>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c r="AF919" s="49"/>
      <c r="AG919" s="49"/>
      <c r="AH919" s="49"/>
      <c r="AI919" s="49"/>
      <c r="AJ919" s="49"/>
      <c r="AK919" s="49"/>
      <c r="AL919" s="49"/>
      <c r="AM919" s="49"/>
      <c r="AN919" s="49"/>
      <c r="AO919" s="49"/>
      <c r="AP919" s="49"/>
      <c r="AQ919" s="49"/>
      <c r="AR919" s="49"/>
      <c r="AS919" s="49"/>
      <c r="AT919" s="49"/>
      <c r="AU919" s="49"/>
      <c r="AV919" s="49"/>
      <c r="AW919" s="49"/>
      <c r="AX919" s="49"/>
    </row>
    <row r="920">
      <c r="A920" s="49"/>
      <c r="B920" s="49"/>
      <c r="C920" s="49"/>
      <c r="D920" s="50"/>
      <c r="E920" s="50"/>
      <c r="F920" s="50"/>
      <c r="G920" s="50"/>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c r="AF920" s="49"/>
      <c r="AG920" s="49"/>
      <c r="AH920" s="49"/>
      <c r="AI920" s="49"/>
      <c r="AJ920" s="49"/>
      <c r="AK920" s="49"/>
      <c r="AL920" s="49"/>
      <c r="AM920" s="49"/>
      <c r="AN920" s="49"/>
      <c r="AO920" s="49"/>
      <c r="AP920" s="49"/>
      <c r="AQ920" s="49"/>
      <c r="AR920" s="49"/>
      <c r="AS920" s="49"/>
      <c r="AT920" s="49"/>
      <c r="AU920" s="49"/>
      <c r="AV920" s="49"/>
      <c r="AW920" s="49"/>
      <c r="AX920" s="49"/>
    </row>
    <row r="921">
      <c r="A921" s="49"/>
      <c r="B921" s="49"/>
      <c r="C921" s="49"/>
      <c r="D921" s="50"/>
      <c r="E921" s="50"/>
      <c r="F921" s="50"/>
      <c r="G921" s="50"/>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c r="AF921" s="49"/>
      <c r="AG921" s="49"/>
      <c r="AH921" s="49"/>
      <c r="AI921" s="49"/>
      <c r="AJ921" s="49"/>
      <c r="AK921" s="49"/>
      <c r="AL921" s="49"/>
      <c r="AM921" s="49"/>
      <c r="AN921" s="49"/>
      <c r="AO921" s="49"/>
      <c r="AP921" s="49"/>
      <c r="AQ921" s="49"/>
      <c r="AR921" s="49"/>
      <c r="AS921" s="49"/>
      <c r="AT921" s="49"/>
      <c r="AU921" s="49"/>
      <c r="AV921" s="49"/>
      <c r="AW921" s="49"/>
      <c r="AX921" s="49"/>
    </row>
    <row r="922">
      <c r="A922" s="49"/>
      <c r="B922" s="49"/>
      <c r="C922" s="49"/>
      <c r="D922" s="50"/>
      <c r="E922" s="50"/>
      <c r="F922" s="50"/>
      <c r="G922" s="50"/>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c r="AF922" s="49"/>
      <c r="AG922" s="49"/>
      <c r="AH922" s="49"/>
      <c r="AI922" s="49"/>
      <c r="AJ922" s="49"/>
      <c r="AK922" s="49"/>
      <c r="AL922" s="49"/>
      <c r="AM922" s="49"/>
      <c r="AN922" s="49"/>
      <c r="AO922" s="49"/>
      <c r="AP922" s="49"/>
      <c r="AQ922" s="49"/>
      <c r="AR922" s="49"/>
      <c r="AS922" s="49"/>
      <c r="AT922" s="49"/>
      <c r="AU922" s="49"/>
      <c r="AV922" s="49"/>
      <c r="AW922" s="49"/>
      <c r="AX922" s="49"/>
    </row>
    <row r="923">
      <c r="A923" s="49"/>
      <c r="B923" s="49"/>
      <c r="C923" s="49"/>
      <c r="D923" s="50"/>
      <c r="E923" s="50"/>
      <c r="F923" s="50"/>
      <c r="G923" s="50"/>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c r="AF923" s="49"/>
      <c r="AG923" s="49"/>
      <c r="AH923" s="49"/>
      <c r="AI923" s="49"/>
      <c r="AJ923" s="49"/>
      <c r="AK923" s="49"/>
      <c r="AL923" s="49"/>
      <c r="AM923" s="49"/>
      <c r="AN923" s="49"/>
      <c r="AO923" s="49"/>
      <c r="AP923" s="49"/>
      <c r="AQ923" s="49"/>
      <c r="AR923" s="49"/>
      <c r="AS923" s="49"/>
      <c r="AT923" s="49"/>
      <c r="AU923" s="49"/>
      <c r="AV923" s="49"/>
      <c r="AW923" s="49"/>
      <c r="AX923" s="49"/>
    </row>
    <row r="924">
      <c r="A924" s="49"/>
      <c r="B924" s="49"/>
      <c r="C924" s="49"/>
      <c r="D924" s="50"/>
      <c r="E924" s="50"/>
      <c r="F924" s="50"/>
      <c r="G924" s="50"/>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c r="AF924" s="49"/>
      <c r="AG924" s="49"/>
      <c r="AH924" s="49"/>
      <c r="AI924" s="49"/>
      <c r="AJ924" s="49"/>
      <c r="AK924" s="49"/>
      <c r="AL924" s="49"/>
      <c r="AM924" s="49"/>
      <c r="AN924" s="49"/>
      <c r="AO924" s="49"/>
      <c r="AP924" s="49"/>
      <c r="AQ924" s="49"/>
      <c r="AR924" s="49"/>
      <c r="AS924" s="49"/>
      <c r="AT924" s="49"/>
      <c r="AU924" s="49"/>
      <c r="AV924" s="49"/>
      <c r="AW924" s="49"/>
      <c r="AX924" s="49"/>
    </row>
    <row r="925">
      <c r="A925" s="49"/>
      <c r="B925" s="49"/>
      <c r="C925" s="49"/>
      <c r="D925" s="50"/>
      <c r="E925" s="50"/>
      <c r="F925" s="50"/>
      <c r="G925" s="50"/>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c r="AF925" s="49"/>
      <c r="AG925" s="49"/>
      <c r="AH925" s="49"/>
      <c r="AI925" s="49"/>
      <c r="AJ925" s="49"/>
      <c r="AK925" s="49"/>
      <c r="AL925" s="49"/>
      <c r="AM925" s="49"/>
      <c r="AN925" s="49"/>
      <c r="AO925" s="49"/>
      <c r="AP925" s="49"/>
      <c r="AQ925" s="49"/>
      <c r="AR925" s="49"/>
      <c r="AS925" s="49"/>
      <c r="AT925" s="49"/>
      <c r="AU925" s="49"/>
      <c r="AV925" s="49"/>
      <c r="AW925" s="49"/>
      <c r="AX925" s="49"/>
    </row>
    <row r="926">
      <c r="A926" s="49"/>
      <c r="B926" s="49"/>
      <c r="C926" s="49"/>
      <c r="D926" s="50"/>
      <c r="E926" s="50"/>
      <c r="F926" s="50"/>
      <c r="G926" s="50"/>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c r="AF926" s="49"/>
      <c r="AG926" s="49"/>
      <c r="AH926" s="49"/>
      <c r="AI926" s="49"/>
      <c r="AJ926" s="49"/>
      <c r="AK926" s="49"/>
      <c r="AL926" s="49"/>
      <c r="AM926" s="49"/>
      <c r="AN926" s="49"/>
      <c r="AO926" s="49"/>
      <c r="AP926" s="49"/>
      <c r="AQ926" s="49"/>
      <c r="AR926" s="49"/>
      <c r="AS926" s="49"/>
      <c r="AT926" s="49"/>
      <c r="AU926" s="49"/>
      <c r="AV926" s="49"/>
      <c r="AW926" s="49"/>
      <c r="AX926" s="49"/>
    </row>
    <row r="927">
      <c r="A927" s="49"/>
      <c r="B927" s="49"/>
      <c r="C927" s="49"/>
      <c r="D927" s="50"/>
      <c r="E927" s="50"/>
      <c r="F927" s="50"/>
      <c r="G927" s="50"/>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c r="AF927" s="49"/>
      <c r="AG927" s="49"/>
      <c r="AH927" s="49"/>
      <c r="AI927" s="49"/>
      <c r="AJ927" s="49"/>
      <c r="AK927" s="49"/>
      <c r="AL927" s="49"/>
      <c r="AM927" s="49"/>
      <c r="AN927" s="49"/>
      <c r="AO927" s="49"/>
      <c r="AP927" s="49"/>
      <c r="AQ927" s="49"/>
      <c r="AR927" s="49"/>
      <c r="AS927" s="49"/>
      <c r="AT927" s="49"/>
      <c r="AU927" s="49"/>
      <c r="AV927" s="49"/>
      <c r="AW927" s="49"/>
      <c r="AX927" s="49"/>
    </row>
    <row r="928">
      <c r="A928" s="49"/>
      <c r="B928" s="49"/>
      <c r="C928" s="49"/>
      <c r="D928" s="50"/>
      <c r="E928" s="50"/>
      <c r="F928" s="50"/>
      <c r="G928" s="50"/>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c r="AF928" s="49"/>
      <c r="AG928" s="49"/>
      <c r="AH928" s="49"/>
      <c r="AI928" s="49"/>
      <c r="AJ928" s="49"/>
      <c r="AK928" s="49"/>
      <c r="AL928" s="49"/>
      <c r="AM928" s="49"/>
      <c r="AN928" s="49"/>
      <c r="AO928" s="49"/>
      <c r="AP928" s="49"/>
      <c r="AQ928" s="49"/>
      <c r="AR928" s="49"/>
      <c r="AS928" s="49"/>
      <c r="AT928" s="49"/>
      <c r="AU928" s="49"/>
      <c r="AV928" s="49"/>
      <c r="AW928" s="49"/>
      <c r="AX928" s="49"/>
    </row>
    <row r="929">
      <c r="A929" s="49"/>
      <c r="B929" s="49"/>
      <c r="C929" s="49"/>
      <c r="D929" s="50"/>
      <c r="E929" s="50"/>
      <c r="F929" s="50"/>
      <c r="G929" s="50"/>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c r="AF929" s="49"/>
      <c r="AG929" s="49"/>
      <c r="AH929" s="49"/>
      <c r="AI929" s="49"/>
      <c r="AJ929" s="49"/>
      <c r="AK929" s="49"/>
      <c r="AL929" s="49"/>
      <c r="AM929" s="49"/>
      <c r="AN929" s="49"/>
      <c r="AO929" s="49"/>
      <c r="AP929" s="49"/>
      <c r="AQ929" s="49"/>
      <c r="AR929" s="49"/>
      <c r="AS929" s="49"/>
      <c r="AT929" s="49"/>
      <c r="AU929" s="49"/>
      <c r="AV929" s="49"/>
      <c r="AW929" s="49"/>
      <c r="AX929" s="49"/>
    </row>
    <row r="930">
      <c r="A930" s="49"/>
      <c r="B930" s="49"/>
      <c r="C930" s="49"/>
      <c r="D930" s="50"/>
      <c r="E930" s="50"/>
      <c r="F930" s="50"/>
      <c r="G930" s="50"/>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c r="AF930" s="49"/>
      <c r="AG930" s="49"/>
      <c r="AH930" s="49"/>
      <c r="AI930" s="49"/>
      <c r="AJ930" s="49"/>
      <c r="AK930" s="49"/>
      <c r="AL930" s="49"/>
      <c r="AM930" s="49"/>
      <c r="AN930" s="49"/>
      <c r="AO930" s="49"/>
      <c r="AP930" s="49"/>
      <c r="AQ930" s="49"/>
      <c r="AR930" s="49"/>
      <c r="AS930" s="49"/>
      <c r="AT930" s="49"/>
      <c r="AU930" s="49"/>
      <c r="AV930" s="49"/>
      <c r="AW930" s="49"/>
      <c r="AX930" s="49"/>
    </row>
    <row r="931">
      <c r="A931" s="49"/>
      <c r="B931" s="49"/>
      <c r="C931" s="49"/>
      <c r="D931" s="50"/>
      <c r="E931" s="50"/>
      <c r="F931" s="50"/>
      <c r="G931" s="50"/>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c r="AF931" s="49"/>
      <c r="AG931" s="49"/>
      <c r="AH931" s="49"/>
      <c r="AI931" s="49"/>
      <c r="AJ931" s="49"/>
      <c r="AK931" s="49"/>
      <c r="AL931" s="49"/>
      <c r="AM931" s="49"/>
      <c r="AN931" s="49"/>
      <c r="AO931" s="49"/>
      <c r="AP931" s="49"/>
      <c r="AQ931" s="49"/>
      <c r="AR931" s="49"/>
      <c r="AS931" s="49"/>
      <c r="AT931" s="49"/>
      <c r="AU931" s="49"/>
      <c r="AV931" s="49"/>
      <c r="AW931" s="49"/>
      <c r="AX931" s="49"/>
    </row>
    <row r="932">
      <c r="A932" s="49"/>
      <c r="B932" s="49"/>
      <c r="C932" s="49"/>
      <c r="D932" s="50"/>
      <c r="E932" s="50"/>
      <c r="F932" s="50"/>
      <c r="G932" s="50"/>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c r="AF932" s="49"/>
      <c r="AG932" s="49"/>
      <c r="AH932" s="49"/>
      <c r="AI932" s="49"/>
      <c r="AJ932" s="49"/>
      <c r="AK932" s="49"/>
      <c r="AL932" s="49"/>
      <c r="AM932" s="49"/>
      <c r="AN932" s="49"/>
      <c r="AO932" s="49"/>
      <c r="AP932" s="49"/>
      <c r="AQ932" s="49"/>
      <c r="AR932" s="49"/>
      <c r="AS932" s="49"/>
      <c r="AT932" s="49"/>
      <c r="AU932" s="49"/>
      <c r="AV932" s="49"/>
      <c r="AW932" s="49"/>
      <c r="AX932" s="49"/>
    </row>
    <row r="933">
      <c r="A933" s="49"/>
      <c r="B933" s="49"/>
      <c r="C933" s="49"/>
      <c r="D933" s="50"/>
      <c r="E933" s="50"/>
      <c r="F933" s="50"/>
      <c r="G933" s="50"/>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c r="AF933" s="49"/>
      <c r="AG933" s="49"/>
      <c r="AH933" s="49"/>
      <c r="AI933" s="49"/>
      <c r="AJ933" s="49"/>
      <c r="AK933" s="49"/>
      <c r="AL933" s="49"/>
      <c r="AM933" s="49"/>
      <c r="AN933" s="49"/>
      <c r="AO933" s="49"/>
      <c r="AP933" s="49"/>
      <c r="AQ933" s="49"/>
      <c r="AR933" s="49"/>
      <c r="AS933" s="49"/>
      <c r="AT933" s="49"/>
      <c r="AU933" s="49"/>
      <c r="AV933" s="49"/>
      <c r="AW933" s="49"/>
      <c r="AX933" s="49"/>
    </row>
    <row r="934">
      <c r="A934" s="49"/>
      <c r="B934" s="49"/>
      <c r="C934" s="49"/>
      <c r="D934" s="50"/>
      <c r="E934" s="50"/>
      <c r="F934" s="50"/>
      <c r="G934" s="50"/>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c r="AF934" s="49"/>
      <c r="AG934" s="49"/>
      <c r="AH934" s="49"/>
      <c r="AI934" s="49"/>
      <c r="AJ934" s="49"/>
      <c r="AK934" s="49"/>
      <c r="AL934" s="49"/>
      <c r="AM934" s="49"/>
      <c r="AN934" s="49"/>
      <c r="AO934" s="49"/>
      <c r="AP934" s="49"/>
      <c r="AQ934" s="49"/>
      <c r="AR934" s="49"/>
      <c r="AS934" s="49"/>
      <c r="AT934" s="49"/>
      <c r="AU934" s="49"/>
      <c r="AV934" s="49"/>
      <c r="AW934" s="49"/>
      <c r="AX934" s="49"/>
    </row>
    <row r="935">
      <c r="A935" s="49"/>
      <c r="B935" s="49"/>
      <c r="C935" s="49"/>
      <c r="D935" s="50"/>
      <c r="E935" s="50"/>
      <c r="F935" s="50"/>
      <c r="G935" s="50"/>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c r="AF935" s="49"/>
      <c r="AG935" s="49"/>
      <c r="AH935" s="49"/>
      <c r="AI935" s="49"/>
      <c r="AJ935" s="49"/>
      <c r="AK935" s="49"/>
      <c r="AL935" s="49"/>
      <c r="AM935" s="49"/>
      <c r="AN935" s="49"/>
      <c r="AO935" s="49"/>
      <c r="AP935" s="49"/>
      <c r="AQ935" s="49"/>
      <c r="AR935" s="49"/>
      <c r="AS935" s="49"/>
      <c r="AT935" s="49"/>
      <c r="AU935" s="49"/>
      <c r="AV935" s="49"/>
      <c r="AW935" s="49"/>
      <c r="AX935" s="49"/>
    </row>
    <row r="936">
      <c r="A936" s="49"/>
      <c r="B936" s="49"/>
      <c r="C936" s="49"/>
      <c r="D936" s="50"/>
      <c r="E936" s="50"/>
      <c r="F936" s="50"/>
      <c r="G936" s="50"/>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c r="AF936" s="49"/>
      <c r="AG936" s="49"/>
      <c r="AH936" s="49"/>
      <c r="AI936" s="49"/>
      <c r="AJ936" s="49"/>
      <c r="AK936" s="49"/>
      <c r="AL936" s="49"/>
      <c r="AM936" s="49"/>
      <c r="AN936" s="49"/>
      <c r="AO936" s="49"/>
      <c r="AP936" s="49"/>
      <c r="AQ936" s="49"/>
      <c r="AR936" s="49"/>
      <c r="AS936" s="49"/>
      <c r="AT936" s="49"/>
      <c r="AU936" s="49"/>
      <c r="AV936" s="49"/>
      <c r="AW936" s="49"/>
      <c r="AX936" s="49"/>
    </row>
    <row r="937">
      <c r="A937" s="49"/>
      <c r="B937" s="49"/>
      <c r="C937" s="49"/>
      <c r="D937" s="50"/>
      <c r="E937" s="50"/>
      <c r="F937" s="50"/>
      <c r="G937" s="50"/>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c r="AF937" s="49"/>
      <c r="AG937" s="49"/>
      <c r="AH937" s="49"/>
      <c r="AI937" s="49"/>
      <c r="AJ937" s="49"/>
      <c r="AK937" s="49"/>
      <c r="AL937" s="49"/>
      <c r="AM937" s="49"/>
      <c r="AN937" s="49"/>
      <c r="AO937" s="49"/>
      <c r="AP937" s="49"/>
      <c r="AQ937" s="49"/>
      <c r="AR937" s="49"/>
      <c r="AS937" s="49"/>
      <c r="AT937" s="49"/>
      <c r="AU937" s="49"/>
      <c r="AV937" s="49"/>
      <c r="AW937" s="49"/>
      <c r="AX937" s="49"/>
    </row>
    <row r="938">
      <c r="A938" s="49"/>
      <c r="B938" s="49"/>
      <c r="C938" s="49"/>
      <c r="D938" s="50"/>
      <c r="E938" s="50"/>
      <c r="F938" s="50"/>
      <c r="G938" s="50"/>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c r="AF938" s="49"/>
      <c r="AG938" s="49"/>
      <c r="AH938" s="49"/>
      <c r="AI938" s="49"/>
      <c r="AJ938" s="49"/>
      <c r="AK938" s="49"/>
      <c r="AL938" s="49"/>
      <c r="AM938" s="49"/>
      <c r="AN938" s="49"/>
      <c r="AO938" s="49"/>
      <c r="AP938" s="49"/>
      <c r="AQ938" s="49"/>
      <c r="AR938" s="49"/>
      <c r="AS938" s="49"/>
      <c r="AT938" s="49"/>
      <c r="AU938" s="49"/>
      <c r="AV938" s="49"/>
      <c r="AW938" s="49"/>
      <c r="AX938" s="49"/>
    </row>
    <row r="939">
      <c r="A939" s="49"/>
      <c r="B939" s="49"/>
      <c r="C939" s="49"/>
      <c r="D939" s="50"/>
      <c r="E939" s="50"/>
      <c r="F939" s="50"/>
      <c r="G939" s="50"/>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c r="AF939" s="49"/>
      <c r="AG939" s="49"/>
      <c r="AH939" s="49"/>
      <c r="AI939" s="49"/>
      <c r="AJ939" s="49"/>
      <c r="AK939" s="49"/>
      <c r="AL939" s="49"/>
      <c r="AM939" s="49"/>
      <c r="AN939" s="49"/>
      <c r="AO939" s="49"/>
      <c r="AP939" s="49"/>
      <c r="AQ939" s="49"/>
      <c r="AR939" s="49"/>
      <c r="AS939" s="49"/>
      <c r="AT939" s="49"/>
      <c r="AU939" s="49"/>
      <c r="AV939" s="49"/>
      <c r="AW939" s="49"/>
      <c r="AX939" s="49"/>
    </row>
    <row r="940">
      <c r="A940" s="49"/>
      <c r="B940" s="49"/>
      <c r="C940" s="49"/>
      <c r="D940" s="50"/>
      <c r="E940" s="50"/>
      <c r="F940" s="50"/>
      <c r="G940" s="50"/>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c r="AF940" s="49"/>
      <c r="AG940" s="49"/>
      <c r="AH940" s="49"/>
      <c r="AI940" s="49"/>
      <c r="AJ940" s="49"/>
      <c r="AK940" s="49"/>
      <c r="AL940" s="49"/>
      <c r="AM940" s="49"/>
      <c r="AN940" s="49"/>
      <c r="AO940" s="49"/>
      <c r="AP940" s="49"/>
      <c r="AQ940" s="49"/>
      <c r="AR940" s="49"/>
      <c r="AS940" s="49"/>
      <c r="AT940" s="49"/>
      <c r="AU940" s="49"/>
      <c r="AV940" s="49"/>
      <c r="AW940" s="49"/>
      <c r="AX940" s="49"/>
    </row>
    <row r="941">
      <c r="A941" s="49"/>
      <c r="B941" s="49"/>
      <c r="C941" s="49"/>
      <c r="D941" s="50"/>
      <c r="E941" s="50"/>
      <c r="F941" s="50"/>
      <c r="G941" s="50"/>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c r="AF941" s="49"/>
      <c r="AG941" s="49"/>
      <c r="AH941" s="49"/>
      <c r="AI941" s="49"/>
      <c r="AJ941" s="49"/>
      <c r="AK941" s="49"/>
      <c r="AL941" s="49"/>
      <c r="AM941" s="49"/>
      <c r="AN941" s="49"/>
      <c r="AO941" s="49"/>
      <c r="AP941" s="49"/>
      <c r="AQ941" s="49"/>
      <c r="AR941" s="49"/>
      <c r="AS941" s="49"/>
      <c r="AT941" s="49"/>
      <c r="AU941" s="49"/>
      <c r="AV941" s="49"/>
      <c r="AW941" s="49"/>
      <c r="AX941" s="49"/>
    </row>
    <row r="942">
      <c r="A942" s="49"/>
      <c r="B942" s="49"/>
      <c r="C942" s="49"/>
      <c r="D942" s="50"/>
      <c r="E942" s="50"/>
      <c r="F942" s="50"/>
      <c r="G942" s="50"/>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c r="AF942" s="49"/>
      <c r="AG942" s="49"/>
      <c r="AH942" s="49"/>
      <c r="AI942" s="49"/>
      <c r="AJ942" s="49"/>
      <c r="AK942" s="49"/>
      <c r="AL942" s="49"/>
      <c r="AM942" s="49"/>
      <c r="AN942" s="49"/>
      <c r="AO942" s="49"/>
      <c r="AP942" s="49"/>
      <c r="AQ942" s="49"/>
      <c r="AR942" s="49"/>
      <c r="AS942" s="49"/>
      <c r="AT942" s="49"/>
      <c r="AU942" s="49"/>
      <c r="AV942" s="49"/>
      <c r="AW942" s="49"/>
      <c r="AX942" s="49"/>
    </row>
    <row r="943">
      <c r="A943" s="49"/>
      <c r="B943" s="49"/>
      <c r="C943" s="49"/>
      <c r="D943" s="50"/>
      <c r="E943" s="50"/>
      <c r="F943" s="50"/>
      <c r="G943" s="50"/>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c r="AF943" s="49"/>
      <c r="AG943" s="49"/>
      <c r="AH943" s="49"/>
      <c r="AI943" s="49"/>
      <c r="AJ943" s="49"/>
      <c r="AK943" s="49"/>
      <c r="AL943" s="49"/>
      <c r="AM943" s="49"/>
      <c r="AN943" s="49"/>
      <c r="AO943" s="49"/>
      <c r="AP943" s="49"/>
      <c r="AQ943" s="49"/>
      <c r="AR943" s="49"/>
      <c r="AS943" s="49"/>
      <c r="AT943" s="49"/>
      <c r="AU943" s="49"/>
      <c r="AV943" s="49"/>
      <c r="AW943" s="49"/>
      <c r="AX943" s="49"/>
    </row>
    <row r="944">
      <c r="A944" s="49"/>
      <c r="B944" s="49"/>
      <c r="C944" s="49"/>
      <c r="D944" s="50"/>
      <c r="E944" s="50"/>
      <c r="F944" s="50"/>
      <c r="G944" s="50"/>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c r="AF944" s="49"/>
      <c r="AG944" s="49"/>
      <c r="AH944" s="49"/>
      <c r="AI944" s="49"/>
      <c r="AJ944" s="49"/>
      <c r="AK944" s="49"/>
      <c r="AL944" s="49"/>
      <c r="AM944" s="49"/>
      <c r="AN944" s="49"/>
      <c r="AO944" s="49"/>
      <c r="AP944" s="49"/>
      <c r="AQ944" s="49"/>
      <c r="AR944" s="49"/>
      <c r="AS944" s="49"/>
      <c r="AT944" s="49"/>
      <c r="AU944" s="49"/>
      <c r="AV944" s="49"/>
      <c r="AW944" s="49"/>
      <c r="AX944" s="49"/>
    </row>
    <row r="945">
      <c r="A945" s="49"/>
      <c r="B945" s="49"/>
      <c r="C945" s="49"/>
      <c r="D945" s="50"/>
      <c r="E945" s="50"/>
      <c r="F945" s="50"/>
      <c r="G945" s="50"/>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c r="AF945" s="49"/>
      <c r="AG945" s="49"/>
      <c r="AH945" s="49"/>
      <c r="AI945" s="49"/>
      <c r="AJ945" s="49"/>
      <c r="AK945" s="49"/>
      <c r="AL945" s="49"/>
      <c r="AM945" s="49"/>
      <c r="AN945" s="49"/>
      <c r="AO945" s="49"/>
      <c r="AP945" s="49"/>
      <c r="AQ945" s="49"/>
      <c r="AR945" s="49"/>
      <c r="AS945" s="49"/>
      <c r="AT945" s="49"/>
      <c r="AU945" s="49"/>
      <c r="AV945" s="49"/>
      <c r="AW945" s="49"/>
      <c r="AX945" s="49"/>
    </row>
    <row r="946">
      <c r="A946" s="49"/>
      <c r="B946" s="49"/>
      <c r="C946" s="49"/>
      <c r="D946" s="50"/>
      <c r="E946" s="50"/>
      <c r="F946" s="50"/>
      <c r="G946" s="50"/>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c r="AF946" s="49"/>
      <c r="AG946" s="49"/>
      <c r="AH946" s="49"/>
      <c r="AI946" s="49"/>
      <c r="AJ946" s="49"/>
      <c r="AK946" s="49"/>
      <c r="AL946" s="49"/>
      <c r="AM946" s="49"/>
      <c r="AN946" s="49"/>
      <c r="AO946" s="49"/>
      <c r="AP946" s="49"/>
      <c r="AQ946" s="49"/>
      <c r="AR946" s="49"/>
      <c r="AS946" s="49"/>
      <c r="AT946" s="49"/>
      <c r="AU946" s="49"/>
      <c r="AV946" s="49"/>
      <c r="AW946" s="49"/>
      <c r="AX946" s="49"/>
    </row>
    <row r="947">
      <c r="A947" s="49"/>
      <c r="B947" s="49"/>
      <c r="C947" s="49"/>
      <c r="D947" s="50"/>
      <c r="E947" s="50"/>
      <c r="F947" s="50"/>
      <c r="G947" s="50"/>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c r="AF947" s="49"/>
      <c r="AG947" s="49"/>
      <c r="AH947" s="49"/>
      <c r="AI947" s="49"/>
      <c r="AJ947" s="49"/>
      <c r="AK947" s="49"/>
      <c r="AL947" s="49"/>
      <c r="AM947" s="49"/>
      <c r="AN947" s="49"/>
      <c r="AO947" s="49"/>
      <c r="AP947" s="49"/>
      <c r="AQ947" s="49"/>
      <c r="AR947" s="49"/>
      <c r="AS947" s="49"/>
      <c r="AT947" s="49"/>
      <c r="AU947" s="49"/>
      <c r="AV947" s="49"/>
      <c r="AW947" s="49"/>
      <c r="AX947" s="49"/>
    </row>
    <row r="948">
      <c r="A948" s="49"/>
      <c r="B948" s="49"/>
      <c r="C948" s="49"/>
      <c r="D948" s="50"/>
      <c r="E948" s="50"/>
      <c r="F948" s="50"/>
      <c r="G948" s="50"/>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c r="AF948" s="49"/>
      <c r="AG948" s="49"/>
      <c r="AH948" s="49"/>
      <c r="AI948" s="49"/>
      <c r="AJ948" s="49"/>
      <c r="AK948" s="49"/>
      <c r="AL948" s="49"/>
      <c r="AM948" s="49"/>
      <c r="AN948" s="49"/>
      <c r="AO948" s="49"/>
      <c r="AP948" s="49"/>
      <c r="AQ948" s="49"/>
      <c r="AR948" s="49"/>
      <c r="AS948" s="49"/>
      <c r="AT948" s="49"/>
      <c r="AU948" s="49"/>
      <c r="AV948" s="49"/>
      <c r="AW948" s="49"/>
      <c r="AX948" s="49"/>
    </row>
    <row r="949">
      <c r="A949" s="49"/>
      <c r="B949" s="49"/>
      <c r="C949" s="49"/>
      <c r="D949" s="50"/>
      <c r="E949" s="50"/>
      <c r="F949" s="50"/>
      <c r="G949" s="50"/>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c r="AF949" s="49"/>
      <c r="AG949" s="49"/>
      <c r="AH949" s="49"/>
      <c r="AI949" s="49"/>
      <c r="AJ949" s="49"/>
      <c r="AK949" s="49"/>
      <c r="AL949" s="49"/>
      <c r="AM949" s="49"/>
      <c r="AN949" s="49"/>
      <c r="AO949" s="49"/>
      <c r="AP949" s="49"/>
      <c r="AQ949" s="49"/>
      <c r="AR949" s="49"/>
      <c r="AS949" s="49"/>
      <c r="AT949" s="49"/>
      <c r="AU949" s="49"/>
      <c r="AV949" s="49"/>
      <c r="AW949" s="49"/>
      <c r="AX949" s="49"/>
    </row>
    <row r="950">
      <c r="A950" s="49"/>
      <c r="B950" s="49"/>
      <c r="C950" s="49"/>
      <c r="D950" s="50"/>
      <c r="E950" s="50"/>
      <c r="F950" s="50"/>
      <c r="G950" s="50"/>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c r="AF950" s="49"/>
      <c r="AG950" s="49"/>
      <c r="AH950" s="49"/>
      <c r="AI950" s="49"/>
      <c r="AJ950" s="49"/>
      <c r="AK950" s="49"/>
      <c r="AL950" s="49"/>
      <c r="AM950" s="49"/>
      <c r="AN950" s="49"/>
      <c r="AO950" s="49"/>
      <c r="AP950" s="49"/>
      <c r="AQ950" s="49"/>
      <c r="AR950" s="49"/>
      <c r="AS950" s="49"/>
      <c r="AT950" s="49"/>
      <c r="AU950" s="49"/>
      <c r="AV950" s="49"/>
      <c r="AW950" s="49"/>
      <c r="AX950" s="49"/>
    </row>
    <row r="951">
      <c r="A951" s="49"/>
      <c r="B951" s="49"/>
      <c r="C951" s="49"/>
      <c r="D951" s="50"/>
      <c r="E951" s="50"/>
      <c r="F951" s="50"/>
      <c r="G951" s="50"/>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c r="AF951" s="49"/>
      <c r="AG951" s="49"/>
      <c r="AH951" s="49"/>
      <c r="AI951" s="49"/>
      <c r="AJ951" s="49"/>
      <c r="AK951" s="49"/>
      <c r="AL951" s="49"/>
      <c r="AM951" s="49"/>
      <c r="AN951" s="49"/>
      <c r="AO951" s="49"/>
      <c r="AP951" s="49"/>
      <c r="AQ951" s="49"/>
      <c r="AR951" s="49"/>
      <c r="AS951" s="49"/>
      <c r="AT951" s="49"/>
      <c r="AU951" s="49"/>
      <c r="AV951" s="49"/>
      <c r="AW951" s="49"/>
      <c r="AX951" s="49"/>
    </row>
    <row r="952">
      <c r="A952" s="49"/>
      <c r="B952" s="49"/>
      <c r="C952" s="49"/>
      <c r="D952" s="50"/>
      <c r="E952" s="50"/>
      <c r="F952" s="50"/>
      <c r="G952" s="50"/>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c r="AF952" s="49"/>
      <c r="AG952" s="49"/>
      <c r="AH952" s="49"/>
      <c r="AI952" s="49"/>
      <c r="AJ952" s="49"/>
      <c r="AK952" s="49"/>
      <c r="AL952" s="49"/>
      <c r="AM952" s="49"/>
      <c r="AN952" s="49"/>
      <c r="AO952" s="49"/>
      <c r="AP952" s="49"/>
      <c r="AQ952" s="49"/>
      <c r="AR952" s="49"/>
      <c r="AS952" s="49"/>
      <c r="AT952" s="49"/>
      <c r="AU952" s="49"/>
      <c r="AV952" s="49"/>
      <c r="AW952" s="49"/>
      <c r="AX952" s="49"/>
    </row>
    <row r="953">
      <c r="A953" s="49"/>
      <c r="B953" s="49"/>
      <c r="C953" s="49"/>
      <c r="D953" s="50"/>
      <c r="E953" s="50"/>
      <c r="F953" s="50"/>
      <c r="G953" s="50"/>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c r="AF953" s="49"/>
      <c r="AG953" s="49"/>
      <c r="AH953" s="49"/>
      <c r="AI953" s="49"/>
      <c r="AJ953" s="49"/>
      <c r="AK953" s="49"/>
      <c r="AL953" s="49"/>
      <c r="AM953" s="49"/>
      <c r="AN953" s="49"/>
      <c r="AO953" s="49"/>
      <c r="AP953" s="49"/>
      <c r="AQ953" s="49"/>
      <c r="AR953" s="49"/>
      <c r="AS953" s="49"/>
      <c r="AT953" s="49"/>
      <c r="AU953" s="49"/>
      <c r="AV953" s="49"/>
      <c r="AW953" s="49"/>
      <c r="AX953" s="49"/>
    </row>
    <row r="954">
      <c r="A954" s="49"/>
      <c r="B954" s="49"/>
      <c r="C954" s="49"/>
      <c r="D954" s="50"/>
      <c r="E954" s="50"/>
      <c r="F954" s="50"/>
      <c r="G954" s="50"/>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c r="AF954" s="49"/>
      <c r="AG954" s="49"/>
      <c r="AH954" s="49"/>
      <c r="AI954" s="49"/>
      <c r="AJ954" s="49"/>
      <c r="AK954" s="49"/>
      <c r="AL954" s="49"/>
      <c r="AM954" s="49"/>
      <c r="AN954" s="49"/>
      <c r="AO954" s="49"/>
      <c r="AP954" s="49"/>
      <c r="AQ954" s="49"/>
      <c r="AR954" s="49"/>
      <c r="AS954" s="49"/>
      <c r="AT954" s="49"/>
      <c r="AU954" s="49"/>
      <c r="AV954" s="49"/>
      <c r="AW954" s="49"/>
      <c r="AX954" s="49"/>
    </row>
    <row r="955">
      <c r="A955" s="49"/>
      <c r="B955" s="49"/>
      <c r="C955" s="49"/>
      <c r="D955" s="50"/>
      <c r="E955" s="50"/>
      <c r="F955" s="50"/>
      <c r="G955" s="50"/>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c r="AF955" s="49"/>
      <c r="AG955" s="49"/>
      <c r="AH955" s="49"/>
      <c r="AI955" s="49"/>
      <c r="AJ955" s="49"/>
      <c r="AK955" s="49"/>
      <c r="AL955" s="49"/>
      <c r="AM955" s="49"/>
      <c r="AN955" s="49"/>
      <c r="AO955" s="49"/>
      <c r="AP955" s="49"/>
      <c r="AQ955" s="49"/>
      <c r="AR955" s="49"/>
      <c r="AS955" s="49"/>
      <c r="AT955" s="49"/>
      <c r="AU955" s="49"/>
      <c r="AV955" s="49"/>
      <c r="AW955" s="49"/>
      <c r="AX955" s="49"/>
    </row>
    <row r="956">
      <c r="A956" s="49"/>
      <c r="B956" s="49"/>
      <c r="C956" s="49"/>
      <c r="D956" s="50"/>
      <c r="E956" s="50"/>
      <c r="F956" s="50"/>
      <c r="G956" s="50"/>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c r="AF956" s="49"/>
      <c r="AG956" s="49"/>
      <c r="AH956" s="49"/>
      <c r="AI956" s="49"/>
      <c r="AJ956" s="49"/>
      <c r="AK956" s="49"/>
      <c r="AL956" s="49"/>
      <c r="AM956" s="49"/>
      <c r="AN956" s="49"/>
      <c r="AO956" s="49"/>
      <c r="AP956" s="49"/>
      <c r="AQ956" s="49"/>
      <c r="AR956" s="49"/>
      <c r="AS956" s="49"/>
      <c r="AT956" s="49"/>
      <c r="AU956" s="49"/>
      <c r="AV956" s="49"/>
      <c r="AW956" s="49"/>
      <c r="AX956" s="49"/>
    </row>
    <row r="957">
      <c r="A957" s="49"/>
      <c r="B957" s="49"/>
      <c r="C957" s="49"/>
      <c r="D957" s="50"/>
      <c r="E957" s="50"/>
      <c r="F957" s="50"/>
      <c r="G957" s="50"/>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c r="AF957" s="49"/>
      <c r="AG957" s="49"/>
      <c r="AH957" s="49"/>
      <c r="AI957" s="49"/>
      <c r="AJ957" s="49"/>
      <c r="AK957" s="49"/>
      <c r="AL957" s="49"/>
      <c r="AM957" s="49"/>
      <c r="AN957" s="49"/>
      <c r="AO957" s="49"/>
      <c r="AP957" s="49"/>
      <c r="AQ957" s="49"/>
      <c r="AR957" s="49"/>
      <c r="AS957" s="49"/>
      <c r="AT957" s="49"/>
      <c r="AU957" s="49"/>
      <c r="AV957" s="49"/>
      <c r="AW957" s="49"/>
      <c r="AX957" s="49"/>
    </row>
    <row r="958">
      <c r="A958" s="49"/>
      <c r="B958" s="49"/>
      <c r="C958" s="49"/>
      <c r="D958" s="50"/>
      <c r="E958" s="50"/>
      <c r="F958" s="50"/>
      <c r="G958" s="50"/>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c r="AF958" s="49"/>
      <c r="AG958" s="49"/>
      <c r="AH958" s="49"/>
      <c r="AI958" s="49"/>
      <c r="AJ958" s="49"/>
      <c r="AK958" s="49"/>
      <c r="AL958" s="49"/>
      <c r="AM958" s="49"/>
      <c r="AN958" s="49"/>
      <c r="AO958" s="49"/>
      <c r="AP958" s="49"/>
      <c r="AQ958" s="49"/>
      <c r="AR958" s="49"/>
      <c r="AS958" s="49"/>
      <c r="AT958" s="49"/>
      <c r="AU958" s="49"/>
      <c r="AV958" s="49"/>
      <c r="AW958" s="49"/>
      <c r="AX958" s="49"/>
    </row>
    <row r="959">
      <c r="A959" s="49"/>
      <c r="B959" s="49"/>
      <c r="C959" s="49"/>
      <c r="D959" s="50"/>
      <c r="E959" s="50"/>
      <c r="F959" s="50"/>
      <c r="G959" s="50"/>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c r="AF959" s="49"/>
      <c r="AG959" s="49"/>
      <c r="AH959" s="49"/>
      <c r="AI959" s="49"/>
      <c r="AJ959" s="49"/>
      <c r="AK959" s="49"/>
      <c r="AL959" s="49"/>
      <c r="AM959" s="49"/>
      <c r="AN959" s="49"/>
      <c r="AO959" s="49"/>
      <c r="AP959" s="49"/>
      <c r="AQ959" s="49"/>
      <c r="AR959" s="49"/>
      <c r="AS959" s="49"/>
      <c r="AT959" s="49"/>
      <c r="AU959" s="49"/>
      <c r="AV959" s="49"/>
      <c r="AW959" s="49"/>
      <c r="AX959" s="49"/>
    </row>
    <row r="960">
      <c r="A960" s="49"/>
      <c r="B960" s="49"/>
      <c r="C960" s="49"/>
      <c r="D960" s="50"/>
      <c r="E960" s="50"/>
      <c r="F960" s="50"/>
      <c r="G960" s="50"/>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c r="AF960" s="49"/>
      <c r="AG960" s="49"/>
      <c r="AH960" s="49"/>
      <c r="AI960" s="49"/>
      <c r="AJ960" s="49"/>
      <c r="AK960" s="49"/>
      <c r="AL960" s="49"/>
      <c r="AM960" s="49"/>
      <c r="AN960" s="49"/>
      <c r="AO960" s="49"/>
      <c r="AP960" s="49"/>
      <c r="AQ960" s="49"/>
      <c r="AR960" s="49"/>
      <c r="AS960" s="49"/>
      <c r="AT960" s="49"/>
      <c r="AU960" s="49"/>
      <c r="AV960" s="49"/>
      <c r="AW960" s="49"/>
      <c r="AX960" s="49"/>
    </row>
    <row r="961">
      <c r="A961" s="49"/>
      <c r="B961" s="49"/>
      <c r="C961" s="49"/>
      <c r="D961" s="50"/>
      <c r="E961" s="50"/>
      <c r="F961" s="50"/>
      <c r="G961" s="50"/>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c r="AF961" s="49"/>
      <c r="AG961" s="49"/>
      <c r="AH961" s="49"/>
      <c r="AI961" s="49"/>
      <c r="AJ961" s="49"/>
      <c r="AK961" s="49"/>
      <c r="AL961" s="49"/>
      <c r="AM961" s="49"/>
      <c r="AN961" s="49"/>
      <c r="AO961" s="49"/>
      <c r="AP961" s="49"/>
      <c r="AQ961" s="49"/>
      <c r="AR961" s="49"/>
      <c r="AS961" s="49"/>
      <c r="AT961" s="49"/>
      <c r="AU961" s="49"/>
      <c r="AV961" s="49"/>
      <c r="AW961" s="49"/>
      <c r="AX961" s="49"/>
    </row>
    <row r="962">
      <c r="A962" s="49"/>
      <c r="B962" s="49"/>
      <c r="C962" s="49"/>
      <c r="D962" s="50"/>
      <c r="E962" s="50"/>
      <c r="F962" s="50"/>
      <c r="G962" s="50"/>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c r="AF962" s="49"/>
      <c r="AG962" s="49"/>
      <c r="AH962" s="49"/>
      <c r="AI962" s="49"/>
      <c r="AJ962" s="49"/>
      <c r="AK962" s="49"/>
      <c r="AL962" s="49"/>
      <c r="AM962" s="49"/>
      <c r="AN962" s="49"/>
      <c r="AO962" s="49"/>
      <c r="AP962" s="49"/>
      <c r="AQ962" s="49"/>
      <c r="AR962" s="49"/>
      <c r="AS962" s="49"/>
      <c r="AT962" s="49"/>
      <c r="AU962" s="49"/>
      <c r="AV962" s="49"/>
      <c r="AW962" s="49"/>
      <c r="AX962" s="49"/>
    </row>
    <row r="963">
      <c r="A963" s="49"/>
      <c r="B963" s="49"/>
      <c r="C963" s="49"/>
      <c r="D963" s="50"/>
      <c r="E963" s="50"/>
      <c r="F963" s="50"/>
      <c r="G963" s="50"/>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c r="AF963" s="49"/>
      <c r="AG963" s="49"/>
      <c r="AH963" s="49"/>
      <c r="AI963" s="49"/>
      <c r="AJ963" s="49"/>
      <c r="AK963" s="49"/>
      <c r="AL963" s="49"/>
      <c r="AM963" s="49"/>
      <c r="AN963" s="49"/>
      <c r="AO963" s="49"/>
      <c r="AP963" s="49"/>
      <c r="AQ963" s="49"/>
      <c r="AR963" s="49"/>
      <c r="AS963" s="49"/>
      <c r="AT963" s="49"/>
      <c r="AU963" s="49"/>
      <c r="AV963" s="49"/>
      <c r="AW963" s="49"/>
      <c r="AX963" s="49"/>
    </row>
    <row r="964">
      <c r="A964" s="49"/>
      <c r="B964" s="49"/>
      <c r="C964" s="49"/>
      <c r="D964" s="50"/>
      <c r="E964" s="50"/>
      <c r="F964" s="50"/>
      <c r="G964" s="50"/>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c r="AF964" s="49"/>
      <c r="AG964" s="49"/>
      <c r="AH964" s="49"/>
      <c r="AI964" s="49"/>
      <c r="AJ964" s="49"/>
      <c r="AK964" s="49"/>
      <c r="AL964" s="49"/>
      <c r="AM964" s="49"/>
      <c r="AN964" s="49"/>
      <c r="AO964" s="49"/>
      <c r="AP964" s="49"/>
      <c r="AQ964" s="49"/>
      <c r="AR964" s="49"/>
      <c r="AS964" s="49"/>
      <c r="AT964" s="49"/>
      <c r="AU964" s="49"/>
      <c r="AV964" s="49"/>
      <c r="AW964" s="49"/>
      <c r="AX964" s="49"/>
    </row>
    <row r="965">
      <c r="A965" s="49"/>
      <c r="B965" s="49"/>
      <c r="C965" s="49"/>
      <c r="D965" s="50"/>
      <c r="E965" s="50"/>
      <c r="F965" s="50"/>
      <c r="G965" s="50"/>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c r="AF965" s="49"/>
      <c r="AG965" s="49"/>
      <c r="AH965" s="49"/>
      <c r="AI965" s="49"/>
      <c r="AJ965" s="49"/>
      <c r="AK965" s="49"/>
      <c r="AL965" s="49"/>
      <c r="AM965" s="49"/>
      <c r="AN965" s="49"/>
      <c r="AO965" s="49"/>
      <c r="AP965" s="49"/>
      <c r="AQ965" s="49"/>
      <c r="AR965" s="49"/>
      <c r="AS965" s="49"/>
      <c r="AT965" s="49"/>
      <c r="AU965" s="49"/>
      <c r="AV965" s="49"/>
      <c r="AW965" s="49"/>
      <c r="AX965" s="49"/>
    </row>
    <row r="966">
      <c r="A966" s="49"/>
      <c r="B966" s="49"/>
      <c r="C966" s="49"/>
      <c r="D966" s="50"/>
      <c r="E966" s="50"/>
      <c r="F966" s="50"/>
      <c r="G966" s="50"/>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c r="AF966" s="49"/>
      <c r="AG966" s="49"/>
      <c r="AH966" s="49"/>
      <c r="AI966" s="49"/>
      <c r="AJ966" s="49"/>
      <c r="AK966" s="49"/>
      <c r="AL966" s="49"/>
      <c r="AM966" s="49"/>
      <c r="AN966" s="49"/>
      <c r="AO966" s="49"/>
      <c r="AP966" s="49"/>
      <c r="AQ966" s="49"/>
      <c r="AR966" s="49"/>
      <c r="AS966" s="49"/>
      <c r="AT966" s="49"/>
      <c r="AU966" s="49"/>
      <c r="AV966" s="49"/>
      <c r="AW966" s="49"/>
      <c r="AX966" s="49"/>
    </row>
    <row r="967">
      <c r="A967" s="49"/>
      <c r="B967" s="49"/>
      <c r="C967" s="49"/>
      <c r="D967" s="50"/>
      <c r="E967" s="50"/>
      <c r="F967" s="50"/>
      <c r="G967" s="50"/>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c r="AF967" s="49"/>
      <c r="AG967" s="49"/>
      <c r="AH967" s="49"/>
      <c r="AI967" s="49"/>
      <c r="AJ967" s="49"/>
      <c r="AK967" s="49"/>
      <c r="AL967" s="49"/>
      <c r="AM967" s="49"/>
      <c r="AN967" s="49"/>
      <c r="AO967" s="49"/>
      <c r="AP967" s="49"/>
      <c r="AQ967" s="49"/>
      <c r="AR967" s="49"/>
      <c r="AS967" s="49"/>
      <c r="AT967" s="49"/>
      <c r="AU967" s="49"/>
      <c r="AV967" s="49"/>
      <c r="AW967" s="49"/>
      <c r="AX967" s="49"/>
    </row>
    <row r="968">
      <c r="A968" s="49"/>
      <c r="B968" s="49"/>
      <c r="C968" s="49"/>
      <c r="D968" s="50"/>
      <c r="E968" s="50"/>
      <c r="F968" s="50"/>
      <c r="G968" s="50"/>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c r="AF968" s="49"/>
      <c r="AG968" s="49"/>
      <c r="AH968" s="49"/>
      <c r="AI968" s="49"/>
      <c r="AJ968" s="49"/>
      <c r="AK968" s="49"/>
      <c r="AL968" s="49"/>
      <c r="AM968" s="49"/>
      <c r="AN968" s="49"/>
      <c r="AO968" s="49"/>
      <c r="AP968" s="49"/>
      <c r="AQ968" s="49"/>
      <c r="AR968" s="49"/>
      <c r="AS968" s="49"/>
      <c r="AT968" s="49"/>
      <c r="AU968" s="49"/>
      <c r="AV968" s="49"/>
      <c r="AW968" s="49"/>
      <c r="AX968" s="49"/>
    </row>
    <row r="969">
      <c r="A969" s="49"/>
      <c r="B969" s="49"/>
      <c r="C969" s="49"/>
      <c r="D969" s="50"/>
      <c r="E969" s="50"/>
      <c r="F969" s="50"/>
      <c r="G969" s="50"/>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c r="AF969" s="49"/>
      <c r="AG969" s="49"/>
      <c r="AH969" s="49"/>
      <c r="AI969" s="49"/>
      <c r="AJ969" s="49"/>
      <c r="AK969" s="49"/>
      <c r="AL969" s="49"/>
      <c r="AM969" s="49"/>
      <c r="AN969" s="49"/>
      <c r="AO969" s="49"/>
      <c r="AP969" s="49"/>
      <c r="AQ969" s="49"/>
      <c r="AR969" s="49"/>
      <c r="AS969" s="49"/>
      <c r="AT969" s="49"/>
      <c r="AU969" s="49"/>
      <c r="AV969" s="49"/>
      <c r="AW969" s="49"/>
      <c r="AX969" s="49"/>
    </row>
    <row r="970">
      <c r="A970" s="49"/>
      <c r="B970" s="49"/>
      <c r="C970" s="49"/>
      <c r="D970" s="50"/>
      <c r="E970" s="50"/>
      <c r="F970" s="50"/>
      <c r="G970" s="50"/>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c r="AF970" s="49"/>
      <c r="AG970" s="49"/>
      <c r="AH970" s="49"/>
      <c r="AI970" s="49"/>
      <c r="AJ970" s="49"/>
      <c r="AK970" s="49"/>
      <c r="AL970" s="49"/>
      <c r="AM970" s="49"/>
      <c r="AN970" s="49"/>
      <c r="AO970" s="49"/>
      <c r="AP970" s="49"/>
      <c r="AQ970" s="49"/>
      <c r="AR970" s="49"/>
      <c r="AS970" s="49"/>
      <c r="AT970" s="49"/>
      <c r="AU970" s="49"/>
      <c r="AV970" s="49"/>
      <c r="AW970" s="49"/>
      <c r="AX970" s="49"/>
    </row>
    <row r="971">
      <c r="A971" s="49"/>
      <c r="B971" s="49"/>
      <c r="C971" s="49"/>
      <c r="D971" s="50"/>
      <c r="E971" s="50"/>
      <c r="F971" s="50"/>
      <c r="G971" s="50"/>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c r="AF971" s="49"/>
      <c r="AG971" s="49"/>
      <c r="AH971" s="49"/>
      <c r="AI971" s="49"/>
      <c r="AJ971" s="49"/>
      <c r="AK971" s="49"/>
      <c r="AL971" s="49"/>
      <c r="AM971" s="49"/>
      <c r="AN971" s="49"/>
      <c r="AO971" s="49"/>
      <c r="AP971" s="49"/>
      <c r="AQ971" s="49"/>
      <c r="AR971" s="49"/>
      <c r="AS971" s="49"/>
      <c r="AT971" s="49"/>
      <c r="AU971" s="49"/>
      <c r="AV971" s="49"/>
      <c r="AW971" s="49"/>
      <c r="AX971" s="49"/>
    </row>
    <row r="972">
      <c r="A972" s="49"/>
      <c r="B972" s="49"/>
      <c r="C972" s="49"/>
      <c r="D972" s="50"/>
      <c r="E972" s="50"/>
      <c r="F972" s="50"/>
      <c r="G972" s="50"/>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c r="AF972" s="49"/>
      <c r="AG972" s="49"/>
      <c r="AH972" s="49"/>
      <c r="AI972" s="49"/>
      <c r="AJ972" s="49"/>
      <c r="AK972" s="49"/>
      <c r="AL972" s="49"/>
      <c r="AM972" s="49"/>
      <c r="AN972" s="49"/>
      <c r="AO972" s="49"/>
      <c r="AP972" s="49"/>
      <c r="AQ972" s="49"/>
      <c r="AR972" s="49"/>
      <c r="AS972" s="49"/>
      <c r="AT972" s="49"/>
      <c r="AU972" s="49"/>
      <c r="AV972" s="49"/>
      <c r="AW972" s="49"/>
      <c r="AX972" s="49"/>
    </row>
    <row r="973">
      <c r="A973" s="49"/>
      <c r="B973" s="49"/>
      <c r="C973" s="49"/>
      <c r="D973" s="50"/>
      <c r="E973" s="50"/>
      <c r="F973" s="50"/>
      <c r="G973" s="50"/>
      <c r="H973" s="49"/>
      <c r="I973" s="49"/>
      <c r="J973" s="49"/>
      <c r="K973" s="49"/>
      <c r="L973" s="49"/>
      <c r="M973" s="49"/>
      <c r="N973" s="49"/>
      <c r="O973" s="49"/>
      <c r="P973" s="49"/>
      <c r="Q973" s="49"/>
      <c r="R973" s="49"/>
      <c r="S973" s="49"/>
      <c r="T973" s="49"/>
      <c r="U973" s="49"/>
      <c r="V973" s="49"/>
      <c r="W973" s="49"/>
      <c r="X973" s="49"/>
      <c r="Y973" s="49"/>
      <c r="Z973" s="49"/>
      <c r="AA973" s="49"/>
      <c r="AB973" s="49"/>
      <c r="AC973" s="49"/>
      <c r="AD973" s="49"/>
      <c r="AE973" s="49"/>
      <c r="AF973" s="49"/>
      <c r="AG973" s="49"/>
      <c r="AH973" s="49"/>
      <c r="AI973" s="49"/>
      <c r="AJ973" s="49"/>
      <c r="AK973" s="49"/>
      <c r="AL973" s="49"/>
      <c r="AM973" s="49"/>
      <c r="AN973" s="49"/>
      <c r="AO973" s="49"/>
      <c r="AP973" s="49"/>
      <c r="AQ973" s="49"/>
      <c r="AR973" s="49"/>
      <c r="AS973" s="49"/>
      <c r="AT973" s="49"/>
      <c r="AU973" s="49"/>
      <c r="AV973" s="49"/>
      <c r="AW973" s="49"/>
      <c r="AX973" s="49"/>
    </row>
    <row r="974">
      <c r="A974" s="49"/>
      <c r="B974" s="49"/>
      <c r="C974" s="49"/>
      <c r="D974" s="50"/>
      <c r="E974" s="50"/>
      <c r="F974" s="50"/>
      <c r="G974" s="50"/>
      <c r="H974" s="49"/>
      <c r="I974" s="49"/>
      <c r="J974" s="49"/>
      <c r="K974" s="49"/>
      <c r="L974" s="49"/>
      <c r="M974" s="49"/>
      <c r="N974" s="49"/>
      <c r="O974" s="49"/>
      <c r="P974" s="49"/>
      <c r="Q974" s="49"/>
      <c r="R974" s="49"/>
      <c r="S974" s="49"/>
      <c r="T974" s="49"/>
      <c r="U974" s="49"/>
      <c r="V974" s="49"/>
      <c r="W974" s="49"/>
      <c r="X974" s="49"/>
      <c r="Y974" s="49"/>
      <c r="Z974" s="49"/>
      <c r="AA974" s="49"/>
      <c r="AB974" s="49"/>
      <c r="AC974" s="49"/>
      <c r="AD974" s="49"/>
      <c r="AE974" s="49"/>
      <c r="AF974" s="49"/>
      <c r="AG974" s="49"/>
      <c r="AH974" s="49"/>
      <c r="AI974" s="49"/>
      <c r="AJ974" s="49"/>
      <c r="AK974" s="49"/>
      <c r="AL974" s="49"/>
      <c r="AM974" s="49"/>
      <c r="AN974" s="49"/>
      <c r="AO974" s="49"/>
      <c r="AP974" s="49"/>
      <c r="AQ974" s="49"/>
      <c r="AR974" s="49"/>
      <c r="AS974" s="49"/>
      <c r="AT974" s="49"/>
      <c r="AU974" s="49"/>
      <c r="AV974" s="49"/>
      <c r="AW974" s="49"/>
      <c r="AX974" s="49"/>
    </row>
    <row r="975">
      <c r="A975" s="49"/>
      <c r="B975" s="49"/>
      <c r="C975" s="49"/>
      <c r="D975" s="50"/>
      <c r="E975" s="50"/>
      <c r="F975" s="50"/>
      <c r="G975" s="50"/>
      <c r="H975" s="49"/>
      <c r="I975" s="49"/>
      <c r="J975" s="49"/>
      <c r="K975" s="49"/>
      <c r="L975" s="49"/>
      <c r="M975" s="49"/>
      <c r="N975" s="49"/>
      <c r="O975" s="49"/>
      <c r="P975" s="49"/>
      <c r="Q975" s="49"/>
      <c r="R975" s="49"/>
      <c r="S975" s="49"/>
      <c r="T975" s="49"/>
      <c r="U975" s="49"/>
      <c r="V975" s="49"/>
      <c r="W975" s="49"/>
      <c r="X975" s="49"/>
      <c r="Y975" s="49"/>
      <c r="Z975" s="49"/>
      <c r="AA975" s="49"/>
      <c r="AB975" s="49"/>
      <c r="AC975" s="49"/>
      <c r="AD975" s="49"/>
      <c r="AE975" s="49"/>
      <c r="AF975" s="49"/>
      <c r="AG975" s="49"/>
      <c r="AH975" s="49"/>
      <c r="AI975" s="49"/>
      <c r="AJ975" s="49"/>
      <c r="AK975" s="49"/>
      <c r="AL975" s="49"/>
      <c r="AM975" s="49"/>
      <c r="AN975" s="49"/>
      <c r="AO975" s="49"/>
      <c r="AP975" s="49"/>
      <c r="AQ975" s="49"/>
      <c r="AR975" s="49"/>
      <c r="AS975" s="49"/>
      <c r="AT975" s="49"/>
      <c r="AU975" s="49"/>
      <c r="AV975" s="49"/>
      <c r="AW975" s="49"/>
      <c r="AX975" s="49"/>
    </row>
    <row r="976">
      <c r="A976" s="49"/>
      <c r="B976" s="49"/>
      <c r="C976" s="49"/>
      <c r="D976" s="50"/>
      <c r="E976" s="50"/>
      <c r="F976" s="50"/>
      <c r="G976" s="50"/>
      <c r="H976" s="49"/>
      <c r="I976" s="49"/>
      <c r="J976" s="49"/>
      <c r="K976" s="49"/>
      <c r="L976" s="49"/>
      <c r="M976" s="49"/>
      <c r="N976" s="49"/>
      <c r="O976" s="49"/>
      <c r="P976" s="49"/>
      <c r="Q976" s="49"/>
      <c r="R976" s="49"/>
      <c r="S976" s="49"/>
      <c r="T976" s="49"/>
      <c r="U976" s="49"/>
      <c r="V976" s="49"/>
      <c r="W976" s="49"/>
      <c r="X976" s="49"/>
      <c r="Y976" s="49"/>
      <c r="Z976" s="49"/>
      <c r="AA976" s="49"/>
      <c r="AB976" s="49"/>
      <c r="AC976" s="49"/>
      <c r="AD976" s="49"/>
      <c r="AE976" s="49"/>
      <c r="AF976" s="49"/>
      <c r="AG976" s="49"/>
      <c r="AH976" s="49"/>
      <c r="AI976" s="49"/>
      <c r="AJ976" s="49"/>
      <c r="AK976" s="49"/>
      <c r="AL976" s="49"/>
      <c r="AM976" s="49"/>
      <c r="AN976" s="49"/>
      <c r="AO976" s="49"/>
      <c r="AP976" s="49"/>
      <c r="AQ976" s="49"/>
      <c r="AR976" s="49"/>
      <c r="AS976" s="49"/>
      <c r="AT976" s="49"/>
      <c r="AU976" s="49"/>
      <c r="AV976" s="49"/>
      <c r="AW976" s="49"/>
      <c r="AX976" s="49"/>
    </row>
    <row r="977">
      <c r="A977" s="49"/>
      <c r="B977" s="49"/>
      <c r="C977" s="49"/>
      <c r="D977" s="50"/>
      <c r="E977" s="50"/>
      <c r="F977" s="50"/>
      <c r="G977" s="50"/>
      <c r="H977" s="49"/>
      <c r="I977" s="49"/>
      <c r="J977" s="49"/>
      <c r="K977" s="49"/>
      <c r="L977" s="49"/>
      <c r="M977" s="49"/>
      <c r="N977" s="49"/>
      <c r="O977" s="49"/>
      <c r="P977" s="49"/>
      <c r="Q977" s="49"/>
      <c r="R977" s="49"/>
      <c r="S977" s="49"/>
      <c r="T977" s="49"/>
      <c r="U977" s="49"/>
      <c r="V977" s="49"/>
      <c r="W977" s="49"/>
      <c r="X977" s="49"/>
      <c r="Y977" s="49"/>
      <c r="Z977" s="49"/>
      <c r="AA977" s="49"/>
      <c r="AB977" s="49"/>
      <c r="AC977" s="49"/>
      <c r="AD977" s="49"/>
      <c r="AE977" s="49"/>
      <c r="AF977" s="49"/>
      <c r="AG977" s="49"/>
      <c r="AH977" s="49"/>
      <c r="AI977" s="49"/>
      <c r="AJ977" s="49"/>
      <c r="AK977" s="49"/>
      <c r="AL977" s="49"/>
      <c r="AM977" s="49"/>
      <c r="AN977" s="49"/>
      <c r="AO977" s="49"/>
      <c r="AP977" s="49"/>
      <c r="AQ977" s="49"/>
      <c r="AR977" s="49"/>
      <c r="AS977" s="49"/>
      <c r="AT977" s="49"/>
      <c r="AU977" s="49"/>
      <c r="AV977" s="49"/>
      <c r="AW977" s="49"/>
      <c r="AX977" s="49"/>
    </row>
    <row r="978">
      <c r="A978" s="49"/>
      <c r="B978" s="49"/>
      <c r="C978" s="49"/>
      <c r="D978" s="50"/>
      <c r="E978" s="50"/>
      <c r="F978" s="50"/>
      <c r="G978" s="50"/>
      <c r="H978" s="49"/>
      <c r="I978" s="49"/>
      <c r="J978" s="49"/>
      <c r="K978" s="49"/>
      <c r="L978" s="49"/>
      <c r="M978" s="49"/>
      <c r="N978" s="49"/>
      <c r="O978" s="49"/>
      <c r="P978" s="49"/>
      <c r="Q978" s="49"/>
      <c r="R978" s="49"/>
      <c r="S978" s="49"/>
      <c r="T978" s="49"/>
      <c r="U978" s="49"/>
      <c r="V978" s="49"/>
      <c r="W978" s="49"/>
      <c r="X978" s="49"/>
      <c r="Y978" s="49"/>
      <c r="Z978" s="49"/>
      <c r="AA978" s="49"/>
      <c r="AB978" s="49"/>
      <c r="AC978" s="49"/>
      <c r="AD978" s="49"/>
      <c r="AE978" s="49"/>
      <c r="AF978" s="49"/>
      <c r="AG978" s="49"/>
      <c r="AH978" s="49"/>
      <c r="AI978" s="49"/>
      <c r="AJ978" s="49"/>
      <c r="AK978" s="49"/>
      <c r="AL978" s="49"/>
      <c r="AM978" s="49"/>
      <c r="AN978" s="49"/>
      <c r="AO978" s="49"/>
      <c r="AP978" s="49"/>
      <c r="AQ978" s="49"/>
      <c r="AR978" s="49"/>
      <c r="AS978" s="49"/>
      <c r="AT978" s="49"/>
      <c r="AU978" s="49"/>
      <c r="AV978" s="49"/>
      <c r="AW978" s="49"/>
      <c r="AX978" s="49"/>
    </row>
    <row r="979">
      <c r="A979" s="49"/>
      <c r="B979" s="49"/>
      <c r="C979" s="49"/>
      <c r="D979" s="50"/>
      <c r="E979" s="50"/>
      <c r="F979" s="50"/>
      <c r="G979" s="50"/>
      <c r="H979" s="49"/>
      <c r="I979" s="49"/>
      <c r="J979" s="49"/>
      <c r="K979" s="49"/>
      <c r="L979" s="49"/>
      <c r="M979" s="49"/>
      <c r="N979" s="49"/>
      <c r="O979" s="49"/>
      <c r="P979" s="49"/>
      <c r="Q979" s="49"/>
      <c r="R979" s="49"/>
      <c r="S979" s="49"/>
      <c r="T979" s="49"/>
      <c r="U979" s="49"/>
      <c r="V979" s="49"/>
      <c r="W979" s="49"/>
      <c r="X979" s="49"/>
      <c r="Y979" s="49"/>
      <c r="Z979" s="49"/>
      <c r="AA979" s="49"/>
      <c r="AB979" s="49"/>
      <c r="AC979" s="49"/>
      <c r="AD979" s="49"/>
      <c r="AE979" s="49"/>
      <c r="AF979" s="49"/>
      <c r="AG979" s="49"/>
      <c r="AH979" s="49"/>
      <c r="AI979" s="49"/>
      <c r="AJ979" s="49"/>
      <c r="AK979" s="49"/>
      <c r="AL979" s="49"/>
      <c r="AM979" s="49"/>
      <c r="AN979" s="49"/>
      <c r="AO979" s="49"/>
      <c r="AP979" s="49"/>
      <c r="AQ979" s="49"/>
      <c r="AR979" s="49"/>
      <c r="AS979" s="49"/>
      <c r="AT979" s="49"/>
      <c r="AU979" s="49"/>
      <c r="AV979" s="49"/>
      <c r="AW979" s="49"/>
      <c r="AX979" s="49"/>
    </row>
    <row r="980">
      <c r="A980" s="49"/>
      <c r="B980" s="49"/>
      <c r="C980" s="49"/>
      <c r="D980" s="50"/>
      <c r="E980" s="50"/>
      <c r="F980" s="50"/>
      <c r="G980" s="50"/>
      <c r="H980" s="49"/>
      <c r="I980" s="49"/>
      <c r="J980" s="49"/>
      <c r="K980" s="49"/>
      <c r="L980" s="49"/>
      <c r="M980" s="49"/>
      <c r="N980" s="49"/>
      <c r="O980" s="49"/>
      <c r="P980" s="49"/>
      <c r="Q980" s="49"/>
      <c r="R980" s="49"/>
      <c r="S980" s="49"/>
      <c r="T980" s="49"/>
      <c r="U980" s="49"/>
      <c r="V980" s="49"/>
      <c r="W980" s="49"/>
      <c r="X980" s="49"/>
      <c r="Y980" s="49"/>
      <c r="Z980" s="49"/>
      <c r="AA980" s="49"/>
      <c r="AB980" s="49"/>
      <c r="AC980" s="49"/>
      <c r="AD980" s="49"/>
      <c r="AE980" s="49"/>
      <c r="AF980" s="49"/>
      <c r="AG980" s="49"/>
      <c r="AH980" s="49"/>
      <c r="AI980" s="49"/>
      <c r="AJ980" s="49"/>
      <c r="AK980" s="49"/>
      <c r="AL980" s="49"/>
      <c r="AM980" s="49"/>
      <c r="AN980" s="49"/>
      <c r="AO980" s="49"/>
      <c r="AP980" s="49"/>
      <c r="AQ980" s="49"/>
      <c r="AR980" s="49"/>
      <c r="AS980" s="49"/>
      <c r="AT980" s="49"/>
      <c r="AU980" s="49"/>
      <c r="AV980" s="49"/>
      <c r="AW980" s="49"/>
      <c r="AX980" s="49"/>
    </row>
    <row r="981">
      <c r="A981" s="49"/>
      <c r="B981" s="49"/>
      <c r="C981" s="49"/>
      <c r="D981" s="50"/>
      <c r="E981" s="50"/>
      <c r="F981" s="50"/>
      <c r="G981" s="50"/>
      <c r="H981" s="49"/>
      <c r="I981" s="49"/>
      <c r="J981" s="49"/>
      <c r="K981" s="49"/>
      <c r="L981" s="49"/>
      <c r="M981" s="49"/>
      <c r="N981" s="49"/>
      <c r="O981" s="49"/>
      <c r="P981" s="49"/>
      <c r="Q981" s="49"/>
      <c r="R981" s="49"/>
      <c r="S981" s="49"/>
      <c r="T981" s="49"/>
      <c r="U981" s="49"/>
      <c r="V981" s="49"/>
      <c r="W981" s="49"/>
      <c r="X981" s="49"/>
      <c r="Y981" s="49"/>
      <c r="Z981" s="49"/>
      <c r="AA981" s="49"/>
      <c r="AB981" s="49"/>
      <c r="AC981" s="49"/>
      <c r="AD981" s="49"/>
      <c r="AE981" s="49"/>
      <c r="AF981" s="49"/>
      <c r="AG981" s="49"/>
      <c r="AH981" s="49"/>
      <c r="AI981" s="49"/>
      <c r="AJ981" s="49"/>
      <c r="AK981" s="49"/>
      <c r="AL981" s="49"/>
      <c r="AM981" s="49"/>
      <c r="AN981" s="49"/>
      <c r="AO981" s="49"/>
      <c r="AP981" s="49"/>
      <c r="AQ981" s="49"/>
      <c r="AR981" s="49"/>
      <c r="AS981" s="49"/>
      <c r="AT981" s="49"/>
      <c r="AU981" s="49"/>
      <c r="AV981" s="49"/>
      <c r="AW981" s="49"/>
      <c r="AX981" s="49"/>
    </row>
    <row r="982">
      <c r="A982" s="49"/>
      <c r="B982" s="49"/>
      <c r="C982" s="49"/>
      <c r="D982" s="50"/>
      <c r="E982" s="50"/>
      <c r="F982" s="50"/>
      <c r="G982" s="50"/>
      <c r="H982" s="49"/>
      <c r="I982" s="49"/>
      <c r="J982" s="49"/>
      <c r="K982" s="49"/>
      <c r="L982" s="49"/>
      <c r="M982" s="49"/>
      <c r="N982" s="49"/>
      <c r="O982" s="49"/>
      <c r="P982" s="49"/>
      <c r="Q982" s="49"/>
      <c r="R982" s="49"/>
      <c r="S982" s="49"/>
      <c r="T982" s="49"/>
      <c r="U982" s="49"/>
      <c r="V982" s="49"/>
      <c r="W982" s="49"/>
      <c r="X982" s="49"/>
      <c r="Y982" s="49"/>
      <c r="Z982" s="49"/>
      <c r="AA982" s="49"/>
      <c r="AB982" s="49"/>
      <c r="AC982" s="49"/>
      <c r="AD982" s="49"/>
      <c r="AE982" s="49"/>
      <c r="AF982" s="49"/>
      <c r="AG982" s="49"/>
      <c r="AH982" s="49"/>
      <c r="AI982" s="49"/>
      <c r="AJ982" s="49"/>
      <c r="AK982" s="49"/>
      <c r="AL982" s="49"/>
      <c r="AM982" s="49"/>
      <c r="AN982" s="49"/>
      <c r="AO982" s="49"/>
      <c r="AP982" s="49"/>
      <c r="AQ982" s="49"/>
      <c r="AR982" s="49"/>
      <c r="AS982" s="49"/>
      <c r="AT982" s="49"/>
      <c r="AU982" s="49"/>
      <c r="AV982" s="49"/>
      <c r="AW982" s="49"/>
      <c r="AX982" s="49"/>
    </row>
    <row r="983">
      <c r="A983" s="49"/>
      <c r="B983" s="49"/>
      <c r="C983" s="49"/>
      <c r="D983" s="50"/>
      <c r="E983" s="50"/>
      <c r="F983" s="50"/>
      <c r="G983" s="50"/>
      <c r="H983" s="49"/>
      <c r="I983" s="49"/>
      <c r="J983" s="49"/>
      <c r="K983" s="49"/>
      <c r="L983" s="49"/>
      <c r="M983" s="49"/>
      <c r="N983" s="49"/>
      <c r="O983" s="49"/>
      <c r="P983" s="49"/>
      <c r="Q983" s="49"/>
      <c r="R983" s="49"/>
      <c r="S983" s="49"/>
      <c r="T983" s="49"/>
      <c r="U983" s="49"/>
      <c r="V983" s="49"/>
      <c r="W983" s="49"/>
      <c r="X983" s="49"/>
      <c r="Y983" s="49"/>
      <c r="Z983" s="49"/>
      <c r="AA983" s="49"/>
      <c r="AB983" s="49"/>
      <c r="AC983" s="49"/>
      <c r="AD983" s="49"/>
      <c r="AE983" s="49"/>
      <c r="AF983" s="49"/>
      <c r="AG983" s="49"/>
      <c r="AH983" s="49"/>
      <c r="AI983" s="49"/>
      <c r="AJ983" s="49"/>
      <c r="AK983" s="49"/>
      <c r="AL983" s="49"/>
      <c r="AM983" s="49"/>
      <c r="AN983" s="49"/>
      <c r="AO983" s="49"/>
      <c r="AP983" s="49"/>
      <c r="AQ983" s="49"/>
      <c r="AR983" s="49"/>
      <c r="AS983" s="49"/>
      <c r="AT983" s="49"/>
      <c r="AU983" s="49"/>
      <c r="AV983" s="49"/>
      <c r="AW983" s="49"/>
      <c r="AX983" s="49"/>
    </row>
    <row r="984">
      <c r="A984" s="49"/>
      <c r="B984" s="49"/>
      <c r="C984" s="49"/>
      <c r="D984" s="50"/>
      <c r="E984" s="50"/>
      <c r="F984" s="50"/>
      <c r="G984" s="50"/>
      <c r="H984" s="49"/>
      <c r="I984" s="49"/>
      <c r="J984" s="49"/>
      <c r="K984" s="49"/>
      <c r="L984" s="49"/>
      <c r="M984" s="49"/>
      <c r="N984" s="49"/>
      <c r="O984" s="49"/>
      <c r="P984" s="49"/>
      <c r="Q984" s="49"/>
      <c r="R984" s="49"/>
      <c r="S984" s="49"/>
      <c r="T984" s="49"/>
      <c r="U984" s="49"/>
      <c r="V984" s="49"/>
      <c r="W984" s="49"/>
      <c r="X984" s="49"/>
      <c r="Y984" s="49"/>
      <c r="Z984" s="49"/>
      <c r="AA984" s="49"/>
      <c r="AB984" s="49"/>
      <c r="AC984" s="49"/>
      <c r="AD984" s="49"/>
      <c r="AE984" s="49"/>
      <c r="AF984" s="49"/>
      <c r="AG984" s="49"/>
      <c r="AH984" s="49"/>
      <c r="AI984" s="49"/>
      <c r="AJ984" s="49"/>
      <c r="AK984" s="49"/>
      <c r="AL984" s="49"/>
      <c r="AM984" s="49"/>
      <c r="AN984" s="49"/>
      <c r="AO984" s="49"/>
      <c r="AP984" s="49"/>
      <c r="AQ984" s="49"/>
      <c r="AR984" s="49"/>
      <c r="AS984" s="49"/>
      <c r="AT984" s="49"/>
      <c r="AU984" s="49"/>
      <c r="AV984" s="49"/>
      <c r="AW984" s="49"/>
      <c r="AX984" s="49"/>
    </row>
    <row r="985">
      <c r="D985" s="50"/>
      <c r="E985" s="50"/>
      <c r="F985" s="50"/>
      <c r="G985" s="50"/>
    </row>
    <row r="986">
      <c r="D986" s="50"/>
      <c r="E986" s="50"/>
      <c r="F986" s="50"/>
      <c r="G986" s="50"/>
    </row>
    <row r="987">
      <c r="D987" s="50"/>
      <c r="E987" s="50"/>
      <c r="F987" s="50"/>
      <c r="G987" s="50"/>
    </row>
    <row r="988">
      <c r="D988" s="50"/>
      <c r="E988" s="50"/>
      <c r="F988" s="50"/>
      <c r="G988" s="50"/>
    </row>
    <row r="989">
      <c r="D989" s="50"/>
      <c r="E989" s="50"/>
      <c r="F989" s="50"/>
      <c r="G989" s="50"/>
    </row>
    <row r="990">
      <c r="D990" s="50"/>
      <c r="E990" s="50"/>
      <c r="F990" s="50"/>
      <c r="G990" s="50"/>
    </row>
    <row r="991">
      <c r="D991" s="50"/>
      <c r="E991" s="50"/>
      <c r="F991" s="50"/>
      <c r="G991" s="50"/>
    </row>
    <row r="992">
      <c r="D992" s="50"/>
      <c r="E992" s="50"/>
      <c r="F992" s="50"/>
      <c r="G992" s="50"/>
    </row>
    <row r="993">
      <c r="D993" s="50"/>
      <c r="E993" s="50"/>
      <c r="F993" s="50"/>
      <c r="G993" s="50"/>
    </row>
    <row r="994">
      <c r="D994" s="50"/>
      <c r="E994" s="50"/>
      <c r="F994" s="50"/>
      <c r="G994" s="50"/>
    </row>
    <row r="995">
      <c r="D995" s="50"/>
      <c r="E995" s="50"/>
      <c r="F995" s="50"/>
      <c r="G995" s="50"/>
    </row>
    <row r="996">
      <c r="D996" s="50"/>
      <c r="E996" s="50"/>
      <c r="F996" s="50"/>
      <c r="G996" s="50"/>
    </row>
    <row r="997">
      <c r="D997" s="50"/>
      <c r="E997" s="50"/>
      <c r="F997" s="50"/>
      <c r="G997" s="50"/>
    </row>
    <row r="998">
      <c r="D998" s="50"/>
      <c r="E998" s="50"/>
      <c r="F998" s="50"/>
      <c r="G998" s="50"/>
    </row>
    <row r="999">
      <c r="D999" s="50"/>
      <c r="E999" s="50"/>
      <c r="F999" s="50"/>
      <c r="G999" s="50"/>
    </row>
    <row r="1000">
      <c r="D1000" s="50"/>
      <c r="E1000" s="50"/>
      <c r="F1000" s="50"/>
      <c r="G1000" s="50"/>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5.13"/>
    <col customWidth="1" min="3" max="3" width="60.13"/>
  </cols>
  <sheetData>
    <row r="1">
      <c r="A1" s="49" t="str">
        <f>IFERROR(__xludf.DUMMYFUNCTION("IMPORTRANGE(""https://docs.google.com/spreadsheets/d/""&amp;Config!B1,""Races!A:AX"")"),"Name")</f>
        <v>Name</v>
      </c>
      <c r="B1" s="49" t="str">
        <f>IFERROR(__xludf.DUMMYFUNCTION("""COMPUTED_VALUE"""),"StatBonus")</f>
        <v>StatBonus</v>
      </c>
      <c r="C1" s="50" t="str">
        <f>IFERROR(__xludf.DUMMYFUNCTION("""COMPUTED_VALUE"""),"Ability")</f>
        <v>Ability</v>
      </c>
      <c r="D1" s="49" t="str">
        <f>IFERROR(__xludf.DUMMYFUNCTION("""COMPUTED_VALUE"""),"EntityType")</f>
        <v>EntityType</v>
      </c>
      <c r="E1" s="49" t="str">
        <f>IFERROR(__xludf.DUMMYFUNCTION("""COMPUTED_VALUE"""),"Attack")</f>
        <v>Attack</v>
      </c>
      <c r="F1" s="49" t="str">
        <f>IFERROR(__xludf.DUMMYFUNCTION("""COMPUTED_VALUE"""),"Defense")</f>
        <v>Defense</v>
      </c>
      <c r="G1" s="49" t="str">
        <f>IFERROR(__xludf.DUMMYFUNCTION("""COMPUTED_VALUE"""),"Accuracy")</f>
        <v>Accuracy</v>
      </c>
      <c r="H1" s="49" t="str">
        <f>IFERROR(__xludf.DUMMYFUNCTION("""COMPUTED_VALUE"""),"Charisma")</f>
        <v>Charisma</v>
      </c>
      <c r="I1" s="49" t="str">
        <f>IFERROR(__xludf.DUMMYFUNCTION("""COMPUTED_VALUE"""),"Wisdom")</f>
        <v>Wisdom</v>
      </c>
      <c r="J1" s="49" t="str">
        <f>IFERROR(__xludf.DUMMYFUNCTION("""COMPUTED_VALUE"""),"Constitution")</f>
        <v>Constitution</v>
      </c>
      <c r="K1" s="49" t="str">
        <f>IFERROR(__xludf.DUMMYFUNCTION("""COMPUTED_VALUE"""),"Evasion")</f>
        <v>Evasion</v>
      </c>
      <c r="L1" s="49" t="str">
        <f>IFERROR(__xludf.DUMMYFUNCTION("""COMPUTED_VALUE"""),"Intimidation")</f>
        <v>Intimidation</v>
      </c>
      <c r="M1" s="49" t="str">
        <f>IFERROR(__xludf.DUMMYFUNCTION("""COMPUTED_VALUE"""),"Mobility")</f>
        <v>Mobility</v>
      </c>
      <c r="N1" s="49" t="str">
        <f>IFERROR(__xludf.DUMMYFUNCTION("""COMPUTED_VALUE"""),"HP")</f>
        <v>HP</v>
      </c>
      <c r="O1" s="49" t="str">
        <f>IFERROR(__xludf.DUMMYFUNCTION("""COMPUTED_VALUE"""),"SP")</f>
        <v>SP</v>
      </c>
      <c r="P1" s="49" t="str">
        <f>IFERROR(__xludf.DUMMYFUNCTION("""COMPUTED_VALUE"""),"Hunger")</f>
        <v>Hunger</v>
      </c>
      <c r="Q1" s="49" t="str">
        <f>IFERROR(__xludf.DUMMYFUNCTION("""COMPUTED_VALUE"""),"Thirst")</f>
        <v>Thirst</v>
      </c>
      <c r="R1" s="49" t="str">
        <f>IFERROR(__xludf.DUMMYFUNCTION("""COMPUTED_VALUE"""),"Energy")</f>
        <v>Energy</v>
      </c>
      <c r="S1" s="49" t="str">
        <f>IFERROR(__xludf.DUMMYFUNCTION("""COMPUTED_VALUE"""),"Fire")</f>
        <v>Fire</v>
      </c>
      <c r="T1" s="49" t="str">
        <f>IFERROR(__xludf.DUMMYFUNCTION("""COMPUTED_VALUE"""),"Water")</f>
        <v>Water</v>
      </c>
      <c r="U1" s="49" t="str">
        <f>IFERROR(__xludf.DUMMYFUNCTION("""COMPUTED_VALUE"""),"Storm")</f>
        <v>Storm</v>
      </c>
      <c r="V1" s="49" t="str">
        <f>IFERROR(__xludf.DUMMYFUNCTION("""COMPUTED_VALUE"""),"Earth")</f>
        <v>Earth</v>
      </c>
      <c r="W1" s="49" t="str">
        <f>IFERROR(__xludf.DUMMYFUNCTION("""COMPUTED_VALUE"""),"Light")</f>
        <v>Light</v>
      </c>
      <c r="X1" s="49" t="str">
        <f>IFERROR(__xludf.DUMMYFUNCTION("""COMPUTED_VALUE"""),"Dark")</f>
        <v>Dark</v>
      </c>
      <c r="Y1" s="49" t="str">
        <f>IFERROR(__xludf.DUMMYFUNCTION("""COMPUTED_VALUE"""),"Spirit")</f>
        <v>Spirit</v>
      </c>
      <c r="Z1" s="49" t="str">
        <f>IFERROR(__xludf.DUMMYFUNCTION("""COMPUTED_VALUE"""),"Order")</f>
        <v>Order</v>
      </c>
      <c r="AA1" s="49" t="str">
        <f>IFERROR(__xludf.DUMMYFUNCTION("""COMPUTED_VALUE"""),"Chaos")</f>
        <v>Chaos</v>
      </c>
      <c r="AB1" s="49" t="str">
        <f>IFERROR(__xludf.DUMMYFUNCTION("""COMPUTED_VALUE"""),"Nature")</f>
        <v>Nature</v>
      </c>
      <c r="AC1" s="49" t="str">
        <f>IFERROR(__xludf.DUMMYFUNCTION("""COMPUTED_VALUE"""),"Physical")</f>
        <v>Physical</v>
      </c>
      <c r="AD1" s="49" t="str">
        <f>IFERROR(__xludf.DUMMYFUNCTION("""COMPUTED_VALUE"""),"Melee")</f>
        <v>Melee</v>
      </c>
      <c r="AE1" s="49" t="str">
        <f>IFERROR(__xludf.DUMMYFUNCTION("""COMPUTED_VALUE"""),"Ranged")</f>
        <v>Ranged</v>
      </c>
      <c r="AF1" s="49" t="str">
        <f>IFERROR(__xludf.DUMMYFUNCTION("""COMPUTED_VALUE"""),"Stasis")</f>
        <v>Stasis</v>
      </c>
      <c r="AG1" s="49" t="str">
        <f>IFERROR(__xludf.DUMMYFUNCTION("""COMPUTED_VALUE"""),"Twilight")</f>
        <v>Twilight</v>
      </c>
      <c r="AH1" s="49" t="str">
        <f>IFERROR(__xludf.DUMMYFUNCTION("""COMPUTED_VALUE"""),"Voodoo")</f>
        <v>Voodoo</v>
      </c>
      <c r="AI1" s="49" t="str">
        <f>IFERROR(__xludf.DUMMYFUNCTION("""COMPUTED_VALUE"""),"Blood")</f>
        <v>Blood</v>
      </c>
      <c r="AJ1" s="49" t="str">
        <f>IFERROR(__xludf.DUMMYFUNCTION("""COMPUTED_VALUE"""),"Delta")</f>
        <v>Delta</v>
      </c>
      <c r="AK1" s="49" t="str">
        <f>IFERROR(__xludf.DUMMYFUNCTION("""COMPUTED_VALUE"""),"Zen")</f>
        <v>Zen</v>
      </c>
      <c r="AL1" s="49" t="str">
        <f>IFERROR(__xludf.DUMMYFUNCTION("""COMPUTED_VALUE"""),"Time")</f>
        <v>Time</v>
      </c>
      <c r="AM1" s="49" t="str">
        <f>IFERROR(__xludf.DUMMYFUNCTION("""COMPUTED_VALUE"""),"Astral")</f>
        <v>Astral</v>
      </c>
      <c r="AN1" s="49" t="str">
        <f>IFERROR(__xludf.DUMMYFUNCTION("""COMPUTED_VALUE"""),"Celestial")</f>
        <v>Celestial</v>
      </c>
      <c r="AO1" s="49" t="str">
        <f>IFERROR(__xludf.DUMMYFUNCTION("""COMPUTED_VALUE"""),"Acoustic")</f>
        <v>Acoustic</v>
      </c>
      <c r="AP1" s="49"/>
      <c r="AQ1" s="49"/>
      <c r="AR1" s="49"/>
      <c r="AS1" s="49"/>
      <c r="AT1" s="49"/>
      <c r="AU1" s="49"/>
      <c r="AV1" s="49"/>
      <c r="AW1" s="49"/>
      <c r="AX1" s="49"/>
    </row>
    <row r="2">
      <c r="A2" s="49" t="str">
        <f>IFERROR(__xludf.DUMMYFUNCTION("""COMPUTED_VALUE"""),"Angel")</f>
        <v>Angel</v>
      </c>
      <c r="B2" s="49" t="str">
        <f>IFERROR(__xludf.DUMMYFUNCTION("""COMPUTED_VALUE"""),"+7 Charisma, +7 Constitution")</f>
        <v>+7 Charisma, +7 Constitution</v>
      </c>
      <c r="C2" s="50"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125" t="str">
        <f>IFERROR(__xludf.DUMMYFUNCTION("""COMPUTED_VALUE"""),"Heavenly")</f>
        <v>Heavenly</v>
      </c>
      <c r="E2" s="49"/>
      <c r="F2" s="49"/>
      <c r="G2" s="49"/>
      <c r="H2" s="49">
        <f>IFERROR(__xludf.DUMMYFUNCTION("""COMPUTED_VALUE"""),4.0)</f>
        <v>4</v>
      </c>
      <c r="I2" s="49"/>
      <c r="J2" s="49">
        <f>IFERROR(__xludf.DUMMYFUNCTION("""COMPUTED_VALUE"""),1.0)</f>
        <v>1</v>
      </c>
      <c r="K2" s="49"/>
      <c r="L2" s="49"/>
      <c r="M2" s="49"/>
      <c r="N2" s="49"/>
      <c r="O2" s="49"/>
      <c r="P2" s="49"/>
      <c r="Q2" s="49"/>
      <c r="R2" s="49"/>
      <c r="S2" s="49"/>
      <c r="T2" s="49"/>
      <c r="U2" s="49"/>
      <c r="V2" s="49"/>
      <c r="W2" s="49">
        <f>IFERROR(__xludf.DUMMYFUNCTION("""COMPUTED_VALUE"""),1.0)</f>
        <v>1</v>
      </c>
      <c r="X2" s="49"/>
      <c r="Y2" s="49"/>
      <c r="Z2" s="49">
        <f>IFERROR(__xludf.DUMMYFUNCTION("""COMPUTED_VALUE"""),1.0)</f>
        <v>1</v>
      </c>
      <c r="AA2" s="49"/>
      <c r="AB2" s="49"/>
      <c r="AC2" s="49"/>
      <c r="AD2" s="49"/>
      <c r="AE2" s="49"/>
      <c r="AF2" s="49"/>
      <c r="AG2" s="49"/>
      <c r="AH2" s="49"/>
      <c r="AI2" s="49"/>
      <c r="AJ2" s="49"/>
      <c r="AK2" s="49"/>
      <c r="AL2" s="49"/>
      <c r="AM2" s="49"/>
      <c r="AN2" s="49"/>
      <c r="AO2" s="49"/>
      <c r="AP2" s="49"/>
      <c r="AQ2" s="49"/>
      <c r="AR2" s="49"/>
      <c r="AS2" s="49"/>
      <c r="AT2" s="49"/>
      <c r="AU2" s="49"/>
      <c r="AV2" s="49"/>
      <c r="AW2" s="49"/>
      <c r="AX2" s="49"/>
    </row>
    <row r="3">
      <c r="A3" s="49" t="str">
        <f>IFERROR(__xludf.DUMMYFUNCTION("""COMPUTED_VALUE"""),"Beastfolk")</f>
        <v>Beastfolk</v>
      </c>
      <c r="B3" s="49" t="str">
        <f>IFERROR(__xludf.DUMMYFUNCTION("""COMPUTED_VALUE"""),"+3 Mobility, +4 Constition, +3 Evasion")</f>
        <v>+3 Mobility, +4 Constition, +3 Evasion</v>
      </c>
      <c r="C3" s="50"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49" t="str">
        <f>IFERROR(__xludf.DUMMYFUNCTION("""COMPUTED_VALUE"""),"Humanoid")</f>
        <v>Humanoid</v>
      </c>
      <c r="E3" s="49"/>
      <c r="F3" s="49"/>
      <c r="G3" s="49"/>
      <c r="H3" s="49"/>
      <c r="I3" s="49"/>
      <c r="J3" s="49">
        <f>IFERROR(__xludf.DUMMYFUNCTION("""COMPUTED_VALUE"""),4.0)</f>
        <v>4</v>
      </c>
      <c r="K3" s="49">
        <f>IFERROR(__xludf.DUMMYFUNCTION("""COMPUTED_VALUE"""),3.0)</f>
        <v>3</v>
      </c>
      <c r="L3" s="49"/>
      <c r="M3" s="49">
        <f>IFERROR(__xludf.DUMMYFUNCTION("""COMPUTED_VALUE"""),3.0)</f>
        <v>3</v>
      </c>
      <c r="N3" s="49"/>
      <c r="O3" s="49"/>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49"/>
      <c r="AW3" s="49"/>
      <c r="AX3" s="49"/>
    </row>
    <row r="4">
      <c r="A4" s="49" t="str">
        <f>IFERROR(__xludf.DUMMYFUNCTION("""COMPUTED_VALUE"""),"Blood Elf")</f>
        <v>Blood Elf</v>
      </c>
      <c r="B4" s="49" t="str">
        <f>IFERROR(__xludf.DUMMYFUNCTION("""COMPUTED_VALUE"""),"+5 Charisma, +3 Wisdom")</f>
        <v>+5 Charisma, +3 Wisdom</v>
      </c>
      <c r="C4" s="50"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49" t="str">
        <f>IFERROR(__xludf.DUMMYFUNCTION("""COMPUTED_VALUE"""),"Fae")</f>
        <v>Fae</v>
      </c>
      <c r="E4" s="49"/>
      <c r="F4" s="49"/>
      <c r="G4" s="49"/>
      <c r="H4" s="49">
        <f>IFERROR(__xludf.DUMMYFUNCTION("""COMPUTED_VALUE"""),5.0)</f>
        <v>5</v>
      </c>
      <c r="I4" s="49">
        <f>IFERROR(__xludf.DUMMYFUNCTION("""COMPUTED_VALUE"""),3.0)</f>
        <v>3</v>
      </c>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row>
    <row r="5">
      <c r="A5" s="49" t="str">
        <f>IFERROR(__xludf.DUMMYFUNCTION("""COMPUTED_VALUE"""),"Celestial")</f>
        <v>Celestial</v>
      </c>
      <c r="B5" s="49" t="str">
        <f>IFERROR(__xludf.DUMMYFUNCTION("""COMPUTED_VALUE"""),"+7 Wisdom, +7 Charisma")</f>
        <v>+7 Wisdom, +7 Charisma</v>
      </c>
      <c r="C5" s="50"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49" t="str">
        <f>IFERROR(__xludf.DUMMYFUNCTION("""COMPUTED_VALUE"""),"Heavenly")</f>
        <v>Heavenly</v>
      </c>
      <c r="E5" s="49"/>
      <c r="F5" s="49"/>
      <c r="G5" s="49"/>
      <c r="H5" s="49">
        <f>IFERROR(__xludf.DUMMYFUNCTION("""COMPUTED_VALUE"""),8.0)</f>
        <v>8</v>
      </c>
      <c r="I5" s="49">
        <f>IFERROR(__xludf.DUMMYFUNCTION("""COMPUTED_VALUE"""),8.0)</f>
        <v>8</v>
      </c>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c r="AK5" s="49"/>
      <c r="AL5" s="49"/>
      <c r="AM5" s="49"/>
      <c r="AN5" s="49">
        <f>IFERROR(__xludf.DUMMYFUNCTION("""COMPUTED_VALUE"""),3.0)</f>
        <v>3</v>
      </c>
      <c r="AO5" s="49"/>
      <c r="AP5" s="49"/>
      <c r="AQ5" s="49"/>
      <c r="AR5" s="49"/>
      <c r="AS5" s="49"/>
      <c r="AT5" s="49"/>
      <c r="AU5" s="49"/>
      <c r="AV5" s="49"/>
      <c r="AW5" s="49"/>
      <c r="AX5" s="49"/>
    </row>
    <row r="6">
      <c r="A6" s="49" t="str">
        <f>IFERROR(__xludf.DUMMYFUNCTION("""COMPUTED_VALUE"""),"DayWalker")</f>
        <v>DayWalker</v>
      </c>
      <c r="B6" s="49" t="str">
        <f>IFERROR(__xludf.DUMMYFUNCTION("""COMPUTED_VALUE"""),"+3 Mobility, +3 Evasion, +2 Constitution")</f>
        <v>+3 Mobility, +3 Evasion, +2 Constitution</v>
      </c>
      <c r="C6" s="50" t="str">
        <f>IFERROR(__xludf.DUMMYFUNCTION("""COMPUTED_VALUE"""),"Take half damage from Fire and Light.
Vulnerable 100 to water ")</f>
        <v>Take half damage from Fire and Light.
Vulnerable 100 to water </v>
      </c>
      <c r="D6" s="49" t="str">
        <f>IFERROR(__xludf.DUMMYFUNCTION("""COMPUTED_VALUE"""),"Undead")</f>
        <v>Undead</v>
      </c>
      <c r="E6" s="49"/>
      <c r="F6" s="49"/>
      <c r="G6" s="49"/>
      <c r="H6" s="49"/>
      <c r="I6" s="49"/>
      <c r="J6" s="49">
        <f>IFERROR(__xludf.DUMMYFUNCTION("""COMPUTED_VALUE"""),2.0)</f>
        <v>2</v>
      </c>
      <c r="K6" s="49">
        <f>IFERROR(__xludf.DUMMYFUNCTION("""COMPUTED_VALUE"""),3.0)</f>
        <v>3</v>
      </c>
      <c r="L6" s="49"/>
      <c r="M6" s="49">
        <f>IFERROR(__xludf.DUMMYFUNCTION("""COMPUTED_VALUE"""),3.0)</f>
        <v>3</v>
      </c>
      <c r="N6" s="49"/>
      <c r="O6" s="49"/>
      <c r="P6" s="49"/>
      <c r="Q6" s="49"/>
      <c r="R6" s="49"/>
      <c r="S6" s="49"/>
      <c r="T6" s="49"/>
      <c r="U6" s="49"/>
      <c r="V6" s="49"/>
      <c r="W6" s="49"/>
      <c r="X6" s="49"/>
      <c r="Y6" s="49"/>
      <c r="Z6" s="49"/>
      <c r="AA6" s="49"/>
      <c r="AB6" s="49"/>
      <c r="AC6" s="49"/>
      <c r="AD6" s="49"/>
      <c r="AE6" s="49"/>
      <c r="AF6" s="49"/>
      <c r="AG6" s="49"/>
      <c r="AH6" s="49"/>
      <c r="AI6" s="49"/>
      <c r="AJ6" s="49"/>
      <c r="AK6" s="49"/>
      <c r="AL6" s="49"/>
      <c r="AM6" s="49"/>
      <c r="AN6" s="49"/>
      <c r="AO6" s="49"/>
      <c r="AP6" s="49"/>
      <c r="AQ6" s="49"/>
      <c r="AR6" s="49"/>
      <c r="AS6" s="49"/>
      <c r="AT6" s="49"/>
      <c r="AU6" s="49"/>
      <c r="AV6" s="49"/>
      <c r="AW6" s="49"/>
      <c r="AX6" s="49"/>
    </row>
    <row r="7">
      <c r="A7" s="49" t="str">
        <f>IFERROR(__xludf.DUMMYFUNCTION("""COMPUTED_VALUE"""),"Demon")</f>
        <v>Demon</v>
      </c>
      <c r="B7" s="49" t="str">
        <f>IFERROR(__xludf.DUMMYFUNCTION("""COMPUTED_VALUE"""),"+12 Intimidation")</f>
        <v>+12 Intimidation</v>
      </c>
      <c r="C7" s="50"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49" t="str">
        <f>IFERROR(__xludf.DUMMYFUNCTION("""COMPUTED_VALUE"""),"Demonic")</f>
        <v>Demonic</v>
      </c>
      <c r="E7" s="49"/>
      <c r="F7" s="49"/>
      <c r="G7" s="49"/>
      <c r="H7" s="49"/>
      <c r="I7" s="49"/>
      <c r="J7" s="49"/>
      <c r="K7" s="49"/>
      <c r="L7" s="49">
        <f>IFERROR(__xludf.DUMMYFUNCTION("""COMPUTED_VALUE"""),12.0)</f>
        <v>12</v>
      </c>
      <c r="M7" s="49"/>
      <c r="N7" s="49"/>
      <c r="O7" s="49"/>
      <c r="P7" s="49"/>
      <c r="Q7" s="49"/>
      <c r="R7" s="49"/>
      <c r="S7" s="49">
        <f>IFERROR(__xludf.DUMMYFUNCTION("""COMPUTED_VALUE"""),1.0)</f>
        <v>1</v>
      </c>
      <c r="T7" s="49"/>
      <c r="U7" s="49"/>
      <c r="V7" s="49"/>
      <c r="W7" s="49"/>
      <c r="X7" s="49">
        <f>IFERROR(__xludf.DUMMYFUNCTION("""COMPUTED_VALUE"""),1.0)</f>
        <v>1</v>
      </c>
      <c r="Y7" s="49"/>
      <c r="Z7" s="49"/>
      <c r="AA7" s="49"/>
      <c r="AB7" s="49"/>
      <c r="AC7" s="49"/>
      <c r="AD7" s="49"/>
      <c r="AE7" s="49"/>
      <c r="AF7" s="49"/>
      <c r="AG7" s="49"/>
      <c r="AH7" s="49"/>
      <c r="AI7" s="49"/>
      <c r="AJ7" s="49"/>
      <c r="AK7" s="49"/>
      <c r="AL7" s="49"/>
      <c r="AM7" s="49"/>
      <c r="AN7" s="49"/>
      <c r="AO7" s="49"/>
      <c r="AP7" s="49"/>
      <c r="AQ7" s="49"/>
      <c r="AR7" s="49"/>
      <c r="AS7" s="49"/>
      <c r="AT7" s="49"/>
      <c r="AU7" s="49"/>
      <c r="AV7" s="49"/>
      <c r="AW7" s="49"/>
      <c r="AX7" s="49"/>
    </row>
    <row r="8">
      <c r="A8" s="49" t="str">
        <f>IFERROR(__xludf.DUMMYFUNCTION("""COMPUTED_VALUE"""),"Devil")</f>
        <v>Devil</v>
      </c>
      <c r="B8" s="49" t="str">
        <f>IFERROR(__xludf.DUMMYFUNCTION("""COMPUTED_VALUE"""),"+6 Mobility +6 Wisdom")</f>
        <v>+6 Mobility +6 Wisdom</v>
      </c>
      <c r="C8" s="50"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49" t="str">
        <f>IFERROR(__xludf.DUMMYFUNCTION("""COMPUTED_VALUE"""),"Demonic")</f>
        <v>Demonic</v>
      </c>
      <c r="E8" s="49"/>
      <c r="F8" s="49"/>
      <c r="G8" s="49"/>
      <c r="H8" s="49"/>
      <c r="I8" s="49">
        <f>IFERROR(__xludf.DUMMYFUNCTION("""COMPUTED_VALUE"""),6.0)</f>
        <v>6</v>
      </c>
      <c r="J8" s="49"/>
      <c r="K8" s="49"/>
      <c r="L8" s="49"/>
      <c r="M8" s="49">
        <f>IFERROR(__xludf.DUMMYFUNCTION("""COMPUTED_VALUE"""),6.0)</f>
        <v>6</v>
      </c>
      <c r="N8" s="49"/>
      <c r="O8" s="49"/>
      <c r="P8" s="49"/>
      <c r="Q8" s="49"/>
      <c r="R8" s="49"/>
      <c r="S8" s="49"/>
      <c r="T8" s="49"/>
      <c r="U8" s="49"/>
      <c r="V8" s="49"/>
      <c r="W8" s="49"/>
      <c r="X8" s="49"/>
      <c r="Y8" s="49"/>
      <c r="Z8" s="49"/>
      <c r="AA8" s="49"/>
      <c r="AB8" s="49"/>
      <c r="AC8" s="49"/>
      <c r="AD8" s="49"/>
      <c r="AE8" s="49"/>
      <c r="AF8" s="49"/>
      <c r="AG8" s="49"/>
      <c r="AH8" s="49"/>
      <c r="AI8" s="49"/>
      <c r="AJ8" s="49"/>
      <c r="AK8" s="49"/>
      <c r="AL8" s="49"/>
      <c r="AM8" s="49"/>
      <c r="AN8" s="49"/>
      <c r="AO8" s="49"/>
      <c r="AP8" s="49"/>
      <c r="AQ8" s="49"/>
      <c r="AR8" s="49"/>
      <c r="AS8" s="49"/>
      <c r="AT8" s="49"/>
      <c r="AU8" s="49"/>
      <c r="AV8" s="49"/>
      <c r="AW8" s="49"/>
      <c r="AX8" s="49"/>
    </row>
    <row r="9">
      <c r="A9" s="49" t="str">
        <f>IFERROR(__xludf.DUMMYFUNCTION("""COMPUTED_VALUE"""),"Dragonian")</f>
        <v>Dragonian</v>
      </c>
      <c r="B9" s="49" t="str">
        <f>IFERROR(__xludf.DUMMYFUNCTION("""COMPUTED_VALUE"""),"+3 Mobility +3 Evasion +4 Wisdom")</f>
        <v>+3 Mobility +3 Evasion +4 Wisdom</v>
      </c>
      <c r="C9" s="50"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49" t="str">
        <f>IFERROR(__xludf.DUMMYFUNCTION("""COMPUTED_VALUE"""),"Draconic")</f>
        <v>Draconic</v>
      </c>
      <c r="E9" s="49"/>
      <c r="F9" s="49"/>
      <c r="G9" s="49"/>
      <c r="H9" s="49"/>
      <c r="I9" s="49">
        <f>IFERROR(__xludf.DUMMYFUNCTION("""COMPUTED_VALUE"""),4.0)</f>
        <v>4</v>
      </c>
      <c r="J9" s="49"/>
      <c r="K9" s="49">
        <f>IFERROR(__xludf.DUMMYFUNCTION("""COMPUTED_VALUE"""),2.0)</f>
        <v>2</v>
      </c>
      <c r="L9" s="49"/>
      <c r="M9" s="49">
        <f>IFERROR(__xludf.DUMMYFUNCTION("""COMPUTED_VALUE"""),2.0)</f>
        <v>2</v>
      </c>
      <c r="N9" s="49"/>
      <c r="O9" s="49"/>
      <c r="P9" s="49"/>
      <c r="Q9" s="49"/>
      <c r="R9" s="49"/>
      <c r="S9" s="49">
        <f>IFERROR(__xludf.DUMMYFUNCTION("""COMPUTED_VALUE"""),1.0)</f>
        <v>1</v>
      </c>
      <c r="T9" s="49"/>
      <c r="U9" s="49"/>
      <c r="V9" s="49"/>
      <c r="W9" s="49"/>
      <c r="X9" s="49"/>
      <c r="Y9" s="49"/>
      <c r="Z9" s="49"/>
      <c r="AA9" s="49">
        <f>IFERROR(__xludf.DUMMYFUNCTION("""COMPUTED_VALUE"""),1.0)</f>
        <v>1</v>
      </c>
      <c r="AB9" s="49"/>
      <c r="AC9" s="49"/>
      <c r="AD9" s="49"/>
      <c r="AE9" s="49"/>
      <c r="AF9" s="49"/>
      <c r="AG9" s="49"/>
      <c r="AH9" s="49"/>
      <c r="AI9" s="49"/>
      <c r="AJ9" s="49"/>
      <c r="AK9" s="49"/>
      <c r="AL9" s="49"/>
      <c r="AM9" s="49"/>
      <c r="AN9" s="49"/>
      <c r="AO9" s="49"/>
      <c r="AP9" s="49"/>
      <c r="AQ9" s="49"/>
      <c r="AR9" s="49"/>
      <c r="AS9" s="49"/>
      <c r="AT9" s="49"/>
      <c r="AU9" s="49"/>
      <c r="AV9" s="49"/>
      <c r="AW9" s="49"/>
      <c r="AX9" s="49"/>
    </row>
    <row r="10">
      <c r="A10" s="49" t="str">
        <f>IFERROR(__xludf.DUMMYFUNCTION("""COMPUTED_VALUE"""),"Dryad")</f>
        <v>Dryad</v>
      </c>
      <c r="B10" s="49" t="str">
        <f>IFERROR(__xludf.DUMMYFUNCTION("""COMPUTED_VALUE"""),"+8 Constitution")</f>
        <v>+8 Constitution</v>
      </c>
      <c r="C10" s="50"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49" t="str">
        <f>IFERROR(__xludf.DUMMYFUNCTION("""COMPUTED_VALUE"""),"Fae")</f>
        <v>Fae</v>
      </c>
      <c r="E10" s="49"/>
      <c r="F10" s="49"/>
      <c r="G10" s="49"/>
      <c r="H10" s="49"/>
      <c r="I10" s="49"/>
      <c r="J10" s="49">
        <f>IFERROR(__xludf.DUMMYFUNCTION("""COMPUTED_VALUE"""),8.0)</f>
        <v>8</v>
      </c>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c r="AK10" s="49"/>
      <c r="AL10" s="49"/>
      <c r="AM10" s="49"/>
      <c r="AN10" s="49"/>
      <c r="AO10" s="49"/>
      <c r="AP10" s="49"/>
      <c r="AQ10" s="49"/>
      <c r="AR10" s="49"/>
      <c r="AS10" s="49"/>
      <c r="AT10" s="49"/>
      <c r="AU10" s="49"/>
      <c r="AV10" s="49"/>
      <c r="AW10" s="49"/>
      <c r="AX10" s="49"/>
    </row>
    <row r="11">
      <c r="A11" s="49" t="str">
        <f>IFERROR(__xludf.DUMMYFUNCTION("""COMPUTED_VALUE"""),"Dwarf")</f>
        <v>Dwarf</v>
      </c>
      <c r="B11" s="49" t="str">
        <f>IFERROR(__xludf.DUMMYFUNCTION("""COMPUTED_VALUE"""),"+6 Constitution, +2 Wisdom, ")</f>
        <v>+6 Constitution, +2 Wisdom, </v>
      </c>
      <c r="C11" s="50"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49" t="str">
        <f>IFERROR(__xludf.DUMMYFUNCTION("""COMPUTED_VALUE"""),"Humanoid")</f>
        <v>Humanoid</v>
      </c>
      <c r="E11" s="49"/>
      <c r="F11" s="49"/>
      <c r="G11" s="49"/>
      <c r="H11" s="49"/>
      <c r="I11" s="49">
        <f>IFERROR(__xludf.DUMMYFUNCTION("""COMPUTED_VALUE"""),2.0)</f>
        <v>2</v>
      </c>
      <c r="J11" s="49">
        <f>IFERROR(__xludf.DUMMYFUNCTION("""COMPUTED_VALUE"""),6.0)</f>
        <v>6</v>
      </c>
      <c r="K11" s="49"/>
      <c r="L11" s="49"/>
      <c r="M11" s="49"/>
      <c r="N11" s="49"/>
      <c r="O11" s="49"/>
      <c r="P11" s="49"/>
      <c r="Q11" s="49"/>
      <c r="R11" s="49"/>
      <c r="S11" s="49"/>
      <c r="T11" s="49"/>
      <c r="U11" s="49"/>
      <c r="V11" s="49"/>
      <c r="W11" s="49"/>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V11" s="49"/>
      <c r="AW11" s="49"/>
      <c r="AX11" s="49"/>
    </row>
    <row r="12">
      <c r="A12" s="49" t="str">
        <f>IFERROR(__xludf.DUMMYFUNCTION("""COMPUTED_VALUE"""),"Frogonian")</f>
        <v>Frogonian</v>
      </c>
      <c r="B12" s="49" t="str">
        <f>IFERROR(__xludf.DUMMYFUNCTION("""COMPUTED_VALUE"""),"+5 Mobility, +5 Evasion")</f>
        <v>+5 Mobility, +5 Evasion</v>
      </c>
      <c r="C12" s="50"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49" t="str">
        <f>IFERROR(__xludf.DUMMYFUNCTION("""COMPUTED_VALUE"""),"Humanoid")</f>
        <v>Humanoid</v>
      </c>
      <c r="E12" s="49"/>
      <c r="F12" s="49"/>
      <c r="G12" s="49"/>
      <c r="H12" s="49"/>
      <c r="I12" s="49"/>
      <c r="J12" s="49"/>
      <c r="K12" s="49">
        <f>IFERROR(__xludf.DUMMYFUNCTION("""COMPUTED_VALUE"""),5.0)</f>
        <v>5</v>
      </c>
      <c r="L12" s="49"/>
      <c r="M12" s="49">
        <f>IFERROR(__xludf.DUMMYFUNCTION("""COMPUTED_VALUE"""),5.0)</f>
        <v>5</v>
      </c>
      <c r="N12" s="49"/>
      <c r="O12" s="49"/>
      <c r="P12" s="49"/>
      <c r="Q12" s="49"/>
      <c r="R12" s="49"/>
      <c r="S12" s="49"/>
      <c r="T12" s="49"/>
      <c r="U12" s="49"/>
      <c r="V12" s="49"/>
      <c r="W12" s="49"/>
      <c r="X12" s="49"/>
      <c r="Y12" s="49"/>
      <c r="Z12" s="49"/>
      <c r="AA12" s="49"/>
      <c r="AB12" s="49"/>
      <c r="AC12" s="49"/>
      <c r="AD12" s="49"/>
      <c r="AE12" s="49"/>
      <c r="AF12" s="49"/>
      <c r="AG12" s="49"/>
      <c r="AH12" s="49"/>
      <c r="AI12" s="49"/>
      <c r="AJ12" s="49"/>
      <c r="AK12" s="49"/>
      <c r="AL12" s="49"/>
      <c r="AM12" s="49"/>
      <c r="AN12" s="49"/>
      <c r="AO12" s="49"/>
      <c r="AP12" s="49"/>
      <c r="AQ12" s="49"/>
      <c r="AR12" s="49"/>
      <c r="AS12" s="49"/>
      <c r="AT12" s="49"/>
      <c r="AU12" s="49"/>
      <c r="AV12" s="49"/>
      <c r="AW12" s="49"/>
      <c r="AX12" s="49"/>
    </row>
    <row r="13">
      <c r="A13" s="49" t="str">
        <f>IFERROR(__xludf.DUMMYFUNCTION("""COMPUTED_VALUE"""),"Gargoyle")</f>
        <v>Gargoyle</v>
      </c>
      <c r="B13" s="49" t="str">
        <f>IFERROR(__xludf.DUMMYFUNCTION("""COMPUTED_VALUE"""),"+12 Constitution")</f>
        <v>+12 Constitution</v>
      </c>
      <c r="C13" s="50"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49" t="str">
        <f>IFERROR(__xludf.DUMMYFUNCTION("""COMPUTED_VALUE"""),"Demonic")</f>
        <v>Demonic</v>
      </c>
      <c r="E13" s="49"/>
      <c r="F13" s="49"/>
      <c r="G13" s="49"/>
      <c r="H13" s="49"/>
      <c r="I13" s="49"/>
      <c r="J13" s="49">
        <f>IFERROR(__xludf.DUMMYFUNCTION("""COMPUTED_VALUE"""),12.0)</f>
        <v>12</v>
      </c>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row>
    <row r="14">
      <c r="A14" s="49" t="str">
        <f>IFERROR(__xludf.DUMMYFUNCTION("""COMPUTED_VALUE"""),"Gnome")</f>
        <v>Gnome</v>
      </c>
      <c r="B14" s="49" t="str">
        <f>IFERROR(__xludf.DUMMYFUNCTION("""COMPUTED_VALUE"""),"+8 Wisdom, ")</f>
        <v>+8 Wisdom, </v>
      </c>
      <c r="C14" s="50" t="str">
        <f>IFERROR(__xludf.DUMMYFUNCTION("""COMPUTED_VALUE"""),"X2 Spell damage.
Immune to nature damage.")</f>
        <v>X2 Spell damage.
Immune to nature damage.</v>
      </c>
      <c r="D14" s="49" t="str">
        <f>IFERROR(__xludf.DUMMYFUNCTION("""COMPUTED_VALUE"""),"Fae")</f>
        <v>Fae</v>
      </c>
      <c r="E14" s="49"/>
      <c r="F14" s="49"/>
      <c r="G14" s="49"/>
      <c r="H14" s="49"/>
      <c r="I14" s="49">
        <f>IFERROR(__xludf.DUMMYFUNCTION("""COMPUTED_VALUE"""),8.0)</f>
        <v>8</v>
      </c>
      <c r="J14" s="49"/>
      <c r="K14" s="49"/>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9"/>
      <c r="AU14" s="49"/>
      <c r="AV14" s="49"/>
      <c r="AW14" s="49"/>
      <c r="AX14" s="49"/>
    </row>
    <row r="15">
      <c r="A15" s="49" t="str">
        <f>IFERROR(__xludf.DUMMYFUNCTION("""COMPUTED_VALUE"""),"Goblin")</f>
        <v>Goblin</v>
      </c>
      <c r="B15" s="49" t="str">
        <f>IFERROR(__xludf.DUMMYFUNCTION("""COMPUTED_VALUE"""),"+4 Con, +2 Mobility, +2 Evasion")</f>
        <v>+4 Con, +2 Mobility, +2 Evasion</v>
      </c>
      <c r="C15" s="50" t="str">
        <f>IFERROR(__xludf.DUMMYFUNCTION("""COMPUTED_VALUE"""),"Has dark-vision. 
Gets an extra loot roll each battle.")</f>
        <v>Has dark-vision. 
Gets an extra loot roll each battle.</v>
      </c>
      <c r="D15" s="49" t="str">
        <f>IFERROR(__xludf.DUMMYFUNCTION("""COMPUTED_VALUE"""),"Humanoid")</f>
        <v>Humanoid</v>
      </c>
      <c r="E15" s="49"/>
      <c r="F15" s="49"/>
      <c r="G15" s="49"/>
      <c r="H15" s="49"/>
      <c r="I15" s="49"/>
      <c r="J15" s="49">
        <f>IFERROR(__xludf.DUMMYFUNCTION("""COMPUTED_VALUE"""),4.0)</f>
        <v>4</v>
      </c>
      <c r="K15" s="49">
        <f>IFERROR(__xludf.DUMMYFUNCTION("""COMPUTED_VALUE"""),2.0)</f>
        <v>2</v>
      </c>
      <c r="L15" s="49"/>
      <c r="M15" s="49">
        <f>IFERROR(__xludf.DUMMYFUNCTION("""COMPUTED_VALUE"""),2.0)</f>
        <v>2</v>
      </c>
      <c r="N15" s="49"/>
      <c r="O15" s="49"/>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9"/>
      <c r="AU15" s="49"/>
      <c r="AV15" s="49"/>
      <c r="AW15" s="49"/>
      <c r="AX15" s="49"/>
    </row>
    <row r="16">
      <c r="A16" s="49" t="str">
        <f>IFERROR(__xludf.DUMMYFUNCTION("""COMPUTED_VALUE"""),"Halfling")</f>
        <v>Halfling</v>
      </c>
      <c r="B16" s="49" t="str">
        <f>IFERROR(__xludf.DUMMYFUNCTION("""COMPUTED_VALUE"""),"+3 Mobility, +3 Evasion, +2 Constitution")</f>
        <v>+3 Mobility, +3 Evasion, +2 Constitution</v>
      </c>
      <c r="C16" s="50" t="str">
        <f>IFERROR(__xludf.DUMMYFUNCTION("""COMPUTED_VALUE"""),"Has a 20% chance of any attack missing them")</f>
        <v>Has a 20% chance of any attack missing them</v>
      </c>
      <c r="D16" s="49" t="str">
        <f>IFERROR(__xludf.DUMMYFUNCTION("""COMPUTED_VALUE"""),"Humanoid")</f>
        <v>Humanoid</v>
      </c>
      <c r="E16" s="49"/>
      <c r="F16" s="49"/>
      <c r="G16" s="49"/>
      <c r="H16" s="49"/>
      <c r="I16" s="49"/>
      <c r="J16" s="49">
        <f>IFERROR(__xludf.DUMMYFUNCTION("""COMPUTED_VALUE"""),2.0)</f>
        <v>2</v>
      </c>
      <c r="K16" s="49">
        <f>IFERROR(__xludf.DUMMYFUNCTION("""COMPUTED_VALUE"""),3.0)</f>
        <v>3</v>
      </c>
      <c r="L16" s="49"/>
      <c r="M16" s="49">
        <f>IFERROR(__xludf.DUMMYFUNCTION("""COMPUTED_VALUE"""),3.0)</f>
        <v>3</v>
      </c>
      <c r="N16" s="49"/>
      <c r="O16" s="49"/>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row>
    <row r="17">
      <c r="A17" s="49" t="str">
        <f>IFERROR(__xludf.DUMMYFUNCTION("""COMPUTED_VALUE"""),"Human")</f>
        <v>Human</v>
      </c>
      <c r="B17" s="49" t="str">
        <f>IFERROR(__xludf.DUMMYFUNCTION("""COMPUTED_VALUE"""),"+2 Mobility, +2 Evasion, +2 Charisma, +2 Wisdom, +1 Intimidation, +1 Con")</f>
        <v>+2 Mobility, +2 Evasion, +2 Charisma, +2 Wisdom, +1 Intimidation, +1 Con</v>
      </c>
      <c r="C17" s="50" t="str">
        <f>IFERROR(__xludf.DUMMYFUNCTION("""COMPUTED_VALUE"""),"Gains 2 points into each base stat when they level up instead of 1 (non perks)")</f>
        <v>Gains 2 points into each base stat when they level up instead of 1 (non perks)</v>
      </c>
      <c r="D17" s="49" t="str">
        <f>IFERROR(__xludf.DUMMYFUNCTION("""COMPUTED_VALUE"""),"Humanoid")</f>
        <v>Humanoid</v>
      </c>
      <c r="E17" s="49"/>
      <c r="F17" s="49"/>
      <c r="G17" s="49"/>
      <c r="H17" s="49">
        <f>IFERROR(__xludf.DUMMYFUNCTION("""COMPUTED_VALUE"""),2.0)</f>
        <v>2</v>
      </c>
      <c r="I17" s="49">
        <f>IFERROR(__xludf.DUMMYFUNCTION("""COMPUTED_VALUE"""),2.0)</f>
        <v>2</v>
      </c>
      <c r="J17" s="49">
        <f>IFERROR(__xludf.DUMMYFUNCTION("""COMPUTED_VALUE"""),1.0)</f>
        <v>1</v>
      </c>
      <c r="K17" s="49">
        <f>IFERROR(__xludf.DUMMYFUNCTION("""COMPUTED_VALUE"""),2.0)</f>
        <v>2</v>
      </c>
      <c r="L17" s="49">
        <f>IFERROR(__xludf.DUMMYFUNCTION("""COMPUTED_VALUE"""),1.0)</f>
        <v>1</v>
      </c>
      <c r="M17" s="49">
        <f>IFERROR(__xludf.DUMMYFUNCTION("""COMPUTED_VALUE"""),2.0)</f>
        <v>2</v>
      </c>
      <c r="N17" s="49"/>
      <c r="O17" s="49"/>
      <c r="P17" s="49"/>
      <c r="Q17" s="49"/>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row>
    <row r="18">
      <c r="A18" s="49" t="str">
        <f>IFERROR(__xludf.DUMMYFUNCTION("""COMPUTED_VALUE"""),"Jinn")</f>
        <v>Jinn</v>
      </c>
      <c r="B18" s="49" t="str">
        <f>IFERROR(__xludf.DUMMYFUNCTION("""COMPUTED_VALUE"""),"+14 Wisdom")</f>
        <v>+14 Wisdom</v>
      </c>
      <c r="C18" s="50"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49" t="str">
        <f>IFERROR(__xludf.DUMMYFUNCTION("""COMPUTED_VALUE"""),"Spirit")</f>
        <v>Spirit</v>
      </c>
      <c r="E18" s="49"/>
      <c r="F18" s="49"/>
      <c r="G18" s="49"/>
      <c r="H18" s="49"/>
      <c r="I18" s="49">
        <f>IFERROR(__xludf.DUMMYFUNCTION("""COMPUTED_VALUE"""),14.0)</f>
        <v>14</v>
      </c>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row>
    <row r="19">
      <c r="A19" s="49" t="str">
        <f>IFERROR(__xludf.DUMMYFUNCTION("""COMPUTED_VALUE"""),"Lizardfolk")</f>
        <v>Lizardfolk</v>
      </c>
      <c r="B19" s="49" t="str">
        <f>IFERROR(__xludf.DUMMYFUNCTION("""COMPUTED_VALUE"""),"+4 Con, +3 Mobility, +3 Evasion")</f>
        <v>+4 Con, +3 Mobility, +3 Evasion</v>
      </c>
      <c r="C19" s="50"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49" t="str">
        <f>IFERROR(__xludf.DUMMYFUNCTION("""COMPUTED_VALUE"""),"Humanoid")</f>
        <v>Humanoid</v>
      </c>
      <c r="E19" s="49"/>
      <c r="F19" s="49"/>
      <c r="G19" s="49"/>
      <c r="H19" s="49"/>
      <c r="I19" s="49"/>
      <c r="J19" s="49">
        <f>IFERROR(__xludf.DUMMYFUNCTION("""COMPUTED_VALUE"""),4.0)</f>
        <v>4</v>
      </c>
      <c r="K19" s="49">
        <f>IFERROR(__xludf.DUMMYFUNCTION("""COMPUTED_VALUE"""),3.0)</f>
        <v>3</v>
      </c>
      <c r="L19" s="49"/>
      <c r="M19" s="49">
        <f>IFERROR(__xludf.DUMMYFUNCTION("""COMPUTED_VALUE"""),3.0)</f>
        <v>3</v>
      </c>
      <c r="N19" s="49"/>
      <c r="O19" s="49"/>
      <c r="P19" s="49"/>
      <c r="Q19" s="49"/>
      <c r="R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row>
    <row r="20">
      <c r="A20" s="49" t="str">
        <f>IFERROR(__xludf.DUMMYFUNCTION("""COMPUTED_VALUE"""),"Mekanian")</f>
        <v>Mekanian</v>
      </c>
      <c r="B20" s="49" t="str">
        <f>IFERROR(__xludf.DUMMYFUNCTION("""COMPUTED_VALUE"""),"+5 Mobility, +3 Constitution,")</f>
        <v>+5 Mobility, +3 Constitution,</v>
      </c>
      <c r="C20" s="50"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49" t="str">
        <f>IFERROR(__xludf.DUMMYFUNCTION("""COMPUTED_VALUE"""),"Construct")</f>
        <v>Construct</v>
      </c>
      <c r="E20" s="49"/>
      <c r="F20" s="49"/>
      <c r="G20" s="49"/>
      <c r="H20" s="49"/>
      <c r="I20" s="49"/>
      <c r="J20" s="49">
        <f>IFERROR(__xludf.DUMMYFUNCTION("""COMPUTED_VALUE"""),3.0)</f>
        <v>3</v>
      </c>
      <c r="K20" s="49"/>
      <c r="L20" s="49"/>
      <c r="M20" s="49">
        <f>IFERROR(__xludf.DUMMYFUNCTION("""COMPUTED_VALUE"""),5.0)</f>
        <v>5</v>
      </c>
      <c r="N20" s="49"/>
      <c r="O20" s="49"/>
      <c r="P20" s="49"/>
      <c r="Q20" s="49"/>
      <c r="R20" s="49"/>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row>
    <row r="21">
      <c r="A21" s="49" t="str">
        <f>IFERROR(__xludf.DUMMYFUNCTION("""COMPUTED_VALUE"""),"Naga")</f>
        <v>Naga</v>
      </c>
      <c r="B21" s="49" t="str">
        <f>IFERROR(__xludf.DUMMYFUNCTION("""COMPUTED_VALUE"""),"+5 Mobility, +5 Wisdom")</f>
        <v>+5 Mobility, +5 Wisdom</v>
      </c>
      <c r="C21" s="50"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49" t="str">
        <f>IFERROR(__xludf.DUMMYFUNCTION("""COMPUTED_VALUE"""),"Humanoid")</f>
        <v>Humanoid</v>
      </c>
      <c r="E21" s="49"/>
      <c r="F21" s="49"/>
      <c r="G21" s="49"/>
      <c r="H21" s="49"/>
      <c r="I21" s="49">
        <f>IFERROR(__xludf.DUMMYFUNCTION("""COMPUTED_VALUE"""),5.0)</f>
        <v>5</v>
      </c>
      <c r="J21" s="49"/>
      <c r="K21" s="49"/>
      <c r="L21" s="49"/>
      <c r="M21" s="49">
        <f>IFERROR(__xludf.DUMMYFUNCTION("""COMPUTED_VALUE"""),5.0)</f>
        <v>5</v>
      </c>
      <c r="N21" s="49"/>
      <c r="O21" s="49"/>
      <c r="P21" s="49"/>
      <c r="Q21" s="49"/>
      <c r="R21" s="49"/>
      <c r="S21" s="49"/>
      <c r="T21" s="49"/>
      <c r="U21" s="49"/>
      <c r="V21" s="49">
        <f>IFERROR(__xludf.DUMMYFUNCTION("""COMPUTED_VALUE"""),1.0)</f>
        <v>1</v>
      </c>
      <c r="W21" s="49"/>
      <c r="X21" s="49"/>
      <c r="Y21" s="49"/>
      <c r="Z21" s="49"/>
      <c r="AA21" s="49"/>
      <c r="AB21" s="49">
        <f>IFERROR(__xludf.DUMMYFUNCTION("""COMPUTED_VALUE"""),1.0)</f>
        <v>1</v>
      </c>
      <c r="AC21" s="49"/>
      <c r="AD21" s="49"/>
      <c r="AE21" s="49"/>
      <c r="AF21" s="49"/>
      <c r="AG21" s="49"/>
      <c r="AH21" s="49"/>
      <c r="AI21" s="49"/>
      <c r="AJ21" s="49"/>
      <c r="AK21" s="49"/>
      <c r="AL21" s="49"/>
      <c r="AM21" s="49"/>
      <c r="AN21" s="49"/>
      <c r="AO21" s="49"/>
      <c r="AP21" s="49"/>
      <c r="AQ21" s="49"/>
      <c r="AR21" s="49"/>
      <c r="AS21" s="49"/>
      <c r="AT21" s="49"/>
      <c r="AU21" s="49"/>
      <c r="AV21" s="49"/>
      <c r="AW21" s="49"/>
      <c r="AX21" s="49"/>
    </row>
    <row r="22">
      <c r="A22" s="49" t="str">
        <f>IFERROR(__xludf.DUMMYFUNCTION("""COMPUTED_VALUE"""),"Night Elf")</f>
        <v>Night Elf</v>
      </c>
      <c r="B22" s="49" t="str">
        <f>IFERROR(__xludf.DUMMYFUNCTION("""COMPUTED_VALUE"""),"+3 Charisma, +3 Evasion, +2 Wisdom")</f>
        <v>+3 Charisma, +3 Evasion, +2 Wisdom</v>
      </c>
      <c r="C22" s="50" t="str">
        <f>IFERROR(__xludf.DUMMYFUNCTION("""COMPUTED_VALUE"""),"Has dark-vision. 
X2 damage dealt in a dark enviroment.")</f>
        <v>Has dark-vision. 
X2 damage dealt in a dark enviroment.</v>
      </c>
      <c r="D22" s="49" t="str">
        <f>IFERROR(__xludf.DUMMYFUNCTION("""COMPUTED_VALUE"""),"Fae")</f>
        <v>Fae</v>
      </c>
      <c r="E22" s="49"/>
      <c r="F22" s="49"/>
      <c r="G22" s="49"/>
      <c r="H22" s="49">
        <f>IFERROR(__xludf.DUMMYFUNCTION("""COMPUTED_VALUE"""),3.0)</f>
        <v>3</v>
      </c>
      <c r="I22" s="49">
        <f>IFERROR(__xludf.DUMMYFUNCTION("""COMPUTED_VALUE"""),2.0)</f>
        <v>2</v>
      </c>
      <c r="J22" s="49"/>
      <c r="K22" s="49">
        <f>IFERROR(__xludf.DUMMYFUNCTION("""COMPUTED_VALUE"""),3.0)</f>
        <v>3</v>
      </c>
      <c r="L22" s="49"/>
      <c r="M22" s="49"/>
      <c r="N22" s="49"/>
      <c r="O22" s="49"/>
      <c r="P22" s="49"/>
      <c r="Q22" s="49"/>
      <c r="R22" s="49"/>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row>
    <row r="23">
      <c r="A23" s="49" t="str">
        <f>IFERROR(__xludf.DUMMYFUNCTION("""COMPUTED_VALUE"""),"Orc")</f>
        <v>Orc</v>
      </c>
      <c r="B23" s="49" t="str">
        <f>IFERROR(__xludf.DUMMYFUNCTION("""COMPUTED_VALUE"""),"+2 Mobility, +6 Constituion,")</f>
        <v>+2 Mobility, +6 Constituion,</v>
      </c>
      <c r="C23" s="50" t="str">
        <f>IFERROR(__xludf.DUMMYFUNCTION("""COMPUTED_VALUE"""),"Half the SP cost for Physical, Melee, and Ranged Spells.")</f>
        <v>Half the SP cost for Physical, Melee, and Ranged Spells.</v>
      </c>
      <c r="D23" s="49" t="str">
        <f>IFERROR(__xludf.DUMMYFUNCTION("""COMPUTED_VALUE"""),"Humanoid")</f>
        <v>Humanoid</v>
      </c>
      <c r="E23" s="49"/>
      <c r="F23" s="49"/>
      <c r="G23" s="49"/>
      <c r="H23" s="49"/>
      <c r="I23" s="49"/>
      <c r="J23" s="49">
        <f>IFERROR(__xludf.DUMMYFUNCTION("""COMPUTED_VALUE"""),6.0)</f>
        <v>6</v>
      </c>
      <c r="K23" s="49"/>
      <c r="L23" s="49"/>
      <c r="M23" s="49">
        <f>IFERROR(__xludf.DUMMYFUNCTION("""COMPUTED_VALUE"""),2.0)</f>
        <v>2</v>
      </c>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row>
    <row r="24">
      <c r="A24" s="49" t="str">
        <f>IFERROR(__xludf.DUMMYFUNCTION("""COMPUTED_VALUE"""),"Poultrian")</f>
        <v>Poultrian</v>
      </c>
      <c r="B24" s="49" t="str">
        <f>IFERROR(__xludf.DUMMYFUNCTION("""COMPUTED_VALUE"""),"+4 Mobility +4 Evasion ")</f>
        <v>+4 Mobility +4 Evasion </v>
      </c>
      <c r="C24" s="50" t="str">
        <f>IFERROR(__xludf.DUMMYFUNCTION("""COMPUTED_VALUE"""),"Days to hatch eggs are reduced by half after rolling 
Starts with the Sub-Class Breeder
Has dark-vision. ")</f>
        <v>Days to hatch eggs are reduced by half after rolling 
Starts with the Sub-Class Breeder
Has dark-vision. </v>
      </c>
      <c r="D24" s="49" t="str">
        <f>IFERROR(__xludf.DUMMYFUNCTION("""COMPUTED_VALUE"""),"Humanoid")</f>
        <v>Humanoid</v>
      </c>
      <c r="E24" s="49"/>
      <c r="F24" s="49"/>
      <c r="G24" s="49"/>
      <c r="H24" s="49"/>
      <c r="I24" s="49"/>
      <c r="J24" s="49"/>
      <c r="K24" s="49">
        <f>IFERROR(__xludf.DUMMYFUNCTION("""COMPUTED_VALUE"""),4.0)</f>
        <v>4</v>
      </c>
      <c r="L24" s="49"/>
      <c r="M24" s="49">
        <f>IFERROR(__xludf.DUMMYFUNCTION("""COMPUTED_VALUE"""),4.0)</f>
        <v>4</v>
      </c>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row>
    <row r="25">
      <c r="A25" s="49" t="str">
        <f>IFERROR(__xludf.DUMMYFUNCTION("""COMPUTED_VALUE"""),"Pure Elf")</f>
        <v>Pure Elf</v>
      </c>
      <c r="B25" s="49" t="str">
        <f>IFERROR(__xludf.DUMMYFUNCTION("""COMPUTED_VALUE"""),"+3 Charisma, +3 Wisdom, +2 Evasion")</f>
        <v>+3 Charisma, +3 Wisdom, +2 Evasion</v>
      </c>
      <c r="C25" s="50" t="str">
        <f>IFERROR(__xludf.DUMMYFUNCTION("""COMPUTED_VALUE"""),"25% chance to be unaffected by spells casted by enemies.")</f>
        <v>25% chance to be unaffected by spells casted by enemies.</v>
      </c>
      <c r="D25" s="49" t="str">
        <f>IFERROR(__xludf.DUMMYFUNCTION("""COMPUTED_VALUE"""),"Fae")</f>
        <v>Fae</v>
      </c>
      <c r="E25" s="49"/>
      <c r="F25" s="49"/>
      <c r="G25" s="49"/>
      <c r="H25" s="49">
        <f>IFERROR(__xludf.DUMMYFUNCTION("""COMPUTED_VALUE"""),3.0)</f>
        <v>3</v>
      </c>
      <c r="I25" s="49">
        <f>IFERROR(__xludf.DUMMYFUNCTION("""COMPUTED_VALUE"""),3.0)</f>
        <v>3</v>
      </c>
      <c r="J25" s="49"/>
      <c r="K25" s="49">
        <f>IFERROR(__xludf.DUMMYFUNCTION("""COMPUTED_VALUE"""),2.0)</f>
        <v>2</v>
      </c>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49"/>
      <c r="AO25" s="49"/>
      <c r="AP25" s="49"/>
      <c r="AQ25" s="49"/>
      <c r="AR25" s="49"/>
      <c r="AS25" s="49"/>
      <c r="AT25" s="49"/>
      <c r="AU25" s="49"/>
      <c r="AV25" s="49"/>
      <c r="AW25" s="49"/>
      <c r="AX25" s="49"/>
    </row>
    <row r="26">
      <c r="A26" s="49" t="str">
        <f>IFERROR(__xludf.DUMMYFUNCTION("""COMPUTED_VALUE"""),"Shape Shifter")</f>
        <v>Shape Shifter</v>
      </c>
      <c r="B26" s="49" t="str">
        <f>IFERROR(__xludf.DUMMYFUNCTION("""COMPUTED_VALUE"""),"+14 Wisdom")</f>
        <v>+14 Wisdom</v>
      </c>
      <c r="C26" s="50"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49" t="str">
        <f>IFERROR(__xludf.DUMMYFUNCTION("""COMPUTED_VALUE"""),"Fae")</f>
        <v>Fae</v>
      </c>
      <c r="E26" s="49"/>
      <c r="F26" s="49"/>
      <c r="G26" s="49"/>
      <c r="H26" s="49"/>
      <c r="I26" s="49">
        <f>IFERROR(__xludf.DUMMYFUNCTION("""COMPUTED_VALUE"""),14.0)</f>
        <v>14</v>
      </c>
      <c r="J26" s="49"/>
      <c r="K26" s="49"/>
      <c r="L26" s="49"/>
      <c r="M26" s="49"/>
      <c r="N26" s="49"/>
      <c r="O26" s="49"/>
      <c r="P26" s="49"/>
      <c r="Q26" s="49"/>
      <c r="R26" s="49"/>
      <c r="S26" s="49"/>
      <c r="T26" s="49"/>
      <c r="U26" s="49"/>
      <c r="V26" s="49"/>
      <c r="W26" s="49"/>
      <c r="X26" s="49"/>
      <c r="Y26" s="49"/>
      <c r="Z26" s="49"/>
      <c r="AA26" s="49"/>
      <c r="AB26" s="49"/>
      <c r="AC26" s="49"/>
      <c r="AD26" s="49"/>
      <c r="AE26" s="49"/>
      <c r="AF26" s="49"/>
      <c r="AG26" s="49"/>
      <c r="AH26" s="49"/>
      <c r="AI26" s="49"/>
      <c r="AJ26" s="49"/>
      <c r="AK26" s="49"/>
      <c r="AL26" s="49"/>
      <c r="AM26" s="49"/>
      <c r="AN26" s="49"/>
      <c r="AO26" s="49"/>
      <c r="AP26" s="49"/>
      <c r="AQ26" s="49"/>
      <c r="AR26" s="49"/>
      <c r="AS26" s="49"/>
      <c r="AT26" s="49"/>
      <c r="AU26" s="49"/>
      <c r="AV26" s="49"/>
      <c r="AW26" s="49"/>
      <c r="AX26" s="49"/>
    </row>
    <row r="27">
      <c r="A27" s="49" t="str">
        <f>IFERROR(__xludf.DUMMYFUNCTION("""COMPUTED_VALUE"""),"Specter")</f>
        <v>Specter</v>
      </c>
      <c r="B27" s="49" t="str">
        <f>IFERROR(__xludf.DUMMYFUNCTION("""COMPUTED_VALUE"""),"+6 Mobility, +6 Wisdom")</f>
        <v>+6 Mobility, +6 Wisdom</v>
      </c>
      <c r="C27" s="50"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49" t="str">
        <f>IFERROR(__xludf.DUMMYFUNCTION("""COMPUTED_VALUE"""),"Spirit")</f>
        <v>Spirit</v>
      </c>
      <c r="E27" s="49"/>
      <c r="F27" s="49"/>
      <c r="G27" s="49"/>
      <c r="H27" s="49"/>
      <c r="I27" s="49">
        <f>IFERROR(__xludf.DUMMYFUNCTION("""COMPUTED_VALUE"""),6.0)</f>
        <v>6</v>
      </c>
      <c r="J27" s="49"/>
      <c r="K27" s="49"/>
      <c r="L27" s="49"/>
      <c r="M27" s="49">
        <f>IFERROR(__xludf.DUMMYFUNCTION("""COMPUTED_VALUE"""),6.0)</f>
        <v>6</v>
      </c>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9"/>
      <c r="AU27" s="49"/>
      <c r="AV27" s="49"/>
      <c r="AW27" s="49"/>
      <c r="AX27" s="49"/>
    </row>
    <row r="28">
      <c r="A28" s="49" t="str">
        <f>IFERROR(__xludf.DUMMYFUNCTION("""COMPUTED_VALUE"""),"Triton/Mermaid")</f>
        <v>Triton/Mermaid</v>
      </c>
      <c r="B28" s="49" t="str">
        <f>IFERROR(__xludf.DUMMYFUNCTION("""COMPUTED_VALUE"""),"+4 Constitution +4 Wisdom")</f>
        <v>+4 Constitution +4 Wisdom</v>
      </c>
      <c r="C28" s="50"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49" t="str">
        <f>IFERROR(__xludf.DUMMYFUNCTION("""COMPUTED_VALUE"""),"Fae")</f>
        <v>Fae</v>
      </c>
      <c r="E28" s="49"/>
      <c r="F28" s="49"/>
      <c r="G28" s="49"/>
      <c r="H28" s="49"/>
      <c r="I28" s="49">
        <f>IFERROR(__xludf.DUMMYFUNCTION("""COMPUTED_VALUE"""),4.0)</f>
        <v>4</v>
      </c>
      <c r="J28" s="49">
        <f>IFERROR(__xludf.DUMMYFUNCTION("""COMPUTED_VALUE"""),4.0)</f>
        <v>4</v>
      </c>
      <c r="K28" s="49"/>
      <c r="L28" s="49"/>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9"/>
      <c r="AU28" s="49"/>
      <c r="AV28" s="49"/>
      <c r="AW28" s="49"/>
      <c r="AX28" s="49"/>
    </row>
    <row r="29">
      <c r="A29" s="49" t="str">
        <f>IFERROR(__xludf.DUMMYFUNCTION("""COMPUTED_VALUE"""),"Troll")</f>
        <v>Troll</v>
      </c>
      <c r="B29" s="49" t="str">
        <f>IFERROR(__xludf.DUMMYFUNCTION("""COMPUTED_VALUE"""),"+10 Constitution -2 Wisdom")</f>
        <v>+10 Constitution -2 Wisdom</v>
      </c>
      <c r="C29" s="50" t="str">
        <f>IFERROR(__xludf.DUMMYFUNCTION("""COMPUTED_VALUE"""),"Has dark-vision. 
Can turn SP into HP or HP into SP.")</f>
        <v>Has dark-vision. 
Can turn SP into HP or HP into SP.</v>
      </c>
      <c r="D29" s="49" t="str">
        <f>IFERROR(__xludf.DUMMYFUNCTION("""COMPUTED_VALUE"""),"Humanoid")</f>
        <v>Humanoid</v>
      </c>
      <c r="E29" s="49"/>
      <c r="F29" s="49"/>
      <c r="G29" s="49"/>
      <c r="H29" s="49"/>
      <c r="I29" s="49">
        <f>IFERROR(__xludf.DUMMYFUNCTION("""COMPUTED_VALUE"""),-2.0)</f>
        <v>-2</v>
      </c>
      <c r="J29" s="49">
        <f>IFERROR(__xludf.DUMMYFUNCTION("""COMPUTED_VALUE"""),10.0)</f>
        <v>10</v>
      </c>
      <c r="K29" s="49"/>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9"/>
      <c r="AU29" s="49"/>
      <c r="AV29" s="49"/>
      <c r="AW29" s="49"/>
      <c r="AX29" s="49"/>
    </row>
    <row r="30">
      <c r="A30" s="49" t="str">
        <f>IFERROR(__xludf.DUMMYFUNCTION("""COMPUTED_VALUE"""),"Vampire")</f>
        <v>Vampire</v>
      </c>
      <c r="B30" s="49" t="str">
        <f>IFERROR(__xludf.DUMMYFUNCTION("""COMPUTED_VALUE"""),"+4 Wisdom +4 Constitution")</f>
        <v>+4 Wisdom +4 Constitution</v>
      </c>
      <c r="C30" s="50" t="str">
        <f>IFERROR(__xludf.DUMMYFUNCTION("""COMPUTED_VALUE"""),"Has dark-vision.  
Any attack gives you HP back equal to half the damage you caused.")</f>
        <v>Has dark-vision.  
Any attack gives you HP back equal to half the damage you caused.</v>
      </c>
      <c r="D30" s="49" t="str">
        <f>IFERROR(__xludf.DUMMYFUNCTION("""COMPUTED_VALUE"""),"Undead")</f>
        <v>Undead</v>
      </c>
      <c r="E30" s="49"/>
      <c r="F30" s="49"/>
      <c r="G30" s="49"/>
      <c r="H30" s="49"/>
      <c r="I30" s="49">
        <f>IFERROR(__xludf.DUMMYFUNCTION("""COMPUTED_VALUE"""),4.0)</f>
        <v>4</v>
      </c>
      <c r="J30" s="49">
        <f>IFERROR(__xludf.DUMMYFUNCTION("""COMPUTED_VALUE"""),4.0)</f>
        <v>4</v>
      </c>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9"/>
      <c r="AU30" s="49"/>
      <c r="AV30" s="49"/>
      <c r="AW30" s="49"/>
      <c r="AX30" s="49"/>
    </row>
    <row r="31">
      <c r="A31" s="49" t="str">
        <f>IFERROR(__xludf.DUMMYFUNCTION("""COMPUTED_VALUE"""),"Wraith")</f>
        <v>Wraith</v>
      </c>
      <c r="B31" s="49" t="str">
        <f>IFERROR(__xludf.DUMMYFUNCTION("""COMPUTED_VALUE"""),"+4 Constitution +4 Wisdom")</f>
        <v>+4 Constitution +4 Wisdom</v>
      </c>
      <c r="C31" s="50" t="str">
        <f>IFERROR(__xludf.DUMMYFUNCTION("""COMPUTED_VALUE"""),"Immune to Chaos, Voodoo, Dark, and Instant Death
X4 Spirit Damage")</f>
        <v>Immune to Chaos, Voodoo, Dark, and Instant Death
X4 Spirit Damage</v>
      </c>
      <c r="D31" s="49" t="str">
        <f>IFERROR(__xludf.DUMMYFUNCTION("""COMPUTED_VALUE"""),"Spirit")</f>
        <v>Spirit</v>
      </c>
      <c r="E31" s="49"/>
      <c r="F31" s="49"/>
      <c r="G31" s="49"/>
      <c r="H31" s="49"/>
      <c r="I31" s="49">
        <f>IFERROR(__xludf.DUMMYFUNCTION("""COMPUTED_VALUE"""),4.0)</f>
        <v>4</v>
      </c>
      <c r="J31" s="49"/>
      <c r="K31" s="49"/>
      <c r="L31" s="49"/>
      <c r="M31" s="49"/>
      <c r="N31" s="49"/>
      <c r="O31" s="49"/>
      <c r="P31" s="49"/>
      <c r="Q31" s="49"/>
      <c r="R31" s="49"/>
      <c r="S31" s="49"/>
      <c r="T31" s="49"/>
      <c r="U31" s="49"/>
      <c r="V31" s="49"/>
      <c r="W31" s="49"/>
      <c r="X31" s="49"/>
      <c r="Y31" s="49"/>
      <c r="Z31" s="49"/>
      <c r="AA31" s="49"/>
      <c r="AB31" s="49"/>
      <c r="AC31" s="49"/>
      <c r="AD31" s="49"/>
      <c r="AE31" s="49"/>
      <c r="AF31" s="49"/>
      <c r="AG31" s="49"/>
      <c r="AH31" s="49"/>
      <c r="AI31" s="49"/>
      <c r="AJ31" s="49"/>
      <c r="AK31" s="49"/>
      <c r="AL31" s="49"/>
      <c r="AM31" s="49"/>
      <c r="AN31" s="49"/>
      <c r="AO31" s="49"/>
      <c r="AP31" s="49"/>
      <c r="AQ31" s="49"/>
      <c r="AR31" s="49"/>
      <c r="AS31" s="49"/>
      <c r="AT31" s="49"/>
      <c r="AU31" s="49"/>
      <c r="AV31" s="49"/>
      <c r="AW31" s="49"/>
      <c r="AX31" s="49"/>
    </row>
    <row r="32">
      <c r="A32" s="49"/>
      <c r="B32" s="49"/>
      <c r="C32" s="50"/>
      <c r="D32" s="49"/>
      <c r="E32" s="49"/>
      <c r="F32" s="49"/>
      <c r="G32" s="49"/>
      <c r="H32" s="49"/>
      <c r="I32" s="49"/>
      <c r="J32" s="49"/>
      <c r="K32" s="49"/>
      <c r="L32" s="49"/>
      <c r="M32" s="49"/>
      <c r="N32" s="49"/>
      <c r="O32" s="49"/>
      <c r="P32" s="49"/>
      <c r="Q32" s="49"/>
      <c r="R32" s="49"/>
      <c r="S32" s="49"/>
      <c r="T32" s="49"/>
      <c r="U32" s="49"/>
      <c r="V32" s="49"/>
      <c r="W32" s="49"/>
      <c r="X32" s="49"/>
      <c r="Y32" s="49"/>
      <c r="Z32" s="49"/>
      <c r="AA32" s="49"/>
      <c r="AB32" s="49"/>
      <c r="AC32" s="49"/>
      <c r="AD32" s="49"/>
      <c r="AE32" s="49"/>
      <c r="AF32" s="49"/>
      <c r="AG32" s="49"/>
      <c r="AH32" s="49"/>
      <c r="AI32" s="49"/>
      <c r="AJ32" s="49"/>
      <c r="AK32" s="49"/>
      <c r="AL32" s="49"/>
      <c r="AM32" s="49"/>
      <c r="AN32" s="49"/>
      <c r="AO32" s="49"/>
      <c r="AP32" s="49"/>
      <c r="AQ32" s="49"/>
      <c r="AR32" s="49"/>
      <c r="AS32" s="49"/>
      <c r="AT32" s="49"/>
      <c r="AU32" s="49"/>
      <c r="AV32" s="49"/>
      <c r="AW32" s="49"/>
      <c r="AX32" s="49"/>
    </row>
    <row r="33">
      <c r="A33" s="49"/>
      <c r="B33" s="49"/>
      <c r="C33" s="50"/>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49"/>
      <c r="AJ33" s="49"/>
      <c r="AK33" s="49"/>
      <c r="AL33" s="49"/>
      <c r="AM33" s="49"/>
      <c r="AN33" s="49"/>
      <c r="AO33" s="49"/>
      <c r="AP33" s="49"/>
      <c r="AQ33" s="49"/>
      <c r="AR33" s="49"/>
      <c r="AS33" s="49"/>
      <c r="AT33" s="49"/>
      <c r="AU33" s="49"/>
      <c r="AV33" s="49"/>
      <c r="AW33" s="49"/>
      <c r="AX33" s="49"/>
    </row>
    <row r="34">
      <c r="A34" s="49"/>
      <c r="B34" s="49"/>
      <c r="C34" s="50"/>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49"/>
      <c r="AJ34" s="49"/>
      <c r="AK34" s="49"/>
      <c r="AL34" s="49"/>
      <c r="AM34" s="49"/>
      <c r="AN34" s="49"/>
      <c r="AO34" s="49"/>
      <c r="AP34" s="49"/>
      <c r="AQ34" s="49"/>
      <c r="AR34" s="49"/>
      <c r="AS34" s="49"/>
      <c r="AT34" s="49"/>
      <c r="AU34" s="49"/>
      <c r="AV34" s="49"/>
      <c r="AW34" s="49"/>
      <c r="AX34" s="49"/>
    </row>
    <row r="35">
      <c r="A35" s="49"/>
      <c r="B35" s="49"/>
      <c r="C35" s="50"/>
      <c r="D35" s="49"/>
      <c r="E35" s="49"/>
      <c r="F35" s="49"/>
      <c r="G35" s="49"/>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49"/>
      <c r="AJ35" s="49"/>
      <c r="AK35" s="49"/>
      <c r="AL35" s="49"/>
      <c r="AM35" s="49"/>
      <c r="AN35" s="49"/>
      <c r="AO35" s="49"/>
      <c r="AP35" s="49"/>
      <c r="AQ35" s="49"/>
      <c r="AR35" s="49"/>
      <c r="AS35" s="49"/>
      <c r="AT35" s="49"/>
      <c r="AU35" s="49"/>
      <c r="AV35" s="49"/>
      <c r="AW35" s="49"/>
      <c r="AX35" s="49"/>
    </row>
    <row r="36">
      <c r="A36" s="49"/>
      <c r="B36" s="49"/>
      <c r="C36" s="50"/>
      <c r="D36" s="49"/>
      <c r="E36" s="49"/>
      <c r="F36" s="49"/>
      <c r="G36" s="49"/>
      <c r="H36" s="49"/>
      <c r="I36" s="49"/>
      <c r="J36" s="49"/>
      <c r="K36" s="49"/>
      <c r="L36" s="49"/>
      <c r="M36" s="49"/>
      <c r="N36" s="49"/>
      <c r="O36" s="49"/>
      <c r="P36" s="49"/>
      <c r="Q36" s="49"/>
      <c r="R36" s="49"/>
      <c r="S36" s="49"/>
      <c r="T36" s="49"/>
      <c r="U36" s="49"/>
      <c r="V36" s="49"/>
      <c r="W36" s="49"/>
      <c r="X36" s="49"/>
      <c r="Y36" s="49"/>
      <c r="Z36" s="49"/>
      <c r="AA36" s="49"/>
      <c r="AB36" s="49"/>
      <c r="AC36" s="49"/>
      <c r="AD36" s="49"/>
      <c r="AE36" s="49"/>
      <c r="AF36" s="49"/>
      <c r="AG36" s="49"/>
      <c r="AH36" s="49"/>
      <c r="AI36" s="49"/>
      <c r="AJ36" s="49"/>
      <c r="AK36" s="49"/>
      <c r="AL36" s="49"/>
      <c r="AM36" s="49"/>
      <c r="AN36" s="49"/>
      <c r="AO36" s="49"/>
      <c r="AP36" s="49"/>
      <c r="AQ36" s="49"/>
      <c r="AR36" s="49"/>
      <c r="AS36" s="49"/>
      <c r="AT36" s="49"/>
      <c r="AU36" s="49"/>
      <c r="AV36" s="49"/>
      <c r="AW36" s="49"/>
      <c r="AX36" s="49"/>
    </row>
    <row r="37">
      <c r="A37" s="49"/>
      <c r="B37" s="49"/>
      <c r="C37" s="50"/>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c r="AH37" s="49"/>
      <c r="AI37" s="49"/>
      <c r="AJ37" s="49"/>
      <c r="AK37" s="49"/>
      <c r="AL37" s="49"/>
      <c r="AM37" s="49"/>
      <c r="AN37" s="49"/>
      <c r="AO37" s="49"/>
      <c r="AP37" s="49"/>
      <c r="AQ37" s="49"/>
      <c r="AR37" s="49"/>
      <c r="AS37" s="49"/>
      <c r="AT37" s="49"/>
      <c r="AU37" s="49"/>
      <c r="AV37" s="49"/>
      <c r="AW37" s="49"/>
      <c r="AX37" s="49"/>
    </row>
    <row r="38">
      <c r="A38" s="49"/>
      <c r="B38" s="49"/>
      <c r="C38" s="50"/>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c r="AH38" s="49"/>
      <c r="AI38" s="49"/>
      <c r="AJ38" s="49"/>
      <c r="AK38" s="49"/>
      <c r="AL38" s="49"/>
      <c r="AM38" s="49"/>
      <c r="AN38" s="49"/>
      <c r="AO38" s="49"/>
      <c r="AP38" s="49"/>
      <c r="AQ38" s="49"/>
      <c r="AR38" s="49"/>
      <c r="AS38" s="49"/>
      <c r="AT38" s="49"/>
      <c r="AU38" s="49"/>
      <c r="AV38" s="49"/>
      <c r="AW38" s="49"/>
      <c r="AX38" s="49"/>
    </row>
    <row r="39">
      <c r="A39" s="49"/>
      <c r="B39" s="49"/>
      <c r="C39" s="50"/>
      <c r="D39" s="49"/>
      <c r="E39" s="49"/>
      <c r="F39" s="49"/>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9"/>
      <c r="AU39" s="49"/>
      <c r="AV39" s="49"/>
      <c r="AW39" s="49"/>
      <c r="AX39" s="49"/>
    </row>
    <row r="40">
      <c r="A40" s="49"/>
      <c r="B40" s="49"/>
      <c r="C40" s="50"/>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9"/>
      <c r="AU40" s="49"/>
      <c r="AV40" s="49"/>
      <c r="AW40" s="49"/>
      <c r="AX40" s="49"/>
    </row>
    <row r="41">
      <c r="A41" s="49"/>
      <c r="B41" s="49"/>
      <c r="C41" s="50"/>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9"/>
      <c r="AU41" s="49"/>
      <c r="AV41" s="49"/>
      <c r="AW41" s="49"/>
      <c r="AX41" s="49"/>
    </row>
    <row r="42">
      <c r="A42" s="49"/>
      <c r="B42" s="49"/>
      <c r="C42" s="50"/>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9"/>
      <c r="AU42" s="49"/>
      <c r="AV42" s="49"/>
      <c r="AW42" s="49"/>
      <c r="AX42" s="49"/>
    </row>
    <row r="43">
      <c r="A43" s="49"/>
      <c r="B43" s="49"/>
      <c r="C43" s="50"/>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c r="AH43" s="49"/>
      <c r="AI43" s="49"/>
      <c r="AJ43" s="49"/>
      <c r="AK43" s="49"/>
      <c r="AL43" s="49"/>
      <c r="AM43" s="49"/>
      <c r="AN43" s="49"/>
      <c r="AO43" s="49"/>
      <c r="AP43" s="49"/>
      <c r="AQ43" s="49"/>
      <c r="AR43" s="49"/>
      <c r="AS43" s="49"/>
      <c r="AT43" s="49"/>
      <c r="AU43" s="49"/>
      <c r="AV43" s="49"/>
      <c r="AW43" s="49"/>
      <c r="AX43" s="49"/>
    </row>
    <row r="44">
      <c r="A44" s="49"/>
      <c r="B44" s="49"/>
      <c r="C44" s="50"/>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c r="AH44" s="49"/>
      <c r="AI44" s="49"/>
      <c r="AJ44" s="49"/>
      <c r="AK44" s="49"/>
      <c r="AL44" s="49"/>
      <c r="AM44" s="49"/>
      <c r="AN44" s="49"/>
      <c r="AO44" s="49"/>
      <c r="AP44" s="49"/>
      <c r="AQ44" s="49"/>
      <c r="AR44" s="49"/>
      <c r="AS44" s="49"/>
      <c r="AT44" s="49"/>
      <c r="AU44" s="49"/>
      <c r="AV44" s="49"/>
      <c r="AW44" s="49"/>
      <c r="AX44" s="49"/>
    </row>
    <row r="45">
      <c r="A45" s="49"/>
      <c r="B45" s="49"/>
      <c r="C45" s="50"/>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c r="AH45" s="49"/>
      <c r="AI45" s="49"/>
      <c r="AJ45" s="49"/>
      <c r="AK45" s="49"/>
      <c r="AL45" s="49"/>
      <c r="AM45" s="49"/>
      <c r="AN45" s="49"/>
      <c r="AO45" s="49"/>
      <c r="AP45" s="49"/>
      <c r="AQ45" s="49"/>
      <c r="AR45" s="49"/>
      <c r="AS45" s="49"/>
      <c r="AT45" s="49"/>
      <c r="AU45" s="49"/>
      <c r="AV45" s="49"/>
      <c r="AW45" s="49"/>
      <c r="AX45" s="49"/>
    </row>
    <row r="46">
      <c r="A46" s="49"/>
      <c r="B46" s="49"/>
      <c r="C46" s="50"/>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c r="AH46" s="49"/>
      <c r="AI46" s="49"/>
      <c r="AJ46" s="49"/>
      <c r="AK46" s="49"/>
      <c r="AL46" s="49"/>
      <c r="AM46" s="49"/>
      <c r="AN46" s="49"/>
      <c r="AO46" s="49"/>
      <c r="AP46" s="49"/>
      <c r="AQ46" s="49"/>
      <c r="AR46" s="49"/>
      <c r="AS46" s="49"/>
      <c r="AT46" s="49"/>
      <c r="AU46" s="49"/>
      <c r="AV46" s="49"/>
      <c r="AW46" s="49"/>
      <c r="AX46" s="49"/>
    </row>
    <row r="47">
      <c r="A47" s="49"/>
      <c r="B47" s="49"/>
      <c r="C47" s="50"/>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49"/>
      <c r="AI47" s="49"/>
      <c r="AJ47" s="49"/>
      <c r="AK47" s="49"/>
      <c r="AL47" s="49"/>
      <c r="AM47" s="49"/>
      <c r="AN47" s="49"/>
      <c r="AO47" s="49"/>
      <c r="AP47" s="49"/>
      <c r="AQ47" s="49"/>
      <c r="AR47" s="49"/>
      <c r="AS47" s="49"/>
      <c r="AT47" s="49"/>
      <c r="AU47" s="49"/>
      <c r="AV47" s="49"/>
      <c r="AW47" s="49"/>
      <c r="AX47" s="49"/>
    </row>
    <row r="48">
      <c r="A48" s="49"/>
      <c r="B48" s="49"/>
      <c r="C48" s="50"/>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c r="AH48" s="49"/>
      <c r="AI48" s="49"/>
      <c r="AJ48" s="49"/>
      <c r="AK48" s="49"/>
      <c r="AL48" s="49"/>
      <c r="AM48" s="49"/>
      <c r="AN48" s="49"/>
      <c r="AO48" s="49"/>
      <c r="AP48" s="49"/>
      <c r="AQ48" s="49"/>
      <c r="AR48" s="49"/>
      <c r="AS48" s="49"/>
      <c r="AT48" s="49"/>
      <c r="AU48" s="49"/>
      <c r="AV48" s="49"/>
      <c r="AW48" s="49"/>
      <c r="AX48" s="49"/>
    </row>
    <row r="49">
      <c r="A49" s="49"/>
      <c r="B49" s="49"/>
      <c r="C49" s="50"/>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c r="AH49" s="49"/>
      <c r="AI49" s="49"/>
      <c r="AJ49" s="49"/>
      <c r="AK49" s="49"/>
      <c r="AL49" s="49"/>
      <c r="AM49" s="49"/>
      <c r="AN49" s="49"/>
      <c r="AO49" s="49"/>
      <c r="AP49" s="49"/>
      <c r="AQ49" s="49"/>
      <c r="AR49" s="49"/>
      <c r="AS49" s="49"/>
      <c r="AT49" s="49"/>
      <c r="AU49" s="49"/>
      <c r="AV49" s="49"/>
      <c r="AW49" s="49"/>
      <c r="AX49" s="49"/>
    </row>
    <row r="50">
      <c r="A50" s="49"/>
      <c r="B50" s="49"/>
      <c r="C50" s="50"/>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49"/>
      <c r="AI50" s="49"/>
      <c r="AJ50" s="49"/>
      <c r="AK50" s="49"/>
      <c r="AL50" s="49"/>
      <c r="AM50" s="49"/>
      <c r="AN50" s="49"/>
      <c r="AO50" s="49"/>
      <c r="AP50" s="49"/>
      <c r="AQ50" s="49"/>
      <c r="AR50" s="49"/>
      <c r="AS50" s="49"/>
      <c r="AT50" s="49"/>
      <c r="AU50" s="49"/>
      <c r="AV50" s="49"/>
      <c r="AW50" s="49"/>
      <c r="AX50" s="49"/>
    </row>
    <row r="51">
      <c r="A51" s="49"/>
      <c r="B51" s="49"/>
      <c r="C51" s="50"/>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c r="AH51" s="49"/>
      <c r="AI51" s="49"/>
      <c r="AJ51" s="49"/>
      <c r="AK51" s="49"/>
      <c r="AL51" s="49"/>
      <c r="AM51" s="49"/>
      <c r="AN51" s="49"/>
      <c r="AO51" s="49"/>
      <c r="AP51" s="49"/>
      <c r="AQ51" s="49"/>
      <c r="AR51" s="49"/>
      <c r="AS51" s="49"/>
      <c r="AT51" s="49"/>
      <c r="AU51" s="49"/>
      <c r="AV51" s="49"/>
      <c r="AW51" s="49"/>
      <c r="AX51" s="49"/>
    </row>
    <row r="52">
      <c r="A52" s="49"/>
      <c r="B52" s="49"/>
      <c r="C52" s="50"/>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49"/>
      <c r="AI52" s="49"/>
      <c r="AJ52" s="49"/>
      <c r="AK52" s="49"/>
      <c r="AL52" s="49"/>
      <c r="AM52" s="49"/>
      <c r="AN52" s="49"/>
      <c r="AO52" s="49"/>
      <c r="AP52" s="49"/>
      <c r="AQ52" s="49"/>
      <c r="AR52" s="49"/>
      <c r="AS52" s="49"/>
      <c r="AT52" s="49"/>
      <c r="AU52" s="49"/>
      <c r="AV52" s="49"/>
      <c r="AW52" s="49"/>
      <c r="AX52" s="49"/>
    </row>
    <row r="53">
      <c r="A53" s="49"/>
      <c r="B53" s="49"/>
      <c r="C53" s="50"/>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49"/>
      <c r="AI53" s="49"/>
      <c r="AJ53" s="49"/>
      <c r="AK53" s="49"/>
      <c r="AL53" s="49"/>
      <c r="AM53" s="49"/>
      <c r="AN53" s="49"/>
      <c r="AO53" s="49"/>
      <c r="AP53" s="49"/>
      <c r="AQ53" s="49"/>
      <c r="AR53" s="49"/>
      <c r="AS53" s="49"/>
      <c r="AT53" s="49"/>
      <c r="AU53" s="49"/>
      <c r="AV53" s="49"/>
      <c r="AW53" s="49"/>
      <c r="AX53" s="49"/>
    </row>
    <row r="54">
      <c r="A54" s="49"/>
      <c r="B54" s="49"/>
      <c r="C54" s="50"/>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49"/>
      <c r="AI54" s="49"/>
      <c r="AJ54" s="49"/>
      <c r="AK54" s="49"/>
      <c r="AL54" s="49"/>
      <c r="AM54" s="49"/>
      <c r="AN54" s="49"/>
      <c r="AO54" s="49"/>
      <c r="AP54" s="49"/>
      <c r="AQ54" s="49"/>
      <c r="AR54" s="49"/>
      <c r="AS54" s="49"/>
      <c r="AT54" s="49"/>
      <c r="AU54" s="49"/>
      <c r="AV54" s="49"/>
      <c r="AW54" s="49"/>
      <c r="AX54" s="49"/>
    </row>
    <row r="55">
      <c r="A55" s="49"/>
      <c r="B55" s="49"/>
      <c r="C55" s="50"/>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c r="AH55" s="49"/>
      <c r="AI55" s="49"/>
      <c r="AJ55" s="49"/>
      <c r="AK55" s="49"/>
      <c r="AL55" s="49"/>
      <c r="AM55" s="49"/>
      <c r="AN55" s="49"/>
      <c r="AO55" s="49"/>
      <c r="AP55" s="49"/>
      <c r="AQ55" s="49"/>
      <c r="AR55" s="49"/>
      <c r="AS55" s="49"/>
      <c r="AT55" s="49"/>
      <c r="AU55" s="49"/>
      <c r="AV55" s="49"/>
      <c r="AW55" s="49"/>
      <c r="AX55" s="49"/>
    </row>
    <row r="56">
      <c r="A56" s="49"/>
      <c r="B56" s="49"/>
      <c r="C56" s="50"/>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49"/>
      <c r="AI56" s="49"/>
      <c r="AJ56" s="49"/>
      <c r="AK56" s="49"/>
      <c r="AL56" s="49"/>
      <c r="AM56" s="49"/>
      <c r="AN56" s="49"/>
      <c r="AO56" s="49"/>
      <c r="AP56" s="49"/>
      <c r="AQ56" s="49"/>
      <c r="AR56" s="49"/>
      <c r="AS56" s="49"/>
      <c r="AT56" s="49"/>
      <c r="AU56" s="49"/>
      <c r="AV56" s="49"/>
      <c r="AW56" s="49"/>
      <c r="AX56" s="49"/>
    </row>
    <row r="57">
      <c r="A57" s="49"/>
      <c r="B57" s="49"/>
      <c r="C57" s="50"/>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49"/>
      <c r="AI57" s="49"/>
      <c r="AJ57" s="49"/>
      <c r="AK57" s="49"/>
      <c r="AL57" s="49"/>
      <c r="AM57" s="49"/>
      <c r="AN57" s="49"/>
      <c r="AO57" s="49"/>
      <c r="AP57" s="49"/>
      <c r="AQ57" s="49"/>
      <c r="AR57" s="49"/>
      <c r="AS57" s="49"/>
      <c r="AT57" s="49"/>
      <c r="AU57" s="49"/>
      <c r="AV57" s="49"/>
      <c r="AW57" s="49"/>
      <c r="AX57" s="49"/>
    </row>
    <row r="58">
      <c r="A58" s="49"/>
      <c r="B58" s="49"/>
      <c r="C58" s="50"/>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49"/>
      <c r="AI58" s="49"/>
      <c r="AJ58" s="49"/>
      <c r="AK58" s="49"/>
      <c r="AL58" s="49"/>
      <c r="AM58" s="49"/>
      <c r="AN58" s="49"/>
      <c r="AO58" s="49"/>
      <c r="AP58" s="49"/>
      <c r="AQ58" s="49"/>
      <c r="AR58" s="49"/>
      <c r="AS58" s="49"/>
      <c r="AT58" s="49"/>
      <c r="AU58" s="49"/>
      <c r="AV58" s="49"/>
      <c r="AW58" s="49"/>
      <c r="AX58" s="49"/>
    </row>
    <row r="59">
      <c r="A59" s="49"/>
      <c r="B59" s="49"/>
      <c r="C59" s="50"/>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49"/>
      <c r="AI59" s="49"/>
      <c r="AJ59" s="49"/>
      <c r="AK59" s="49"/>
      <c r="AL59" s="49"/>
      <c r="AM59" s="49"/>
      <c r="AN59" s="49"/>
      <c r="AO59" s="49"/>
      <c r="AP59" s="49"/>
      <c r="AQ59" s="49"/>
      <c r="AR59" s="49"/>
      <c r="AS59" s="49"/>
      <c r="AT59" s="49"/>
      <c r="AU59" s="49"/>
      <c r="AV59" s="49"/>
      <c r="AW59" s="49"/>
      <c r="AX59" s="49"/>
    </row>
    <row r="60">
      <c r="A60" s="49"/>
      <c r="B60" s="49"/>
      <c r="C60" s="50"/>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49"/>
      <c r="AI60" s="49"/>
      <c r="AJ60" s="49"/>
      <c r="AK60" s="49"/>
      <c r="AL60" s="49"/>
      <c r="AM60" s="49"/>
      <c r="AN60" s="49"/>
      <c r="AO60" s="49"/>
      <c r="AP60" s="49"/>
      <c r="AQ60" s="49"/>
      <c r="AR60" s="49"/>
      <c r="AS60" s="49"/>
      <c r="AT60" s="49"/>
      <c r="AU60" s="49"/>
      <c r="AV60" s="49"/>
      <c r="AW60" s="49"/>
      <c r="AX60" s="49"/>
    </row>
    <row r="61">
      <c r="A61" s="49"/>
      <c r="B61" s="49"/>
      <c r="C61" s="50"/>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49"/>
      <c r="AI61" s="49"/>
      <c r="AJ61" s="49"/>
      <c r="AK61" s="49"/>
      <c r="AL61" s="49"/>
      <c r="AM61" s="49"/>
      <c r="AN61" s="49"/>
      <c r="AO61" s="49"/>
      <c r="AP61" s="49"/>
      <c r="AQ61" s="49"/>
      <c r="AR61" s="49"/>
      <c r="AS61" s="49"/>
      <c r="AT61" s="49"/>
      <c r="AU61" s="49"/>
      <c r="AV61" s="49"/>
      <c r="AW61" s="49"/>
      <c r="AX61" s="49"/>
    </row>
    <row r="62">
      <c r="A62" s="49"/>
      <c r="B62" s="49"/>
      <c r="C62" s="50"/>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49"/>
      <c r="AI62" s="49"/>
      <c r="AJ62" s="49"/>
      <c r="AK62" s="49"/>
      <c r="AL62" s="49"/>
      <c r="AM62" s="49"/>
      <c r="AN62" s="49"/>
      <c r="AO62" s="49"/>
      <c r="AP62" s="49"/>
      <c r="AQ62" s="49"/>
      <c r="AR62" s="49"/>
      <c r="AS62" s="49"/>
      <c r="AT62" s="49"/>
      <c r="AU62" s="49"/>
      <c r="AV62" s="49"/>
      <c r="AW62" s="49"/>
      <c r="AX62" s="49"/>
    </row>
    <row r="63">
      <c r="A63" s="49"/>
      <c r="B63" s="49"/>
      <c r="C63" s="50"/>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49"/>
      <c r="AI63" s="49"/>
      <c r="AJ63" s="49"/>
      <c r="AK63" s="49"/>
      <c r="AL63" s="49"/>
      <c r="AM63" s="49"/>
      <c r="AN63" s="49"/>
      <c r="AO63" s="49"/>
      <c r="AP63" s="49"/>
      <c r="AQ63" s="49"/>
      <c r="AR63" s="49"/>
      <c r="AS63" s="49"/>
      <c r="AT63" s="49"/>
      <c r="AU63" s="49"/>
      <c r="AV63" s="49"/>
      <c r="AW63" s="49"/>
      <c r="AX63" s="49"/>
    </row>
    <row r="64">
      <c r="A64" s="49"/>
      <c r="B64" s="49"/>
      <c r="C64" s="50"/>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49"/>
      <c r="AI64" s="49"/>
      <c r="AJ64" s="49"/>
      <c r="AK64" s="49"/>
      <c r="AL64" s="49"/>
      <c r="AM64" s="49"/>
      <c r="AN64" s="49"/>
      <c r="AO64" s="49"/>
      <c r="AP64" s="49"/>
      <c r="AQ64" s="49"/>
      <c r="AR64" s="49"/>
      <c r="AS64" s="49"/>
      <c r="AT64" s="49"/>
      <c r="AU64" s="49"/>
      <c r="AV64" s="49"/>
      <c r="AW64" s="49"/>
      <c r="AX64" s="49"/>
    </row>
    <row r="65">
      <c r="A65" s="49"/>
      <c r="B65" s="49"/>
      <c r="C65" s="50"/>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c r="AE65" s="49"/>
      <c r="AF65" s="49"/>
      <c r="AG65" s="49"/>
      <c r="AH65" s="49"/>
      <c r="AI65" s="49"/>
      <c r="AJ65" s="49"/>
      <c r="AK65" s="49"/>
      <c r="AL65" s="49"/>
      <c r="AM65" s="49"/>
      <c r="AN65" s="49"/>
      <c r="AO65" s="49"/>
      <c r="AP65" s="49"/>
      <c r="AQ65" s="49"/>
      <c r="AR65" s="49"/>
      <c r="AS65" s="49"/>
      <c r="AT65" s="49"/>
      <c r="AU65" s="49"/>
      <c r="AV65" s="49"/>
      <c r="AW65" s="49"/>
      <c r="AX65" s="49"/>
    </row>
    <row r="66">
      <c r="A66" s="49"/>
      <c r="B66" s="49"/>
      <c r="C66" s="50"/>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c r="AE66" s="49"/>
      <c r="AF66" s="49"/>
      <c r="AG66" s="49"/>
      <c r="AH66" s="49"/>
      <c r="AI66" s="49"/>
      <c r="AJ66" s="49"/>
      <c r="AK66" s="49"/>
      <c r="AL66" s="49"/>
      <c r="AM66" s="49"/>
      <c r="AN66" s="49"/>
      <c r="AO66" s="49"/>
      <c r="AP66" s="49"/>
      <c r="AQ66" s="49"/>
      <c r="AR66" s="49"/>
      <c r="AS66" s="49"/>
      <c r="AT66" s="49"/>
      <c r="AU66" s="49"/>
      <c r="AV66" s="49"/>
      <c r="AW66" s="49"/>
      <c r="AX66" s="49"/>
    </row>
    <row r="67">
      <c r="A67" s="49"/>
      <c r="B67" s="49"/>
      <c r="C67" s="50"/>
      <c r="D67" s="49"/>
      <c r="E67" s="49"/>
      <c r="F67" s="49"/>
      <c r="G67" s="49"/>
      <c r="H67" s="49"/>
      <c r="I67" s="49"/>
      <c r="J67" s="49"/>
      <c r="K67" s="49"/>
      <c r="L67" s="49"/>
      <c r="M67" s="49"/>
      <c r="N67" s="49"/>
      <c r="O67" s="49"/>
      <c r="P67" s="49"/>
      <c r="Q67" s="49"/>
      <c r="R67" s="49"/>
      <c r="S67" s="49"/>
      <c r="T67" s="49"/>
      <c r="U67" s="49"/>
      <c r="V67" s="49"/>
      <c r="W67" s="49"/>
      <c r="X67" s="49"/>
      <c r="Y67" s="49"/>
      <c r="Z67" s="49"/>
      <c r="AA67" s="49"/>
      <c r="AB67" s="49"/>
      <c r="AC67" s="49"/>
      <c r="AD67" s="49"/>
      <c r="AE67" s="49"/>
      <c r="AF67" s="49"/>
      <c r="AG67" s="49"/>
      <c r="AH67" s="49"/>
      <c r="AI67" s="49"/>
      <c r="AJ67" s="49"/>
      <c r="AK67" s="49"/>
      <c r="AL67" s="49"/>
      <c r="AM67" s="49"/>
      <c r="AN67" s="49"/>
      <c r="AO67" s="49"/>
      <c r="AP67" s="49"/>
      <c r="AQ67" s="49"/>
      <c r="AR67" s="49"/>
      <c r="AS67" s="49"/>
      <c r="AT67" s="49"/>
      <c r="AU67" s="49"/>
      <c r="AV67" s="49"/>
      <c r="AW67" s="49"/>
      <c r="AX67" s="49"/>
    </row>
    <row r="68">
      <c r="A68" s="49"/>
      <c r="B68" s="49"/>
      <c r="C68" s="50"/>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c r="AH68" s="49"/>
      <c r="AI68" s="49"/>
      <c r="AJ68" s="49"/>
      <c r="AK68" s="49"/>
      <c r="AL68" s="49"/>
      <c r="AM68" s="49"/>
      <c r="AN68" s="49"/>
      <c r="AO68" s="49"/>
      <c r="AP68" s="49"/>
      <c r="AQ68" s="49"/>
      <c r="AR68" s="49"/>
      <c r="AS68" s="49"/>
      <c r="AT68" s="49"/>
      <c r="AU68" s="49"/>
      <c r="AV68" s="49"/>
      <c r="AW68" s="49"/>
      <c r="AX68" s="49"/>
    </row>
    <row r="69">
      <c r="A69" s="49"/>
      <c r="B69" s="49"/>
      <c r="C69" s="50"/>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c r="AH69" s="49"/>
      <c r="AI69" s="49"/>
      <c r="AJ69" s="49"/>
      <c r="AK69" s="49"/>
      <c r="AL69" s="49"/>
      <c r="AM69" s="49"/>
      <c r="AN69" s="49"/>
      <c r="AO69" s="49"/>
      <c r="AP69" s="49"/>
      <c r="AQ69" s="49"/>
      <c r="AR69" s="49"/>
      <c r="AS69" s="49"/>
      <c r="AT69" s="49"/>
      <c r="AU69" s="49"/>
      <c r="AV69" s="49"/>
      <c r="AW69" s="49"/>
      <c r="AX69" s="49"/>
    </row>
    <row r="70">
      <c r="A70" s="49"/>
      <c r="B70" s="49"/>
      <c r="C70" s="50"/>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c r="AH70" s="49"/>
      <c r="AI70" s="49"/>
      <c r="AJ70" s="49"/>
      <c r="AK70" s="49"/>
      <c r="AL70" s="49"/>
      <c r="AM70" s="49"/>
      <c r="AN70" s="49"/>
      <c r="AO70" s="49"/>
      <c r="AP70" s="49"/>
      <c r="AQ70" s="49"/>
      <c r="AR70" s="49"/>
      <c r="AS70" s="49"/>
      <c r="AT70" s="49"/>
      <c r="AU70" s="49"/>
      <c r="AV70" s="49"/>
      <c r="AW70" s="49"/>
      <c r="AX70" s="49"/>
    </row>
    <row r="71">
      <c r="A71" s="49"/>
      <c r="B71" s="49"/>
      <c r="C71" s="50"/>
      <c r="D71" s="49"/>
      <c r="E71" s="49"/>
      <c r="F71" s="49"/>
      <c r="G71" s="49"/>
      <c r="H71" s="49"/>
      <c r="I71" s="49"/>
      <c r="J71" s="49"/>
      <c r="K71" s="49"/>
      <c r="L71" s="49"/>
      <c r="M71" s="49"/>
      <c r="N71" s="49"/>
      <c r="O71" s="49"/>
      <c r="P71" s="49"/>
      <c r="Q71" s="49"/>
      <c r="R71" s="49"/>
      <c r="S71" s="49"/>
      <c r="T71" s="49"/>
      <c r="U71" s="49"/>
      <c r="V71" s="49"/>
      <c r="W71" s="49"/>
      <c r="X71" s="49"/>
      <c r="Y71" s="49"/>
      <c r="Z71" s="49"/>
      <c r="AA71" s="49"/>
      <c r="AB71" s="49"/>
      <c r="AC71" s="49"/>
      <c r="AD71" s="49"/>
      <c r="AE71" s="49"/>
      <c r="AF71" s="49"/>
      <c r="AG71" s="49"/>
      <c r="AH71" s="49"/>
      <c r="AI71" s="49"/>
      <c r="AJ71" s="49"/>
      <c r="AK71" s="49"/>
      <c r="AL71" s="49"/>
      <c r="AM71" s="49"/>
      <c r="AN71" s="49"/>
      <c r="AO71" s="49"/>
      <c r="AP71" s="49"/>
      <c r="AQ71" s="49"/>
      <c r="AR71" s="49"/>
      <c r="AS71" s="49"/>
      <c r="AT71" s="49"/>
      <c r="AU71" s="49"/>
      <c r="AV71" s="49"/>
      <c r="AW71" s="49"/>
      <c r="AX71" s="49"/>
    </row>
    <row r="72">
      <c r="A72" s="49"/>
      <c r="B72" s="49"/>
      <c r="C72" s="50"/>
      <c r="D72" s="49"/>
      <c r="E72" s="49"/>
      <c r="F72" s="49"/>
      <c r="G72" s="49"/>
      <c r="H72" s="49"/>
      <c r="I72" s="49"/>
      <c r="J72" s="49"/>
      <c r="K72" s="49"/>
      <c r="L72" s="49"/>
      <c r="M72" s="49"/>
      <c r="N72" s="49"/>
      <c r="O72" s="49"/>
      <c r="P72" s="49"/>
      <c r="Q72" s="49"/>
      <c r="R72" s="49"/>
      <c r="S72" s="49"/>
      <c r="T72" s="49"/>
      <c r="U72" s="49"/>
      <c r="V72" s="49"/>
      <c r="W72" s="49"/>
      <c r="X72" s="49"/>
      <c r="Y72" s="49"/>
      <c r="Z72" s="49"/>
      <c r="AA72" s="49"/>
      <c r="AB72" s="49"/>
      <c r="AC72" s="49"/>
      <c r="AD72" s="49"/>
      <c r="AE72" s="49"/>
      <c r="AF72" s="49"/>
      <c r="AG72" s="49"/>
      <c r="AH72" s="49"/>
      <c r="AI72" s="49"/>
      <c r="AJ72" s="49"/>
      <c r="AK72" s="49"/>
      <c r="AL72" s="49"/>
      <c r="AM72" s="49"/>
      <c r="AN72" s="49"/>
      <c r="AO72" s="49"/>
      <c r="AP72" s="49"/>
      <c r="AQ72" s="49"/>
      <c r="AR72" s="49"/>
      <c r="AS72" s="49"/>
      <c r="AT72" s="49"/>
      <c r="AU72" s="49"/>
      <c r="AV72" s="49"/>
      <c r="AW72" s="49"/>
      <c r="AX72" s="49"/>
    </row>
    <row r="73">
      <c r="A73" s="49"/>
      <c r="B73" s="49"/>
      <c r="C73" s="50"/>
      <c r="D73" s="49"/>
      <c r="E73" s="49"/>
      <c r="F73" s="49"/>
      <c r="G73" s="49"/>
      <c r="H73" s="49"/>
      <c r="I73" s="49"/>
      <c r="J73" s="49"/>
      <c r="K73" s="49"/>
      <c r="L73" s="49"/>
      <c r="M73" s="49"/>
      <c r="N73" s="49"/>
      <c r="O73" s="49"/>
      <c r="P73" s="49"/>
      <c r="Q73" s="49"/>
      <c r="R73" s="49"/>
      <c r="S73" s="49"/>
      <c r="T73" s="49"/>
      <c r="U73" s="49"/>
      <c r="V73" s="49"/>
      <c r="W73" s="49"/>
      <c r="X73" s="49"/>
      <c r="Y73" s="49"/>
      <c r="Z73" s="49"/>
      <c r="AA73" s="49"/>
      <c r="AB73" s="49"/>
      <c r="AC73" s="49"/>
      <c r="AD73" s="49"/>
      <c r="AE73" s="49"/>
      <c r="AF73" s="49"/>
      <c r="AG73" s="49"/>
      <c r="AH73" s="49"/>
      <c r="AI73" s="49"/>
      <c r="AJ73" s="49"/>
      <c r="AK73" s="49"/>
      <c r="AL73" s="49"/>
      <c r="AM73" s="49"/>
      <c r="AN73" s="49"/>
      <c r="AO73" s="49"/>
      <c r="AP73" s="49"/>
      <c r="AQ73" s="49"/>
      <c r="AR73" s="49"/>
      <c r="AS73" s="49"/>
      <c r="AT73" s="49"/>
      <c r="AU73" s="49"/>
      <c r="AV73" s="49"/>
      <c r="AW73" s="49"/>
      <c r="AX73" s="49"/>
    </row>
    <row r="74">
      <c r="A74" s="49"/>
      <c r="B74" s="49"/>
      <c r="C74" s="50"/>
      <c r="D74" s="49"/>
      <c r="E74" s="49"/>
      <c r="F74" s="49"/>
      <c r="G74" s="49"/>
      <c r="H74" s="49"/>
      <c r="I74" s="49"/>
      <c r="J74" s="49"/>
      <c r="K74" s="49"/>
      <c r="L74" s="49"/>
      <c r="M74" s="49"/>
      <c r="N74" s="49"/>
      <c r="O74" s="49"/>
      <c r="P74" s="49"/>
      <c r="Q74" s="49"/>
      <c r="R74" s="49"/>
      <c r="S74" s="49"/>
      <c r="T74" s="49"/>
      <c r="U74" s="49"/>
      <c r="V74" s="49"/>
      <c r="W74" s="49"/>
      <c r="X74" s="49"/>
      <c r="Y74" s="49"/>
      <c r="Z74" s="49"/>
      <c r="AA74" s="49"/>
      <c r="AB74" s="49"/>
      <c r="AC74" s="49"/>
      <c r="AD74" s="49"/>
      <c r="AE74" s="49"/>
      <c r="AF74" s="49"/>
      <c r="AG74" s="49"/>
      <c r="AH74" s="49"/>
      <c r="AI74" s="49"/>
      <c r="AJ74" s="49"/>
      <c r="AK74" s="49"/>
      <c r="AL74" s="49"/>
      <c r="AM74" s="49"/>
      <c r="AN74" s="49"/>
      <c r="AO74" s="49"/>
      <c r="AP74" s="49"/>
      <c r="AQ74" s="49"/>
      <c r="AR74" s="49"/>
      <c r="AS74" s="49"/>
      <c r="AT74" s="49"/>
      <c r="AU74" s="49"/>
      <c r="AV74" s="49"/>
      <c r="AW74" s="49"/>
      <c r="AX74" s="49"/>
    </row>
    <row r="75">
      <c r="A75" s="49"/>
      <c r="B75" s="49"/>
      <c r="C75" s="50"/>
      <c r="D75" s="49"/>
      <c r="E75" s="49"/>
      <c r="F75" s="49"/>
      <c r="G75" s="49"/>
      <c r="H75" s="49"/>
      <c r="I75" s="49"/>
      <c r="J75" s="49"/>
      <c r="K75" s="49"/>
      <c r="L75" s="49"/>
      <c r="M75" s="49"/>
      <c r="N75" s="49"/>
      <c r="O75" s="49"/>
      <c r="P75" s="49"/>
      <c r="Q75" s="49"/>
      <c r="R75" s="49"/>
      <c r="S75" s="49"/>
      <c r="T75" s="49"/>
      <c r="U75" s="49"/>
      <c r="V75" s="49"/>
      <c r="W75" s="49"/>
      <c r="X75" s="49"/>
      <c r="Y75" s="49"/>
      <c r="Z75" s="49"/>
      <c r="AA75" s="49"/>
      <c r="AB75" s="49"/>
      <c r="AC75" s="49"/>
      <c r="AD75" s="49"/>
      <c r="AE75" s="49"/>
      <c r="AF75" s="49"/>
      <c r="AG75" s="49"/>
      <c r="AH75" s="49"/>
      <c r="AI75" s="49"/>
      <c r="AJ75" s="49"/>
      <c r="AK75" s="49"/>
      <c r="AL75" s="49"/>
      <c r="AM75" s="49"/>
      <c r="AN75" s="49"/>
      <c r="AO75" s="49"/>
      <c r="AP75" s="49"/>
      <c r="AQ75" s="49"/>
      <c r="AR75" s="49"/>
      <c r="AS75" s="49"/>
      <c r="AT75" s="49"/>
      <c r="AU75" s="49"/>
      <c r="AV75" s="49"/>
      <c r="AW75" s="49"/>
      <c r="AX75" s="49"/>
    </row>
    <row r="76">
      <c r="A76" s="49"/>
      <c r="B76" s="49"/>
      <c r="C76" s="50"/>
      <c r="D76" s="49"/>
      <c r="E76" s="49"/>
      <c r="F76" s="49"/>
      <c r="G76" s="49"/>
      <c r="H76" s="49"/>
      <c r="I76" s="49"/>
      <c r="J76" s="49"/>
      <c r="K76" s="49"/>
      <c r="L76" s="49"/>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row>
    <row r="77">
      <c r="A77" s="49"/>
      <c r="B77" s="49"/>
      <c r="C77" s="50"/>
      <c r="D77" s="49"/>
      <c r="E77" s="49"/>
      <c r="F77" s="49"/>
      <c r="G77" s="49"/>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49"/>
      <c r="AJ77" s="49"/>
      <c r="AK77" s="49"/>
      <c r="AL77" s="49"/>
      <c r="AM77" s="49"/>
      <c r="AN77" s="49"/>
      <c r="AO77" s="49"/>
      <c r="AP77" s="49"/>
      <c r="AQ77" s="49"/>
      <c r="AR77" s="49"/>
      <c r="AS77" s="49"/>
      <c r="AT77" s="49"/>
      <c r="AU77" s="49"/>
      <c r="AV77" s="49"/>
      <c r="AW77" s="49"/>
      <c r="AX77" s="49"/>
    </row>
    <row r="78">
      <c r="A78" s="49"/>
      <c r="B78" s="49"/>
      <c r="C78" s="50"/>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49"/>
      <c r="AJ78" s="49"/>
      <c r="AK78" s="49"/>
      <c r="AL78" s="49"/>
      <c r="AM78" s="49"/>
      <c r="AN78" s="49"/>
      <c r="AO78" s="49"/>
      <c r="AP78" s="49"/>
      <c r="AQ78" s="49"/>
      <c r="AR78" s="49"/>
      <c r="AS78" s="49"/>
      <c r="AT78" s="49"/>
      <c r="AU78" s="49"/>
      <c r="AV78" s="49"/>
      <c r="AW78" s="49"/>
      <c r="AX78" s="49"/>
    </row>
    <row r="79">
      <c r="A79" s="49"/>
      <c r="B79" s="49"/>
      <c r="C79" s="50"/>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49"/>
      <c r="AJ79" s="49"/>
      <c r="AK79" s="49"/>
      <c r="AL79" s="49"/>
      <c r="AM79" s="49"/>
      <c r="AN79" s="49"/>
      <c r="AO79" s="49"/>
      <c r="AP79" s="49"/>
      <c r="AQ79" s="49"/>
      <c r="AR79" s="49"/>
      <c r="AS79" s="49"/>
      <c r="AT79" s="49"/>
      <c r="AU79" s="49"/>
      <c r="AV79" s="49"/>
      <c r="AW79" s="49"/>
      <c r="AX79" s="49"/>
    </row>
    <row r="80">
      <c r="A80" s="49"/>
      <c r="B80" s="49"/>
      <c r="C80" s="50"/>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c r="AH80" s="49"/>
      <c r="AI80" s="49"/>
      <c r="AJ80" s="49"/>
      <c r="AK80" s="49"/>
      <c r="AL80" s="49"/>
      <c r="AM80" s="49"/>
      <c r="AN80" s="49"/>
      <c r="AO80" s="49"/>
      <c r="AP80" s="49"/>
      <c r="AQ80" s="49"/>
      <c r="AR80" s="49"/>
      <c r="AS80" s="49"/>
      <c r="AT80" s="49"/>
      <c r="AU80" s="49"/>
      <c r="AV80" s="49"/>
      <c r="AW80" s="49"/>
      <c r="AX80" s="49"/>
    </row>
    <row r="81">
      <c r="A81" s="49"/>
      <c r="B81" s="49"/>
      <c r="C81" s="50"/>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c r="AH81" s="49"/>
      <c r="AI81" s="49"/>
      <c r="AJ81" s="49"/>
      <c r="AK81" s="49"/>
      <c r="AL81" s="49"/>
      <c r="AM81" s="49"/>
      <c r="AN81" s="49"/>
      <c r="AO81" s="49"/>
      <c r="AP81" s="49"/>
      <c r="AQ81" s="49"/>
      <c r="AR81" s="49"/>
      <c r="AS81" s="49"/>
      <c r="AT81" s="49"/>
      <c r="AU81" s="49"/>
      <c r="AV81" s="49"/>
      <c r="AW81" s="49"/>
      <c r="AX81" s="49"/>
    </row>
    <row r="82">
      <c r="A82" s="49"/>
      <c r="B82" s="49"/>
      <c r="C82" s="50"/>
      <c r="D82" s="49"/>
      <c r="E82" s="49"/>
      <c r="F82" s="49"/>
      <c r="G82" s="49"/>
      <c r="H82" s="49"/>
      <c r="I82" s="49"/>
      <c r="J82" s="49"/>
      <c r="K82" s="49"/>
      <c r="L82" s="49"/>
      <c r="M82" s="49"/>
      <c r="N82" s="49"/>
      <c r="O82" s="49"/>
      <c r="P82" s="49"/>
      <c r="Q82" s="49"/>
      <c r="R82" s="49"/>
      <c r="S82" s="49"/>
      <c r="T82" s="49"/>
      <c r="U82" s="49"/>
      <c r="V82" s="49"/>
      <c r="W82" s="49"/>
      <c r="X82" s="49"/>
      <c r="Y82" s="49"/>
      <c r="Z82" s="49"/>
      <c r="AA82" s="49"/>
      <c r="AB82" s="49"/>
      <c r="AC82" s="49"/>
      <c r="AD82" s="49"/>
      <c r="AE82" s="49"/>
      <c r="AF82" s="49"/>
      <c r="AG82" s="49"/>
      <c r="AH82" s="49"/>
      <c r="AI82" s="49"/>
      <c r="AJ82" s="49"/>
      <c r="AK82" s="49"/>
      <c r="AL82" s="49"/>
      <c r="AM82" s="49"/>
      <c r="AN82" s="49"/>
      <c r="AO82" s="49"/>
      <c r="AP82" s="49"/>
      <c r="AQ82" s="49"/>
      <c r="AR82" s="49"/>
      <c r="AS82" s="49"/>
      <c r="AT82" s="49"/>
      <c r="AU82" s="49"/>
      <c r="AV82" s="49"/>
      <c r="AW82" s="49"/>
      <c r="AX82" s="49"/>
    </row>
    <row r="83">
      <c r="A83" s="49"/>
      <c r="B83" s="49"/>
      <c r="C83" s="50"/>
      <c r="D83" s="49"/>
      <c r="E83" s="49"/>
      <c r="F83" s="49"/>
      <c r="G83" s="49"/>
      <c r="H83" s="49"/>
      <c r="I83" s="49"/>
      <c r="J83" s="49"/>
      <c r="K83" s="49"/>
      <c r="L83" s="49"/>
      <c r="M83" s="49"/>
      <c r="N83" s="49"/>
      <c r="O83" s="49"/>
      <c r="P83" s="49"/>
      <c r="Q83" s="49"/>
      <c r="R83" s="49"/>
      <c r="S83" s="49"/>
      <c r="T83" s="49"/>
      <c r="U83" s="49"/>
      <c r="V83" s="49"/>
      <c r="W83" s="49"/>
      <c r="X83" s="49"/>
      <c r="Y83" s="49"/>
      <c r="Z83" s="49"/>
      <c r="AA83" s="49"/>
      <c r="AB83" s="49"/>
      <c r="AC83" s="49"/>
      <c r="AD83" s="49"/>
      <c r="AE83" s="49"/>
      <c r="AF83" s="49"/>
      <c r="AG83" s="49"/>
      <c r="AH83" s="49"/>
      <c r="AI83" s="49"/>
      <c r="AJ83" s="49"/>
      <c r="AK83" s="49"/>
      <c r="AL83" s="49"/>
      <c r="AM83" s="49"/>
      <c r="AN83" s="49"/>
      <c r="AO83" s="49"/>
      <c r="AP83" s="49"/>
      <c r="AQ83" s="49"/>
      <c r="AR83" s="49"/>
      <c r="AS83" s="49"/>
      <c r="AT83" s="49"/>
      <c r="AU83" s="49"/>
      <c r="AV83" s="49"/>
      <c r="AW83" s="49"/>
      <c r="AX83" s="49"/>
    </row>
    <row r="84">
      <c r="A84" s="49"/>
      <c r="B84" s="49"/>
      <c r="C84" s="50"/>
      <c r="D84" s="49"/>
      <c r="E84" s="49"/>
      <c r="F84" s="49"/>
      <c r="G84" s="49"/>
      <c r="H84" s="49"/>
      <c r="I84" s="49"/>
      <c r="J84" s="49"/>
      <c r="K84" s="49"/>
      <c r="L84" s="49"/>
      <c r="M84" s="49"/>
      <c r="N84" s="49"/>
      <c r="O84" s="49"/>
      <c r="P84" s="49"/>
      <c r="Q84" s="49"/>
      <c r="R84" s="49"/>
      <c r="S84" s="49"/>
      <c r="T84" s="49"/>
      <c r="U84" s="49"/>
      <c r="V84" s="49"/>
      <c r="W84" s="49"/>
      <c r="X84" s="49"/>
      <c r="Y84" s="49"/>
      <c r="Z84" s="49"/>
      <c r="AA84" s="49"/>
      <c r="AB84" s="49"/>
      <c r="AC84" s="49"/>
      <c r="AD84" s="49"/>
      <c r="AE84" s="49"/>
      <c r="AF84" s="49"/>
      <c r="AG84" s="49"/>
      <c r="AH84" s="49"/>
      <c r="AI84" s="49"/>
      <c r="AJ84" s="49"/>
      <c r="AK84" s="49"/>
      <c r="AL84" s="49"/>
      <c r="AM84" s="49"/>
      <c r="AN84" s="49"/>
      <c r="AO84" s="49"/>
      <c r="AP84" s="49"/>
      <c r="AQ84" s="49"/>
      <c r="AR84" s="49"/>
      <c r="AS84" s="49"/>
      <c r="AT84" s="49"/>
      <c r="AU84" s="49"/>
      <c r="AV84" s="49"/>
      <c r="AW84" s="49"/>
      <c r="AX84" s="49"/>
    </row>
    <row r="85">
      <c r="A85" s="49"/>
      <c r="B85" s="49"/>
      <c r="C85" s="50"/>
      <c r="D85" s="49"/>
      <c r="E85" s="49"/>
      <c r="F85" s="49"/>
      <c r="G85" s="49"/>
      <c r="H85" s="49"/>
      <c r="I85" s="49"/>
      <c r="J85" s="49"/>
      <c r="K85" s="49"/>
      <c r="L85" s="49"/>
      <c r="M85" s="49"/>
      <c r="N85" s="49"/>
      <c r="O85" s="49"/>
      <c r="P85" s="49"/>
      <c r="Q85" s="49"/>
      <c r="R85" s="49"/>
      <c r="S85" s="49"/>
      <c r="T85" s="49"/>
      <c r="U85" s="49"/>
      <c r="V85" s="49"/>
      <c r="W85" s="49"/>
      <c r="X85" s="49"/>
      <c r="Y85" s="49"/>
      <c r="Z85" s="49"/>
      <c r="AA85" s="49"/>
      <c r="AB85" s="49"/>
      <c r="AC85" s="49"/>
      <c r="AD85" s="49"/>
      <c r="AE85" s="49"/>
      <c r="AF85" s="49"/>
      <c r="AG85" s="49"/>
      <c r="AH85" s="49"/>
      <c r="AI85" s="49"/>
      <c r="AJ85" s="49"/>
      <c r="AK85" s="49"/>
      <c r="AL85" s="49"/>
      <c r="AM85" s="49"/>
      <c r="AN85" s="49"/>
      <c r="AO85" s="49"/>
      <c r="AP85" s="49"/>
      <c r="AQ85" s="49"/>
      <c r="AR85" s="49"/>
      <c r="AS85" s="49"/>
      <c r="AT85" s="49"/>
      <c r="AU85" s="49"/>
      <c r="AV85" s="49"/>
      <c r="AW85" s="49"/>
      <c r="AX85" s="49"/>
    </row>
    <row r="86">
      <c r="A86" s="49"/>
      <c r="B86" s="49"/>
      <c r="C86" s="50"/>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c r="AP86" s="49"/>
      <c r="AQ86" s="49"/>
      <c r="AR86" s="49"/>
      <c r="AS86" s="49"/>
      <c r="AT86" s="49"/>
      <c r="AU86" s="49"/>
      <c r="AV86" s="49"/>
      <c r="AW86" s="49"/>
      <c r="AX86" s="49"/>
    </row>
    <row r="87">
      <c r="A87" s="49"/>
      <c r="B87" s="49"/>
      <c r="C87" s="50"/>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c r="AP87" s="49"/>
      <c r="AQ87" s="49"/>
      <c r="AR87" s="49"/>
      <c r="AS87" s="49"/>
      <c r="AT87" s="49"/>
      <c r="AU87" s="49"/>
      <c r="AV87" s="49"/>
      <c r="AW87" s="49"/>
      <c r="AX87" s="49"/>
    </row>
    <row r="88">
      <c r="A88" s="49"/>
      <c r="B88" s="49"/>
      <c r="C88" s="50"/>
      <c r="D88" s="49"/>
      <c r="E88" s="49"/>
      <c r="F88" s="49"/>
      <c r="G88" s="49"/>
      <c r="H88" s="49"/>
      <c r="I88" s="49"/>
      <c r="J88" s="49"/>
      <c r="K88" s="49"/>
      <c r="L88" s="49"/>
      <c r="M88" s="49"/>
      <c r="N88" s="49"/>
      <c r="O88" s="49"/>
      <c r="P88" s="49"/>
      <c r="Q88" s="49"/>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c r="AP88" s="49"/>
      <c r="AQ88" s="49"/>
      <c r="AR88" s="49"/>
      <c r="AS88" s="49"/>
      <c r="AT88" s="49"/>
      <c r="AU88" s="49"/>
      <c r="AV88" s="49"/>
      <c r="AW88" s="49"/>
      <c r="AX88" s="49"/>
    </row>
    <row r="89">
      <c r="A89" s="49"/>
      <c r="B89" s="49"/>
      <c r="C89" s="50"/>
      <c r="D89" s="49"/>
      <c r="E89" s="49"/>
      <c r="F89" s="49"/>
      <c r="G89" s="49"/>
      <c r="H89" s="49"/>
      <c r="I89" s="49"/>
      <c r="J89" s="49"/>
      <c r="K89" s="49"/>
      <c r="L89" s="49"/>
      <c r="M89" s="49"/>
      <c r="N89" s="49"/>
      <c r="O89" s="49"/>
      <c r="P89" s="49"/>
      <c r="Q89" s="49"/>
      <c r="R89" s="49"/>
      <c r="S89" s="49"/>
      <c r="T89" s="49"/>
      <c r="U89" s="49"/>
      <c r="V89" s="49"/>
      <c r="W89" s="49"/>
      <c r="X89" s="49"/>
      <c r="Y89" s="49"/>
      <c r="Z89" s="49"/>
      <c r="AA89" s="49"/>
      <c r="AB89" s="49"/>
      <c r="AC89" s="49"/>
      <c r="AD89" s="49"/>
      <c r="AE89" s="49"/>
      <c r="AF89" s="49"/>
      <c r="AG89" s="49"/>
      <c r="AH89" s="49"/>
      <c r="AI89" s="49"/>
      <c r="AJ89" s="49"/>
      <c r="AK89" s="49"/>
      <c r="AL89" s="49"/>
      <c r="AM89" s="49"/>
      <c r="AN89" s="49"/>
      <c r="AO89" s="49"/>
      <c r="AP89" s="49"/>
      <c r="AQ89" s="49"/>
      <c r="AR89" s="49"/>
      <c r="AS89" s="49"/>
      <c r="AT89" s="49"/>
      <c r="AU89" s="49"/>
      <c r="AV89" s="49"/>
      <c r="AW89" s="49"/>
      <c r="AX89" s="49"/>
    </row>
    <row r="90">
      <c r="A90" s="49"/>
      <c r="B90" s="49"/>
      <c r="C90" s="50"/>
      <c r="D90" s="49"/>
      <c r="E90" s="49"/>
      <c r="F90" s="49"/>
      <c r="G90" s="49"/>
      <c r="H90" s="49"/>
      <c r="I90" s="49"/>
      <c r="J90" s="49"/>
      <c r="K90" s="49"/>
      <c r="L90" s="49"/>
      <c r="M90" s="49"/>
      <c r="N90" s="49"/>
      <c r="O90" s="49"/>
      <c r="P90" s="49"/>
      <c r="Q90" s="49"/>
      <c r="R90" s="49"/>
      <c r="S90" s="49"/>
      <c r="T90" s="49"/>
      <c r="U90" s="49"/>
      <c r="V90" s="49"/>
      <c r="W90" s="49"/>
      <c r="X90" s="49"/>
      <c r="Y90" s="49"/>
      <c r="Z90" s="49"/>
      <c r="AA90" s="49"/>
      <c r="AB90" s="49"/>
      <c r="AC90" s="49"/>
      <c r="AD90" s="49"/>
      <c r="AE90" s="49"/>
      <c r="AF90" s="49"/>
      <c r="AG90" s="49"/>
      <c r="AH90" s="49"/>
      <c r="AI90" s="49"/>
      <c r="AJ90" s="49"/>
      <c r="AK90" s="49"/>
      <c r="AL90" s="49"/>
      <c r="AM90" s="49"/>
      <c r="AN90" s="49"/>
      <c r="AO90" s="49"/>
      <c r="AP90" s="49"/>
      <c r="AQ90" s="49"/>
      <c r="AR90" s="49"/>
      <c r="AS90" s="49"/>
      <c r="AT90" s="49"/>
      <c r="AU90" s="49"/>
      <c r="AV90" s="49"/>
      <c r="AW90" s="49"/>
      <c r="AX90" s="49"/>
    </row>
    <row r="91">
      <c r="A91" s="49"/>
      <c r="B91" s="49"/>
      <c r="C91" s="50"/>
      <c r="D91" s="49"/>
      <c r="E91" s="49"/>
      <c r="F91" s="49"/>
      <c r="G91" s="49"/>
      <c r="H91" s="49"/>
      <c r="I91" s="49"/>
      <c r="J91" s="49"/>
      <c r="K91" s="49"/>
      <c r="L91" s="49"/>
      <c r="M91" s="49"/>
      <c r="N91" s="49"/>
      <c r="O91" s="49"/>
      <c r="P91" s="49"/>
      <c r="Q91" s="49"/>
      <c r="R91" s="49"/>
      <c r="S91" s="49"/>
      <c r="T91" s="49"/>
      <c r="U91" s="49"/>
      <c r="V91" s="49"/>
      <c r="W91" s="49"/>
      <c r="X91" s="49"/>
      <c r="Y91" s="49"/>
      <c r="Z91" s="49"/>
      <c r="AA91" s="49"/>
      <c r="AB91" s="49"/>
      <c r="AC91" s="49"/>
      <c r="AD91" s="49"/>
      <c r="AE91" s="49"/>
      <c r="AF91" s="49"/>
      <c r="AG91" s="49"/>
      <c r="AH91" s="49"/>
      <c r="AI91" s="49"/>
      <c r="AJ91" s="49"/>
      <c r="AK91" s="49"/>
      <c r="AL91" s="49"/>
      <c r="AM91" s="49"/>
      <c r="AN91" s="49"/>
      <c r="AO91" s="49"/>
      <c r="AP91" s="49"/>
      <c r="AQ91" s="49"/>
      <c r="AR91" s="49"/>
      <c r="AS91" s="49"/>
      <c r="AT91" s="49"/>
      <c r="AU91" s="49"/>
      <c r="AV91" s="49"/>
      <c r="AW91" s="49"/>
      <c r="AX91" s="49"/>
    </row>
    <row r="92">
      <c r="A92" s="49"/>
      <c r="B92" s="49"/>
      <c r="C92" s="50"/>
      <c r="D92" s="49"/>
      <c r="E92" s="49"/>
      <c r="F92" s="49"/>
      <c r="G92" s="49"/>
      <c r="H92" s="49"/>
      <c r="I92" s="49"/>
      <c r="J92" s="49"/>
      <c r="K92" s="49"/>
      <c r="L92" s="49"/>
      <c r="M92" s="49"/>
      <c r="N92" s="49"/>
      <c r="O92" s="49"/>
      <c r="P92" s="49"/>
      <c r="Q92" s="49"/>
      <c r="R92" s="49"/>
      <c r="S92" s="49"/>
      <c r="T92" s="49"/>
      <c r="U92" s="49"/>
      <c r="V92" s="49"/>
      <c r="W92" s="49"/>
      <c r="X92" s="49"/>
      <c r="Y92" s="49"/>
      <c r="Z92" s="49"/>
      <c r="AA92" s="49"/>
      <c r="AB92" s="49"/>
      <c r="AC92" s="49"/>
      <c r="AD92" s="49"/>
      <c r="AE92" s="49"/>
      <c r="AF92" s="49"/>
      <c r="AG92" s="49"/>
      <c r="AH92" s="49"/>
      <c r="AI92" s="49"/>
      <c r="AJ92" s="49"/>
      <c r="AK92" s="49"/>
      <c r="AL92" s="49"/>
      <c r="AM92" s="49"/>
      <c r="AN92" s="49"/>
      <c r="AO92" s="49"/>
      <c r="AP92" s="49"/>
      <c r="AQ92" s="49"/>
      <c r="AR92" s="49"/>
      <c r="AS92" s="49"/>
      <c r="AT92" s="49"/>
      <c r="AU92" s="49"/>
      <c r="AV92" s="49"/>
      <c r="AW92" s="49"/>
      <c r="AX92" s="49"/>
    </row>
    <row r="93">
      <c r="A93" s="49"/>
      <c r="B93" s="49"/>
      <c r="C93" s="50"/>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c r="AH93" s="49"/>
      <c r="AI93" s="49"/>
      <c r="AJ93" s="49"/>
      <c r="AK93" s="49"/>
      <c r="AL93" s="49"/>
      <c r="AM93" s="49"/>
      <c r="AN93" s="49"/>
      <c r="AO93" s="49"/>
      <c r="AP93" s="49"/>
      <c r="AQ93" s="49"/>
      <c r="AR93" s="49"/>
      <c r="AS93" s="49"/>
      <c r="AT93" s="49"/>
      <c r="AU93" s="49"/>
      <c r="AV93" s="49"/>
      <c r="AW93" s="49"/>
      <c r="AX93" s="49"/>
    </row>
    <row r="94">
      <c r="A94" s="49"/>
      <c r="B94" s="49"/>
      <c r="C94" s="50"/>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c r="AH94" s="49"/>
      <c r="AI94" s="49"/>
      <c r="AJ94" s="49"/>
      <c r="AK94" s="49"/>
      <c r="AL94" s="49"/>
      <c r="AM94" s="49"/>
      <c r="AN94" s="49"/>
      <c r="AO94" s="49"/>
      <c r="AP94" s="49"/>
      <c r="AQ94" s="49"/>
      <c r="AR94" s="49"/>
      <c r="AS94" s="49"/>
      <c r="AT94" s="49"/>
      <c r="AU94" s="49"/>
      <c r="AV94" s="49"/>
      <c r="AW94" s="49"/>
      <c r="AX94" s="49"/>
    </row>
    <row r="95">
      <c r="A95" s="49"/>
      <c r="B95" s="49"/>
      <c r="C95" s="50"/>
      <c r="D95" s="49"/>
      <c r="E95" s="49"/>
      <c r="F95" s="49"/>
      <c r="G95" s="49"/>
      <c r="H95" s="49"/>
      <c r="I95" s="49"/>
      <c r="J95" s="49"/>
      <c r="K95" s="49"/>
      <c r="L95" s="49"/>
      <c r="M95" s="49"/>
      <c r="N95" s="49"/>
      <c r="O95" s="49"/>
      <c r="P95" s="49"/>
      <c r="Q95" s="49"/>
      <c r="R95" s="49"/>
      <c r="S95" s="49"/>
      <c r="T95" s="49"/>
      <c r="U95" s="49"/>
      <c r="V95" s="49"/>
      <c r="W95" s="49"/>
      <c r="X95" s="49"/>
      <c r="Y95" s="49"/>
      <c r="Z95" s="49"/>
      <c r="AA95" s="49"/>
      <c r="AB95" s="49"/>
      <c r="AC95" s="49"/>
      <c r="AD95" s="49"/>
      <c r="AE95" s="49"/>
      <c r="AF95" s="49"/>
      <c r="AG95" s="49"/>
      <c r="AH95" s="49"/>
      <c r="AI95" s="49"/>
      <c r="AJ95" s="49"/>
      <c r="AK95" s="49"/>
      <c r="AL95" s="49"/>
      <c r="AM95" s="49"/>
      <c r="AN95" s="49"/>
      <c r="AO95" s="49"/>
      <c r="AP95" s="49"/>
      <c r="AQ95" s="49"/>
      <c r="AR95" s="49"/>
      <c r="AS95" s="49"/>
      <c r="AT95" s="49"/>
      <c r="AU95" s="49"/>
      <c r="AV95" s="49"/>
      <c r="AW95" s="49"/>
      <c r="AX95" s="49"/>
    </row>
    <row r="96">
      <c r="A96" s="49"/>
      <c r="B96" s="49"/>
      <c r="C96" s="50"/>
      <c r="D96" s="49"/>
      <c r="E96" s="49"/>
      <c r="F96" s="49"/>
      <c r="G96" s="49"/>
      <c r="H96" s="49"/>
      <c r="I96" s="49"/>
      <c r="J96" s="49"/>
      <c r="K96" s="49"/>
      <c r="L96" s="49"/>
      <c r="M96" s="49"/>
      <c r="N96" s="49"/>
      <c r="O96" s="49"/>
      <c r="P96" s="49"/>
      <c r="Q96" s="49"/>
      <c r="R96" s="49"/>
      <c r="S96" s="49"/>
      <c r="T96" s="49"/>
      <c r="U96" s="49"/>
      <c r="V96" s="49"/>
      <c r="W96" s="49"/>
      <c r="X96" s="49"/>
      <c r="Y96" s="49"/>
      <c r="Z96" s="49"/>
      <c r="AA96" s="49"/>
      <c r="AB96" s="49"/>
      <c r="AC96" s="49"/>
      <c r="AD96" s="49"/>
      <c r="AE96" s="49"/>
      <c r="AF96" s="49"/>
      <c r="AG96" s="49"/>
      <c r="AH96" s="49"/>
      <c r="AI96" s="49"/>
      <c r="AJ96" s="49"/>
      <c r="AK96" s="49"/>
      <c r="AL96" s="49"/>
      <c r="AM96" s="49"/>
      <c r="AN96" s="49"/>
      <c r="AO96" s="49"/>
      <c r="AP96" s="49"/>
      <c r="AQ96" s="49"/>
      <c r="AR96" s="49"/>
      <c r="AS96" s="49"/>
      <c r="AT96" s="49"/>
      <c r="AU96" s="49"/>
      <c r="AV96" s="49"/>
      <c r="AW96" s="49"/>
      <c r="AX96" s="49"/>
    </row>
    <row r="97">
      <c r="A97" s="49"/>
      <c r="B97" s="49"/>
      <c r="C97" s="50"/>
      <c r="D97" s="49"/>
      <c r="E97" s="49"/>
      <c r="F97" s="49"/>
      <c r="G97" s="49"/>
      <c r="H97" s="49"/>
      <c r="I97" s="49"/>
      <c r="J97" s="49"/>
      <c r="K97" s="49"/>
      <c r="L97" s="49"/>
      <c r="M97" s="49"/>
      <c r="N97" s="49"/>
      <c r="O97" s="49"/>
      <c r="P97" s="49"/>
      <c r="Q97" s="49"/>
      <c r="R97" s="49"/>
      <c r="S97" s="49"/>
      <c r="T97" s="49"/>
      <c r="U97" s="49"/>
      <c r="V97" s="49"/>
      <c r="W97" s="49"/>
      <c r="X97" s="49"/>
      <c r="Y97" s="49"/>
      <c r="Z97" s="49"/>
      <c r="AA97" s="49"/>
      <c r="AB97" s="49"/>
      <c r="AC97" s="49"/>
      <c r="AD97" s="49"/>
      <c r="AE97" s="49"/>
      <c r="AF97" s="49"/>
      <c r="AG97" s="49"/>
      <c r="AH97" s="49"/>
      <c r="AI97" s="49"/>
      <c r="AJ97" s="49"/>
      <c r="AK97" s="49"/>
      <c r="AL97" s="49"/>
      <c r="AM97" s="49"/>
      <c r="AN97" s="49"/>
      <c r="AO97" s="49"/>
      <c r="AP97" s="49"/>
      <c r="AQ97" s="49"/>
      <c r="AR97" s="49"/>
      <c r="AS97" s="49"/>
      <c r="AT97" s="49"/>
      <c r="AU97" s="49"/>
      <c r="AV97" s="49"/>
      <c r="AW97" s="49"/>
      <c r="AX97" s="49"/>
    </row>
    <row r="98">
      <c r="A98" s="49"/>
      <c r="B98" s="49"/>
      <c r="C98" s="50"/>
      <c r="D98" s="49"/>
      <c r="E98" s="49"/>
      <c r="F98" s="49"/>
      <c r="G98" s="49"/>
      <c r="H98" s="49"/>
      <c r="I98" s="49"/>
      <c r="J98" s="49"/>
      <c r="K98" s="49"/>
      <c r="L98" s="49"/>
      <c r="M98" s="49"/>
      <c r="N98" s="49"/>
      <c r="O98" s="49"/>
      <c r="P98" s="49"/>
      <c r="Q98" s="49"/>
      <c r="R98" s="49"/>
      <c r="S98" s="49"/>
      <c r="T98" s="49"/>
      <c r="U98" s="49"/>
      <c r="V98" s="49"/>
      <c r="W98" s="49"/>
      <c r="X98" s="49"/>
      <c r="Y98" s="49"/>
      <c r="Z98" s="49"/>
      <c r="AA98" s="49"/>
      <c r="AB98" s="49"/>
      <c r="AC98" s="49"/>
      <c r="AD98" s="49"/>
      <c r="AE98" s="49"/>
      <c r="AF98" s="49"/>
      <c r="AG98" s="49"/>
      <c r="AH98" s="49"/>
      <c r="AI98" s="49"/>
      <c r="AJ98" s="49"/>
      <c r="AK98" s="49"/>
      <c r="AL98" s="49"/>
      <c r="AM98" s="49"/>
      <c r="AN98" s="49"/>
      <c r="AO98" s="49"/>
      <c r="AP98" s="49"/>
      <c r="AQ98" s="49"/>
      <c r="AR98" s="49"/>
      <c r="AS98" s="49"/>
      <c r="AT98" s="49"/>
      <c r="AU98" s="49"/>
      <c r="AV98" s="49"/>
      <c r="AW98" s="49"/>
      <c r="AX98" s="49"/>
    </row>
    <row r="99">
      <c r="A99" s="49"/>
      <c r="B99" s="49"/>
      <c r="C99" s="50"/>
      <c r="D99" s="49"/>
      <c r="E99" s="49"/>
      <c r="F99" s="49"/>
      <c r="G99" s="49"/>
      <c r="H99" s="49"/>
      <c r="I99" s="49"/>
      <c r="J99" s="49"/>
      <c r="K99" s="49"/>
      <c r="L99" s="49"/>
      <c r="M99" s="49"/>
      <c r="N99" s="49"/>
      <c r="O99" s="49"/>
      <c r="P99" s="49"/>
      <c r="Q99" s="49"/>
      <c r="R99" s="49"/>
      <c r="S99" s="49"/>
      <c r="T99" s="49"/>
      <c r="U99" s="49"/>
      <c r="V99" s="49"/>
      <c r="W99" s="49"/>
      <c r="X99" s="49"/>
      <c r="Y99" s="49"/>
      <c r="Z99" s="49"/>
      <c r="AA99" s="49"/>
      <c r="AB99" s="49"/>
      <c r="AC99" s="49"/>
      <c r="AD99" s="49"/>
      <c r="AE99" s="49"/>
      <c r="AF99" s="49"/>
      <c r="AG99" s="49"/>
      <c r="AH99" s="49"/>
      <c r="AI99" s="49"/>
      <c r="AJ99" s="49"/>
      <c r="AK99" s="49"/>
      <c r="AL99" s="49"/>
      <c r="AM99" s="49"/>
      <c r="AN99" s="49"/>
      <c r="AO99" s="49"/>
      <c r="AP99" s="49"/>
      <c r="AQ99" s="49"/>
      <c r="AR99" s="49"/>
      <c r="AS99" s="49"/>
      <c r="AT99" s="49"/>
      <c r="AU99" s="49"/>
      <c r="AV99" s="49"/>
      <c r="AW99" s="49"/>
      <c r="AX99" s="49"/>
    </row>
    <row r="100">
      <c r="A100" s="49"/>
      <c r="B100" s="49"/>
      <c r="C100" s="50"/>
      <c r="D100" s="49"/>
      <c r="E100" s="49"/>
      <c r="F100" s="49"/>
      <c r="G100" s="49"/>
      <c r="H100" s="49"/>
      <c r="I100" s="49"/>
      <c r="J100" s="49"/>
      <c r="K100" s="49"/>
      <c r="L100" s="49"/>
      <c r="M100" s="49"/>
      <c r="N100" s="49"/>
      <c r="O100" s="49"/>
      <c r="P100" s="49"/>
      <c r="Q100" s="49"/>
      <c r="R100" s="49"/>
      <c r="S100" s="49"/>
      <c r="T100" s="49"/>
      <c r="U100" s="49"/>
      <c r="V100" s="49"/>
      <c r="W100" s="49"/>
      <c r="X100" s="49"/>
      <c r="Y100" s="49"/>
      <c r="Z100" s="49"/>
      <c r="AA100" s="49"/>
      <c r="AB100" s="49"/>
      <c r="AC100" s="49"/>
      <c r="AD100" s="49"/>
      <c r="AE100" s="49"/>
      <c r="AF100" s="49"/>
      <c r="AG100" s="49"/>
      <c r="AH100" s="49"/>
      <c r="AI100" s="49"/>
      <c r="AJ100" s="49"/>
      <c r="AK100" s="49"/>
      <c r="AL100" s="49"/>
      <c r="AM100" s="49"/>
      <c r="AN100" s="49"/>
      <c r="AO100" s="49"/>
      <c r="AP100" s="49"/>
      <c r="AQ100" s="49"/>
      <c r="AR100" s="49"/>
      <c r="AS100" s="49"/>
      <c r="AT100" s="49"/>
      <c r="AU100" s="49"/>
      <c r="AV100" s="49"/>
      <c r="AW100" s="49"/>
      <c r="AX100" s="49"/>
    </row>
    <row r="101">
      <c r="A101" s="49"/>
      <c r="B101" s="49"/>
      <c r="C101" s="50"/>
      <c r="D101" s="49"/>
      <c r="E101" s="49"/>
      <c r="F101" s="49"/>
      <c r="G101" s="49"/>
      <c r="H101" s="49"/>
      <c r="I101" s="49"/>
      <c r="J101" s="49"/>
      <c r="K101" s="49"/>
      <c r="L101" s="49"/>
      <c r="M101" s="49"/>
      <c r="N101" s="49"/>
      <c r="O101" s="49"/>
      <c r="P101" s="49"/>
      <c r="Q101" s="49"/>
      <c r="R101" s="49"/>
      <c r="S101" s="49"/>
      <c r="T101" s="49"/>
      <c r="U101" s="49"/>
      <c r="V101" s="49"/>
      <c r="W101" s="49"/>
      <c r="X101" s="49"/>
      <c r="Y101" s="49"/>
      <c r="Z101" s="49"/>
      <c r="AA101" s="49"/>
      <c r="AB101" s="49"/>
      <c r="AC101" s="49"/>
      <c r="AD101" s="49"/>
      <c r="AE101" s="49"/>
      <c r="AF101" s="49"/>
      <c r="AG101" s="49"/>
      <c r="AH101" s="49"/>
      <c r="AI101" s="49"/>
      <c r="AJ101" s="49"/>
      <c r="AK101" s="49"/>
      <c r="AL101" s="49"/>
      <c r="AM101" s="49"/>
      <c r="AN101" s="49"/>
      <c r="AO101" s="49"/>
      <c r="AP101" s="49"/>
      <c r="AQ101" s="49"/>
      <c r="AR101" s="49"/>
      <c r="AS101" s="49"/>
      <c r="AT101" s="49"/>
      <c r="AU101" s="49"/>
      <c r="AV101" s="49"/>
      <c r="AW101" s="49"/>
      <c r="AX101" s="49"/>
    </row>
    <row r="102">
      <c r="A102" s="49"/>
      <c r="B102" s="49"/>
      <c r="C102" s="50"/>
      <c r="D102" s="49"/>
      <c r="E102" s="49"/>
      <c r="F102" s="49"/>
      <c r="G102" s="49"/>
      <c r="H102" s="49"/>
      <c r="I102" s="49"/>
      <c r="J102" s="49"/>
      <c r="K102" s="49"/>
      <c r="L102" s="49"/>
      <c r="M102" s="49"/>
      <c r="N102" s="49"/>
      <c r="O102" s="49"/>
      <c r="P102" s="49"/>
      <c r="Q102" s="49"/>
      <c r="R102" s="49"/>
      <c r="S102" s="49"/>
      <c r="T102" s="49"/>
      <c r="U102" s="49"/>
      <c r="V102" s="49"/>
      <c r="W102" s="49"/>
      <c r="X102" s="49"/>
      <c r="Y102" s="49"/>
      <c r="Z102" s="49"/>
      <c r="AA102" s="49"/>
      <c r="AB102" s="49"/>
      <c r="AC102" s="49"/>
      <c r="AD102" s="49"/>
      <c r="AE102" s="49"/>
      <c r="AF102" s="49"/>
      <c r="AG102" s="49"/>
      <c r="AH102" s="49"/>
      <c r="AI102" s="49"/>
      <c r="AJ102" s="49"/>
      <c r="AK102" s="49"/>
      <c r="AL102" s="49"/>
      <c r="AM102" s="49"/>
      <c r="AN102" s="49"/>
      <c r="AO102" s="49"/>
      <c r="AP102" s="49"/>
      <c r="AQ102" s="49"/>
      <c r="AR102" s="49"/>
      <c r="AS102" s="49"/>
      <c r="AT102" s="49"/>
      <c r="AU102" s="49"/>
      <c r="AV102" s="49"/>
      <c r="AW102" s="49"/>
      <c r="AX102" s="49"/>
    </row>
    <row r="103">
      <c r="A103" s="49"/>
      <c r="B103" s="49"/>
      <c r="C103" s="50"/>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c r="AH103" s="49"/>
      <c r="AI103" s="49"/>
      <c r="AJ103" s="49"/>
      <c r="AK103" s="49"/>
      <c r="AL103" s="49"/>
      <c r="AM103" s="49"/>
      <c r="AN103" s="49"/>
      <c r="AO103" s="49"/>
      <c r="AP103" s="49"/>
      <c r="AQ103" s="49"/>
      <c r="AR103" s="49"/>
      <c r="AS103" s="49"/>
      <c r="AT103" s="49"/>
      <c r="AU103" s="49"/>
      <c r="AV103" s="49"/>
      <c r="AW103" s="49"/>
      <c r="AX103" s="49"/>
    </row>
    <row r="104">
      <c r="A104" s="49"/>
      <c r="B104" s="49"/>
      <c r="C104" s="50"/>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c r="AH104" s="49"/>
      <c r="AI104" s="49"/>
      <c r="AJ104" s="49"/>
      <c r="AK104" s="49"/>
      <c r="AL104" s="49"/>
      <c r="AM104" s="49"/>
      <c r="AN104" s="49"/>
      <c r="AO104" s="49"/>
      <c r="AP104" s="49"/>
      <c r="AQ104" s="49"/>
      <c r="AR104" s="49"/>
      <c r="AS104" s="49"/>
      <c r="AT104" s="49"/>
      <c r="AU104" s="49"/>
      <c r="AV104" s="49"/>
      <c r="AW104" s="49"/>
      <c r="AX104" s="49"/>
    </row>
    <row r="105">
      <c r="A105" s="49"/>
      <c r="B105" s="49"/>
      <c r="C105" s="50"/>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c r="AH105" s="49"/>
      <c r="AI105" s="49"/>
      <c r="AJ105" s="49"/>
      <c r="AK105" s="49"/>
      <c r="AL105" s="49"/>
      <c r="AM105" s="49"/>
      <c r="AN105" s="49"/>
      <c r="AO105" s="49"/>
      <c r="AP105" s="49"/>
      <c r="AQ105" s="49"/>
      <c r="AR105" s="49"/>
      <c r="AS105" s="49"/>
      <c r="AT105" s="49"/>
      <c r="AU105" s="49"/>
      <c r="AV105" s="49"/>
      <c r="AW105" s="49"/>
      <c r="AX105" s="49"/>
    </row>
    <row r="106">
      <c r="A106" s="49"/>
      <c r="B106" s="49"/>
      <c r="C106" s="50"/>
      <c r="D106" s="49"/>
      <c r="E106" s="49"/>
      <c r="F106" s="49"/>
      <c r="G106" s="49"/>
      <c r="H106" s="49"/>
      <c r="I106" s="49"/>
      <c r="J106" s="49"/>
      <c r="K106" s="49"/>
      <c r="L106" s="49"/>
      <c r="M106" s="49"/>
      <c r="N106" s="49"/>
      <c r="O106" s="49"/>
      <c r="P106" s="49"/>
      <c r="Q106" s="49"/>
      <c r="R106" s="49"/>
      <c r="S106" s="49"/>
      <c r="T106" s="49"/>
      <c r="U106" s="49"/>
      <c r="V106" s="49"/>
      <c r="W106" s="49"/>
      <c r="X106" s="49"/>
      <c r="Y106" s="49"/>
      <c r="Z106" s="49"/>
      <c r="AA106" s="49"/>
      <c r="AB106" s="49"/>
      <c r="AC106" s="49"/>
      <c r="AD106" s="49"/>
      <c r="AE106" s="49"/>
      <c r="AF106" s="49"/>
      <c r="AG106" s="49"/>
      <c r="AH106" s="49"/>
      <c r="AI106" s="49"/>
      <c r="AJ106" s="49"/>
      <c r="AK106" s="49"/>
      <c r="AL106" s="49"/>
      <c r="AM106" s="49"/>
      <c r="AN106" s="49"/>
      <c r="AO106" s="49"/>
      <c r="AP106" s="49"/>
      <c r="AQ106" s="49"/>
      <c r="AR106" s="49"/>
      <c r="AS106" s="49"/>
      <c r="AT106" s="49"/>
      <c r="AU106" s="49"/>
      <c r="AV106" s="49"/>
      <c r="AW106" s="49"/>
      <c r="AX106" s="49"/>
    </row>
    <row r="107">
      <c r="A107" s="49"/>
      <c r="B107" s="49"/>
      <c r="C107" s="50"/>
      <c r="D107" s="49"/>
      <c r="E107" s="49"/>
      <c r="F107" s="49"/>
      <c r="G107" s="49"/>
      <c r="H107" s="49"/>
      <c r="I107" s="49"/>
      <c r="J107" s="49"/>
      <c r="K107" s="49"/>
      <c r="L107" s="49"/>
      <c r="M107" s="49"/>
      <c r="N107" s="49"/>
      <c r="O107" s="49"/>
      <c r="P107" s="49"/>
      <c r="Q107" s="49"/>
      <c r="R107" s="49"/>
      <c r="S107" s="49"/>
      <c r="T107" s="49"/>
      <c r="U107" s="49"/>
      <c r="V107" s="49"/>
      <c r="W107" s="49"/>
      <c r="X107" s="49"/>
      <c r="Y107" s="49"/>
      <c r="Z107" s="49"/>
      <c r="AA107" s="49"/>
      <c r="AB107" s="49"/>
      <c r="AC107" s="49"/>
      <c r="AD107" s="49"/>
      <c r="AE107" s="49"/>
      <c r="AF107" s="49"/>
      <c r="AG107" s="49"/>
      <c r="AH107" s="49"/>
      <c r="AI107" s="49"/>
      <c r="AJ107" s="49"/>
      <c r="AK107" s="49"/>
      <c r="AL107" s="49"/>
      <c r="AM107" s="49"/>
      <c r="AN107" s="49"/>
      <c r="AO107" s="49"/>
      <c r="AP107" s="49"/>
      <c r="AQ107" s="49"/>
      <c r="AR107" s="49"/>
      <c r="AS107" s="49"/>
      <c r="AT107" s="49"/>
      <c r="AU107" s="49"/>
      <c r="AV107" s="49"/>
      <c r="AW107" s="49"/>
      <c r="AX107" s="49"/>
    </row>
    <row r="108">
      <c r="A108" s="49"/>
      <c r="B108" s="49"/>
      <c r="C108" s="50"/>
      <c r="D108" s="49"/>
      <c r="E108" s="49"/>
      <c r="F108" s="49"/>
      <c r="G108" s="49"/>
      <c r="H108" s="49"/>
      <c r="I108" s="49"/>
      <c r="J108" s="49"/>
      <c r="K108" s="49"/>
      <c r="L108" s="49"/>
      <c r="M108" s="49"/>
      <c r="N108" s="49"/>
      <c r="O108" s="49"/>
      <c r="P108" s="49"/>
      <c r="Q108" s="49"/>
      <c r="R108" s="49"/>
      <c r="S108" s="49"/>
      <c r="T108" s="49"/>
      <c r="U108" s="49"/>
      <c r="V108" s="49"/>
      <c r="W108" s="49"/>
      <c r="X108" s="49"/>
      <c r="Y108" s="49"/>
      <c r="Z108" s="49"/>
      <c r="AA108" s="49"/>
      <c r="AB108" s="49"/>
      <c r="AC108" s="49"/>
      <c r="AD108" s="49"/>
      <c r="AE108" s="49"/>
      <c r="AF108" s="49"/>
      <c r="AG108" s="49"/>
      <c r="AH108" s="49"/>
      <c r="AI108" s="49"/>
      <c r="AJ108" s="49"/>
      <c r="AK108" s="49"/>
      <c r="AL108" s="49"/>
      <c r="AM108" s="49"/>
      <c r="AN108" s="49"/>
      <c r="AO108" s="49"/>
      <c r="AP108" s="49"/>
      <c r="AQ108" s="49"/>
      <c r="AR108" s="49"/>
      <c r="AS108" s="49"/>
      <c r="AT108" s="49"/>
      <c r="AU108" s="49"/>
      <c r="AV108" s="49"/>
      <c r="AW108" s="49"/>
      <c r="AX108" s="49"/>
    </row>
    <row r="109">
      <c r="A109" s="49"/>
      <c r="B109" s="49"/>
      <c r="C109" s="50"/>
      <c r="D109" s="49"/>
      <c r="E109" s="49"/>
      <c r="F109" s="49"/>
      <c r="G109" s="49"/>
      <c r="H109" s="49"/>
      <c r="I109" s="49"/>
      <c r="J109" s="49"/>
      <c r="K109" s="49"/>
      <c r="L109" s="49"/>
      <c r="M109" s="49"/>
      <c r="N109" s="49"/>
      <c r="O109" s="49"/>
      <c r="P109" s="49"/>
      <c r="Q109" s="49"/>
      <c r="R109" s="49"/>
      <c r="S109" s="49"/>
      <c r="T109" s="49"/>
      <c r="U109" s="49"/>
      <c r="V109" s="49"/>
      <c r="W109" s="49"/>
      <c r="X109" s="49"/>
      <c r="Y109" s="49"/>
      <c r="Z109" s="49"/>
      <c r="AA109" s="49"/>
      <c r="AB109" s="49"/>
      <c r="AC109" s="49"/>
      <c r="AD109" s="49"/>
      <c r="AE109" s="49"/>
      <c r="AF109" s="49"/>
      <c r="AG109" s="49"/>
      <c r="AH109" s="49"/>
      <c r="AI109" s="49"/>
      <c r="AJ109" s="49"/>
      <c r="AK109" s="49"/>
      <c r="AL109" s="49"/>
      <c r="AM109" s="49"/>
      <c r="AN109" s="49"/>
      <c r="AO109" s="49"/>
      <c r="AP109" s="49"/>
      <c r="AQ109" s="49"/>
      <c r="AR109" s="49"/>
      <c r="AS109" s="49"/>
      <c r="AT109" s="49"/>
      <c r="AU109" s="49"/>
      <c r="AV109" s="49"/>
      <c r="AW109" s="49"/>
      <c r="AX109" s="49"/>
    </row>
    <row r="110">
      <c r="A110" s="49"/>
      <c r="B110" s="49"/>
      <c r="C110" s="50"/>
      <c r="D110" s="49"/>
      <c r="E110" s="49"/>
      <c r="F110" s="49"/>
      <c r="G110" s="49"/>
      <c r="H110" s="49"/>
      <c r="I110" s="49"/>
      <c r="J110" s="49"/>
      <c r="K110" s="49"/>
      <c r="L110" s="49"/>
      <c r="M110" s="49"/>
      <c r="N110" s="49"/>
      <c r="O110" s="49"/>
      <c r="P110" s="49"/>
      <c r="Q110" s="49"/>
      <c r="R110" s="49"/>
      <c r="S110" s="49"/>
      <c r="T110" s="49"/>
      <c r="U110" s="49"/>
      <c r="V110" s="49"/>
      <c r="W110" s="49"/>
      <c r="X110" s="49"/>
      <c r="Y110" s="49"/>
      <c r="Z110" s="49"/>
      <c r="AA110" s="49"/>
      <c r="AB110" s="49"/>
      <c r="AC110" s="49"/>
      <c r="AD110" s="49"/>
      <c r="AE110" s="49"/>
      <c r="AF110" s="49"/>
      <c r="AG110" s="49"/>
      <c r="AH110" s="49"/>
      <c r="AI110" s="49"/>
      <c r="AJ110" s="49"/>
      <c r="AK110" s="49"/>
      <c r="AL110" s="49"/>
      <c r="AM110" s="49"/>
      <c r="AN110" s="49"/>
      <c r="AO110" s="49"/>
      <c r="AP110" s="49"/>
      <c r="AQ110" s="49"/>
      <c r="AR110" s="49"/>
      <c r="AS110" s="49"/>
      <c r="AT110" s="49"/>
      <c r="AU110" s="49"/>
      <c r="AV110" s="49"/>
      <c r="AW110" s="49"/>
      <c r="AX110" s="49"/>
    </row>
    <row r="111">
      <c r="A111" s="49"/>
      <c r="B111" s="49"/>
      <c r="C111" s="50"/>
      <c r="D111" s="49"/>
      <c r="E111" s="49"/>
      <c r="F111" s="49"/>
      <c r="G111" s="49"/>
      <c r="H111" s="49"/>
      <c r="I111" s="49"/>
      <c r="J111" s="49"/>
      <c r="K111" s="49"/>
      <c r="L111" s="49"/>
      <c r="M111" s="49"/>
      <c r="N111" s="49"/>
      <c r="O111" s="49"/>
      <c r="P111" s="49"/>
      <c r="Q111" s="49"/>
      <c r="R111" s="49"/>
      <c r="S111" s="49"/>
      <c r="T111" s="49"/>
      <c r="U111" s="49"/>
      <c r="V111" s="49"/>
      <c r="W111" s="49"/>
      <c r="X111" s="49"/>
      <c r="Y111" s="49"/>
      <c r="Z111" s="49"/>
      <c r="AA111" s="49"/>
      <c r="AB111" s="49"/>
      <c r="AC111" s="49"/>
      <c r="AD111" s="49"/>
      <c r="AE111" s="49"/>
      <c r="AF111" s="49"/>
      <c r="AG111" s="49"/>
      <c r="AH111" s="49"/>
      <c r="AI111" s="49"/>
      <c r="AJ111" s="49"/>
      <c r="AK111" s="49"/>
      <c r="AL111" s="49"/>
      <c r="AM111" s="49"/>
      <c r="AN111" s="49"/>
      <c r="AO111" s="49"/>
      <c r="AP111" s="49"/>
      <c r="AQ111" s="49"/>
      <c r="AR111" s="49"/>
      <c r="AS111" s="49"/>
      <c r="AT111" s="49"/>
      <c r="AU111" s="49"/>
      <c r="AV111" s="49"/>
      <c r="AW111" s="49"/>
      <c r="AX111" s="49"/>
    </row>
    <row r="112">
      <c r="A112" s="49"/>
      <c r="B112" s="49"/>
      <c r="C112" s="50"/>
      <c r="D112" s="49"/>
      <c r="E112" s="49"/>
      <c r="F112" s="49"/>
      <c r="G112" s="49"/>
      <c r="H112" s="49"/>
      <c r="I112" s="49"/>
      <c r="J112" s="49"/>
      <c r="K112" s="49"/>
      <c r="L112" s="49"/>
      <c r="M112" s="49"/>
      <c r="N112" s="49"/>
      <c r="O112" s="49"/>
      <c r="P112" s="49"/>
      <c r="Q112" s="49"/>
      <c r="R112" s="49"/>
      <c r="S112" s="49"/>
      <c r="T112" s="49"/>
      <c r="U112" s="49"/>
      <c r="V112" s="49"/>
      <c r="W112" s="49"/>
      <c r="X112" s="49"/>
      <c r="Y112" s="49"/>
      <c r="Z112" s="49"/>
      <c r="AA112" s="49"/>
      <c r="AB112" s="49"/>
      <c r="AC112" s="49"/>
      <c r="AD112" s="49"/>
      <c r="AE112" s="49"/>
      <c r="AF112" s="49"/>
      <c r="AG112" s="49"/>
      <c r="AH112" s="49"/>
      <c r="AI112" s="49"/>
      <c r="AJ112" s="49"/>
      <c r="AK112" s="49"/>
      <c r="AL112" s="49"/>
      <c r="AM112" s="49"/>
      <c r="AN112" s="49"/>
      <c r="AO112" s="49"/>
      <c r="AP112" s="49"/>
      <c r="AQ112" s="49"/>
      <c r="AR112" s="49"/>
      <c r="AS112" s="49"/>
      <c r="AT112" s="49"/>
      <c r="AU112" s="49"/>
      <c r="AV112" s="49"/>
      <c r="AW112" s="49"/>
      <c r="AX112" s="49"/>
    </row>
    <row r="113">
      <c r="A113" s="49"/>
      <c r="B113" s="49"/>
      <c r="C113" s="50"/>
      <c r="D113" s="49"/>
      <c r="E113" s="49"/>
      <c r="F113" s="49"/>
      <c r="G113" s="49"/>
      <c r="H113" s="49"/>
      <c r="I113" s="49"/>
      <c r="J113" s="49"/>
      <c r="K113" s="49"/>
      <c r="L113" s="49"/>
      <c r="M113" s="49"/>
      <c r="N113" s="49"/>
      <c r="O113" s="49"/>
      <c r="P113" s="49"/>
      <c r="Q113" s="49"/>
      <c r="R113" s="49"/>
      <c r="S113" s="49"/>
      <c r="T113" s="49"/>
      <c r="U113" s="49"/>
      <c r="V113" s="49"/>
      <c r="W113" s="49"/>
      <c r="X113" s="49"/>
      <c r="Y113" s="49"/>
      <c r="Z113" s="49"/>
      <c r="AA113" s="49"/>
      <c r="AB113" s="49"/>
      <c r="AC113" s="49"/>
      <c r="AD113" s="49"/>
      <c r="AE113" s="49"/>
      <c r="AF113" s="49"/>
      <c r="AG113" s="49"/>
      <c r="AH113" s="49"/>
      <c r="AI113" s="49"/>
      <c r="AJ113" s="49"/>
      <c r="AK113" s="49"/>
      <c r="AL113" s="49"/>
      <c r="AM113" s="49"/>
      <c r="AN113" s="49"/>
      <c r="AO113" s="49"/>
      <c r="AP113" s="49"/>
      <c r="AQ113" s="49"/>
      <c r="AR113" s="49"/>
      <c r="AS113" s="49"/>
      <c r="AT113" s="49"/>
      <c r="AU113" s="49"/>
      <c r="AV113" s="49"/>
      <c r="AW113" s="49"/>
      <c r="AX113" s="49"/>
    </row>
    <row r="114">
      <c r="A114" s="49"/>
      <c r="B114" s="49"/>
      <c r="C114" s="50"/>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c r="AH114" s="49"/>
      <c r="AI114" s="49"/>
      <c r="AJ114" s="49"/>
      <c r="AK114" s="49"/>
      <c r="AL114" s="49"/>
      <c r="AM114" s="49"/>
      <c r="AN114" s="49"/>
      <c r="AO114" s="49"/>
      <c r="AP114" s="49"/>
      <c r="AQ114" s="49"/>
      <c r="AR114" s="49"/>
      <c r="AS114" s="49"/>
      <c r="AT114" s="49"/>
      <c r="AU114" s="49"/>
      <c r="AV114" s="49"/>
      <c r="AW114" s="49"/>
      <c r="AX114" s="49"/>
    </row>
    <row r="115">
      <c r="A115" s="49"/>
      <c r="B115" s="49"/>
      <c r="C115" s="50"/>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c r="AH115" s="49"/>
      <c r="AI115" s="49"/>
      <c r="AJ115" s="49"/>
      <c r="AK115" s="49"/>
      <c r="AL115" s="49"/>
      <c r="AM115" s="49"/>
      <c r="AN115" s="49"/>
      <c r="AO115" s="49"/>
      <c r="AP115" s="49"/>
      <c r="AQ115" s="49"/>
      <c r="AR115" s="49"/>
      <c r="AS115" s="49"/>
      <c r="AT115" s="49"/>
      <c r="AU115" s="49"/>
      <c r="AV115" s="49"/>
      <c r="AW115" s="49"/>
      <c r="AX115" s="49"/>
    </row>
    <row r="116">
      <c r="A116" s="49"/>
      <c r="B116" s="49"/>
      <c r="C116" s="50"/>
      <c r="D116" s="49"/>
      <c r="E116" s="49"/>
      <c r="F116" s="49"/>
      <c r="G116" s="49"/>
      <c r="H116" s="49"/>
      <c r="I116" s="49"/>
      <c r="J116" s="49"/>
      <c r="K116" s="49"/>
      <c r="L116" s="49"/>
      <c r="M116" s="49"/>
      <c r="N116" s="49"/>
      <c r="O116" s="49"/>
      <c r="P116" s="49"/>
      <c r="Q116" s="49"/>
      <c r="R116" s="49"/>
      <c r="S116" s="49"/>
      <c r="T116" s="49"/>
      <c r="U116" s="49"/>
      <c r="V116" s="49"/>
      <c r="W116" s="49"/>
      <c r="X116" s="49"/>
      <c r="Y116" s="49"/>
      <c r="Z116" s="49"/>
      <c r="AA116" s="49"/>
      <c r="AB116" s="49"/>
      <c r="AC116" s="49"/>
      <c r="AD116" s="49"/>
      <c r="AE116" s="49"/>
      <c r="AF116" s="49"/>
      <c r="AG116" s="49"/>
      <c r="AH116" s="49"/>
      <c r="AI116" s="49"/>
      <c r="AJ116" s="49"/>
      <c r="AK116" s="49"/>
      <c r="AL116" s="49"/>
      <c r="AM116" s="49"/>
      <c r="AN116" s="49"/>
      <c r="AO116" s="49"/>
      <c r="AP116" s="49"/>
      <c r="AQ116" s="49"/>
      <c r="AR116" s="49"/>
      <c r="AS116" s="49"/>
      <c r="AT116" s="49"/>
      <c r="AU116" s="49"/>
      <c r="AV116" s="49"/>
      <c r="AW116" s="49"/>
      <c r="AX116" s="49"/>
    </row>
    <row r="117">
      <c r="A117" s="49"/>
      <c r="B117" s="49"/>
      <c r="C117" s="50"/>
      <c r="D117" s="49"/>
      <c r="E117" s="49"/>
      <c r="F117" s="49"/>
      <c r="G117" s="49"/>
      <c r="H117" s="49"/>
      <c r="I117" s="49"/>
      <c r="J117" s="49"/>
      <c r="K117" s="49"/>
      <c r="L117" s="49"/>
      <c r="M117" s="49"/>
      <c r="N117" s="49"/>
      <c r="O117" s="49"/>
      <c r="P117" s="49"/>
      <c r="Q117" s="49"/>
      <c r="R117" s="49"/>
      <c r="S117" s="49"/>
      <c r="T117" s="49"/>
      <c r="U117" s="49"/>
      <c r="V117" s="49"/>
      <c r="W117" s="49"/>
      <c r="X117" s="49"/>
      <c r="Y117" s="49"/>
      <c r="Z117" s="49"/>
      <c r="AA117" s="49"/>
      <c r="AB117" s="49"/>
      <c r="AC117" s="49"/>
      <c r="AD117" s="49"/>
      <c r="AE117" s="49"/>
      <c r="AF117" s="49"/>
      <c r="AG117" s="49"/>
      <c r="AH117" s="49"/>
      <c r="AI117" s="49"/>
      <c r="AJ117" s="49"/>
      <c r="AK117" s="49"/>
      <c r="AL117" s="49"/>
      <c r="AM117" s="49"/>
      <c r="AN117" s="49"/>
      <c r="AO117" s="49"/>
      <c r="AP117" s="49"/>
      <c r="AQ117" s="49"/>
      <c r="AR117" s="49"/>
      <c r="AS117" s="49"/>
      <c r="AT117" s="49"/>
      <c r="AU117" s="49"/>
      <c r="AV117" s="49"/>
      <c r="AW117" s="49"/>
      <c r="AX117" s="49"/>
    </row>
    <row r="118">
      <c r="A118" s="49"/>
      <c r="B118" s="49"/>
      <c r="C118" s="50"/>
      <c r="D118" s="49"/>
      <c r="E118" s="49"/>
      <c r="F118" s="49"/>
      <c r="G118" s="49"/>
      <c r="H118" s="49"/>
      <c r="I118" s="49"/>
      <c r="J118" s="49"/>
      <c r="K118" s="49"/>
      <c r="L118" s="49"/>
      <c r="M118" s="49"/>
      <c r="N118" s="49"/>
      <c r="O118" s="49"/>
      <c r="P118" s="49"/>
      <c r="Q118" s="49"/>
      <c r="R118" s="49"/>
      <c r="S118" s="49"/>
      <c r="T118" s="49"/>
      <c r="U118" s="49"/>
      <c r="V118" s="49"/>
      <c r="W118" s="49"/>
      <c r="X118" s="49"/>
      <c r="Y118" s="49"/>
      <c r="Z118" s="49"/>
      <c r="AA118" s="49"/>
      <c r="AB118" s="49"/>
      <c r="AC118" s="49"/>
      <c r="AD118" s="49"/>
      <c r="AE118" s="49"/>
      <c r="AF118" s="49"/>
      <c r="AG118" s="49"/>
      <c r="AH118" s="49"/>
      <c r="AI118" s="49"/>
      <c r="AJ118" s="49"/>
      <c r="AK118" s="49"/>
      <c r="AL118" s="49"/>
      <c r="AM118" s="49"/>
      <c r="AN118" s="49"/>
      <c r="AO118" s="49"/>
      <c r="AP118" s="49"/>
      <c r="AQ118" s="49"/>
      <c r="AR118" s="49"/>
      <c r="AS118" s="49"/>
      <c r="AT118" s="49"/>
      <c r="AU118" s="49"/>
      <c r="AV118" s="49"/>
      <c r="AW118" s="49"/>
      <c r="AX118" s="49"/>
    </row>
    <row r="119">
      <c r="A119" s="49"/>
      <c r="B119" s="49"/>
      <c r="C119" s="50"/>
      <c r="D119" s="49"/>
      <c r="E119" s="49"/>
      <c r="F119" s="49"/>
      <c r="G119" s="49"/>
      <c r="H119" s="49"/>
      <c r="I119" s="49"/>
      <c r="J119" s="49"/>
      <c r="K119" s="49"/>
      <c r="L119" s="49"/>
      <c r="M119" s="49"/>
      <c r="N119" s="49"/>
      <c r="O119" s="49"/>
      <c r="P119" s="49"/>
      <c r="Q119" s="49"/>
      <c r="R119" s="49"/>
      <c r="S119" s="49"/>
      <c r="T119" s="49"/>
      <c r="U119" s="49"/>
      <c r="V119" s="49"/>
      <c r="W119" s="49"/>
      <c r="X119" s="49"/>
      <c r="Y119" s="49"/>
      <c r="Z119" s="49"/>
      <c r="AA119" s="49"/>
      <c r="AB119" s="49"/>
      <c r="AC119" s="49"/>
      <c r="AD119" s="49"/>
      <c r="AE119" s="49"/>
      <c r="AF119" s="49"/>
      <c r="AG119" s="49"/>
      <c r="AH119" s="49"/>
      <c r="AI119" s="49"/>
      <c r="AJ119" s="49"/>
      <c r="AK119" s="49"/>
      <c r="AL119" s="49"/>
      <c r="AM119" s="49"/>
      <c r="AN119" s="49"/>
      <c r="AO119" s="49"/>
      <c r="AP119" s="49"/>
      <c r="AQ119" s="49"/>
      <c r="AR119" s="49"/>
      <c r="AS119" s="49"/>
      <c r="AT119" s="49"/>
      <c r="AU119" s="49"/>
      <c r="AV119" s="49"/>
      <c r="AW119" s="49"/>
      <c r="AX119" s="49"/>
    </row>
    <row r="120">
      <c r="A120" s="49"/>
      <c r="B120" s="49"/>
      <c r="C120" s="50"/>
      <c r="D120" s="49"/>
      <c r="E120" s="49"/>
      <c r="F120" s="49"/>
      <c r="G120" s="49"/>
      <c r="H120" s="49"/>
      <c r="I120" s="49"/>
      <c r="J120" s="49"/>
      <c r="K120" s="49"/>
      <c r="L120" s="49"/>
      <c r="M120" s="49"/>
      <c r="N120" s="49"/>
      <c r="O120" s="49"/>
      <c r="P120" s="49"/>
      <c r="Q120" s="49"/>
      <c r="R120" s="49"/>
      <c r="S120" s="49"/>
      <c r="T120" s="49"/>
      <c r="U120" s="49"/>
      <c r="V120" s="49"/>
      <c r="W120" s="49"/>
      <c r="X120" s="49"/>
      <c r="Y120" s="49"/>
      <c r="Z120" s="49"/>
      <c r="AA120" s="49"/>
      <c r="AB120" s="49"/>
      <c r="AC120" s="49"/>
      <c r="AD120" s="49"/>
      <c r="AE120" s="49"/>
      <c r="AF120" s="49"/>
      <c r="AG120" s="49"/>
      <c r="AH120" s="49"/>
      <c r="AI120" s="49"/>
      <c r="AJ120" s="49"/>
      <c r="AK120" s="49"/>
      <c r="AL120" s="49"/>
      <c r="AM120" s="49"/>
      <c r="AN120" s="49"/>
      <c r="AO120" s="49"/>
      <c r="AP120" s="49"/>
      <c r="AQ120" s="49"/>
      <c r="AR120" s="49"/>
      <c r="AS120" s="49"/>
      <c r="AT120" s="49"/>
      <c r="AU120" s="49"/>
      <c r="AV120" s="49"/>
      <c r="AW120" s="49"/>
      <c r="AX120" s="49"/>
    </row>
    <row r="121">
      <c r="A121" s="49"/>
      <c r="B121" s="49"/>
      <c r="C121" s="50"/>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c r="AH121" s="49"/>
      <c r="AI121" s="49"/>
      <c r="AJ121" s="49"/>
      <c r="AK121" s="49"/>
      <c r="AL121" s="49"/>
      <c r="AM121" s="49"/>
      <c r="AN121" s="49"/>
      <c r="AO121" s="49"/>
      <c r="AP121" s="49"/>
      <c r="AQ121" s="49"/>
      <c r="AR121" s="49"/>
      <c r="AS121" s="49"/>
      <c r="AT121" s="49"/>
      <c r="AU121" s="49"/>
      <c r="AV121" s="49"/>
      <c r="AW121" s="49"/>
      <c r="AX121" s="49"/>
    </row>
    <row r="122">
      <c r="A122" s="49"/>
      <c r="B122" s="49"/>
      <c r="C122" s="50"/>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c r="AH122" s="49"/>
      <c r="AI122" s="49"/>
      <c r="AJ122" s="49"/>
      <c r="AK122" s="49"/>
      <c r="AL122" s="49"/>
      <c r="AM122" s="49"/>
      <c r="AN122" s="49"/>
      <c r="AO122" s="49"/>
      <c r="AP122" s="49"/>
      <c r="AQ122" s="49"/>
      <c r="AR122" s="49"/>
      <c r="AS122" s="49"/>
      <c r="AT122" s="49"/>
      <c r="AU122" s="49"/>
      <c r="AV122" s="49"/>
      <c r="AW122" s="49"/>
      <c r="AX122" s="49"/>
    </row>
    <row r="123">
      <c r="A123" s="49"/>
      <c r="B123" s="49"/>
      <c r="C123" s="50"/>
      <c r="D123" s="49"/>
      <c r="E123" s="49"/>
      <c r="F123" s="49"/>
      <c r="G123" s="49"/>
      <c r="H123" s="49"/>
      <c r="I123" s="49"/>
      <c r="J123" s="49"/>
      <c r="K123" s="49"/>
      <c r="L123" s="49"/>
      <c r="M123" s="49"/>
      <c r="N123" s="49"/>
      <c r="O123" s="49"/>
      <c r="P123" s="49"/>
      <c r="Q123" s="49"/>
      <c r="R123" s="49"/>
      <c r="S123" s="49"/>
      <c r="T123" s="49"/>
      <c r="U123" s="49"/>
      <c r="V123" s="49"/>
      <c r="W123" s="49"/>
      <c r="X123" s="49"/>
      <c r="Y123" s="49"/>
      <c r="Z123" s="49"/>
      <c r="AA123" s="49"/>
      <c r="AB123" s="49"/>
      <c r="AC123" s="49"/>
      <c r="AD123" s="49"/>
      <c r="AE123" s="49"/>
      <c r="AF123" s="49"/>
      <c r="AG123" s="49"/>
      <c r="AH123" s="49"/>
      <c r="AI123" s="49"/>
      <c r="AJ123" s="49"/>
      <c r="AK123" s="49"/>
      <c r="AL123" s="49"/>
      <c r="AM123" s="49"/>
      <c r="AN123" s="49"/>
      <c r="AO123" s="49"/>
      <c r="AP123" s="49"/>
      <c r="AQ123" s="49"/>
      <c r="AR123" s="49"/>
      <c r="AS123" s="49"/>
      <c r="AT123" s="49"/>
      <c r="AU123" s="49"/>
      <c r="AV123" s="49"/>
      <c r="AW123" s="49"/>
      <c r="AX123" s="49"/>
    </row>
    <row r="124">
      <c r="A124" s="49"/>
      <c r="B124" s="49"/>
      <c r="C124" s="50"/>
      <c r="D124" s="49"/>
      <c r="E124" s="49"/>
      <c r="F124" s="49"/>
      <c r="G124" s="49"/>
      <c r="H124" s="49"/>
      <c r="I124" s="49"/>
      <c r="J124" s="49"/>
      <c r="K124" s="49"/>
      <c r="L124" s="49"/>
      <c r="M124" s="49"/>
      <c r="N124" s="49"/>
      <c r="O124" s="49"/>
      <c r="P124" s="49"/>
      <c r="Q124" s="49"/>
      <c r="R124" s="49"/>
      <c r="S124" s="49"/>
      <c r="T124" s="49"/>
      <c r="U124" s="49"/>
      <c r="V124" s="49"/>
      <c r="W124" s="49"/>
      <c r="X124" s="49"/>
      <c r="Y124" s="49"/>
      <c r="Z124" s="49"/>
      <c r="AA124" s="49"/>
      <c r="AB124" s="49"/>
      <c r="AC124" s="49"/>
      <c r="AD124" s="49"/>
      <c r="AE124" s="49"/>
      <c r="AF124" s="49"/>
      <c r="AG124" s="49"/>
      <c r="AH124" s="49"/>
      <c r="AI124" s="49"/>
      <c r="AJ124" s="49"/>
      <c r="AK124" s="49"/>
      <c r="AL124" s="49"/>
      <c r="AM124" s="49"/>
      <c r="AN124" s="49"/>
      <c r="AO124" s="49"/>
      <c r="AP124" s="49"/>
      <c r="AQ124" s="49"/>
      <c r="AR124" s="49"/>
      <c r="AS124" s="49"/>
      <c r="AT124" s="49"/>
      <c r="AU124" s="49"/>
      <c r="AV124" s="49"/>
      <c r="AW124" s="49"/>
      <c r="AX124" s="49"/>
    </row>
    <row r="125">
      <c r="A125" s="49"/>
      <c r="B125" s="49"/>
      <c r="C125" s="50"/>
      <c r="D125" s="49"/>
      <c r="E125" s="49"/>
      <c r="F125" s="49"/>
      <c r="G125" s="49"/>
      <c r="H125" s="49"/>
      <c r="I125" s="49"/>
      <c r="J125" s="49"/>
      <c r="K125" s="49"/>
      <c r="L125" s="49"/>
      <c r="M125" s="49"/>
      <c r="N125" s="49"/>
      <c r="O125" s="49"/>
      <c r="P125" s="49"/>
      <c r="Q125" s="49"/>
      <c r="R125" s="49"/>
      <c r="S125" s="49"/>
      <c r="T125" s="49"/>
      <c r="U125" s="49"/>
      <c r="V125" s="49"/>
      <c r="W125" s="49"/>
      <c r="X125" s="49"/>
      <c r="Y125" s="49"/>
      <c r="Z125" s="49"/>
      <c r="AA125" s="49"/>
      <c r="AB125" s="49"/>
      <c r="AC125" s="49"/>
      <c r="AD125" s="49"/>
      <c r="AE125" s="49"/>
      <c r="AF125" s="49"/>
      <c r="AG125" s="49"/>
      <c r="AH125" s="49"/>
      <c r="AI125" s="49"/>
      <c r="AJ125" s="49"/>
      <c r="AK125" s="49"/>
      <c r="AL125" s="49"/>
      <c r="AM125" s="49"/>
      <c r="AN125" s="49"/>
      <c r="AO125" s="49"/>
      <c r="AP125" s="49"/>
      <c r="AQ125" s="49"/>
      <c r="AR125" s="49"/>
      <c r="AS125" s="49"/>
      <c r="AT125" s="49"/>
      <c r="AU125" s="49"/>
      <c r="AV125" s="49"/>
      <c r="AW125" s="49"/>
      <c r="AX125" s="49"/>
    </row>
    <row r="126">
      <c r="A126" s="49"/>
      <c r="B126" s="49"/>
      <c r="C126" s="50"/>
      <c r="D126" s="49"/>
      <c r="E126" s="49"/>
      <c r="F126" s="49"/>
      <c r="G126" s="49"/>
      <c r="H126" s="49"/>
      <c r="I126" s="49"/>
      <c r="J126" s="49"/>
      <c r="K126" s="49"/>
      <c r="L126" s="49"/>
      <c r="M126" s="49"/>
      <c r="N126" s="49"/>
      <c r="O126" s="49"/>
      <c r="P126" s="49"/>
      <c r="Q126" s="49"/>
      <c r="R126" s="49"/>
      <c r="S126" s="49"/>
      <c r="T126" s="49"/>
      <c r="U126" s="49"/>
      <c r="V126" s="49"/>
      <c r="W126" s="49"/>
      <c r="X126" s="49"/>
      <c r="Y126" s="49"/>
      <c r="Z126" s="49"/>
      <c r="AA126" s="49"/>
      <c r="AB126" s="49"/>
      <c r="AC126" s="49"/>
      <c r="AD126" s="49"/>
      <c r="AE126" s="49"/>
      <c r="AF126" s="49"/>
      <c r="AG126" s="49"/>
      <c r="AH126" s="49"/>
      <c r="AI126" s="49"/>
      <c r="AJ126" s="49"/>
      <c r="AK126" s="49"/>
      <c r="AL126" s="49"/>
      <c r="AM126" s="49"/>
      <c r="AN126" s="49"/>
      <c r="AO126" s="49"/>
      <c r="AP126" s="49"/>
      <c r="AQ126" s="49"/>
      <c r="AR126" s="49"/>
      <c r="AS126" s="49"/>
      <c r="AT126" s="49"/>
      <c r="AU126" s="49"/>
      <c r="AV126" s="49"/>
      <c r="AW126" s="49"/>
      <c r="AX126" s="49"/>
    </row>
    <row r="127">
      <c r="A127" s="49"/>
      <c r="B127" s="49"/>
      <c r="C127" s="50"/>
      <c r="D127" s="49"/>
      <c r="E127" s="49"/>
      <c r="F127" s="49"/>
      <c r="G127" s="49"/>
      <c r="H127" s="49"/>
      <c r="I127" s="49"/>
      <c r="J127" s="49"/>
      <c r="K127" s="49"/>
      <c r="L127" s="49"/>
      <c r="M127" s="49"/>
      <c r="N127" s="49"/>
      <c r="O127" s="49"/>
      <c r="P127" s="49"/>
      <c r="Q127" s="49"/>
      <c r="R127" s="49"/>
      <c r="S127" s="49"/>
      <c r="T127" s="49"/>
      <c r="U127" s="49"/>
      <c r="V127" s="49"/>
      <c r="W127" s="49"/>
      <c r="X127" s="49"/>
      <c r="Y127" s="49"/>
      <c r="Z127" s="49"/>
      <c r="AA127" s="49"/>
      <c r="AB127" s="49"/>
      <c r="AC127" s="49"/>
      <c r="AD127" s="49"/>
      <c r="AE127" s="49"/>
      <c r="AF127" s="49"/>
      <c r="AG127" s="49"/>
      <c r="AH127" s="49"/>
      <c r="AI127" s="49"/>
      <c r="AJ127" s="49"/>
      <c r="AK127" s="49"/>
      <c r="AL127" s="49"/>
      <c r="AM127" s="49"/>
      <c r="AN127" s="49"/>
      <c r="AO127" s="49"/>
      <c r="AP127" s="49"/>
      <c r="AQ127" s="49"/>
      <c r="AR127" s="49"/>
      <c r="AS127" s="49"/>
      <c r="AT127" s="49"/>
      <c r="AU127" s="49"/>
      <c r="AV127" s="49"/>
      <c r="AW127" s="49"/>
      <c r="AX127" s="49"/>
    </row>
    <row r="128">
      <c r="A128" s="49"/>
      <c r="B128" s="49"/>
      <c r="C128" s="50"/>
      <c r="D128" s="49"/>
      <c r="E128" s="49"/>
      <c r="F128" s="49"/>
      <c r="G128" s="49"/>
      <c r="H128" s="49"/>
      <c r="I128" s="49"/>
      <c r="J128" s="49"/>
      <c r="K128" s="49"/>
      <c r="L128" s="49"/>
      <c r="M128" s="49"/>
      <c r="N128" s="49"/>
      <c r="O128" s="49"/>
      <c r="P128" s="49"/>
      <c r="Q128" s="49"/>
      <c r="R128" s="49"/>
      <c r="S128" s="49"/>
      <c r="T128" s="49"/>
      <c r="U128" s="49"/>
      <c r="V128" s="49"/>
      <c r="W128" s="49"/>
      <c r="X128" s="49"/>
      <c r="Y128" s="49"/>
      <c r="Z128" s="49"/>
      <c r="AA128" s="49"/>
      <c r="AB128" s="49"/>
      <c r="AC128" s="49"/>
      <c r="AD128" s="49"/>
      <c r="AE128" s="49"/>
      <c r="AF128" s="49"/>
      <c r="AG128" s="49"/>
      <c r="AH128" s="49"/>
      <c r="AI128" s="49"/>
      <c r="AJ128" s="49"/>
      <c r="AK128" s="49"/>
      <c r="AL128" s="49"/>
      <c r="AM128" s="49"/>
      <c r="AN128" s="49"/>
      <c r="AO128" s="49"/>
      <c r="AP128" s="49"/>
      <c r="AQ128" s="49"/>
      <c r="AR128" s="49"/>
      <c r="AS128" s="49"/>
      <c r="AT128" s="49"/>
      <c r="AU128" s="49"/>
      <c r="AV128" s="49"/>
      <c r="AW128" s="49"/>
      <c r="AX128" s="49"/>
    </row>
    <row r="129">
      <c r="A129" s="49"/>
      <c r="B129" s="49"/>
      <c r="C129" s="50"/>
      <c r="D129" s="49"/>
      <c r="E129" s="49"/>
      <c r="F129" s="49"/>
      <c r="G129" s="49"/>
      <c r="H129" s="49"/>
      <c r="I129" s="49"/>
      <c r="J129" s="49"/>
      <c r="K129" s="49"/>
      <c r="L129" s="49"/>
      <c r="M129" s="49"/>
      <c r="N129" s="49"/>
      <c r="O129" s="49"/>
      <c r="P129" s="49"/>
      <c r="Q129" s="49"/>
      <c r="R129" s="49"/>
      <c r="S129" s="49"/>
      <c r="T129" s="49"/>
      <c r="U129" s="49"/>
      <c r="V129" s="49"/>
      <c r="W129" s="49"/>
      <c r="X129" s="49"/>
      <c r="Y129" s="49"/>
      <c r="Z129" s="49"/>
      <c r="AA129" s="49"/>
      <c r="AB129" s="49"/>
      <c r="AC129" s="49"/>
      <c r="AD129" s="49"/>
      <c r="AE129" s="49"/>
      <c r="AF129" s="49"/>
      <c r="AG129" s="49"/>
      <c r="AH129" s="49"/>
      <c r="AI129" s="49"/>
      <c r="AJ129" s="49"/>
      <c r="AK129" s="49"/>
      <c r="AL129" s="49"/>
      <c r="AM129" s="49"/>
      <c r="AN129" s="49"/>
      <c r="AO129" s="49"/>
      <c r="AP129" s="49"/>
      <c r="AQ129" s="49"/>
      <c r="AR129" s="49"/>
      <c r="AS129" s="49"/>
      <c r="AT129" s="49"/>
      <c r="AU129" s="49"/>
      <c r="AV129" s="49"/>
      <c r="AW129" s="49"/>
      <c r="AX129" s="49"/>
    </row>
    <row r="130">
      <c r="A130" s="49"/>
      <c r="B130" s="49"/>
      <c r="C130" s="50"/>
      <c r="D130" s="49"/>
      <c r="E130" s="49"/>
      <c r="F130" s="49"/>
      <c r="G130" s="49"/>
      <c r="H130" s="49"/>
      <c r="I130" s="49"/>
      <c r="J130" s="49"/>
      <c r="K130" s="49"/>
      <c r="L130" s="49"/>
      <c r="M130" s="49"/>
      <c r="N130" s="49"/>
      <c r="O130" s="49"/>
      <c r="P130" s="49"/>
      <c r="Q130" s="49"/>
      <c r="R130" s="49"/>
      <c r="S130" s="49"/>
      <c r="T130" s="49"/>
      <c r="U130" s="49"/>
      <c r="V130" s="49"/>
      <c r="W130" s="49"/>
      <c r="X130" s="49"/>
      <c r="Y130" s="49"/>
      <c r="Z130" s="49"/>
      <c r="AA130" s="49"/>
      <c r="AB130" s="49"/>
      <c r="AC130" s="49"/>
      <c r="AD130" s="49"/>
      <c r="AE130" s="49"/>
      <c r="AF130" s="49"/>
      <c r="AG130" s="49"/>
      <c r="AH130" s="49"/>
      <c r="AI130" s="49"/>
      <c r="AJ130" s="49"/>
      <c r="AK130" s="49"/>
      <c r="AL130" s="49"/>
      <c r="AM130" s="49"/>
      <c r="AN130" s="49"/>
      <c r="AO130" s="49"/>
      <c r="AP130" s="49"/>
      <c r="AQ130" s="49"/>
      <c r="AR130" s="49"/>
      <c r="AS130" s="49"/>
      <c r="AT130" s="49"/>
      <c r="AU130" s="49"/>
      <c r="AV130" s="49"/>
      <c r="AW130" s="49"/>
      <c r="AX130" s="49"/>
    </row>
    <row r="131">
      <c r="A131" s="49"/>
      <c r="B131" s="49"/>
      <c r="C131" s="50"/>
      <c r="D131" s="49"/>
      <c r="E131" s="49"/>
      <c r="F131" s="49"/>
      <c r="G131" s="49"/>
      <c r="H131" s="49"/>
      <c r="I131" s="49"/>
      <c r="J131" s="49"/>
      <c r="K131" s="49"/>
      <c r="L131" s="49"/>
      <c r="M131" s="49"/>
      <c r="N131" s="49"/>
      <c r="O131" s="49"/>
      <c r="P131" s="49"/>
      <c r="Q131" s="49"/>
      <c r="R131" s="49"/>
      <c r="S131" s="49"/>
      <c r="T131" s="49"/>
      <c r="U131" s="49"/>
      <c r="V131" s="49"/>
      <c r="W131" s="49"/>
      <c r="X131" s="49"/>
      <c r="Y131" s="49"/>
      <c r="Z131" s="49"/>
      <c r="AA131" s="49"/>
      <c r="AB131" s="49"/>
      <c r="AC131" s="49"/>
      <c r="AD131" s="49"/>
      <c r="AE131" s="49"/>
      <c r="AF131" s="49"/>
      <c r="AG131" s="49"/>
      <c r="AH131" s="49"/>
      <c r="AI131" s="49"/>
      <c r="AJ131" s="49"/>
      <c r="AK131" s="49"/>
      <c r="AL131" s="49"/>
      <c r="AM131" s="49"/>
      <c r="AN131" s="49"/>
      <c r="AO131" s="49"/>
      <c r="AP131" s="49"/>
      <c r="AQ131" s="49"/>
      <c r="AR131" s="49"/>
      <c r="AS131" s="49"/>
      <c r="AT131" s="49"/>
      <c r="AU131" s="49"/>
      <c r="AV131" s="49"/>
      <c r="AW131" s="49"/>
      <c r="AX131" s="49"/>
    </row>
    <row r="132">
      <c r="A132" s="49"/>
      <c r="B132" s="49"/>
      <c r="C132" s="50"/>
      <c r="D132" s="49"/>
      <c r="E132" s="49"/>
      <c r="F132" s="49"/>
      <c r="G132" s="49"/>
      <c r="H132" s="49"/>
      <c r="I132" s="49"/>
      <c r="J132" s="49"/>
      <c r="K132" s="49"/>
      <c r="L132" s="49"/>
      <c r="M132" s="49"/>
      <c r="N132" s="49"/>
      <c r="O132" s="49"/>
      <c r="P132" s="49"/>
      <c r="Q132" s="49"/>
      <c r="R132" s="49"/>
      <c r="S132" s="49"/>
      <c r="T132" s="49"/>
      <c r="U132" s="49"/>
      <c r="V132" s="49"/>
      <c r="W132" s="49"/>
      <c r="X132" s="49"/>
      <c r="Y132" s="49"/>
      <c r="Z132" s="49"/>
      <c r="AA132" s="49"/>
      <c r="AB132" s="49"/>
      <c r="AC132" s="49"/>
      <c r="AD132" s="49"/>
      <c r="AE132" s="49"/>
      <c r="AF132" s="49"/>
      <c r="AG132" s="49"/>
      <c r="AH132" s="49"/>
      <c r="AI132" s="49"/>
      <c r="AJ132" s="49"/>
      <c r="AK132" s="49"/>
      <c r="AL132" s="49"/>
      <c r="AM132" s="49"/>
      <c r="AN132" s="49"/>
      <c r="AO132" s="49"/>
      <c r="AP132" s="49"/>
      <c r="AQ132" s="49"/>
      <c r="AR132" s="49"/>
      <c r="AS132" s="49"/>
      <c r="AT132" s="49"/>
      <c r="AU132" s="49"/>
      <c r="AV132" s="49"/>
      <c r="AW132" s="49"/>
      <c r="AX132" s="49"/>
    </row>
    <row r="133">
      <c r="A133" s="49"/>
      <c r="B133" s="49"/>
      <c r="C133" s="50"/>
      <c r="D133" s="49"/>
      <c r="E133" s="49"/>
      <c r="F133" s="49"/>
      <c r="G133" s="49"/>
      <c r="H133" s="49"/>
      <c r="I133" s="49"/>
      <c r="J133" s="49"/>
      <c r="K133" s="49"/>
      <c r="L133" s="49"/>
      <c r="M133" s="49"/>
      <c r="N133" s="49"/>
      <c r="O133" s="49"/>
      <c r="P133" s="49"/>
      <c r="Q133" s="49"/>
      <c r="R133" s="49"/>
      <c r="S133" s="49"/>
      <c r="T133" s="49"/>
      <c r="U133" s="49"/>
      <c r="V133" s="49"/>
      <c r="W133" s="49"/>
      <c r="X133" s="49"/>
      <c r="Y133" s="49"/>
      <c r="Z133" s="49"/>
      <c r="AA133" s="49"/>
      <c r="AB133" s="49"/>
      <c r="AC133" s="49"/>
      <c r="AD133" s="49"/>
      <c r="AE133" s="49"/>
      <c r="AF133" s="49"/>
      <c r="AG133" s="49"/>
      <c r="AH133" s="49"/>
      <c r="AI133" s="49"/>
      <c r="AJ133" s="49"/>
      <c r="AK133" s="49"/>
      <c r="AL133" s="49"/>
      <c r="AM133" s="49"/>
      <c r="AN133" s="49"/>
      <c r="AO133" s="49"/>
      <c r="AP133" s="49"/>
      <c r="AQ133" s="49"/>
      <c r="AR133" s="49"/>
      <c r="AS133" s="49"/>
      <c r="AT133" s="49"/>
      <c r="AU133" s="49"/>
      <c r="AV133" s="49"/>
      <c r="AW133" s="49"/>
      <c r="AX133" s="49"/>
    </row>
    <row r="134">
      <c r="A134" s="49"/>
      <c r="B134" s="49"/>
      <c r="C134" s="50"/>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c r="AH134" s="49"/>
      <c r="AI134" s="49"/>
      <c r="AJ134" s="49"/>
      <c r="AK134" s="49"/>
      <c r="AL134" s="49"/>
      <c r="AM134" s="49"/>
      <c r="AN134" s="49"/>
      <c r="AO134" s="49"/>
      <c r="AP134" s="49"/>
      <c r="AQ134" s="49"/>
      <c r="AR134" s="49"/>
      <c r="AS134" s="49"/>
      <c r="AT134" s="49"/>
      <c r="AU134" s="49"/>
      <c r="AV134" s="49"/>
      <c r="AW134" s="49"/>
      <c r="AX134" s="49"/>
    </row>
    <row r="135">
      <c r="A135" s="49"/>
      <c r="B135" s="49"/>
      <c r="C135" s="50"/>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c r="AH135" s="49"/>
      <c r="AI135" s="49"/>
      <c r="AJ135" s="49"/>
      <c r="AK135" s="49"/>
      <c r="AL135" s="49"/>
      <c r="AM135" s="49"/>
      <c r="AN135" s="49"/>
      <c r="AO135" s="49"/>
      <c r="AP135" s="49"/>
      <c r="AQ135" s="49"/>
      <c r="AR135" s="49"/>
      <c r="AS135" s="49"/>
      <c r="AT135" s="49"/>
      <c r="AU135" s="49"/>
      <c r="AV135" s="49"/>
      <c r="AW135" s="49"/>
      <c r="AX135" s="49"/>
    </row>
    <row r="136">
      <c r="A136" s="49"/>
      <c r="B136" s="49"/>
      <c r="C136" s="50"/>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c r="AH136" s="49"/>
      <c r="AI136" s="49"/>
      <c r="AJ136" s="49"/>
      <c r="AK136" s="49"/>
      <c r="AL136" s="49"/>
      <c r="AM136" s="49"/>
      <c r="AN136" s="49"/>
      <c r="AO136" s="49"/>
      <c r="AP136" s="49"/>
      <c r="AQ136" s="49"/>
      <c r="AR136" s="49"/>
      <c r="AS136" s="49"/>
      <c r="AT136" s="49"/>
      <c r="AU136" s="49"/>
      <c r="AV136" s="49"/>
      <c r="AW136" s="49"/>
      <c r="AX136" s="49"/>
    </row>
    <row r="137">
      <c r="A137" s="49"/>
      <c r="B137" s="49"/>
      <c r="C137" s="50"/>
      <c r="D137" s="49"/>
      <c r="E137" s="49"/>
      <c r="F137" s="49"/>
      <c r="G137" s="49"/>
      <c r="H137" s="49"/>
      <c r="I137" s="49"/>
      <c r="J137" s="49"/>
      <c r="K137" s="49"/>
      <c r="L137" s="49"/>
      <c r="M137" s="49"/>
      <c r="N137" s="49"/>
      <c r="O137" s="49"/>
      <c r="P137" s="49"/>
      <c r="Q137" s="49"/>
      <c r="R137" s="49"/>
      <c r="S137" s="49"/>
      <c r="T137" s="49"/>
      <c r="U137" s="49"/>
      <c r="V137" s="49"/>
      <c r="W137" s="49"/>
      <c r="X137" s="49"/>
      <c r="Y137" s="49"/>
      <c r="Z137" s="49"/>
      <c r="AA137" s="49"/>
      <c r="AB137" s="49"/>
      <c r="AC137" s="49"/>
      <c r="AD137" s="49"/>
      <c r="AE137" s="49"/>
      <c r="AF137" s="49"/>
      <c r="AG137" s="49"/>
      <c r="AH137" s="49"/>
      <c r="AI137" s="49"/>
      <c r="AJ137" s="49"/>
      <c r="AK137" s="49"/>
      <c r="AL137" s="49"/>
      <c r="AM137" s="49"/>
      <c r="AN137" s="49"/>
      <c r="AO137" s="49"/>
      <c r="AP137" s="49"/>
      <c r="AQ137" s="49"/>
      <c r="AR137" s="49"/>
      <c r="AS137" s="49"/>
      <c r="AT137" s="49"/>
      <c r="AU137" s="49"/>
      <c r="AV137" s="49"/>
      <c r="AW137" s="49"/>
      <c r="AX137" s="49"/>
    </row>
    <row r="138">
      <c r="A138" s="49"/>
      <c r="B138" s="49"/>
      <c r="C138" s="50"/>
      <c r="D138" s="49"/>
      <c r="E138" s="49"/>
      <c r="F138" s="49"/>
      <c r="G138" s="49"/>
      <c r="H138" s="49"/>
      <c r="I138" s="49"/>
      <c r="J138" s="49"/>
      <c r="K138" s="49"/>
      <c r="L138" s="49"/>
      <c r="M138" s="49"/>
      <c r="N138" s="49"/>
      <c r="O138" s="49"/>
      <c r="P138" s="49"/>
      <c r="Q138" s="49"/>
      <c r="R138" s="49"/>
      <c r="S138" s="49"/>
      <c r="T138" s="49"/>
      <c r="U138" s="49"/>
      <c r="V138" s="49"/>
      <c r="W138" s="49"/>
      <c r="X138" s="49"/>
      <c r="Y138" s="49"/>
      <c r="Z138" s="49"/>
      <c r="AA138" s="49"/>
      <c r="AB138" s="49"/>
      <c r="AC138" s="49"/>
      <c r="AD138" s="49"/>
      <c r="AE138" s="49"/>
      <c r="AF138" s="49"/>
      <c r="AG138" s="49"/>
      <c r="AH138" s="49"/>
      <c r="AI138" s="49"/>
      <c r="AJ138" s="49"/>
      <c r="AK138" s="49"/>
      <c r="AL138" s="49"/>
      <c r="AM138" s="49"/>
      <c r="AN138" s="49"/>
      <c r="AO138" s="49"/>
      <c r="AP138" s="49"/>
      <c r="AQ138" s="49"/>
      <c r="AR138" s="49"/>
      <c r="AS138" s="49"/>
      <c r="AT138" s="49"/>
      <c r="AU138" s="49"/>
      <c r="AV138" s="49"/>
      <c r="AW138" s="49"/>
      <c r="AX138" s="49"/>
    </row>
    <row r="139">
      <c r="A139" s="49"/>
      <c r="B139" s="49"/>
      <c r="C139" s="50"/>
      <c r="D139" s="49"/>
      <c r="E139" s="49"/>
      <c r="F139" s="49"/>
      <c r="G139" s="49"/>
      <c r="H139" s="49"/>
      <c r="I139" s="49"/>
      <c r="J139" s="49"/>
      <c r="K139" s="49"/>
      <c r="L139" s="49"/>
      <c r="M139" s="49"/>
      <c r="N139" s="49"/>
      <c r="O139" s="49"/>
      <c r="P139" s="49"/>
      <c r="Q139" s="49"/>
      <c r="R139" s="49"/>
      <c r="S139" s="49"/>
      <c r="T139" s="49"/>
      <c r="U139" s="49"/>
      <c r="V139" s="49"/>
      <c r="W139" s="49"/>
      <c r="X139" s="49"/>
      <c r="Y139" s="49"/>
      <c r="Z139" s="49"/>
      <c r="AA139" s="49"/>
      <c r="AB139" s="49"/>
      <c r="AC139" s="49"/>
      <c r="AD139" s="49"/>
      <c r="AE139" s="49"/>
      <c r="AF139" s="49"/>
      <c r="AG139" s="49"/>
      <c r="AH139" s="49"/>
      <c r="AI139" s="49"/>
      <c r="AJ139" s="49"/>
      <c r="AK139" s="49"/>
      <c r="AL139" s="49"/>
      <c r="AM139" s="49"/>
      <c r="AN139" s="49"/>
      <c r="AO139" s="49"/>
      <c r="AP139" s="49"/>
      <c r="AQ139" s="49"/>
      <c r="AR139" s="49"/>
      <c r="AS139" s="49"/>
      <c r="AT139" s="49"/>
      <c r="AU139" s="49"/>
      <c r="AV139" s="49"/>
      <c r="AW139" s="49"/>
      <c r="AX139" s="49"/>
    </row>
    <row r="140">
      <c r="A140" s="49"/>
      <c r="B140" s="49"/>
      <c r="C140" s="50"/>
      <c r="D140" s="49"/>
      <c r="E140" s="49"/>
      <c r="F140" s="49"/>
      <c r="G140" s="49"/>
      <c r="H140" s="49"/>
      <c r="I140" s="49"/>
      <c r="J140" s="49"/>
      <c r="K140" s="49"/>
      <c r="L140" s="49"/>
      <c r="M140" s="49"/>
      <c r="N140" s="49"/>
      <c r="O140" s="49"/>
      <c r="P140" s="49"/>
      <c r="Q140" s="49"/>
      <c r="R140" s="49"/>
      <c r="S140" s="49"/>
      <c r="T140" s="49"/>
      <c r="U140" s="49"/>
      <c r="V140" s="49"/>
      <c r="W140" s="49"/>
      <c r="X140" s="49"/>
      <c r="Y140" s="49"/>
      <c r="Z140" s="49"/>
      <c r="AA140" s="49"/>
      <c r="AB140" s="49"/>
      <c r="AC140" s="49"/>
      <c r="AD140" s="49"/>
      <c r="AE140" s="49"/>
      <c r="AF140" s="49"/>
      <c r="AG140" s="49"/>
      <c r="AH140" s="49"/>
      <c r="AI140" s="49"/>
      <c r="AJ140" s="49"/>
      <c r="AK140" s="49"/>
      <c r="AL140" s="49"/>
      <c r="AM140" s="49"/>
      <c r="AN140" s="49"/>
      <c r="AO140" s="49"/>
      <c r="AP140" s="49"/>
      <c r="AQ140" s="49"/>
      <c r="AR140" s="49"/>
      <c r="AS140" s="49"/>
      <c r="AT140" s="49"/>
      <c r="AU140" s="49"/>
      <c r="AV140" s="49"/>
      <c r="AW140" s="49"/>
      <c r="AX140" s="49"/>
    </row>
    <row r="141">
      <c r="A141" s="49"/>
      <c r="B141" s="49"/>
      <c r="C141" s="50"/>
      <c r="D141" s="49"/>
      <c r="E141" s="49"/>
      <c r="F141" s="49"/>
      <c r="G141" s="49"/>
      <c r="H141" s="49"/>
      <c r="I141" s="49"/>
      <c r="J141" s="49"/>
      <c r="K141" s="49"/>
      <c r="L141" s="49"/>
      <c r="M141" s="49"/>
      <c r="N141" s="49"/>
      <c r="O141" s="49"/>
      <c r="P141" s="49"/>
      <c r="Q141" s="49"/>
      <c r="R141" s="49"/>
      <c r="S141" s="49"/>
      <c r="T141" s="49"/>
      <c r="U141" s="49"/>
      <c r="V141" s="49"/>
      <c r="W141" s="49"/>
      <c r="X141" s="49"/>
      <c r="Y141" s="49"/>
      <c r="Z141" s="49"/>
      <c r="AA141" s="49"/>
      <c r="AB141" s="49"/>
      <c r="AC141" s="49"/>
      <c r="AD141" s="49"/>
      <c r="AE141" s="49"/>
      <c r="AF141" s="49"/>
      <c r="AG141" s="49"/>
      <c r="AH141" s="49"/>
      <c r="AI141" s="49"/>
      <c r="AJ141" s="49"/>
      <c r="AK141" s="49"/>
      <c r="AL141" s="49"/>
      <c r="AM141" s="49"/>
      <c r="AN141" s="49"/>
      <c r="AO141" s="49"/>
      <c r="AP141" s="49"/>
      <c r="AQ141" s="49"/>
      <c r="AR141" s="49"/>
      <c r="AS141" s="49"/>
      <c r="AT141" s="49"/>
      <c r="AU141" s="49"/>
      <c r="AV141" s="49"/>
      <c r="AW141" s="49"/>
      <c r="AX141" s="49"/>
    </row>
    <row r="142">
      <c r="A142" s="49"/>
      <c r="B142" s="49"/>
      <c r="C142" s="50"/>
      <c r="D142" s="49"/>
      <c r="E142" s="49"/>
      <c r="F142" s="49"/>
      <c r="G142" s="49"/>
      <c r="H142" s="49"/>
      <c r="I142" s="49"/>
      <c r="J142" s="49"/>
      <c r="K142" s="49"/>
      <c r="L142" s="49"/>
      <c r="M142" s="49"/>
      <c r="N142" s="49"/>
      <c r="O142" s="49"/>
      <c r="P142" s="49"/>
      <c r="Q142" s="49"/>
      <c r="R142" s="49"/>
      <c r="S142" s="49"/>
      <c r="T142" s="49"/>
      <c r="U142" s="49"/>
      <c r="V142" s="49"/>
      <c r="W142" s="49"/>
      <c r="X142" s="49"/>
      <c r="Y142" s="49"/>
      <c r="Z142" s="49"/>
      <c r="AA142" s="49"/>
      <c r="AB142" s="49"/>
      <c r="AC142" s="49"/>
      <c r="AD142" s="49"/>
      <c r="AE142" s="49"/>
      <c r="AF142" s="49"/>
      <c r="AG142" s="49"/>
      <c r="AH142" s="49"/>
      <c r="AI142" s="49"/>
      <c r="AJ142" s="49"/>
      <c r="AK142" s="49"/>
      <c r="AL142" s="49"/>
      <c r="AM142" s="49"/>
      <c r="AN142" s="49"/>
      <c r="AO142" s="49"/>
      <c r="AP142" s="49"/>
      <c r="AQ142" s="49"/>
      <c r="AR142" s="49"/>
      <c r="AS142" s="49"/>
      <c r="AT142" s="49"/>
      <c r="AU142" s="49"/>
      <c r="AV142" s="49"/>
      <c r="AW142" s="49"/>
      <c r="AX142" s="49"/>
    </row>
    <row r="143">
      <c r="A143" s="49"/>
      <c r="B143" s="49"/>
      <c r="C143" s="50"/>
      <c r="D143" s="49"/>
      <c r="E143" s="49"/>
      <c r="F143" s="49"/>
      <c r="G143" s="49"/>
      <c r="H143" s="49"/>
      <c r="I143" s="49"/>
      <c r="J143" s="49"/>
      <c r="K143" s="49"/>
      <c r="L143" s="49"/>
      <c r="M143" s="49"/>
      <c r="N143" s="49"/>
      <c r="O143" s="49"/>
      <c r="P143" s="49"/>
      <c r="Q143" s="49"/>
      <c r="R143" s="49"/>
      <c r="S143" s="49"/>
      <c r="T143" s="49"/>
      <c r="U143" s="49"/>
      <c r="V143" s="49"/>
      <c r="W143" s="49"/>
      <c r="X143" s="49"/>
      <c r="Y143" s="49"/>
      <c r="Z143" s="49"/>
      <c r="AA143" s="49"/>
      <c r="AB143" s="49"/>
      <c r="AC143" s="49"/>
      <c r="AD143" s="49"/>
      <c r="AE143" s="49"/>
      <c r="AF143" s="49"/>
      <c r="AG143" s="49"/>
      <c r="AH143" s="49"/>
      <c r="AI143" s="49"/>
      <c r="AJ143" s="49"/>
      <c r="AK143" s="49"/>
      <c r="AL143" s="49"/>
      <c r="AM143" s="49"/>
      <c r="AN143" s="49"/>
      <c r="AO143" s="49"/>
      <c r="AP143" s="49"/>
      <c r="AQ143" s="49"/>
      <c r="AR143" s="49"/>
      <c r="AS143" s="49"/>
      <c r="AT143" s="49"/>
      <c r="AU143" s="49"/>
      <c r="AV143" s="49"/>
      <c r="AW143" s="49"/>
      <c r="AX143" s="49"/>
    </row>
    <row r="144">
      <c r="A144" s="49"/>
      <c r="B144" s="49"/>
      <c r="C144" s="50"/>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c r="AH144" s="49"/>
      <c r="AI144" s="49"/>
      <c r="AJ144" s="49"/>
      <c r="AK144" s="49"/>
      <c r="AL144" s="49"/>
      <c r="AM144" s="49"/>
      <c r="AN144" s="49"/>
      <c r="AO144" s="49"/>
      <c r="AP144" s="49"/>
      <c r="AQ144" s="49"/>
      <c r="AR144" s="49"/>
      <c r="AS144" s="49"/>
      <c r="AT144" s="49"/>
      <c r="AU144" s="49"/>
      <c r="AV144" s="49"/>
      <c r="AW144" s="49"/>
      <c r="AX144" s="49"/>
    </row>
    <row r="145">
      <c r="A145" s="49"/>
      <c r="B145" s="49"/>
      <c r="C145" s="50"/>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9"/>
      <c r="AI145" s="49"/>
      <c r="AJ145" s="49"/>
      <c r="AK145" s="49"/>
      <c r="AL145" s="49"/>
      <c r="AM145" s="49"/>
      <c r="AN145" s="49"/>
      <c r="AO145" s="49"/>
      <c r="AP145" s="49"/>
      <c r="AQ145" s="49"/>
      <c r="AR145" s="49"/>
      <c r="AS145" s="49"/>
      <c r="AT145" s="49"/>
      <c r="AU145" s="49"/>
      <c r="AV145" s="49"/>
      <c r="AW145" s="49"/>
      <c r="AX145" s="49"/>
    </row>
    <row r="146">
      <c r="A146" s="49"/>
      <c r="B146" s="49"/>
      <c r="C146" s="50"/>
      <c r="D146" s="49"/>
      <c r="E146" s="49"/>
      <c r="F146" s="49"/>
      <c r="G146" s="49"/>
      <c r="H146" s="49"/>
      <c r="I146" s="49"/>
      <c r="J146" s="49"/>
      <c r="K146" s="49"/>
      <c r="L146" s="49"/>
      <c r="M146" s="49"/>
      <c r="N146" s="49"/>
      <c r="O146" s="49"/>
      <c r="P146" s="49"/>
      <c r="Q146" s="49"/>
      <c r="R146" s="49"/>
      <c r="S146" s="49"/>
      <c r="T146" s="49"/>
      <c r="U146" s="49"/>
      <c r="V146" s="49"/>
      <c r="W146" s="49"/>
      <c r="X146" s="49"/>
      <c r="Y146" s="49"/>
      <c r="Z146" s="49"/>
      <c r="AA146" s="49"/>
      <c r="AB146" s="49"/>
      <c r="AC146" s="49"/>
      <c r="AD146" s="49"/>
      <c r="AE146" s="49"/>
      <c r="AF146" s="49"/>
      <c r="AG146" s="49"/>
      <c r="AH146" s="49"/>
      <c r="AI146" s="49"/>
      <c r="AJ146" s="49"/>
      <c r="AK146" s="49"/>
      <c r="AL146" s="49"/>
      <c r="AM146" s="49"/>
      <c r="AN146" s="49"/>
      <c r="AO146" s="49"/>
      <c r="AP146" s="49"/>
      <c r="AQ146" s="49"/>
      <c r="AR146" s="49"/>
      <c r="AS146" s="49"/>
      <c r="AT146" s="49"/>
      <c r="AU146" s="49"/>
      <c r="AV146" s="49"/>
      <c r="AW146" s="49"/>
      <c r="AX146" s="49"/>
    </row>
    <row r="147">
      <c r="A147" s="49"/>
      <c r="B147" s="49"/>
      <c r="C147" s="50"/>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9"/>
      <c r="AI147" s="49"/>
      <c r="AJ147" s="49"/>
      <c r="AK147" s="49"/>
      <c r="AL147" s="49"/>
      <c r="AM147" s="49"/>
      <c r="AN147" s="49"/>
      <c r="AO147" s="49"/>
      <c r="AP147" s="49"/>
      <c r="AQ147" s="49"/>
      <c r="AR147" s="49"/>
      <c r="AS147" s="49"/>
      <c r="AT147" s="49"/>
      <c r="AU147" s="49"/>
      <c r="AV147" s="49"/>
      <c r="AW147" s="49"/>
      <c r="AX147" s="49"/>
    </row>
    <row r="148">
      <c r="A148" s="49"/>
      <c r="B148" s="49"/>
      <c r="C148" s="50"/>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9"/>
      <c r="AI148" s="49"/>
      <c r="AJ148" s="49"/>
      <c r="AK148" s="49"/>
      <c r="AL148" s="49"/>
      <c r="AM148" s="49"/>
      <c r="AN148" s="49"/>
      <c r="AO148" s="49"/>
      <c r="AP148" s="49"/>
      <c r="AQ148" s="49"/>
      <c r="AR148" s="49"/>
      <c r="AS148" s="49"/>
      <c r="AT148" s="49"/>
      <c r="AU148" s="49"/>
      <c r="AV148" s="49"/>
      <c r="AW148" s="49"/>
      <c r="AX148" s="49"/>
    </row>
    <row r="149">
      <c r="A149" s="49"/>
      <c r="B149" s="49"/>
      <c r="C149" s="50"/>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9"/>
      <c r="AI149" s="49"/>
      <c r="AJ149" s="49"/>
      <c r="AK149" s="49"/>
      <c r="AL149" s="49"/>
      <c r="AM149" s="49"/>
      <c r="AN149" s="49"/>
      <c r="AO149" s="49"/>
      <c r="AP149" s="49"/>
      <c r="AQ149" s="49"/>
      <c r="AR149" s="49"/>
      <c r="AS149" s="49"/>
      <c r="AT149" s="49"/>
      <c r="AU149" s="49"/>
      <c r="AV149" s="49"/>
      <c r="AW149" s="49"/>
      <c r="AX149" s="49"/>
    </row>
    <row r="150">
      <c r="A150" s="49"/>
      <c r="B150" s="49"/>
      <c r="C150" s="50"/>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9"/>
      <c r="AI150" s="49"/>
      <c r="AJ150" s="49"/>
      <c r="AK150" s="49"/>
      <c r="AL150" s="49"/>
      <c r="AM150" s="49"/>
      <c r="AN150" s="49"/>
      <c r="AO150" s="49"/>
      <c r="AP150" s="49"/>
      <c r="AQ150" s="49"/>
      <c r="AR150" s="49"/>
      <c r="AS150" s="49"/>
      <c r="AT150" s="49"/>
      <c r="AU150" s="49"/>
      <c r="AV150" s="49"/>
      <c r="AW150" s="49"/>
      <c r="AX150" s="49"/>
    </row>
    <row r="151">
      <c r="A151" s="49"/>
      <c r="B151" s="49"/>
      <c r="C151" s="50"/>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9"/>
      <c r="AI151" s="49"/>
      <c r="AJ151" s="49"/>
      <c r="AK151" s="49"/>
      <c r="AL151" s="49"/>
      <c r="AM151" s="49"/>
      <c r="AN151" s="49"/>
      <c r="AO151" s="49"/>
      <c r="AP151" s="49"/>
      <c r="AQ151" s="49"/>
      <c r="AR151" s="49"/>
      <c r="AS151" s="49"/>
      <c r="AT151" s="49"/>
      <c r="AU151" s="49"/>
      <c r="AV151" s="49"/>
      <c r="AW151" s="49"/>
      <c r="AX151" s="49"/>
    </row>
    <row r="152">
      <c r="A152" s="49"/>
      <c r="B152" s="49"/>
      <c r="C152" s="50"/>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9"/>
      <c r="AI152" s="49"/>
      <c r="AJ152" s="49"/>
      <c r="AK152" s="49"/>
      <c r="AL152" s="49"/>
      <c r="AM152" s="49"/>
      <c r="AN152" s="49"/>
      <c r="AO152" s="49"/>
      <c r="AP152" s="49"/>
      <c r="AQ152" s="49"/>
      <c r="AR152" s="49"/>
      <c r="AS152" s="49"/>
      <c r="AT152" s="49"/>
      <c r="AU152" s="49"/>
      <c r="AV152" s="49"/>
      <c r="AW152" s="49"/>
      <c r="AX152" s="49"/>
    </row>
    <row r="153">
      <c r="A153" s="49"/>
      <c r="B153" s="49"/>
      <c r="C153" s="50"/>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9"/>
      <c r="AI153" s="49"/>
      <c r="AJ153" s="49"/>
      <c r="AK153" s="49"/>
      <c r="AL153" s="49"/>
      <c r="AM153" s="49"/>
      <c r="AN153" s="49"/>
      <c r="AO153" s="49"/>
      <c r="AP153" s="49"/>
      <c r="AQ153" s="49"/>
      <c r="AR153" s="49"/>
      <c r="AS153" s="49"/>
      <c r="AT153" s="49"/>
      <c r="AU153" s="49"/>
      <c r="AV153" s="49"/>
      <c r="AW153" s="49"/>
      <c r="AX153" s="49"/>
    </row>
    <row r="154">
      <c r="A154" s="49"/>
      <c r="B154" s="49"/>
      <c r="C154" s="50"/>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9"/>
      <c r="AI154" s="49"/>
      <c r="AJ154" s="49"/>
      <c r="AK154" s="49"/>
      <c r="AL154" s="49"/>
      <c r="AM154" s="49"/>
      <c r="AN154" s="49"/>
      <c r="AO154" s="49"/>
      <c r="AP154" s="49"/>
      <c r="AQ154" s="49"/>
      <c r="AR154" s="49"/>
      <c r="AS154" s="49"/>
      <c r="AT154" s="49"/>
      <c r="AU154" s="49"/>
      <c r="AV154" s="49"/>
      <c r="AW154" s="49"/>
      <c r="AX154" s="49"/>
    </row>
    <row r="155">
      <c r="A155" s="49"/>
      <c r="B155" s="49"/>
      <c r="C155" s="50"/>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9"/>
      <c r="AI155" s="49"/>
      <c r="AJ155" s="49"/>
      <c r="AK155" s="49"/>
      <c r="AL155" s="49"/>
      <c r="AM155" s="49"/>
      <c r="AN155" s="49"/>
      <c r="AO155" s="49"/>
      <c r="AP155" s="49"/>
      <c r="AQ155" s="49"/>
      <c r="AR155" s="49"/>
      <c r="AS155" s="49"/>
      <c r="AT155" s="49"/>
      <c r="AU155" s="49"/>
      <c r="AV155" s="49"/>
      <c r="AW155" s="49"/>
      <c r="AX155" s="49"/>
    </row>
    <row r="156">
      <c r="A156" s="49"/>
      <c r="B156" s="49"/>
      <c r="C156" s="50"/>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9"/>
      <c r="AI156" s="49"/>
      <c r="AJ156" s="49"/>
      <c r="AK156" s="49"/>
      <c r="AL156" s="49"/>
      <c r="AM156" s="49"/>
      <c r="AN156" s="49"/>
      <c r="AO156" s="49"/>
      <c r="AP156" s="49"/>
      <c r="AQ156" s="49"/>
      <c r="AR156" s="49"/>
      <c r="AS156" s="49"/>
      <c r="AT156" s="49"/>
      <c r="AU156" s="49"/>
      <c r="AV156" s="49"/>
      <c r="AW156" s="49"/>
      <c r="AX156" s="49"/>
    </row>
    <row r="157">
      <c r="A157" s="49"/>
      <c r="B157" s="49"/>
      <c r="C157" s="50"/>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9"/>
      <c r="AI157" s="49"/>
      <c r="AJ157" s="49"/>
      <c r="AK157" s="49"/>
      <c r="AL157" s="49"/>
      <c r="AM157" s="49"/>
      <c r="AN157" s="49"/>
      <c r="AO157" s="49"/>
      <c r="AP157" s="49"/>
      <c r="AQ157" s="49"/>
      <c r="AR157" s="49"/>
      <c r="AS157" s="49"/>
      <c r="AT157" s="49"/>
      <c r="AU157" s="49"/>
      <c r="AV157" s="49"/>
      <c r="AW157" s="49"/>
      <c r="AX157" s="49"/>
    </row>
    <row r="158">
      <c r="A158" s="49"/>
      <c r="B158" s="49"/>
      <c r="C158" s="50"/>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9"/>
      <c r="AI158" s="49"/>
      <c r="AJ158" s="49"/>
      <c r="AK158" s="49"/>
      <c r="AL158" s="49"/>
      <c r="AM158" s="49"/>
      <c r="AN158" s="49"/>
      <c r="AO158" s="49"/>
      <c r="AP158" s="49"/>
      <c r="AQ158" s="49"/>
      <c r="AR158" s="49"/>
      <c r="AS158" s="49"/>
      <c r="AT158" s="49"/>
      <c r="AU158" s="49"/>
      <c r="AV158" s="49"/>
      <c r="AW158" s="49"/>
      <c r="AX158" s="49"/>
    </row>
    <row r="159">
      <c r="A159" s="49"/>
      <c r="B159" s="49"/>
      <c r="C159" s="50"/>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9"/>
      <c r="AI159" s="49"/>
      <c r="AJ159" s="49"/>
      <c r="AK159" s="49"/>
      <c r="AL159" s="49"/>
      <c r="AM159" s="49"/>
      <c r="AN159" s="49"/>
      <c r="AO159" s="49"/>
      <c r="AP159" s="49"/>
      <c r="AQ159" s="49"/>
      <c r="AR159" s="49"/>
      <c r="AS159" s="49"/>
      <c r="AT159" s="49"/>
      <c r="AU159" s="49"/>
      <c r="AV159" s="49"/>
      <c r="AW159" s="49"/>
      <c r="AX159" s="49"/>
    </row>
    <row r="160">
      <c r="A160" s="49"/>
      <c r="B160" s="49"/>
      <c r="C160" s="50"/>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9"/>
      <c r="AI160" s="49"/>
      <c r="AJ160" s="49"/>
      <c r="AK160" s="49"/>
      <c r="AL160" s="49"/>
      <c r="AM160" s="49"/>
      <c r="AN160" s="49"/>
      <c r="AO160" s="49"/>
      <c r="AP160" s="49"/>
      <c r="AQ160" s="49"/>
      <c r="AR160" s="49"/>
      <c r="AS160" s="49"/>
      <c r="AT160" s="49"/>
      <c r="AU160" s="49"/>
      <c r="AV160" s="49"/>
      <c r="AW160" s="49"/>
      <c r="AX160" s="49"/>
    </row>
    <row r="161">
      <c r="A161" s="49"/>
      <c r="B161" s="49"/>
      <c r="C161" s="50"/>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c r="AH161" s="49"/>
      <c r="AI161" s="49"/>
      <c r="AJ161" s="49"/>
      <c r="AK161" s="49"/>
      <c r="AL161" s="49"/>
      <c r="AM161" s="49"/>
      <c r="AN161" s="49"/>
      <c r="AO161" s="49"/>
      <c r="AP161" s="49"/>
      <c r="AQ161" s="49"/>
      <c r="AR161" s="49"/>
      <c r="AS161" s="49"/>
      <c r="AT161" s="49"/>
      <c r="AU161" s="49"/>
      <c r="AV161" s="49"/>
      <c r="AW161" s="49"/>
      <c r="AX161" s="49"/>
    </row>
    <row r="162">
      <c r="A162" s="49"/>
      <c r="B162" s="49"/>
      <c r="C162" s="50"/>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c r="AH162" s="49"/>
      <c r="AI162" s="49"/>
      <c r="AJ162" s="49"/>
      <c r="AK162" s="49"/>
      <c r="AL162" s="49"/>
      <c r="AM162" s="49"/>
      <c r="AN162" s="49"/>
      <c r="AO162" s="49"/>
      <c r="AP162" s="49"/>
      <c r="AQ162" s="49"/>
      <c r="AR162" s="49"/>
      <c r="AS162" s="49"/>
      <c r="AT162" s="49"/>
      <c r="AU162" s="49"/>
      <c r="AV162" s="49"/>
      <c r="AW162" s="49"/>
      <c r="AX162" s="49"/>
    </row>
    <row r="163">
      <c r="A163" s="49"/>
      <c r="B163" s="49"/>
      <c r="C163" s="50"/>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c r="AH163" s="49"/>
      <c r="AI163" s="49"/>
      <c r="AJ163" s="49"/>
      <c r="AK163" s="49"/>
      <c r="AL163" s="49"/>
      <c r="AM163" s="49"/>
      <c r="AN163" s="49"/>
      <c r="AO163" s="49"/>
      <c r="AP163" s="49"/>
      <c r="AQ163" s="49"/>
      <c r="AR163" s="49"/>
      <c r="AS163" s="49"/>
      <c r="AT163" s="49"/>
      <c r="AU163" s="49"/>
      <c r="AV163" s="49"/>
      <c r="AW163" s="49"/>
      <c r="AX163" s="49"/>
    </row>
    <row r="164">
      <c r="A164" s="49"/>
      <c r="B164" s="49"/>
      <c r="C164" s="50"/>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c r="AH164" s="49"/>
      <c r="AI164" s="49"/>
      <c r="AJ164" s="49"/>
      <c r="AK164" s="49"/>
      <c r="AL164" s="49"/>
      <c r="AM164" s="49"/>
      <c r="AN164" s="49"/>
      <c r="AO164" s="49"/>
      <c r="AP164" s="49"/>
      <c r="AQ164" s="49"/>
      <c r="AR164" s="49"/>
      <c r="AS164" s="49"/>
      <c r="AT164" s="49"/>
      <c r="AU164" s="49"/>
      <c r="AV164" s="49"/>
      <c r="AW164" s="49"/>
      <c r="AX164" s="49"/>
    </row>
    <row r="165">
      <c r="A165" s="49"/>
      <c r="B165" s="49"/>
      <c r="C165" s="50"/>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c r="AH165" s="49"/>
      <c r="AI165" s="49"/>
      <c r="AJ165" s="49"/>
      <c r="AK165" s="49"/>
      <c r="AL165" s="49"/>
      <c r="AM165" s="49"/>
      <c r="AN165" s="49"/>
      <c r="AO165" s="49"/>
      <c r="AP165" s="49"/>
      <c r="AQ165" s="49"/>
      <c r="AR165" s="49"/>
      <c r="AS165" s="49"/>
      <c r="AT165" s="49"/>
      <c r="AU165" s="49"/>
      <c r="AV165" s="49"/>
      <c r="AW165" s="49"/>
      <c r="AX165" s="49"/>
    </row>
    <row r="166">
      <c r="A166" s="49"/>
      <c r="B166" s="49"/>
      <c r="C166" s="50"/>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c r="AH166" s="49"/>
      <c r="AI166" s="49"/>
      <c r="AJ166" s="49"/>
      <c r="AK166" s="49"/>
      <c r="AL166" s="49"/>
      <c r="AM166" s="49"/>
      <c r="AN166" s="49"/>
      <c r="AO166" s="49"/>
      <c r="AP166" s="49"/>
      <c r="AQ166" s="49"/>
      <c r="AR166" s="49"/>
      <c r="AS166" s="49"/>
      <c r="AT166" s="49"/>
      <c r="AU166" s="49"/>
      <c r="AV166" s="49"/>
      <c r="AW166" s="49"/>
      <c r="AX166" s="49"/>
    </row>
    <row r="167">
      <c r="A167" s="49"/>
      <c r="B167" s="49"/>
      <c r="C167" s="50"/>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c r="AH167" s="49"/>
      <c r="AI167" s="49"/>
      <c r="AJ167" s="49"/>
      <c r="AK167" s="49"/>
      <c r="AL167" s="49"/>
      <c r="AM167" s="49"/>
      <c r="AN167" s="49"/>
      <c r="AO167" s="49"/>
      <c r="AP167" s="49"/>
      <c r="AQ167" s="49"/>
      <c r="AR167" s="49"/>
      <c r="AS167" s="49"/>
      <c r="AT167" s="49"/>
      <c r="AU167" s="49"/>
      <c r="AV167" s="49"/>
      <c r="AW167" s="49"/>
      <c r="AX167" s="49"/>
    </row>
    <row r="168">
      <c r="A168" s="49"/>
      <c r="B168" s="49"/>
      <c r="C168" s="50"/>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c r="AH168" s="49"/>
      <c r="AI168" s="49"/>
      <c r="AJ168" s="49"/>
      <c r="AK168" s="49"/>
      <c r="AL168" s="49"/>
      <c r="AM168" s="49"/>
      <c r="AN168" s="49"/>
      <c r="AO168" s="49"/>
      <c r="AP168" s="49"/>
      <c r="AQ168" s="49"/>
      <c r="AR168" s="49"/>
      <c r="AS168" s="49"/>
      <c r="AT168" s="49"/>
      <c r="AU168" s="49"/>
      <c r="AV168" s="49"/>
      <c r="AW168" s="49"/>
      <c r="AX168" s="49"/>
    </row>
    <row r="169">
      <c r="A169" s="49"/>
      <c r="B169" s="49"/>
      <c r="C169" s="50"/>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c r="AH169" s="49"/>
      <c r="AI169" s="49"/>
      <c r="AJ169" s="49"/>
      <c r="AK169" s="49"/>
      <c r="AL169" s="49"/>
      <c r="AM169" s="49"/>
      <c r="AN169" s="49"/>
      <c r="AO169" s="49"/>
      <c r="AP169" s="49"/>
      <c r="AQ169" s="49"/>
      <c r="AR169" s="49"/>
      <c r="AS169" s="49"/>
      <c r="AT169" s="49"/>
      <c r="AU169" s="49"/>
      <c r="AV169" s="49"/>
      <c r="AW169" s="49"/>
      <c r="AX169" s="49"/>
    </row>
    <row r="170">
      <c r="A170" s="49"/>
      <c r="B170" s="49"/>
      <c r="C170" s="50"/>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c r="AH170" s="49"/>
      <c r="AI170" s="49"/>
      <c r="AJ170" s="49"/>
      <c r="AK170" s="49"/>
      <c r="AL170" s="49"/>
      <c r="AM170" s="49"/>
      <c r="AN170" s="49"/>
      <c r="AO170" s="49"/>
      <c r="AP170" s="49"/>
      <c r="AQ170" s="49"/>
      <c r="AR170" s="49"/>
      <c r="AS170" s="49"/>
      <c r="AT170" s="49"/>
      <c r="AU170" s="49"/>
      <c r="AV170" s="49"/>
      <c r="AW170" s="49"/>
      <c r="AX170" s="49"/>
    </row>
    <row r="171">
      <c r="A171" s="49"/>
      <c r="B171" s="49"/>
      <c r="C171" s="50"/>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c r="AH171" s="49"/>
      <c r="AI171" s="49"/>
      <c r="AJ171" s="49"/>
      <c r="AK171" s="49"/>
      <c r="AL171" s="49"/>
      <c r="AM171" s="49"/>
      <c r="AN171" s="49"/>
      <c r="AO171" s="49"/>
      <c r="AP171" s="49"/>
      <c r="AQ171" s="49"/>
      <c r="AR171" s="49"/>
      <c r="AS171" s="49"/>
      <c r="AT171" s="49"/>
      <c r="AU171" s="49"/>
      <c r="AV171" s="49"/>
      <c r="AW171" s="49"/>
      <c r="AX171" s="49"/>
    </row>
    <row r="172">
      <c r="A172" s="49"/>
      <c r="B172" s="49"/>
      <c r="C172" s="50"/>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c r="AH172" s="49"/>
      <c r="AI172" s="49"/>
      <c r="AJ172" s="49"/>
      <c r="AK172" s="49"/>
      <c r="AL172" s="49"/>
      <c r="AM172" s="49"/>
      <c r="AN172" s="49"/>
      <c r="AO172" s="49"/>
      <c r="AP172" s="49"/>
      <c r="AQ172" s="49"/>
      <c r="AR172" s="49"/>
      <c r="AS172" s="49"/>
      <c r="AT172" s="49"/>
      <c r="AU172" s="49"/>
      <c r="AV172" s="49"/>
      <c r="AW172" s="49"/>
      <c r="AX172" s="49"/>
    </row>
    <row r="173">
      <c r="A173" s="49"/>
      <c r="B173" s="49"/>
      <c r="C173" s="50"/>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c r="AH173" s="49"/>
      <c r="AI173" s="49"/>
      <c r="AJ173" s="49"/>
      <c r="AK173" s="49"/>
      <c r="AL173" s="49"/>
      <c r="AM173" s="49"/>
      <c r="AN173" s="49"/>
      <c r="AO173" s="49"/>
      <c r="AP173" s="49"/>
      <c r="AQ173" s="49"/>
      <c r="AR173" s="49"/>
      <c r="AS173" s="49"/>
      <c r="AT173" s="49"/>
      <c r="AU173" s="49"/>
      <c r="AV173" s="49"/>
      <c r="AW173" s="49"/>
      <c r="AX173" s="49"/>
    </row>
    <row r="174">
      <c r="A174" s="49"/>
      <c r="B174" s="49"/>
      <c r="C174" s="50"/>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c r="AH174" s="49"/>
      <c r="AI174" s="49"/>
      <c r="AJ174" s="49"/>
      <c r="AK174" s="49"/>
      <c r="AL174" s="49"/>
      <c r="AM174" s="49"/>
      <c r="AN174" s="49"/>
      <c r="AO174" s="49"/>
      <c r="AP174" s="49"/>
      <c r="AQ174" s="49"/>
      <c r="AR174" s="49"/>
      <c r="AS174" s="49"/>
      <c r="AT174" s="49"/>
      <c r="AU174" s="49"/>
      <c r="AV174" s="49"/>
      <c r="AW174" s="49"/>
      <c r="AX174" s="49"/>
    </row>
    <row r="175">
      <c r="A175" s="49"/>
      <c r="B175" s="49"/>
      <c r="C175" s="50"/>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c r="AH175" s="49"/>
      <c r="AI175" s="49"/>
      <c r="AJ175" s="49"/>
      <c r="AK175" s="49"/>
      <c r="AL175" s="49"/>
      <c r="AM175" s="49"/>
      <c r="AN175" s="49"/>
      <c r="AO175" s="49"/>
      <c r="AP175" s="49"/>
      <c r="AQ175" s="49"/>
      <c r="AR175" s="49"/>
      <c r="AS175" s="49"/>
      <c r="AT175" s="49"/>
      <c r="AU175" s="49"/>
      <c r="AV175" s="49"/>
      <c r="AW175" s="49"/>
      <c r="AX175" s="49"/>
    </row>
    <row r="176">
      <c r="A176" s="49"/>
      <c r="B176" s="49"/>
      <c r="C176" s="50"/>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c r="AH176" s="49"/>
      <c r="AI176" s="49"/>
      <c r="AJ176" s="49"/>
      <c r="AK176" s="49"/>
      <c r="AL176" s="49"/>
      <c r="AM176" s="49"/>
      <c r="AN176" s="49"/>
      <c r="AO176" s="49"/>
      <c r="AP176" s="49"/>
      <c r="AQ176" s="49"/>
      <c r="AR176" s="49"/>
      <c r="AS176" s="49"/>
      <c r="AT176" s="49"/>
      <c r="AU176" s="49"/>
      <c r="AV176" s="49"/>
      <c r="AW176" s="49"/>
      <c r="AX176" s="49"/>
    </row>
    <row r="177">
      <c r="A177" s="49"/>
      <c r="B177" s="49"/>
      <c r="C177" s="50"/>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c r="AH177" s="49"/>
      <c r="AI177" s="49"/>
      <c r="AJ177" s="49"/>
      <c r="AK177" s="49"/>
      <c r="AL177" s="49"/>
      <c r="AM177" s="49"/>
      <c r="AN177" s="49"/>
      <c r="AO177" s="49"/>
      <c r="AP177" s="49"/>
      <c r="AQ177" s="49"/>
      <c r="AR177" s="49"/>
      <c r="AS177" s="49"/>
      <c r="AT177" s="49"/>
      <c r="AU177" s="49"/>
      <c r="AV177" s="49"/>
      <c r="AW177" s="49"/>
      <c r="AX177" s="49"/>
    </row>
    <row r="178">
      <c r="A178" s="49"/>
      <c r="B178" s="49"/>
      <c r="C178" s="50"/>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c r="AH178" s="49"/>
      <c r="AI178" s="49"/>
      <c r="AJ178" s="49"/>
      <c r="AK178" s="49"/>
      <c r="AL178" s="49"/>
      <c r="AM178" s="49"/>
      <c r="AN178" s="49"/>
      <c r="AO178" s="49"/>
      <c r="AP178" s="49"/>
      <c r="AQ178" s="49"/>
      <c r="AR178" s="49"/>
      <c r="AS178" s="49"/>
      <c r="AT178" s="49"/>
      <c r="AU178" s="49"/>
      <c r="AV178" s="49"/>
      <c r="AW178" s="49"/>
      <c r="AX178" s="49"/>
    </row>
    <row r="179">
      <c r="A179" s="49"/>
      <c r="B179" s="49"/>
      <c r="C179" s="50"/>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c r="AH179" s="49"/>
      <c r="AI179" s="49"/>
      <c r="AJ179" s="49"/>
      <c r="AK179" s="49"/>
      <c r="AL179" s="49"/>
      <c r="AM179" s="49"/>
      <c r="AN179" s="49"/>
      <c r="AO179" s="49"/>
      <c r="AP179" s="49"/>
      <c r="AQ179" s="49"/>
      <c r="AR179" s="49"/>
      <c r="AS179" s="49"/>
      <c r="AT179" s="49"/>
      <c r="AU179" s="49"/>
      <c r="AV179" s="49"/>
      <c r="AW179" s="49"/>
      <c r="AX179" s="49"/>
    </row>
    <row r="180">
      <c r="A180" s="49"/>
      <c r="B180" s="49"/>
      <c r="C180" s="50"/>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c r="AH180" s="49"/>
      <c r="AI180" s="49"/>
      <c r="AJ180" s="49"/>
      <c r="AK180" s="49"/>
      <c r="AL180" s="49"/>
      <c r="AM180" s="49"/>
      <c r="AN180" s="49"/>
      <c r="AO180" s="49"/>
      <c r="AP180" s="49"/>
      <c r="AQ180" s="49"/>
      <c r="AR180" s="49"/>
      <c r="AS180" s="49"/>
      <c r="AT180" s="49"/>
      <c r="AU180" s="49"/>
      <c r="AV180" s="49"/>
      <c r="AW180" s="49"/>
      <c r="AX180" s="49"/>
    </row>
    <row r="181">
      <c r="A181" s="49"/>
      <c r="B181" s="49"/>
      <c r="C181" s="50"/>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c r="AH181" s="49"/>
      <c r="AI181" s="49"/>
      <c r="AJ181" s="49"/>
      <c r="AK181" s="49"/>
      <c r="AL181" s="49"/>
      <c r="AM181" s="49"/>
      <c r="AN181" s="49"/>
      <c r="AO181" s="49"/>
      <c r="AP181" s="49"/>
      <c r="AQ181" s="49"/>
      <c r="AR181" s="49"/>
      <c r="AS181" s="49"/>
      <c r="AT181" s="49"/>
      <c r="AU181" s="49"/>
      <c r="AV181" s="49"/>
      <c r="AW181" s="49"/>
      <c r="AX181" s="49"/>
    </row>
    <row r="182">
      <c r="A182" s="49"/>
      <c r="B182" s="49"/>
      <c r="C182" s="50"/>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c r="AH182" s="49"/>
      <c r="AI182" s="49"/>
      <c r="AJ182" s="49"/>
      <c r="AK182" s="49"/>
      <c r="AL182" s="49"/>
      <c r="AM182" s="49"/>
      <c r="AN182" s="49"/>
      <c r="AO182" s="49"/>
      <c r="AP182" s="49"/>
      <c r="AQ182" s="49"/>
      <c r="AR182" s="49"/>
      <c r="AS182" s="49"/>
      <c r="AT182" s="49"/>
      <c r="AU182" s="49"/>
      <c r="AV182" s="49"/>
      <c r="AW182" s="49"/>
      <c r="AX182" s="49"/>
    </row>
    <row r="183">
      <c r="A183" s="49"/>
      <c r="B183" s="49"/>
      <c r="C183" s="50"/>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c r="AH183" s="49"/>
      <c r="AI183" s="49"/>
      <c r="AJ183" s="49"/>
      <c r="AK183" s="49"/>
      <c r="AL183" s="49"/>
      <c r="AM183" s="49"/>
      <c r="AN183" s="49"/>
      <c r="AO183" s="49"/>
      <c r="AP183" s="49"/>
      <c r="AQ183" s="49"/>
      <c r="AR183" s="49"/>
      <c r="AS183" s="49"/>
      <c r="AT183" s="49"/>
      <c r="AU183" s="49"/>
      <c r="AV183" s="49"/>
      <c r="AW183" s="49"/>
      <c r="AX183" s="49"/>
    </row>
    <row r="184">
      <c r="A184" s="49"/>
      <c r="B184" s="49"/>
      <c r="C184" s="50"/>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c r="AH184" s="49"/>
      <c r="AI184" s="49"/>
      <c r="AJ184" s="49"/>
      <c r="AK184" s="49"/>
      <c r="AL184" s="49"/>
      <c r="AM184" s="49"/>
      <c r="AN184" s="49"/>
      <c r="AO184" s="49"/>
      <c r="AP184" s="49"/>
      <c r="AQ184" s="49"/>
      <c r="AR184" s="49"/>
      <c r="AS184" s="49"/>
      <c r="AT184" s="49"/>
      <c r="AU184" s="49"/>
      <c r="AV184" s="49"/>
      <c r="AW184" s="49"/>
      <c r="AX184" s="49"/>
    </row>
    <row r="185">
      <c r="A185" s="49"/>
      <c r="B185" s="49"/>
      <c r="C185" s="50"/>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c r="AH185" s="49"/>
      <c r="AI185" s="49"/>
      <c r="AJ185" s="49"/>
      <c r="AK185" s="49"/>
      <c r="AL185" s="49"/>
      <c r="AM185" s="49"/>
      <c r="AN185" s="49"/>
      <c r="AO185" s="49"/>
      <c r="AP185" s="49"/>
      <c r="AQ185" s="49"/>
      <c r="AR185" s="49"/>
      <c r="AS185" s="49"/>
      <c r="AT185" s="49"/>
      <c r="AU185" s="49"/>
      <c r="AV185" s="49"/>
      <c r="AW185" s="49"/>
      <c r="AX185" s="49"/>
    </row>
    <row r="186">
      <c r="A186" s="49"/>
      <c r="B186" s="49"/>
      <c r="C186" s="50"/>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c r="AH186" s="49"/>
      <c r="AI186" s="49"/>
      <c r="AJ186" s="49"/>
      <c r="AK186" s="49"/>
      <c r="AL186" s="49"/>
      <c r="AM186" s="49"/>
      <c r="AN186" s="49"/>
      <c r="AO186" s="49"/>
      <c r="AP186" s="49"/>
      <c r="AQ186" s="49"/>
      <c r="AR186" s="49"/>
      <c r="AS186" s="49"/>
      <c r="AT186" s="49"/>
      <c r="AU186" s="49"/>
      <c r="AV186" s="49"/>
      <c r="AW186" s="49"/>
      <c r="AX186" s="49"/>
    </row>
    <row r="187">
      <c r="A187" s="49"/>
      <c r="B187" s="49"/>
      <c r="C187" s="50"/>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c r="AH187" s="49"/>
      <c r="AI187" s="49"/>
      <c r="AJ187" s="49"/>
      <c r="AK187" s="49"/>
      <c r="AL187" s="49"/>
      <c r="AM187" s="49"/>
      <c r="AN187" s="49"/>
      <c r="AO187" s="49"/>
      <c r="AP187" s="49"/>
      <c r="AQ187" s="49"/>
      <c r="AR187" s="49"/>
      <c r="AS187" s="49"/>
      <c r="AT187" s="49"/>
      <c r="AU187" s="49"/>
      <c r="AV187" s="49"/>
      <c r="AW187" s="49"/>
      <c r="AX187" s="49"/>
    </row>
    <row r="188">
      <c r="A188" s="49"/>
      <c r="B188" s="49"/>
      <c r="C188" s="50"/>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c r="AH188" s="49"/>
      <c r="AI188" s="49"/>
      <c r="AJ188" s="49"/>
      <c r="AK188" s="49"/>
      <c r="AL188" s="49"/>
      <c r="AM188" s="49"/>
      <c r="AN188" s="49"/>
      <c r="AO188" s="49"/>
      <c r="AP188" s="49"/>
      <c r="AQ188" s="49"/>
      <c r="AR188" s="49"/>
      <c r="AS188" s="49"/>
      <c r="AT188" s="49"/>
      <c r="AU188" s="49"/>
      <c r="AV188" s="49"/>
      <c r="AW188" s="49"/>
      <c r="AX188" s="49"/>
    </row>
    <row r="189">
      <c r="A189" s="49"/>
      <c r="B189" s="49"/>
      <c r="C189" s="50"/>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c r="AH189" s="49"/>
      <c r="AI189" s="49"/>
      <c r="AJ189" s="49"/>
      <c r="AK189" s="49"/>
      <c r="AL189" s="49"/>
      <c r="AM189" s="49"/>
      <c r="AN189" s="49"/>
      <c r="AO189" s="49"/>
      <c r="AP189" s="49"/>
      <c r="AQ189" s="49"/>
      <c r="AR189" s="49"/>
      <c r="AS189" s="49"/>
      <c r="AT189" s="49"/>
      <c r="AU189" s="49"/>
      <c r="AV189" s="49"/>
      <c r="AW189" s="49"/>
      <c r="AX189" s="49"/>
    </row>
    <row r="190">
      <c r="A190" s="49"/>
      <c r="B190" s="49"/>
      <c r="C190" s="50"/>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c r="AH190" s="49"/>
      <c r="AI190" s="49"/>
      <c r="AJ190" s="49"/>
      <c r="AK190" s="49"/>
      <c r="AL190" s="49"/>
      <c r="AM190" s="49"/>
      <c r="AN190" s="49"/>
      <c r="AO190" s="49"/>
      <c r="AP190" s="49"/>
      <c r="AQ190" s="49"/>
      <c r="AR190" s="49"/>
      <c r="AS190" s="49"/>
      <c r="AT190" s="49"/>
      <c r="AU190" s="49"/>
      <c r="AV190" s="49"/>
      <c r="AW190" s="49"/>
      <c r="AX190" s="49"/>
    </row>
    <row r="191">
      <c r="A191" s="49"/>
      <c r="B191" s="49"/>
      <c r="C191" s="50"/>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c r="AH191" s="49"/>
      <c r="AI191" s="49"/>
      <c r="AJ191" s="49"/>
      <c r="AK191" s="49"/>
      <c r="AL191" s="49"/>
      <c r="AM191" s="49"/>
      <c r="AN191" s="49"/>
      <c r="AO191" s="49"/>
      <c r="AP191" s="49"/>
      <c r="AQ191" s="49"/>
      <c r="AR191" s="49"/>
      <c r="AS191" s="49"/>
      <c r="AT191" s="49"/>
      <c r="AU191" s="49"/>
      <c r="AV191" s="49"/>
      <c r="AW191" s="49"/>
      <c r="AX191" s="49"/>
    </row>
    <row r="192">
      <c r="A192" s="49"/>
      <c r="B192" s="49"/>
      <c r="C192" s="50"/>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c r="AH192" s="49"/>
      <c r="AI192" s="49"/>
      <c r="AJ192" s="49"/>
      <c r="AK192" s="49"/>
      <c r="AL192" s="49"/>
      <c r="AM192" s="49"/>
      <c r="AN192" s="49"/>
      <c r="AO192" s="49"/>
      <c r="AP192" s="49"/>
      <c r="AQ192" s="49"/>
      <c r="AR192" s="49"/>
      <c r="AS192" s="49"/>
      <c r="AT192" s="49"/>
      <c r="AU192" s="49"/>
      <c r="AV192" s="49"/>
      <c r="AW192" s="49"/>
      <c r="AX192" s="49"/>
    </row>
    <row r="193">
      <c r="A193" s="49"/>
      <c r="B193" s="49"/>
      <c r="C193" s="50"/>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c r="AH193" s="49"/>
      <c r="AI193" s="49"/>
      <c r="AJ193" s="49"/>
      <c r="AK193" s="49"/>
      <c r="AL193" s="49"/>
      <c r="AM193" s="49"/>
      <c r="AN193" s="49"/>
      <c r="AO193" s="49"/>
      <c r="AP193" s="49"/>
      <c r="AQ193" s="49"/>
      <c r="AR193" s="49"/>
      <c r="AS193" s="49"/>
      <c r="AT193" s="49"/>
      <c r="AU193" s="49"/>
      <c r="AV193" s="49"/>
      <c r="AW193" s="49"/>
      <c r="AX193" s="49"/>
    </row>
    <row r="194">
      <c r="A194" s="49"/>
      <c r="B194" s="49"/>
      <c r="C194" s="50"/>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c r="AH194" s="49"/>
      <c r="AI194" s="49"/>
      <c r="AJ194" s="49"/>
      <c r="AK194" s="49"/>
      <c r="AL194" s="49"/>
      <c r="AM194" s="49"/>
      <c r="AN194" s="49"/>
      <c r="AO194" s="49"/>
      <c r="AP194" s="49"/>
      <c r="AQ194" s="49"/>
      <c r="AR194" s="49"/>
      <c r="AS194" s="49"/>
      <c r="AT194" s="49"/>
      <c r="AU194" s="49"/>
      <c r="AV194" s="49"/>
      <c r="AW194" s="49"/>
      <c r="AX194" s="49"/>
    </row>
    <row r="195">
      <c r="A195" s="49"/>
      <c r="B195" s="49"/>
      <c r="C195" s="50"/>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c r="AH195" s="49"/>
      <c r="AI195" s="49"/>
      <c r="AJ195" s="49"/>
      <c r="AK195" s="49"/>
      <c r="AL195" s="49"/>
      <c r="AM195" s="49"/>
      <c r="AN195" s="49"/>
      <c r="AO195" s="49"/>
      <c r="AP195" s="49"/>
      <c r="AQ195" s="49"/>
      <c r="AR195" s="49"/>
      <c r="AS195" s="49"/>
      <c r="AT195" s="49"/>
      <c r="AU195" s="49"/>
      <c r="AV195" s="49"/>
      <c r="AW195" s="49"/>
      <c r="AX195" s="49"/>
    </row>
    <row r="196">
      <c r="A196" s="49"/>
      <c r="B196" s="49"/>
      <c r="C196" s="50"/>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c r="AH196" s="49"/>
      <c r="AI196" s="49"/>
      <c r="AJ196" s="49"/>
      <c r="AK196" s="49"/>
      <c r="AL196" s="49"/>
      <c r="AM196" s="49"/>
      <c r="AN196" s="49"/>
      <c r="AO196" s="49"/>
      <c r="AP196" s="49"/>
      <c r="AQ196" s="49"/>
      <c r="AR196" s="49"/>
      <c r="AS196" s="49"/>
      <c r="AT196" s="49"/>
      <c r="AU196" s="49"/>
      <c r="AV196" s="49"/>
      <c r="AW196" s="49"/>
      <c r="AX196" s="49"/>
    </row>
    <row r="197">
      <c r="A197" s="49"/>
      <c r="B197" s="49"/>
      <c r="C197" s="50"/>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c r="AH197" s="49"/>
      <c r="AI197" s="49"/>
      <c r="AJ197" s="49"/>
      <c r="AK197" s="49"/>
      <c r="AL197" s="49"/>
      <c r="AM197" s="49"/>
      <c r="AN197" s="49"/>
      <c r="AO197" s="49"/>
      <c r="AP197" s="49"/>
      <c r="AQ197" s="49"/>
      <c r="AR197" s="49"/>
      <c r="AS197" s="49"/>
      <c r="AT197" s="49"/>
      <c r="AU197" s="49"/>
      <c r="AV197" s="49"/>
      <c r="AW197" s="49"/>
      <c r="AX197" s="49"/>
    </row>
    <row r="198">
      <c r="A198" s="49"/>
      <c r="B198" s="49"/>
      <c r="C198" s="50"/>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c r="AH198" s="49"/>
      <c r="AI198" s="49"/>
      <c r="AJ198" s="49"/>
      <c r="AK198" s="49"/>
      <c r="AL198" s="49"/>
      <c r="AM198" s="49"/>
      <c r="AN198" s="49"/>
      <c r="AO198" s="49"/>
      <c r="AP198" s="49"/>
      <c r="AQ198" s="49"/>
      <c r="AR198" s="49"/>
      <c r="AS198" s="49"/>
      <c r="AT198" s="49"/>
      <c r="AU198" s="49"/>
      <c r="AV198" s="49"/>
      <c r="AW198" s="49"/>
      <c r="AX198" s="49"/>
    </row>
    <row r="199">
      <c r="A199" s="49"/>
      <c r="B199" s="49"/>
      <c r="C199" s="50"/>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c r="AH199" s="49"/>
      <c r="AI199" s="49"/>
      <c r="AJ199" s="49"/>
      <c r="AK199" s="49"/>
      <c r="AL199" s="49"/>
      <c r="AM199" s="49"/>
      <c r="AN199" s="49"/>
      <c r="AO199" s="49"/>
      <c r="AP199" s="49"/>
      <c r="AQ199" s="49"/>
      <c r="AR199" s="49"/>
      <c r="AS199" s="49"/>
      <c r="AT199" s="49"/>
      <c r="AU199" s="49"/>
      <c r="AV199" s="49"/>
      <c r="AW199" s="49"/>
      <c r="AX199" s="49"/>
    </row>
    <row r="200">
      <c r="A200" s="49"/>
      <c r="B200" s="49"/>
      <c r="C200" s="50"/>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c r="AH200" s="49"/>
      <c r="AI200" s="49"/>
      <c r="AJ200" s="49"/>
      <c r="AK200" s="49"/>
      <c r="AL200" s="49"/>
      <c r="AM200" s="49"/>
      <c r="AN200" s="49"/>
      <c r="AO200" s="49"/>
      <c r="AP200" s="49"/>
      <c r="AQ200" s="49"/>
      <c r="AR200" s="49"/>
      <c r="AS200" s="49"/>
      <c r="AT200" s="49"/>
      <c r="AU200" s="49"/>
      <c r="AV200" s="49"/>
      <c r="AW200" s="49"/>
      <c r="AX200" s="49"/>
    </row>
    <row r="201">
      <c r="A201" s="49"/>
      <c r="B201" s="49"/>
      <c r="C201" s="50"/>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c r="AH201" s="49"/>
      <c r="AI201" s="49"/>
      <c r="AJ201" s="49"/>
      <c r="AK201" s="49"/>
      <c r="AL201" s="49"/>
      <c r="AM201" s="49"/>
      <c r="AN201" s="49"/>
      <c r="AO201" s="49"/>
      <c r="AP201" s="49"/>
      <c r="AQ201" s="49"/>
      <c r="AR201" s="49"/>
      <c r="AS201" s="49"/>
      <c r="AT201" s="49"/>
      <c r="AU201" s="49"/>
      <c r="AV201" s="49"/>
      <c r="AW201" s="49"/>
      <c r="AX201" s="49"/>
    </row>
    <row r="202">
      <c r="A202" s="49"/>
      <c r="B202" s="49"/>
      <c r="C202" s="50"/>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c r="AH202" s="49"/>
      <c r="AI202" s="49"/>
      <c r="AJ202" s="49"/>
      <c r="AK202" s="49"/>
      <c r="AL202" s="49"/>
      <c r="AM202" s="49"/>
      <c r="AN202" s="49"/>
      <c r="AO202" s="49"/>
      <c r="AP202" s="49"/>
      <c r="AQ202" s="49"/>
      <c r="AR202" s="49"/>
      <c r="AS202" s="49"/>
      <c r="AT202" s="49"/>
      <c r="AU202" s="49"/>
      <c r="AV202" s="49"/>
      <c r="AW202" s="49"/>
      <c r="AX202" s="49"/>
    </row>
    <row r="203">
      <c r="A203" s="49"/>
      <c r="B203" s="49"/>
      <c r="C203" s="50"/>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c r="AH203" s="49"/>
      <c r="AI203" s="49"/>
      <c r="AJ203" s="49"/>
      <c r="AK203" s="49"/>
      <c r="AL203" s="49"/>
      <c r="AM203" s="49"/>
      <c r="AN203" s="49"/>
      <c r="AO203" s="49"/>
      <c r="AP203" s="49"/>
      <c r="AQ203" s="49"/>
      <c r="AR203" s="49"/>
      <c r="AS203" s="49"/>
      <c r="AT203" s="49"/>
      <c r="AU203" s="49"/>
      <c r="AV203" s="49"/>
      <c r="AW203" s="49"/>
      <c r="AX203" s="49"/>
    </row>
    <row r="204">
      <c r="A204" s="49"/>
      <c r="B204" s="49"/>
      <c r="C204" s="50"/>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c r="AH204" s="49"/>
      <c r="AI204" s="49"/>
      <c r="AJ204" s="49"/>
      <c r="AK204" s="49"/>
      <c r="AL204" s="49"/>
      <c r="AM204" s="49"/>
      <c r="AN204" s="49"/>
      <c r="AO204" s="49"/>
      <c r="AP204" s="49"/>
      <c r="AQ204" s="49"/>
      <c r="AR204" s="49"/>
      <c r="AS204" s="49"/>
      <c r="AT204" s="49"/>
      <c r="AU204" s="49"/>
      <c r="AV204" s="49"/>
      <c r="AW204" s="49"/>
      <c r="AX204" s="49"/>
    </row>
    <row r="205">
      <c r="A205" s="49"/>
      <c r="B205" s="49"/>
      <c r="C205" s="50"/>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c r="AH205" s="49"/>
      <c r="AI205" s="49"/>
      <c r="AJ205" s="49"/>
      <c r="AK205" s="49"/>
      <c r="AL205" s="49"/>
      <c r="AM205" s="49"/>
      <c r="AN205" s="49"/>
      <c r="AO205" s="49"/>
      <c r="AP205" s="49"/>
      <c r="AQ205" s="49"/>
      <c r="AR205" s="49"/>
      <c r="AS205" s="49"/>
      <c r="AT205" s="49"/>
      <c r="AU205" s="49"/>
      <c r="AV205" s="49"/>
      <c r="AW205" s="49"/>
      <c r="AX205" s="49"/>
    </row>
    <row r="206">
      <c r="A206" s="49"/>
      <c r="B206" s="49"/>
      <c r="C206" s="50"/>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c r="AH206" s="49"/>
      <c r="AI206" s="49"/>
      <c r="AJ206" s="49"/>
      <c r="AK206" s="49"/>
      <c r="AL206" s="49"/>
      <c r="AM206" s="49"/>
      <c r="AN206" s="49"/>
      <c r="AO206" s="49"/>
      <c r="AP206" s="49"/>
      <c r="AQ206" s="49"/>
      <c r="AR206" s="49"/>
      <c r="AS206" s="49"/>
      <c r="AT206" s="49"/>
      <c r="AU206" s="49"/>
      <c r="AV206" s="49"/>
      <c r="AW206" s="49"/>
      <c r="AX206" s="49"/>
    </row>
    <row r="207">
      <c r="A207" s="49"/>
      <c r="B207" s="49"/>
      <c r="C207" s="50"/>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c r="AH207" s="49"/>
      <c r="AI207" s="49"/>
      <c r="AJ207" s="49"/>
      <c r="AK207" s="49"/>
      <c r="AL207" s="49"/>
      <c r="AM207" s="49"/>
      <c r="AN207" s="49"/>
      <c r="AO207" s="49"/>
      <c r="AP207" s="49"/>
      <c r="AQ207" s="49"/>
      <c r="AR207" s="49"/>
      <c r="AS207" s="49"/>
      <c r="AT207" s="49"/>
      <c r="AU207" s="49"/>
      <c r="AV207" s="49"/>
      <c r="AW207" s="49"/>
      <c r="AX207" s="49"/>
    </row>
    <row r="208">
      <c r="A208" s="49"/>
      <c r="B208" s="49"/>
      <c r="C208" s="50"/>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c r="AH208" s="49"/>
      <c r="AI208" s="49"/>
      <c r="AJ208" s="49"/>
      <c r="AK208" s="49"/>
      <c r="AL208" s="49"/>
      <c r="AM208" s="49"/>
      <c r="AN208" s="49"/>
      <c r="AO208" s="49"/>
      <c r="AP208" s="49"/>
      <c r="AQ208" s="49"/>
      <c r="AR208" s="49"/>
      <c r="AS208" s="49"/>
      <c r="AT208" s="49"/>
      <c r="AU208" s="49"/>
      <c r="AV208" s="49"/>
      <c r="AW208" s="49"/>
      <c r="AX208" s="49"/>
    </row>
    <row r="209">
      <c r="A209" s="49"/>
      <c r="B209" s="49"/>
      <c r="C209" s="50"/>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c r="AH209" s="49"/>
      <c r="AI209" s="49"/>
      <c r="AJ209" s="49"/>
      <c r="AK209" s="49"/>
      <c r="AL209" s="49"/>
      <c r="AM209" s="49"/>
      <c r="AN209" s="49"/>
      <c r="AO209" s="49"/>
      <c r="AP209" s="49"/>
      <c r="AQ209" s="49"/>
      <c r="AR209" s="49"/>
      <c r="AS209" s="49"/>
      <c r="AT209" s="49"/>
      <c r="AU209" s="49"/>
      <c r="AV209" s="49"/>
      <c r="AW209" s="49"/>
      <c r="AX209" s="49"/>
    </row>
    <row r="210">
      <c r="A210" s="49"/>
      <c r="B210" s="49"/>
      <c r="C210" s="50"/>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9"/>
      <c r="AE210" s="49"/>
      <c r="AF210" s="49"/>
      <c r="AG210" s="49"/>
      <c r="AH210" s="49"/>
      <c r="AI210" s="49"/>
      <c r="AJ210" s="49"/>
      <c r="AK210" s="49"/>
      <c r="AL210" s="49"/>
      <c r="AM210" s="49"/>
      <c r="AN210" s="49"/>
      <c r="AO210" s="49"/>
      <c r="AP210" s="49"/>
      <c r="AQ210" s="49"/>
      <c r="AR210" s="49"/>
      <c r="AS210" s="49"/>
      <c r="AT210" s="49"/>
      <c r="AU210" s="49"/>
      <c r="AV210" s="49"/>
      <c r="AW210" s="49"/>
      <c r="AX210" s="49"/>
    </row>
    <row r="211">
      <c r="A211" s="49"/>
      <c r="B211" s="49"/>
      <c r="C211" s="50"/>
      <c r="D211" s="49"/>
      <c r="E211" s="49"/>
      <c r="F211" s="49"/>
      <c r="G211" s="49"/>
      <c r="H211" s="49"/>
      <c r="I211" s="49"/>
      <c r="J211" s="49"/>
      <c r="K211" s="49"/>
      <c r="L211" s="49"/>
      <c r="M211" s="49"/>
      <c r="N211" s="49"/>
      <c r="O211" s="49"/>
      <c r="P211" s="49"/>
      <c r="Q211" s="49"/>
      <c r="R211" s="49"/>
      <c r="S211" s="49"/>
      <c r="T211" s="49"/>
      <c r="U211" s="49"/>
      <c r="V211" s="49"/>
      <c r="W211" s="49"/>
      <c r="X211" s="49"/>
      <c r="Y211" s="49"/>
      <c r="Z211" s="49"/>
      <c r="AA211" s="49"/>
      <c r="AB211" s="49"/>
      <c r="AC211" s="49"/>
      <c r="AD211" s="49"/>
      <c r="AE211" s="49"/>
      <c r="AF211" s="49"/>
      <c r="AG211" s="49"/>
      <c r="AH211" s="49"/>
      <c r="AI211" s="49"/>
      <c r="AJ211" s="49"/>
      <c r="AK211" s="49"/>
      <c r="AL211" s="49"/>
      <c r="AM211" s="49"/>
      <c r="AN211" s="49"/>
      <c r="AO211" s="49"/>
      <c r="AP211" s="49"/>
      <c r="AQ211" s="49"/>
      <c r="AR211" s="49"/>
      <c r="AS211" s="49"/>
      <c r="AT211" s="49"/>
      <c r="AU211" s="49"/>
      <c r="AV211" s="49"/>
      <c r="AW211" s="49"/>
      <c r="AX211" s="49"/>
    </row>
    <row r="212">
      <c r="A212" s="49"/>
      <c r="B212" s="49"/>
      <c r="C212" s="50"/>
      <c r="D212" s="49"/>
      <c r="E212" s="49"/>
      <c r="F212" s="49"/>
      <c r="G212" s="49"/>
      <c r="H212" s="49"/>
      <c r="I212" s="49"/>
      <c r="J212" s="49"/>
      <c r="K212" s="49"/>
      <c r="L212" s="49"/>
      <c r="M212" s="49"/>
      <c r="N212" s="49"/>
      <c r="O212" s="49"/>
      <c r="P212" s="49"/>
      <c r="Q212" s="49"/>
      <c r="R212" s="49"/>
      <c r="S212" s="49"/>
      <c r="T212" s="49"/>
      <c r="U212" s="49"/>
      <c r="V212" s="49"/>
      <c r="W212" s="49"/>
      <c r="X212" s="49"/>
      <c r="Y212" s="49"/>
      <c r="Z212" s="49"/>
      <c r="AA212" s="49"/>
      <c r="AB212" s="49"/>
      <c r="AC212" s="49"/>
      <c r="AD212" s="49"/>
      <c r="AE212" s="49"/>
      <c r="AF212" s="49"/>
      <c r="AG212" s="49"/>
      <c r="AH212" s="49"/>
      <c r="AI212" s="49"/>
      <c r="AJ212" s="49"/>
      <c r="AK212" s="49"/>
      <c r="AL212" s="49"/>
      <c r="AM212" s="49"/>
      <c r="AN212" s="49"/>
      <c r="AO212" s="49"/>
      <c r="AP212" s="49"/>
      <c r="AQ212" s="49"/>
      <c r="AR212" s="49"/>
      <c r="AS212" s="49"/>
      <c r="AT212" s="49"/>
      <c r="AU212" s="49"/>
      <c r="AV212" s="49"/>
      <c r="AW212" s="49"/>
      <c r="AX212" s="49"/>
    </row>
    <row r="213">
      <c r="A213" s="49"/>
      <c r="B213" s="49"/>
      <c r="C213" s="50"/>
      <c r="D213" s="49"/>
      <c r="E213" s="49"/>
      <c r="F213" s="49"/>
      <c r="G213" s="49"/>
      <c r="H213" s="49"/>
      <c r="I213" s="49"/>
      <c r="J213" s="49"/>
      <c r="K213" s="49"/>
      <c r="L213" s="49"/>
      <c r="M213" s="49"/>
      <c r="N213" s="49"/>
      <c r="O213" s="49"/>
      <c r="P213" s="49"/>
      <c r="Q213" s="49"/>
      <c r="R213" s="49"/>
      <c r="S213" s="49"/>
      <c r="T213" s="49"/>
      <c r="U213" s="49"/>
      <c r="V213" s="49"/>
      <c r="W213" s="49"/>
      <c r="X213" s="49"/>
      <c r="Y213" s="49"/>
      <c r="Z213" s="49"/>
      <c r="AA213" s="49"/>
      <c r="AB213" s="49"/>
      <c r="AC213" s="49"/>
      <c r="AD213" s="49"/>
      <c r="AE213" s="49"/>
      <c r="AF213" s="49"/>
      <c r="AG213" s="49"/>
      <c r="AH213" s="49"/>
      <c r="AI213" s="49"/>
      <c r="AJ213" s="49"/>
      <c r="AK213" s="49"/>
      <c r="AL213" s="49"/>
      <c r="AM213" s="49"/>
      <c r="AN213" s="49"/>
      <c r="AO213" s="49"/>
      <c r="AP213" s="49"/>
      <c r="AQ213" s="49"/>
      <c r="AR213" s="49"/>
      <c r="AS213" s="49"/>
      <c r="AT213" s="49"/>
      <c r="AU213" s="49"/>
      <c r="AV213" s="49"/>
      <c r="AW213" s="49"/>
      <c r="AX213" s="49"/>
    </row>
    <row r="214">
      <c r="A214" s="49"/>
      <c r="B214" s="49"/>
      <c r="C214" s="50"/>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9"/>
      <c r="AE214" s="49"/>
      <c r="AF214" s="49"/>
      <c r="AG214" s="49"/>
      <c r="AH214" s="49"/>
      <c r="AI214" s="49"/>
      <c r="AJ214" s="49"/>
      <c r="AK214" s="49"/>
      <c r="AL214" s="49"/>
      <c r="AM214" s="49"/>
      <c r="AN214" s="49"/>
      <c r="AO214" s="49"/>
      <c r="AP214" s="49"/>
      <c r="AQ214" s="49"/>
      <c r="AR214" s="49"/>
      <c r="AS214" s="49"/>
      <c r="AT214" s="49"/>
      <c r="AU214" s="49"/>
      <c r="AV214" s="49"/>
      <c r="AW214" s="49"/>
      <c r="AX214" s="49"/>
    </row>
    <row r="215">
      <c r="A215" s="49"/>
      <c r="B215" s="49"/>
      <c r="C215" s="50"/>
      <c r="D215" s="49"/>
      <c r="E215" s="49"/>
      <c r="F215" s="49"/>
      <c r="G215" s="49"/>
      <c r="H215" s="49"/>
      <c r="I215" s="49"/>
      <c r="J215" s="49"/>
      <c r="K215" s="49"/>
      <c r="L215" s="49"/>
      <c r="M215" s="49"/>
      <c r="N215" s="49"/>
      <c r="O215" s="49"/>
      <c r="P215" s="49"/>
      <c r="Q215" s="49"/>
      <c r="R215" s="49"/>
      <c r="S215" s="49"/>
      <c r="T215" s="49"/>
      <c r="U215" s="49"/>
      <c r="V215" s="49"/>
      <c r="W215" s="49"/>
      <c r="X215" s="49"/>
      <c r="Y215" s="49"/>
      <c r="Z215" s="49"/>
      <c r="AA215" s="49"/>
      <c r="AB215" s="49"/>
      <c r="AC215" s="49"/>
      <c r="AD215" s="49"/>
      <c r="AE215" s="49"/>
      <c r="AF215" s="49"/>
      <c r="AG215" s="49"/>
      <c r="AH215" s="49"/>
      <c r="AI215" s="49"/>
      <c r="AJ215" s="49"/>
      <c r="AK215" s="49"/>
      <c r="AL215" s="49"/>
      <c r="AM215" s="49"/>
      <c r="AN215" s="49"/>
      <c r="AO215" s="49"/>
      <c r="AP215" s="49"/>
      <c r="AQ215" s="49"/>
      <c r="AR215" s="49"/>
      <c r="AS215" s="49"/>
      <c r="AT215" s="49"/>
      <c r="AU215" s="49"/>
      <c r="AV215" s="49"/>
      <c r="AW215" s="49"/>
      <c r="AX215" s="49"/>
    </row>
    <row r="216">
      <c r="A216" s="49"/>
      <c r="B216" s="49"/>
      <c r="C216" s="50"/>
      <c r="D216" s="49"/>
      <c r="E216" s="49"/>
      <c r="F216" s="49"/>
      <c r="G216" s="49"/>
      <c r="H216" s="49"/>
      <c r="I216" s="49"/>
      <c r="J216" s="49"/>
      <c r="K216" s="49"/>
      <c r="L216" s="49"/>
      <c r="M216" s="49"/>
      <c r="N216" s="49"/>
      <c r="O216" s="49"/>
      <c r="P216" s="49"/>
      <c r="Q216" s="49"/>
      <c r="R216" s="49"/>
      <c r="S216" s="49"/>
      <c r="T216" s="49"/>
      <c r="U216" s="49"/>
      <c r="V216" s="49"/>
      <c r="W216" s="49"/>
      <c r="X216" s="49"/>
      <c r="Y216" s="49"/>
      <c r="Z216" s="49"/>
      <c r="AA216" s="49"/>
      <c r="AB216" s="49"/>
      <c r="AC216" s="49"/>
      <c r="AD216" s="49"/>
      <c r="AE216" s="49"/>
      <c r="AF216" s="49"/>
      <c r="AG216" s="49"/>
      <c r="AH216" s="49"/>
      <c r="AI216" s="49"/>
      <c r="AJ216" s="49"/>
      <c r="AK216" s="49"/>
      <c r="AL216" s="49"/>
      <c r="AM216" s="49"/>
      <c r="AN216" s="49"/>
      <c r="AO216" s="49"/>
      <c r="AP216" s="49"/>
      <c r="AQ216" s="49"/>
      <c r="AR216" s="49"/>
      <c r="AS216" s="49"/>
      <c r="AT216" s="49"/>
      <c r="AU216" s="49"/>
      <c r="AV216" s="49"/>
      <c r="AW216" s="49"/>
      <c r="AX216" s="49"/>
    </row>
    <row r="217">
      <c r="A217" s="49"/>
      <c r="B217" s="49"/>
      <c r="C217" s="50"/>
      <c r="D217" s="49"/>
      <c r="E217" s="49"/>
      <c r="F217" s="49"/>
      <c r="G217" s="49"/>
      <c r="H217" s="49"/>
      <c r="I217" s="49"/>
      <c r="J217" s="49"/>
      <c r="K217" s="49"/>
      <c r="L217" s="49"/>
      <c r="M217" s="49"/>
      <c r="N217" s="49"/>
      <c r="O217" s="49"/>
      <c r="P217" s="49"/>
      <c r="Q217" s="49"/>
      <c r="R217" s="49"/>
      <c r="S217" s="49"/>
      <c r="T217" s="49"/>
      <c r="U217" s="49"/>
      <c r="V217" s="49"/>
      <c r="W217" s="49"/>
      <c r="X217" s="49"/>
      <c r="Y217" s="49"/>
      <c r="Z217" s="49"/>
      <c r="AA217" s="49"/>
      <c r="AB217" s="49"/>
      <c r="AC217" s="49"/>
      <c r="AD217" s="49"/>
      <c r="AE217" s="49"/>
      <c r="AF217" s="49"/>
      <c r="AG217" s="49"/>
      <c r="AH217" s="49"/>
      <c r="AI217" s="49"/>
      <c r="AJ217" s="49"/>
      <c r="AK217" s="49"/>
      <c r="AL217" s="49"/>
      <c r="AM217" s="49"/>
      <c r="AN217" s="49"/>
      <c r="AO217" s="49"/>
      <c r="AP217" s="49"/>
      <c r="AQ217" s="49"/>
      <c r="AR217" s="49"/>
      <c r="AS217" s="49"/>
      <c r="AT217" s="49"/>
      <c r="AU217" s="49"/>
      <c r="AV217" s="49"/>
      <c r="AW217" s="49"/>
      <c r="AX217" s="49"/>
    </row>
    <row r="218">
      <c r="A218" s="49"/>
      <c r="B218" s="49"/>
      <c r="C218" s="50"/>
      <c r="D218" s="49"/>
      <c r="E218" s="49"/>
      <c r="F218" s="49"/>
      <c r="G218" s="49"/>
      <c r="H218" s="49"/>
      <c r="I218" s="49"/>
      <c r="J218" s="49"/>
      <c r="K218" s="49"/>
      <c r="L218" s="49"/>
      <c r="M218" s="49"/>
      <c r="N218" s="49"/>
      <c r="O218" s="49"/>
      <c r="P218" s="49"/>
      <c r="Q218" s="49"/>
      <c r="R218" s="49"/>
      <c r="S218" s="49"/>
      <c r="T218" s="49"/>
      <c r="U218" s="49"/>
      <c r="V218" s="49"/>
      <c r="W218" s="49"/>
      <c r="X218" s="49"/>
      <c r="Y218" s="49"/>
      <c r="Z218" s="49"/>
      <c r="AA218" s="49"/>
      <c r="AB218" s="49"/>
      <c r="AC218" s="49"/>
      <c r="AD218" s="49"/>
      <c r="AE218" s="49"/>
      <c r="AF218" s="49"/>
      <c r="AG218" s="49"/>
      <c r="AH218" s="49"/>
      <c r="AI218" s="49"/>
      <c r="AJ218" s="49"/>
      <c r="AK218" s="49"/>
      <c r="AL218" s="49"/>
      <c r="AM218" s="49"/>
      <c r="AN218" s="49"/>
      <c r="AO218" s="49"/>
      <c r="AP218" s="49"/>
      <c r="AQ218" s="49"/>
      <c r="AR218" s="49"/>
      <c r="AS218" s="49"/>
      <c r="AT218" s="49"/>
      <c r="AU218" s="49"/>
      <c r="AV218" s="49"/>
      <c r="AW218" s="49"/>
      <c r="AX218" s="49"/>
    </row>
    <row r="219">
      <c r="A219" s="49"/>
      <c r="B219" s="49"/>
      <c r="C219" s="50"/>
      <c r="D219" s="49"/>
      <c r="E219" s="49"/>
      <c r="F219" s="49"/>
      <c r="G219" s="49"/>
      <c r="H219" s="49"/>
      <c r="I219" s="49"/>
      <c r="J219" s="49"/>
      <c r="K219" s="49"/>
      <c r="L219" s="49"/>
      <c r="M219" s="49"/>
      <c r="N219" s="49"/>
      <c r="O219" s="49"/>
      <c r="P219" s="49"/>
      <c r="Q219" s="49"/>
      <c r="R219" s="49"/>
      <c r="S219" s="49"/>
      <c r="T219" s="49"/>
      <c r="U219" s="49"/>
      <c r="V219" s="49"/>
      <c r="W219" s="49"/>
      <c r="X219" s="49"/>
      <c r="Y219" s="49"/>
      <c r="Z219" s="49"/>
      <c r="AA219" s="49"/>
      <c r="AB219" s="49"/>
      <c r="AC219" s="49"/>
      <c r="AD219" s="49"/>
      <c r="AE219" s="49"/>
      <c r="AF219" s="49"/>
      <c r="AG219" s="49"/>
      <c r="AH219" s="49"/>
      <c r="AI219" s="49"/>
      <c r="AJ219" s="49"/>
      <c r="AK219" s="49"/>
      <c r="AL219" s="49"/>
      <c r="AM219" s="49"/>
      <c r="AN219" s="49"/>
      <c r="AO219" s="49"/>
      <c r="AP219" s="49"/>
      <c r="AQ219" s="49"/>
      <c r="AR219" s="49"/>
      <c r="AS219" s="49"/>
      <c r="AT219" s="49"/>
      <c r="AU219" s="49"/>
      <c r="AV219" s="49"/>
      <c r="AW219" s="49"/>
      <c r="AX219" s="49"/>
    </row>
    <row r="220">
      <c r="A220" s="49"/>
      <c r="B220" s="49"/>
      <c r="C220" s="50"/>
      <c r="D220" s="49"/>
      <c r="E220" s="49"/>
      <c r="F220" s="49"/>
      <c r="G220" s="49"/>
      <c r="H220" s="49"/>
      <c r="I220" s="49"/>
      <c r="J220" s="49"/>
      <c r="K220" s="49"/>
      <c r="L220" s="49"/>
      <c r="M220" s="49"/>
      <c r="N220" s="49"/>
      <c r="O220" s="49"/>
      <c r="P220" s="49"/>
      <c r="Q220" s="49"/>
      <c r="R220" s="49"/>
      <c r="S220" s="49"/>
      <c r="T220" s="49"/>
      <c r="U220" s="49"/>
      <c r="V220" s="49"/>
      <c r="W220" s="49"/>
      <c r="X220" s="49"/>
      <c r="Y220" s="49"/>
      <c r="Z220" s="49"/>
      <c r="AA220" s="49"/>
      <c r="AB220" s="49"/>
      <c r="AC220" s="49"/>
      <c r="AD220" s="49"/>
      <c r="AE220" s="49"/>
      <c r="AF220" s="49"/>
      <c r="AG220" s="49"/>
      <c r="AH220" s="49"/>
      <c r="AI220" s="49"/>
      <c r="AJ220" s="49"/>
      <c r="AK220" s="49"/>
      <c r="AL220" s="49"/>
      <c r="AM220" s="49"/>
      <c r="AN220" s="49"/>
      <c r="AO220" s="49"/>
      <c r="AP220" s="49"/>
      <c r="AQ220" s="49"/>
      <c r="AR220" s="49"/>
      <c r="AS220" s="49"/>
      <c r="AT220" s="49"/>
      <c r="AU220" s="49"/>
      <c r="AV220" s="49"/>
      <c r="AW220" s="49"/>
      <c r="AX220" s="49"/>
    </row>
    <row r="221">
      <c r="A221" s="49"/>
      <c r="B221" s="49"/>
      <c r="C221" s="50"/>
      <c r="D221" s="49"/>
      <c r="E221" s="49"/>
      <c r="F221" s="49"/>
      <c r="G221" s="49"/>
      <c r="H221" s="49"/>
      <c r="I221" s="49"/>
      <c r="J221" s="49"/>
      <c r="K221" s="49"/>
      <c r="L221" s="49"/>
      <c r="M221" s="49"/>
      <c r="N221" s="49"/>
      <c r="O221" s="49"/>
      <c r="P221" s="49"/>
      <c r="Q221" s="49"/>
      <c r="R221" s="49"/>
      <c r="S221" s="49"/>
      <c r="T221" s="49"/>
      <c r="U221" s="49"/>
      <c r="V221" s="49"/>
      <c r="W221" s="49"/>
      <c r="X221" s="49"/>
      <c r="Y221" s="49"/>
      <c r="Z221" s="49"/>
      <c r="AA221" s="49"/>
      <c r="AB221" s="49"/>
      <c r="AC221" s="49"/>
      <c r="AD221" s="49"/>
      <c r="AE221" s="49"/>
      <c r="AF221" s="49"/>
      <c r="AG221" s="49"/>
      <c r="AH221" s="49"/>
      <c r="AI221" s="49"/>
      <c r="AJ221" s="49"/>
      <c r="AK221" s="49"/>
      <c r="AL221" s="49"/>
      <c r="AM221" s="49"/>
      <c r="AN221" s="49"/>
      <c r="AO221" s="49"/>
      <c r="AP221" s="49"/>
      <c r="AQ221" s="49"/>
      <c r="AR221" s="49"/>
      <c r="AS221" s="49"/>
      <c r="AT221" s="49"/>
      <c r="AU221" s="49"/>
      <c r="AV221" s="49"/>
      <c r="AW221" s="49"/>
      <c r="AX221" s="49"/>
    </row>
    <row r="222">
      <c r="A222" s="49"/>
      <c r="B222" s="49"/>
      <c r="C222" s="50"/>
      <c r="D222" s="49"/>
      <c r="E222" s="49"/>
      <c r="F222" s="49"/>
      <c r="G222" s="49"/>
      <c r="H222" s="49"/>
      <c r="I222" s="49"/>
      <c r="J222" s="49"/>
      <c r="K222" s="49"/>
      <c r="L222" s="49"/>
      <c r="M222" s="49"/>
      <c r="N222" s="49"/>
      <c r="O222" s="49"/>
      <c r="P222" s="49"/>
      <c r="Q222" s="49"/>
      <c r="R222" s="49"/>
      <c r="S222" s="49"/>
      <c r="T222" s="49"/>
      <c r="U222" s="49"/>
      <c r="V222" s="49"/>
      <c r="W222" s="49"/>
      <c r="X222" s="49"/>
      <c r="Y222" s="49"/>
      <c r="Z222" s="49"/>
      <c r="AA222" s="49"/>
      <c r="AB222" s="49"/>
      <c r="AC222" s="49"/>
      <c r="AD222" s="49"/>
      <c r="AE222" s="49"/>
      <c r="AF222" s="49"/>
      <c r="AG222" s="49"/>
      <c r="AH222" s="49"/>
      <c r="AI222" s="49"/>
      <c r="AJ222" s="49"/>
      <c r="AK222" s="49"/>
      <c r="AL222" s="49"/>
      <c r="AM222" s="49"/>
      <c r="AN222" s="49"/>
      <c r="AO222" s="49"/>
      <c r="AP222" s="49"/>
      <c r="AQ222" s="49"/>
      <c r="AR222" s="49"/>
      <c r="AS222" s="49"/>
      <c r="AT222" s="49"/>
      <c r="AU222" s="49"/>
      <c r="AV222" s="49"/>
      <c r="AW222" s="49"/>
      <c r="AX222" s="49"/>
    </row>
    <row r="223">
      <c r="A223" s="49"/>
      <c r="B223" s="49"/>
      <c r="C223" s="50"/>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9"/>
      <c r="AE223" s="49"/>
      <c r="AF223" s="49"/>
      <c r="AG223" s="49"/>
      <c r="AH223" s="49"/>
      <c r="AI223" s="49"/>
      <c r="AJ223" s="49"/>
      <c r="AK223" s="49"/>
      <c r="AL223" s="49"/>
      <c r="AM223" s="49"/>
      <c r="AN223" s="49"/>
      <c r="AO223" s="49"/>
      <c r="AP223" s="49"/>
      <c r="AQ223" s="49"/>
      <c r="AR223" s="49"/>
      <c r="AS223" s="49"/>
      <c r="AT223" s="49"/>
      <c r="AU223" s="49"/>
      <c r="AV223" s="49"/>
      <c r="AW223" s="49"/>
      <c r="AX223" s="49"/>
    </row>
    <row r="224">
      <c r="A224" s="49"/>
      <c r="B224" s="49"/>
      <c r="C224" s="50"/>
      <c r="D224" s="49"/>
      <c r="E224" s="49"/>
      <c r="F224" s="49"/>
      <c r="G224" s="49"/>
      <c r="H224" s="49"/>
      <c r="I224" s="49"/>
      <c r="J224" s="49"/>
      <c r="K224" s="49"/>
      <c r="L224" s="49"/>
      <c r="M224" s="49"/>
      <c r="N224" s="49"/>
      <c r="O224" s="49"/>
      <c r="P224" s="49"/>
      <c r="Q224" s="49"/>
      <c r="R224" s="49"/>
      <c r="S224" s="49"/>
      <c r="T224" s="49"/>
      <c r="U224" s="49"/>
      <c r="V224" s="49"/>
      <c r="W224" s="49"/>
      <c r="X224" s="49"/>
      <c r="Y224" s="49"/>
      <c r="Z224" s="49"/>
      <c r="AA224" s="49"/>
      <c r="AB224" s="49"/>
      <c r="AC224" s="49"/>
      <c r="AD224" s="49"/>
      <c r="AE224" s="49"/>
      <c r="AF224" s="49"/>
      <c r="AG224" s="49"/>
      <c r="AH224" s="49"/>
      <c r="AI224" s="49"/>
      <c r="AJ224" s="49"/>
      <c r="AK224" s="49"/>
      <c r="AL224" s="49"/>
      <c r="AM224" s="49"/>
      <c r="AN224" s="49"/>
      <c r="AO224" s="49"/>
      <c r="AP224" s="49"/>
      <c r="AQ224" s="49"/>
      <c r="AR224" s="49"/>
      <c r="AS224" s="49"/>
      <c r="AT224" s="49"/>
      <c r="AU224" s="49"/>
      <c r="AV224" s="49"/>
      <c r="AW224" s="49"/>
      <c r="AX224" s="49"/>
    </row>
    <row r="225">
      <c r="A225" s="49"/>
      <c r="B225" s="49"/>
      <c r="C225" s="50"/>
      <c r="D225" s="49"/>
      <c r="E225" s="49"/>
      <c r="F225" s="49"/>
      <c r="G225" s="49"/>
      <c r="H225" s="49"/>
      <c r="I225" s="49"/>
      <c r="J225" s="49"/>
      <c r="K225" s="49"/>
      <c r="L225" s="49"/>
      <c r="M225" s="49"/>
      <c r="N225" s="49"/>
      <c r="O225" s="49"/>
      <c r="P225" s="49"/>
      <c r="Q225" s="49"/>
      <c r="R225" s="49"/>
      <c r="S225" s="49"/>
      <c r="T225" s="49"/>
      <c r="U225" s="49"/>
      <c r="V225" s="49"/>
      <c r="W225" s="49"/>
      <c r="X225" s="49"/>
      <c r="Y225" s="49"/>
      <c r="Z225" s="49"/>
      <c r="AA225" s="49"/>
      <c r="AB225" s="49"/>
      <c r="AC225" s="49"/>
      <c r="AD225" s="49"/>
      <c r="AE225" s="49"/>
      <c r="AF225" s="49"/>
      <c r="AG225" s="49"/>
      <c r="AH225" s="49"/>
      <c r="AI225" s="49"/>
      <c r="AJ225" s="49"/>
      <c r="AK225" s="49"/>
      <c r="AL225" s="49"/>
      <c r="AM225" s="49"/>
      <c r="AN225" s="49"/>
      <c r="AO225" s="49"/>
      <c r="AP225" s="49"/>
      <c r="AQ225" s="49"/>
      <c r="AR225" s="49"/>
      <c r="AS225" s="49"/>
      <c r="AT225" s="49"/>
      <c r="AU225" s="49"/>
      <c r="AV225" s="49"/>
      <c r="AW225" s="49"/>
      <c r="AX225" s="49"/>
    </row>
    <row r="226">
      <c r="A226" s="49"/>
      <c r="B226" s="49"/>
      <c r="C226" s="50"/>
      <c r="D226" s="49"/>
      <c r="E226" s="49"/>
      <c r="F226" s="49"/>
      <c r="G226" s="49"/>
      <c r="H226" s="49"/>
      <c r="I226" s="49"/>
      <c r="J226" s="49"/>
      <c r="K226" s="49"/>
      <c r="L226" s="49"/>
      <c r="M226" s="49"/>
      <c r="N226" s="49"/>
      <c r="O226" s="49"/>
      <c r="P226" s="49"/>
      <c r="Q226" s="49"/>
      <c r="R226" s="49"/>
      <c r="S226" s="49"/>
      <c r="T226" s="49"/>
      <c r="U226" s="49"/>
      <c r="V226" s="49"/>
      <c r="W226" s="49"/>
      <c r="X226" s="49"/>
      <c r="Y226" s="49"/>
      <c r="Z226" s="49"/>
      <c r="AA226" s="49"/>
      <c r="AB226" s="49"/>
      <c r="AC226" s="49"/>
      <c r="AD226" s="49"/>
      <c r="AE226" s="49"/>
      <c r="AF226" s="49"/>
      <c r="AG226" s="49"/>
      <c r="AH226" s="49"/>
      <c r="AI226" s="49"/>
      <c r="AJ226" s="49"/>
      <c r="AK226" s="49"/>
      <c r="AL226" s="49"/>
      <c r="AM226" s="49"/>
      <c r="AN226" s="49"/>
      <c r="AO226" s="49"/>
      <c r="AP226" s="49"/>
      <c r="AQ226" s="49"/>
      <c r="AR226" s="49"/>
      <c r="AS226" s="49"/>
      <c r="AT226" s="49"/>
      <c r="AU226" s="49"/>
      <c r="AV226" s="49"/>
      <c r="AW226" s="49"/>
      <c r="AX226" s="49"/>
    </row>
    <row r="227">
      <c r="A227" s="49"/>
      <c r="B227" s="49"/>
      <c r="C227" s="50"/>
      <c r="D227" s="49"/>
      <c r="E227" s="49"/>
      <c r="F227" s="49"/>
      <c r="G227" s="49"/>
      <c r="H227" s="49"/>
      <c r="I227" s="49"/>
      <c r="J227" s="49"/>
      <c r="K227" s="49"/>
      <c r="L227" s="49"/>
      <c r="M227" s="49"/>
      <c r="N227" s="49"/>
      <c r="O227" s="49"/>
      <c r="P227" s="49"/>
      <c r="Q227" s="49"/>
      <c r="R227" s="49"/>
      <c r="S227" s="49"/>
      <c r="T227" s="49"/>
      <c r="U227" s="49"/>
      <c r="V227" s="49"/>
      <c r="W227" s="49"/>
      <c r="X227" s="49"/>
      <c r="Y227" s="49"/>
      <c r="Z227" s="49"/>
      <c r="AA227" s="49"/>
      <c r="AB227" s="49"/>
      <c r="AC227" s="49"/>
      <c r="AD227" s="49"/>
      <c r="AE227" s="49"/>
      <c r="AF227" s="49"/>
      <c r="AG227" s="49"/>
      <c r="AH227" s="49"/>
      <c r="AI227" s="49"/>
      <c r="AJ227" s="49"/>
      <c r="AK227" s="49"/>
      <c r="AL227" s="49"/>
      <c r="AM227" s="49"/>
      <c r="AN227" s="49"/>
      <c r="AO227" s="49"/>
      <c r="AP227" s="49"/>
      <c r="AQ227" s="49"/>
      <c r="AR227" s="49"/>
      <c r="AS227" s="49"/>
      <c r="AT227" s="49"/>
      <c r="AU227" s="49"/>
      <c r="AV227" s="49"/>
      <c r="AW227" s="49"/>
      <c r="AX227" s="49"/>
    </row>
    <row r="228">
      <c r="A228" s="49"/>
      <c r="B228" s="49"/>
      <c r="C228" s="50"/>
      <c r="D228" s="49"/>
      <c r="E228" s="49"/>
      <c r="F228" s="49"/>
      <c r="G228" s="49"/>
      <c r="H228" s="49"/>
      <c r="I228" s="49"/>
      <c r="J228" s="49"/>
      <c r="K228" s="49"/>
      <c r="L228" s="49"/>
      <c r="M228" s="49"/>
      <c r="N228" s="49"/>
      <c r="O228" s="49"/>
      <c r="P228" s="49"/>
      <c r="Q228" s="49"/>
      <c r="R228" s="49"/>
      <c r="S228" s="49"/>
      <c r="T228" s="49"/>
      <c r="U228" s="49"/>
      <c r="V228" s="49"/>
      <c r="W228" s="49"/>
      <c r="X228" s="49"/>
      <c r="Y228" s="49"/>
      <c r="Z228" s="49"/>
      <c r="AA228" s="49"/>
      <c r="AB228" s="49"/>
      <c r="AC228" s="49"/>
      <c r="AD228" s="49"/>
      <c r="AE228" s="49"/>
      <c r="AF228" s="49"/>
      <c r="AG228" s="49"/>
      <c r="AH228" s="49"/>
      <c r="AI228" s="49"/>
      <c r="AJ228" s="49"/>
      <c r="AK228" s="49"/>
      <c r="AL228" s="49"/>
      <c r="AM228" s="49"/>
      <c r="AN228" s="49"/>
      <c r="AO228" s="49"/>
      <c r="AP228" s="49"/>
      <c r="AQ228" s="49"/>
      <c r="AR228" s="49"/>
      <c r="AS228" s="49"/>
      <c r="AT228" s="49"/>
      <c r="AU228" s="49"/>
      <c r="AV228" s="49"/>
      <c r="AW228" s="49"/>
      <c r="AX228" s="49"/>
    </row>
    <row r="229">
      <c r="A229" s="49"/>
      <c r="B229" s="49"/>
      <c r="C229" s="50"/>
      <c r="D229" s="49"/>
      <c r="E229" s="49"/>
      <c r="F229" s="49"/>
      <c r="G229" s="49"/>
      <c r="H229" s="49"/>
      <c r="I229" s="49"/>
      <c r="J229" s="49"/>
      <c r="K229" s="49"/>
      <c r="L229" s="49"/>
      <c r="M229" s="49"/>
      <c r="N229" s="49"/>
      <c r="O229" s="49"/>
      <c r="P229" s="49"/>
      <c r="Q229" s="49"/>
      <c r="R229" s="49"/>
      <c r="S229" s="49"/>
      <c r="T229" s="49"/>
      <c r="U229" s="49"/>
      <c r="V229" s="49"/>
      <c r="W229" s="49"/>
      <c r="X229" s="49"/>
      <c r="Y229" s="49"/>
      <c r="Z229" s="49"/>
      <c r="AA229" s="49"/>
      <c r="AB229" s="49"/>
      <c r="AC229" s="49"/>
      <c r="AD229" s="49"/>
      <c r="AE229" s="49"/>
      <c r="AF229" s="49"/>
      <c r="AG229" s="49"/>
      <c r="AH229" s="49"/>
      <c r="AI229" s="49"/>
      <c r="AJ229" s="49"/>
      <c r="AK229" s="49"/>
      <c r="AL229" s="49"/>
      <c r="AM229" s="49"/>
      <c r="AN229" s="49"/>
      <c r="AO229" s="49"/>
      <c r="AP229" s="49"/>
      <c r="AQ229" s="49"/>
      <c r="AR229" s="49"/>
      <c r="AS229" s="49"/>
      <c r="AT229" s="49"/>
      <c r="AU229" s="49"/>
      <c r="AV229" s="49"/>
      <c r="AW229" s="49"/>
      <c r="AX229" s="49"/>
    </row>
    <row r="230">
      <c r="A230" s="49"/>
      <c r="B230" s="49"/>
      <c r="C230" s="50"/>
      <c r="D230" s="49"/>
      <c r="E230" s="49"/>
      <c r="F230" s="49"/>
      <c r="G230" s="49"/>
      <c r="H230" s="49"/>
      <c r="I230" s="49"/>
      <c r="J230" s="49"/>
      <c r="K230" s="49"/>
      <c r="L230" s="49"/>
      <c r="M230" s="49"/>
      <c r="N230" s="49"/>
      <c r="O230" s="49"/>
      <c r="P230" s="49"/>
      <c r="Q230" s="49"/>
      <c r="R230" s="49"/>
      <c r="S230" s="49"/>
      <c r="T230" s="49"/>
      <c r="U230" s="49"/>
      <c r="V230" s="49"/>
      <c r="W230" s="49"/>
      <c r="X230" s="49"/>
      <c r="Y230" s="49"/>
      <c r="Z230" s="49"/>
      <c r="AA230" s="49"/>
      <c r="AB230" s="49"/>
      <c r="AC230" s="49"/>
      <c r="AD230" s="49"/>
      <c r="AE230" s="49"/>
      <c r="AF230" s="49"/>
      <c r="AG230" s="49"/>
      <c r="AH230" s="49"/>
      <c r="AI230" s="49"/>
      <c r="AJ230" s="49"/>
      <c r="AK230" s="49"/>
      <c r="AL230" s="49"/>
      <c r="AM230" s="49"/>
      <c r="AN230" s="49"/>
      <c r="AO230" s="49"/>
      <c r="AP230" s="49"/>
      <c r="AQ230" s="49"/>
      <c r="AR230" s="49"/>
      <c r="AS230" s="49"/>
      <c r="AT230" s="49"/>
      <c r="AU230" s="49"/>
      <c r="AV230" s="49"/>
      <c r="AW230" s="49"/>
      <c r="AX230" s="49"/>
    </row>
    <row r="231">
      <c r="A231" s="49"/>
      <c r="B231" s="49"/>
      <c r="C231" s="50"/>
      <c r="D231" s="49"/>
      <c r="E231" s="49"/>
      <c r="F231" s="49"/>
      <c r="G231" s="49"/>
      <c r="H231" s="49"/>
      <c r="I231" s="49"/>
      <c r="J231" s="49"/>
      <c r="K231" s="49"/>
      <c r="L231" s="49"/>
      <c r="M231" s="49"/>
      <c r="N231" s="49"/>
      <c r="O231" s="49"/>
      <c r="P231" s="49"/>
      <c r="Q231" s="49"/>
      <c r="R231" s="49"/>
      <c r="S231" s="49"/>
      <c r="T231" s="49"/>
      <c r="U231" s="49"/>
      <c r="V231" s="49"/>
      <c r="W231" s="49"/>
      <c r="X231" s="49"/>
      <c r="Y231" s="49"/>
      <c r="Z231" s="49"/>
      <c r="AA231" s="49"/>
      <c r="AB231" s="49"/>
      <c r="AC231" s="49"/>
      <c r="AD231" s="49"/>
      <c r="AE231" s="49"/>
      <c r="AF231" s="49"/>
      <c r="AG231" s="49"/>
      <c r="AH231" s="49"/>
      <c r="AI231" s="49"/>
      <c r="AJ231" s="49"/>
      <c r="AK231" s="49"/>
      <c r="AL231" s="49"/>
      <c r="AM231" s="49"/>
      <c r="AN231" s="49"/>
      <c r="AO231" s="49"/>
      <c r="AP231" s="49"/>
      <c r="AQ231" s="49"/>
      <c r="AR231" s="49"/>
      <c r="AS231" s="49"/>
      <c r="AT231" s="49"/>
      <c r="AU231" s="49"/>
      <c r="AV231" s="49"/>
      <c r="AW231" s="49"/>
      <c r="AX231" s="49"/>
    </row>
    <row r="232">
      <c r="A232" s="49"/>
      <c r="B232" s="49"/>
      <c r="C232" s="50"/>
      <c r="D232" s="49"/>
      <c r="E232" s="49"/>
      <c r="F232" s="49"/>
      <c r="G232" s="49"/>
      <c r="H232" s="49"/>
      <c r="I232" s="49"/>
      <c r="J232" s="49"/>
      <c r="K232" s="49"/>
      <c r="L232" s="49"/>
      <c r="M232" s="49"/>
      <c r="N232" s="49"/>
      <c r="O232" s="49"/>
      <c r="P232" s="49"/>
      <c r="Q232" s="49"/>
      <c r="R232" s="49"/>
      <c r="S232" s="49"/>
      <c r="T232" s="49"/>
      <c r="U232" s="49"/>
      <c r="V232" s="49"/>
      <c r="W232" s="49"/>
      <c r="X232" s="49"/>
      <c r="Y232" s="49"/>
      <c r="Z232" s="49"/>
      <c r="AA232" s="49"/>
      <c r="AB232" s="49"/>
      <c r="AC232" s="49"/>
      <c r="AD232" s="49"/>
      <c r="AE232" s="49"/>
      <c r="AF232" s="49"/>
      <c r="AG232" s="49"/>
      <c r="AH232" s="49"/>
      <c r="AI232" s="49"/>
      <c r="AJ232" s="49"/>
      <c r="AK232" s="49"/>
      <c r="AL232" s="49"/>
      <c r="AM232" s="49"/>
      <c r="AN232" s="49"/>
      <c r="AO232" s="49"/>
      <c r="AP232" s="49"/>
      <c r="AQ232" s="49"/>
      <c r="AR232" s="49"/>
      <c r="AS232" s="49"/>
      <c r="AT232" s="49"/>
      <c r="AU232" s="49"/>
      <c r="AV232" s="49"/>
      <c r="AW232" s="49"/>
      <c r="AX232" s="49"/>
    </row>
    <row r="233">
      <c r="A233" s="49"/>
      <c r="B233" s="49"/>
      <c r="C233" s="50"/>
      <c r="D233" s="49"/>
      <c r="E233" s="49"/>
      <c r="F233" s="49"/>
      <c r="G233" s="49"/>
      <c r="H233" s="49"/>
      <c r="I233" s="49"/>
      <c r="J233" s="49"/>
      <c r="K233" s="49"/>
      <c r="L233" s="49"/>
      <c r="M233" s="49"/>
      <c r="N233" s="49"/>
      <c r="O233" s="49"/>
      <c r="P233" s="49"/>
      <c r="Q233" s="49"/>
      <c r="R233" s="49"/>
      <c r="S233" s="49"/>
      <c r="T233" s="49"/>
      <c r="U233" s="49"/>
      <c r="V233" s="49"/>
      <c r="W233" s="49"/>
      <c r="X233" s="49"/>
      <c r="Y233" s="49"/>
      <c r="Z233" s="49"/>
      <c r="AA233" s="49"/>
      <c r="AB233" s="49"/>
      <c r="AC233" s="49"/>
      <c r="AD233" s="49"/>
      <c r="AE233" s="49"/>
      <c r="AF233" s="49"/>
      <c r="AG233" s="49"/>
      <c r="AH233" s="49"/>
      <c r="AI233" s="49"/>
      <c r="AJ233" s="49"/>
      <c r="AK233" s="49"/>
      <c r="AL233" s="49"/>
      <c r="AM233" s="49"/>
      <c r="AN233" s="49"/>
      <c r="AO233" s="49"/>
      <c r="AP233" s="49"/>
      <c r="AQ233" s="49"/>
      <c r="AR233" s="49"/>
      <c r="AS233" s="49"/>
      <c r="AT233" s="49"/>
      <c r="AU233" s="49"/>
      <c r="AV233" s="49"/>
      <c r="AW233" s="49"/>
      <c r="AX233" s="49"/>
    </row>
    <row r="234">
      <c r="A234" s="49"/>
      <c r="B234" s="49"/>
      <c r="C234" s="50"/>
      <c r="D234" s="49"/>
      <c r="E234" s="49"/>
      <c r="F234" s="49"/>
      <c r="G234" s="49"/>
      <c r="H234" s="49"/>
      <c r="I234" s="49"/>
      <c r="J234" s="49"/>
      <c r="K234" s="49"/>
      <c r="L234" s="49"/>
      <c r="M234" s="49"/>
      <c r="N234" s="49"/>
      <c r="O234" s="49"/>
      <c r="P234" s="49"/>
      <c r="Q234" s="49"/>
      <c r="R234" s="49"/>
      <c r="S234" s="49"/>
      <c r="T234" s="49"/>
      <c r="U234" s="49"/>
      <c r="V234" s="49"/>
      <c r="W234" s="49"/>
      <c r="X234" s="49"/>
      <c r="Y234" s="49"/>
      <c r="Z234" s="49"/>
      <c r="AA234" s="49"/>
      <c r="AB234" s="49"/>
      <c r="AC234" s="49"/>
      <c r="AD234" s="49"/>
      <c r="AE234" s="49"/>
      <c r="AF234" s="49"/>
      <c r="AG234" s="49"/>
      <c r="AH234" s="49"/>
      <c r="AI234" s="49"/>
      <c r="AJ234" s="49"/>
      <c r="AK234" s="49"/>
      <c r="AL234" s="49"/>
      <c r="AM234" s="49"/>
      <c r="AN234" s="49"/>
      <c r="AO234" s="49"/>
      <c r="AP234" s="49"/>
      <c r="AQ234" s="49"/>
      <c r="AR234" s="49"/>
      <c r="AS234" s="49"/>
      <c r="AT234" s="49"/>
      <c r="AU234" s="49"/>
      <c r="AV234" s="49"/>
      <c r="AW234" s="49"/>
      <c r="AX234" s="49"/>
    </row>
    <row r="235">
      <c r="A235" s="49"/>
      <c r="B235" s="49"/>
      <c r="C235" s="50"/>
      <c r="D235" s="49"/>
      <c r="E235" s="49"/>
      <c r="F235" s="49"/>
      <c r="G235" s="49"/>
      <c r="H235" s="49"/>
      <c r="I235" s="49"/>
      <c r="J235" s="49"/>
      <c r="K235" s="49"/>
      <c r="L235" s="49"/>
      <c r="M235" s="49"/>
      <c r="N235" s="49"/>
      <c r="O235" s="49"/>
      <c r="P235" s="49"/>
      <c r="Q235" s="49"/>
      <c r="R235" s="49"/>
      <c r="S235" s="49"/>
      <c r="T235" s="49"/>
      <c r="U235" s="49"/>
      <c r="V235" s="49"/>
      <c r="W235" s="49"/>
      <c r="X235" s="49"/>
      <c r="Y235" s="49"/>
      <c r="Z235" s="49"/>
      <c r="AA235" s="49"/>
      <c r="AB235" s="49"/>
      <c r="AC235" s="49"/>
      <c r="AD235" s="49"/>
      <c r="AE235" s="49"/>
      <c r="AF235" s="49"/>
      <c r="AG235" s="49"/>
      <c r="AH235" s="49"/>
      <c r="AI235" s="49"/>
      <c r="AJ235" s="49"/>
      <c r="AK235" s="49"/>
      <c r="AL235" s="49"/>
      <c r="AM235" s="49"/>
      <c r="AN235" s="49"/>
      <c r="AO235" s="49"/>
      <c r="AP235" s="49"/>
      <c r="AQ235" s="49"/>
      <c r="AR235" s="49"/>
      <c r="AS235" s="49"/>
      <c r="AT235" s="49"/>
      <c r="AU235" s="49"/>
      <c r="AV235" s="49"/>
      <c r="AW235" s="49"/>
      <c r="AX235" s="49"/>
    </row>
    <row r="236">
      <c r="A236" s="49"/>
      <c r="B236" s="49"/>
      <c r="C236" s="50"/>
      <c r="D236" s="49"/>
      <c r="E236" s="49"/>
      <c r="F236" s="49"/>
      <c r="G236" s="49"/>
      <c r="H236" s="49"/>
      <c r="I236" s="49"/>
      <c r="J236" s="49"/>
      <c r="K236" s="49"/>
      <c r="L236" s="49"/>
      <c r="M236" s="49"/>
      <c r="N236" s="49"/>
      <c r="O236" s="49"/>
      <c r="P236" s="49"/>
      <c r="Q236" s="49"/>
      <c r="R236" s="49"/>
      <c r="S236" s="49"/>
      <c r="T236" s="49"/>
      <c r="U236" s="49"/>
      <c r="V236" s="49"/>
      <c r="W236" s="49"/>
      <c r="X236" s="49"/>
      <c r="Y236" s="49"/>
      <c r="Z236" s="49"/>
      <c r="AA236" s="49"/>
      <c r="AB236" s="49"/>
      <c r="AC236" s="49"/>
      <c r="AD236" s="49"/>
      <c r="AE236" s="49"/>
      <c r="AF236" s="49"/>
      <c r="AG236" s="49"/>
      <c r="AH236" s="49"/>
      <c r="AI236" s="49"/>
      <c r="AJ236" s="49"/>
      <c r="AK236" s="49"/>
      <c r="AL236" s="49"/>
      <c r="AM236" s="49"/>
      <c r="AN236" s="49"/>
      <c r="AO236" s="49"/>
      <c r="AP236" s="49"/>
      <c r="AQ236" s="49"/>
      <c r="AR236" s="49"/>
      <c r="AS236" s="49"/>
      <c r="AT236" s="49"/>
      <c r="AU236" s="49"/>
      <c r="AV236" s="49"/>
      <c r="AW236" s="49"/>
      <c r="AX236" s="49"/>
    </row>
    <row r="237">
      <c r="A237" s="49"/>
      <c r="B237" s="49"/>
      <c r="C237" s="50"/>
      <c r="D237" s="49"/>
      <c r="E237" s="49"/>
      <c r="F237" s="49"/>
      <c r="G237" s="49"/>
      <c r="H237" s="49"/>
      <c r="I237" s="49"/>
      <c r="J237" s="49"/>
      <c r="K237" s="49"/>
      <c r="L237" s="49"/>
      <c r="M237" s="49"/>
      <c r="N237" s="49"/>
      <c r="O237" s="49"/>
      <c r="P237" s="49"/>
      <c r="Q237" s="49"/>
      <c r="R237" s="49"/>
      <c r="S237" s="49"/>
      <c r="T237" s="49"/>
      <c r="U237" s="49"/>
      <c r="V237" s="49"/>
      <c r="W237" s="49"/>
      <c r="X237" s="49"/>
      <c r="Y237" s="49"/>
      <c r="Z237" s="49"/>
      <c r="AA237" s="49"/>
      <c r="AB237" s="49"/>
      <c r="AC237" s="49"/>
      <c r="AD237" s="49"/>
      <c r="AE237" s="49"/>
      <c r="AF237" s="49"/>
      <c r="AG237" s="49"/>
      <c r="AH237" s="49"/>
      <c r="AI237" s="49"/>
      <c r="AJ237" s="49"/>
      <c r="AK237" s="49"/>
      <c r="AL237" s="49"/>
      <c r="AM237" s="49"/>
      <c r="AN237" s="49"/>
      <c r="AO237" s="49"/>
      <c r="AP237" s="49"/>
      <c r="AQ237" s="49"/>
      <c r="AR237" s="49"/>
      <c r="AS237" s="49"/>
      <c r="AT237" s="49"/>
      <c r="AU237" s="49"/>
      <c r="AV237" s="49"/>
      <c r="AW237" s="49"/>
      <c r="AX237" s="49"/>
    </row>
    <row r="238">
      <c r="A238" s="49"/>
      <c r="B238" s="49"/>
      <c r="C238" s="50"/>
      <c r="D238" s="49"/>
      <c r="E238" s="49"/>
      <c r="F238" s="49"/>
      <c r="G238" s="49"/>
      <c r="H238" s="49"/>
      <c r="I238" s="49"/>
      <c r="J238" s="49"/>
      <c r="K238" s="49"/>
      <c r="L238" s="49"/>
      <c r="M238" s="49"/>
      <c r="N238" s="49"/>
      <c r="O238" s="49"/>
      <c r="P238" s="49"/>
      <c r="Q238" s="49"/>
      <c r="R238" s="49"/>
      <c r="S238" s="49"/>
      <c r="T238" s="49"/>
      <c r="U238" s="49"/>
      <c r="V238" s="49"/>
      <c r="W238" s="49"/>
      <c r="X238" s="49"/>
      <c r="Y238" s="49"/>
      <c r="Z238" s="49"/>
      <c r="AA238" s="49"/>
      <c r="AB238" s="49"/>
      <c r="AC238" s="49"/>
      <c r="AD238" s="49"/>
      <c r="AE238" s="49"/>
      <c r="AF238" s="49"/>
      <c r="AG238" s="49"/>
      <c r="AH238" s="49"/>
      <c r="AI238" s="49"/>
      <c r="AJ238" s="49"/>
      <c r="AK238" s="49"/>
      <c r="AL238" s="49"/>
      <c r="AM238" s="49"/>
      <c r="AN238" s="49"/>
      <c r="AO238" s="49"/>
      <c r="AP238" s="49"/>
      <c r="AQ238" s="49"/>
      <c r="AR238" s="49"/>
      <c r="AS238" s="49"/>
      <c r="AT238" s="49"/>
      <c r="AU238" s="49"/>
      <c r="AV238" s="49"/>
      <c r="AW238" s="49"/>
      <c r="AX238" s="49"/>
    </row>
    <row r="239">
      <c r="A239" s="49"/>
      <c r="B239" s="49"/>
      <c r="C239" s="50"/>
      <c r="D239" s="49"/>
      <c r="E239" s="49"/>
      <c r="F239" s="49"/>
      <c r="G239" s="49"/>
      <c r="H239" s="49"/>
      <c r="I239" s="49"/>
      <c r="J239" s="49"/>
      <c r="K239" s="49"/>
      <c r="L239" s="49"/>
      <c r="M239" s="49"/>
      <c r="N239" s="49"/>
      <c r="O239" s="49"/>
      <c r="P239" s="49"/>
      <c r="Q239" s="49"/>
      <c r="R239" s="49"/>
      <c r="S239" s="49"/>
      <c r="T239" s="49"/>
      <c r="U239" s="49"/>
      <c r="V239" s="49"/>
      <c r="W239" s="49"/>
      <c r="X239" s="49"/>
      <c r="Y239" s="49"/>
      <c r="Z239" s="49"/>
      <c r="AA239" s="49"/>
      <c r="AB239" s="49"/>
      <c r="AC239" s="49"/>
      <c r="AD239" s="49"/>
      <c r="AE239" s="49"/>
      <c r="AF239" s="49"/>
      <c r="AG239" s="49"/>
      <c r="AH239" s="49"/>
      <c r="AI239" s="49"/>
      <c r="AJ239" s="49"/>
      <c r="AK239" s="49"/>
      <c r="AL239" s="49"/>
      <c r="AM239" s="49"/>
      <c r="AN239" s="49"/>
      <c r="AO239" s="49"/>
      <c r="AP239" s="49"/>
      <c r="AQ239" s="49"/>
      <c r="AR239" s="49"/>
      <c r="AS239" s="49"/>
      <c r="AT239" s="49"/>
      <c r="AU239" s="49"/>
      <c r="AV239" s="49"/>
      <c r="AW239" s="49"/>
      <c r="AX239" s="49"/>
    </row>
    <row r="240">
      <c r="A240" s="49"/>
      <c r="B240" s="49"/>
      <c r="C240" s="50"/>
      <c r="D240" s="49"/>
      <c r="E240" s="49"/>
      <c r="F240" s="49"/>
      <c r="G240" s="49"/>
      <c r="H240" s="49"/>
      <c r="I240" s="49"/>
      <c r="J240" s="49"/>
      <c r="K240" s="49"/>
      <c r="L240" s="49"/>
      <c r="M240" s="49"/>
      <c r="N240" s="49"/>
      <c r="O240" s="49"/>
      <c r="P240" s="49"/>
      <c r="Q240" s="49"/>
      <c r="R240" s="49"/>
      <c r="S240" s="49"/>
      <c r="T240" s="49"/>
      <c r="U240" s="49"/>
      <c r="V240" s="49"/>
      <c r="W240" s="49"/>
      <c r="X240" s="49"/>
      <c r="Y240" s="49"/>
      <c r="Z240" s="49"/>
      <c r="AA240" s="49"/>
      <c r="AB240" s="49"/>
      <c r="AC240" s="49"/>
      <c r="AD240" s="49"/>
      <c r="AE240" s="49"/>
      <c r="AF240" s="49"/>
      <c r="AG240" s="49"/>
      <c r="AH240" s="49"/>
      <c r="AI240" s="49"/>
      <c r="AJ240" s="49"/>
      <c r="AK240" s="49"/>
      <c r="AL240" s="49"/>
      <c r="AM240" s="49"/>
      <c r="AN240" s="49"/>
      <c r="AO240" s="49"/>
      <c r="AP240" s="49"/>
      <c r="AQ240" s="49"/>
      <c r="AR240" s="49"/>
      <c r="AS240" s="49"/>
      <c r="AT240" s="49"/>
      <c r="AU240" s="49"/>
      <c r="AV240" s="49"/>
      <c r="AW240" s="49"/>
      <c r="AX240" s="49"/>
    </row>
    <row r="241">
      <c r="A241" s="49"/>
      <c r="B241" s="49"/>
      <c r="C241" s="50"/>
      <c r="D241" s="49"/>
      <c r="E241" s="49"/>
      <c r="F241" s="49"/>
      <c r="G241" s="49"/>
      <c r="H241" s="49"/>
      <c r="I241" s="49"/>
      <c r="J241" s="49"/>
      <c r="K241" s="49"/>
      <c r="L241" s="49"/>
      <c r="M241" s="49"/>
      <c r="N241" s="49"/>
      <c r="O241" s="49"/>
      <c r="P241" s="49"/>
      <c r="Q241" s="49"/>
      <c r="R241" s="49"/>
      <c r="S241" s="49"/>
      <c r="T241" s="49"/>
      <c r="U241" s="49"/>
      <c r="V241" s="49"/>
      <c r="W241" s="49"/>
      <c r="X241" s="49"/>
      <c r="Y241" s="49"/>
      <c r="Z241" s="49"/>
      <c r="AA241" s="49"/>
      <c r="AB241" s="49"/>
      <c r="AC241" s="49"/>
      <c r="AD241" s="49"/>
      <c r="AE241" s="49"/>
      <c r="AF241" s="49"/>
      <c r="AG241" s="49"/>
      <c r="AH241" s="49"/>
      <c r="AI241" s="49"/>
      <c r="AJ241" s="49"/>
      <c r="AK241" s="49"/>
      <c r="AL241" s="49"/>
      <c r="AM241" s="49"/>
      <c r="AN241" s="49"/>
      <c r="AO241" s="49"/>
      <c r="AP241" s="49"/>
      <c r="AQ241" s="49"/>
      <c r="AR241" s="49"/>
      <c r="AS241" s="49"/>
      <c r="AT241" s="49"/>
      <c r="AU241" s="49"/>
      <c r="AV241" s="49"/>
      <c r="AW241" s="49"/>
      <c r="AX241" s="49"/>
    </row>
    <row r="242">
      <c r="A242" s="49"/>
      <c r="B242" s="49"/>
      <c r="C242" s="50"/>
      <c r="D242" s="49"/>
      <c r="E242" s="49"/>
      <c r="F242" s="49"/>
      <c r="G242" s="49"/>
      <c r="H242" s="49"/>
      <c r="I242" s="49"/>
      <c r="J242" s="49"/>
      <c r="K242" s="49"/>
      <c r="L242" s="49"/>
      <c r="M242" s="49"/>
      <c r="N242" s="49"/>
      <c r="O242" s="49"/>
      <c r="P242" s="49"/>
      <c r="Q242" s="49"/>
      <c r="R242" s="49"/>
      <c r="S242" s="49"/>
      <c r="T242" s="49"/>
      <c r="U242" s="49"/>
      <c r="V242" s="49"/>
      <c r="W242" s="49"/>
      <c r="X242" s="49"/>
      <c r="Y242" s="49"/>
      <c r="Z242" s="49"/>
      <c r="AA242" s="49"/>
      <c r="AB242" s="49"/>
      <c r="AC242" s="49"/>
      <c r="AD242" s="49"/>
      <c r="AE242" s="49"/>
      <c r="AF242" s="49"/>
      <c r="AG242" s="49"/>
      <c r="AH242" s="49"/>
      <c r="AI242" s="49"/>
      <c r="AJ242" s="49"/>
      <c r="AK242" s="49"/>
      <c r="AL242" s="49"/>
      <c r="AM242" s="49"/>
      <c r="AN242" s="49"/>
      <c r="AO242" s="49"/>
      <c r="AP242" s="49"/>
      <c r="AQ242" s="49"/>
      <c r="AR242" s="49"/>
      <c r="AS242" s="49"/>
      <c r="AT242" s="49"/>
      <c r="AU242" s="49"/>
      <c r="AV242" s="49"/>
      <c r="AW242" s="49"/>
      <c r="AX242" s="49"/>
    </row>
    <row r="243">
      <c r="A243" s="49"/>
      <c r="B243" s="49"/>
      <c r="C243" s="50"/>
      <c r="D243" s="49"/>
      <c r="E243" s="49"/>
      <c r="F243" s="49"/>
      <c r="G243" s="49"/>
      <c r="H243" s="49"/>
      <c r="I243" s="49"/>
      <c r="J243" s="49"/>
      <c r="K243" s="49"/>
      <c r="L243" s="49"/>
      <c r="M243" s="49"/>
      <c r="N243" s="49"/>
      <c r="O243" s="49"/>
      <c r="P243" s="49"/>
      <c r="Q243" s="49"/>
      <c r="R243" s="49"/>
      <c r="S243" s="49"/>
      <c r="T243" s="49"/>
      <c r="U243" s="49"/>
      <c r="V243" s="49"/>
      <c r="W243" s="49"/>
      <c r="X243" s="49"/>
      <c r="Y243" s="49"/>
      <c r="Z243" s="49"/>
      <c r="AA243" s="49"/>
      <c r="AB243" s="49"/>
      <c r="AC243" s="49"/>
      <c r="AD243" s="49"/>
      <c r="AE243" s="49"/>
      <c r="AF243" s="49"/>
      <c r="AG243" s="49"/>
      <c r="AH243" s="49"/>
      <c r="AI243" s="49"/>
      <c r="AJ243" s="49"/>
      <c r="AK243" s="49"/>
      <c r="AL243" s="49"/>
      <c r="AM243" s="49"/>
      <c r="AN243" s="49"/>
      <c r="AO243" s="49"/>
      <c r="AP243" s="49"/>
      <c r="AQ243" s="49"/>
      <c r="AR243" s="49"/>
      <c r="AS243" s="49"/>
      <c r="AT243" s="49"/>
      <c r="AU243" s="49"/>
      <c r="AV243" s="49"/>
      <c r="AW243" s="49"/>
      <c r="AX243" s="49"/>
    </row>
    <row r="244">
      <c r="A244" s="49"/>
      <c r="B244" s="49"/>
      <c r="C244" s="50"/>
      <c r="D244" s="49"/>
      <c r="E244" s="49"/>
      <c r="F244" s="49"/>
      <c r="G244" s="49"/>
      <c r="H244" s="49"/>
      <c r="I244" s="49"/>
      <c r="J244" s="49"/>
      <c r="K244" s="49"/>
      <c r="L244" s="49"/>
      <c r="M244" s="49"/>
      <c r="N244" s="49"/>
      <c r="O244" s="49"/>
      <c r="P244" s="49"/>
      <c r="Q244" s="49"/>
      <c r="R244" s="49"/>
      <c r="S244" s="49"/>
      <c r="T244" s="49"/>
      <c r="U244" s="49"/>
      <c r="V244" s="49"/>
      <c r="W244" s="49"/>
      <c r="X244" s="49"/>
      <c r="Y244" s="49"/>
      <c r="Z244" s="49"/>
      <c r="AA244" s="49"/>
      <c r="AB244" s="49"/>
      <c r="AC244" s="49"/>
      <c r="AD244" s="49"/>
      <c r="AE244" s="49"/>
      <c r="AF244" s="49"/>
      <c r="AG244" s="49"/>
      <c r="AH244" s="49"/>
      <c r="AI244" s="49"/>
      <c r="AJ244" s="49"/>
      <c r="AK244" s="49"/>
      <c r="AL244" s="49"/>
      <c r="AM244" s="49"/>
      <c r="AN244" s="49"/>
      <c r="AO244" s="49"/>
      <c r="AP244" s="49"/>
      <c r="AQ244" s="49"/>
      <c r="AR244" s="49"/>
      <c r="AS244" s="49"/>
      <c r="AT244" s="49"/>
      <c r="AU244" s="49"/>
      <c r="AV244" s="49"/>
      <c r="AW244" s="49"/>
      <c r="AX244" s="49"/>
    </row>
    <row r="245">
      <c r="A245" s="49"/>
      <c r="B245" s="49"/>
      <c r="C245" s="50"/>
      <c r="D245" s="49"/>
      <c r="E245" s="49"/>
      <c r="F245" s="49"/>
      <c r="G245" s="49"/>
      <c r="H245" s="49"/>
      <c r="I245" s="49"/>
      <c r="J245" s="49"/>
      <c r="K245" s="49"/>
      <c r="L245" s="49"/>
      <c r="M245" s="49"/>
      <c r="N245" s="49"/>
      <c r="O245" s="49"/>
      <c r="P245" s="49"/>
      <c r="Q245" s="49"/>
      <c r="R245" s="49"/>
      <c r="S245" s="49"/>
      <c r="T245" s="49"/>
      <c r="U245" s="49"/>
      <c r="V245" s="49"/>
      <c r="W245" s="49"/>
      <c r="X245" s="49"/>
      <c r="Y245" s="49"/>
      <c r="Z245" s="49"/>
      <c r="AA245" s="49"/>
      <c r="AB245" s="49"/>
      <c r="AC245" s="49"/>
      <c r="AD245" s="49"/>
      <c r="AE245" s="49"/>
      <c r="AF245" s="49"/>
      <c r="AG245" s="49"/>
      <c r="AH245" s="49"/>
      <c r="AI245" s="49"/>
      <c r="AJ245" s="49"/>
      <c r="AK245" s="49"/>
      <c r="AL245" s="49"/>
      <c r="AM245" s="49"/>
      <c r="AN245" s="49"/>
      <c r="AO245" s="49"/>
      <c r="AP245" s="49"/>
      <c r="AQ245" s="49"/>
      <c r="AR245" s="49"/>
      <c r="AS245" s="49"/>
      <c r="AT245" s="49"/>
      <c r="AU245" s="49"/>
      <c r="AV245" s="49"/>
      <c r="AW245" s="49"/>
      <c r="AX245" s="49"/>
    </row>
    <row r="246">
      <c r="A246" s="49"/>
      <c r="B246" s="49"/>
      <c r="C246" s="50"/>
      <c r="D246" s="49"/>
      <c r="E246" s="49"/>
      <c r="F246" s="49"/>
      <c r="G246" s="49"/>
      <c r="H246" s="49"/>
      <c r="I246" s="49"/>
      <c r="J246" s="49"/>
      <c r="K246" s="49"/>
      <c r="L246" s="49"/>
      <c r="M246" s="49"/>
      <c r="N246" s="49"/>
      <c r="O246" s="49"/>
      <c r="P246" s="49"/>
      <c r="Q246" s="49"/>
      <c r="R246" s="49"/>
      <c r="S246" s="49"/>
      <c r="T246" s="49"/>
      <c r="U246" s="49"/>
      <c r="V246" s="49"/>
      <c r="W246" s="49"/>
      <c r="X246" s="49"/>
      <c r="Y246" s="49"/>
      <c r="Z246" s="49"/>
      <c r="AA246" s="49"/>
      <c r="AB246" s="49"/>
      <c r="AC246" s="49"/>
      <c r="AD246" s="49"/>
      <c r="AE246" s="49"/>
      <c r="AF246" s="49"/>
      <c r="AG246" s="49"/>
      <c r="AH246" s="49"/>
      <c r="AI246" s="49"/>
      <c r="AJ246" s="49"/>
      <c r="AK246" s="49"/>
      <c r="AL246" s="49"/>
      <c r="AM246" s="49"/>
      <c r="AN246" s="49"/>
      <c r="AO246" s="49"/>
      <c r="AP246" s="49"/>
      <c r="AQ246" s="49"/>
      <c r="AR246" s="49"/>
      <c r="AS246" s="49"/>
      <c r="AT246" s="49"/>
      <c r="AU246" s="49"/>
      <c r="AV246" s="49"/>
      <c r="AW246" s="49"/>
      <c r="AX246" s="49"/>
    </row>
    <row r="247">
      <c r="A247" s="49"/>
      <c r="B247" s="49"/>
      <c r="C247" s="50"/>
      <c r="D247" s="49"/>
      <c r="E247" s="49"/>
      <c r="F247" s="49"/>
      <c r="G247" s="49"/>
      <c r="H247" s="49"/>
      <c r="I247" s="49"/>
      <c r="J247" s="49"/>
      <c r="K247" s="49"/>
      <c r="L247" s="49"/>
      <c r="M247" s="49"/>
      <c r="N247" s="49"/>
      <c r="O247" s="49"/>
      <c r="P247" s="49"/>
      <c r="Q247" s="49"/>
      <c r="R247" s="49"/>
      <c r="S247" s="49"/>
      <c r="T247" s="49"/>
      <c r="U247" s="49"/>
      <c r="V247" s="49"/>
      <c r="W247" s="49"/>
      <c r="X247" s="49"/>
      <c r="Y247" s="49"/>
      <c r="Z247" s="49"/>
      <c r="AA247" s="49"/>
      <c r="AB247" s="49"/>
      <c r="AC247" s="49"/>
      <c r="AD247" s="49"/>
      <c r="AE247" s="49"/>
      <c r="AF247" s="49"/>
      <c r="AG247" s="49"/>
      <c r="AH247" s="49"/>
      <c r="AI247" s="49"/>
      <c r="AJ247" s="49"/>
      <c r="AK247" s="49"/>
      <c r="AL247" s="49"/>
      <c r="AM247" s="49"/>
      <c r="AN247" s="49"/>
      <c r="AO247" s="49"/>
      <c r="AP247" s="49"/>
      <c r="AQ247" s="49"/>
      <c r="AR247" s="49"/>
      <c r="AS247" s="49"/>
      <c r="AT247" s="49"/>
      <c r="AU247" s="49"/>
      <c r="AV247" s="49"/>
      <c r="AW247" s="49"/>
      <c r="AX247" s="49"/>
    </row>
    <row r="248">
      <c r="A248" s="49"/>
      <c r="B248" s="49"/>
      <c r="C248" s="50"/>
      <c r="D248" s="49"/>
      <c r="E248" s="49"/>
      <c r="F248" s="49"/>
      <c r="G248" s="49"/>
      <c r="H248" s="49"/>
      <c r="I248" s="49"/>
      <c r="J248" s="49"/>
      <c r="K248" s="49"/>
      <c r="L248" s="49"/>
      <c r="M248" s="49"/>
      <c r="N248" s="49"/>
      <c r="O248" s="49"/>
      <c r="P248" s="49"/>
      <c r="Q248" s="49"/>
      <c r="R248" s="49"/>
      <c r="S248" s="49"/>
      <c r="T248" s="49"/>
      <c r="U248" s="49"/>
      <c r="V248" s="49"/>
      <c r="W248" s="49"/>
      <c r="X248" s="49"/>
      <c r="Y248" s="49"/>
      <c r="Z248" s="49"/>
      <c r="AA248" s="49"/>
      <c r="AB248" s="49"/>
      <c r="AC248" s="49"/>
      <c r="AD248" s="49"/>
      <c r="AE248" s="49"/>
      <c r="AF248" s="49"/>
      <c r="AG248" s="49"/>
      <c r="AH248" s="49"/>
      <c r="AI248" s="49"/>
      <c r="AJ248" s="49"/>
      <c r="AK248" s="49"/>
      <c r="AL248" s="49"/>
      <c r="AM248" s="49"/>
      <c r="AN248" s="49"/>
      <c r="AO248" s="49"/>
      <c r="AP248" s="49"/>
      <c r="AQ248" s="49"/>
      <c r="AR248" s="49"/>
      <c r="AS248" s="49"/>
      <c r="AT248" s="49"/>
      <c r="AU248" s="49"/>
      <c r="AV248" s="49"/>
      <c r="AW248" s="49"/>
      <c r="AX248" s="49"/>
    </row>
    <row r="249">
      <c r="A249" s="49"/>
      <c r="B249" s="49"/>
      <c r="C249" s="50"/>
      <c r="D249" s="49"/>
      <c r="E249" s="49"/>
      <c r="F249" s="49"/>
      <c r="G249" s="49"/>
      <c r="H249" s="49"/>
      <c r="I249" s="49"/>
      <c r="J249" s="49"/>
      <c r="K249" s="49"/>
      <c r="L249" s="49"/>
      <c r="M249" s="49"/>
      <c r="N249" s="49"/>
      <c r="O249" s="49"/>
      <c r="P249" s="49"/>
      <c r="Q249" s="49"/>
      <c r="R249" s="49"/>
      <c r="S249" s="49"/>
      <c r="T249" s="49"/>
      <c r="U249" s="49"/>
      <c r="V249" s="49"/>
      <c r="W249" s="49"/>
      <c r="X249" s="49"/>
      <c r="Y249" s="49"/>
      <c r="Z249" s="49"/>
      <c r="AA249" s="49"/>
      <c r="AB249" s="49"/>
      <c r="AC249" s="49"/>
      <c r="AD249" s="49"/>
      <c r="AE249" s="49"/>
      <c r="AF249" s="49"/>
      <c r="AG249" s="49"/>
      <c r="AH249" s="49"/>
      <c r="AI249" s="49"/>
      <c r="AJ249" s="49"/>
      <c r="AK249" s="49"/>
      <c r="AL249" s="49"/>
      <c r="AM249" s="49"/>
      <c r="AN249" s="49"/>
      <c r="AO249" s="49"/>
      <c r="AP249" s="49"/>
      <c r="AQ249" s="49"/>
      <c r="AR249" s="49"/>
      <c r="AS249" s="49"/>
      <c r="AT249" s="49"/>
      <c r="AU249" s="49"/>
      <c r="AV249" s="49"/>
      <c r="AW249" s="49"/>
      <c r="AX249" s="49"/>
    </row>
    <row r="250">
      <c r="A250" s="49"/>
      <c r="B250" s="49"/>
      <c r="C250" s="50"/>
      <c r="D250" s="49"/>
      <c r="E250" s="49"/>
      <c r="F250" s="49"/>
      <c r="G250" s="49"/>
      <c r="H250" s="49"/>
      <c r="I250" s="49"/>
      <c r="J250" s="49"/>
      <c r="K250" s="49"/>
      <c r="L250" s="49"/>
      <c r="M250" s="49"/>
      <c r="N250" s="49"/>
      <c r="O250" s="49"/>
      <c r="P250" s="49"/>
      <c r="Q250" s="49"/>
      <c r="R250" s="49"/>
      <c r="S250" s="49"/>
      <c r="T250" s="49"/>
      <c r="U250" s="49"/>
      <c r="V250" s="49"/>
      <c r="W250" s="49"/>
      <c r="X250" s="49"/>
      <c r="Y250" s="49"/>
      <c r="Z250" s="49"/>
      <c r="AA250" s="49"/>
      <c r="AB250" s="49"/>
      <c r="AC250" s="49"/>
      <c r="AD250" s="49"/>
      <c r="AE250" s="49"/>
      <c r="AF250" s="49"/>
      <c r="AG250" s="49"/>
      <c r="AH250" s="49"/>
      <c r="AI250" s="49"/>
      <c r="AJ250" s="49"/>
      <c r="AK250" s="49"/>
      <c r="AL250" s="49"/>
      <c r="AM250" s="49"/>
      <c r="AN250" s="49"/>
      <c r="AO250" s="49"/>
      <c r="AP250" s="49"/>
      <c r="AQ250" s="49"/>
      <c r="AR250" s="49"/>
      <c r="AS250" s="49"/>
      <c r="AT250" s="49"/>
      <c r="AU250" s="49"/>
      <c r="AV250" s="49"/>
      <c r="AW250" s="49"/>
      <c r="AX250" s="49"/>
    </row>
    <row r="251">
      <c r="A251" s="49"/>
      <c r="B251" s="49"/>
      <c r="C251" s="50"/>
      <c r="D251" s="49"/>
      <c r="E251" s="49"/>
      <c r="F251" s="49"/>
      <c r="G251" s="49"/>
      <c r="H251" s="49"/>
      <c r="I251" s="49"/>
      <c r="J251" s="49"/>
      <c r="K251" s="49"/>
      <c r="L251" s="49"/>
      <c r="M251" s="49"/>
      <c r="N251" s="49"/>
      <c r="O251" s="49"/>
      <c r="P251" s="49"/>
      <c r="Q251" s="49"/>
      <c r="R251" s="49"/>
      <c r="S251" s="49"/>
      <c r="T251" s="49"/>
      <c r="U251" s="49"/>
      <c r="V251" s="49"/>
      <c r="W251" s="49"/>
      <c r="X251" s="49"/>
      <c r="Y251" s="49"/>
      <c r="Z251" s="49"/>
      <c r="AA251" s="49"/>
      <c r="AB251" s="49"/>
      <c r="AC251" s="49"/>
      <c r="AD251" s="49"/>
      <c r="AE251" s="49"/>
      <c r="AF251" s="49"/>
      <c r="AG251" s="49"/>
      <c r="AH251" s="49"/>
      <c r="AI251" s="49"/>
      <c r="AJ251" s="49"/>
      <c r="AK251" s="49"/>
      <c r="AL251" s="49"/>
      <c r="AM251" s="49"/>
      <c r="AN251" s="49"/>
      <c r="AO251" s="49"/>
      <c r="AP251" s="49"/>
      <c r="AQ251" s="49"/>
      <c r="AR251" s="49"/>
      <c r="AS251" s="49"/>
      <c r="AT251" s="49"/>
      <c r="AU251" s="49"/>
      <c r="AV251" s="49"/>
      <c r="AW251" s="49"/>
      <c r="AX251" s="49"/>
    </row>
    <row r="252">
      <c r="A252" s="49"/>
      <c r="B252" s="49"/>
      <c r="C252" s="50"/>
      <c r="D252" s="49"/>
      <c r="E252" s="49"/>
      <c r="F252" s="49"/>
      <c r="G252" s="49"/>
      <c r="H252" s="49"/>
      <c r="I252" s="49"/>
      <c r="J252" s="49"/>
      <c r="K252" s="49"/>
      <c r="L252" s="49"/>
      <c r="M252" s="49"/>
      <c r="N252" s="49"/>
      <c r="O252" s="49"/>
      <c r="P252" s="49"/>
      <c r="Q252" s="49"/>
      <c r="R252" s="49"/>
      <c r="S252" s="49"/>
      <c r="T252" s="49"/>
      <c r="U252" s="49"/>
      <c r="V252" s="49"/>
      <c r="W252" s="49"/>
      <c r="X252" s="49"/>
      <c r="Y252" s="49"/>
      <c r="Z252" s="49"/>
      <c r="AA252" s="49"/>
      <c r="AB252" s="49"/>
      <c r="AC252" s="49"/>
      <c r="AD252" s="49"/>
      <c r="AE252" s="49"/>
      <c r="AF252" s="49"/>
      <c r="AG252" s="49"/>
      <c r="AH252" s="49"/>
      <c r="AI252" s="49"/>
      <c r="AJ252" s="49"/>
      <c r="AK252" s="49"/>
      <c r="AL252" s="49"/>
      <c r="AM252" s="49"/>
      <c r="AN252" s="49"/>
      <c r="AO252" s="49"/>
      <c r="AP252" s="49"/>
      <c r="AQ252" s="49"/>
      <c r="AR252" s="49"/>
      <c r="AS252" s="49"/>
      <c r="AT252" s="49"/>
      <c r="AU252" s="49"/>
      <c r="AV252" s="49"/>
      <c r="AW252" s="49"/>
      <c r="AX252" s="49"/>
    </row>
    <row r="253">
      <c r="A253" s="49"/>
      <c r="B253" s="49"/>
      <c r="C253" s="50"/>
      <c r="D253" s="49"/>
      <c r="E253" s="49"/>
      <c r="F253" s="49"/>
      <c r="G253" s="49"/>
      <c r="H253" s="49"/>
      <c r="I253" s="49"/>
      <c r="J253" s="49"/>
      <c r="K253" s="49"/>
      <c r="L253" s="49"/>
      <c r="M253" s="49"/>
      <c r="N253" s="49"/>
      <c r="O253" s="49"/>
      <c r="P253" s="49"/>
      <c r="Q253" s="49"/>
      <c r="R253" s="49"/>
      <c r="S253" s="49"/>
      <c r="T253" s="49"/>
      <c r="U253" s="49"/>
      <c r="V253" s="49"/>
      <c r="W253" s="49"/>
      <c r="X253" s="49"/>
      <c r="Y253" s="49"/>
      <c r="Z253" s="49"/>
      <c r="AA253" s="49"/>
      <c r="AB253" s="49"/>
      <c r="AC253" s="49"/>
      <c r="AD253" s="49"/>
      <c r="AE253" s="49"/>
      <c r="AF253" s="49"/>
      <c r="AG253" s="49"/>
      <c r="AH253" s="49"/>
      <c r="AI253" s="49"/>
      <c r="AJ253" s="49"/>
      <c r="AK253" s="49"/>
      <c r="AL253" s="49"/>
      <c r="AM253" s="49"/>
      <c r="AN253" s="49"/>
      <c r="AO253" s="49"/>
      <c r="AP253" s="49"/>
      <c r="AQ253" s="49"/>
      <c r="AR253" s="49"/>
      <c r="AS253" s="49"/>
      <c r="AT253" s="49"/>
      <c r="AU253" s="49"/>
      <c r="AV253" s="49"/>
      <c r="AW253" s="49"/>
      <c r="AX253" s="49"/>
    </row>
    <row r="254">
      <c r="A254" s="49"/>
      <c r="B254" s="49"/>
      <c r="C254" s="50"/>
      <c r="D254" s="49"/>
      <c r="E254" s="49"/>
      <c r="F254" s="49"/>
      <c r="G254" s="49"/>
      <c r="H254" s="49"/>
      <c r="I254" s="49"/>
      <c r="J254" s="49"/>
      <c r="K254" s="49"/>
      <c r="L254" s="49"/>
      <c r="M254" s="49"/>
      <c r="N254" s="49"/>
      <c r="O254" s="49"/>
      <c r="P254" s="49"/>
      <c r="Q254" s="49"/>
      <c r="R254" s="49"/>
      <c r="S254" s="49"/>
      <c r="T254" s="49"/>
      <c r="U254" s="49"/>
      <c r="V254" s="49"/>
      <c r="W254" s="49"/>
      <c r="X254" s="49"/>
      <c r="Y254" s="49"/>
      <c r="Z254" s="49"/>
      <c r="AA254" s="49"/>
      <c r="AB254" s="49"/>
      <c r="AC254" s="49"/>
      <c r="AD254" s="49"/>
      <c r="AE254" s="49"/>
      <c r="AF254" s="49"/>
      <c r="AG254" s="49"/>
      <c r="AH254" s="49"/>
      <c r="AI254" s="49"/>
      <c r="AJ254" s="49"/>
      <c r="AK254" s="49"/>
      <c r="AL254" s="49"/>
      <c r="AM254" s="49"/>
      <c r="AN254" s="49"/>
      <c r="AO254" s="49"/>
      <c r="AP254" s="49"/>
      <c r="AQ254" s="49"/>
      <c r="AR254" s="49"/>
      <c r="AS254" s="49"/>
      <c r="AT254" s="49"/>
      <c r="AU254" s="49"/>
      <c r="AV254" s="49"/>
      <c r="AW254" s="49"/>
      <c r="AX254" s="49"/>
    </row>
    <row r="255">
      <c r="A255" s="49"/>
      <c r="B255" s="49"/>
      <c r="C255" s="50"/>
      <c r="D255" s="49"/>
      <c r="E255" s="49"/>
      <c r="F255" s="49"/>
      <c r="G255" s="49"/>
      <c r="H255" s="49"/>
      <c r="I255" s="49"/>
      <c r="J255" s="49"/>
      <c r="K255" s="49"/>
      <c r="L255" s="49"/>
      <c r="M255" s="49"/>
      <c r="N255" s="49"/>
      <c r="O255" s="49"/>
      <c r="P255" s="49"/>
      <c r="Q255" s="49"/>
      <c r="R255" s="49"/>
      <c r="S255" s="49"/>
      <c r="T255" s="49"/>
      <c r="U255" s="49"/>
      <c r="V255" s="49"/>
      <c r="W255" s="49"/>
      <c r="X255" s="49"/>
      <c r="Y255" s="49"/>
      <c r="Z255" s="49"/>
      <c r="AA255" s="49"/>
      <c r="AB255" s="49"/>
      <c r="AC255" s="49"/>
      <c r="AD255" s="49"/>
      <c r="AE255" s="49"/>
      <c r="AF255" s="49"/>
      <c r="AG255" s="49"/>
      <c r="AH255" s="49"/>
      <c r="AI255" s="49"/>
      <c r="AJ255" s="49"/>
      <c r="AK255" s="49"/>
      <c r="AL255" s="49"/>
      <c r="AM255" s="49"/>
      <c r="AN255" s="49"/>
      <c r="AO255" s="49"/>
      <c r="AP255" s="49"/>
      <c r="AQ255" s="49"/>
      <c r="AR255" s="49"/>
      <c r="AS255" s="49"/>
      <c r="AT255" s="49"/>
      <c r="AU255" s="49"/>
      <c r="AV255" s="49"/>
      <c r="AW255" s="49"/>
      <c r="AX255" s="49"/>
    </row>
    <row r="256">
      <c r="A256" s="49"/>
      <c r="B256" s="49"/>
      <c r="C256" s="50"/>
      <c r="D256" s="49"/>
      <c r="E256" s="49"/>
      <c r="F256" s="49"/>
      <c r="G256" s="49"/>
      <c r="H256" s="49"/>
      <c r="I256" s="49"/>
      <c r="J256" s="49"/>
      <c r="K256" s="49"/>
      <c r="L256" s="49"/>
      <c r="M256" s="49"/>
      <c r="N256" s="49"/>
      <c r="O256" s="49"/>
      <c r="P256" s="49"/>
      <c r="Q256" s="49"/>
      <c r="R256" s="49"/>
      <c r="S256" s="49"/>
      <c r="T256" s="49"/>
      <c r="U256" s="49"/>
      <c r="V256" s="49"/>
      <c r="W256" s="49"/>
      <c r="X256" s="49"/>
      <c r="Y256" s="49"/>
      <c r="Z256" s="49"/>
      <c r="AA256" s="49"/>
      <c r="AB256" s="49"/>
      <c r="AC256" s="49"/>
      <c r="AD256" s="49"/>
      <c r="AE256" s="49"/>
      <c r="AF256" s="49"/>
      <c r="AG256" s="49"/>
      <c r="AH256" s="49"/>
      <c r="AI256" s="49"/>
      <c r="AJ256" s="49"/>
      <c r="AK256" s="49"/>
      <c r="AL256" s="49"/>
      <c r="AM256" s="49"/>
      <c r="AN256" s="49"/>
      <c r="AO256" s="49"/>
      <c r="AP256" s="49"/>
      <c r="AQ256" s="49"/>
      <c r="AR256" s="49"/>
      <c r="AS256" s="49"/>
      <c r="AT256" s="49"/>
      <c r="AU256" s="49"/>
      <c r="AV256" s="49"/>
      <c r="AW256" s="49"/>
      <c r="AX256" s="49"/>
    </row>
    <row r="257">
      <c r="A257" s="49"/>
      <c r="B257" s="49"/>
      <c r="C257" s="50"/>
      <c r="D257" s="49"/>
      <c r="E257" s="49"/>
      <c r="F257" s="49"/>
      <c r="G257" s="49"/>
      <c r="H257" s="49"/>
      <c r="I257" s="49"/>
      <c r="J257" s="49"/>
      <c r="K257" s="49"/>
      <c r="L257" s="49"/>
      <c r="M257" s="49"/>
      <c r="N257" s="49"/>
      <c r="O257" s="49"/>
      <c r="P257" s="49"/>
      <c r="Q257" s="49"/>
      <c r="R257" s="49"/>
      <c r="S257" s="49"/>
      <c r="T257" s="49"/>
      <c r="U257" s="49"/>
      <c r="V257" s="49"/>
      <c r="W257" s="49"/>
      <c r="X257" s="49"/>
      <c r="Y257" s="49"/>
      <c r="Z257" s="49"/>
      <c r="AA257" s="49"/>
      <c r="AB257" s="49"/>
      <c r="AC257" s="49"/>
      <c r="AD257" s="49"/>
      <c r="AE257" s="49"/>
      <c r="AF257" s="49"/>
      <c r="AG257" s="49"/>
      <c r="AH257" s="49"/>
      <c r="AI257" s="49"/>
      <c r="AJ257" s="49"/>
      <c r="AK257" s="49"/>
      <c r="AL257" s="49"/>
      <c r="AM257" s="49"/>
      <c r="AN257" s="49"/>
      <c r="AO257" s="49"/>
      <c r="AP257" s="49"/>
      <c r="AQ257" s="49"/>
      <c r="AR257" s="49"/>
      <c r="AS257" s="49"/>
      <c r="AT257" s="49"/>
      <c r="AU257" s="49"/>
      <c r="AV257" s="49"/>
      <c r="AW257" s="49"/>
      <c r="AX257" s="49"/>
    </row>
    <row r="258">
      <c r="A258" s="49"/>
      <c r="B258" s="49"/>
      <c r="C258" s="50"/>
      <c r="D258" s="49"/>
      <c r="E258" s="49"/>
      <c r="F258" s="49"/>
      <c r="G258" s="49"/>
      <c r="H258" s="49"/>
      <c r="I258" s="49"/>
      <c r="J258" s="49"/>
      <c r="K258" s="49"/>
      <c r="L258" s="49"/>
      <c r="M258" s="49"/>
      <c r="N258" s="49"/>
      <c r="O258" s="49"/>
      <c r="P258" s="49"/>
      <c r="Q258" s="49"/>
      <c r="R258" s="49"/>
      <c r="S258" s="49"/>
      <c r="T258" s="49"/>
      <c r="U258" s="49"/>
      <c r="V258" s="49"/>
      <c r="W258" s="49"/>
      <c r="X258" s="49"/>
      <c r="Y258" s="49"/>
      <c r="Z258" s="49"/>
      <c r="AA258" s="49"/>
      <c r="AB258" s="49"/>
      <c r="AC258" s="49"/>
      <c r="AD258" s="49"/>
      <c r="AE258" s="49"/>
      <c r="AF258" s="49"/>
      <c r="AG258" s="49"/>
      <c r="AH258" s="49"/>
      <c r="AI258" s="49"/>
      <c r="AJ258" s="49"/>
      <c r="AK258" s="49"/>
      <c r="AL258" s="49"/>
      <c r="AM258" s="49"/>
      <c r="AN258" s="49"/>
      <c r="AO258" s="49"/>
      <c r="AP258" s="49"/>
      <c r="AQ258" s="49"/>
      <c r="AR258" s="49"/>
      <c r="AS258" s="49"/>
      <c r="AT258" s="49"/>
      <c r="AU258" s="49"/>
      <c r="AV258" s="49"/>
      <c r="AW258" s="49"/>
      <c r="AX258" s="49"/>
    </row>
    <row r="259">
      <c r="A259" s="49"/>
      <c r="B259" s="49"/>
      <c r="C259" s="50"/>
      <c r="D259" s="49"/>
      <c r="E259" s="49"/>
      <c r="F259" s="49"/>
      <c r="G259" s="49"/>
      <c r="H259" s="49"/>
      <c r="I259" s="49"/>
      <c r="J259" s="49"/>
      <c r="K259" s="49"/>
      <c r="L259" s="49"/>
      <c r="M259" s="49"/>
      <c r="N259" s="49"/>
      <c r="O259" s="49"/>
      <c r="P259" s="49"/>
      <c r="Q259" s="49"/>
      <c r="R259" s="49"/>
      <c r="S259" s="49"/>
      <c r="T259" s="49"/>
      <c r="U259" s="49"/>
      <c r="V259" s="49"/>
      <c r="W259" s="49"/>
      <c r="X259" s="49"/>
      <c r="Y259" s="49"/>
      <c r="Z259" s="49"/>
      <c r="AA259" s="49"/>
      <c r="AB259" s="49"/>
      <c r="AC259" s="49"/>
      <c r="AD259" s="49"/>
      <c r="AE259" s="49"/>
      <c r="AF259" s="49"/>
      <c r="AG259" s="49"/>
      <c r="AH259" s="49"/>
      <c r="AI259" s="49"/>
      <c r="AJ259" s="49"/>
      <c r="AK259" s="49"/>
      <c r="AL259" s="49"/>
      <c r="AM259" s="49"/>
      <c r="AN259" s="49"/>
      <c r="AO259" s="49"/>
      <c r="AP259" s="49"/>
      <c r="AQ259" s="49"/>
      <c r="AR259" s="49"/>
      <c r="AS259" s="49"/>
      <c r="AT259" s="49"/>
      <c r="AU259" s="49"/>
      <c r="AV259" s="49"/>
      <c r="AW259" s="49"/>
      <c r="AX259" s="49"/>
    </row>
    <row r="260">
      <c r="A260" s="49"/>
      <c r="B260" s="49"/>
      <c r="C260" s="50"/>
      <c r="D260" s="49"/>
      <c r="E260" s="49"/>
      <c r="F260" s="49"/>
      <c r="G260" s="49"/>
      <c r="H260" s="49"/>
      <c r="I260" s="49"/>
      <c r="J260" s="49"/>
      <c r="K260" s="49"/>
      <c r="L260" s="49"/>
      <c r="M260" s="49"/>
      <c r="N260" s="49"/>
      <c r="O260" s="49"/>
      <c r="P260" s="49"/>
      <c r="Q260" s="49"/>
      <c r="R260" s="49"/>
      <c r="S260" s="49"/>
      <c r="T260" s="49"/>
      <c r="U260" s="49"/>
      <c r="V260" s="49"/>
      <c r="W260" s="49"/>
      <c r="X260" s="49"/>
      <c r="Y260" s="49"/>
      <c r="Z260" s="49"/>
      <c r="AA260" s="49"/>
      <c r="AB260" s="49"/>
      <c r="AC260" s="49"/>
      <c r="AD260" s="49"/>
      <c r="AE260" s="49"/>
      <c r="AF260" s="49"/>
      <c r="AG260" s="49"/>
      <c r="AH260" s="49"/>
      <c r="AI260" s="49"/>
      <c r="AJ260" s="49"/>
      <c r="AK260" s="49"/>
      <c r="AL260" s="49"/>
      <c r="AM260" s="49"/>
      <c r="AN260" s="49"/>
      <c r="AO260" s="49"/>
      <c r="AP260" s="49"/>
      <c r="AQ260" s="49"/>
      <c r="AR260" s="49"/>
      <c r="AS260" s="49"/>
      <c r="AT260" s="49"/>
      <c r="AU260" s="49"/>
      <c r="AV260" s="49"/>
      <c r="AW260" s="49"/>
      <c r="AX260" s="49"/>
    </row>
    <row r="261">
      <c r="A261" s="49"/>
      <c r="B261" s="49"/>
      <c r="C261" s="50"/>
      <c r="D261" s="49"/>
      <c r="E261" s="49"/>
      <c r="F261" s="49"/>
      <c r="G261" s="49"/>
      <c r="H261" s="49"/>
      <c r="I261" s="49"/>
      <c r="J261" s="49"/>
      <c r="K261" s="49"/>
      <c r="L261" s="49"/>
      <c r="M261" s="49"/>
      <c r="N261" s="49"/>
      <c r="O261" s="49"/>
      <c r="P261" s="49"/>
      <c r="Q261" s="49"/>
      <c r="R261" s="49"/>
      <c r="S261" s="49"/>
      <c r="T261" s="49"/>
      <c r="U261" s="49"/>
      <c r="V261" s="49"/>
      <c r="W261" s="49"/>
      <c r="X261" s="49"/>
      <c r="Y261" s="49"/>
      <c r="Z261" s="49"/>
      <c r="AA261" s="49"/>
      <c r="AB261" s="49"/>
      <c r="AC261" s="49"/>
      <c r="AD261" s="49"/>
      <c r="AE261" s="49"/>
      <c r="AF261" s="49"/>
      <c r="AG261" s="49"/>
      <c r="AH261" s="49"/>
      <c r="AI261" s="49"/>
      <c r="AJ261" s="49"/>
      <c r="AK261" s="49"/>
      <c r="AL261" s="49"/>
      <c r="AM261" s="49"/>
      <c r="AN261" s="49"/>
      <c r="AO261" s="49"/>
      <c r="AP261" s="49"/>
      <c r="AQ261" s="49"/>
      <c r="AR261" s="49"/>
      <c r="AS261" s="49"/>
      <c r="AT261" s="49"/>
      <c r="AU261" s="49"/>
      <c r="AV261" s="49"/>
      <c r="AW261" s="49"/>
      <c r="AX261" s="49"/>
    </row>
    <row r="262">
      <c r="A262" s="49"/>
      <c r="B262" s="49"/>
      <c r="C262" s="50"/>
      <c r="D262" s="49"/>
      <c r="E262" s="49"/>
      <c r="F262" s="49"/>
      <c r="G262" s="49"/>
      <c r="H262" s="49"/>
      <c r="I262" s="49"/>
      <c r="J262" s="49"/>
      <c r="K262" s="49"/>
      <c r="L262" s="49"/>
      <c r="M262" s="49"/>
      <c r="N262" s="49"/>
      <c r="O262" s="49"/>
      <c r="P262" s="49"/>
      <c r="Q262" s="49"/>
      <c r="R262" s="49"/>
      <c r="S262" s="49"/>
      <c r="T262" s="49"/>
      <c r="U262" s="49"/>
      <c r="V262" s="49"/>
      <c r="W262" s="49"/>
      <c r="X262" s="49"/>
      <c r="Y262" s="49"/>
      <c r="Z262" s="49"/>
      <c r="AA262" s="49"/>
      <c r="AB262" s="49"/>
      <c r="AC262" s="49"/>
      <c r="AD262" s="49"/>
      <c r="AE262" s="49"/>
      <c r="AF262" s="49"/>
      <c r="AG262" s="49"/>
      <c r="AH262" s="49"/>
      <c r="AI262" s="49"/>
      <c r="AJ262" s="49"/>
      <c r="AK262" s="49"/>
      <c r="AL262" s="49"/>
      <c r="AM262" s="49"/>
      <c r="AN262" s="49"/>
      <c r="AO262" s="49"/>
      <c r="AP262" s="49"/>
      <c r="AQ262" s="49"/>
      <c r="AR262" s="49"/>
      <c r="AS262" s="49"/>
      <c r="AT262" s="49"/>
      <c r="AU262" s="49"/>
      <c r="AV262" s="49"/>
      <c r="AW262" s="49"/>
      <c r="AX262" s="49"/>
    </row>
    <row r="263">
      <c r="A263" s="49"/>
      <c r="B263" s="49"/>
      <c r="C263" s="50"/>
      <c r="D263" s="49"/>
      <c r="E263" s="49"/>
      <c r="F263" s="49"/>
      <c r="G263" s="49"/>
      <c r="H263" s="49"/>
      <c r="I263" s="49"/>
      <c r="J263" s="49"/>
      <c r="K263" s="49"/>
      <c r="L263" s="49"/>
      <c r="M263" s="49"/>
      <c r="N263" s="49"/>
      <c r="O263" s="49"/>
      <c r="P263" s="49"/>
      <c r="Q263" s="49"/>
      <c r="R263" s="49"/>
      <c r="S263" s="49"/>
      <c r="T263" s="49"/>
      <c r="U263" s="49"/>
      <c r="V263" s="49"/>
      <c r="W263" s="49"/>
      <c r="X263" s="49"/>
      <c r="Y263" s="49"/>
      <c r="Z263" s="49"/>
      <c r="AA263" s="49"/>
      <c r="AB263" s="49"/>
      <c r="AC263" s="49"/>
      <c r="AD263" s="49"/>
      <c r="AE263" s="49"/>
      <c r="AF263" s="49"/>
      <c r="AG263" s="49"/>
      <c r="AH263" s="49"/>
      <c r="AI263" s="49"/>
      <c r="AJ263" s="49"/>
      <c r="AK263" s="49"/>
      <c r="AL263" s="49"/>
      <c r="AM263" s="49"/>
      <c r="AN263" s="49"/>
      <c r="AO263" s="49"/>
      <c r="AP263" s="49"/>
      <c r="AQ263" s="49"/>
      <c r="AR263" s="49"/>
      <c r="AS263" s="49"/>
      <c r="AT263" s="49"/>
      <c r="AU263" s="49"/>
      <c r="AV263" s="49"/>
      <c r="AW263" s="49"/>
      <c r="AX263" s="49"/>
    </row>
    <row r="264">
      <c r="A264" s="49"/>
      <c r="B264" s="49"/>
      <c r="C264" s="50"/>
      <c r="D264" s="49"/>
      <c r="E264" s="49"/>
      <c r="F264" s="49"/>
      <c r="G264" s="49"/>
      <c r="H264" s="49"/>
      <c r="I264" s="49"/>
      <c r="J264" s="49"/>
      <c r="K264" s="49"/>
      <c r="L264" s="49"/>
      <c r="M264" s="49"/>
      <c r="N264" s="49"/>
      <c r="O264" s="49"/>
      <c r="P264" s="49"/>
      <c r="Q264" s="49"/>
      <c r="R264" s="49"/>
      <c r="S264" s="49"/>
      <c r="T264" s="49"/>
      <c r="U264" s="49"/>
      <c r="V264" s="49"/>
      <c r="W264" s="49"/>
      <c r="X264" s="49"/>
      <c r="Y264" s="49"/>
      <c r="Z264" s="49"/>
      <c r="AA264" s="49"/>
      <c r="AB264" s="49"/>
      <c r="AC264" s="49"/>
      <c r="AD264" s="49"/>
      <c r="AE264" s="49"/>
      <c r="AF264" s="49"/>
      <c r="AG264" s="49"/>
      <c r="AH264" s="49"/>
      <c r="AI264" s="49"/>
      <c r="AJ264" s="49"/>
      <c r="AK264" s="49"/>
      <c r="AL264" s="49"/>
      <c r="AM264" s="49"/>
      <c r="AN264" s="49"/>
      <c r="AO264" s="49"/>
      <c r="AP264" s="49"/>
      <c r="AQ264" s="49"/>
      <c r="AR264" s="49"/>
      <c r="AS264" s="49"/>
      <c r="AT264" s="49"/>
      <c r="AU264" s="49"/>
      <c r="AV264" s="49"/>
      <c r="AW264" s="49"/>
      <c r="AX264" s="49"/>
    </row>
    <row r="265">
      <c r="A265" s="49"/>
      <c r="B265" s="49"/>
      <c r="C265" s="50"/>
      <c r="D265" s="49"/>
      <c r="E265" s="49"/>
      <c r="F265" s="49"/>
      <c r="G265" s="49"/>
      <c r="H265" s="49"/>
      <c r="I265" s="49"/>
      <c r="J265" s="49"/>
      <c r="K265" s="49"/>
      <c r="L265" s="49"/>
      <c r="M265" s="49"/>
      <c r="N265" s="49"/>
      <c r="O265" s="49"/>
      <c r="P265" s="49"/>
      <c r="Q265" s="49"/>
      <c r="R265" s="49"/>
      <c r="S265" s="49"/>
      <c r="T265" s="49"/>
      <c r="U265" s="49"/>
      <c r="V265" s="49"/>
      <c r="W265" s="49"/>
      <c r="X265" s="49"/>
      <c r="Y265" s="49"/>
      <c r="Z265" s="49"/>
      <c r="AA265" s="49"/>
      <c r="AB265" s="49"/>
      <c r="AC265" s="49"/>
      <c r="AD265" s="49"/>
      <c r="AE265" s="49"/>
      <c r="AF265" s="49"/>
      <c r="AG265" s="49"/>
      <c r="AH265" s="49"/>
      <c r="AI265" s="49"/>
      <c r="AJ265" s="49"/>
      <c r="AK265" s="49"/>
      <c r="AL265" s="49"/>
      <c r="AM265" s="49"/>
      <c r="AN265" s="49"/>
      <c r="AO265" s="49"/>
      <c r="AP265" s="49"/>
      <c r="AQ265" s="49"/>
      <c r="AR265" s="49"/>
      <c r="AS265" s="49"/>
      <c r="AT265" s="49"/>
      <c r="AU265" s="49"/>
      <c r="AV265" s="49"/>
      <c r="AW265" s="49"/>
      <c r="AX265" s="49"/>
    </row>
    <row r="266">
      <c r="A266" s="49"/>
      <c r="B266" s="49"/>
      <c r="C266" s="50"/>
      <c r="D266" s="49"/>
      <c r="E266" s="49"/>
      <c r="F266" s="49"/>
      <c r="G266" s="49"/>
      <c r="H266" s="49"/>
      <c r="I266" s="49"/>
      <c r="J266" s="49"/>
      <c r="K266" s="49"/>
      <c r="L266" s="49"/>
      <c r="M266" s="49"/>
      <c r="N266" s="49"/>
      <c r="O266" s="49"/>
      <c r="P266" s="49"/>
      <c r="Q266" s="49"/>
      <c r="R266" s="49"/>
      <c r="S266" s="49"/>
      <c r="T266" s="49"/>
      <c r="U266" s="49"/>
      <c r="V266" s="49"/>
      <c r="W266" s="49"/>
      <c r="X266" s="49"/>
      <c r="Y266" s="49"/>
      <c r="Z266" s="49"/>
      <c r="AA266" s="49"/>
      <c r="AB266" s="49"/>
      <c r="AC266" s="49"/>
      <c r="AD266" s="49"/>
      <c r="AE266" s="49"/>
      <c r="AF266" s="49"/>
      <c r="AG266" s="49"/>
      <c r="AH266" s="49"/>
      <c r="AI266" s="49"/>
      <c r="AJ266" s="49"/>
      <c r="AK266" s="49"/>
      <c r="AL266" s="49"/>
      <c r="AM266" s="49"/>
      <c r="AN266" s="49"/>
      <c r="AO266" s="49"/>
      <c r="AP266" s="49"/>
      <c r="AQ266" s="49"/>
      <c r="AR266" s="49"/>
      <c r="AS266" s="49"/>
      <c r="AT266" s="49"/>
      <c r="AU266" s="49"/>
      <c r="AV266" s="49"/>
      <c r="AW266" s="49"/>
      <c r="AX266" s="49"/>
    </row>
    <row r="267">
      <c r="A267" s="49"/>
      <c r="B267" s="49"/>
      <c r="C267" s="50"/>
      <c r="D267" s="49"/>
      <c r="E267" s="49"/>
      <c r="F267" s="49"/>
      <c r="G267" s="49"/>
      <c r="H267" s="49"/>
      <c r="I267" s="49"/>
      <c r="J267" s="49"/>
      <c r="K267" s="49"/>
      <c r="L267" s="49"/>
      <c r="M267" s="49"/>
      <c r="N267" s="49"/>
      <c r="O267" s="49"/>
      <c r="P267" s="49"/>
      <c r="Q267" s="49"/>
      <c r="R267" s="49"/>
      <c r="S267" s="49"/>
      <c r="T267" s="49"/>
      <c r="U267" s="49"/>
      <c r="V267" s="49"/>
      <c r="W267" s="49"/>
      <c r="X267" s="49"/>
      <c r="Y267" s="49"/>
      <c r="Z267" s="49"/>
      <c r="AA267" s="49"/>
      <c r="AB267" s="49"/>
      <c r="AC267" s="49"/>
      <c r="AD267" s="49"/>
      <c r="AE267" s="49"/>
      <c r="AF267" s="49"/>
      <c r="AG267" s="49"/>
      <c r="AH267" s="49"/>
      <c r="AI267" s="49"/>
      <c r="AJ267" s="49"/>
      <c r="AK267" s="49"/>
      <c r="AL267" s="49"/>
      <c r="AM267" s="49"/>
      <c r="AN267" s="49"/>
      <c r="AO267" s="49"/>
      <c r="AP267" s="49"/>
      <c r="AQ267" s="49"/>
      <c r="AR267" s="49"/>
      <c r="AS267" s="49"/>
      <c r="AT267" s="49"/>
      <c r="AU267" s="49"/>
      <c r="AV267" s="49"/>
      <c r="AW267" s="49"/>
      <c r="AX267" s="49"/>
    </row>
    <row r="268">
      <c r="A268" s="49"/>
      <c r="B268" s="49"/>
      <c r="C268" s="50"/>
      <c r="D268" s="49"/>
      <c r="E268" s="49"/>
      <c r="F268" s="49"/>
      <c r="G268" s="49"/>
      <c r="H268" s="49"/>
      <c r="I268" s="49"/>
      <c r="J268" s="49"/>
      <c r="K268" s="49"/>
      <c r="L268" s="49"/>
      <c r="M268" s="49"/>
      <c r="N268" s="49"/>
      <c r="O268" s="49"/>
      <c r="P268" s="49"/>
      <c r="Q268" s="49"/>
      <c r="R268" s="49"/>
      <c r="S268" s="49"/>
      <c r="T268" s="49"/>
      <c r="U268" s="49"/>
      <c r="V268" s="49"/>
      <c r="W268" s="49"/>
      <c r="X268" s="49"/>
      <c r="Y268" s="49"/>
      <c r="Z268" s="49"/>
      <c r="AA268" s="49"/>
      <c r="AB268" s="49"/>
      <c r="AC268" s="49"/>
      <c r="AD268" s="49"/>
      <c r="AE268" s="49"/>
      <c r="AF268" s="49"/>
      <c r="AG268" s="49"/>
      <c r="AH268" s="49"/>
      <c r="AI268" s="49"/>
      <c r="AJ268" s="49"/>
      <c r="AK268" s="49"/>
      <c r="AL268" s="49"/>
      <c r="AM268" s="49"/>
      <c r="AN268" s="49"/>
      <c r="AO268" s="49"/>
      <c r="AP268" s="49"/>
      <c r="AQ268" s="49"/>
      <c r="AR268" s="49"/>
      <c r="AS268" s="49"/>
      <c r="AT268" s="49"/>
      <c r="AU268" s="49"/>
      <c r="AV268" s="49"/>
      <c r="AW268" s="49"/>
      <c r="AX268" s="49"/>
    </row>
    <row r="269">
      <c r="A269" s="49"/>
      <c r="B269" s="49"/>
      <c r="C269" s="50"/>
      <c r="D269" s="49"/>
      <c r="E269" s="49"/>
      <c r="F269" s="49"/>
      <c r="G269" s="49"/>
      <c r="H269" s="49"/>
      <c r="I269" s="49"/>
      <c r="J269" s="49"/>
      <c r="K269" s="49"/>
      <c r="L269" s="49"/>
      <c r="M269" s="49"/>
      <c r="N269" s="49"/>
      <c r="O269" s="49"/>
      <c r="P269" s="49"/>
      <c r="Q269" s="49"/>
      <c r="R269" s="49"/>
      <c r="S269" s="49"/>
      <c r="T269" s="49"/>
      <c r="U269" s="49"/>
      <c r="V269" s="49"/>
      <c r="W269" s="49"/>
      <c r="X269" s="49"/>
      <c r="Y269" s="49"/>
      <c r="Z269" s="49"/>
      <c r="AA269" s="49"/>
      <c r="AB269" s="49"/>
      <c r="AC269" s="49"/>
      <c r="AD269" s="49"/>
      <c r="AE269" s="49"/>
      <c r="AF269" s="49"/>
      <c r="AG269" s="49"/>
      <c r="AH269" s="49"/>
      <c r="AI269" s="49"/>
      <c r="AJ269" s="49"/>
      <c r="AK269" s="49"/>
      <c r="AL269" s="49"/>
      <c r="AM269" s="49"/>
      <c r="AN269" s="49"/>
      <c r="AO269" s="49"/>
      <c r="AP269" s="49"/>
      <c r="AQ269" s="49"/>
      <c r="AR269" s="49"/>
      <c r="AS269" s="49"/>
      <c r="AT269" s="49"/>
      <c r="AU269" s="49"/>
      <c r="AV269" s="49"/>
      <c r="AW269" s="49"/>
      <c r="AX269" s="49"/>
    </row>
    <row r="270">
      <c r="A270" s="49"/>
      <c r="B270" s="49"/>
      <c r="C270" s="50"/>
      <c r="D270" s="49"/>
      <c r="E270" s="49"/>
      <c r="F270" s="49"/>
      <c r="G270" s="49"/>
      <c r="H270" s="49"/>
      <c r="I270" s="49"/>
      <c r="J270" s="49"/>
      <c r="K270" s="49"/>
      <c r="L270" s="49"/>
      <c r="M270" s="49"/>
      <c r="N270" s="49"/>
      <c r="O270" s="49"/>
      <c r="P270" s="49"/>
      <c r="Q270" s="49"/>
      <c r="R270" s="49"/>
      <c r="S270" s="49"/>
      <c r="T270" s="49"/>
      <c r="U270" s="49"/>
      <c r="V270" s="49"/>
      <c r="W270" s="49"/>
      <c r="X270" s="49"/>
      <c r="Y270" s="49"/>
      <c r="Z270" s="49"/>
      <c r="AA270" s="49"/>
      <c r="AB270" s="49"/>
      <c r="AC270" s="49"/>
      <c r="AD270" s="49"/>
      <c r="AE270" s="49"/>
      <c r="AF270" s="49"/>
      <c r="AG270" s="49"/>
      <c r="AH270" s="49"/>
      <c r="AI270" s="49"/>
      <c r="AJ270" s="49"/>
      <c r="AK270" s="49"/>
      <c r="AL270" s="49"/>
      <c r="AM270" s="49"/>
      <c r="AN270" s="49"/>
      <c r="AO270" s="49"/>
      <c r="AP270" s="49"/>
      <c r="AQ270" s="49"/>
      <c r="AR270" s="49"/>
      <c r="AS270" s="49"/>
      <c r="AT270" s="49"/>
      <c r="AU270" s="49"/>
      <c r="AV270" s="49"/>
      <c r="AW270" s="49"/>
      <c r="AX270" s="49"/>
    </row>
    <row r="271">
      <c r="A271" s="49"/>
      <c r="B271" s="49"/>
      <c r="C271" s="50"/>
      <c r="D271" s="49"/>
      <c r="E271" s="49"/>
      <c r="F271" s="49"/>
      <c r="G271" s="49"/>
      <c r="H271" s="49"/>
      <c r="I271" s="49"/>
      <c r="J271" s="49"/>
      <c r="K271" s="49"/>
      <c r="L271" s="49"/>
      <c r="M271" s="49"/>
      <c r="N271" s="49"/>
      <c r="O271" s="49"/>
      <c r="P271" s="49"/>
      <c r="Q271" s="49"/>
      <c r="R271" s="49"/>
      <c r="S271" s="49"/>
      <c r="T271" s="49"/>
      <c r="U271" s="49"/>
      <c r="V271" s="49"/>
      <c r="W271" s="49"/>
      <c r="X271" s="49"/>
      <c r="Y271" s="49"/>
      <c r="Z271" s="49"/>
      <c r="AA271" s="49"/>
      <c r="AB271" s="49"/>
      <c r="AC271" s="49"/>
      <c r="AD271" s="49"/>
      <c r="AE271" s="49"/>
      <c r="AF271" s="49"/>
      <c r="AG271" s="49"/>
      <c r="AH271" s="49"/>
      <c r="AI271" s="49"/>
      <c r="AJ271" s="49"/>
      <c r="AK271" s="49"/>
      <c r="AL271" s="49"/>
      <c r="AM271" s="49"/>
      <c r="AN271" s="49"/>
      <c r="AO271" s="49"/>
      <c r="AP271" s="49"/>
      <c r="AQ271" s="49"/>
      <c r="AR271" s="49"/>
      <c r="AS271" s="49"/>
      <c r="AT271" s="49"/>
      <c r="AU271" s="49"/>
      <c r="AV271" s="49"/>
      <c r="AW271" s="49"/>
      <c r="AX271" s="49"/>
    </row>
    <row r="272">
      <c r="A272" s="49"/>
      <c r="B272" s="49"/>
      <c r="C272" s="50"/>
      <c r="D272" s="49"/>
      <c r="E272" s="49"/>
      <c r="F272" s="49"/>
      <c r="G272" s="49"/>
      <c r="H272" s="49"/>
      <c r="I272" s="49"/>
      <c r="J272" s="49"/>
      <c r="K272" s="49"/>
      <c r="L272" s="49"/>
      <c r="M272" s="49"/>
      <c r="N272" s="49"/>
      <c r="O272" s="49"/>
      <c r="P272" s="49"/>
      <c r="Q272" s="49"/>
      <c r="R272" s="49"/>
      <c r="S272" s="49"/>
      <c r="T272" s="49"/>
      <c r="U272" s="49"/>
      <c r="V272" s="49"/>
      <c r="W272" s="49"/>
      <c r="X272" s="49"/>
      <c r="Y272" s="49"/>
      <c r="Z272" s="49"/>
      <c r="AA272" s="49"/>
      <c r="AB272" s="49"/>
      <c r="AC272" s="49"/>
      <c r="AD272" s="49"/>
      <c r="AE272" s="49"/>
      <c r="AF272" s="49"/>
      <c r="AG272" s="49"/>
      <c r="AH272" s="49"/>
      <c r="AI272" s="49"/>
      <c r="AJ272" s="49"/>
      <c r="AK272" s="49"/>
      <c r="AL272" s="49"/>
      <c r="AM272" s="49"/>
      <c r="AN272" s="49"/>
      <c r="AO272" s="49"/>
      <c r="AP272" s="49"/>
      <c r="AQ272" s="49"/>
      <c r="AR272" s="49"/>
      <c r="AS272" s="49"/>
      <c r="AT272" s="49"/>
      <c r="AU272" s="49"/>
      <c r="AV272" s="49"/>
      <c r="AW272" s="49"/>
      <c r="AX272" s="49"/>
    </row>
    <row r="273">
      <c r="A273" s="49"/>
      <c r="B273" s="49"/>
      <c r="C273" s="50"/>
      <c r="D273" s="49"/>
      <c r="E273" s="49"/>
      <c r="F273" s="49"/>
      <c r="G273" s="49"/>
      <c r="H273" s="49"/>
      <c r="I273" s="49"/>
      <c r="J273" s="49"/>
      <c r="K273" s="49"/>
      <c r="L273" s="49"/>
      <c r="M273" s="49"/>
      <c r="N273" s="49"/>
      <c r="O273" s="49"/>
      <c r="P273" s="49"/>
      <c r="Q273" s="49"/>
      <c r="R273" s="49"/>
      <c r="S273" s="49"/>
      <c r="T273" s="49"/>
      <c r="U273" s="49"/>
      <c r="V273" s="49"/>
      <c r="W273" s="49"/>
      <c r="X273" s="49"/>
      <c r="Y273" s="49"/>
      <c r="Z273" s="49"/>
      <c r="AA273" s="49"/>
      <c r="AB273" s="49"/>
      <c r="AC273" s="49"/>
      <c r="AD273" s="49"/>
      <c r="AE273" s="49"/>
      <c r="AF273" s="49"/>
      <c r="AG273" s="49"/>
      <c r="AH273" s="49"/>
      <c r="AI273" s="49"/>
      <c r="AJ273" s="49"/>
      <c r="AK273" s="49"/>
      <c r="AL273" s="49"/>
      <c r="AM273" s="49"/>
      <c r="AN273" s="49"/>
      <c r="AO273" s="49"/>
      <c r="AP273" s="49"/>
      <c r="AQ273" s="49"/>
      <c r="AR273" s="49"/>
      <c r="AS273" s="49"/>
      <c r="AT273" s="49"/>
      <c r="AU273" s="49"/>
      <c r="AV273" s="49"/>
      <c r="AW273" s="49"/>
      <c r="AX273" s="49"/>
    </row>
    <row r="274">
      <c r="A274" s="49"/>
      <c r="B274" s="49"/>
      <c r="C274" s="50"/>
      <c r="D274" s="49"/>
      <c r="E274" s="49"/>
      <c r="F274" s="49"/>
      <c r="G274" s="49"/>
      <c r="H274" s="49"/>
      <c r="I274" s="49"/>
      <c r="J274" s="49"/>
      <c r="K274" s="49"/>
      <c r="L274" s="49"/>
      <c r="M274" s="49"/>
      <c r="N274" s="49"/>
      <c r="O274" s="49"/>
      <c r="P274" s="49"/>
      <c r="Q274" s="49"/>
      <c r="R274" s="49"/>
      <c r="S274" s="49"/>
      <c r="T274" s="49"/>
      <c r="U274" s="49"/>
      <c r="V274" s="49"/>
      <c r="W274" s="49"/>
      <c r="X274" s="49"/>
      <c r="Y274" s="49"/>
      <c r="Z274" s="49"/>
      <c r="AA274" s="49"/>
      <c r="AB274" s="49"/>
      <c r="AC274" s="49"/>
      <c r="AD274" s="49"/>
      <c r="AE274" s="49"/>
      <c r="AF274" s="49"/>
      <c r="AG274" s="49"/>
      <c r="AH274" s="49"/>
      <c r="AI274" s="49"/>
      <c r="AJ274" s="49"/>
      <c r="AK274" s="49"/>
      <c r="AL274" s="49"/>
      <c r="AM274" s="49"/>
      <c r="AN274" s="49"/>
      <c r="AO274" s="49"/>
      <c r="AP274" s="49"/>
      <c r="AQ274" s="49"/>
      <c r="AR274" s="49"/>
      <c r="AS274" s="49"/>
      <c r="AT274" s="49"/>
      <c r="AU274" s="49"/>
      <c r="AV274" s="49"/>
      <c r="AW274" s="49"/>
      <c r="AX274" s="49"/>
    </row>
    <row r="275">
      <c r="A275" s="49"/>
      <c r="B275" s="49"/>
      <c r="C275" s="50"/>
      <c r="D275" s="49"/>
      <c r="E275" s="49"/>
      <c r="F275" s="49"/>
      <c r="G275" s="49"/>
      <c r="H275" s="49"/>
      <c r="I275" s="49"/>
      <c r="J275" s="49"/>
      <c r="K275" s="49"/>
      <c r="L275" s="49"/>
      <c r="M275" s="49"/>
      <c r="N275" s="49"/>
      <c r="O275" s="49"/>
      <c r="P275" s="49"/>
      <c r="Q275" s="49"/>
      <c r="R275" s="49"/>
      <c r="S275" s="49"/>
      <c r="T275" s="49"/>
      <c r="U275" s="49"/>
      <c r="V275" s="49"/>
      <c r="W275" s="49"/>
      <c r="X275" s="49"/>
      <c r="Y275" s="49"/>
      <c r="Z275" s="49"/>
      <c r="AA275" s="49"/>
      <c r="AB275" s="49"/>
      <c r="AC275" s="49"/>
      <c r="AD275" s="49"/>
      <c r="AE275" s="49"/>
      <c r="AF275" s="49"/>
      <c r="AG275" s="49"/>
      <c r="AH275" s="49"/>
      <c r="AI275" s="49"/>
      <c r="AJ275" s="49"/>
      <c r="AK275" s="49"/>
      <c r="AL275" s="49"/>
      <c r="AM275" s="49"/>
      <c r="AN275" s="49"/>
      <c r="AO275" s="49"/>
      <c r="AP275" s="49"/>
      <c r="AQ275" s="49"/>
      <c r="AR275" s="49"/>
      <c r="AS275" s="49"/>
      <c r="AT275" s="49"/>
      <c r="AU275" s="49"/>
      <c r="AV275" s="49"/>
      <c r="AW275" s="49"/>
      <c r="AX275" s="49"/>
    </row>
    <row r="276">
      <c r="A276" s="49"/>
      <c r="B276" s="49"/>
      <c r="C276" s="50"/>
      <c r="D276" s="49"/>
      <c r="E276" s="49"/>
      <c r="F276" s="49"/>
      <c r="G276" s="49"/>
      <c r="H276" s="49"/>
      <c r="I276" s="49"/>
      <c r="J276" s="49"/>
      <c r="K276" s="49"/>
      <c r="L276" s="49"/>
      <c r="M276" s="49"/>
      <c r="N276" s="49"/>
      <c r="O276" s="49"/>
      <c r="P276" s="49"/>
      <c r="Q276" s="49"/>
      <c r="R276" s="49"/>
      <c r="S276" s="49"/>
      <c r="T276" s="49"/>
      <c r="U276" s="49"/>
      <c r="V276" s="49"/>
      <c r="W276" s="49"/>
      <c r="X276" s="49"/>
      <c r="Y276" s="49"/>
      <c r="Z276" s="49"/>
      <c r="AA276" s="49"/>
      <c r="AB276" s="49"/>
      <c r="AC276" s="49"/>
      <c r="AD276" s="49"/>
      <c r="AE276" s="49"/>
      <c r="AF276" s="49"/>
      <c r="AG276" s="49"/>
      <c r="AH276" s="49"/>
      <c r="AI276" s="49"/>
      <c r="AJ276" s="49"/>
      <c r="AK276" s="49"/>
      <c r="AL276" s="49"/>
      <c r="AM276" s="49"/>
      <c r="AN276" s="49"/>
      <c r="AO276" s="49"/>
      <c r="AP276" s="49"/>
      <c r="AQ276" s="49"/>
      <c r="AR276" s="49"/>
      <c r="AS276" s="49"/>
      <c r="AT276" s="49"/>
      <c r="AU276" s="49"/>
      <c r="AV276" s="49"/>
      <c r="AW276" s="49"/>
      <c r="AX276" s="49"/>
    </row>
    <row r="277">
      <c r="A277" s="49"/>
      <c r="B277" s="49"/>
      <c r="C277" s="50"/>
      <c r="D277" s="49"/>
      <c r="E277" s="49"/>
      <c r="F277" s="49"/>
      <c r="G277" s="49"/>
      <c r="H277" s="49"/>
      <c r="I277" s="49"/>
      <c r="J277" s="49"/>
      <c r="K277" s="49"/>
      <c r="L277" s="49"/>
      <c r="M277" s="49"/>
      <c r="N277" s="49"/>
      <c r="O277" s="49"/>
      <c r="P277" s="49"/>
      <c r="Q277" s="49"/>
      <c r="R277" s="49"/>
      <c r="S277" s="49"/>
      <c r="T277" s="49"/>
      <c r="U277" s="49"/>
      <c r="V277" s="49"/>
      <c r="W277" s="49"/>
      <c r="X277" s="49"/>
      <c r="Y277" s="49"/>
      <c r="Z277" s="49"/>
      <c r="AA277" s="49"/>
      <c r="AB277" s="49"/>
      <c r="AC277" s="49"/>
      <c r="AD277" s="49"/>
      <c r="AE277" s="49"/>
      <c r="AF277" s="49"/>
      <c r="AG277" s="49"/>
      <c r="AH277" s="49"/>
      <c r="AI277" s="49"/>
      <c r="AJ277" s="49"/>
      <c r="AK277" s="49"/>
      <c r="AL277" s="49"/>
      <c r="AM277" s="49"/>
      <c r="AN277" s="49"/>
      <c r="AO277" s="49"/>
      <c r="AP277" s="49"/>
      <c r="AQ277" s="49"/>
      <c r="AR277" s="49"/>
      <c r="AS277" s="49"/>
      <c r="AT277" s="49"/>
      <c r="AU277" s="49"/>
      <c r="AV277" s="49"/>
      <c r="AW277" s="49"/>
      <c r="AX277" s="49"/>
    </row>
    <row r="278">
      <c r="A278" s="49"/>
      <c r="B278" s="49"/>
      <c r="C278" s="50"/>
      <c r="D278" s="49"/>
      <c r="E278" s="49"/>
      <c r="F278" s="49"/>
      <c r="G278" s="49"/>
      <c r="H278" s="49"/>
      <c r="I278" s="49"/>
      <c r="J278" s="49"/>
      <c r="K278" s="49"/>
      <c r="L278" s="49"/>
      <c r="M278" s="49"/>
      <c r="N278" s="49"/>
      <c r="O278" s="49"/>
      <c r="P278" s="49"/>
      <c r="Q278" s="49"/>
      <c r="R278" s="49"/>
      <c r="S278" s="49"/>
      <c r="T278" s="49"/>
      <c r="U278" s="49"/>
      <c r="V278" s="49"/>
      <c r="W278" s="49"/>
      <c r="X278" s="49"/>
      <c r="Y278" s="49"/>
      <c r="Z278" s="49"/>
      <c r="AA278" s="49"/>
      <c r="AB278" s="49"/>
      <c r="AC278" s="49"/>
      <c r="AD278" s="49"/>
      <c r="AE278" s="49"/>
      <c r="AF278" s="49"/>
      <c r="AG278" s="49"/>
      <c r="AH278" s="49"/>
      <c r="AI278" s="49"/>
      <c r="AJ278" s="49"/>
      <c r="AK278" s="49"/>
      <c r="AL278" s="49"/>
      <c r="AM278" s="49"/>
      <c r="AN278" s="49"/>
      <c r="AO278" s="49"/>
      <c r="AP278" s="49"/>
      <c r="AQ278" s="49"/>
      <c r="AR278" s="49"/>
      <c r="AS278" s="49"/>
      <c r="AT278" s="49"/>
      <c r="AU278" s="49"/>
      <c r="AV278" s="49"/>
      <c r="AW278" s="49"/>
      <c r="AX278" s="49"/>
    </row>
    <row r="279">
      <c r="A279" s="49"/>
      <c r="B279" s="49"/>
      <c r="C279" s="50"/>
      <c r="D279" s="49"/>
      <c r="E279" s="49"/>
      <c r="F279" s="49"/>
      <c r="G279" s="49"/>
      <c r="H279" s="49"/>
      <c r="I279" s="49"/>
      <c r="J279" s="49"/>
      <c r="K279" s="49"/>
      <c r="L279" s="49"/>
      <c r="M279" s="49"/>
      <c r="N279" s="49"/>
      <c r="O279" s="49"/>
      <c r="P279" s="49"/>
      <c r="Q279" s="49"/>
      <c r="R279" s="49"/>
      <c r="S279" s="49"/>
      <c r="T279" s="49"/>
      <c r="U279" s="49"/>
      <c r="V279" s="49"/>
      <c r="W279" s="49"/>
      <c r="X279" s="49"/>
      <c r="Y279" s="49"/>
      <c r="Z279" s="49"/>
      <c r="AA279" s="49"/>
      <c r="AB279" s="49"/>
      <c r="AC279" s="49"/>
      <c r="AD279" s="49"/>
      <c r="AE279" s="49"/>
      <c r="AF279" s="49"/>
      <c r="AG279" s="49"/>
      <c r="AH279" s="49"/>
      <c r="AI279" s="49"/>
      <c r="AJ279" s="49"/>
      <c r="AK279" s="49"/>
      <c r="AL279" s="49"/>
      <c r="AM279" s="49"/>
      <c r="AN279" s="49"/>
      <c r="AO279" s="49"/>
      <c r="AP279" s="49"/>
      <c r="AQ279" s="49"/>
      <c r="AR279" s="49"/>
      <c r="AS279" s="49"/>
      <c r="AT279" s="49"/>
      <c r="AU279" s="49"/>
      <c r="AV279" s="49"/>
      <c r="AW279" s="49"/>
      <c r="AX279" s="49"/>
    </row>
    <row r="280">
      <c r="A280" s="49"/>
      <c r="B280" s="49"/>
      <c r="C280" s="50"/>
      <c r="D280" s="49"/>
      <c r="E280" s="49"/>
      <c r="F280" s="49"/>
      <c r="G280" s="49"/>
      <c r="H280" s="49"/>
      <c r="I280" s="49"/>
      <c r="J280" s="49"/>
      <c r="K280" s="49"/>
      <c r="L280" s="49"/>
      <c r="M280" s="49"/>
      <c r="N280" s="49"/>
      <c r="O280" s="49"/>
      <c r="P280" s="49"/>
      <c r="Q280" s="49"/>
      <c r="R280" s="49"/>
      <c r="S280" s="49"/>
      <c r="T280" s="49"/>
      <c r="U280" s="49"/>
      <c r="V280" s="49"/>
      <c r="W280" s="49"/>
      <c r="X280" s="49"/>
      <c r="Y280" s="49"/>
      <c r="Z280" s="49"/>
      <c r="AA280" s="49"/>
      <c r="AB280" s="49"/>
      <c r="AC280" s="49"/>
      <c r="AD280" s="49"/>
      <c r="AE280" s="49"/>
      <c r="AF280" s="49"/>
      <c r="AG280" s="49"/>
      <c r="AH280" s="49"/>
      <c r="AI280" s="49"/>
      <c r="AJ280" s="49"/>
      <c r="AK280" s="49"/>
      <c r="AL280" s="49"/>
      <c r="AM280" s="49"/>
      <c r="AN280" s="49"/>
      <c r="AO280" s="49"/>
      <c r="AP280" s="49"/>
      <c r="AQ280" s="49"/>
      <c r="AR280" s="49"/>
      <c r="AS280" s="49"/>
      <c r="AT280" s="49"/>
      <c r="AU280" s="49"/>
      <c r="AV280" s="49"/>
      <c r="AW280" s="49"/>
      <c r="AX280" s="49"/>
    </row>
    <row r="281">
      <c r="A281" s="49"/>
      <c r="B281" s="49"/>
      <c r="C281" s="50"/>
      <c r="D281" s="49"/>
      <c r="E281" s="49"/>
      <c r="F281" s="49"/>
      <c r="G281" s="49"/>
      <c r="H281" s="49"/>
      <c r="I281" s="49"/>
      <c r="J281" s="49"/>
      <c r="K281" s="49"/>
      <c r="L281" s="49"/>
      <c r="M281" s="49"/>
      <c r="N281" s="49"/>
      <c r="O281" s="49"/>
      <c r="P281" s="49"/>
      <c r="Q281" s="49"/>
      <c r="R281" s="49"/>
      <c r="S281" s="49"/>
      <c r="T281" s="49"/>
      <c r="U281" s="49"/>
      <c r="V281" s="49"/>
      <c r="W281" s="49"/>
      <c r="X281" s="49"/>
      <c r="Y281" s="49"/>
      <c r="Z281" s="49"/>
      <c r="AA281" s="49"/>
      <c r="AB281" s="49"/>
      <c r="AC281" s="49"/>
      <c r="AD281" s="49"/>
      <c r="AE281" s="49"/>
      <c r="AF281" s="49"/>
      <c r="AG281" s="49"/>
      <c r="AH281" s="49"/>
      <c r="AI281" s="49"/>
      <c r="AJ281" s="49"/>
      <c r="AK281" s="49"/>
      <c r="AL281" s="49"/>
      <c r="AM281" s="49"/>
      <c r="AN281" s="49"/>
      <c r="AO281" s="49"/>
      <c r="AP281" s="49"/>
      <c r="AQ281" s="49"/>
      <c r="AR281" s="49"/>
      <c r="AS281" s="49"/>
      <c r="AT281" s="49"/>
      <c r="AU281" s="49"/>
      <c r="AV281" s="49"/>
      <c r="AW281" s="49"/>
      <c r="AX281" s="49"/>
    </row>
    <row r="282">
      <c r="A282" s="49"/>
      <c r="B282" s="49"/>
      <c r="C282" s="50"/>
      <c r="D282" s="49"/>
      <c r="E282" s="49"/>
      <c r="F282" s="49"/>
      <c r="G282" s="49"/>
      <c r="H282" s="49"/>
      <c r="I282" s="49"/>
      <c r="J282" s="49"/>
      <c r="K282" s="49"/>
      <c r="L282" s="49"/>
      <c r="M282" s="49"/>
      <c r="N282" s="49"/>
      <c r="O282" s="49"/>
      <c r="P282" s="49"/>
      <c r="Q282" s="49"/>
      <c r="R282" s="49"/>
      <c r="S282" s="49"/>
      <c r="T282" s="49"/>
      <c r="U282" s="49"/>
      <c r="V282" s="49"/>
      <c r="W282" s="49"/>
      <c r="X282" s="49"/>
      <c r="Y282" s="49"/>
      <c r="Z282" s="49"/>
      <c r="AA282" s="49"/>
      <c r="AB282" s="49"/>
      <c r="AC282" s="49"/>
      <c r="AD282" s="49"/>
      <c r="AE282" s="49"/>
      <c r="AF282" s="49"/>
      <c r="AG282" s="49"/>
      <c r="AH282" s="49"/>
      <c r="AI282" s="49"/>
      <c r="AJ282" s="49"/>
      <c r="AK282" s="49"/>
      <c r="AL282" s="49"/>
      <c r="AM282" s="49"/>
      <c r="AN282" s="49"/>
      <c r="AO282" s="49"/>
      <c r="AP282" s="49"/>
      <c r="AQ282" s="49"/>
      <c r="AR282" s="49"/>
      <c r="AS282" s="49"/>
      <c r="AT282" s="49"/>
      <c r="AU282" s="49"/>
      <c r="AV282" s="49"/>
      <c r="AW282" s="49"/>
      <c r="AX282" s="49"/>
    </row>
    <row r="283">
      <c r="A283" s="49"/>
      <c r="B283" s="49"/>
      <c r="C283" s="50"/>
      <c r="D283" s="49"/>
      <c r="E283" s="49"/>
      <c r="F283" s="49"/>
      <c r="G283" s="49"/>
      <c r="H283" s="49"/>
      <c r="I283" s="49"/>
      <c r="J283" s="49"/>
      <c r="K283" s="49"/>
      <c r="L283" s="49"/>
      <c r="M283" s="49"/>
      <c r="N283" s="49"/>
      <c r="O283" s="49"/>
      <c r="P283" s="49"/>
      <c r="Q283" s="49"/>
      <c r="R283" s="49"/>
      <c r="S283" s="49"/>
      <c r="T283" s="49"/>
      <c r="U283" s="49"/>
      <c r="V283" s="49"/>
      <c r="W283" s="49"/>
      <c r="X283" s="49"/>
      <c r="Y283" s="49"/>
      <c r="Z283" s="49"/>
      <c r="AA283" s="49"/>
      <c r="AB283" s="49"/>
      <c r="AC283" s="49"/>
      <c r="AD283" s="49"/>
      <c r="AE283" s="49"/>
      <c r="AF283" s="49"/>
      <c r="AG283" s="49"/>
      <c r="AH283" s="49"/>
      <c r="AI283" s="49"/>
      <c r="AJ283" s="49"/>
      <c r="AK283" s="49"/>
      <c r="AL283" s="49"/>
      <c r="AM283" s="49"/>
      <c r="AN283" s="49"/>
      <c r="AO283" s="49"/>
      <c r="AP283" s="49"/>
      <c r="AQ283" s="49"/>
      <c r="AR283" s="49"/>
      <c r="AS283" s="49"/>
      <c r="AT283" s="49"/>
      <c r="AU283" s="49"/>
      <c r="AV283" s="49"/>
      <c r="AW283" s="49"/>
      <c r="AX283" s="49"/>
    </row>
    <row r="284">
      <c r="A284" s="49"/>
      <c r="B284" s="49"/>
      <c r="C284" s="50"/>
      <c r="D284" s="49"/>
      <c r="E284" s="49"/>
      <c r="F284" s="49"/>
      <c r="G284" s="49"/>
      <c r="H284" s="49"/>
      <c r="I284" s="49"/>
      <c r="J284" s="49"/>
      <c r="K284" s="49"/>
      <c r="L284" s="49"/>
      <c r="M284" s="49"/>
      <c r="N284" s="49"/>
      <c r="O284" s="49"/>
      <c r="P284" s="49"/>
      <c r="Q284" s="49"/>
      <c r="R284" s="49"/>
      <c r="S284" s="49"/>
      <c r="T284" s="49"/>
      <c r="U284" s="49"/>
      <c r="V284" s="49"/>
      <c r="W284" s="49"/>
      <c r="X284" s="49"/>
      <c r="Y284" s="49"/>
      <c r="Z284" s="49"/>
      <c r="AA284" s="49"/>
      <c r="AB284" s="49"/>
      <c r="AC284" s="49"/>
      <c r="AD284" s="49"/>
      <c r="AE284" s="49"/>
      <c r="AF284" s="49"/>
      <c r="AG284" s="49"/>
      <c r="AH284" s="49"/>
      <c r="AI284" s="49"/>
      <c r="AJ284" s="49"/>
      <c r="AK284" s="49"/>
      <c r="AL284" s="49"/>
      <c r="AM284" s="49"/>
      <c r="AN284" s="49"/>
      <c r="AO284" s="49"/>
      <c r="AP284" s="49"/>
      <c r="AQ284" s="49"/>
      <c r="AR284" s="49"/>
      <c r="AS284" s="49"/>
      <c r="AT284" s="49"/>
      <c r="AU284" s="49"/>
      <c r="AV284" s="49"/>
      <c r="AW284" s="49"/>
      <c r="AX284" s="49"/>
    </row>
    <row r="285">
      <c r="A285" s="49"/>
      <c r="B285" s="49"/>
      <c r="C285" s="50"/>
      <c r="D285" s="49"/>
      <c r="E285" s="49"/>
      <c r="F285" s="49"/>
      <c r="G285" s="49"/>
      <c r="H285" s="49"/>
      <c r="I285" s="49"/>
      <c r="J285" s="49"/>
      <c r="K285" s="49"/>
      <c r="L285" s="49"/>
      <c r="M285" s="49"/>
      <c r="N285" s="49"/>
      <c r="O285" s="49"/>
      <c r="P285" s="49"/>
      <c r="Q285" s="49"/>
      <c r="R285" s="49"/>
      <c r="S285" s="49"/>
      <c r="T285" s="49"/>
      <c r="U285" s="49"/>
      <c r="V285" s="49"/>
      <c r="W285" s="49"/>
      <c r="X285" s="49"/>
      <c r="Y285" s="49"/>
      <c r="Z285" s="49"/>
      <c r="AA285" s="49"/>
      <c r="AB285" s="49"/>
      <c r="AC285" s="49"/>
      <c r="AD285" s="49"/>
      <c r="AE285" s="49"/>
      <c r="AF285" s="49"/>
      <c r="AG285" s="49"/>
      <c r="AH285" s="49"/>
      <c r="AI285" s="49"/>
      <c r="AJ285" s="49"/>
      <c r="AK285" s="49"/>
      <c r="AL285" s="49"/>
      <c r="AM285" s="49"/>
      <c r="AN285" s="49"/>
      <c r="AO285" s="49"/>
      <c r="AP285" s="49"/>
      <c r="AQ285" s="49"/>
      <c r="AR285" s="49"/>
      <c r="AS285" s="49"/>
      <c r="AT285" s="49"/>
      <c r="AU285" s="49"/>
      <c r="AV285" s="49"/>
      <c r="AW285" s="49"/>
      <c r="AX285" s="49"/>
    </row>
    <row r="286">
      <c r="A286" s="49"/>
      <c r="B286" s="49"/>
      <c r="C286" s="50"/>
      <c r="D286" s="49"/>
      <c r="E286" s="49"/>
      <c r="F286" s="49"/>
      <c r="G286" s="49"/>
      <c r="H286" s="49"/>
      <c r="I286" s="49"/>
      <c r="J286" s="49"/>
      <c r="K286" s="49"/>
      <c r="L286" s="49"/>
      <c r="M286" s="49"/>
      <c r="N286" s="49"/>
      <c r="O286" s="49"/>
      <c r="P286" s="49"/>
      <c r="Q286" s="49"/>
      <c r="R286" s="49"/>
      <c r="S286" s="49"/>
      <c r="T286" s="49"/>
      <c r="U286" s="49"/>
      <c r="V286" s="49"/>
      <c r="W286" s="49"/>
      <c r="X286" s="49"/>
      <c r="Y286" s="49"/>
      <c r="Z286" s="49"/>
      <c r="AA286" s="49"/>
      <c r="AB286" s="49"/>
      <c r="AC286" s="49"/>
      <c r="AD286" s="49"/>
      <c r="AE286" s="49"/>
      <c r="AF286" s="49"/>
      <c r="AG286" s="49"/>
      <c r="AH286" s="49"/>
      <c r="AI286" s="49"/>
      <c r="AJ286" s="49"/>
      <c r="AK286" s="49"/>
      <c r="AL286" s="49"/>
      <c r="AM286" s="49"/>
      <c r="AN286" s="49"/>
      <c r="AO286" s="49"/>
      <c r="AP286" s="49"/>
      <c r="AQ286" s="49"/>
      <c r="AR286" s="49"/>
      <c r="AS286" s="49"/>
      <c r="AT286" s="49"/>
      <c r="AU286" s="49"/>
      <c r="AV286" s="49"/>
      <c r="AW286" s="49"/>
      <c r="AX286" s="49"/>
    </row>
    <row r="287">
      <c r="A287" s="49"/>
      <c r="B287" s="49"/>
      <c r="C287" s="50"/>
      <c r="D287" s="49"/>
      <c r="E287" s="49"/>
      <c r="F287" s="49"/>
      <c r="G287" s="49"/>
      <c r="H287" s="49"/>
      <c r="I287" s="49"/>
      <c r="J287" s="49"/>
      <c r="K287" s="49"/>
      <c r="L287" s="49"/>
      <c r="M287" s="49"/>
      <c r="N287" s="49"/>
      <c r="O287" s="49"/>
      <c r="P287" s="49"/>
      <c r="Q287" s="49"/>
      <c r="R287" s="49"/>
      <c r="S287" s="49"/>
      <c r="T287" s="49"/>
      <c r="U287" s="49"/>
      <c r="V287" s="49"/>
      <c r="W287" s="49"/>
      <c r="X287" s="49"/>
      <c r="Y287" s="49"/>
      <c r="Z287" s="49"/>
      <c r="AA287" s="49"/>
      <c r="AB287" s="49"/>
      <c r="AC287" s="49"/>
      <c r="AD287" s="49"/>
      <c r="AE287" s="49"/>
      <c r="AF287" s="49"/>
      <c r="AG287" s="49"/>
      <c r="AH287" s="49"/>
      <c r="AI287" s="49"/>
      <c r="AJ287" s="49"/>
      <c r="AK287" s="49"/>
      <c r="AL287" s="49"/>
      <c r="AM287" s="49"/>
      <c r="AN287" s="49"/>
      <c r="AO287" s="49"/>
      <c r="AP287" s="49"/>
      <c r="AQ287" s="49"/>
      <c r="AR287" s="49"/>
      <c r="AS287" s="49"/>
      <c r="AT287" s="49"/>
      <c r="AU287" s="49"/>
      <c r="AV287" s="49"/>
      <c r="AW287" s="49"/>
      <c r="AX287" s="49"/>
    </row>
    <row r="288">
      <c r="A288" s="49"/>
      <c r="B288" s="49"/>
      <c r="C288" s="50"/>
      <c r="D288" s="49"/>
      <c r="E288" s="49"/>
      <c r="F288" s="49"/>
      <c r="G288" s="49"/>
      <c r="H288" s="49"/>
      <c r="I288" s="49"/>
      <c r="J288" s="49"/>
      <c r="K288" s="49"/>
      <c r="L288" s="49"/>
      <c r="M288" s="49"/>
      <c r="N288" s="49"/>
      <c r="O288" s="49"/>
      <c r="P288" s="49"/>
      <c r="Q288" s="49"/>
      <c r="R288" s="49"/>
      <c r="S288" s="49"/>
      <c r="T288" s="49"/>
      <c r="U288" s="49"/>
      <c r="V288" s="49"/>
      <c r="W288" s="49"/>
      <c r="X288" s="49"/>
      <c r="Y288" s="49"/>
      <c r="Z288" s="49"/>
      <c r="AA288" s="49"/>
      <c r="AB288" s="49"/>
      <c r="AC288" s="49"/>
      <c r="AD288" s="49"/>
      <c r="AE288" s="49"/>
      <c r="AF288" s="49"/>
      <c r="AG288" s="49"/>
      <c r="AH288" s="49"/>
      <c r="AI288" s="49"/>
      <c r="AJ288" s="49"/>
      <c r="AK288" s="49"/>
      <c r="AL288" s="49"/>
      <c r="AM288" s="49"/>
      <c r="AN288" s="49"/>
      <c r="AO288" s="49"/>
      <c r="AP288" s="49"/>
      <c r="AQ288" s="49"/>
      <c r="AR288" s="49"/>
      <c r="AS288" s="49"/>
      <c r="AT288" s="49"/>
      <c r="AU288" s="49"/>
      <c r="AV288" s="49"/>
      <c r="AW288" s="49"/>
      <c r="AX288" s="49"/>
    </row>
    <row r="289">
      <c r="A289" s="49"/>
      <c r="B289" s="49"/>
      <c r="C289" s="50"/>
      <c r="D289" s="49"/>
      <c r="E289" s="49"/>
      <c r="F289" s="49"/>
      <c r="G289" s="49"/>
      <c r="H289" s="49"/>
      <c r="I289" s="49"/>
      <c r="J289" s="49"/>
      <c r="K289" s="49"/>
      <c r="L289" s="49"/>
      <c r="M289" s="49"/>
      <c r="N289" s="49"/>
      <c r="O289" s="49"/>
      <c r="P289" s="49"/>
      <c r="Q289" s="49"/>
      <c r="R289" s="49"/>
      <c r="S289" s="49"/>
      <c r="T289" s="49"/>
      <c r="U289" s="49"/>
      <c r="V289" s="49"/>
      <c r="W289" s="49"/>
      <c r="X289" s="49"/>
      <c r="Y289" s="49"/>
      <c r="Z289" s="49"/>
      <c r="AA289" s="49"/>
      <c r="AB289" s="49"/>
      <c r="AC289" s="49"/>
      <c r="AD289" s="49"/>
      <c r="AE289" s="49"/>
      <c r="AF289" s="49"/>
      <c r="AG289" s="49"/>
      <c r="AH289" s="49"/>
      <c r="AI289" s="49"/>
      <c r="AJ289" s="49"/>
      <c r="AK289" s="49"/>
      <c r="AL289" s="49"/>
      <c r="AM289" s="49"/>
      <c r="AN289" s="49"/>
      <c r="AO289" s="49"/>
      <c r="AP289" s="49"/>
      <c r="AQ289" s="49"/>
      <c r="AR289" s="49"/>
      <c r="AS289" s="49"/>
      <c r="AT289" s="49"/>
      <c r="AU289" s="49"/>
      <c r="AV289" s="49"/>
      <c r="AW289" s="49"/>
      <c r="AX289" s="49"/>
    </row>
    <row r="290">
      <c r="A290" s="49"/>
      <c r="B290" s="49"/>
      <c r="C290" s="50"/>
      <c r="D290" s="49"/>
      <c r="E290" s="49"/>
      <c r="F290" s="49"/>
      <c r="G290" s="49"/>
      <c r="H290" s="49"/>
      <c r="I290" s="49"/>
      <c r="J290" s="49"/>
      <c r="K290" s="49"/>
      <c r="L290" s="49"/>
      <c r="M290" s="49"/>
      <c r="N290" s="49"/>
      <c r="O290" s="49"/>
      <c r="P290" s="49"/>
      <c r="Q290" s="49"/>
      <c r="R290" s="49"/>
      <c r="S290" s="49"/>
      <c r="T290" s="49"/>
      <c r="U290" s="49"/>
      <c r="V290" s="49"/>
      <c r="W290" s="49"/>
      <c r="X290" s="49"/>
      <c r="Y290" s="49"/>
      <c r="Z290" s="49"/>
      <c r="AA290" s="49"/>
      <c r="AB290" s="49"/>
      <c r="AC290" s="49"/>
      <c r="AD290" s="49"/>
      <c r="AE290" s="49"/>
      <c r="AF290" s="49"/>
      <c r="AG290" s="49"/>
      <c r="AH290" s="49"/>
      <c r="AI290" s="49"/>
      <c r="AJ290" s="49"/>
      <c r="AK290" s="49"/>
      <c r="AL290" s="49"/>
      <c r="AM290" s="49"/>
      <c r="AN290" s="49"/>
      <c r="AO290" s="49"/>
      <c r="AP290" s="49"/>
      <c r="AQ290" s="49"/>
      <c r="AR290" s="49"/>
      <c r="AS290" s="49"/>
      <c r="AT290" s="49"/>
      <c r="AU290" s="49"/>
      <c r="AV290" s="49"/>
      <c r="AW290" s="49"/>
      <c r="AX290" s="49"/>
    </row>
    <row r="291">
      <c r="A291" s="49"/>
      <c r="B291" s="49"/>
      <c r="C291" s="50"/>
      <c r="D291" s="49"/>
      <c r="E291" s="49"/>
      <c r="F291" s="49"/>
      <c r="G291" s="49"/>
      <c r="H291" s="49"/>
      <c r="I291" s="49"/>
      <c r="J291" s="49"/>
      <c r="K291" s="49"/>
      <c r="L291" s="49"/>
      <c r="M291" s="49"/>
      <c r="N291" s="49"/>
      <c r="O291" s="49"/>
      <c r="P291" s="49"/>
      <c r="Q291" s="49"/>
      <c r="R291" s="49"/>
      <c r="S291" s="49"/>
      <c r="T291" s="49"/>
      <c r="U291" s="49"/>
      <c r="V291" s="49"/>
      <c r="W291" s="49"/>
      <c r="X291" s="49"/>
      <c r="Y291" s="49"/>
      <c r="Z291" s="49"/>
      <c r="AA291" s="49"/>
      <c r="AB291" s="49"/>
      <c r="AC291" s="49"/>
      <c r="AD291" s="49"/>
      <c r="AE291" s="49"/>
      <c r="AF291" s="49"/>
      <c r="AG291" s="49"/>
      <c r="AH291" s="49"/>
      <c r="AI291" s="49"/>
      <c r="AJ291" s="49"/>
      <c r="AK291" s="49"/>
      <c r="AL291" s="49"/>
      <c r="AM291" s="49"/>
      <c r="AN291" s="49"/>
      <c r="AO291" s="49"/>
      <c r="AP291" s="49"/>
      <c r="AQ291" s="49"/>
      <c r="AR291" s="49"/>
      <c r="AS291" s="49"/>
      <c r="AT291" s="49"/>
      <c r="AU291" s="49"/>
      <c r="AV291" s="49"/>
      <c r="AW291" s="49"/>
      <c r="AX291" s="49"/>
    </row>
    <row r="292">
      <c r="A292" s="49"/>
      <c r="B292" s="49"/>
      <c r="C292" s="50"/>
      <c r="D292" s="49"/>
      <c r="E292" s="49"/>
      <c r="F292" s="49"/>
      <c r="G292" s="49"/>
      <c r="H292" s="49"/>
      <c r="I292" s="49"/>
      <c r="J292" s="49"/>
      <c r="K292" s="49"/>
      <c r="L292" s="49"/>
      <c r="M292" s="49"/>
      <c r="N292" s="49"/>
      <c r="O292" s="49"/>
      <c r="P292" s="49"/>
      <c r="Q292" s="49"/>
      <c r="R292" s="49"/>
      <c r="S292" s="49"/>
      <c r="T292" s="49"/>
      <c r="U292" s="49"/>
      <c r="V292" s="49"/>
      <c r="W292" s="49"/>
      <c r="X292" s="49"/>
      <c r="Y292" s="49"/>
      <c r="Z292" s="49"/>
      <c r="AA292" s="49"/>
      <c r="AB292" s="49"/>
      <c r="AC292" s="49"/>
      <c r="AD292" s="49"/>
      <c r="AE292" s="49"/>
      <c r="AF292" s="49"/>
      <c r="AG292" s="49"/>
      <c r="AH292" s="49"/>
      <c r="AI292" s="49"/>
      <c r="AJ292" s="49"/>
      <c r="AK292" s="49"/>
      <c r="AL292" s="49"/>
      <c r="AM292" s="49"/>
      <c r="AN292" s="49"/>
      <c r="AO292" s="49"/>
      <c r="AP292" s="49"/>
      <c r="AQ292" s="49"/>
      <c r="AR292" s="49"/>
      <c r="AS292" s="49"/>
      <c r="AT292" s="49"/>
      <c r="AU292" s="49"/>
      <c r="AV292" s="49"/>
      <c r="AW292" s="49"/>
      <c r="AX292" s="49"/>
    </row>
    <row r="293">
      <c r="A293" s="49"/>
      <c r="B293" s="49"/>
      <c r="C293" s="50"/>
      <c r="D293" s="49"/>
      <c r="E293" s="49"/>
      <c r="F293" s="49"/>
      <c r="G293" s="49"/>
      <c r="H293" s="49"/>
      <c r="I293" s="49"/>
      <c r="J293" s="49"/>
      <c r="K293" s="49"/>
      <c r="L293" s="49"/>
      <c r="M293" s="49"/>
      <c r="N293" s="49"/>
      <c r="O293" s="49"/>
      <c r="P293" s="49"/>
      <c r="Q293" s="49"/>
      <c r="R293" s="49"/>
      <c r="S293" s="49"/>
      <c r="T293" s="49"/>
      <c r="U293" s="49"/>
      <c r="V293" s="49"/>
      <c r="W293" s="49"/>
      <c r="X293" s="49"/>
      <c r="Y293" s="49"/>
      <c r="Z293" s="49"/>
      <c r="AA293" s="49"/>
      <c r="AB293" s="49"/>
      <c r="AC293" s="49"/>
      <c r="AD293" s="49"/>
      <c r="AE293" s="49"/>
      <c r="AF293" s="49"/>
      <c r="AG293" s="49"/>
      <c r="AH293" s="49"/>
      <c r="AI293" s="49"/>
      <c r="AJ293" s="49"/>
      <c r="AK293" s="49"/>
      <c r="AL293" s="49"/>
      <c r="AM293" s="49"/>
      <c r="AN293" s="49"/>
      <c r="AO293" s="49"/>
      <c r="AP293" s="49"/>
      <c r="AQ293" s="49"/>
      <c r="AR293" s="49"/>
      <c r="AS293" s="49"/>
      <c r="AT293" s="49"/>
      <c r="AU293" s="49"/>
      <c r="AV293" s="49"/>
      <c r="AW293" s="49"/>
      <c r="AX293" s="49"/>
    </row>
    <row r="294">
      <c r="A294" s="49"/>
      <c r="B294" s="49"/>
      <c r="C294" s="50"/>
      <c r="D294" s="49"/>
      <c r="E294" s="49"/>
      <c r="F294" s="49"/>
      <c r="G294" s="49"/>
      <c r="H294" s="49"/>
      <c r="I294" s="49"/>
      <c r="J294" s="49"/>
      <c r="K294" s="49"/>
      <c r="L294" s="49"/>
      <c r="M294" s="49"/>
      <c r="N294" s="49"/>
      <c r="O294" s="49"/>
      <c r="P294" s="49"/>
      <c r="Q294" s="49"/>
      <c r="R294" s="49"/>
      <c r="S294" s="49"/>
      <c r="T294" s="49"/>
      <c r="U294" s="49"/>
      <c r="V294" s="49"/>
      <c r="W294" s="49"/>
      <c r="X294" s="49"/>
      <c r="Y294" s="49"/>
      <c r="Z294" s="49"/>
      <c r="AA294" s="49"/>
      <c r="AB294" s="49"/>
      <c r="AC294" s="49"/>
      <c r="AD294" s="49"/>
      <c r="AE294" s="49"/>
      <c r="AF294" s="49"/>
      <c r="AG294" s="49"/>
      <c r="AH294" s="49"/>
      <c r="AI294" s="49"/>
      <c r="AJ294" s="49"/>
      <c r="AK294" s="49"/>
      <c r="AL294" s="49"/>
      <c r="AM294" s="49"/>
      <c r="AN294" s="49"/>
      <c r="AO294" s="49"/>
      <c r="AP294" s="49"/>
      <c r="AQ294" s="49"/>
      <c r="AR294" s="49"/>
      <c r="AS294" s="49"/>
      <c r="AT294" s="49"/>
      <c r="AU294" s="49"/>
      <c r="AV294" s="49"/>
      <c r="AW294" s="49"/>
      <c r="AX294" s="49"/>
    </row>
    <row r="295">
      <c r="A295" s="49"/>
      <c r="B295" s="49"/>
      <c r="C295" s="50"/>
      <c r="D295" s="49"/>
      <c r="E295" s="49"/>
      <c r="F295" s="49"/>
      <c r="G295" s="49"/>
      <c r="H295" s="49"/>
      <c r="I295" s="49"/>
      <c r="J295" s="49"/>
      <c r="K295" s="49"/>
      <c r="L295" s="49"/>
      <c r="M295" s="49"/>
      <c r="N295" s="49"/>
      <c r="O295" s="49"/>
      <c r="P295" s="49"/>
      <c r="Q295" s="49"/>
      <c r="R295" s="49"/>
      <c r="S295" s="49"/>
      <c r="T295" s="49"/>
      <c r="U295" s="49"/>
      <c r="V295" s="49"/>
      <c r="W295" s="49"/>
      <c r="X295" s="49"/>
      <c r="Y295" s="49"/>
      <c r="Z295" s="49"/>
      <c r="AA295" s="49"/>
      <c r="AB295" s="49"/>
      <c r="AC295" s="49"/>
      <c r="AD295" s="49"/>
      <c r="AE295" s="49"/>
      <c r="AF295" s="49"/>
      <c r="AG295" s="49"/>
      <c r="AH295" s="49"/>
      <c r="AI295" s="49"/>
      <c r="AJ295" s="49"/>
      <c r="AK295" s="49"/>
      <c r="AL295" s="49"/>
      <c r="AM295" s="49"/>
      <c r="AN295" s="49"/>
      <c r="AO295" s="49"/>
      <c r="AP295" s="49"/>
      <c r="AQ295" s="49"/>
      <c r="AR295" s="49"/>
      <c r="AS295" s="49"/>
      <c r="AT295" s="49"/>
      <c r="AU295" s="49"/>
      <c r="AV295" s="49"/>
      <c r="AW295" s="49"/>
      <c r="AX295" s="49"/>
    </row>
    <row r="296">
      <c r="A296" s="49"/>
      <c r="B296" s="49"/>
      <c r="C296" s="50"/>
      <c r="D296" s="49"/>
      <c r="E296" s="49"/>
      <c r="F296" s="49"/>
      <c r="G296" s="49"/>
      <c r="H296" s="49"/>
      <c r="I296" s="49"/>
      <c r="J296" s="49"/>
      <c r="K296" s="49"/>
      <c r="L296" s="49"/>
      <c r="M296" s="49"/>
      <c r="N296" s="49"/>
      <c r="O296" s="49"/>
      <c r="P296" s="49"/>
      <c r="Q296" s="49"/>
      <c r="R296" s="49"/>
      <c r="S296" s="49"/>
      <c r="T296" s="49"/>
      <c r="U296" s="49"/>
      <c r="V296" s="49"/>
      <c r="W296" s="49"/>
      <c r="X296" s="49"/>
      <c r="Y296" s="49"/>
      <c r="Z296" s="49"/>
      <c r="AA296" s="49"/>
      <c r="AB296" s="49"/>
      <c r="AC296" s="49"/>
      <c r="AD296" s="49"/>
      <c r="AE296" s="49"/>
      <c r="AF296" s="49"/>
      <c r="AG296" s="49"/>
      <c r="AH296" s="49"/>
      <c r="AI296" s="49"/>
      <c r="AJ296" s="49"/>
      <c r="AK296" s="49"/>
      <c r="AL296" s="49"/>
      <c r="AM296" s="49"/>
      <c r="AN296" s="49"/>
      <c r="AO296" s="49"/>
      <c r="AP296" s="49"/>
      <c r="AQ296" s="49"/>
      <c r="AR296" s="49"/>
      <c r="AS296" s="49"/>
      <c r="AT296" s="49"/>
      <c r="AU296" s="49"/>
      <c r="AV296" s="49"/>
      <c r="AW296" s="49"/>
      <c r="AX296" s="49"/>
    </row>
    <row r="297">
      <c r="A297" s="49"/>
      <c r="B297" s="49"/>
      <c r="C297" s="50"/>
      <c r="D297" s="49"/>
      <c r="E297" s="49"/>
      <c r="F297" s="49"/>
      <c r="G297" s="49"/>
      <c r="H297" s="49"/>
      <c r="I297" s="49"/>
      <c r="J297" s="49"/>
      <c r="K297" s="49"/>
      <c r="L297" s="49"/>
      <c r="M297" s="49"/>
      <c r="N297" s="49"/>
      <c r="O297" s="49"/>
      <c r="P297" s="49"/>
      <c r="Q297" s="49"/>
      <c r="R297" s="49"/>
      <c r="S297" s="49"/>
      <c r="T297" s="49"/>
      <c r="U297" s="49"/>
      <c r="V297" s="49"/>
      <c r="W297" s="49"/>
      <c r="X297" s="49"/>
      <c r="Y297" s="49"/>
      <c r="Z297" s="49"/>
      <c r="AA297" s="49"/>
      <c r="AB297" s="49"/>
      <c r="AC297" s="49"/>
      <c r="AD297" s="49"/>
      <c r="AE297" s="49"/>
      <c r="AF297" s="49"/>
      <c r="AG297" s="49"/>
      <c r="AH297" s="49"/>
      <c r="AI297" s="49"/>
      <c r="AJ297" s="49"/>
      <c r="AK297" s="49"/>
      <c r="AL297" s="49"/>
      <c r="AM297" s="49"/>
      <c r="AN297" s="49"/>
      <c r="AO297" s="49"/>
      <c r="AP297" s="49"/>
      <c r="AQ297" s="49"/>
      <c r="AR297" s="49"/>
      <c r="AS297" s="49"/>
      <c r="AT297" s="49"/>
      <c r="AU297" s="49"/>
      <c r="AV297" s="49"/>
      <c r="AW297" s="49"/>
      <c r="AX297" s="49"/>
    </row>
    <row r="298">
      <c r="A298" s="49"/>
      <c r="B298" s="49"/>
      <c r="C298" s="50"/>
      <c r="D298" s="49"/>
      <c r="E298" s="49"/>
      <c r="F298" s="49"/>
      <c r="G298" s="49"/>
      <c r="H298" s="49"/>
      <c r="I298" s="49"/>
      <c r="J298" s="49"/>
      <c r="K298" s="49"/>
      <c r="L298" s="49"/>
      <c r="M298" s="49"/>
      <c r="N298" s="49"/>
      <c r="O298" s="49"/>
      <c r="P298" s="49"/>
      <c r="Q298" s="49"/>
      <c r="R298" s="49"/>
      <c r="S298" s="49"/>
      <c r="T298" s="49"/>
      <c r="U298" s="49"/>
      <c r="V298" s="49"/>
      <c r="W298" s="49"/>
      <c r="X298" s="49"/>
      <c r="Y298" s="49"/>
      <c r="Z298" s="49"/>
      <c r="AA298" s="49"/>
      <c r="AB298" s="49"/>
      <c r="AC298" s="49"/>
      <c r="AD298" s="49"/>
      <c r="AE298" s="49"/>
      <c r="AF298" s="49"/>
      <c r="AG298" s="49"/>
      <c r="AH298" s="49"/>
      <c r="AI298" s="49"/>
      <c r="AJ298" s="49"/>
      <c r="AK298" s="49"/>
      <c r="AL298" s="49"/>
      <c r="AM298" s="49"/>
      <c r="AN298" s="49"/>
      <c r="AO298" s="49"/>
      <c r="AP298" s="49"/>
      <c r="AQ298" s="49"/>
      <c r="AR298" s="49"/>
      <c r="AS298" s="49"/>
      <c r="AT298" s="49"/>
      <c r="AU298" s="49"/>
      <c r="AV298" s="49"/>
      <c r="AW298" s="49"/>
      <c r="AX298" s="49"/>
    </row>
    <row r="299">
      <c r="A299" s="49"/>
      <c r="B299" s="49"/>
      <c r="C299" s="50"/>
      <c r="D299" s="49"/>
      <c r="E299" s="49"/>
      <c r="F299" s="49"/>
      <c r="G299" s="49"/>
      <c r="H299" s="49"/>
      <c r="I299" s="49"/>
      <c r="J299" s="49"/>
      <c r="K299" s="49"/>
      <c r="L299" s="49"/>
      <c r="M299" s="49"/>
      <c r="N299" s="49"/>
      <c r="O299" s="49"/>
      <c r="P299" s="49"/>
      <c r="Q299" s="49"/>
      <c r="R299" s="49"/>
      <c r="S299" s="49"/>
      <c r="T299" s="49"/>
      <c r="U299" s="49"/>
      <c r="V299" s="49"/>
      <c r="W299" s="49"/>
      <c r="X299" s="49"/>
      <c r="Y299" s="49"/>
      <c r="Z299" s="49"/>
      <c r="AA299" s="49"/>
      <c r="AB299" s="49"/>
      <c r="AC299" s="49"/>
      <c r="AD299" s="49"/>
      <c r="AE299" s="49"/>
      <c r="AF299" s="49"/>
      <c r="AG299" s="49"/>
      <c r="AH299" s="49"/>
      <c r="AI299" s="49"/>
      <c r="AJ299" s="49"/>
      <c r="AK299" s="49"/>
      <c r="AL299" s="49"/>
      <c r="AM299" s="49"/>
      <c r="AN299" s="49"/>
      <c r="AO299" s="49"/>
      <c r="AP299" s="49"/>
      <c r="AQ299" s="49"/>
      <c r="AR299" s="49"/>
      <c r="AS299" s="49"/>
      <c r="AT299" s="49"/>
      <c r="AU299" s="49"/>
      <c r="AV299" s="49"/>
      <c r="AW299" s="49"/>
      <c r="AX299" s="49"/>
    </row>
    <row r="300">
      <c r="A300" s="49"/>
      <c r="B300" s="49"/>
      <c r="C300" s="50"/>
      <c r="D300" s="49"/>
      <c r="E300" s="49"/>
      <c r="F300" s="49"/>
      <c r="G300" s="49"/>
      <c r="H300" s="49"/>
      <c r="I300" s="49"/>
      <c r="J300" s="49"/>
      <c r="K300" s="49"/>
      <c r="L300" s="49"/>
      <c r="M300" s="49"/>
      <c r="N300" s="49"/>
      <c r="O300" s="49"/>
      <c r="P300" s="49"/>
      <c r="Q300" s="49"/>
      <c r="R300" s="49"/>
      <c r="S300" s="49"/>
      <c r="T300" s="49"/>
      <c r="U300" s="49"/>
      <c r="V300" s="49"/>
      <c r="W300" s="49"/>
      <c r="X300" s="49"/>
      <c r="Y300" s="49"/>
      <c r="Z300" s="49"/>
      <c r="AA300" s="49"/>
      <c r="AB300" s="49"/>
      <c r="AC300" s="49"/>
      <c r="AD300" s="49"/>
      <c r="AE300" s="49"/>
      <c r="AF300" s="49"/>
      <c r="AG300" s="49"/>
      <c r="AH300" s="49"/>
      <c r="AI300" s="49"/>
      <c r="AJ300" s="49"/>
      <c r="AK300" s="49"/>
      <c r="AL300" s="49"/>
      <c r="AM300" s="49"/>
      <c r="AN300" s="49"/>
      <c r="AO300" s="49"/>
      <c r="AP300" s="49"/>
      <c r="AQ300" s="49"/>
      <c r="AR300" s="49"/>
      <c r="AS300" s="49"/>
      <c r="AT300" s="49"/>
      <c r="AU300" s="49"/>
      <c r="AV300" s="49"/>
      <c r="AW300" s="49"/>
      <c r="AX300" s="49"/>
    </row>
    <row r="301">
      <c r="A301" s="49"/>
      <c r="B301" s="49"/>
      <c r="C301" s="50"/>
      <c r="D301" s="49"/>
      <c r="E301" s="49"/>
      <c r="F301" s="49"/>
      <c r="G301" s="49"/>
      <c r="H301" s="49"/>
      <c r="I301" s="49"/>
      <c r="J301" s="49"/>
      <c r="K301" s="49"/>
      <c r="L301" s="49"/>
      <c r="M301" s="49"/>
      <c r="N301" s="49"/>
      <c r="O301" s="49"/>
      <c r="P301" s="49"/>
      <c r="Q301" s="49"/>
      <c r="R301" s="49"/>
      <c r="S301" s="49"/>
      <c r="T301" s="49"/>
      <c r="U301" s="49"/>
      <c r="V301" s="49"/>
      <c r="W301" s="49"/>
      <c r="X301" s="49"/>
      <c r="Y301" s="49"/>
      <c r="Z301" s="49"/>
      <c r="AA301" s="49"/>
      <c r="AB301" s="49"/>
      <c r="AC301" s="49"/>
      <c r="AD301" s="49"/>
      <c r="AE301" s="49"/>
      <c r="AF301" s="49"/>
      <c r="AG301" s="49"/>
      <c r="AH301" s="49"/>
      <c r="AI301" s="49"/>
      <c r="AJ301" s="49"/>
      <c r="AK301" s="49"/>
      <c r="AL301" s="49"/>
      <c r="AM301" s="49"/>
      <c r="AN301" s="49"/>
      <c r="AO301" s="49"/>
      <c r="AP301" s="49"/>
      <c r="AQ301" s="49"/>
      <c r="AR301" s="49"/>
      <c r="AS301" s="49"/>
      <c r="AT301" s="49"/>
      <c r="AU301" s="49"/>
      <c r="AV301" s="49"/>
      <c r="AW301" s="49"/>
      <c r="AX301" s="49"/>
    </row>
    <row r="302">
      <c r="A302" s="49"/>
      <c r="B302" s="49"/>
      <c r="C302" s="50"/>
      <c r="D302" s="49"/>
      <c r="E302" s="49"/>
      <c r="F302" s="49"/>
      <c r="G302" s="49"/>
      <c r="H302" s="49"/>
      <c r="I302" s="49"/>
      <c r="J302" s="49"/>
      <c r="K302" s="49"/>
      <c r="L302" s="49"/>
      <c r="M302" s="49"/>
      <c r="N302" s="49"/>
      <c r="O302" s="49"/>
      <c r="P302" s="49"/>
      <c r="Q302" s="49"/>
      <c r="R302" s="49"/>
      <c r="S302" s="49"/>
      <c r="T302" s="49"/>
      <c r="U302" s="49"/>
      <c r="V302" s="49"/>
      <c r="W302" s="49"/>
      <c r="X302" s="49"/>
      <c r="Y302" s="49"/>
      <c r="Z302" s="49"/>
      <c r="AA302" s="49"/>
      <c r="AB302" s="49"/>
      <c r="AC302" s="49"/>
      <c r="AD302" s="49"/>
      <c r="AE302" s="49"/>
      <c r="AF302" s="49"/>
      <c r="AG302" s="49"/>
      <c r="AH302" s="49"/>
      <c r="AI302" s="49"/>
      <c r="AJ302" s="49"/>
      <c r="AK302" s="49"/>
      <c r="AL302" s="49"/>
      <c r="AM302" s="49"/>
      <c r="AN302" s="49"/>
      <c r="AO302" s="49"/>
      <c r="AP302" s="49"/>
      <c r="AQ302" s="49"/>
      <c r="AR302" s="49"/>
      <c r="AS302" s="49"/>
      <c r="AT302" s="49"/>
      <c r="AU302" s="49"/>
      <c r="AV302" s="49"/>
      <c r="AW302" s="49"/>
      <c r="AX302" s="49"/>
    </row>
    <row r="303">
      <c r="A303" s="49"/>
      <c r="B303" s="49"/>
      <c r="C303" s="50"/>
      <c r="D303" s="49"/>
      <c r="E303" s="49"/>
      <c r="F303" s="49"/>
      <c r="G303" s="49"/>
      <c r="H303" s="49"/>
      <c r="I303" s="49"/>
      <c r="J303" s="49"/>
      <c r="K303" s="49"/>
      <c r="L303" s="49"/>
      <c r="M303" s="49"/>
      <c r="N303" s="49"/>
      <c r="O303" s="49"/>
      <c r="P303" s="49"/>
      <c r="Q303" s="49"/>
      <c r="R303" s="49"/>
      <c r="S303" s="49"/>
      <c r="T303" s="49"/>
      <c r="U303" s="49"/>
      <c r="V303" s="49"/>
      <c r="W303" s="49"/>
      <c r="X303" s="49"/>
      <c r="Y303" s="49"/>
      <c r="Z303" s="49"/>
      <c r="AA303" s="49"/>
      <c r="AB303" s="49"/>
      <c r="AC303" s="49"/>
      <c r="AD303" s="49"/>
      <c r="AE303" s="49"/>
      <c r="AF303" s="49"/>
      <c r="AG303" s="49"/>
      <c r="AH303" s="49"/>
      <c r="AI303" s="49"/>
      <c r="AJ303" s="49"/>
      <c r="AK303" s="49"/>
      <c r="AL303" s="49"/>
      <c r="AM303" s="49"/>
      <c r="AN303" s="49"/>
      <c r="AO303" s="49"/>
      <c r="AP303" s="49"/>
      <c r="AQ303" s="49"/>
      <c r="AR303" s="49"/>
      <c r="AS303" s="49"/>
      <c r="AT303" s="49"/>
      <c r="AU303" s="49"/>
      <c r="AV303" s="49"/>
      <c r="AW303" s="49"/>
      <c r="AX303" s="49"/>
    </row>
    <row r="304">
      <c r="A304" s="49"/>
      <c r="B304" s="49"/>
      <c r="C304" s="50"/>
      <c r="D304" s="49"/>
      <c r="E304" s="49"/>
      <c r="F304" s="49"/>
      <c r="G304" s="49"/>
      <c r="H304" s="49"/>
      <c r="I304" s="49"/>
      <c r="J304" s="49"/>
      <c r="K304" s="49"/>
      <c r="L304" s="49"/>
      <c r="M304" s="49"/>
      <c r="N304" s="49"/>
      <c r="O304" s="49"/>
      <c r="P304" s="49"/>
      <c r="Q304" s="49"/>
      <c r="R304" s="49"/>
      <c r="S304" s="49"/>
      <c r="T304" s="49"/>
      <c r="U304" s="49"/>
      <c r="V304" s="49"/>
      <c r="W304" s="49"/>
      <c r="X304" s="49"/>
      <c r="Y304" s="49"/>
      <c r="Z304" s="49"/>
      <c r="AA304" s="49"/>
      <c r="AB304" s="49"/>
      <c r="AC304" s="49"/>
      <c r="AD304" s="49"/>
      <c r="AE304" s="49"/>
      <c r="AF304" s="49"/>
      <c r="AG304" s="49"/>
      <c r="AH304" s="49"/>
      <c r="AI304" s="49"/>
      <c r="AJ304" s="49"/>
      <c r="AK304" s="49"/>
      <c r="AL304" s="49"/>
      <c r="AM304" s="49"/>
      <c r="AN304" s="49"/>
      <c r="AO304" s="49"/>
      <c r="AP304" s="49"/>
      <c r="AQ304" s="49"/>
      <c r="AR304" s="49"/>
      <c r="AS304" s="49"/>
      <c r="AT304" s="49"/>
      <c r="AU304" s="49"/>
      <c r="AV304" s="49"/>
      <c r="AW304" s="49"/>
      <c r="AX304" s="49"/>
    </row>
    <row r="305">
      <c r="A305" s="49"/>
      <c r="B305" s="49"/>
      <c r="C305" s="50"/>
      <c r="D305" s="49"/>
      <c r="E305" s="49"/>
      <c r="F305" s="49"/>
      <c r="G305" s="49"/>
      <c r="H305" s="49"/>
      <c r="I305" s="49"/>
      <c r="J305" s="49"/>
      <c r="K305" s="49"/>
      <c r="L305" s="49"/>
      <c r="M305" s="49"/>
      <c r="N305" s="49"/>
      <c r="O305" s="49"/>
      <c r="P305" s="49"/>
      <c r="Q305" s="49"/>
      <c r="R305" s="49"/>
      <c r="S305" s="49"/>
      <c r="T305" s="49"/>
      <c r="U305" s="49"/>
      <c r="V305" s="49"/>
      <c r="W305" s="49"/>
      <c r="X305" s="49"/>
      <c r="Y305" s="49"/>
      <c r="Z305" s="49"/>
      <c r="AA305" s="49"/>
      <c r="AB305" s="49"/>
      <c r="AC305" s="49"/>
      <c r="AD305" s="49"/>
      <c r="AE305" s="49"/>
      <c r="AF305" s="49"/>
      <c r="AG305" s="49"/>
      <c r="AH305" s="49"/>
      <c r="AI305" s="49"/>
      <c r="AJ305" s="49"/>
      <c r="AK305" s="49"/>
      <c r="AL305" s="49"/>
      <c r="AM305" s="49"/>
      <c r="AN305" s="49"/>
      <c r="AO305" s="49"/>
      <c r="AP305" s="49"/>
      <c r="AQ305" s="49"/>
      <c r="AR305" s="49"/>
      <c r="AS305" s="49"/>
      <c r="AT305" s="49"/>
      <c r="AU305" s="49"/>
      <c r="AV305" s="49"/>
      <c r="AW305" s="49"/>
      <c r="AX305" s="49"/>
    </row>
    <row r="306">
      <c r="A306" s="49"/>
      <c r="B306" s="49"/>
      <c r="C306" s="50"/>
      <c r="D306" s="49"/>
      <c r="E306" s="49"/>
      <c r="F306" s="49"/>
      <c r="G306" s="49"/>
      <c r="H306" s="49"/>
      <c r="I306" s="49"/>
      <c r="J306" s="49"/>
      <c r="K306" s="49"/>
      <c r="L306" s="49"/>
      <c r="M306" s="49"/>
      <c r="N306" s="49"/>
      <c r="O306" s="49"/>
      <c r="P306" s="49"/>
      <c r="Q306" s="49"/>
      <c r="R306" s="49"/>
      <c r="S306" s="49"/>
      <c r="T306" s="49"/>
      <c r="U306" s="49"/>
      <c r="V306" s="49"/>
      <c r="W306" s="49"/>
      <c r="X306" s="49"/>
      <c r="Y306" s="49"/>
      <c r="Z306" s="49"/>
      <c r="AA306" s="49"/>
      <c r="AB306" s="49"/>
      <c r="AC306" s="49"/>
      <c r="AD306" s="49"/>
      <c r="AE306" s="49"/>
      <c r="AF306" s="49"/>
      <c r="AG306" s="49"/>
      <c r="AH306" s="49"/>
      <c r="AI306" s="49"/>
      <c r="AJ306" s="49"/>
      <c r="AK306" s="49"/>
      <c r="AL306" s="49"/>
      <c r="AM306" s="49"/>
      <c r="AN306" s="49"/>
      <c r="AO306" s="49"/>
      <c r="AP306" s="49"/>
      <c r="AQ306" s="49"/>
      <c r="AR306" s="49"/>
      <c r="AS306" s="49"/>
      <c r="AT306" s="49"/>
      <c r="AU306" s="49"/>
      <c r="AV306" s="49"/>
      <c r="AW306" s="49"/>
      <c r="AX306" s="49"/>
    </row>
    <row r="307">
      <c r="A307" s="49"/>
      <c r="B307" s="49"/>
      <c r="C307" s="50"/>
      <c r="D307" s="49"/>
      <c r="E307" s="49"/>
      <c r="F307" s="49"/>
      <c r="G307" s="49"/>
      <c r="H307" s="49"/>
      <c r="I307" s="49"/>
      <c r="J307" s="49"/>
      <c r="K307" s="49"/>
      <c r="L307" s="49"/>
      <c r="M307" s="49"/>
      <c r="N307" s="49"/>
      <c r="O307" s="49"/>
      <c r="P307" s="49"/>
      <c r="Q307" s="49"/>
      <c r="R307" s="49"/>
      <c r="S307" s="49"/>
      <c r="T307" s="49"/>
      <c r="U307" s="49"/>
      <c r="V307" s="49"/>
      <c r="W307" s="49"/>
      <c r="X307" s="49"/>
      <c r="Y307" s="49"/>
      <c r="Z307" s="49"/>
      <c r="AA307" s="49"/>
      <c r="AB307" s="49"/>
      <c r="AC307" s="49"/>
      <c r="AD307" s="49"/>
      <c r="AE307" s="49"/>
      <c r="AF307" s="49"/>
      <c r="AG307" s="49"/>
      <c r="AH307" s="49"/>
      <c r="AI307" s="49"/>
      <c r="AJ307" s="49"/>
      <c r="AK307" s="49"/>
      <c r="AL307" s="49"/>
      <c r="AM307" s="49"/>
      <c r="AN307" s="49"/>
      <c r="AO307" s="49"/>
      <c r="AP307" s="49"/>
      <c r="AQ307" s="49"/>
      <c r="AR307" s="49"/>
      <c r="AS307" s="49"/>
      <c r="AT307" s="49"/>
      <c r="AU307" s="49"/>
      <c r="AV307" s="49"/>
      <c r="AW307" s="49"/>
      <c r="AX307" s="49"/>
    </row>
    <row r="308">
      <c r="A308" s="49"/>
      <c r="B308" s="49"/>
      <c r="C308" s="50"/>
      <c r="D308" s="49"/>
      <c r="E308" s="49"/>
      <c r="F308" s="49"/>
      <c r="G308" s="49"/>
      <c r="H308" s="49"/>
      <c r="I308" s="49"/>
      <c r="J308" s="49"/>
      <c r="K308" s="49"/>
      <c r="L308" s="49"/>
      <c r="M308" s="49"/>
      <c r="N308" s="49"/>
      <c r="O308" s="49"/>
      <c r="P308" s="49"/>
      <c r="Q308" s="49"/>
      <c r="R308" s="49"/>
      <c r="S308" s="49"/>
      <c r="T308" s="49"/>
      <c r="U308" s="49"/>
      <c r="V308" s="49"/>
      <c r="W308" s="49"/>
      <c r="X308" s="49"/>
      <c r="Y308" s="49"/>
      <c r="Z308" s="49"/>
      <c r="AA308" s="49"/>
      <c r="AB308" s="49"/>
      <c r="AC308" s="49"/>
      <c r="AD308" s="49"/>
      <c r="AE308" s="49"/>
      <c r="AF308" s="49"/>
      <c r="AG308" s="49"/>
      <c r="AH308" s="49"/>
      <c r="AI308" s="49"/>
      <c r="AJ308" s="49"/>
      <c r="AK308" s="49"/>
      <c r="AL308" s="49"/>
      <c r="AM308" s="49"/>
      <c r="AN308" s="49"/>
      <c r="AO308" s="49"/>
      <c r="AP308" s="49"/>
      <c r="AQ308" s="49"/>
      <c r="AR308" s="49"/>
      <c r="AS308" s="49"/>
      <c r="AT308" s="49"/>
      <c r="AU308" s="49"/>
      <c r="AV308" s="49"/>
      <c r="AW308" s="49"/>
      <c r="AX308" s="49"/>
    </row>
    <row r="309">
      <c r="A309" s="49"/>
      <c r="B309" s="49"/>
      <c r="C309" s="50"/>
      <c r="D309" s="49"/>
      <c r="E309" s="49"/>
      <c r="F309" s="49"/>
      <c r="G309" s="49"/>
      <c r="H309" s="49"/>
      <c r="I309" s="49"/>
      <c r="J309" s="49"/>
      <c r="K309" s="49"/>
      <c r="L309" s="49"/>
      <c r="M309" s="49"/>
      <c r="N309" s="49"/>
      <c r="O309" s="49"/>
      <c r="P309" s="49"/>
      <c r="Q309" s="49"/>
      <c r="R309" s="49"/>
      <c r="S309" s="49"/>
      <c r="T309" s="49"/>
      <c r="U309" s="49"/>
      <c r="V309" s="49"/>
      <c r="W309" s="49"/>
      <c r="X309" s="49"/>
      <c r="Y309" s="49"/>
      <c r="Z309" s="49"/>
      <c r="AA309" s="49"/>
      <c r="AB309" s="49"/>
      <c r="AC309" s="49"/>
      <c r="AD309" s="49"/>
      <c r="AE309" s="49"/>
      <c r="AF309" s="49"/>
      <c r="AG309" s="49"/>
      <c r="AH309" s="49"/>
      <c r="AI309" s="49"/>
      <c r="AJ309" s="49"/>
      <c r="AK309" s="49"/>
      <c r="AL309" s="49"/>
      <c r="AM309" s="49"/>
      <c r="AN309" s="49"/>
      <c r="AO309" s="49"/>
      <c r="AP309" s="49"/>
      <c r="AQ309" s="49"/>
      <c r="AR309" s="49"/>
      <c r="AS309" s="49"/>
      <c r="AT309" s="49"/>
      <c r="AU309" s="49"/>
      <c r="AV309" s="49"/>
      <c r="AW309" s="49"/>
      <c r="AX309" s="49"/>
    </row>
    <row r="310">
      <c r="A310" s="49"/>
      <c r="B310" s="49"/>
      <c r="C310" s="50"/>
      <c r="D310" s="49"/>
      <c r="E310" s="49"/>
      <c r="F310" s="49"/>
      <c r="G310" s="49"/>
      <c r="H310" s="49"/>
      <c r="I310" s="49"/>
      <c r="J310" s="49"/>
      <c r="K310" s="49"/>
      <c r="L310" s="49"/>
      <c r="M310" s="49"/>
      <c r="N310" s="49"/>
      <c r="O310" s="49"/>
      <c r="P310" s="49"/>
      <c r="Q310" s="49"/>
      <c r="R310" s="49"/>
      <c r="S310" s="49"/>
      <c r="T310" s="49"/>
      <c r="U310" s="49"/>
      <c r="V310" s="49"/>
      <c r="W310" s="49"/>
      <c r="X310" s="49"/>
      <c r="Y310" s="49"/>
      <c r="Z310" s="49"/>
      <c r="AA310" s="49"/>
      <c r="AB310" s="49"/>
      <c r="AC310" s="49"/>
      <c r="AD310" s="49"/>
      <c r="AE310" s="49"/>
      <c r="AF310" s="49"/>
      <c r="AG310" s="49"/>
      <c r="AH310" s="49"/>
      <c r="AI310" s="49"/>
      <c r="AJ310" s="49"/>
      <c r="AK310" s="49"/>
      <c r="AL310" s="49"/>
      <c r="AM310" s="49"/>
      <c r="AN310" s="49"/>
      <c r="AO310" s="49"/>
      <c r="AP310" s="49"/>
      <c r="AQ310" s="49"/>
      <c r="AR310" s="49"/>
      <c r="AS310" s="49"/>
      <c r="AT310" s="49"/>
      <c r="AU310" s="49"/>
      <c r="AV310" s="49"/>
      <c r="AW310" s="49"/>
      <c r="AX310" s="49"/>
    </row>
    <row r="311">
      <c r="A311" s="49"/>
      <c r="B311" s="49"/>
      <c r="C311" s="50"/>
      <c r="D311" s="49"/>
      <c r="E311" s="49"/>
      <c r="F311" s="49"/>
      <c r="G311" s="49"/>
      <c r="H311" s="49"/>
      <c r="I311" s="49"/>
      <c r="J311" s="49"/>
      <c r="K311" s="49"/>
      <c r="L311" s="49"/>
      <c r="M311" s="49"/>
      <c r="N311" s="49"/>
      <c r="O311" s="49"/>
      <c r="P311" s="49"/>
      <c r="Q311" s="49"/>
      <c r="R311" s="49"/>
      <c r="S311" s="49"/>
      <c r="T311" s="49"/>
      <c r="U311" s="49"/>
      <c r="V311" s="49"/>
      <c r="W311" s="49"/>
      <c r="X311" s="49"/>
      <c r="Y311" s="49"/>
      <c r="Z311" s="49"/>
      <c r="AA311" s="49"/>
      <c r="AB311" s="49"/>
      <c r="AC311" s="49"/>
      <c r="AD311" s="49"/>
      <c r="AE311" s="49"/>
      <c r="AF311" s="49"/>
      <c r="AG311" s="49"/>
      <c r="AH311" s="49"/>
      <c r="AI311" s="49"/>
      <c r="AJ311" s="49"/>
      <c r="AK311" s="49"/>
      <c r="AL311" s="49"/>
      <c r="AM311" s="49"/>
      <c r="AN311" s="49"/>
      <c r="AO311" s="49"/>
      <c r="AP311" s="49"/>
      <c r="AQ311" s="49"/>
      <c r="AR311" s="49"/>
      <c r="AS311" s="49"/>
      <c r="AT311" s="49"/>
      <c r="AU311" s="49"/>
      <c r="AV311" s="49"/>
      <c r="AW311" s="49"/>
      <c r="AX311" s="49"/>
    </row>
    <row r="312">
      <c r="A312" s="49"/>
      <c r="B312" s="49"/>
      <c r="C312" s="50"/>
      <c r="D312" s="49"/>
      <c r="E312" s="49"/>
      <c r="F312" s="49"/>
      <c r="G312" s="49"/>
      <c r="H312" s="49"/>
      <c r="I312" s="49"/>
      <c r="J312" s="49"/>
      <c r="K312" s="49"/>
      <c r="L312" s="49"/>
      <c r="M312" s="49"/>
      <c r="N312" s="49"/>
      <c r="O312" s="49"/>
      <c r="P312" s="49"/>
      <c r="Q312" s="49"/>
      <c r="R312" s="49"/>
      <c r="S312" s="49"/>
      <c r="T312" s="49"/>
      <c r="U312" s="49"/>
      <c r="V312" s="49"/>
      <c r="W312" s="49"/>
      <c r="X312" s="49"/>
      <c r="Y312" s="49"/>
      <c r="Z312" s="49"/>
      <c r="AA312" s="49"/>
      <c r="AB312" s="49"/>
      <c r="AC312" s="49"/>
      <c r="AD312" s="49"/>
      <c r="AE312" s="49"/>
      <c r="AF312" s="49"/>
      <c r="AG312" s="49"/>
      <c r="AH312" s="49"/>
      <c r="AI312" s="49"/>
      <c r="AJ312" s="49"/>
      <c r="AK312" s="49"/>
      <c r="AL312" s="49"/>
      <c r="AM312" s="49"/>
      <c r="AN312" s="49"/>
      <c r="AO312" s="49"/>
      <c r="AP312" s="49"/>
      <c r="AQ312" s="49"/>
      <c r="AR312" s="49"/>
      <c r="AS312" s="49"/>
      <c r="AT312" s="49"/>
      <c r="AU312" s="49"/>
      <c r="AV312" s="49"/>
      <c r="AW312" s="49"/>
      <c r="AX312" s="49"/>
    </row>
    <row r="313">
      <c r="A313" s="49"/>
      <c r="B313" s="49"/>
      <c r="C313" s="50"/>
      <c r="D313" s="49"/>
      <c r="E313" s="49"/>
      <c r="F313" s="49"/>
      <c r="G313" s="49"/>
      <c r="H313" s="49"/>
      <c r="I313" s="49"/>
      <c r="J313" s="49"/>
      <c r="K313" s="49"/>
      <c r="L313" s="49"/>
      <c r="M313" s="49"/>
      <c r="N313" s="49"/>
      <c r="O313" s="49"/>
      <c r="P313" s="49"/>
      <c r="Q313" s="49"/>
      <c r="R313" s="49"/>
      <c r="S313" s="49"/>
      <c r="T313" s="49"/>
      <c r="U313" s="49"/>
      <c r="V313" s="49"/>
      <c r="W313" s="49"/>
      <c r="X313" s="49"/>
      <c r="Y313" s="49"/>
      <c r="Z313" s="49"/>
      <c r="AA313" s="49"/>
      <c r="AB313" s="49"/>
      <c r="AC313" s="49"/>
      <c r="AD313" s="49"/>
      <c r="AE313" s="49"/>
      <c r="AF313" s="49"/>
      <c r="AG313" s="49"/>
      <c r="AH313" s="49"/>
      <c r="AI313" s="49"/>
      <c r="AJ313" s="49"/>
      <c r="AK313" s="49"/>
      <c r="AL313" s="49"/>
      <c r="AM313" s="49"/>
      <c r="AN313" s="49"/>
      <c r="AO313" s="49"/>
      <c r="AP313" s="49"/>
      <c r="AQ313" s="49"/>
      <c r="AR313" s="49"/>
      <c r="AS313" s="49"/>
      <c r="AT313" s="49"/>
      <c r="AU313" s="49"/>
      <c r="AV313" s="49"/>
      <c r="AW313" s="49"/>
      <c r="AX313" s="49"/>
    </row>
    <row r="314">
      <c r="A314" s="49"/>
      <c r="B314" s="49"/>
      <c r="C314" s="50"/>
      <c r="D314" s="49"/>
      <c r="E314" s="49"/>
      <c r="F314" s="49"/>
      <c r="G314" s="49"/>
      <c r="H314" s="49"/>
      <c r="I314" s="49"/>
      <c r="J314" s="49"/>
      <c r="K314" s="49"/>
      <c r="L314" s="49"/>
      <c r="M314" s="49"/>
      <c r="N314" s="49"/>
      <c r="O314" s="49"/>
      <c r="P314" s="49"/>
      <c r="Q314" s="49"/>
      <c r="R314" s="49"/>
      <c r="S314" s="49"/>
      <c r="T314" s="49"/>
      <c r="U314" s="49"/>
      <c r="V314" s="49"/>
      <c r="W314" s="49"/>
      <c r="X314" s="49"/>
      <c r="Y314" s="49"/>
      <c r="Z314" s="49"/>
      <c r="AA314" s="49"/>
      <c r="AB314" s="49"/>
      <c r="AC314" s="49"/>
      <c r="AD314" s="49"/>
      <c r="AE314" s="49"/>
      <c r="AF314" s="49"/>
      <c r="AG314" s="49"/>
      <c r="AH314" s="49"/>
      <c r="AI314" s="49"/>
      <c r="AJ314" s="49"/>
      <c r="AK314" s="49"/>
      <c r="AL314" s="49"/>
      <c r="AM314" s="49"/>
      <c r="AN314" s="49"/>
      <c r="AO314" s="49"/>
      <c r="AP314" s="49"/>
      <c r="AQ314" s="49"/>
      <c r="AR314" s="49"/>
      <c r="AS314" s="49"/>
      <c r="AT314" s="49"/>
      <c r="AU314" s="49"/>
      <c r="AV314" s="49"/>
      <c r="AW314" s="49"/>
      <c r="AX314" s="49"/>
    </row>
    <row r="315">
      <c r="A315" s="49"/>
      <c r="B315" s="49"/>
      <c r="C315" s="50"/>
      <c r="D315" s="49"/>
      <c r="E315" s="49"/>
      <c r="F315" s="49"/>
      <c r="G315" s="49"/>
      <c r="H315" s="49"/>
      <c r="I315" s="49"/>
      <c r="J315" s="49"/>
      <c r="K315" s="49"/>
      <c r="L315" s="49"/>
      <c r="M315" s="49"/>
      <c r="N315" s="49"/>
      <c r="O315" s="49"/>
      <c r="P315" s="49"/>
      <c r="Q315" s="49"/>
      <c r="R315" s="49"/>
      <c r="S315" s="49"/>
      <c r="T315" s="49"/>
      <c r="U315" s="49"/>
      <c r="V315" s="49"/>
      <c r="W315" s="49"/>
      <c r="X315" s="49"/>
      <c r="Y315" s="49"/>
      <c r="Z315" s="49"/>
      <c r="AA315" s="49"/>
      <c r="AB315" s="49"/>
      <c r="AC315" s="49"/>
      <c r="AD315" s="49"/>
      <c r="AE315" s="49"/>
      <c r="AF315" s="49"/>
      <c r="AG315" s="49"/>
      <c r="AH315" s="49"/>
      <c r="AI315" s="49"/>
      <c r="AJ315" s="49"/>
      <c r="AK315" s="49"/>
      <c r="AL315" s="49"/>
      <c r="AM315" s="49"/>
      <c r="AN315" s="49"/>
      <c r="AO315" s="49"/>
      <c r="AP315" s="49"/>
      <c r="AQ315" s="49"/>
      <c r="AR315" s="49"/>
      <c r="AS315" s="49"/>
      <c r="AT315" s="49"/>
      <c r="AU315" s="49"/>
      <c r="AV315" s="49"/>
      <c r="AW315" s="49"/>
      <c r="AX315" s="49"/>
    </row>
    <row r="316">
      <c r="A316" s="49"/>
      <c r="B316" s="49"/>
      <c r="C316" s="50"/>
      <c r="D316" s="49"/>
      <c r="E316" s="49"/>
      <c r="F316" s="49"/>
      <c r="G316" s="49"/>
      <c r="H316" s="49"/>
      <c r="I316" s="49"/>
      <c r="J316" s="49"/>
      <c r="K316" s="49"/>
      <c r="L316" s="49"/>
      <c r="M316" s="49"/>
      <c r="N316" s="49"/>
      <c r="O316" s="49"/>
      <c r="P316" s="49"/>
      <c r="Q316" s="49"/>
      <c r="R316" s="49"/>
      <c r="S316" s="49"/>
      <c r="T316" s="49"/>
      <c r="U316" s="49"/>
      <c r="V316" s="49"/>
      <c r="W316" s="49"/>
      <c r="X316" s="49"/>
      <c r="Y316" s="49"/>
      <c r="Z316" s="49"/>
      <c r="AA316" s="49"/>
      <c r="AB316" s="49"/>
      <c r="AC316" s="49"/>
      <c r="AD316" s="49"/>
      <c r="AE316" s="49"/>
      <c r="AF316" s="49"/>
      <c r="AG316" s="49"/>
      <c r="AH316" s="49"/>
      <c r="AI316" s="49"/>
      <c r="AJ316" s="49"/>
      <c r="AK316" s="49"/>
      <c r="AL316" s="49"/>
      <c r="AM316" s="49"/>
      <c r="AN316" s="49"/>
      <c r="AO316" s="49"/>
      <c r="AP316" s="49"/>
      <c r="AQ316" s="49"/>
      <c r="AR316" s="49"/>
      <c r="AS316" s="49"/>
      <c r="AT316" s="49"/>
      <c r="AU316" s="49"/>
      <c r="AV316" s="49"/>
      <c r="AW316" s="49"/>
      <c r="AX316" s="49"/>
    </row>
    <row r="317">
      <c r="A317" s="49"/>
      <c r="B317" s="49"/>
      <c r="C317" s="50"/>
      <c r="D317" s="49"/>
      <c r="E317" s="49"/>
      <c r="F317" s="49"/>
      <c r="G317" s="49"/>
      <c r="H317" s="49"/>
      <c r="I317" s="49"/>
      <c r="J317" s="49"/>
      <c r="K317" s="49"/>
      <c r="L317" s="49"/>
      <c r="M317" s="49"/>
      <c r="N317" s="49"/>
      <c r="O317" s="49"/>
      <c r="P317" s="49"/>
      <c r="Q317" s="49"/>
      <c r="R317" s="49"/>
      <c r="S317" s="49"/>
      <c r="T317" s="49"/>
      <c r="U317" s="49"/>
      <c r="V317" s="49"/>
      <c r="W317" s="49"/>
      <c r="X317" s="49"/>
      <c r="Y317" s="49"/>
      <c r="Z317" s="49"/>
      <c r="AA317" s="49"/>
      <c r="AB317" s="49"/>
      <c r="AC317" s="49"/>
      <c r="AD317" s="49"/>
      <c r="AE317" s="49"/>
      <c r="AF317" s="49"/>
      <c r="AG317" s="49"/>
      <c r="AH317" s="49"/>
      <c r="AI317" s="49"/>
      <c r="AJ317" s="49"/>
      <c r="AK317" s="49"/>
      <c r="AL317" s="49"/>
      <c r="AM317" s="49"/>
      <c r="AN317" s="49"/>
      <c r="AO317" s="49"/>
      <c r="AP317" s="49"/>
      <c r="AQ317" s="49"/>
      <c r="AR317" s="49"/>
      <c r="AS317" s="49"/>
      <c r="AT317" s="49"/>
      <c r="AU317" s="49"/>
      <c r="AV317" s="49"/>
      <c r="AW317" s="49"/>
      <c r="AX317" s="49"/>
    </row>
    <row r="318">
      <c r="A318" s="49"/>
      <c r="B318" s="49"/>
      <c r="C318" s="50"/>
      <c r="D318" s="49"/>
      <c r="E318" s="49"/>
      <c r="F318" s="49"/>
      <c r="G318" s="49"/>
      <c r="H318" s="49"/>
      <c r="I318" s="49"/>
      <c r="J318" s="49"/>
      <c r="K318" s="49"/>
      <c r="L318" s="49"/>
      <c r="M318" s="49"/>
      <c r="N318" s="49"/>
      <c r="O318" s="49"/>
      <c r="P318" s="49"/>
      <c r="Q318" s="49"/>
      <c r="R318" s="49"/>
      <c r="S318" s="49"/>
      <c r="T318" s="49"/>
      <c r="U318" s="49"/>
      <c r="V318" s="49"/>
      <c r="W318" s="49"/>
      <c r="X318" s="49"/>
      <c r="Y318" s="49"/>
      <c r="Z318" s="49"/>
      <c r="AA318" s="49"/>
      <c r="AB318" s="49"/>
      <c r="AC318" s="49"/>
      <c r="AD318" s="49"/>
      <c r="AE318" s="49"/>
      <c r="AF318" s="49"/>
      <c r="AG318" s="49"/>
      <c r="AH318" s="49"/>
      <c r="AI318" s="49"/>
      <c r="AJ318" s="49"/>
      <c r="AK318" s="49"/>
      <c r="AL318" s="49"/>
      <c r="AM318" s="49"/>
      <c r="AN318" s="49"/>
      <c r="AO318" s="49"/>
      <c r="AP318" s="49"/>
      <c r="AQ318" s="49"/>
      <c r="AR318" s="49"/>
      <c r="AS318" s="49"/>
      <c r="AT318" s="49"/>
      <c r="AU318" s="49"/>
      <c r="AV318" s="49"/>
      <c r="AW318" s="49"/>
      <c r="AX318" s="49"/>
    </row>
    <row r="319">
      <c r="A319" s="49"/>
      <c r="B319" s="49"/>
      <c r="C319" s="50"/>
      <c r="D319" s="49"/>
      <c r="E319" s="49"/>
      <c r="F319" s="49"/>
      <c r="G319" s="49"/>
      <c r="H319" s="49"/>
      <c r="I319" s="49"/>
      <c r="J319" s="49"/>
      <c r="K319" s="49"/>
      <c r="L319" s="49"/>
      <c r="M319" s="49"/>
      <c r="N319" s="49"/>
      <c r="O319" s="49"/>
      <c r="P319" s="49"/>
      <c r="Q319" s="49"/>
      <c r="R319" s="49"/>
      <c r="S319" s="49"/>
      <c r="T319" s="49"/>
      <c r="U319" s="49"/>
      <c r="V319" s="49"/>
      <c r="W319" s="49"/>
      <c r="X319" s="49"/>
      <c r="Y319" s="49"/>
      <c r="Z319" s="49"/>
      <c r="AA319" s="49"/>
      <c r="AB319" s="49"/>
      <c r="AC319" s="49"/>
      <c r="AD319" s="49"/>
      <c r="AE319" s="49"/>
      <c r="AF319" s="49"/>
      <c r="AG319" s="49"/>
      <c r="AH319" s="49"/>
      <c r="AI319" s="49"/>
      <c r="AJ319" s="49"/>
      <c r="AK319" s="49"/>
      <c r="AL319" s="49"/>
      <c r="AM319" s="49"/>
      <c r="AN319" s="49"/>
      <c r="AO319" s="49"/>
      <c r="AP319" s="49"/>
      <c r="AQ319" s="49"/>
      <c r="AR319" s="49"/>
      <c r="AS319" s="49"/>
      <c r="AT319" s="49"/>
      <c r="AU319" s="49"/>
      <c r="AV319" s="49"/>
      <c r="AW319" s="49"/>
      <c r="AX319" s="49"/>
    </row>
    <row r="320">
      <c r="A320" s="49"/>
      <c r="B320" s="49"/>
      <c r="C320" s="50"/>
      <c r="D320" s="49"/>
      <c r="E320" s="49"/>
      <c r="F320" s="49"/>
      <c r="G320" s="49"/>
      <c r="H320" s="49"/>
      <c r="I320" s="49"/>
      <c r="J320" s="49"/>
      <c r="K320" s="49"/>
      <c r="L320" s="49"/>
      <c r="M320" s="49"/>
      <c r="N320" s="49"/>
      <c r="O320" s="49"/>
      <c r="P320" s="49"/>
      <c r="Q320" s="49"/>
      <c r="R320" s="49"/>
      <c r="S320" s="49"/>
      <c r="T320" s="49"/>
      <c r="U320" s="49"/>
      <c r="V320" s="49"/>
      <c r="W320" s="49"/>
      <c r="X320" s="49"/>
      <c r="Y320" s="49"/>
      <c r="Z320" s="49"/>
      <c r="AA320" s="49"/>
      <c r="AB320" s="49"/>
      <c r="AC320" s="49"/>
      <c r="AD320" s="49"/>
      <c r="AE320" s="49"/>
      <c r="AF320" s="49"/>
      <c r="AG320" s="49"/>
      <c r="AH320" s="49"/>
      <c r="AI320" s="49"/>
      <c r="AJ320" s="49"/>
      <c r="AK320" s="49"/>
      <c r="AL320" s="49"/>
      <c r="AM320" s="49"/>
      <c r="AN320" s="49"/>
      <c r="AO320" s="49"/>
      <c r="AP320" s="49"/>
      <c r="AQ320" s="49"/>
      <c r="AR320" s="49"/>
      <c r="AS320" s="49"/>
      <c r="AT320" s="49"/>
      <c r="AU320" s="49"/>
      <c r="AV320" s="49"/>
      <c r="AW320" s="49"/>
      <c r="AX320" s="49"/>
    </row>
    <row r="321">
      <c r="A321" s="49"/>
      <c r="B321" s="49"/>
      <c r="C321" s="50"/>
      <c r="D321" s="49"/>
      <c r="E321" s="49"/>
      <c r="F321" s="49"/>
      <c r="G321" s="49"/>
      <c r="H321" s="49"/>
      <c r="I321" s="49"/>
      <c r="J321" s="49"/>
      <c r="K321" s="49"/>
      <c r="L321" s="49"/>
      <c r="M321" s="49"/>
      <c r="N321" s="49"/>
      <c r="O321" s="49"/>
      <c r="P321" s="49"/>
      <c r="Q321" s="49"/>
      <c r="R321" s="49"/>
      <c r="S321" s="49"/>
      <c r="T321" s="49"/>
      <c r="U321" s="49"/>
      <c r="V321" s="49"/>
      <c r="W321" s="49"/>
      <c r="X321" s="49"/>
      <c r="Y321" s="49"/>
      <c r="Z321" s="49"/>
      <c r="AA321" s="49"/>
      <c r="AB321" s="49"/>
      <c r="AC321" s="49"/>
      <c r="AD321" s="49"/>
      <c r="AE321" s="49"/>
      <c r="AF321" s="49"/>
      <c r="AG321" s="49"/>
      <c r="AH321" s="49"/>
      <c r="AI321" s="49"/>
      <c r="AJ321" s="49"/>
      <c r="AK321" s="49"/>
      <c r="AL321" s="49"/>
      <c r="AM321" s="49"/>
      <c r="AN321" s="49"/>
      <c r="AO321" s="49"/>
      <c r="AP321" s="49"/>
      <c r="AQ321" s="49"/>
      <c r="AR321" s="49"/>
      <c r="AS321" s="49"/>
      <c r="AT321" s="49"/>
      <c r="AU321" s="49"/>
      <c r="AV321" s="49"/>
      <c r="AW321" s="49"/>
      <c r="AX321" s="49"/>
    </row>
    <row r="322">
      <c r="A322" s="49"/>
      <c r="B322" s="49"/>
      <c r="C322" s="50"/>
      <c r="D322" s="49"/>
      <c r="E322" s="49"/>
      <c r="F322" s="49"/>
      <c r="G322" s="49"/>
      <c r="H322" s="49"/>
      <c r="I322" s="49"/>
      <c r="J322" s="49"/>
      <c r="K322" s="49"/>
      <c r="L322" s="49"/>
      <c r="M322" s="49"/>
      <c r="N322" s="49"/>
      <c r="O322" s="49"/>
      <c r="P322" s="49"/>
      <c r="Q322" s="49"/>
      <c r="R322" s="49"/>
      <c r="S322" s="49"/>
      <c r="T322" s="49"/>
      <c r="U322" s="49"/>
      <c r="V322" s="49"/>
      <c r="W322" s="49"/>
      <c r="X322" s="49"/>
      <c r="Y322" s="49"/>
      <c r="Z322" s="49"/>
      <c r="AA322" s="49"/>
      <c r="AB322" s="49"/>
      <c r="AC322" s="49"/>
      <c r="AD322" s="49"/>
      <c r="AE322" s="49"/>
      <c r="AF322" s="49"/>
      <c r="AG322" s="49"/>
      <c r="AH322" s="49"/>
      <c r="AI322" s="49"/>
      <c r="AJ322" s="49"/>
      <c r="AK322" s="49"/>
      <c r="AL322" s="49"/>
      <c r="AM322" s="49"/>
      <c r="AN322" s="49"/>
      <c r="AO322" s="49"/>
      <c r="AP322" s="49"/>
      <c r="AQ322" s="49"/>
      <c r="AR322" s="49"/>
      <c r="AS322" s="49"/>
      <c r="AT322" s="49"/>
      <c r="AU322" s="49"/>
      <c r="AV322" s="49"/>
      <c r="AW322" s="49"/>
      <c r="AX322" s="49"/>
    </row>
    <row r="323">
      <c r="A323" s="49"/>
      <c r="B323" s="49"/>
      <c r="C323" s="50"/>
      <c r="D323" s="49"/>
      <c r="E323" s="49"/>
      <c r="F323" s="49"/>
      <c r="G323" s="49"/>
      <c r="H323" s="49"/>
      <c r="I323" s="49"/>
      <c r="J323" s="49"/>
      <c r="K323" s="49"/>
      <c r="L323" s="49"/>
      <c r="M323" s="49"/>
      <c r="N323" s="49"/>
      <c r="O323" s="49"/>
      <c r="P323" s="49"/>
      <c r="Q323" s="49"/>
      <c r="R323" s="49"/>
      <c r="S323" s="49"/>
      <c r="T323" s="49"/>
      <c r="U323" s="49"/>
      <c r="V323" s="49"/>
      <c r="W323" s="49"/>
      <c r="X323" s="49"/>
      <c r="Y323" s="49"/>
      <c r="Z323" s="49"/>
      <c r="AA323" s="49"/>
      <c r="AB323" s="49"/>
      <c r="AC323" s="49"/>
      <c r="AD323" s="49"/>
      <c r="AE323" s="49"/>
      <c r="AF323" s="49"/>
      <c r="AG323" s="49"/>
      <c r="AH323" s="49"/>
      <c r="AI323" s="49"/>
      <c r="AJ323" s="49"/>
      <c r="AK323" s="49"/>
      <c r="AL323" s="49"/>
      <c r="AM323" s="49"/>
      <c r="AN323" s="49"/>
      <c r="AO323" s="49"/>
      <c r="AP323" s="49"/>
      <c r="AQ323" s="49"/>
      <c r="AR323" s="49"/>
      <c r="AS323" s="49"/>
      <c r="AT323" s="49"/>
      <c r="AU323" s="49"/>
      <c r="AV323" s="49"/>
      <c r="AW323" s="49"/>
      <c r="AX323" s="49"/>
    </row>
    <row r="324">
      <c r="A324" s="49"/>
      <c r="B324" s="49"/>
      <c r="C324" s="50"/>
      <c r="D324" s="49"/>
      <c r="E324" s="49"/>
      <c r="F324" s="49"/>
      <c r="G324" s="49"/>
      <c r="H324" s="49"/>
      <c r="I324" s="49"/>
      <c r="J324" s="49"/>
      <c r="K324" s="49"/>
      <c r="L324" s="49"/>
      <c r="M324" s="49"/>
      <c r="N324" s="49"/>
      <c r="O324" s="49"/>
      <c r="P324" s="49"/>
      <c r="Q324" s="49"/>
      <c r="R324" s="49"/>
      <c r="S324" s="49"/>
      <c r="T324" s="49"/>
      <c r="U324" s="49"/>
      <c r="V324" s="49"/>
      <c r="W324" s="49"/>
      <c r="X324" s="49"/>
      <c r="Y324" s="49"/>
      <c r="Z324" s="49"/>
      <c r="AA324" s="49"/>
      <c r="AB324" s="49"/>
      <c r="AC324" s="49"/>
      <c r="AD324" s="49"/>
      <c r="AE324" s="49"/>
      <c r="AF324" s="49"/>
      <c r="AG324" s="49"/>
      <c r="AH324" s="49"/>
      <c r="AI324" s="49"/>
      <c r="AJ324" s="49"/>
      <c r="AK324" s="49"/>
      <c r="AL324" s="49"/>
      <c r="AM324" s="49"/>
      <c r="AN324" s="49"/>
      <c r="AO324" s="49"/>
      <c r="AP324" s="49"/>
      <c r="AQ324" s="49"/>
      <c r="AR324" s="49"/>
      <c r="AS324" s="49"/>
      <c r="AT324" s="49"/>
      <c r="AU324" s="49"/>
      <c r="AV324" s="49"/>
      <c r="AW324" s="49"/>
      <c r="AX324" s="49"/>
    </row>
    <row r="325">
      <c r="A325" s="49"/>
      <c r="B325" s="49"/>
      <c r="C325" s="50"/>
      <c r="D325" s="49"/>
      <c r="E325" s="49"/>
      <c r="F325" s="49"/>
      <c r="G325" s="49"/>
      <c r="H325" s="49"/>
      <c r="I325" s="49"/>
      <c r="J325" s="49"/>
      <c r="K325" s="49"/>
      <c r="L325" s="49"/>
      <c r="M325" s="49"/>
      <c r="N325" s="49"/>
      <c r="O325" s="49"/>
      <c r="P325" s="49"/>
      <c r="Q325" s="49"/>
      <c r="R325" s="49"/>
      <c r="S325" s="49"/>
      <c r="T325" s="49"/>
      <c r="U325" s="49"/>
      <c r="V325" s="49"/>
      <c r="W325" s="49"/>
      <c r="X325" s="49"/>
      <c r="Y325" s="49"/>
      <c r="Z325" s="49"/>
      <c r="AA325" s="49"/>
      <c r="AB325" s="49"/>
      <c r="AC325" s="49"/>
      <c r="AD325" s="49"/>
      <c r="AE325" s="49"/>
      <c r="AF325" s="49"/>
      <c r="AG325" s="49"/>
      <c r="AH325" s="49"/>
      <c r="AI325" s="49"/>
      <c r="AJ325" s="49"/>
      <c r="AK325" s="49"/>
      <c r="AL325" s="49"/>
      <c r="AM325" s="49"/>
      <c r="AN325" s="49"/>
      <c r="AO325" s="49"/>
      <c r="AP325" s="49"/>
      <c r="AQ325" s="49"/>
      <c r="AR325" s="49"/>
      <c r="AS325" s="49"/>
      <c r="AT325" s="49"/>
      <c r="AU325" s="49"/>
      <c r="AV325" s="49"/>
      <c r="AW325" s="49"/>
      <c r="AX325" s="49"/>
    </row>
    <row r="326">
      <c r="A326" s="49"/>
      <c r="B326" s="49"/>
      <c r="C326" s="50"/>
      <c r="D326" s="49"/>
      <c r="E326" s="49"/>
      <c r="F326" s="49"/>
      <c r="G326" s="49"/>
      <c r="H326" s="49"/>
      <c r="I326" s="49"/>
      <c r="J326" s="49"/>
      <c r="K326" s="49"/>
      <c r="L326" s="49"/>
      <c r="M326" s="49"/>
      <c r="N326" s="49"/>
      <c r="O326" s="49"/>
      <c r="P326" s="49"/>
      <c r="Q326" s="49"/>
      <c r="R326" s="49"/>
      <c r="S326" s="49"/>
      <c r="T326" s="49"/>
      <c r="U326" s="49"/>
      <c r="V326" s="49"/>
      <c r="W326" s="49"/>
      <c r="X326" s="49"/>
      <c r="Y326" s="49"/>
      <c r="Z326" s="49"/>
      <c r="AA326" s="49"/>
      <c r="AB326" s="49"/>
      <c r="AC326" s="49"/>
      <c r="AD326" s="49"/>
      <c r="AE326" s="49"/>
      <c r="AF326" s="49"/>
      <c r="AG326" s="49"/>
      <c r="AH326" s="49"/>
      <c r="AI326" s="49"/>
      <c r="AJ326" s="49"/>
      <c r="AK326" s="49"/>
      <c r="AL326" s="49"/>
      <c r="AM326" s="49"/>
      <c r="AN326" s="49"/>
      <c r="AO326" s="49"/>
      <c r="AP326" s="49"/>
      <c r="AQ326" s="49"/>
      <c r="AR326" s="49"/>
      <c r="AS326" s="49"/>
      <c r="AT326" s="49"/>
      <c r="AU326" s="49"/>
      <c r="AV326" s="49"/>
      <c r="AW326" s="49"/>
      <c r="AX326" s="49"/>
    </row>
    <row r="327">
      <c r="A327" s="49"/>
      <c r="B327" s="49"/>
      <c r="C327" s="50"/>
      <c r="D327" s="49"/>
      <c r="E327" s="49"/>
      <c r="F327" s="49"/>
      <c r="G327" s="49"/>
      <c r="H327" s="49"/>
      <c r="I327" s="49"/>
      <c r="J327" s="49"/>
      <c r="K327" s="49"/>
      <c r="L327" s="49"/>
      <c r="M327" s="49"/>
      <c r="N327" s="49"/>
      <c r="O327" s="49"/>
      <c r="P327" s="49"/>
      <c r="Q327" s="49"/>
      <c r="R327" s="49"/>
      <c r="S327" s="49"/>
      <c r="T327" s="49"/>
      <c r="U327" s="49"/>
      <c r="V327" s="49"/>
      <c r="W327" s="49"/>
      <c r="X327" s="49"/>
      <c r="Y327" s="49"/>
      <c r="Z327" s="49"/>
      <c r="AA327" s="49"/>
      <c r="AB327" s="49"/>
      <c r="AC327" s="49"/>
      <c r="AD327" s="49"/>
      <c r="AE327" s="49"/>
      <c r="AF327" s="49"/>
      <c r="AG327" s="49"/>
      <c r="AH327" s="49"/>
      <c r="AI327" s="49"/>
      <c r="AJ327" s="49"/>
      <c r="AK327" s="49"/>
      <c r="AL327" s="49"/>
      <c r="AM327" s="49"/>
      <c r="AN327" s="49"/>
      <c r="AO327" s="49"/>
      <c r="AP327" s="49"/>
      <c r="AQ327" s="49"/>
      <c r="AR327" s="49"/>
      <c r="AS327" s="49"/>
      <c r="AT327" s="49"/>
      <c r="AU327" s="49"/>
      <c r="AV327" s="49"/>
      <c r="AW327" s="49"/>
      <c r="AX327" s="49"/>
    </row>
    <row r="328">
      <c r="A328" s="49"/>
      <c r="B328" s="49"/>
      <c r="C328" s="50"/>
      <c r="D328" s="49"/>
      <c r="E328" s="49"/>
      <c r="F328" s="49"/>
      <c r="G328" s="49"/>
      <c r="H328" s="49"/>
      <c r="I328" s="49"/>
      <c r="J328" s="49"/>
      <c r="K328" s="49"/>
      <c r="L328" s="49"/>
      <c r="M328" s="49"/>
      <c r="N328" s="49"/>
      <c r="O328" s="49"/>
      <c r="P328" s="49"/>
      <c r="Q328" s="49"/>
      <c r="R328" s="49"/>
      <c r="S328" s="49"/>
      <c r="T328" s="49"/>
      <c r="U328" s="49"/>
      <c r="V328" s="49"/>
      <c r="W328" s="49"/>
      <c r="X328" s="49"/>
      <c r="Y328" s="49"/>
      <c r="Z328" s="49"/>
      <c r="AA328" s="49"/>
      <c r="AB328" s="49"/>
      <c r="AC328" s="49"/>
      <c r="AD328" s="49"/>
      <c r="AE328" s="49"/>
      <c r="AF328" s="49"/>
      <c r="AG328" s="49"/>
      <c r="AH328" s="49"/>
      <c r="AI328" s="49"/>
      <c r="AJ328" s="49"/>
      <c r="AK328" s="49"/>
      <c r="AL328" s="49"/>
      <c r="AM328" s="49"/>
      <c r="AN328" s="49"/>
      <c r="AO328" s="49"/>
      <c r="AP328" s="49"/>
      <c r="AQ328" s="49"/>
      <c r="AR328" s="49"/>
      <c r="AS328" s="49"/>
      <c r="AT328" s="49"/>
      <c r="AU328" s="49"/>
      <c r="AV328" s="49"/>
      <c r="AW328" s="49"/>
      <c r="AX328" s="49"/>
    </row>
    <row r="329">
      <c r="A329" s="49"/>
      <c r="B329" s="49"/>
      <c r="C329" s="50"/>
      <c r="D329" s="49"/>
      <c r="E329" s="49"/>
      <c r="F329" s="49"/>
      <c r="G329" s="49"/>
      <c r="H329" s="49"/>
      <c r="I329" s="49"/>
      <c r="J329" s="49"/>
      <c r="K329" s="49"/>
      <c r="L329" s="49"/>
      <c r="M329" s="49"/>
      <c r="N329" s="49"/>
      <c r="O329" s="49"/>
      <c r="P329" s="49"/>
      <c r="Q329" s="49"/>
      <c r="R329" s="49"/>
      <c r="S329" s="49"/>
      <c r="T329" s="49"/>
      <c r="U329" s="49"/>
      <c r="V329" s="49"/>
      <c r="W329" s="49"/>
      <c r="X329" s="49"/>
      <c r="Y329" s="49"/>
      <c r="Z329" s="49"/>
      <c r="AA329" s="49"/>
      <c r="AB329" s="49"/>
      <c r="AC329" s="49"/>
      <c r="AD329" s="49"/>
      <c r="AE329" s="49"/>
      <c r="AF329" s="49"/>
      <c r="AG329" s="49"/>
      <c r="AH329" s="49"/>
      <c r="AI329" s="49"/>
      <c r="AJ329" s="49"/>
      <c r="AK329" s="49"/>
      <c r="AL329" s="49"/>
      <c r="AM329" s="49"/>
      <c r="AN329" s="49"/>
      <c r="AO329" s="49"/>
      <c r="AP329" s="49"/>
      <c r="AQ329" s="49"/>
      <c r="AR329" s="49"/>
      <c r="AS329" s="49"/>
      <c r="AT329" s="49"/>
      <c r="AU329" s="49"/>
      <c r="AV329" s="49"/>
      <c r="AW329" s="49"/>
      <c r="AX329" s="49"/>
    </row>
    <row r="330">
      <c r="A330" s="49"/>
      <c r="B330" s="49"/>
      <c r="C330" s="50"/>
      <c r="D330" s="49"/>
      <c r="E330" s="49"/>
      <c r="F330" s="49"/>
      <c r="G330" s="49"/>
      <c r="H330" s="49"/>
      <c r="I330" s="49"/>
      <c r="J330" s="49"/>
      <c r="K330" s="49"/>
      <c r="L330" s="49"/>
      <c r="M330" s="49"/>
      <c r="N330" s="49"/>
      <c r="O330" s="49"/>
      <c r="P330" s="49"/>
      <c r="Q330" s="49"/>
      <c r="R330" s="49"/>
      <c r="S330" s="49"/>
      <c r="T330" s="49"/>
      <c r="U330" s="49"/>
      <c r="V330" s="49"/>
      <c r="W330" s="49"/>
      <c r="X330" s="49"/>
      <c r="Y330" s="49"/>
      <c r="Z330" s="49"/>
      <c r="AA330" s="49"/>
      <c r="AB330" s="49"/>
      <c r="AC330" s="49"/>
      <c r="AD330" s="49"/>
      <c r="AE330" s="49"/>
      <c r="AF330" s="49"/>
      <c r="AG330" s="49"/>
      <c r="AH330" s="49"/>
      <c r="AI330" s="49"/>
      <c r="AJ330" s="49"/>
      <c r="AK330" s="49"/>
      <c r="AL330" s="49"/>
      <c r="AM330" s="49"/>
      <c r="AN330" s="49"/>
      <c r="AO330" s="49"/>
      <c r="AP330" s="49"/>
      <c r="AQ330" s="49"/>
      <c r="AR330" s="49"/>
      <c r="AS330" s="49"/>
      <c r="AT330" s="49"/>
      <c r="AU330" s="49"/>
      <c r="AV330" s="49"/>
      <c r="AW330" s="49"/>
      <c r="AX330" s="49"/>
    </row>
    <row r="331">
      <c r="A331" s="49"/>
      <c r="B331" s="49"/>
      <c r="C331" s="50"/>
      <c r="D331" s="49"/>
      <c r="E331" s="49"/>
      <c r="F331" s="49"/>
      <c r="G331" s="49"/>
      <c r="H331" s="49"/>
      <c r="I331" s="49"/>
      <c r="J331" s="49"/>
      <c r="K331" s="49"/>
      <c r="L331" s="49"/>
      <c r="M331" s="49"/>
      <c r="N331" s="49"/>
      <c r="O331" s="49"/>
      <c r="P331" s="49"/>
      <c r="Q331" s="49"/>
      <c r="R331" s="49"/>
      <c r="S331" s="49"/>
      <c r="T331" s="49"/>
      <c r="U331" s="49"/>
      <c r="V331" s="49"/>
      <c r="W331" s="49"/>
      <c r="X331" s="49"/>
      <c r="Y331" s="49"/>
      <c r="Z331" s="49"/>
      <c r="AA331" s="49"/>
      <c r="AB331" s="49"/>
      <c r="AC331" s="49"/>
      <c r="AD331" s="49"/>
      <c r="AE331" s="49"/>
      <c r="AF331" s="49"/>
      <c r="AG331" s="49"/>
      <c r="AH331" s="49"/>
      <c r="AI331" s="49"/>
      <c r="AJ331" s="49"/>
      <c r="AK331" s="49"/>
      <c r="AL331" s="49"/>
      <c r="AM331" s="49"/>
      <c r="AN331" s="49"/>
      <c r="AO331" s="49"/>
      <c r="AP331" s="49"/>
      <c r="AQ331" s="49"/>
      <c r="AR331" s="49"/>
      <c r="AS331" s="49"/>
      <c r="AT331" s="49"/>
      <c r="AU331" s="49"/>
      <c r="AV331" s="49"/>
      <c r="AW331" s="49"/>
      <c r="AX331" s="49"/>
    </row>
    <row r="332">
      <c r="A332" s="49"/>
      <c r="B332" s="49"/>
      <c r="C332" s="50"/>
      <c r="D332" s="49"/>
      <c r="E332" s="49"/>
      <c r="F332" s="49"/>
      <c r="G332" s="49"/>
      <c r="H332" s="49"/>
      <c r="I332" s="49"/>
      <c r="J332" s="49"/>
      <c r="K332" s="49"/>
      <c r="L332" s="49"/>
      <c r="M332" s="49"/>
      <c r="N332" s="49"/>
      <c r="O332" s="49"/>
      <c r="P332" s="49"/>
      <c r="Q332" s="49"/>
      <c r="R332" s="49"/>
      <c r="S332" s="49"/>
      <c r="T332" s="49"/>
      <c r="U332" s="49"/>
      <c r="V332" s="49"/>
      <c r="W332" s="49"/>
      <c r="X332" s="49"/>
      <c r="Y332" s="49"/>
      <c r="Z332" s="49"/>
      <c r="AA332" s="49"/>
      <c r="AB332" s="49"/>
      <c r="AC332" s="49"/>
      <c r="AD332" s="49"/>
      <c r="AE332" s="49"/>
      <c r="AF332" s="49"/>
      <c r="AG332" s="49"/>
      <c r="AH332" s="49"/>
      <c r="AI332" s="49"/>
      <c r="AJ332" s="49"/>
      <c r="AK332" s="49"/>
      <c r="AL332" s="49"/>
      <c r="AM332" s="49"/>
      <c r="AN332" s="49"/>
      <c r="AO332" s="49"/>
      <c r="AP332" s="49"/>
      <c r="AQ332" s="49"/>
      <c r="AR332" s="49"/>
      <c r="AS332" s="49"/>
      <c r="AT332" s="49"/>
      <c r="AU332" s="49"/>
      <c r="AV332" s="49"/>
      <c r="AW332" s="49"/>
      <c r="AX332" s="49"/>
    </row>
    <row r="333">
      <c r="A333" s="49"/>
      <c r="B333" s="49"/>
      <c r="C333" s="50"/>
      <c r="D333" s="49"/>
      <c r="E333" s="49"/>
      <c r="F333" s="49"/>
      <c r="G333" s="49"/>
      <c r="H333" s="49"/>
      <c r="I333" s="49"/>
      <c r="J333" s="49"/>
      <c r="K333" s="49"/>
      <c r="L333" s="49"/>
      <c r="M333" s="49"/>
      <c r="N333" s="49"/>
      <c r="O333" s="49"/>
      <c r="P333" s="49"/>
      <c r="Q333" s="49"/>
      <c r="R333" s="49"/>
      <c r="S333" s="49"/>
      <c r="T333" s="49"/>
      <c r="U333" s="49"/>
      <c r="V333" s="49"/>
      <c r="W333" s="49"/>
      <c r="X333" s="49"/>
      <c r="Y333" s="49"/>
      <c r="Z333" s="49"/>
      <c r="AA333" s="49"/>
      <c r="AB333" s="49"/>
      <c r="AC333" s="49"/>
      <c r="AD333" s="49"/>
      <c r="AE333" s="49"/>
      <c r="AF333" s="49"/>
      <c r="AG333" s="49"/>
      <c r="AH333" s="49"/>
      <c r="AI333" s="49"/>
      <c r="AJ333" s="49"/>
      <c r="AK333" s="49"/>
      <c r="AL333" s="49"/>
      <c r="AM333" s="49"/>
      <c r="AN333" s="49"/>
      <c r="AO333" s="49"/>
      <c r="AP333" s="49"/>
      <c r="AQ333" s="49"/>
      <c r="AR333" s="49"/>
      <c r="AS333" s="49"/>
      <c r="AT333" s="49"/>
      <c r="AU333" s="49"/>
      <c r="AV333" s="49"/>
      <c r="AW333" s="49"/>
      <c r="AX333" s="49"/>
    </row>
    <row r="334">
      <c r="A334" s="49"/>
      <c r="B334" s="49"/>
      <c r="C334" s="50"/>
      <c r="D334" s="49"/>
      <c r="E334" s="49"/>
      <c r="F334" s="49"/>
      <c r="G334" s="49"/>
      <c r="H334" s="49"/>
      <c r="I334" s="49"/>
      <c r="J334" s="49"/>
      <c r="K334" s="49"/>
      <c r="L334" s="49"/>
      <c r="M334" s="49"/>
      <c r="N334" s="49"/>
      <c r="O334" s="49"/>
      <c r="P334" s="49"/>
      <c r="Q334" s="49"/>
      <c r="R334" s="49"/>
      <c r="S334" s="49"/>
      <c r="T334" s="49"/>
      <c r="U334" s="49"/>
      <c r="V334" s="49"/>
      <c r="W334" s="49"/>
      <c r="X334" s="49"/>
      <c r="Y334" s="49"/>
      <c r="Z334" s="49"/>
      <c r="AA334" s="49"/>
      <c r="AB334" s="49"/>
      <c r="AC334" s="49"/>
      <c r="AD334" s="49"/>
      <c r="AE334" s="49"/>
      <c r="AF334" s="49"/>
      <c r="AG334" s="49"/>
      <c r="AH334" s="49"/>
      <c r="AI334" s="49"/>
      <c r="AJ334" s="49"/>
      <c r="AK334" s="49"/>
      <c r="AL334" s="49"/>
      <c r="AM334" s="49"/>
      <c r="AN334" s="49"/>
      <c r="AO334" s="49"/>
      <c r="AP334" s="49"/>
      <c r="AQ334" s="49"/>
      <c r="AR334" s="49"/>
      <c r="AS334" s="49"/>
      <c r="AT334" s="49"/>
      <c r="AU334" s="49"/>
      <c r="AV334" s="49"/>
      <c r="AW334" s="49"/>
      <c r="AX334" s="49"/>
    </row>
    <row r="335">
      <c r="A335" s="49"/>
      <c r="B335" s="49"/>
      <c r="C335" s="50"/>
      <c r="D335" s="49"/>
      <c r="E335" s="49"/>
      <c r="F335" s="49"/>
      <c r="G335" s="49"/>
      <c r="H335" s="49"/>
      <c r="I335" s="49"/>
      <c r="J335" s="49"/>
      <c r="K335" s="49"/>
      <c r="L335" s="49"/>
      <c r="M335" s="49"/>
      <c r="N335" s="49"/>
      <c r="O335" s="49"/>
      <c r="P335" s="49"/>
      <c r="Q335" s="49"/>
      <c r="R335" s="49"/>
      <c r="S335" s="49"/>
      <c r="T335" s="49"/>
      <c r="U335" s="49"/>
      <c r="V335" s="49"/>
      <c r="W335" s="49"/>
      <c r="X335" s="49"/>
      <c r="Y335" s="49"/>
      <c r="Z335" s="49"/>
      <c r="AA335" s="49"/>
      <c r="AB335" s="49"/>
      <c r="AC335" s="49"/>
      <c r="AD335" s="49"/>
      <c r="AE335" s="49"/>
      <c r="AF335" s="49"/>
      <c r="AG335" s="49"/>
      <c r="AH335" s="49"/>
      <c r="AI335" s="49"/>
      <c r="AJ335" s="49"/>
      <c r="AK335" s="49"/>
      <c r="AL335" s="49"/>
      <c r="AM335" s="49"/>
      <c r="AN335" s="49"/>
      <c r="AO335" s="49"/>
      <c r="AP335" s="49"/>
      <c r="AQ335" s="49"/>
      <c r="AR335" s="49"/>
      <c r="AS335" s="49"/>
      <c r="AT335" s="49"/>
      <c r="AU335" s="49"/>
      <c r="AV335" s="49"/>
      <c r="AW335" s="49"/>
      <c r="AX335" s="49"/>
    </row>
    <row r="336">
      <c r="A336" s="49"/>
      <c r="B336" s="49"/>
      <c r="C336" s="50"/>
      <c r="D336" s="49"/>
      <c r="E336" s="49"/>
      <c r="F336" s="49"/>
      <c r="G336" s="49"/>
      <c r="H336" s="49"/>
      <c r="I336" s="49"/>
      <c r="J336" s="49"/>
      <c r="K336" s="49"/>
      <c r="L336" s="49"/>
      <c r="M336" s="49"/>
      <c r="N336" s="49"/>
      <c r="O336" s="49"/>
      <c r="P336" s="49"/>
      <c r="Q336" s="49"/>
      <c r="R336" s="49"/>
      <c r="S336" s="49"/>
      <c r="T336" s="49"/>
      <c r="U336" s="49"/>
      <c r="V336" s="49"/>
      <c r="W336" s="49"/>
      <c r="X336" s="49"/>
      <c r="Y336" s="49"/>
      <c r="Z336" s="49"/>
      <c r="AA336" s="49"/>
      <c r="AB336" s="49"/>
      <c r="AC336" s="49"/>
      <c r="AD336" s="49"/>
      <c r="AE336" s="49"/>
      <c r="AF336" s="49"/>
      <c r="AG336" s="49"/>
      <c r="AH336" s="49"/>
      <c r="AI336" s="49"/>
      <c r="AJ336" s="49"/>
      <c r="AK336" s="49"/>
      <c r="AL336" s="49"/>
      <c r="AM336" s="49"/>
      <c r="AN336" s="49"/>
      <c r="AO336" s="49"/>
      <c r="AP336" s="49"/>
      <c r="AQ336" s="49"/>
      <c r="AR336" s="49"/>
      <c r="AS336" s="49"/>
      <c r="AT336" s="49"/>
      <c r="AU336" s="49"/>
      <c r="AV336" s="49"/>
      <c r="AW336" s="49"/>
      <c r="AX336" s="49"/>
    </row>
    <row r="337">
      <c r="A337" s="49"/>
      <c r="B337" s="49"/>
      <c r="C337" s="50"/>
      <c r="D337" s="49"/>
      <c r="E337" s="49"/>
      <c r="F337" s="49"/>
      <c r="G337" s="49"/>
      <c r="H337" s="49"/>
      <c r="I337" s="49"/>
      <c r="J337" s="49"/>
      <c r="K337" s="49"/>
      <c r="L337" s="49"/>
      <c r="M337" s="49"/>
      <c r="N337" s="49"/>
      <c r="O337" s="49"/>
      <c r="P337" s="49"/>
      <c r="Q337" s="49"/>
      <c r="R337" s="49"/>
      <c r="S337" s="49"/>
      <c r="T337" s="49"/>
      <c r="U337" s="49"/>
      <c r="V337" s="49"/>
      <c r="W337" s="49"/>
      <c r="X337" s="49"/>
      <c r="Y337" s="49"/>
      <c r="Z337" s="49"/>
      <c r="AA337" s="49"/>
      <c r="AB337" s="49"/>
      <c r="AC337" s="49"/>
      <c r="AD337" s="49"/>
      <c r="AE337" s="49"/>
      <c r="AF337" s="49"/>
      <c r="AG337" s="49"/>
      <c r="AH337" s="49"/>
      <c r="AI337" s="49"/>
      <c r="AJ337" s="49"/>
      <c r="AK337" s="49"/>
      <c r="AL337" s="49"/>
      <c r="AM337" s="49"/>
      <c r="AN337" s="49"/>
      <c r="AO337" s="49"/>
      <c r="AP337" s="49"/>
      <c r="AQ337" s="49"/>
      <c r="AR337" s="49"/>
      <c r="AS337" s="49"/>
      <c r="AT337" s="49"/>
      <c r="AU337" s="49"/>
      <c r="AV337" s="49"/>
      <c r="AW337" s="49"/>
      <c r="AX337" s="49"/>
    </row>
    <row r="338">
      <c r="A338" s="49"/>
      <c r="B338" s="49"/>
      <c r="C338" s="50"/>
      <c r="D338" s="49"/>
      <c r="E338" s="49"/>
      <c r="F338" s="49"/>
      <c r="G338" s="49"/>
      <c r="H338" s="49"/>
      <c r="I338" s="49"/>
      <c r="J338" s="49"/>
      <c r="K338" s="49"/>
      <c r="L338" s="49"/>
      <c r="M338" s="49"/>
      <c r="N338" s="49"/>
      <c r="O338" s="49"/>
      <c r="P338" s="49"/>
      <c r="Q338" s="49"/>
      <c r="R338" s="49"/>
      <c r="S338" s="49"/>
      <c r="T338" s="49"/>
      <c r="U338" s="49"/>
      <c r="V338" s="49"/>
      <c r="W338" s="49"/>
      <c r="X338" s="49"/>
      <c r="Y338" s="49"/>
      <c r="Z338" s="49"/>
      <c r="AA338" s="49"/>
      <c r="AB338" s="49"/>
      <c r="AC338" s="49"/>
      <c r="AD338" s="49"/>
      <c r="AE338" s="49"/>
      <c r="AF338" s="49"/>
      <c r="AG338" s="49"/>
      <c r="AH338" s="49"/>
      <c r="AI338" s="49"/>
      <c r="AJ338" s="49"/>
      <c r="AK338" s="49"/>
      <c r="AL338" s="49"/>
      <c r="AM338" s="49"/>
      <c r="AN338" s="49"/>
      <c r="AO338" s="49"/>
      <c r="AP338" s="49"/>
      <c r="AQ338" s="49"/>
      <c r="AR338" s="49"/>
      <c r="AS338" s="49"/>
      <c r="AT338" s="49"/>
      <c r="AU338" s="49"/>
      <c r="AV338" s="49"/>
      <c r="AW338" s="49"/>
      <c r="AX338" s="49"/>
    </row>
    <row r="339">
      <c r="A339" s="49"/>
      <c r="B339" s="49"/>
      <c r="C339" s="50"/>
      <c r="D339" s="49"/>
      <c r="E339" s="49"/>
      <c r="F339" s="49"/>
      <c r="G339" s="49"/>
      <c r="H339" s="49"/>
      <c r="I339" s="49"/>
      <c r="J339" s="49"/>
      <c r="K339" s="49"/>
      <c r="L339" s="49"/>
      <c r="M339" s="49"/>
      <c r="N339" s="49"/>
      <c r="O339" s="49"/>
      <c r="P339" s="49"/>
      <c r="Q339" s="49"/>
      <c r="R339" s="49"/>
      <c r="S339" s="49"/>
      <c r="T339" s="49"/>
      <c r="U339" s="49"/>
      <c r="V339" s="49"/>
      <c r="W339" s="49"/>
      <c r="X339" s="49"/>
      <c r="Y339" s="49"/>
      <c r="Z339" s="49"/>
      <c r="AA339" s="49"/>
      <c r="AB339" s="49"/>
      <c r="AC339" s="49"/>
      <c r="AD339" s="49"/>
      <c r="AE339" s="49"/>
      <c r="AF339" s="49"/>
      <c r="AG339" s="49"/>
      <c r="AH339" s="49"/>
      <c r="AI339" s="49"/>
      <c r="AJ339" s="49"/>
      <c r="AK339" s="49"/>
      <c r="AL339" s="49"/>
      <c r="AM339" s="49"/>
      <c r="AN339" s="49"/>
      <c r="AO339" s="49"/>
      <c r="AP339" s="49"/>
      <c r="AQ339" s="49"/>
      <c r="AR339" s="49"/>
      <c r="AS339" s="49"/>
      <c r="AT339" s="49"/>
      <c r="AU339" s="49"/>
      <c r="AV339" s="49"/>
      <c r="AW339" s="49"/>
      <c r="AX339" s="49"/>
    </row>
    <row r="340">
      <c r="A340" s="49"/>
      <c r="B340" s="49"/>
      <c r="C340" s="50"/>
      <c r="D340" s="49"/>
      <c r="E340" s="49"/>
      <c r="F340" s="49"/>
      <c r="G340" s="49"/>
      <c r="H340" s="49"/>
      <c r="I340" s="49"/>
      <c r="J340" s="49"/>
      <c r="K340" s="49"/>
      <c r="L340" s="49"/>
      <c r="M340" s="49"/>
      <c r="N340" s="49"/>
      <c r="O340" s="49"/>
      <c r="P340" s="49"/>
      <c r="Q340" s="49"/>
      <c r="R340" s="49"/>
      <c r="S340" s="49"/>
      <c r="T340" s="49"/>
      <c r="U340" s="49"/>
      <c r="V340" s="49"/>
      <c r="W340" s="49"/>
      <c r="X340" s="49"/>
      <c r="Y340" s="49"/>
      <c r="Z340" s="49"/>
      <c r="AA340" s="49"/>
      <c r="AB340" s="49"/>
      <c r="AC340" s="49"/>
      <c r="AD340" s="49"/>
      <c r="AE340" s="49"/>
      <c r="AF340" s="49"/>
      <c r="AG340" s="49"/>
      <c r="AH340" s="49"/>
      <c r="AI340" s="49"/>
      <c r="AJ340" s="49"/>
      <c r="AK340" s="49"/>
      <c r="AL340" s="49"/>
      <c r="AM340" s="49"/>
      <c r="AN340" s="49"/>
      <c r="AO340" s="49"/>
      <c r="AP340" s="49"/>
      <c r="AQ340" s="49"/>
      <c r="AR340" s="49"/>
      <c r="AS340" s="49"/>
      <c r="AT340" s="49"/>
      <c r="AU340" s="49"/>
      <c r="AV340" s="49"/>
      <c r="AW340" s="49"/>
      <c r="AX340" s="49"/>
    </row>
    <row r="341">
      <c r="A341" s="49"/>
      <c r="B341" s="49"/>
      <c r="C341" s="50"/>
      <c r="D341" s="49"/>
      <c r="E341" s="49"/>
      <c r="F341" s="49"/>
      <c r="G341" s="49"/>
      <c r="H341" s="49"/>
      <c r="I341" s="49"/>
      <c r="J341" s="49"/>
      <c r="K341" s="49"/>
      <c r="L341" s="49"/>
      <c r="M341" s="49"/>
      <c r="N341" s="49"/>
      <c r="O341" s="49"/>
      <c r="P341" s="49"/>
      <c r="Q341" s="49"/>
      <c r="R341" s="49"/>
      <c r="S341" s="49"/>
      <c r="T341" s="49"/>
      <c r="U341" s="49"/>
      <c r="V341" s="49"/>
      <c r="W341" s="49"/>
      <c r="X341" s="49"/>
      <c r="Y341" s="49"/>
      <c r="Z341" s="49"/>
      <c r="AA341" s="49"/>
      <c r="AB341" s="49"/>
      <c r="AC341" s="49"/>
      <c r="AD341" s="49"/>
      <c r="AE341" s="49"/>
      <c r="AF341" s="49"/>
      <c r="AG341" s="49"/>
      <c r="AH341" s="49"/>
      <c r="AI341" s="49"/>
      <c r="AJ341" s="49"/>
      <c r="AK341" s="49"/>
      <c r="AL341" s="49"/>
      <c r="AM341" s="49"/>
      <c r="AN341" s="49"/>
      <c r="AO341" s="49"/>
      <c r="AP341" s="49"/>
      <c r="AQ341" s="49"/>
      <c r="AR341" s="49"/>
      <c r="AS341" s="49"/>
      <c r="AT341" s="49"/>
      <c r="AU341" s="49"/>
      <c r="AV341" s="49"/>
      <c r="AW341" s="49"/>
      <c r="AX341" s="49"/>
    </row>
    <row r="342">
      <c r="A342" s="49"/>
      <c r="B342" s="49"/>
      <c r="C342" s="50"/>
      <c r="D342" s="49"/>
      <c r="E342" s="49"/>
      <c r="F342" s="49"/>
      <c r="G342" s="49"/>
      <c r="H342" s="49"/>
      <c r="I342" s="49"/>
      <c r="J342" s="49"/>
      <c r="K342" s="49"/>
      <c r="L342" s="49"/>
      <c r="M342" s="49"/>
      <c r="N342" s="49"/>
      <c r="O342" s="49"/>
      <c r="P342" s="49"/>
      <c r="Q342" s="49"/>
      <c r="R342" s="49"/>
      <c r="S342" s="49"/>
      <c r="T342" s="49"/>
      <c r="U342" s="49"/>
      <c r="V342" s="49"/>
      <c r="W342" s="49"/>
      <c r="X342" s="49"/>
      <c r="Y342" s="49"/>
      <c r="Z342" s="49"/>
      <c r="AA342" s="49"/>
      <c r="AB342" s="49"/>
      <c r="AC342" s="49"/>
      <c r="AD342" s="49"/>
      <c r="AE342" s="49"/>
      <c r="AF342" s="49"/>
      <c r="AG342" s="49"/>
      <c r="AH342" s="49"/>
      <c r="AI342" s="49"/>
      <c r="AJ342" s="49"/>
      <c r="AK342" s="49"/>
      <c r="AL342" s="49"/>
      <c r="AM342" s="49"/>
      <c r="AN342" s="49"/>
      <c r="AO342" s="49"/>
      <c r="AP342" s="49"/>
      <c r="AQ342" s="49"/>
      <c r="AR342" s="49"/>
      <c r="AS342" s="49"/>
      <c r="AT342" s="49"/>
      <c r="AU342" s="49"/>
      <c r="AV342" s="49"/>
      <c r="AW342" s="49"/>
      <c r="AX342" s="49"/>
    </row>
    <row r="343">
      <c r="A343" s="49"/>
      <c r="B343" s="49"/>
      <c r="C343" s="50"/>
      <c r="D343" s="49"/>
      <c r="E343" s="49"/>
      <c r="F343" s="49"/>
      <c r="G343" s="49"/>
      <c r="H343" s="49"/>
      <c r="I343" s="49"/>
      <c r="J343" s="49"/>
      <c r="K343" s="49"/>
      <c r="L343" s="49"/>
      <c r="M343" s="49"/>
      <c r="N343" s="49"/>
      <c r="O343" s="49"/>
      <c r="P343" s="49"/>
      <c r="Q343" s="49"/>
      <c r="R343" s="49"/>
      <c r="S343" s="49"/>
      <c r="T343" s="49"/>
      <c r="U343" s="49"/>
      <c r="V343" s="49"/>
      <c r="W343" s="49"/>
      <c r="X343" s="49"/>
      <c r="Y343" s="49"/>
      <c r="Z343" s="49"/>
      <c r="AA343" s="49"/>
      <c r="AB343" s="49"/>
      <c r="AC343" s="49"/>
      <c r="AD343" s="49"/>
      <c r="AE343" s="49"/>
      <c r="AF343" s="49"/>
      <c r="AG343" s="49"/>
      <c r="AH343" s="49"/>
      <c r="AI343" s="49"/>
      <c r="AJ343" s="49"/>
      <c r="AK343" s="49"/>
      <c r="AL343" s="49"/>
      <c r="AM343" s="49"/>
      <c r="AN343" s="49"/>
      <c r="AO343" s="49"/>
      <c r="AP343" s="49"/>
      <c r="AQ343" s="49"/>
      <c r="AR343" s="49"/>
      <c r="AS343" s="49"/>
      <c r="AT343" s="49"/>
      <c r="AU343" s="49"/>
      <c r="AV343" s="49"/>
      <c r="AW343" s="49"/>
      <c r="AX343" s="49"/>
    </row>
    <row r="344">
      <c r="A344" s="49"/>
      <c r="B344" s="49"/>
      <c r="C344" s="50"/>
      <c r="D344" s="49"/>
      <c r="E344" s="49"/>
      <c r="F344" s="49"/>
      <c r="G344" s="49"/>
      <c r="H344" s="49"/>
      <c r="I344" s="49"/>
      <c r="J344" s="49"/>
      <c r="K344" s="49"/>
      <c r="L344" s="49"/>
      <c r="M344" s="49"/>
      <c r="N344" s="49"/>
      <c r="O344" s="49"/>
      <c r="P344" s="49"/>
      <c r="Q344" s="49"/>
      <c r="R344" s="49"/>
      <c r="S344" s="49"/>
      <c r="T344" s="49"/>
      <c r="U344" s="49"/>
      <c r="V344" s="49"/>
      <c r="W344" s="49"/>
      <c r="X344" s="49"/>
      <c r="Y344" s="49"/>
      <c r="Z344" s="49"/>
      <c r="AA344" s="49"/>
      <c r="AB344" s="49"/>
      <c r="AC344" s="49"/>
      <c r="AD344" s="49"/>
      <c r="AE344" s="49"/>
      <c r="AF344" s="49"/>
      <c r="AG344" s="49"/>
      <c r="AH344" s="49"/>
      <c r="AI344" s="49"/>
      <c r="AJ344" s="49"/>
      <c r="AK344" s="49"/>
      <c r="AL344" s="49"/>
      <c r="AM344" s="49"/>
      <c r="AN344" s="49"/>
      <c r="AO344" s="49"/>
      <c r="AP344" s="49"/>
      <c r="AQ344" s="49"/>
      <c r="AR344" s="49"/>
      <c r="AS344" s="49"/>
      <c r="AT344" s="49"/>
      <c r="AU344" s="49"/>
      <c r="AV344" s="49"/>
      <c r="AW344" s="49"/>
      <c r="AX344" s="49"/>
    </row>
    <row r="345">
      <c r="A345" s="49"/>
      <c r="B345" s="49"/>
      <c r="C345" s="50"/>
      <c r="D345" s="49"/>
      <c r="E345" s="49"/>
      <c r="F345" s="49"/>
      <c r="G345" s="49"/>
      <c r="H345" s="49"/>
      <c r="I345" s="49"/>
      <c r="J345" s="49"/>
      <c r="K345" s="49"/>
      <c r="L345" s="49"/>
      <c r="M345" s="49"/>
      <c r="N345" s="49"/>
      <c r="O345" s="49"/>
      <c r="P345" s="49"/>
      <c r="Q345" s="49"/>
      <c r="R345" s="49"/>
      <c r="S345" s="49"/>
      <c r="T345" s="49"/>
      <c r="U345" s="49"/>
      <c r="V345" s="49"/>
      <c r="W345" s="49"/>
      <c r="X345" s="49"/>
      <c r="Y345" s="49"/>
      <c r="Z345" s="49"/>
      <c r="AA345" s="49"/>
      <c r="AB345" s="49"/>
      <c r="AC345" s="49"/>
      <c r="AD345" s="49"/>
      <c r="AE345" s="49"/>
      <c r="AF345" s="49"/>
      <c r="AG345" s="49"/>
      <c r="AH345" s="49"/>
      <c r="AI345" s="49"/>
      <c r="AJ345" s="49"/>
      <c r="AK345" s="49"/>
      <c r="AL345" s="49"/>
      <c r="AM345" s="49"/>
      <c r="AN345" s="49"/>
      <c r="AO345" s="49"/>
      <c r="AP345" s="49"/>
      <c r="AQ345" s="49"/>
      <c r="AR345" s="49"/>
      <c r="AS345" s="49"/>
      <c r="AT345" s="49"/>
      <c r="AU345" s="49"/>
      <c r="AV345" s="49"/>
      <c r="AW345" s="49"/>
      <c r="AX345" s="49"/>
    </row>
    <row r="346">
      <c r="A346" s="49"/>
      <c r="B346" s="49"/>
      <c r="C346" s="50"/>
      <c r="D346" s="49"/>
      <c r="E346" s="49"/>
      <c r="F346" s="49"/>
      <c r="G346" s="49"/>
      <c r="H346" s="49"/>
      <c r="I346" s="49"/>
      <c r="J346" s="49"/>
      <c r="K346" s="49"/>
      <c r="L346" s="49"/>
      <c r="M346" s="49"/>
      <c r="N346" s="49"/>
      <c r="O346" s="49"/>
      <c r="P346" s="49"/>
      <c r="Q346" s="49"/>
      <c r="R346" s="49"/>
      <c r="S346" s="49"/>
      <c r="T346" s="49"/>
      <c r="U346" s="49"/>
      <c r="V346" s="49"/>
      <c r="W346" s="49"/>
      <c r="X346" s="49"/>
      <c r="Y346" s="49"/>
      <c r="Z346" s="49"/>
      <c r="AA346" s="49"/>
      <c r="AB346" s="49"/>
      <c r="AC346" s="49"/>
      <c r="AD346" s="49"/>
      <c r="AE346" s="49"/>
      <c r="AF346" s="49"/>
      <c r="AG346" s="49"/>
      <c r="AH346" s="49"/>
      <c r="AI346" s="49"/>
      <c r="AJ346" s="49"/>
      <c r="AK346" s="49"/>
      <c r="AL346" s="49"/>
      <c r="AM346" s="49"/>
      <c r="AN346" s="49"/>
      <c r="AO346" s="49"/>
      <c r="AP346" s="49"/>
      <c r="AQ346" s="49"/>
      <c r="AR346" s="49"/>
      <c r="AS346" s="49"/>
      <c r="AT346" s="49"/>
      <c r="AU346" s="49"/>
      <c r="AV346" s="49"/>
      <c r="AW346" s="49"/>
      <c r="AX346" s="49"/>
    </row>
    <row r="347">
      <c r="A347" s="49"/>
      <c r="B347" s="49"/>
      <c r="C347" s="50"/>
      <c r="D347" s="49"/>
      <c r="E347" s="49"/>
      <c r="F347" s="49"/>
      <c r="G347" s="49"/>
      <c r="H347" s="49"/>
      <c r="I347" s="49"/>
      <c r="J347" s="49"/>
      <c r="K347" s="49"/>
      <c r="L347" s="49"/>
      <c r="M347" s="49"/>
      <c r="N347" s="49"/>
      <c r="O347" s="49"/>
      <c r="P347" s="49"/>
      <c r="Q347" s="49"/>
      <c r="R347" s="49"/>
      <c r="S347" s="49"/>
      <c r="T347" s="49"/>
      <c r="U347" s="49"/>
      <c r="V347" s="49"/>
      <c r="W347" s="49"/>
      <c r="X347" s="49"/>
      <c r="Y347" s="49"/>
      <c r="Z347" s="49"/>
      <c r="AA347" s="49"/>
      <c r="AB347" s="49"/>
      <c r="AC347" s="49"/>
      <c r="AD347" s="49"/>
      <c r="AE347" s="49"/>
      <c r="AF347" s="49"/>
      <c r="AG347" s="49"/>
      <c r="AH347" s="49"/>
      <c r="AI347" s="49"/>
      <c r="AJ347" s="49"/>
      <c r="AK347" s="49"/>
      <c r="AL347" s="49"/>
      <c r="AM347" s="49"/>
      <c r="AN347" s="49"/>
      <c r="AO347" s="49"/>
      <c r="AP347" s="49"/>
      <c r="AQ347" s="49"/>
      <c r="AR347" s="49"/>
      <c r="AS347" s="49"/>
      <c r="AT347" s="49"/>
      <c r="AU347" s="49"/>
      <c r="AV347" s="49"/>
      <c r="AW347" s="49"/>
      <c r="AX347" s="49"/>
    </row>
    <row r="348">
      <c r="A348" s="49"/>
      <c r="B348" s="49"/>
      <c r="C348" s="50"/>
      <c r="D348" s="49"/>
      <c r="E348" s="49"/>
      <c r="F348" s="49"/>
      <c r="G348" s="49"/>
      <c r="H348" s="49"/>
      <c r="I348" s="49"/>
      <c r="J348" s="49"/>
      <c r="K348" s="49"/>
      <c r="L348" s="49"/>
      <c r="M348" s="49"/>
      <c r="N348" s="49"/>
      <c r="O348" s="49"/>
      <c r="P348" s="49"/>
      <c r="Q348" s="49"/>
      <c r="R348" s="49"/>
      <c r="S348" s="49"/>
      <c r="T348" s="49"/>
      <c r="U348" s="49"/>
      <c r="V348" s="49"/>
      <c r="W348" s="49"/>
      <c r="X348" s="49"/>
      <c r="Y348" s="49"/>
      <c r="Z348" s="49"/>
      <c r="AA348" s="49"/>
      <c r="AB348" s="49"/>
      <c r="AC348" s="49"/>
      <c r="AD348" s="49"/>
      <c r="AE348" s="49"/>
      <c r="AF348" s="49"/>
      <c r="AG348" s="49"/>
      <c r="AH348" s="49"/>
      <c r="AI348" s="49"/>
      <c r="AJ348" s="49"/>
      <c r="AK348" s="49"/>
      <c r="AL348" s="49"/>
      <c r="AM348" s="49"/>
      <c r="AN348" s="49"/>
      <c r="AO348" s="49"/>
      <c r="AP348" s="49"/>
      <c r="AQ348" s="49"/>
      <c r="AR348" s="49"/>
      <c r="AS348" s="49"/>
      <c r="AT348" s="49"/>
      <c r="AU348" s="49"/>
      <c r="AV348" s="49"/>
      <c r="AW348" s="49"/>
      <c r="AX348" s="49"/>
    </row>
    <row r="349">
      <c r="A349" s="49"/>
      <c r="B349" s="49"/>
      <c r="C349" s="50"/>
      <c r="D349" s="49"/>
      <c r="E349" s="49"/>
      <c r="F349" s="49"/>
      <c r="G349" s="49"/>
      <c r="H349" s="49"/>
      <c r="I349" s="49"/>
      <c r="J349" s="49"/>
      <c r="K349" s="49"/>
      <c r="L349" s="49"/>
      <c r="M349" s="49"/>
      <c r="N349" s="49"/>
      <c r="O349" s="49"/>
      <c r="P349" s="49"/>
      <c r="Q349" s="49"/>
      <c r="R349" s="49"/>
      <c r="S349" s="49"/>
      <c r="T349" s="49"/>
      <c r="U349" s="49"/>
      <c r="V349" s="49"/>
      <c r="W349" s="49"/>
      <c r="X349" s="49"/>
      <c r="Y349" s="49"/>
      <c r="Z349" s="49"/>
      <c r="AA349" s="49"/>
      <c r="AB349" s="49"/>
      <c r="AC349" s="49"/>
      <c r="AD349" s="49"/>
      <c r="AE349" s="49"/>
      <c r="AF349" s="49"/>
      <c r="AG349" s="49"/>
      <c r="AH349" s="49"/>
      <c r="AI349" s="49"/>
      <c r="AJ349" s="49"/>
      <c r="AK349" s="49"/>
      <c r="AL349" s="49"/>
      <c r="AM349" s="49"/>
      <c r="AN349" s="49"/>
      <c r="AO349" s="49"/>
      <c r="AP349" s="49"/>
      <c r="AQ349" s="49"/>
      <c r="AR349" s="49"/>
      <c r="AS349" s="49"/>
      <c r="AT349" s="49"/>
      <c r="AU349" s="49"/>
      <c r="AV349" s="49"/>
      <c r="AW349" s="49"/>
      <c r="AX349" s="49"/>
    </row>
    <row r="350">
      <c r="A350" s="49"/>
      <c r="B350" s="49"/>
      <c r="C350" s="50"/>
      <c r="D350" s="49"/>
      <c r="E350" s="49"/>
      <c r="F350" s="49"/>
      <c r="G350" s="49"/>
      <c r="H350" s="49"/>
      <c r="I350" s="49"/>
      <c r="J350" s="49"/>
      <c r="K350" s="49"/>
      <c r="L350" s="49"/>
      <c r="M350" s="49"/>
      <c r="N350" s="49"/>
      <c r="O350" s="49"/>
      <c r="P350" s="49"/>
      <c r="Q350" s="49"/>
      <c r="R350" s="49"/>
      <c r="S350" s="49"/>
      <c r="T350" s="49"/>
      <c r="U350" s="49"/>
      <c r="V350" s="49"/>
      <c r="W350" s="49"/>
      <c r="X350" s="49"/>
      <c r="Y350" s="49"/>
      <c r="Z350" s="49"/>
      <c r="AA350" s="49"/>
      <c r="AB350" s="49"/>
      <c r="AC350" s="49"/>
      <c r="AD350" s="49"/>
      <c r="AE350" s="49"/>
      <c r="AF350" s="49"/>
      <c r="AG350" s="49"/>
      <c r="AH350" s="49"/>
      <c r="AI350" s="49"/>
      <c r="AJ350" s="49"/>
      <c r="AK350" s="49"/>
      <c r="AL350" s="49"/>
      <c r="AM350" s="49"/>
      <c r="AN350" s="49"/>
      <c r="AO350" s="49"/>
      <c r="AP350" s="49"/>
      <c r="AQ350" s="49"/>
      <c r="AR350" s="49"/>
      <c r="AS350" s="49"/>
      <c r="AT350" s="49"/>
      <c r="AU350" s="49"/>
      <c r="AV350" s="49"/>
      <c r="AW350" s="49"/>
      <c r="AX350" s="49"/>
    </row>
    <row r="351">
      <c r="A351" s="49"/>
      <c r="B351" s="49"/>
      <c r="C351" s="50"/>
      <c r="D351" s="49"/>
      <c r="E351" s="49"/>
      <c r="F351" s="49"/>
      <c r="G351" s="49"/>
      <c r="H351" s="49"/>
      <c r="I351" s="49"/>
      <c r="J351" s="49"/>
      <c r="K351" s="49"/>
      <c r="L351" s="49"/>
      <c r="M351" s="49"/>
      <c r="N351" s="49"/>
      <c r="O351" s="49"/>
      <c r="P351" s="49"/>
      <c r="Q351" s="49"/>
      <c r="R351" s="49"/>
      <c r="S351" s="49"/>
      <c r="T351" s="49"/>
      <c r="U351" s="49"/>
      <c r="V351" s="49"/>
      <c r="W351" s="49"/>
      <c r="X351" s="49"/>
      <c r="Y351" s="49"/>
      <c r="Z351" s="49"/>
      <c r="AA351" s="49"/>
      <c r="AB351" s="49"/>
      <c r="AC351" s="49"/>
      <c r="AD351" s="49"/>
      <c r="AE351" s="49"/>
      <c r="AF351" s="49"/>
      <c r="AG351" s="49"/>
      <c r="AH351" s="49"/>
      <c r="AI351" s="49"/>
      <c r="AJ351" s="49"/>
      <c r="AK351" s="49"/>
      <c r="AL351" s="49"/>
      <c r="AM351" s="49"/>
      <c r="AN351" s="49"/>
      <c r="AO351" s="49"/>
      <c r="AP351" s="49"/>
      <c r="AQ351" s="49"/>
      <c r="AR351" s="49"/>
      <c r="AS351" s="49"/>
      <c r="AT351" s="49"/>
      <c r="AU351" s="49"/>
      <c r="AV351" s="49"/>
      <c r="AW351" s="49"/>
      <c r="AX351" s="49"/>
    </row>
    <row r="352">
      <c r="A352" s="49"/>
      <c r="B352" s="49"/>
      <c r="C352" s="50"/>
      <c r="D352" s="49"/>
      <c r="E352" s="49"/>
      <c r="F352" s="49"/>
      <c r="G352" s="49"/>
      <c r="H352" s="49"/>
      <c r="I352" s="49"/>
      <c r="J352" s="49"/>
      <c r="K352" s="49"/>
      <c r="L352" s="49"/>
      <c r="M352" s="49"/>
      <c r="N352" s="49"/>
      <c r="O352" s="49"/>
      <c r="P352" s="49"/>
      <c r="Q352" s="49"/>
      <c r="R352" s="49"/>
      <c r="S352" s="49"/>
      <c r="T352" s="49"/>
      <c r="U352" s="49"/>
      <c r="V352" s="49"/>
      <c r="W352" s="49"/>
      <c r="X352" s="49"/>
      <c r="Y352" s="49"/>
      <c r="Z352" s="49"/>
      <c r="AA352" s="49"/>
      <c r="AB352" s="49"/>
      <c r="AC352" s="49"/>
      <c r="AD352" s="49"/>
      <c r="AE352" s="49"/>
      <c r="AF352" s="49"/>
      <c r="AG352" s="49"/>
      <c r="AH352" s="49"/>
      <c r="AI352" s="49"/>
      <c r="AJ352" s="49"/>
      <c r="AK352" s="49"/>
      <c r="AL352" s="49"/>
      <c r="AM352" s="49"/>
      <c r="AN352" s="49"/>
      <c r="AO352" s="49"/>
      <c r="AP352" s="49"/>
      <c r="AQ352" s="49"/>
      <c r="AR352" s="49"/>
      <c r="AS352" s="49"/>
      <c r="AT352" s="49"/>
      <c r="AU352" s="49"/>
      <c r="AV352" s="49"/>
      <c r="AW352" s="49"/>
      <c r="AX352" s="49"/>
    </row>
    <row r="353">
      <c r="A353" s="49"/>
      <c r="B353" s="49"/>
      <c r="C353" s="50"/>
      <c r="D353" s="49"/>
      <c r="E353" s="49"/>
      <c r="F353" s="49"/>
      <c r="G353" s="49"/>
      <c r="H353" s="49"/>
      <c r="I353" s="49"/>
      <c r="J353" s="49"/>
      <c r="K353" s="49"/>
      <c r="L353" s="49"/>
      <c r="M353" s="49"/>
      <c r="N353" s="49"/>
      <c r="O353" s="49"/>
      <c r="P353" s="49"/>
      <c r="Q353" s="49"/>
      <c r="R353" s="49"/>
      <c r="S353" s="49"/>
      <c r="T353" s="49"/>
      <c r="U353" s="49"/>
      <c r="V353" s="49"/>
      <c r="W353" s="49"/>
      <c r="X353" s="49"/>
      <c r="Y353" s="49"/>
      <c r="Z353" s="49"/>
      <c r="AA353" s="49"/>
      <c r="AB353" s="49"/>
      <c r="AC353" s="49"/>
      <c r="AD353" s="49"/>
      <c r="AE353" s="49"/>
      <c r="AF353" s="49"/>
      <c r="AG353" s="49"/>
      <c r="AH353" s="49"/>
      <c r="AI353" s="49"/>
      <c r="AJ353" s="49"/>
      <c r="AK353" s="49"/>
      <c r="AL353" s="49"/>
      <c r="AM353" s="49"/>
      <c r="AN353" s="49"/>
      <c r="AO353" s="49"/>
      <c r="AP353" s="49"/>
      <c r="AQ353" s="49"/>
      <c r="AR353" s="49"/>
      <c r="AS353" s="49"/>
      <c r="AT353" s="49"/>
      <c r="AU353" s="49"/>
      <c r="AV353" s="49"/>
      <c r="AW353" s="49"/>
      <c r="AX353" s="49"/>
    </row>
    <row r="354">
      <c r="A354" s="49"/>
      <c r="B354" s="49"/>
      <c r="C354" s="50"/>
      <c r="D354" s="49"/>
      <c r="E354" s="49"/>
      <c r="F354" s="49"/>
      <c r="G354" s="49"/>
      <c r="H354" s="49"/>
      <c r="I354" s="49"/>
      <c r="J354" s="49"/>
      <c r="K354" s="49"/>
      <c r="L354" s="49"/>
      <c r="M354" s="49"/>
      <c r="N354" s="49"/>
      <c r="O354" s="49"/>
      <c r="P354" s="49"/>
      <c r="Q354" s="49"/>
      <c r="R354" s="49"/>
      <c r="S354" s="49"/>
      <c r="T354" s="49"/>
      <c r="U354" s="49"/>
      <c r="V354" s="49"/>
      <c r="W354" s="49"/>
      <c r="X354" s="49"/>
      <c r="Y354" s="49"/>
      <c r="Z354" s="49"/>
      <c r="AA354" s="49"/>
      <c r="AB354" s="49"/>
      <c r="AC354" s="49"/>
      <c r="AD354" s="49"/>
      <c r="AE354" s="49"/>
      <c r="AF354" s="49"/>
      <c r="AG354" s="49"/>
      <c r="AH354" s="49"/>
      <c r="AI354" s="49"/>
      <c r="AJ354" s="49"/>
      <c r="AK354" s="49"/>
      <c r="AL354" s="49"/>
      <c r="AM354" s="49"/>
      <c r="AN354" s="49"/>
      <c r="AO354" s="49"/>
      <c r="AP354" s="49"/>
      <c r="AQ354" s="49"/>
      <c r="AR354" s="49"/>
      <c r="AS354" s="49"/>
      <c r="AT354" s="49"/>
      <c r="AU354" s="49"/>
      <c r="AV354" s="49"/>
      <c r="AW354" s="49"/>
      <c r="AX354" s="49"/>
    </row>
    <row r="355">
      <c r="A355" s="49"/>
      <c r="B355" s="49"/>
      <c r="C355" s="50"/>
      <c r="D355" s="49"/>
      <c r="E355" s="49"/>
      <c r="F355" s="49"/>
      <c r="G355" s="49"/>
      <c r="H355" s="49"/>
      <c r="I355" s="49"/>
      <c r="J355" s="49"/>
      <c r="K355" s="49"/>
      <c r="L355" s="49"/>
      <c r="M355" s="49"/>
      <c r="N355" s="49"/>
      <c r="O355" s="49"/>
      <c r="P355" s="49"/>
      <c r="Q355" s="49"/>
      <c r="R355" s="49"/>
      <c r="S355" s="49"/>
      <c r="T355" s="49"/>
      <c r="U355" s="49"/>
      <c r="V355" s="49"/>
      <c r="W355" s="49"/>
      <c r="X355" s="49"/>
      <c r="Y355" s="49"/>
      <c r="Z355" s="49"/>
      <c r="AA355" s="49"/>
      <c r="AB355" s="49"/>
      <c r="AC355" s="49"/>
      <c r="AD355" s="49"/>
      <c r="AE355" s="49"/>
      <c r="AF355" s="49"/>
      <c r="AG355" s="49"/>
      <c r="AH355" s="49"/>
      <c r="AI355" s="49"/>
      <c r="AJ355" s="49"/>
      <c r="AK355" s="49"/>
      <c r="AL355" s="49"/>
      <c r="AM355" s="49"/>
      <c r="AN355" s="49"/>
      <c r="AO355" s="49"/>
      <c r="AP355" s="49"/>
      <c r="AQ355" s="49"/>
      <c r="AR355" s="49"/>
      <c r="AS355" s="49"/>
      <c r="AT355" s="49"/>
      <c r="AU355" s="49"/>
      <c r="AV355" s="49"/>
      <c r="AW355" s="49"/>
      <c r="AX355" s="49"/>
    </row>
    <row r="356">
      <c r="A356" s="49"/>
      <c r="B356" s="49"/>
      <c r="C356" s="50"/>
      <c r="D356" s="49"/>
      <c r="E356" s="49"/>
      <c r="F356" s="49"/>
      <c r="G356" s="49"/>
      <c r="H356" s="49"/>
      <c r="I356" s="49"/>
      <c r="J356" s="49"/>
      <c r="K356" s="49"/>
      <c r="L356" s="49"/>
      <c r="M356" s="49"/>
      <c r="N356" s="49"/>
      <c r="O356" s="49"/>
      <c r="P356" s="49"/>
      <c r="Q356" s="49"/>
      <c r="R356" s="49"/>
      <c r="S356" s="49"/>
      <c r="T356" s="49"/>
      <c r="U356" s="49"/>
      <c r="V356" s="49"/>
      <c r="W356" s="49"/>
      <c r="X356" s="49"/>
      <c r="Y356" s="49"/>
      <c r="Z356" s="49"/>
      <c r="AA356" s="49"/>
      <c r="AB356" s="49"/>
      <c r="AC356" s="49"/>
      <c r="AD356" s="49"/>
      <c r="AE356" s="49"/>
      <c r="AF356" s="49"/>
      <c r="AG356" s="49"/>
      <c r="AH356" s="49"/>
      <c r="AI356" s="49"/>
      <c r="AJ356" s="49"/>
      <c r="AK356" s="49"/>
      <c r="AL356" s="49"/>
      <c r="AM356" s="49"/>
      <c r="AN356" s="49"/>
      <c r="AO356" s="49"/>
      <c r="AP356" s="49"/>
      <c r="AQ356" s="49"/>
      <c r="AR356" s="49"/>
      <c r="AS356" s="49"/>
      <c r="AT356" s="49"/>
      <c r="AU356" s="49"/>
      <c r="AV356" s="49"/>
      <c r="AW356" s="49"/>
      <c r="AX356" s="49"/>
    </row>
    <row r="357">
      <c r="A357" s="49"/>
      <c r="B357" s="49"/>
      <c r="C357" s="50"/>
      <c r="D357" s="49"/>
      <c r="E357" s="49"/>
      <c r="F357" s="49"/>
      <c r="G357" s="49"/>
      <c r="H357" s="49"/>
      <c r="I357" s="49"/>
      <c r="J357" s="49"/>
      <c r="K357" s="49"/>
      <c r="L357" s="49"/>
      <c r="M357" s="49"/>
      <c r="N357" s="49"/>
      <c r="O357" s="49"/>
      <c r="P357" s="49"/>
      <c r="Q357" s="49"/>
      <c r="R357" s="49"/>
      <c r="S357" s="49"/>
      <c r="T357" s="49"/>
      <c r="U357" s="49"/>
      <c r="V357" s="49"/>
      <c r="W357" s="49"/>
      <c r="X357" s="49"/>
      <c r="Y357" s="49"/>
      <c r="Z357" s="49"/>
      <c r="AA357" s="49"/>
      <c r="AB357" s="49"/>
      <c r="AC357" s="49"/>
      <c r="AD357" s="49"/>
      <c r="AE357" s="49"/>
      <c r="AF357" s="49"/>
      <c r="AG357" s="49"/>
      <c r="AH357" s="49"/>
      <c r="AI357" s="49"/>
      <c r="AJ357" s="49"/>
      <c r="AK357" s="49"/>
      <c r="AL357" s="49"/>
      <c r="AM357" s="49"/>
      <c r="AN357" s="49"/>
      <c r="AO357" s="49"/>
      <c r="AP357" s="49"/>
      <c r="AQ357" s="49"/>
      <c r="AR357" s="49"/>
      <c r="AS357" s="49"/>
      <c r="AT357" s="49"/>
      <c r="AU357" s="49"/>
      <c r="AV357" s="49"/>
      <c r="AW357" s="49"/>
      <c r="AX357" s="49"/>
    </row>
    <row r="358">
      <c r="A358" s="49"/>
      <c r="B358" s="49"/>
      <c r="C358" s="50"/>
      <c r="D358" s="49"/>
      <c r="E358" s="49"/>
      <c r="F358" s="49"/>
      <c r="G358" s="49"/>
      <c r="H358" s="49"/>
      <c r="I358" s="49"/>
      <c r="J358" s="49"/>
      <c r="K358" s="49"/>
      <c r="L358" s="49"/>
      <c r="M358" s="49"/>
      <c r="N358" s="49"/>
      <c r="O358" s="49"/>
      <c r="P358" s="49"/>
      <c r="Q358" s="49"/>
      <c r="R358" s="49"/>
      <c r="S358" s="49"/>
      <c r="T358" s="49"/>
      <c r="U358" s="49"/>
      <c r="V358" s="49"/>
      <c r="W358" s="49"/>
      <c r="X358" s="49"/>
      <c r="Y358" s="49"/>
      <c r="Z358" s="49"/>
      <c r="AA358" s="49"/>
      <c r="AB358" s="49"/>
      <c r="AC358" s="49"/>
      <c r="AD358" s="49"/>
      <c r="AE358" s="49"/>
      <c r="AF358" s="49"/>
      <c r="AG358" s="49"/>
      <c r="AH358" s="49"/>
      <c r="AI358" s="49"/>
      <c r="AJ358" s="49"/>
      <c r="AK358" s="49"/>
      <c r="AL358" s="49"/>
      <c r="AM358" s="49"/>
      <c r="AN358" s="49"/>
      <c r="AO358" s="49"/>
      <c r="AP358" s="49"/>
      <c r="AQ358" s="49"/>
      <c r="AR358" s="49"/>
      <c r="AS358" s="49"/>
      <c r="AT358" s="49"/>
      <c r="AU358" s="49"/>
      <c r="AV358" s="49"/>
      <c r="AW358" s="49"/>
      <c r="AX358" s="49"/>
    </row>
    <row r="359">
      <c r="A359" s="49"/>
      <c r="B359" s="49"/>
      <c r="C359" s="50"/>
      <c r="D359" s="49"/>
      <c r="E359" s="49"/>
      <c r="F359" s="49"/>
      <c r="G359" s="49"/>
      <c r="H359" s="49"/>
      <c r="I359" s="49"/>
      <c r="J359" s="49"/>
      <c r="K359" s="49"/>
      <c r="L359" s="49"/>
      <c r="M359" s="49"/>
      <c r="N359" s="49"/>
      <c r="O359" s="49"/>
      <c r="P359" s="49"/>
      <c r="Q359" s="49"/>
      <c r="R359" s="49"/>
      <c r="S359" s="49"/>
      <c r="T359" s="49"/>
      <c r="U359" s="49"/>
      <c r="V359" s="49"/>
      <c r="W359" s="49"/>
      <c r="X359" s="49"/>
      <c r="Y359" s="49"/>
      <c r="Z359" s="49"/>
      <c r="AA359" s="49"/>
      <c r="AB359" s="49"/>
      <c r="AC359" s="49"/>
      <c r="AD359" s="49"/>
      <c r="AE359" s="49"/>
      <c r="AF359" s="49"/>
      <c r="AG359" s="49"/>
      <c r="AH359" s="49"/>
      <c r="AI359" s="49"/>
      <c r="AJ359" s="49"/>
      <c r="AK359" s="49"/>
      <c r="AL359" s="49"/>
      <c r="AM359" s="49"/>
      <c r="AN359" s="49"/>
      <c r="AO359" s="49"/>
      <c r="AP359" s="49"/>
      <c r="AQ359" s="49"/>
      <c r="AR359" s="49"/>
      <c r="AS359" s="49"/>
      <c r="AT359" s="49"/>
      <c r="AU359" s="49"/>
      <c r="AV359" s="49"/>
      <c r="AW359" s="49"/>
      <c r="AX359" s="49"/>
    </row>
    <row r="360">
      <c r="A360" s="49"/>
      <c r="B360" s="49"/>
      <c r="C360" s="50"/>
      <c r="D360" s="49"/>
      <c r="E360" s="49"/>
      <c r="F360" s="49"/>
      <c r="G360" s="49"/>
      <c r="H360" s="49"/>
      <c r="I360" s="49"/>
      <c r="J360" s="49"/>
      <c r="K360" s="49"/>
      <c r="L360" s="49"/>
      <c r="M360" s="49"/>
      <c r="N360" s="49"/>
      <c r="O360" s="49"/>
      <c r="P360" s="49"/>
      <c r="Q360" s="49"/>
      <c r="R360" s="49"/>
      <c r="S360" s="49"/>
      <c r="T360" s="49"/>
      <c r="U360" s="49"/>
      <c r="V360" s="49"/>
      <c r="W360" s="49"/>
      <c r="X360" s="49"/>
      <c r="Y360" s="49"/>
      <c r="Z360" s="49"/>
      <c r="AA360" s="49"/>
      <c r="AB360" s="49"/>
      <c r="AC360" s="49"/>
      <c r="AD360" s="49"/>
      <c r="AE360" s="49"/>
      <c r="AF360" s="49"/>
      <c r="AG360" s="49"/>
      <c r="AH360" s="49"/>
      <c r="AI360" s="49"/>
      <c r="AJ360" s="49"/>
      <c r="AK360" s="49"/>
      <c r="AL360" s="49"/>
      <c r="AM360" s="49"/>
      <c r="AN360" s="49"/>
      <c r="AO360" s="49"/>
      <c r="AP360" s="49"/>
      <c r="AQ360" s="49"/>
      <c r="AR360" s="49"/>
      <c r="AS360" s="49"/>
      <c r="AT360" s="49"/>
      <c r="AU360" s="49"/>
      <c r="AV360" s="49"/>
      <c r="AW360" s="49"/>
      <c r="AX360" s="49"/>
    </row>
    <row r="361">
      <c r="A361" s="49"/>
      <c r="B361" s="49"/>
      <c r="C361" s="50"/>
      <c r="D361" s="49"/>
      <c r="E361" s="49"/>
      <c r="F361" s="49"/>
      <c r="G361" s="49"/>
      <c r="H361" s="49"/>
      <c r="I361" s="49"/>
      <c r="J361" s="49"/>
      <c r="K361" s="49"/>
      <c r="L361" s="49"/>
      <c r="M361" s="49"/>
      <c r="N361" s="49"/>
      <c r="O361" s="49"/>
      <c r="P361" s="49"/>
      <c r="Q361" s="49"/>
      <c r="R361" s="49"/>
      <c r="S361" s="49"/>
      <c r="T361" s="49"/>
      <c r="U361" s="49"/>
      <c r="V361" s="49"/>
      <c r="W361" s="49"/>
      <c r="X361" s="49"/>
      <c r="Y361" s="49"/>
      <c r="Z361" s="49"/>
      <c r="AA361" s="49"/>
      <c r="AB361" s="49"/>
      <c r="AC361" s="49"/>
      <c r="AD361" s="49"/>
      <c r="AE361" s="49"/>
      <c r="AF361" s="49"/>
      <c r="AG361" s="49"/>
      <c r="AH361" s="49"/>
      <c r="AI361" s="49"/>
      <c r="AJ361" s="49"/>
      <c r="AK361" s="49"/>
      <c r="AL361" s="49"/>
      <c r="AM361" s="49"/>
      <c r="AN361" s="49"/>
      <c r="AO361" s="49"/>
      <c r="AP361" s="49"/>
      <c r="AQ361" s="49"/>
      <c r="AR361" s="49"/>
      <c r="AS361" s="49"/>
      <c r="AT361" s="49"/>
      <c r="AU361" s="49"/>
      <c r="AV361" s="49"/>
      <c r="AW361" s="49"/>
      <c r="AX361" s="49"/>
    </row>
    <row r="362">
      <c r="A362" s="49"/>
      <c r="B362" s="49"/>
      <c r="C362" s="50"/>
      <c r="D362" s="49"/>
      <c r="E362" s="49"/>
      <c r="F362" s="49"/>
      <c r="G362" s="49"/>
      <c r="H362" s="49"/>
      <c r="I362" s="49"/>
      <c r="J362" s="49"/>
      <c r="K362" s="49"/>
      <c r="L362" s="49"/>
      <c r="M362" s="49"/>
      <c r="N362" s="49"/>
      <c r="O362" s="49"/>
      <c r="P362" s="49"/>
      <c r="Q362" s="49"/>
      <c r="R362" s="49"/>
      <c r="S362" s="49"/>
      <c r="T362" s="49"/>
      <c r="U362" s="49"/>
      <c r="V362" s="49"/>
      <c r="W362" s="49"/>
      <c r="X362" s="49"/>
      <c r="Y362" s="49"/>
      <c r="Z362" s="49"/>
      <c r="AA362" s="49"/>
      <c r="AB362" s="49"/>
      <c r="AC362" s="49"/>
      <c r="AD362" s="49"/>
      <c r="AE362" s="49"/>
      <c r="AF362" s="49"/>
      <c r="AG362" s="49"/>
      <c r="AH362" s="49"/>
      <c r="AI362" s="49"/>
      <c r="AJ362" s="49"/>
      <c r="AK362" s="49"/>
      <c r="AL362" s="49"/>
      <c r="AM362" s="49"/>
      <c r="AN362" s="49"/>
      <c r="AO362" s="49"/>
      <c r="AP362" s="49"/>
      <c r="AQ362" s="49"/>
      <c r="AR362" s="49"/>
      <c r="AS362" s="49"/>
      <c r="AT362" s="49"/>
      <c r="AU362" s="49"/>
      <c r="AV362" s="49"/>
      <c r="AW362" s="49"/>
      <c r="AX362" s="49"/>
    </row>
    <row r="363">
      <c r="A363" s="49"/>
      <c r="B363" s="49"/>
      <c r="C363" s="50"/>
      <c r="D363" s="49"/>
      <c r="E363" s="49"/>
      <c r="F363" s="49"/>
      <c r="G363" s="49"/>
      <c r="H363" s="49"/>
      <c r="I363" s="49"/>
      <c r="J363" s="49"/>
      <c r="K363" s="49"/>
      <c r="L363" s="49"/>
      <c r="M363" s="49"/>
      <c r="N363" s="49"/>
      <c r="O363" s="49"/>
      <c r="P363" s="49"/>
      <c r="Q363" s="49"/>
      <c r="R363" s="49"/>
      <c r="S363" s="49"/>
      <c r="T363" s="49"/>
      <c r="U363" s="49"/>
      <c r="V363" s="49"/>
      <c r="W363" s="49"/>
      <c r="X363" s="49"/>
      <c r="Y363" s="49"/>
      <c r="Z363" s="49"/>
      <c r="AA363" s="49"/>
      <c r="AB363" s="49"/>
      <c r="AC363" s="49"/>
      <c r="AD363" s="49"/>
      <c r="AE363" s="49"/>
      <c r="AF363" s="49"/>
      <c r="AG363" s="49"/>
      <c r="AH363" s="49"/>
      <c r="AI363" s="49"/>
      <c r="AJ363" s="49"/>
      <c r="AK363" s="49"/>
      <c r="AL363" s="49"/>
      <c r="AM363" s="49"/>
      <c r="AN363" s="49"/>
      <c r="AO363" s="49"/>
      <c r="AP363" s="49"/>
      <c r="AQ363" s="49"/>
      <c r="AR363" s="49"/>
      <c r="AS363" s="49"/>
      <c r="AT363" s="49"/>
      <c r="AU363" s="49"/>
      <c r="AV363" s="49"/>
      <c r="AW363" s="49"/>
      <c r="AX363" s="49"/>
    </row>
    <row r="364">
      <c r="A364" s="49"/>
      <c r="B364" s="49"/>
      <c r="C364" s="50"/>
      <c r="D364" s="49"/>
      <c r="E364" s="49"/>
      <c r="F364" s="49"/>
      <c r="G364" s="49"/>
      <c r="H364" s="49"/>
      <c r="I364" s="49"/>
      <c r="J364" s="49"/>
      <c r="K364" s="49"/>
      <c r="L364" s="49"/>
      <c r="M364" s="49"/>
      <c r="N364" s="49"/>
      <c r="O364" s="49"/>
      <c r="P364" s="49"/>
      <c r="Q364" s="49"/>
      <c r="R364" s="49"/>
      <c r="S364" s="49"/>
      <c r="T364" s="49"/>
      <c r="U364" s="49"/>
      <c r="V364" s="49"/>
      <c r="W364" s="49"/>
      <c r="X364" s="49"/>
      <c r="Y364" s="49"/>
      <c r="Z364" s="49"/>
      <c r="AA364" s="49"/>
      <c r="AB364" s="49"/>
      <c r="AC364" s="49"/>
      <c r="AD364" s="49"/>
      <c r="AE364" s="49"/>
      <c r="AF364" s="49"/>
      <c r="AG364" s="49"/>
      <c r="AH364" s="49"/>
      <c r="AI364" s="49"/>
      <c r="AJ364" s="49"/>
      <c r="AK364" s="49"/>
      <c r="AL364" s="49"/>
      <c r="AM364" s="49"/>
      <c r="AN364" s="49"/>
      <c r="AO364" s="49"/>
      <c r="AP364" s="49"/>
      <c r="AQ364" s="49"/>
      <c r="AR364" s="49"/>
      <c r="AS364" s="49"/>
      <c r="AT364" s="49"/>
      <c r="AU364" s="49"/>
      <c r="AV364" s="49"/>
      <c r="AW364" s="49"/>
      <c r="AX364" s="49"/>
    </row>
    <row r="365">
      <c r="A365" s="49"/>
      <c r="B365" s="49"/>
      <c r="C365" s="50"/>
      <c r="D365" s="49"/>
      <c r="E365" s="49"/>
      <c r="F365" s="49"/>
      <c r="G365" s="49"/>
      <c r="H365" s="49"/>
      <c r="I365" s="49"/>
      <c r="J365" s="49"/>
      <c r="K365" s="49"/>
      <c r="L365" s="49"/>
      <c r="M365" s="49"/>
      <c r="N365" s="49"/>
      <c r="O365" s="49"/>
      <c r="P365" s="49"/>
      <c r="Q365" s="49"/>
      <c r="R365" s="49"/>
      <c r="S365" s="49"/>
      <c r="T365" s="49"/>
      <c r="U365" s="49"/>
      <c r="V365" s="49"/>
      <c r="W365" s="49"/>
      <c r="X365" s="49"/>
      <c r="Y365" s="49"/>
      <c r="Z365" s="49"/>
      <c r="AA365" s="49"/>
      <c r="AB365" s="49"/>
      <c r="AC365" s="49"/>
      <c r="AD365" s="49"/>
      <c r="AE365" s="49"/>
      <c r="AF365" s="49"/>
      <c r="AG365" s="49"/>
      <c r="AH365" s="49"/>
      <c r="AI365" s="49"/>
      <c r="AJ365" s="49"/>
      <c r="AK365" s="49"/>
      <c r="AL365" s="49"/>
      <c r="AM365" s="49"/>
      <c r="AN365" s="49"/>
      <c r="AO365" s="49"/>
      <c r="AP365" s="49"/>
      <c r="AQ365" s="49"/>
      <c r="AR365" s="49"/>
      <c r="AS365" s="49"/>
      <c r="AT365" s="49"/>
      <c r="AU365" s="49"/>
      <c r="AV365" s="49"/>
      <c r="AW365" s="49"/>
      <c r="AX365" s="49"/>
    </row>
    <row r="366">
      <c r="A366" s="49"/>
      <c r="B366" s="49"/>
      <c r="C366" s="50"/>
      <c r="D366" s="49"/>
      <c r="E366" s="49"/>
      <c r="F366" s="49"/>
      <c r="G366" s="49"/>
      <c r="H366" s="49"/>
      <c r="I366" s="49"/>
      <c r="J366" s="49"/>
      <c r="K366" s="49"/>
      <c r="L366" s="49"/>
      <c r="M366" s="49"/>
      <c r="N366" s="49"/>
      <c r="O366" s="49"/>
      <c r="P366" s="49"/>
      <c r="Q366" s="49"/>
      <c r="R366" s="49"/>
      <c r="S366" s="49"/>
      <c r="T366" s="49"/>
      <c r="U366" s="49"/>
      <c r="V366" s="49"/>
      <c r="W366" s="49"/>
      <c r="X366" s="49"/>
      <c r="Y366" s="49"/>
      <c r="Z366" s="49"/>
      <c r="AA366" s="49"/>
      <c r="AB366" s="49"/>
      <c r="AC366" s="49"/>
      <c r="AD366" s="49"/>
      <c r="AE366" s="49"/>
      <c r="AF366" s="49"/>
      <c r="AG366" s="49"/>
      <c r="AH366" s="49"/>
      <c r="AI366" s="49"/>
      <c r="AJ366" s="49"/>
      <c r="AK366" s="49"/>
      <c r="AL366" s="49"/>
      <c r="AM366" s="49"/>
      <c r="AN366" s="49"/>
      <c r="AO366" s="49"/>
      <c r="AP366" s="49"/>
      <c r="AQ366" s="49"/>
      <c r="AR366" s="49"/>
      <c r="AS366" s="49"/>
      <c r="AT366" s="49"/>
      <c r="AU366" s="49"/>
      <c r="AV366" s="49"/>
      <c r="AW366" s="49"/>
      <c r="AX366" s="49"/>
    </row>
    <row r="367">
      <c r="A367" s="49"/>
      <c r="B367" s="49"/>
      <c r="C367" s="50"/>
      <c r="D367" s="49"/>
      <c r="E367" s="49"/>
      <c r="F367" s="49"/>
      <c r="G367" s="49"/>
      <c r="H367" s="49"/>
      <c r="I367" s="49"/>
      <c r="J367" s="49"/>
      <c r="K367" s="49"/>
      <c r="L367" s="49"/>
      <c r="M367" s="49"/>
      <c r="N367" s="49"/>
      <c r="O367" s="49"/>
      <c r="P367" s="49"/>
      <c r="Q367" s="49"/>
      <c r="R367" s="49"/>
      <c r="S367" s="49"/>
      <c r="T367" s="49"/>
      <c r="U367" s="49"/>
      <c r="V367" s="49"/>
      <c r="W367" s="49"/>
      <c r="X367" s="49"/>
      <c r="Y367" s="49"/>
      <c r="Z367" s="49"/>
      <c r="AA367" s="49"/>
      <c r="AB367" s="49"/>
      <c r="AC367" s="49"/>
      <c r="AD367" s="49"/>
      <c r="AE367" s="49"/>
      <c r="AF367" s="49"/>
      <c r="AG367" s="49"/>
      <c r="AH367" s="49"/>
      <c r="AI367" s="49"/>
      <c r="AJ367" s="49"/>
      <c r="AK367" s="49"/>
      <c r="AL367" s="49"/>
      <c r="AM367" s="49"/>
      <c r="AN367" s="49"/>
      <c r="AO367" s="49"/>
      <c r="AP367" s="49"/>
      <c r="AQ367" s="49"/>
      <c r="AR367" s="49"/>
      <c r="AS367" s="49"/>
      <c r="AT367" s="49"/>
      <c r="AU367" s="49"/>
      <c r="AV367" s="49"/>
      <c r="AW367" s="49"/>
      <c r="AX367" s="49"/>
    </row>
    <row r="368">
      <c r="A368" s="49"/>
      <c r="B368" s="49"/>
      <c r="C368" s="50"/>
      <c r="D368" s="49"/>
      <c r="E368" s="49"/>
      <c r="F368" s="49"/>
      <c r="G368" s="49"/>
      <c r="H368" s="49"/>
      <c r="I368" s="49"/>
      <c r="J368" s="49"/>
      <c r="K368" s="49"/>
      <c r="L368" s="49"/>
      <c r="M368" s="49"/>
      <c r="N368" s="49"/>
      <c r="O368" s="49"/>
      <c r="P368" s="49"/>
      <c r="Q368" s="49"/>
      <c r="R368" s="49"/>
      <c r="S368" s="49"/>
      <c r="T368" s="49"/>
      <c r="U368" s="49"/>
      <c r="V368" s="49"/>
      <c r="W368" s="49"/>
      <c r="X368" s="49"/>
      <c r="Y368" s="49"/>
      <c r="Z368" s="49"/>
      <c r="AA368" s="49"/>
      <c r="AB368" s="49"/>
      <c r="AC368" s="49"/>
      <c r="AD368" s="49"/>
      <c r="AE368" s="49"/>
      <c r="AF368" s="49"/>
      <c r="AG368" s="49"/>
      <c r="AH368" s="49"/>
      <c r="AI368" s="49"/>
      <c r="AJ368" s="49"/>
      <c r="AK368" s="49"/>
      <c r="AL368" s="49"/>
      <c r="AM368" s="49"/>
      <c r="AN368" s="49"/>
      <c r="AO368" s="49"/>
      <c r="AP368" s="49"/>
      <c r="AQ368" s="49"/>
      <c r="AR368" s="49"/>
      <c r="AS368" s="49"/>
      <c r="AT368" s="49"/>
      <c r="AU368" s="49"/>
      <c r="AV368" s="49"/>
      <c r="AW368" s="49"/>
      <c r="AX368" s="49"/>
    </row>
    <row r="369">
      <c r="A369" s="49"/>
      <c r="B369" s="49"/>
      <c r="C369" s="50"/>
      <c r="D369" s="49"/>
      <c r="E369" s="49"/>
      <c r="F369" s="49"/>
      <c r="G369" s="49"/>
      <c r="H369" s="49"/>
      <c r="I369" s="49"/>
      <c r="J369" s="49"/>
      <c r="K369" s="49"/>
      <c r="L369" s="49"/>
      <c r="M369" s="49"/>
      <c r="N369" s="49"/>
      <c r="O369" s="49"/>
      <c r="P369" s="49"/>
      <c r="Q369" s="49"/>
      <c r="R369" s="49"/>
      <c r="S369" s="49"/>
      <c r="T369" s="49"/>
      <c r="U369" s="49"/>
      <c r="V369" s="49"/>
      <c r="W369" s="49"/>
      <c r="X369" s="49"/>
      <c r="Y369" s="49"/>
      <c r="Z369" s="49"/>
      <c r="AA369" s="49"/>
      <c r="AB369" s="49"/>
      <c r="AC369" s="49"/>
      <c r="AD369" s="49"/>
      <c r="AE369" s="49"/>
      <c r="AF369" s="49"/>
      <c r="AG369" s="49"/>
      <c r="AH369" s="49"/>
      <c r="AI369" s="49"/>
      <c r="AJ369" s="49"/>
      <c r="AK369" s="49"/>
      <c r="AL369" s="49"/>
      <c r="AM369" s="49"/>
      <c r="AN369" s="49"/>
      <c r="AO369" s="49"/>
      <c r="AP369" s="49"/>
      <c r="AQ369" s="49"/>
      <c r="AR369" s="49"/>
      <c r="AS369" s="49"/>
      <c r="AT369" s="49"/>
      <c r="AU369" s="49"/>
      <c r="AV369" s="49"/>
      <c r="AW369" s="49"/>
      <c r="AX369" s="49"/>
    </row>
    <row r="370">
      <c r="A370" s="49"/>
      <c r="B370" s="49"/>
      <c r="C370" s="50"/>
      <c r="D370" s="49"/>
      <c r="E370" s="49"/>
      <c r="F370" s="49"/>
      <c r="G370" s="49"/>
      <c r="H370" s="49"/>
      <c r="I370" s="49"/>
      <c r="J370" s="49"/>
      <c r="K370" s="49"/>
      <c r="L370" s="49"/>
      <c r="M370" s="49"/>
      <c r="N370" s="49"/>
      <c r="O370" s="49"/>
      <c r="P370" s="49"/>
      <c r="Q370" s="49"/>
      <c r="R370" s="49"/>
      <c r="S370" s="49"/>
      <c r="T370" s="49"/>
      <c r="U370" s="49"/>
      <c r="V370" s="49"/>
      <c r="W370" s="49"/>
      <c r="X370" s="49"/>
      <c r="Y370" s="49"/>
      <c r="Z370" s="49"/>
      <c r="AA370" s="49"/>
      <c r="AB370" s="49"/>
      <c r="AC370" s="49"/>
      <c r="AD370" s="49"/>
      <c r="AE370" s="49"/>
      <c r="AF370" s="49"/>
      <c r="AG370" s="49"/>
      <c r="AH370" s="49"/>
      <c r="AI370" s="49"/>
      <c r="AJ370" s="49"/>
      <c r="AK370" s="49"/>
      <c r="AL370" s="49"/>
      <c r="AM370" s="49"/>
      <c r="AN370" s="49"/>
      <c r="AO370" s="49"/>
      <c r="AP370" s="49"/>
      <c r="AQ370" s="49"/>
      <c r="AR370" s="49"/>
      <c r="AS370" s="49"/>
      <c r="AT370" s="49"/>
      <c r="AU370" s="49"/>
      <c r="AV370" s="49"/>
      <c r="AW370" s="49"/>
      <c r="AX370" s="49"/>
    </row>
    <row r="371">
      <c r="A371" s="49"/>
      <c r="B371" s="49"/>
      <c r="C371" s="50"/>
      <c r="D371" s="49"/>
      <c r="E371" s="49"/>
      <c r="F371" s="49"/>
      <c r="G371" s="49"/>
      <c r="H371" s="49"/>
      <c r="I371" s="49"/>
      <c r="J371" s="49"/>
      <c r="K371" s="49"/>
      <c r="L371" s="49"/>
      <c r="M371" s="49"/>
      <c r="N371" s="49"/>
      <c r="O371" s="49"/>
      <c r="P371" s="49"/>
      <c r="Q371" s="49"/>
      <c r="R371" s="49"/>
      <c r="S371" s="49"/>
      <c r="T371" s="49"/>
      <c r="U371" s="49"/>
      <c r="V371" s="49"/>
      <c r="W371" s="49"/>
      <c r="X371" s="49"/>
      <c r="Y371" s="49"/>
      <c r="Z371" s="49"/>
      <c r="AA371" s="49"/>
      <c r="AB371" s="49"/>
      <c r="AC371" s="49"/>
      <c r="AD371" s="49"/>
      <c r="AE371" s="49"/>
      <c r="AF371" s="49"/>
      <c r="AG371" s="49"/>
      <c r="AH371" s="49"/>
      <c r="AI371" s="49"/>
      <c r="AJ371" s="49"/>
      <c r="AK371" s="49"/>
      <c r="AL371" s="49"/>
      <c r="AM371" s="49"/>
      <c r="AN371" s="49"/>
      <c r="AO371" s="49"/>
      <c r="AP371" s="49"/>
      <c r="AQ371" s="49"/>
      <c r="AR371" s="49"/>
      <c r="AS371" s="49"/>
      <c r="AT371" s="49"/>
      <c r="AU371" s="49"/>
      <c r="AV371" s="49"/>
      <c r="AW371" s="49"/>
      <c r="AX371" s="49"/>
    </row>
    <row r="372">
      <c r="A372" s="49"/>
      <c r="B372" s="49"/>
      <c r="C372" s="50"/>
      <c r="D372" s="49"/>
      <c r="E372" s="49"/>
      <c r="F372" s="49"/>
      <c r="G372" s="49"/>
      <c r="H372" s="49"/>
      <c r="I372" s="49"/>
      <c r="J372" s="49"/>
      <c r="K372" s="49"/>
      <c r="L372" s="49"/>
      <c r="M372" s="49"/>
      <c r="N372" s="49"/>
      <c r="O372" s="49"/>
      <c r="P372" s="49"/>
      <c r="Q372" s="49"/>
      <c r="R372" s="49"/>
      <c r="S372" s="49"/>
      <c r="T372" s="49"/>
      <c r="U372" s="49"/>
      <c r="V372" s="49"/>
      <c r="W372" s="49"/>
      <c r="X372" s="49"/>
      <c r="Y372" s="49"/>
      <c r="Z372" s="49"/>
      <c r="AA372" s="49"/>
      <c r="AB372" s="49"/>
      <c r="AC372" s="49"/>
      <c r="AD372" s="49"/>
      <c r="AE372" s="49"/>
      <c r="AF372" s="49"/>
      <c r="AG372" s="49"/>
      <c r="AH372" s="49"/>
      <c r="AI372" s="49"/>
      <c r="AJ372" s="49"/>
      <c r="AK372" s="49"/>
      <c r="AL372" s="49"/>
      <c r="AM372" s="49"/>
      <c r="AN372" s="49"/>
      <c r="AO372" s="49"/>
      <c r="AP372" s="49"/>
      <c r="AQ372" s="49"/>
      <c r="AR372" s="49"/>
      <c r="AS372" s="49"/>
      <c r="AT372" s="49"/>
      <c r="AU372" s="49"/>
      <c r="AV372" s="49"/>
      <c r="AW372" s="49"/>
      <c r="AX372" s="49"/>
    </row>
    <row r="373">
      <c r="A373" s="49"/>
      <c r="B373" s="49"/>
      <c r="C373" s="50"/>
      <c r="D373" s="49"/>
      <c r="E373" s="49"/>
      <c r="F373" s="49"/>
      <c r="G373" s="49"/>
      <c r="H373" s="49"/>
      <c r="I373" s="49"/>
      <c r="J373" s="49"/>
      <c r="K373" s="49"/>
      <c r="L373" s="49"/>
      <c r="M373" s="49"/>
      <c r="N373" s="49"/>
      <c r="O373" s="49"/>
      <c r="P373" s="49"/>
      <c r="Q373" s="49"/>
      <c r="R373" s="49"/>
      <c r="S373" s="49"/>
      <c r="T373" s="49"/>
      <c r="U373" s="49"/>
      <c r="V373" s="49"/>
      <c r="W373" s="49"/>
      <c r="X373" s="49"/>
      <c r="Y373" s="49"/>
      <c r="Z373" s="49"/>
      <c r="AA373" s="49"/>
      <c r="AB373" s="49"/>
      <c r="AC373" s="49"/>
      <c r="AD373" s="49"/>
      <c r="AE373" s="49"/>
      <c r="AF373" s="49"/>
      <c r="AG373" s="49"/>
      <c r="AH373" s="49"/>
      <c r="AI373" s="49"/>
      <c r="AJ373" s="49"/>
      <c r="AK373" s="49"/>
      <c r="AL373" s="49"/>
      <c r="AM373" s="49"/>
      <c r="AN373" s="49"/>
      <c r="AO373" s="49"/>
      <c r="AP373" s="49"/>
      <c r="AQ373" s="49"/>
      <c r="AR373" s="49"/>
      <c r="AS373" s="49"/>
      <c r="AT373" s="49"/>
      <c r="AU373" s="49"/>
      <c r="AV373" s="49"/>
      <c r="AW373" s="49"/>
      <c r="AX373" s="49"/>
    </row>
    <row r="374">
      <c r="A374" s="49"/>
      <c r="B374" s="49"/>
      <c r="C374" s="50"/>
      <c r="D374" s="49"/>
      <c r="E374" s="49"/>
      <c r="F374" s="49"/>
      <c r="G374" s="49"/>
      <c r="H374" s="49"/>
      <c r="I374" s="49"/>
      <c r="J374" s="49"/>
      <c r="K374" s="49"/>
      <c r="L374" s="49"/>
      <c r="M374" s="49"/>
      <c r="N374" s="49"/>
      <c r="O374" s="49"/>
      <c r="P374" s="49"/>
      <c r="Q374" s="49"/>
      <c r="R374" s="49"/>
      <c r="S374" s="49"/>
      <c r="T374" s="49"/>
      <c r="U374" s="49"/>
      <c r="V374" s="49"/>
      <c r="W374" s="49"/>
      <c r="X374" s="49"/>
      <c r="Y374" s="49"/>
      <c r="Z374" s="49"/>
      <c r="AA374" s="49"/>
      <c r="AB374" s="49"/>
      <c r="AC374" s="49"/>
      <c r="AD374" s="49"/>
      <c r="AE374" s="49"/>
      <c r="AF374" s="49"/>
      <c r="AG374" s="49"/>
      <c r="AH374" s="49"/>
      <c r="AI374" s="49"/>
      <c r="AJ374" s="49"/>
      <c r="AK374" s="49"/>
      <c r="AL374" s="49"/>
      <c r="AM374" s="49"/>
      <c r="AN374" s="49"/>
      <c r="AO374" s="49"/>
      <c r="AP374" s="49"/>
      <c r="AQ374" s="49"/>
      <c r="AR374" s="49"/>
      <c r="AS374" s="49"/>
      <c r="AT374" s="49"/>
      <c r="AU374" s="49"/>
      <c r="AV374" s="49"/>
      <c r="AW374" s="49"/>
      <c r="AX374" s="49"/>
    </row>
    <row r="375">
      <c r="A375" s="49"/>
      <c r="B375" s="49"/>
      <c r="C375" s="50"/>
      <c r="D375" s="49"/>
      <c r="E375" s="49"/>
      <c r="F375" s="49"/>
      <c r="G375" s="49"/>
      <c r="H375" s="49"/>
      <c r="I375" s="49"/>
      <c r="J375" s="49"/>
      <c r="K375" s="49"/>
      <c r="L375" s="49"/>
      <c r="M375" s="49"/>
      <c r="N375" s="49"/>
      <c r="O375" s="49"/>
      <c r="P375" s="49"/>
      <c r="Q375" s="49"/>
      <c r="R375" s="49"/>
      <c r="S375" s="49"/>
      <c r="T375" s="49"/>
      <c r="U375" s="49"/>
      <c r="V375" s="49"/>
      <c r="W375" s="49"/>
      <c r="X375" s="49"/>
      <c r="Y375" s="49"/>
      <c r="Z375" s="49"/>
      <c r="AA375" s="49"/>
      <c r="AB375" s="49"/>
      <c r="AC375" s="49"/>
      <c r="AD375" s="49"/>
      <c r="AE375" s="49"/>
      <c r="AF375" s="49"/>
      <c r="AG375" s="49"/>
      <c r="AH375" s="49"/>
      <c r="AI375" s="49"/>
      <c r="AJ375" s="49"/>
      <c r="AK375" s="49"/>
      <c r="AL375" s="49"/>
      <c r="AM375" s="49"/>
      <c r="AN375" s="49"/>
      <c r="AO375" s="49"/>
      <c r="AP375" s="49"/>
      <c r="AQ375" s="49"/>
      <c r="AR375" s="49"/>
      <c r="AS375" s="49"/>
      <c r="AT375" s="49"/>
      <c r="AU375" s="49"/>
      <c r="AV375" s="49"/>
      <c r="AW375" s="49"/>
      <c r="AX375" s="49"/>
    </row>
    <row r="376">
      <c r="A376" s="49"/>
      <c r="B376" s="49"/>
      <c r="C376" s="50"/>
      <c r="D376" s="49"/>
      <c r="E376" s="49"/>
      <c r="F376" s="49"/>
      <c r="G376" s="49"/>
      <c r="H376" s="49"/>
      <c r="I376" s="49"/>
      <c r="J376" s="49"/>
      <c r="K376" s="49"/>
      <c r="L376" s="49"/>
      <c r="M376" s="49"/>
      <c r="N376" s="49"/>
      <c r="O376" s="49"/>
      <c r="P376" s="49"/>
      <c r="Q376" s="49"/>
      <c r="R376" s="49"/>
      <c r="S376" s="49"/>
      <c r="T376" s="49"/>
      <c r="U376" s="49"/>
      <c r="V376" s="49"/>
      <c r="W376" s="49"/>
      <c r="X376" s="49"/>
      <c r="Y376" s="49"/>
      <c r="Z376" s="49"/>
      <c r="AA376" s="49"/>
      <c r="AB376" s="49"/>
      <c r="AC376" s="49"/>
      <c r="AD376" s="49"/>
      <c r="AE376" s="49"/>
      <c r="AF376" s="49"/>
      <c r="AG376" s="49"/>
      <c r="AH376" s="49"/>
      <c r="AI376" s="49"/>
      <c r="AJ376" s="49"/>
      <c r="AK376" s="49"/>
      <c r="AL376" s="49"/>
      <c r="AM376" s="49"/>
      <c r="AN376" s="49"/>
      <c r="AO376" s="49"/>
      <c r="AP376" s="49"/>
      <c r="AQ376" s="49"/>
      <c r="AR376" s="49"/>
      <c r="AS376" s="49"/>
      <c r="AT376" s="49"/>
      <c r="AU376" s="49"/>
      <c r="AV376" s="49"/>
      <c r="AW376" s="49"/>
      <c r="AX376" s="49"/>
    </row>
    <row r="377">
      <c r="A377" s="49"/>
      <c r="B377" s="49"/>
      <c r="C377" s="50"/>
      <c r="D377" s="49"/>
      <c r="E377" s="49"/>
      <c r="F377" s="49"/>
      <c r="G377" s="49"/>
      <c r="H377" s="49"/>
      <c r="I377" s="49"/>
      <c r="J377" s="49"/>
      <c r="K377" s="49"/>
      <c r="L377" s="49"/>
      <c r="M377" s="49"/>
      <c r="N377" s="49"/>
      <c r="O377" s="49"/>
      <c r="P377" s="49"/>
      <c r="Q377" s="49"/>
      <c r="R377" s="49"/>
      <c r="S377" s="49"/>
      <c r="T377" s="49"/>
      <c r="U377" s="49"/>
      <c r="V377" s="49"/>
      <c r="W377" s="49"/>
      <c r="X377" s="49"/>
      <c r="Y377" s="49"/>
      <c r="Z377" s="49"/>
      <c r="AA377" s="49"/>
      <c r="AB377" s="49"/>
      <c r="AC377" s="49"/>
      <c r="AD377" s="49"/>
      <c r="AE377" s="49"/>
      <c r="AF377" s="49"/>
      <c r="AG377" s="49"/>
      <c r="AH377" s="49"/>
      <c r="AI377" s="49"/>
      <c r="AJ377" s="49"/>
      <c r="AK377" s="49"/>
      <c r="AL377" s="49"/>
      <c r="AM377" s="49"/>
      <c r="AN377" s="49"/>
      <c r="AO377" s="49"/>
      <c r="AP377" s="49"/>
      <c r="AQ377" s="49"/>
      <c r="AR377" s="49"/>
      <c r="AS377" s="49"/>
      <c r="AT377" s="49"/>
      <c r="AU377" s="49"/>
      <c r="AV377" s="49"/>
      <c r="AW377" s="49"/>
      <c r="AX377" s="49"/>
    </row>
    <row r="378">
      <c r="A378" s="49"/>
      <c r="B378" s="49"/>
      <c r="C378" s="50"/>
      <c r="D378" s="49"/>
      <c r="E378" s="49"/>
      <c r="F378" s="49"/>
      <c r="G378" s="49"/>
      <c r="H378" s="49"/>
      <c r="I378" s="49"/>
      <c r="J378" s="49"/>
      <c r="K378" s="49"/>
      <c r="L378" s="49"/>
      <c r="M378" s="49"/>
      <c r="N378" s="49"/>
      <c r="O378" s="49"/>
      <c r="P378" s="49"/>
      <c r="Q378" s="49"/>
      <c r="R378" s="49"/>
      <c r="S378" s="49"/>
      <c r="T378" s="49"/>
      <c r="U378" s="49"/>
      <c r="V378" s="49"/>
      <c r="W378" s="49"/>
      <c r="X378" s="49"/>
      <c r="Y378" s="49"/>
      <c r="Z378" s="49"/>
      <c r="AA378" s="49"/>
      <c r="AB378" s="49"/>
      <c r="AC378" s="49"/>
      <c r="AD378" s="49"/>
      <c r="AE378" s="49"/>
      <c r="AF378" s="49"/>
      <c r="AG378" s="49"/>
      <c r="AH378" s="49"/>
      <c r="AI378" s="49"/>
      <c r="AJ378" s="49"/>
      <c r="AK378" s="49"/>
      <c r="AL378" s="49"/>
      <c r="AM378" s="49"/>
      <c r="AN378" s="49"/>
      <c r="AO378" s="49"/>
      <c r="AP378" s="49"/>
      <c r="AQ378" s="49"/>
      <c r="AR378" s="49"/>
      <c r="AS378" s="49"/>
      <c r="AT378" s="49"/>
      <c r="AU378" s="49"/>
      <c r="AV378" s="49"/>
      <c r="AW378" s="49"/>
      <c r="AX378" s="49"/>
    </row>
    <row r="379">
      <c r="A379" s="49"/>
      <c r="B379" s="49"/>
      <c r="C379" s="50"/>
      <c r="D379" s="49"/>
      <c r="E379" s="49"/>
      <c r="F379" s="49"/>
      <c r="G379" s="49"/>
      <c r="H379" s="49"/>
      <c r="I379" s="49"/>
      <c r="J379" s="49"/>
      <c r="K379" s="49"/>
      <c r="L379" s="49"/>
      <c r="M379" s="49"/>
      <c r="N379" s="49"/>
      <c r="O379" s="49"/>
      <c r="P379" s="49"/>
      <c r="Q379" s="49"/>
      <c r="R379" s="49"/>
      <c r="S379" s="49"/>
      <c r="T379" s="49"/>
      <c r="U379" s="49"/>
      <c r="V379" s="49"/>
      <c r="W379" s="49"/>
      <c r="X379" s="49"/>
      <c r="Y379" s="49"/>
      <c r="Z379" s="49"/>
      <c r="AA379" s="49"/>
      <c r="AB379" s="49"/>
      <c r="AC379" s="49"/>
      <c r="AD379" s="49"/>
      <c r="AE379" s="49"/>
      <c r="AF379" s="49"/>
      <c r="AG379" s="49"/>
      <c r="AH379" s="49"/>
      <c r="AI379" s="49"/>
      <c r="AJ379" s="49"/>
      <c r="AK379" s="49"/>
      <c r="AL379" s="49"/>
      <c r="AM379" s="49"/>
      <c r="AN379" s="49"/>
      <c r="AO379" s="49"/>
      <c r="AP379" s="49"/>
      <c r="AQ379" s="49"/>
      <c r="AR379" s="49"/>
      <c r="AS379" s="49"/>
      <c r="AT379" s="49"/>
      <c r="AU379" s="49"/>
      <c r="AV379" s="49"/>
      <c r="AW379" s="49"/>
      <c r="AX379" s="49"/>
    </row>
    <row r="380">
      <c r="A380" s="49"/>
      <c r="B380" s="49"/>
      <c r="C380" s="50"/>
      <c r="D380" s="49"/>
      <c r="E380" s="49"/>
      <c r="F380" s="49"/>
      <c r="G380" s="49"/>
      <c r="H380" s="49"/>
      <c r="I380" s="49"/>
      <c r="J380" s="49"/>
      <c r="K380" s="49"/>
      <c r="L380" s="49"/>
      <c r="M380" s="49"/>
      <c r="N380" s="49"/>
      <c r="O380" s="49"/>
      <c r="P380" s="49"/>
      <c r="Q380" s="49"/>
      <c r="R380" s="49"/>
      <c r="S380" s="49"/>
      <c r="T380" s="49"/>
      <c r="U380" s="49"/>
      <c r="V380" s="49"/>
      <c r="W380" s="49"/>
      <c r="X380" s="49"/>
      <c r="Y380" s="49"/>
      <c r="Z380" s="49"/>
      <c r="AA380" s="49"/>
      <c r="AB380" s="49"/>
      <c r="AC380" s="49"/>
      <c r="AD380" s="49"/>
      <c r="AE380" s="49"/>
      <c r="AF380" s="49"/>
      <c r="AG380" s="49"/>
      <c r="AH380" s="49"/>
      <c r="AI380" s="49"/>
      <c r="AJ380" s="49"/>
      <c r="AK380" s="49"/>
      <c r="AL380" s="49"/>
      <c r="AM380" s="49"/>
      <c r="AN380" s="49"/>
      <c r="AO380" s="49"/>
      <c r="AP380" s="49"/>
      <c r="AQ380" s="49"/>
      <c r="AR380" s="49"/>
      <c r="AS380" s="49"/>
      <c r="AT380" s="49"/>
      <c r="AU380" s="49"/>
      <c r="AV380" s="49"/>
      <c r="AW380" s="49"/>
      <c r="AX380" s="49"/>
    </row>
    <row r="381">
      <c r="A381" s="49"/>
      <c r="B381" s="49"/>
      <c r="C381" s="50"/>
      <c r="D381" s="49"/>
      <c r="E381" s="49"/>
      <c r="F381" s="49"/>
      <c r="G381" s="49"/>
      <c r="H381" s="49"/>
      <c r="I381" s="49"/>
      <c r="J381" s="49"/>
      <c r="K381" s="49"/>
      <c r="L381" s="49"/>
      <c r="M381" s="49"/>
      <c r="N381" s="49"/>
      <c r="O381" s="49"/>
      <c r="P381" s="49"/>
      <c r="Q381" s="49"/>
      <c r="R381" s="49"/>
      <c r="S381" s="49"/>
      <c r="T381" s="49"/>
      <c r="U381" s="49"/>
      <c r="V381" s="49"/>
      <c r="W381" s="49"/>
      <c r="X381" s="49"/>
      <c r="Y381" s="49"/>
      <c r="Z381" s="49"/>
      <c r="AA381" s="49"/>
      <c r="AB381" s="49"/>
      <c r="AC381" s="49"/>
      <c r="AD381" s="49"/>
      <c r="AE381" s="49"/>
      <c r="AF381" s="49"/>
      <c r="AG381" s="49"/>
      <c r="AH381" s="49"/>
      <c r="AI381" s="49"/>
      <c r="AJ381" s="49"/>
      <c r="AK381" s="49"/>
      <c r="AL381" s="49"/>
      <c r="AM381" s="49"/>
      <c r="AN381" s="49"/>
      <c r="AO381" s="49"/>
      <c r="AP381" s="49"/>
      <c r="AQ381" s="49"/>
      <c r="AR381" s="49"/>
      <c r="AS381" s="49"/>
      <c r="AT381" s="49"/>
      <c r="AU381" s="49"/>
      <c r="AV381" s="49"/>
      <c r="AW381" s="49"/>
      <c r="AX381" s="49"/>
    </row>
    <row r="382">
      <c r="A382" s="49"/>
      <c r="B382" s="49"/>
      <c r="C382" s="50"/>
      <c r="D382" s="49"/>
      <c r="E382" s="49"/>
      <c r="F382" s="49"/>
      <c r="G382" s="49"/>
      <c r="H382" s="49"/>
      <c r="I382" s="49"/>
      <c r="J382" s="49"/>
      <c r="K382" s="49"/>
      <c r="L382" s="49"/>
      <c r="M382" s="49"/>
      <c r="N382" s="49"/>
      <c r="O382" s="49"/>
      <c r="P382" s="49"/>
      <c r="Q382" s="49"/>
      <c r="R382" s="49"/>
      <c r="S382" s="49"/>
      <c r="T382" s="49"/>
      <c r="U382" s="49"/>
      <c r="V382" s="49"/>
      <c r="W382" s="49"/>
      <c r="X382" s="49"/>
      <c r="Y382" s="49"/>
      <c r="Z382" s="49"/>
      <c r="AA382" s="49"/>
      <c r="AB382" s="49"/>
      <c r="AC382" s="49"/>
      <c r="AD382" s="49"/>
      <c r="AE382" s="49"/>
      <c r="AF382" s="49"/>
      <c r="AG382" s="49"/>
      <c r="AH382" s="49"/>
      <c r="AI382" s="49"/>
      <c r="AJ382" s="49"/>
      <c r="AK382" s="49"/>
      <c r="AL382" s="49"/>
      <c r="AM382" s="49"/>
      <c r="AN382" s="49"/>
      <c r="AO382" s="49"/>
      <c r="AP382" s="49"/>
      <c r="AQ382" s="49"/>
      <c r="AR382" s="49"/>
      <c r="AS382" s="49"/>
      <c r="AT382" s="49"/>
      <c r="AU382" s="49"/>
      <c r="AV382" s="49"/>
      <c r="AW382" s="49"/>
      <c r="AX382" s="49"/>
    </row>
    <row r="383">
      <c r="A383" s="49"/>
      <c r="B383" s="49"/>
      <c r="C383" s="50"/>
      <c r="D383" s="49"/>
      <c r="E383" s="49"/>
      <c r="F383" s="49"/>
      <c r="G383" s="49"/>
      <c r="H383" s="49"/>
      <c r="I383" s="49"/>
      <c r="J383" s="49"/>
      <c r="K383" s="49"/>
      <c r="L383" s="49"/>
      <c r="M383" s="49"/>
      <c r="N383" s="49"/>
      <c r="O383" s="49"/>
      <c r="P383" s="49"/>
      <c r="Q383" s="49"/>
      <c r="R383" s="49"/>
      <c r="S383" s="49"/>
      <c r="T383" s="49"/>
      <c r="U383" s="49"/>
      <c r="V383" s="49"/>
      <c r="W383" s="49"/>
      <c r="X383" s="49"/>
      <c r="Y383" s="49"/>
      <c r="Z383" s="49"/>
      <c r="AA383" s="49"/>
      <c r="AB383" s="49"/>
      <c r="AC383" s="49"/>
      <c r="AD383" s="49"/>
      <c r="AE383" s="49"/>
      <c r="AF383" s="49"/>
      <c r="AG383" s="49"/>
      <c r="AH383" s="49"/>
      <c r="AI383" s="49"/>
      <c r="AJ383" s="49"/>
      <c r="AK383" s="49"/>
      <c r="AL383" s="49"/>
      <c r="AM383" s="49"/>
      <c r="AN383" s="49"/>
      <c r="AO383" s="49"/>
      <c r="AP383" s="49"/>
      <c r="AQ383" s="49"/>
      <c r="AR383" s="49"/>
      <c r="AS383" s="49"/>
      <c r="AT383" s="49"/>
      <c r="AU383" s="49"/>
      <c r="AV383" s="49"/>
      <c r="AW383" s="49"/>
      <c r="AX383" s="49"/>
    </row>
    <row r="384">
      <c r="A384" s="49"/>
      <c r="B384" s="49"/>
      <c r="C384" s="50"/>
      <c r="D384" s="49"/>
      <c r="E384" s="49"/>
      <c r="F384" s="49"/>
      <c r="G384" s="49"/>
      <c r="H384" s="49"/>
      <c r="I384" s="49"/>
      <c r="J384" s="49"/>
      <c r="K384" s="49"/>
      <c r="L384" s="49"/>
      <c r="M384" s="49"/>
      <c r="N384" s="49"/>
      <c r="O384" s="49"/>
      <c r="P384" s="49"/>
      <c r="Q384" s="49"/>
      <c r="R384" s="49"/>
      <c r="S384" s="49"/>
      <c r="T384" s="49"/>
      <c r="U384" s="49"/>
      <c r="V384" s="49"/>
      <c r="W384" s="49"/>
      <c r="X384" s="49"/>
      <c r="Y384" s="49"/>
      <c r="Z384" s="49"/>
      <c r="AA384" s="49"/>
      <c r="AB384" s="49"/>
      <c r="AC384" s="49"/>
      <c r="AD384" s="49"/>
      <c r="AE384" s="49"/>
      <c r="AF384" s="49"/>
      <c r="AG384" s="49"/>
      <c r="AH384" s="49"/>
      <c r="AI384" s="49"/>
      <c r="AJ384" s="49"/>
      <c r="AK384" s="49"/>
      <c r="AL384" s="49"/>
      <c r="AM384" s="49"/>
      <c r="AN384" s="49"/>
      <c r="AO384" s="49"/>
      <c r="AP384" s="49"/>
      <c r="AQ384" s="49"/>
      <c r="AR384" s="49"/>
      <c r="AS384" s="49"/>
      <c r="AT384" s="49"/>
      <c r="AU384" s="49"/>
      <c r="AV384" s="49"/>
      <c r="AW384" s="49"/>
      <c r="AX384" s="49"/>
    </row>
    <row r="385">
      <c r="A385" s="49"/>
      <c r="B385" s="49"/>
      <c r="C385" s="50"/>
      <c r="D385" s="49"/>
      <c r="E385" s="49"/>
      <c r="F385" s="49"/>
      <c r="G385" s="49"/>
      <c r="H385" s="49"/>
      <c r="I385" s="49"/>
      <c r="J385" s="49"/>
      <c r="K385" s="49"/>
      <c r="L385" s="49"/>
      <c r="M385" s="49"/>
      <c r="N385" s="49"/>
      <c r="O385" s="49"/>
      <c r="P385" s="49"/>
      <c r="Q385" s="49"/>
      <c r="R385" s="49"/>
      <c r="S385" s="49"/>
      <c r="T385" s="49"/>
      <c r="U385" s="49"/>
      <c r="V385" s="49"/>
      <c r="W385" s="49"/>
      <c r="X385" s="49"/>
      <c r="Y385" s="49"/>
      <c r="Z385" s="49"/>
      <c r="AA385" s="49"/>
      <c r="AB385" s="49"/>
      <c r="AC385" s="49"/>
      <c r="AD385" s="49"/>
      <c r="AE385" s="49"/>
      <c r="AF385" s="49"/>
      <c r="AG385" s="49"/>
      <c r="AH385" s="49"/>
      <c r="AI385" s="49"/>
      <c r="AJ385" s="49"/>
      <c r="AK385" s="49"/>
      <c r="AL385" s="49"/>
      <c r="AM385" s="49"/>
      <c r="AN385" s="49"/>
      <c r="AO385" s="49"/>
      <c r="AP385" s="49"/>
      <c r="AQ385" s="49"/>
      <c r="AR385" s="49"/>
      <c r="AS385" s="49"/>
      <c r="AT385" s="49"/>
      <c r="AU385" s="49"/>
      <c r="AV385" s="49"/>
      <c r="AW385" s="49"/>
      <c r="AX385" s="49"/>
    </row>
    <row r="386">
      <c r="A386" s="49"/>
      <c r="B386" s="49"/>
      <c r="C386" s="50"/>
      <c r="D386" s="49"/>
      <c r="E386" s="49"/>
      <c r="F386" s="49"/>
      <c r="G386" s="49"/>
      <c r="H386" s="49"/>
      <c r="I386" s="49"/>
      <c r="J386" s="49"/>
      <c r="K386" s="49"/>
      <c r="L386" s="49"/>
      <c r="M386" s="49"/>
      <c r="N386" s="49"/>
      <c r="O386" s="49"/>
      <c r="P386" s="49"/>
      <c r="Q386" s="49"/>
      <c r="R386" s="49"/>
      <c r="S386" s="49"/>
      <c r="T386" s="49"/>
      <c r="U386" s="49"/>
      <c r="V386" s="49"/>
      <c r="W386" s="49"/>
      <c r="X386" s="49"/>
      <c r="Y386" s="49"/>
      <c r="Z386" s="49"/>
      <c r="AA386" s="49"/>
      <c r="AB386" s="49"/>
      <c r="AC386" s="49"/>
      <c r="AD386" s="49"/>
      <c r="AE386" s="49"/>
      <c r="AF386" s="49"/>
      <c r="AG386" s="49"/>
      <c r="AH386" s="49"/>
      <c r="AI386" s="49"/>
      <c r="AJ386" s="49"/>
      <c r="AK386" s="49"/>
      <c r="AL386" s="49"/>
      <c r="AM386" s="49"/>
      <c r="AN386" s="49"/>
      <c r="AO386" s="49"/>
      <c r="AP386" s="49"/>
      <c r="AQ386" s="49"/>
      <c r="AR386" s="49"/>
      <c r="AS386" s="49"/>
      <c r="AT386" s="49"/>
      <c r="AU386" s="49"/>
      <c r="AV386" s="49"/>
      <c r="AW386" s="49"/>
      <c r="AX386" s="49"/>
    </row>
    <row r="387">
      <c r="A387" s="49"/>
      <c r="B387" s="49"/>
      <c r="C387" s="50"/>
      <c r="D387" s="49"/>
      <c r="E387" s="49"/>
      <c r="F387" s="49"/>
      <c r="G387" s="49"/>
      <c r="H387" s="49"/>
      <c r="I387" s="49"/>
      <c r="J387" s="49"/>
      <c r="K387" s="49"/>
      <c r="L387" s="49"/>
      <c r="M387" s="49"/>
      <c r="N387" s="49"/>
      <c r="O387" s="49"/>
      <c r="P387" s="49"/>
      <c r="Q387" s="49"/>
      <c r="R387" s="49"/>
      <c r="S387" s="49"/>
      <c r="T387" s="49"/>
      <c r="U387" s="49"/>
      <c r="V387" s="49"/>
      <c r="W387" s="49"/>
      <c r="X387" s="49"/>
      <c r="Y387" s="49"/>
      <c r="Z387" s="49"/>
      <c r="AA387" s="49"/>
      <c r="AB387" s="49"/>
      <c r="AC387" s="49"/>
      <c r="AD387" s="49"/>
      <c r="AE387" s="49"/>
      <c r="AF387" s="49"/>
      <c r="AG387" s="49"/>
      <c r="AH387" s="49"/>
      <c r="AI387" s="49"/>
      <c r="AJ387" s="49"/>
      <c r="AK387" s="49"/>
      <c r="AL387" s="49"/>
      <c r="AM387" s="49"/>
      <c r="AN387" s="49"/>
      <c r="AO387" s="49"/>
      <c r="AP387" s="49"/>
      <c r="AQ387" s="49"/>
      <c r="AR387" s="49"/>
      <c r="AS387" s="49"/>
      <c r="AT387" s="49"/>
      <c r="AU387" s="49"/>
      <c r="AV387" s="49"/>
      <c r="AW387" s="49"/>
      <c r="AX387" s="49"/>
    </row>
    <row r="388">
      <c r="A388" s="49"/>
      <c r="B388" s="49"/>
      <c r="C388" s="50"/>
      <c r="D388" s="49"/>
      <c r="E388" s="49"/>
      <c r="F388" s="49"/>
      <c r="G388" s="49"/>
      <c r="H388" s="49"/>
      <c r="I388" s="49"/>
      <c r="J388" s="49"/>
      <c r="K388" s="49"/>
      <c r="L388" s="49"/>
      <c r="M388" s="49"/>
      <c r="N388" s="49"/>
      <c r="O388" s="49"/>
      <c r="P388" s="49"/>
      <c r="Q388" s="49"/>
      <c r="R388" s="49"/>
      <c r="S388" s="49"/>
      <c r="T388" s="49"/>
      <c r="U388" s="49"/>
      <c r="V388" s="49"/>
      <c r="W388" s="49"/>
      <c r="X388" s="49"/>
      <c r="Y388" s="49"/>
      <c r="Z388" s="49"/>
      <c r="AA388" s="49"/>
      <c r="AB388" s="49"/>
      <c r="AC388" s="49"/>
      <c r="AD388" s="49"/>
      <c r="AE388" s="49"/>
      <c r="AF388" s="49"/>
      <c r="AG388" s="49"/>
      <c r="AH388" s="49"/>
      <c r="AI388" s="49"/>
      <c r="AJ388" s="49"/>
      <c r="AK388" s="49"/>
      <c r="AL388" s="49"/>
      <c r="AM388" s="49"/>
      <c r="AN388" s="49"/>
      <c r="AO388" s="49"/>
      <c r="AP388" s="49"/>
      <c r="AQ388" s="49"/>
      <c r="AR388" s="49"/>
      <c r="AS388" s="49"/>
      <c r="AT388" s="49"/>
      <c r="AU388" s="49"/>
      <c r="AV388" s="49"/>
      <c r="AW388" s="49"/>
      <c r="AX388" s="49"/>
    </row>
    <row r="389">
      <c r="A389" s="49"/>
      <c r="B389" s="49"/>
      <c r="C389" s="50"/>
      <c r="D389" s="49"/>
      <c r="E389" s="49"/>
      <c r="F389" s="49"/>
      <c r="G389" s="49"/>
      <c r="H389" s="49"/>
      <c r="I389" s="49"/>
      <c r="J389" s="49"/>
      <c r="K389" s="49"/>
      <c r="L389" s="49"/>
      <c r="M389" s="49"/>
      <c r="N389" s="49"/>
      <c r="O389" s="49"/>
      <c r="P389" s="49"/>
      <c r="Q389" s="49"/>
      <c r="R389" s="49"/>
      <c r="S389" s="49"/>
      <c r="T389" s="49"/>
      <c r="U389" s="49"/>
      <c r="V389" s="49"/>
      <c r="W389" s="49"/>
      <c r="X389" s="49"/>
      <c r="Y389" s="49"/>
      <c r="Z389" s="49"/>
      <c r="AA389" s="49"/>
      <c r="AB389" s="49"/>
      <c r="AC389" s="49"/>
      <c r="AD389" s="49"/>
      <c r="AE389" s="49"/>
      <c r="AF389" s="49"/>
      <c r="AG389" s="49"/>
      <c r="AH389" s="49"/>
      <c r="AI389" s="49"/>
      <c r="AJ389" s="49"/>
      <c r="AK389" s="49"/>
      <c r="AL389" s="49"/>
      <c r="AM389" s="49"/>
      <c r="AN389" s="49"/>
      <c r="AO389" s="49"/>
      <c r="AP389" s="49"/>
      <c r="AQ389" s="49"/>
      <c r="AR389" s="49"/>
      <c r="AS389" s="49"/>
      <c r="AT389" s="49"/>
      <c r="AU389" s="49"/>
      <c r="AV389" s="49"/>
      <c r="AW389" s="49"/>
      <c r="AX389" s="49"/>
    </row>
    <row r="390">
      <c r="A390" s="49"/>
      <c r="B390" s="49"/>
      <c r="C390" s="50"/>
      <c r="D390" s="49"/>
      <c r="E390" s="49"/>
      <c r="F390" s="49"/>
      <c r="G390" s="49"/>
      <c r="H390" s="49"/>
      <c r="I390" s="49"/>
      <c r="J390" s="49"/>
      <c r="K390" s="49"/>
      <c r="L390" s="49"/>
      <c r="M390" s="49"/>
      <c r="N390" s="49"/>
      <c r="O390" s="49"/>
      <c r="P390" s="49"/>
      <c r="Q390" s="49"/>
      <c r="R390" s="49"/>
      <c r="S390" s="49"/>
      <c r="T390" s="49"/>
      <c r="U390" s="49"/>
      <c r="V390" s="49"/>
      <c r="W390" s="49"/>
      <c r="X390" s="49"/>
      <c r="Y390" s="49"/>
      <c r="Z390" s="49"/>
      <c r="AA390" s="49"/>
      <c r="AB390" s="49"/>
      <c r="AC390" s="49"/>
      <c r="AD390" s="49"/>
      <c r="AE390" s="49"/>
      <c r="AF390" s="49"/>
      <c r="AG390" s="49"/>
      <c r="AH390" s="49"/>
      <c r="AI390" s="49"/>
      <c r="AJ390" s="49"/>
      <c r="AK390" s="49"/>
      <c r="AL390" s="49"/>
      <c r="AM390" s="49"/>
      <c r="AN390" s="49"/>
      <c r="AO390" s="49"/>
      <c r="AP390" s="49"/>
      <c r="AQ390" s="49"/>
      <c r="AR390" s="49"/>
      <c r="AS390" s="49"/>
      <c r="AT390" s="49"/>
      <c r="AU390" s="49"/>
      <c r="AV390" s="49"/>
      <c r="AW390" s="49"/>
      <c r="AX390" s="49"/>
    </row>
    <row r="391">
      <c r="A391" s="49"/>
      <c r="B391" s="49"/>
      <c r="C391" s="50"/>
      <c r="D391" s="49"/>
      <c r="E391" s="49"/>
      <c r="F391" s="49"/>
      <c r="G391" s="49"/>
      <c r="H391" s="49"/>
      <c r="I391" s="49"/>
      <c r="J391" s="49"/>
      <c r="K391" s="49"/>
      <c r="L391" s="49"/>
      <c r="M391" s="49"/>
      <c r="N391" s="49"/>
      <c r="O391" s="49"/>
      <c r="P391" s="49"/>
      <c r="Q391" s="49"/>
      <c r="R391" s="49"/>
      <c r="S391" s="49"/>
      <c r="T391" s="49"/>
      <c r="U391" s="49"/>
      <c r="V391" s="49"/>
      <c r="W391" s="49"/>
      <c r="X391" s="49"/>
      <c r="Y391" s="49"/>
      <c r="Z391" s="49"/>
      <c r="AA391" s="49"/>
      <c r="AB391" s="49"/>
      <c r="AC391" s="49"/>
      <c r="AD391" s="49"/>
      <c r="AE391" s="49"/>
      <c r="AF391" s="49"/>
      <c r="AG391" s="49"/>
      <c r="AH391" s="49"/>
      <c r="AI391" s="49"/>
      <c r="AJ391" s="49"/>
      <c r="AK391" s="49"/>
      <c r="AL391" s="49"/>
      <c r="AM391" s="49"/>
      <c r="AN391" s="49"/>
      <c r="AO391" s="49"/>
      <c r="AP391" s="49"/>
      <c r="AQ391" s="49"/>
      <c r="AR391" s="49"/>
      <c r="AS391" s="49"/>
      <c r="AT391" s="49"/>
      <c r="AU391" s="49"/>
      <c r="AV391" s="49"/>
      <c r="AW391" s="49"/>
      <c r="AX391" s="49"/>
    </row>
    <row r="392">
      <c r="A392" s="49"/>
      <c r="B392" s="49"/>
      <c r="C392" s="50"/>
      <c r="D392" s="49"/>
      <c r="E392" s="49"/>
      <c r="F392" s="49"/>
      <c r="G392" s="49"/>
      <c r="H392" s="49"/>
      <c r="I392" s="49"/>
      <c r="J392" s="49"/>
      <c r="K392" s="49"/>
      <c r="L392" s="49"/>
      <c r="M392" s="49"/>
      <c r="N392" s="49"/>
      <c r="O392" s="49"/>
      <c r="P392" s="49"/>
      <c r="Q392" s="49"/>
      <c r="R392" s="49"/>
      <c r="S392" s="49"/>
      <c r="T392" s="49"/>
      <c r="U392" s="49"/>
      <c r="V392" s="49"/>
      <c r="W392" s="49"/>
      <c r="X392" s="49"/>
      <c r="Y392" s="49"/>
      <c r="Z392" s="49"/>
      <c r="AA392" s="49"/>
      <c r="AB392" s="49"/>
      <c r="AC392" s="49"/>
      <c r="AD392" s="49"/>
      <c r="AE392" s="49"/>
      <c r="AF392" s="49"/>
      <c r="AG392" s="49"/>
      <c r="AH392" s="49"/>
      <c r="AI392" s="49"/>
      <c r="AJ392" s="49"/>
      <c r="AK392" s="49"/>
      <c r="AL392" s="49"/>
      <c r="AM392" s="49"/>
      <c r="AN392" s="49"/>
      <c r="AO392" s="49"/>
      <c r="AP392" s="49"/>
      <c r="AQ392" s="49"/>
      <c r="AR392" s="49"/>
      <c r="AS392" s="49"/>
      <c r="AT392" s="49"/>
      <c r="AU392" s="49"/>
      <c r="AV392" s="49"/>
      <c r="AW392" s="49"/>
      <c r="AX392" s="49"/>
    </row>
    <row r="393">
      <c r="A393" s="49"/>
      <c r="B393" s="49"/>
      <c r="C393" s="50"/>
      <c r="D393" s="49"/>
      <c r="E393" s="49"/>
      <c r="F393" s="49"/>
      <c r="G393" s="49"/>
      <c r="H393" s="49"/>
      <c r="I393" s="49"/>
      <c r="J393" s="49"/>
      <c r="K393" s="49"/>
      <c r="L393" s="49"/>
      <c r="M393" s="49"/>
      <c r="N393" s="49"/>
      <c r="O393" s="49"/>
      <c r="P393" s="49"/>
      <c r="Q393" s="49"/>
      <c r="R393" s="49"/>
      <c r="S393" s="49"/>
      <c r="T393" s="49"/>
      <c r="U393" s="49"/>
      <c r="V393" s="49"/>
      <c r="W393" s="49"/>
      <c r="X393" s="49"/>
      <c r="Y393" s="49"/>
      <c r="Z393" s="49"/>
      <c r="AA393" s="49"/>
      <c r="AB393" s="49"/>
      <c r="AC393" s="49"/>
      <c r="AD393" s="49"/>
      <c r="AE393" s="49"/>
      <c r="AF393" s="49"/>
      <c r="AG393" s="49"/>
      <c r="AH393" s="49"/>
      <c r="AI393" s="49"/>
      <c r="AJ393" s="49"/>
      <c r="AK393" s="49"/>
      <c r="AL393" s="49"/>
      <c r="AM393" s="49"/>
      <c r="AN393" s="49"/>
      <c r="AO393" s="49"/>
      <c r="AP393" s="49"/>
      <c r="AQ393" s="49"/>
      <c r="AR393" s="49"/>
      <c r="AS393" s="49"/>
      <c r="AT393" s="49"/>
      <c r="AU393" s="49"/>
      <c r="AV393" s="49"/>
      <c r="AW393" s="49"/>
      <c r="AX393" s="49"/>
    </row>
    <row r="394">
      <c r="A394" s="49"/>
      <c r="B394" s="49"/>
      <c r="C394" s="50"/>
      <c r="D394" s="49"/>
      <c r="E394" s="49"/>
      <c r="F394" s="49"/>
      <c r="G394" s="49"/>
      <c r="H394" s="49"/>
      <c r="I394" s="49"/>
      <c r="J394" s="49"/>
      <c r="K394" s="49"/>
      <c r="L394" s="49"/>
      <c r="M394" s="49"/>
      <c r="N394" s="49"/>
      <c r="O394" s="49"/>
      <c r="P394" s="49"/>
      <c r="Q394" s="49"/>
      <c r="R394" s="49"/>
      <c r="S394" s="49"/>
      <c r="T394" s="49"/>
      <c r="U394" s="49"/>
      <c r="V394" s="49"/>
      <c r="W394" s="49"/>
      <c r="X394" s="49"/>
      <c r="Y394" s="49"/>
      <c r="Z394" s="49"/>
      <c r="AA394" s="49"/>
      <c r="AB394" s="49"/>
      <c r="AC394" s="49"/>
      <c r="AD394" s="49"/>
      <c r="AE394" s="49"/>
      <c r="AF394" s="49"/>
      <c r="AG394" s="49"/>
      <c r="AH394" s="49"/>
      <c r="AI394" s="49"/>
      <c r="AJ394" s="49"/>
      <c r="AK394" s="49"/>
      <c r="AL394" s="49"/>
      <c r="AM394" s="49"/>
      <c r="AN394" s="49"/>
      <c r="AO394" s="49"/>
      <c r="AP394" s="49"/>
      <c r="AQ394" s="49"/>
      <c r="AR394" s="49"/>
      <c r="AS394" s="49"/>
      <c r="AT394" s="49"/>
      <c r="AU394" s="49"/>
      <c r="AV394" s="49"/>
      <c r="AW394" s="49"/>
      <c r="AX394" s="49"/>
    </row>
    <row r="395">
      <c r="A395" s="49"/>
      <c r="B395" s="49"/>
      <c r="C395" s="50"/>
      <c r="D395" s="49"/>
      <c r="E395" s="49"/>
      <c r="F395" s="49"/>
      <c r="G395" s="49"/>
      <c r="H395" s="49"/>
      <c r="I395" s="49"/>
      <c r="J395" s="49"/>
      <c r="K395" s="49"/>
      <c r="L395" s="49"/>
      <c r="M395" s="49"/>
      <c r="N395" s="49"/>
      <c r="O395" s="49"/>
      <c r="P395" s="49"/>
      <c r="Q395" s="49"/>
      <c r="R395" s="49"/>
      <c r="S395" s="49"/>
      <c r="T395" s="49"/>
      <c r="U395" s="49"/>
      <c r="V395" s="49"/>
      <c r="W395" s="49"/>
      <c r="X395" s="49"/>
      <c r="Y395" s="49"/>
      <c r="Z395" s="49"/>
      <c r="AA395" s="49"/>
      <c r="AB395" s="49"/>
      <c r="AC395" s="49"/>
      <c r="AD395" s="49"/>
      <c r="AE395" s="49"/>
      <c r="AF395" s="49"/>
      <c r="AG395" s="49"/>
      <c r="AH395" s="49"/>
      <c r="AI395" s="49"/>
      <c r="AJ395" s="49"/>
      <c r="AK395" s="49"/>
      <c r="AL395" s="49"/>
      <c r="AM395" s="49"/>
      <c r="AN395" s="49"/>
      <c r="AO395" s="49"/>
      <c r="AP395" s="49"/>
      <c r="AQ395" s="49"/>
      <c r="AR395" s="49"/>
      <c r="AS395" s="49"/>
      <c r="AT395" s="49"/>
      <c r="AU395" s="49"/>
      <c r="AV395" s="49"/>
      <c r="AW395" s="49"/>
      <c r="AX395" s="49"/>
    </row>
    <row r="396">
      <c r="A396" s="49"/>
      <c r="B396" s="49"/>
      <c r="C396" s="50"/>
      <c r="D396" s="49"/>
      <c r="E396" s="49"/>
      <c r="F396" s="49"/>
      <c r="G396" s="49"/>
      <c r="H396" s="49"/>
      <c r="I396" s="49"/>
      <c r="J396" s="49"/>
      <c r="K396" s="49"/>
      <c r="L396" s="49"/>
      <c r="M396" s="49"/>
      <c r="N396" s="49"/>
      <c r="O396" s="49"/>
      <c r="P396" s="49"/>
      <c r="Q396" s="49"/>
      <c r="R396" s="49"/>
      <c r="S396" s="49"/>
      <c r="T396" s="49"/>
      <c r="U396" s="49"/>
      <c r="V396" s="49"/>
      <c r="W396" s="49"/>
      <c r="X396" s="49"/>
      <c r="Y396" s="49"/>
      <c r="Z396" s="49"/>
      <c r="AA396" s="49"/>
      <c r="AB396" s="49"/>
      <c r="AC396" s="49"/>
      <c r="AD396" s="49"/>
      <c r="AE396" s="49"/>
      <c r="AF396" s="49"/>
      <c r="AG396" s="49"/>
      <c r="AH396" s="49"/>
      <c r="AI396" s="49"/>
      <c r="AJ396" s="49"/>
      <c r="AK396" s="49"/>
      <c r="AL396" s="49"/>
      <c r="AM396" s="49"/>
      <c r="AN396" s="49"/>
      <c r="AO396" s="49"/>
      <c r="AP396" s="49"/>
      <c r="AQ396" s="49"/>
      <c r="AR396" s="49"/>
      <c r="AS396" s="49"/>
      <c r="AT396" s="49"/>
      <c r="AU396" s="49"/>
      <c r="AV396" s="49"/>
      <c r="AW396" s="49"/>
      <c r="AX396" s="49"/>
    </row>
    <row r="397">
      <c r="A397" s="49"/>
      <c r="B397" s="49"/>
      <c r="C397" s="50"/>
      <c r="D397" s="49"/>
      <c r="E397" s="49"/>
      <c r="F397" s="49"/>
      <c r="G397" s="49"/>
      <c r="H397" s="49"/>
      <c r="I397" s="49"/>
      <c r="J397" s="49"/>
      <c r="K397" s="49"/>
      <c r="L397" s="49"/>
      <c r="M397" s="49"/>
      <c r="N397" s="49"/>
      <c r="O397" s="49"/>
      <c r="P397" s="49"/>
      <c r="Q397" s="49"/>
      <c r="R397" s="49"/>
      <c r="S397" s="49"/>
      <c r="T397" s="49"/>
      <c r="U397" s="49"/>
      <c r="V397" s="49"/>
      <c r="W397" s="49"/>
      <c r="X397" s="49"/>
      <c r="Y397" s="49"/>
      <c r="Z397" s="49"/>
      <c r="AA397" s="49"/>
      <c r="AB397" s="49"/>
      <c r="AC397" s="49"/>
      <c r="AD397" s="49"/>
      <c r="AE397" s="49"/>
      <c r="AF397" s="49"/>
      <c r="AG397" s="49"/>
      <c r="AH397" s="49"/>
      <c r="AI397" s="49"/>
      <c r="AJ397" s="49"/>
      <c r="AK397" s="49"/>
      <c r="AL397" s="49"/>
      <c r="AM397" s="49"/>
      <c r="AN397" s="49"/>
      <c r="AO397" s="49"/>
      <c r="AP397" s="49"/>
      <c r="AQ397" s="49"/>
      <c r="AR397" s="49"/>
      <c r="AS397" s="49"/>
      <c r="AT397" s="49"/>
      <c r="AU397" s="49"/>
      <c r="AV397" s="49"/>
      <c r="AW397" s="49"/>
      <c r="AX397" s="49"/>
    </row>
    <row r="398">
      <c r="A398" s="49"/>
      <c r="B398" s="49"/>
      <c r="C398" s="50"/>
      <c r="D398" s="49"/>
      <c r="E398" s="49"/>
      <c r="F398" s="49"/>
      <c r="G398" s="49"/>
      <c r="H398" s="49"/>
      <c r="I398" s="49"/>
      <c r="J398" s="49"/>
      <c r="K398" s="49"/>
      <c r="L398" s="49"/>
      <c r="M398" s="49"/>
      <c r="N398" s="49"/>
      <c r="O398" s="49"/>
      <c r="P398" s="49"/>
      <c r="Q398" s="49"/>
      <c r="R398" s="49"/>
      <c r="S398" s="49"/>
      <c r="T398" s="49"/>
      <c r="U398" s="49"/>
      <c r="V398" s="49"/>
      <c r="W398" s="49"/>
      <c r="X398" s="49"/>
      <c r="Y398" s="49"/>
      <c r="Z398" s="49"/>
      <c r="AA398" s="49"/>
      <c r="AB398" s="49"/>
      <c r="AC398" s="49"/>
      <c r="AD398" s="49"/>
      <c r="AE398" s="49"/>
      <c r="AF398" s="49"/>
      <c r="AG398" s="49"/>
      <c r="AH398" s="49"/>
      <c r="AI398" s="49"/>
      <c r="AJ398" s="49"/>
      <c r="AK398" s="49"/>
      <c r="AL398" s="49"/>
      <c r="AM398" s="49"/>
      <c r="AN398" s="49"/>
      <c r="AO398" s="49"/>
      <c r="AP398" s="49"/>
      <c r="AQ398" s="49"/>
      <c r="AR398" s="49"/>
      <c r="AS398" s="49"/>
      <c r="AT398" s="49"/>
      <c r="AU398" s="49"/>
      <c r="AV398" s="49"/>
      <c r="AW398" s="49"/>
      <c r="AX398" s="49"/>
    </row>
    <row r="399">
      <c r="A399" s="49"/>
      <c r="B399" s="49"/>
      <c r="C399" s="50"/>
      <c r="D399" s="49"/>
      <c r="E399" s="49"/>
      <c r="F399" s="49"/>
      <c r="G399" s="49"/>
      <c r="H399" s="49"/>
      <c r="I399" s="49"/>
      <c r="J399" s="49"/>
      <c r="K399" s="49"/>
      <c r="L399" s="49"/>
      <c r="M399" s="49"/>
      <c r="N399" s="49"/>
      <c r="O399" s="49"/>
      <c r="P399" s="49"/>
      <c r="Q399" s="49"/>
      <c r="R399" s="49"/>
      <c r="S399" s="49"/>
      <c r="T399" s="49"/>
      <c r="U399" s="49"/>
      <c r="V399" s="49"/>
      <c r="W399" s="49"/>
      <c r="X399" s="49"/>
      <c r="Y399" s="49"/>
      <c r="Z399" s="49"/>
      <c r="AA399" s="49"/>
      <c r="AB399" s="49"/>
      <c r="AC399" s="49"/>
      <c r="AD399" s="49"/>
      <c r="AE399" s="49"/>
      <c r="AF399" s="49"/>
      <c r="AG399" s="49"/>
      <c r="AH399" s="49"/>
      <c r="AI399" s="49"/>
      <c r="AJ399" s="49"/>
      <c r="AK399" s="49"/>
      <c r="AL399" s="49"/>
      <c r="AM399" s="49"/>
      <c r="AN399" s="49"/>
      <c r="AO399" s="49"/>
      <c r="AP399" s="49"/>
      <c r="AQ399" s="49"/>
      <c r="AR399" s="49"/>
      <c r="AS399" s="49"/>
      <c r="AT399" s="49"/>
      <c r="AU399" s="49"/>
      <c r="AV399" s="49"/>
      <c r="AW399" s="49"/>
      <c r="AX399" s="49"/>
    </row>
    <row r="400">
      <c r="A400" s="49"/>
      <c r="B400" s="49"/>
      <c r="C400" s="50"/>
      <c r="D400" s="49"/>
      <c r="E400" s="49"/>
      <c r="F400" s="49"/>
      <c r="G400" s="49"/>
      <c r="H400" s="49"/>
      <c r="I400" s="49"/>
      <c r="J400" s="49"/>
      <c r="K400" s="49"/>
      <c r="L400" s="49"/>
      <c r="M400" s="49"/>
      <c r="N400" s="49"/>
      <c r="O400" s="49"/>
      <c r="P400" s="49"/>
      <c r="Q400" s="49"/>
      <c r="R400" s="49"/>
      <c r="S400" s="49"/>
      <c r="T400" s="49"/>
      <c r="U400" s="49"/>
      <c r="V400" s="49"/>
      <c r="W400" s="49"/>
      <c r="X400" s="49"/>
      <c r="Y400" s="49"/>
      <c r="Z400" s="49"/>
      <c r="AA400" s="49"/>
      <c r="AB400" s="49"/>
      <c r="AC400" s="49"/>
      <c r="AD400" s="49"/>
      <c r="AE400" s="49"/>
      <c r="AF400" s="49"/>
      <c r="AG400" s="49"/>
      <c r="AH400" s="49"/>
      <c r="AI400" s="49"/>
      <c r="AJ400" s="49"/>
      <c r="AK400" s="49"/>
      <c r="AL400" s="49"/>
      <c r="AM400" s="49"/>
      <c r="AN400" s="49"/>
      <c r="AO400" s="49"/>
      <c r="AP400" s="49"/>
      <c r="AQ400" s="49"/>
      <c r="AR400" s="49"/>
      <c r="AS400" s="49"/>
      <c r="AT400" s="49"/>
      <c r="AU400" s="49"/>
      <c r="AV400" s="49"/>
      <c r="AW400" s="49"/>
      <c r="AX400" s="49"/>
    </row>
    <row r="401">
      <c r="A401" s="49"/>
      <c r="B401" s="49"/>
      <c r="C401" s="50"/>
      <c r="D401" s="49"/>
      <c r="E401" s="49"/>
      <c r="F401" s="49"/>
      <c r="G401" s="49"/>
      <c r="H401" s="49"/>
      <c r="I401" s="49"/>
      <c r="J401" s="49"/>
      <c r="K401" s="49"/>
      <c r="L401" s="49"/>
      <c r="M401" s="49"/>
      <c r="N401" s="49"/>
      <c r="O401" s="49"/>
      <c r="P401" s="49"/>
      <c r="Q401" s="49"/>
      <c r="R401" s="49"/>
      <c r="S401" s="49"/>
      <c r="T401" s="49"/>
      <c r="U401" s="49"/>
      <c r="V401" s="49"/>
      <c r="W401" s="49"/>
      <c r="X401" s="49"/>
      <c r="Y401" s="49"/>
      <c r="Z401" s="49"/>
      <c r="AA401" s="49"/>
      <c r="AB401" s="49"/>
      <c r="AC401" s="49"/>
      <c r="AD401" s="49"/>
      <c r="AE401" s="49"/>
      <c r="AF401" s="49"/>
      <c r="AG401" s="49"/>
      <c r="AH401" s="49"/>
      <c r="AI401" s="49"/>
      <c r="AJ401" s="49"/>
      <c r="AK401" s="49"/>
      <c r="AL401" s="49"/>
      <c r="AM401" s="49"/>
      <c r="AN401" s="49"/>
      <c r="AO401" s="49"/>
      <c r="AP401" s="49"/>
      <c r="AQ401" s="49"/>
      <c r="AR401" s="49"/>
      <c r="AS401" s="49"/>
      <c r="AT401" s="49"/>
      <c r="AU401" s="49"/>
      <c r="AV401" s="49"/>
      <c r="AW401" s="49"/>
      <c r="AX401" s="49"/>
    </row>
    <row r="402">
      <c r="A402" s="49"/>
      <c r="B402" s="49"/>
      <c r="C402" s="50"/>
      <c r="D402" s="49"/>
      <c r="E402" s="49"/>
      <c r="F402" s="49"/>
      <c r="G402" s="49"/>
      <c r="H402" s="49"/>
      <c r="I402" s="49"/>
      <c r="J402" s="49"/>
      <c r="K402" s="49"/>
      <c r="L402" s="49"/>
      <c r="M402" s="49"/>
      <c r="N402" s="49"/>
      <c r="O402" s="49"/>
      <c r="P402" s="49"/>
      <c r="Q402" s="49"/>
      <c r="R402" s="49"/>
      <c r="S402" s="49"/>
      <c r="T402" s="49"/>
      <c r="U402" s="49"/>
      <c r="V402" s="49"/>
      <c r="W402" s="49"/>
      <c r="X402" s="49"/>
      <c r="Y402" s="49"/>
      <c r="Z402" s="49"/>
      <c r="AA402" s="49"/>
      <c r="AB402" s="49"/>
      <c r="AC402" s="49"/>
      <c r="AD402" s="49"/>
      <c r="AE402" s="49"/>
      <c r="AF402" s="49"/>
      <c r="AG402" s="49"/>
      <c r="AH402" s="49"/>
      <c r="AI402" s="49"/>
      <c r="AJ402" s="49"/>
      <c r="AK402" s="49"/>
      <c r="AL402" s="49"/>
      <c r="AM402" s="49"/>
      <c r="AN402" s="49"/>
      <c r="AO402" s="49"/>
      <c r="AP402" s="49"/>
      <c r="AQ402" s="49"/>
      <c r="AR402" s="49"/>
      <c r="AS402" s="49"/>
      <c r="AT402" s="49"/>
      <c r="AU402" s="49"/>
      <c r="AV402" s="49"/>
      <c r="AW402" s="49"/>
      <c r="AX402" s="49"/>
    </row>
    <row r="403">
      <c r="A403" s="49"/>
      <c r="B403" s="49"/>
      <c r="C403" s="50"/>
      <c r="D403" s="49"/>
      <c r="E403" s="49"/>
      <c r="F403" s="49"/>
      <c r="G403" s="49"/>
      <c r="H403" s="49"/>
      <c r="I403" s="49"/>
      <c r="J403" s="49"/>
      <c r="K403" s="49"/>
      <c r="L403" s="49"/>
      <c r="M403" s="49"/>
      <c r="N403" s="49"/>
      <c r="O403" s="49"/>
      <c r="P403" s="49"/>
      <c r="Q403" s="49"/>
      <c r="R403" s="49"/>
      <c r="S403" s="49"/>
      <c r="T403" s="49"/>
      <c r="U403" s="49"/>
      <c r="V403" s="49"/>
      <c r="W403" s="49"/>
      <c r="X403" s="49"/>
      <c r="Y403" s="49"/>
      <c r="Z403" s="49"/>
      <c r="AA403" s="49"/>
      <c r="AB403" s="49"/>
      <c r="AC403" s="49"/>
      <c r="AD403" s="49"/>
      <c r="AE403" s="49"/>
      <c r="AF403" s="49"/>
      <c r="AG403" s="49"/>
      <c r="AH403" s="49"/>
      <c r="AI403" s="49"/>
      <c r="AJ403" s="49"/>
      <c r="AK403" s="49"/>
      <c r="AL403" s="49"/>
      <c r="AM403" s="49"/>
      <c r="AN403" s="49"/>
      <c r="AO403" s="49"/>
      <c r="AP403" s="49"/>
      <c r="AQ403" s="49"/>
      <c r="AR403" s="49"/>
      <c r="AS403" s="49"/>
      <c r="AT403" s="49"/>
      <c r="AU403" s="49"/>
      <c r="AV403" s="49"/>
      <c r="AW403" s="49"/>
      <c r="AX403" s="49"/>
    </row>
    <row r="404">
      <c r="A404" s="49"/>
      <c r="B404" s="49"/>
      <c r="C404" s="50"/>
      <c r="D404" s="49"/>
      <c r="E404" s="49"/>
      <c r="F404" s="49"/>
      <c r="G404" s="49"/>
      <c r="H404" s="49"/>
      <c r="I404" s="49"/>
      <c r="J404" s="49"/>
      <c r="K404" s="49"/>
      <c r="L404" s="49"/>
      <c r="M404" s="49"/>
      <c r="N404" s="49"/>
      <c r="O404" s="49"/>
      <c r="P404" s="49"/>
      <c r="Q404" s="49"/>
      <c r="R404" s="49"/>
      <c r="S404" s="49"/>
      <c r="T404" s="49"/>
      <c r="U404" s="49"/>
      <c r="V404" s="49"/>
      <c r="W404" s="49"/>
      <c r="X404" s="49"/>
      <c r="Y404" s="49"/>
      <c r="Z404" s="49"/>
      <c r="AA404" s="49"/>
      <c r="AB404" s="49"/>
      <c r="AC404" s="49"/>
      <c r="AD404" s="49"/>
      <c r="AE404" s="49"/>
      <c r="AF404" s="49"/>
      <c r="AG404" s="49"/>
      <c r="AH404" s="49"/>
      <c r="AI404" s="49"/>
      <c r="AJ404" s="49"/>
      <c r="AK404" s="49"/>
      <c r="AL404" s="49"/>
      <c r="AM404" s="49"/>
      <c r="AN404" s="49"/>
      <c r="AO404" s="49"/>
      <c r="AP404" s="49"/>
      <c r="AQ404" s="49"/>
      <c r="AR404" s="49"/>
      <c r="AS404" s="49"/>
      <c r="AT404" s="49"/>
      <c r="AU404" s="49"/>
      <c r="AV404" s="49"/>
      <c r="AW404" s="49"/>
      <c r="AX404" s="49"/>
    </row>
    <row r="405">
      <c r="A405" s="49"/>
      <c r="B405" s="49"/>
      <c r="C405" s="50"/>
      <c r="D405" s="49"/>
      <c r="E405" s="49"/>
      <c r="F405" s="49"/>
      <c r="G405" s="49"/>
      <c r="H405" s="49"/>
      <c r="I405" s="49"/>
      <c r="J405" s="49"/>
      <c r="K405" s="49"/>
      <c r="L405" s="49"/>
      <c r="M405" s="49"/>
      <c r="N405" s="49"/>
      <c r="O405" s="49"/>
      <c r="P405" s="49"/>
      <c r="Q405" s="49"/>
      <c r="R405" s="49"/>
      <c r="S405" s="49"/>
      <c r="T405" s="49"/>
      <c r="U405" s="49"/>
      <c r="V405" s="49"/>
      <c r="W405" s="49"/>
      <c r="X405" s="49"/>
      <c r="Y405" s="49"/>
      <c r="Z405" s="49"/>
      <c r="AA405" s="49"/>
      <c r="AB405" s="49"/>
      <c r="AC405" s="49"/>
      <c r="AD405" s="49"/>
      <c r="AE405" s="49"/>
      <c r="AF405" s="49"/>
      <c r="AG405" s="49"/>
      <c r="AH405" s="49"/>
      <c r="AI405" s="49"/>
      <c r="AJ405" s="49"/>
      <c r="AK405" s="49"/>
      <c r="AL405" s="49"/>
      <c r="AM405" s="49"/>
      <c r="AN405" s="49"/>
      <c r="AO405" s="49"/>
      <c r="AP405" s="49"/>
      <c r="AQ405" s="49"/>
      <c r="AR405" s="49"/>
      <c r="AS405" s="49"/>
      <c r="AT405" s="49"/>
      <c r="AU405" s="49"/>
      <c r="AV405" s="49"/>
      <c r="AW405" s="49"/>
      <c r="AX405" s="49"/>
    </row>
    <row r="406">
      <c r="A406" s="49"/>
      <c r="B406" s="49"/>
      <c r="C406" s="50"/>
      <c r="D406" s="49"/>
      <c r="E406" s="49"/>
      <c r="F406" s="49"/>
      <c r="G406" s="49"/>
      <c r="H406" s="49"/>
      <c r="I406" s="49"/>
      <c r="J406" s="49"/>
      <c r="K406" s="49"/>
      <c r="L406" s="49"/>
      <c r="M406" s="49"/>
      <c r="N406" s="49"/>
      <c r="O406" s="49"/>
      <c r="P406" s="49"/>
      <c r="Q406" s="49"/>
      <c r="R406" s="49"/>
      <c r="S406" s="49"/>
      <c r="T406" s="49"/>
      <c r="U406" s="49"/>
      <c r="V406" s="49"/>
      <c r="W406" s="49"/>
      <c r="X406" s="49"/>
      <c r="Y406" s="49"/>
      <c r="Z406" s="49"/>
      <c r="AA406" s="49"/>
      <c r="AB406" s="49"/>
      <c r="AC406" s="49"/>
      <c r="AD406" s="49"/>
      <c r="AE406" s="49"/>
      <c r="AF406" s="49"/>
      <c r="AG406" s="49"/>
      <c r="AH406" s="49"/>
      <c r="AI406" s="49"/>
      <c r="AJ406" s="49"/>
      <c r="AK406" s="49"/>
      <c r="AL406" s="49"/>
      <c r="AM406" s="49"/>
      <c r="AN406" s="49"/>
      <c r="AO406" s="49"/>
      <c r="AP406" s="49"/>
      <c r="AQ406" s="49"/>
      <c r="AR406" s="49"/>
      <c r="AS406" s="49"/>
      <c r="AT406" s="49"/>
      <c r="AU406" s="49"/>
      <c r="AV406" s="49"/>
      <c r="AW406" s="49"/>
      <c r="AX406" s="49"/>
    </row>
    <row r="407">
      <c r="A407" s="49"/>
      <c r="B407" s="49"/>
      <c r="C407" s="50"/>
      <c r="D407" s="49"/>
      <c r="E407" s="49"/>
      <c r="F407" s="49"/>
      <c r="G407" s="49"/>
      <c r="H407" s="49"/>
      <c r="I407" s="49"/>
      <c r="J407" s="49"/>
      <c r="K407" s="49"/>
      <c r="L407" s="49"/>
      <c r="M407" s="49"/>
      <c r="N407" s="49"/>
      <c r="O407" s="49"/>
      <c r="P407" s="49"/>
      <c r="Q407" s="49"/>
      <c r="R407" s="49"/>
      <c r="S407" s="49"/>
      <c r="T407" s="49"/>
      <c r="U407" s="49"/>
      <c r="V407" s="49"/>
      <c r="W407" s="49"/>
      <c r="X407" s="49"/>
      <c r="Y407" s="49"/>
      <c r="Z407" s="49"/>
      <c r="AA407" s="49"/>
      <c r="AB407" s="49"/>
      <c r="AC407" s="49"/>
      <c r="AD407" s="49"/>
      <c r="AE407" s="49"/>
      <c r="AF407" s="49"/>
      <c r="AG407" s="49"/>
      <c r="AH407" s="49"/>
      <c r="AI407" s="49"/>
      <c r="AJ407" s="49"/>
      <c r="AK407" s="49"/>
      <c r="AL407" s="49"/>
      <c r="AM407" s="49"/>
      <c r="AN407" s="49"/>
      <c r="AO407" s="49"/>
      <c r="AP407" s="49"/>
      <c r="AQ407" s="49"/>
      <c r="AR407" s="49"/>
      <c r="AS407" s="49"/>
      <c r="AT407" s="49"/>
      <c r="AU407" s="49"/>
      <c r="AV407" s="49"/>
      <c r="AW407" s="49"/>
      <c r="AX407" s="49"/>
    </row>
    <row r="408">
      <c r="A408" s="49"/>
      <c r="B408" s="49"/>
      <c r="C408" s="50"/>
      <c r="D408" s="49"/>
      <c r="E408" s="49"/>
      <c r="F408" s="49"/>
      <c r="G408" s="49"/>
      <c r="H408" s="49"/>
      <c r="I408" s="49"/>
      <c r="J408" s="49"/>
      <c r="K408" s="49"/>
      <c r="L408" s="49"/>
      <c r="M408" s="49"/>
      <c r="N408" s="49"/>
      <c r="O408" s="49"/>
      <c r="P408" s="49"/>
      <c r="Q408" s="49"/>
      <c r="R408" s="49"/>
      <c r="S408" s="49"/>
      <c r="T408" s="49"/>
      <c r="U408" s="49"/>
      <c r="V408" s="49"/>
      <c r="W408" s="49"/>
      <c r="X408" s="49"/>
      <c r="Y408" s="49"/>
      <c r="Z408" s="49"/>
      <c r="AA408" s="49"/>
      <c r="AB408" s="49"/>
      <c r="AC408" s="49"/>
      <c r="AD408" s="49"/>
      <c r="AE408" s="49"/>
      <c r="AF408" s="49"/>
      <c r="AG408" s="49"/>
      <c r="AH408" s="49"/>
      <c r="AI408" s="49"/>
      <c r="AJ408" s="49"/>
      <c r="AK408" s="49"/>
      <c r="AL408" s="49"/>
      <c r="AM408" s="49"/>
      <c r="AN408" s="49"/>
      <c r="AO408" s="49"/>
      <c r="AP408" s="49"/>
      <c r="AQ408" s="49"/>
      <c r="AR408" s="49"/>
      <c r="AS408" s="49"/>
      <c r="AT408" s="49"/>
      <c r="AU408" s="49"/>
      <c r="AV408" s="49"/>
      <c r="AW408" s="49"/>
      <c r="AX408" s="49"/>
    </row>
    <row r="409">
      <c r="A409" s="49"/>
      <c r="B409" s="49"/>
      <c r="C409" s="50"/>
      <c r="D409" s="49"/>
      <c r="E409" s="49"/>
      <c r="F409" s="49"/>
      <c r="G409" s="49"/>
      <c r="H409" s="49"/>
      <c r="I409" s="49"/>
      <c r="J409" s="49"/>
      <c r="K409" s="49"/>
      <c r="L409" s="49"/>
      <c r="M409" s="49"/>
      <c r="N409" s="49"/>
      <c r="O409" s="49"/>
      <c r="P409" s="49"/>
      <c r="Q409" s="49"/>
      <c r="R409" s="49"/>
      <c r="S409" s="49"/>
      <c r="T409" s="49"/>
      <c r="U409" s="49"/>
      <c r="V409" s="49"/>
      <c r="W409" s="49"/>
      <c r="X409" s="49"/>
      <c r="Y409" s="49"/>
      <c r="Z409" s="49"/>
      <c r="AA409" s="49"/>
      <c r="AB409" s="49"/>
      <c r="AC409" s="49"/>
      <c r="AD409" s="49"/>
      <c r="AE409" s="49"/>
      <c r="AF409" s="49"/>
      <c r="AG409" s="49"/>
      <c r="AH409" s="49"/>
      <c r="AI409" s="49"/>
      <c r="AJ409" s="49"/>
      <c r="AK409" s="49"/>
      <c r="AL409" s="49"/>
      <c r="AM409" s="49"/>
      <c r="AN409" s="49"/>
      <c r="AO409" s="49"/>
      <c r="AP409" s="49"/>
      <c r="AQ409" s="49"/>
      <c r="AR409" s="49"/>
      <c r="AS409" s="49"/>
      <c r="AT409" s="49"/>
      <c r="AU409" s="49"/>
      <c r="AV409" s="49"/>
      <c r="AW409" s="49"/>
      <c r="AX409" s="49"/>
    </row>
    <row r="410">
      <c r="A410" s="49"/>
      <c r="B410" s="49"/>
      <c r="C410" s="50"/>
      <c r="D410" s="49"/>
      <c r="E410" s="49"/>
      <c r="F410" s="49"/>
      <c r="G410" s="49"/>
      <c r="H410" s="49"/>
      <c r="I410" s="49"/>
      <c r="J410" s="49"/>
      <c r="K410" s="49"/>
      <c r="L410" s="49"/>
      <c r="M410" s="49"/>
      <c r="N410" s="49"/>
      <c r="O410" s="49"/>
      <c r="P410" s="49"/>
      <c r="Q410" s="49"/>
      <c r="R410" s="49"/>
      <c r="S410" s="49"/>
      <c r="T410" s="49"/>
      <c r="U410" s="49"/>
      <c r="V410" s="49"/>
      <c r="W410" s="49"/>
      <c r="X410" s="49"/>
      <c r="Y410" s="49"/>
      <c r="Z410" s="49"/>
      <c r="AA410" s="49"/>
      <c r="AB410" s="49"/>
      <c r="AC410" s="49"/>
      <c r="AD410" s="49"/>
      <c r="AE410" s="49"/>
      <c r="AF410" s="49"/>
      <c r="AG410" s="49"/>
      <c r="AH410" s="49"/>
      <c r="AI410" s="49"/>
      <c r="AJ410" s="49"/>
      <c r="AK410" s="49"/>
      <c r="AL410" s="49"/>
      <c r="AM410" s="49"/>
      <c r="AN410" s="49"/>
      <c r="AO410" s="49"/>
      <c r="AP410" s="49"/>
      <c r="AQ410" s="49"/>
      <c r="AR410" s="49"/>
      <c r="AS410" s="49"/>
      <c r="AT410" s="49"/>
      <c r="AU410" s="49"/>
      <c r="AV410" s="49"/>
      <c r="AW410" s="49"/>
      <c r="AX410" s="49"/>
    </row>
    <row r="411">
      <c r="A411" s="49"/>
      <c r="B411" s="49"/>
      <c r="C411" s="50"/>
      <c r="D411" s="49"/>
      <c r="E411" s="49"/>
      <c r="F411" s="49"/>
      <c r="G411" s="49"/>
      <c r="H411" s="49"/>
      <c r="I411" s="49"/>
      <c r="J411" s="49"/>
      <c r="K411" s="49"/>
      <c r="L411" s="49"/>
      <c r="M411" s="49"/>
      <c r="N411" s="49"/>
      <c r="O411" s="49"/>
      <c r="P411" s="49"/>
      <c r="Q411" s="49"/>
      <c r="R411" s="49"/>
      <c r="S411" s="49"/>
      <c r="T411" s="49"/>
      <c r="U411" s="49"/>
      <c r="V411" s="49"/>
      <c r="W411" s="49"/>
      <c r="X411" s="49"/>
      <c r="Y411" s="49"/>
      <c r="Z411" s="49"/>
      <c r="AA411" s="49"/>
      <c r="AB411" s="49"/>
      <c r="AC411" s="49"/>
      <c r="AD411" s="49"/>
      <c r="AE411" s="49"/>
      <c r="AF411" s="49"/>
      <c r="AG411" s="49"/>
      <c r="AH411" s="49"/>
      <c r="AI411" s="49"/>
      <c r="AJ411" s="49"/>
      <c r="AK411" s="49"/>
      <c r="AL411" s="49"/>
      <c r="AM411" s="49"/>
      <c r="AN411" s="49"/>
      <c r="AO411" s="49"/>
      <c r="AP411" s="49"/>
      <c r="AQ411" s="49"/>
      <c r="AR411" s="49"/>
      <c r="AS411" s="49"/>
      <c r="AT411" s="49"/>
      <c r="AU411" s="49"/>
      <c r="AV411" s="49"/>
      <c r="AW411" s="49"/>
      <c r="AX411" s="49"/>
    </row>
    <row r="412">
      <c r="A412" s="49"/>
      <c r="B412" s="49"/>
      <c r="C412" s="50"/>
      <c r="D412" s="49"/>
      <c r="E412" s="49"/>
      <c r="F412" s="49"/>
      <c r="G412" s="49"/>
      <c r="H412" s="49"/>
      <c r="I412" s="49"/>
      <c r="J412" s="49"/>
      <c r="K412" s="49"/>
      <c r="L412" s="49"/>
      <c r="M412" s="49"/>
      <c r="N412" s="49"/>
      <c r="O412" s="49"/>
      <c r="P412" s="49"/>
      <c r="Q412" s="49"/>
      <c r="R412" s="49"/>
      <c r="S412" s="49"/>
      <c r="T412" s="49"/>
      <c r="U412" s="49"/>
      <c r="V412" s="49"/>
      <c r="W412" s="49"/>
      <c r="X412" s="49"/>
      <c r="Y412" s="49"/>
      <c r="Z412" s="49"/>
      <c r="AA412" s="49"/>
      <c r="AB412" s="49"/>
      <c r="AC412" s="49"/>
      <c r="AD412" s="49"/>
      <c r="AE412" s="49"/>
      <c r="AF412" s="49"/>
      <c r="AG412" s="49"/>
      <c r="AH412" s="49"/>
      <c r="AI412" s="49"/>
      <c r="AJ412" s="49"/>
      <c r="AK412" s="49"/>
      <c r="AL412" s="49"/>
      <c r="AM412" s="49"/>
      <c r="AN412" s="49"/>
      <c r="AO412" s="49"/>
      <c r="AP412" s="49"/>
      <c r="AQ412" s="49"/>
      <c r="AR412" s="49"/>
      <c r="AS412" s="49"/>
      <c r="AT412" s="49"/>
      <c r="AU412" s="49"/>
      <c r="AV412" s="49"/>
      <c r="AW412" s="49"/>
      <c r="AX412" s="49"/>
    </row>
    <row r="413">
      <c r="A413" s="49"/>
      <c r="B413" s="49"/>
      <c r="C413" s="50"/>
      <c r="D413" s="49"/>
      <c r="E413" s="49"/>
      <c r="F413" s="49"/>
      <c r="G413" s="49"/>
      <c r="H413" s="49"/>
      <c r="I413" s="49"/>
      <c r="J413" s="49"/>
      <c r="K413" s="49"/>
      <c r="L413" s="49"/>
      <c r="M413" s="49"/>
      <c r="N413" s="49"/>
      <c r="O413" s="49"/>
      <c r="P413" s="49"/>
      <c r="Q413" s="49"/>
      <c r="R413" s="49"/>
      <c r="S413" s="49"/>
      <c r="T413" s="49"/>
      <c r="U413" s="49"/>
      <c r="V413" s="49"/>
      <c r="W413" s="49"/>
      <c r="X413" s="49"/>
      <c r="Y413" s="49"/>
      <c r="Z413" s="49"/>
      <c r="AA413" s="49"/>
      <c r="AB413" s="49"/>
      <c r="AC413" s="49"/>
      <c r="AD413" s="49"/>
      <c r="AE413" s="49"/>
      <c r="AF413" s="49"/>
      <c r="AG413" s="49"/>
      <c r="AH413" s="49"/>
      <c r="AI413" s="49"/>
      <c r="AJ413" s="49"/>
      <c r="AK413" s="49"/>
      <c r="AL413" s="49"/>
      <c r="AM413" s="49"/>
      <c r="AN413" s="49"/>
      <c r="AO413" s="49"/>
      <c r="AP413" s="49"/>
      <c r="AQ413" s="49"/>
      <c r="AR413" s="49"/>
      <c r="AS413" s="49"/>
      <c r="AT413" s="49"/>
      <c r="AU413" s="49"/>
      <c r="AV413" s="49"/>
      <c r="AW413" s="49"/>
      <c r="AX413" s="49"/>
    </row>
    <row r="414">
      <c r="A414" s="49"/>
      <c r="B414" s="49"/>
      <c r="C414" s="50"/>
      <c r="D414" s="49"/>
      <c r="E414" s="49"/>
      <c r="F414" s="49"/>
      <c r="G414" s="49"/>
      <c r="H414" s="49"/>
      <c r="I414" s="49"/>
      <c r="J414" s="49"/>
      <c r="K414" s="49"/>
      <c r="L414" s="49"/>
      <c r="M414" s="49"/>
      <c r="N414" s="49"/>
      <c r="O414" s="49"/>
      <c r="P414" s="49"/>
      <c r="Q414" s="49"/>
      <c r="R414" s="49"/>
      <c r="S414" s="49"/>
      <c r="T414" s="49"/>
      <c r="U414" s="49"/>
      <c r="V414" s="49"/>
      <c r="W414" s="49"/>
      <c r="X414" s="49"/>
      <c r="Y414" s="49"/>
      <c r="Z414" s="49"/>
      <c r="AA414" s="49"/>
      <c r="AB414" s="49"/>
      <c r="AC414" s="49"/>
      <c r="AD414" s="49"/>
      <c r="AE414" s="49"/>
      <c r="AF414" s="49"/>
      <c r="AG414" s="49"/>
      <c r="AH414" s="49"/>
      <c r="AI414" s="49"/>
      <c r="AJ414" s="49"/>
      <c r="AK414" s="49"/>
      <c r="AL414" s="49"/>
      <c r="AM414" s="49"/>
      <c r="AN414" s="49"/>
      <c r="AO414" s="49"/>
      <c r="AP414" s="49"/>
      <c r="AQ414" s="49"/>
      <c r="AR414" s="49"/>
      <c r="AS414" s="49"/>
      <c r="AT414" s="49"/>
      <c r="AU414" s="49"/>
      <c r="AV414" s="49"/>
      <c r="AW414" s="49"/>
      <c r="AX414" s="49"/>
    </row>
    <row r="415">
      <c r="A415" s="49"/>
      <c r="B415" s="49"/>
      <c r="C415" s="50"/>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c r="AF415" s="49"/>
      <c r="AG415" s="49"/>
      <c r="AH415" s="49"/>
      <c r="AI415" s="49"/>
      <c r="AJ415" s="49"/>
      <c r="AK415" s="49"/>
      <c r="AL415" s="49"/>
      <c r="AM415" s="49"/>
      <c r="AN415" s="49"/>
      <c r="AO415" s="49"/>
      <c r="AP415" s="49"/>
      <c r="AQ415" s="49"/>
      <c r="AR415" s="49"/>
      <c r="AS415" s="49"/>
      <c r="AT415" s="49"/>
      <c r="AU415" s="49"/>
      <c r="AV415" s="49"/>
      <c r="AW415" s="49"/>
      <c r="AX415" s="49"/>
    </row>
    <row r="416">
      <c r="A416" s="49"/>
      <c r="B416" s="49"/>
      <c r="C416" s="50"/>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c r="AF416" s="49"/>
      <c r="AG416" s="49"/>
      <c r="AH416" s="49"/>
      <c r="AI416" s="49"/>
      <c r="AJ416" s="49"/>
      <c r="AK416" s="49"/>
      <c r="AL416" s="49"/>
      <c r="AM416" s="49"/>
      <c r="AN416" s="49"/>
      <c r="AO416" s="49"/>
      <c r="AP416" s="49"/>
      <c r="AQ416" s="49"/>
      <c r="AR416" s="49"/>
      <c r="AS416" s="49"/>
      <c r="AT416" s="49"/>
      <c r="AU416" s="49"/>
      <c r="AV416" s="49"/>
      <c r="AW416" s="49"/>
      <c r="AX416" s="49"/>
    </row>
    <row r="417">
      <c r="A417" s="49"/>
      <c r="B417" s="49"/>
      <c r="C417" s="50"/>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c r="AF417" s="49"/>
      <c r="AG417" s="49"/>
      <c r="AH417" s="49"/>
      <c r="AI417" s="49"/>
      <c r="AJ417" s="49"/>
      <c r="AK417" s="49"/>
      <c r="AL417" s="49"/>
      <c r="AM417" s="49"/>
      <c r="AN417" s="49"/>
      <c r="AO417" s="49"/>
      <c r="AP417" s="49"/>
      <c r="AQ417" s="49"/>
      <c r="AR417" s="49"/>
      <c r="AS417" s="49"/>
      <c r="AT417" s="49"/>
      <c r="AU417" s="49"/>
      <c r="AV417" s="49"/>
      <c r="AW417" s="49"/>
      <c r="AX417" s="49"/>
    </row>
    <row r="418">
      <c r="A418" s="49"/>
      <c r="B418" s="49"/>
      <c r="C418" s="50"/>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c r="AF418" s="49"/>
      <c r="AG418" s="49"/>
      <c r="AH418" s="49"/>
      <c r="AI418" s="49"/>
      <c r="AJ418" s="49"/>
      <c r="AK418" s="49"/>
      <c r="AL418" s="49"/>
      <c r="AM418" s="49"/>
      <c r="AN418" s="49"/>
      <c r="AO418" s="49"/>
      <c r="AP418" s="49"/>
      <c r="AQ418" s="49"/>
      <c r="AR418" s="49"/>
      <c r="AS418" s="49"/>
      <c r="AT418" s="49"/>
      <c r="AU418" s="49"/>
      <c r="AV418" s="49"/>
      <c r="AW418" s="49"/>
      <c r="AX418" s="49"/>
    </row>
    <row r="419">
      <c r="A419" s="49"/>
      <c r="B419" s="49"/>
      <c r="C419" s="50"/>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c r="AF419" s="49"/>
      <c r="AG419" s="49"/>
      <c r="AH419" s="49"/>
      <c r="AI419" s="49"/>
      <c r="AJ419" s="49"/>
      <c r="AK419" s="49"/>
      <c r="AL419" s="49"/>
      <c r="AM419" s="49"/>
      <c r="AN419" s="49"/>
      <c r="AO419" s="49"/>
      <c r="AP419" s="49"/>
      <c r="AQ419" s="49"/>
      <c r="AR419" s="49"/>
      <c r="AS419" s="49"/>
      <c r="AT419" s="49"/>
      <c r="AU419" s="49"/>
      <c r="AV419" s="49"/>
      <c r="AW419" s="49"/>
      <c r="AX419" s="49"/>
    </row>
    <row r="420">
      <c r="A420" s="49"/>
      <c r="B420" s="49"/>
      <c r="C420" s="50"/>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c r="AF420" s="49"/>
      <c r="AG420" s="49"/>
      <c r="AH420" s="49"/>
      <c r="AI420" s="49"/>
      <c r="AJ420" s="49"/>
      <c r="AK420" s="49"/>
      <c r="AL420" s="49"/>
      <c r="AM420" s="49"/>
      <c r="AN420" s="49"/>
      <c r="AO420" s="49"/>
      <c r="AP420" s="49"/>
      <c r="AQ420" s="49"/>
      <c r="AR420" s="49"/>
      <c r="AS420" s="49"/>
      <c r="AT420" s="49"/>
      <c r="AU420" s="49"/>
      <c r="AV420" s="49"/>
      <c r="AW420" s="49"/>
      <c r="AX420" s="49"/>
    </row>
    <row r="421">
      <c r="A421" s="49"/>
      <c r="B421" s="49"/>
      <c r="C421" s="50"/>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c r="AF421" s="49"/>
      <c r="AG421" s="49"/>
      <c r="AH421" s="49"/>
      <c r="AI421" s="49"/>
      <c r="AJ421" s="49"/>
      <c r="AK421" s="49"/>
      <c r="AL421" s="49"/>
      <c r="AM421" s="49"/>
      <c r="AN421" s="49"/>
      <c r="AO421" s="49"/>
      <c r="AP421" s="49"/>
      <c r="AQ421" s="49"/>
      <c r="AR421" s="49"/>
      <c r="AS421" s="49"/>
      <c r="AT421" s="49"/>
      <c r="AU421" s="49"/>
      <c r="AV421" s="49"/>
      <c r="AW421" s="49"/>
      <c r="AX421" s="49"/>
    </row>
    <row r="422">
      <c r="A422" s="49"/>
      <c r="B422" s="49"/>
      <c r="C422" s="50"/>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c r="AF422" s="49"/>
      <c r="AG422" s="49"/>
      <c r="AH422" s="49"/>
      <c r="AI422" s="49"/>
      <c r="AJ422" s="49"/>
      <c r="AK422" s="49"/>
      <c r="AL422" s="49"/>
      <c r="AM422" s="49"/>
      <c r="AN422" s="49"/>
      <c r="AO422" s="49"/>
      <c r="AP422" s="49"/>
      <c r="AQ422" s="49"/>
      <c r="AR422" s="49"/>
      <c r="AS422" s="49"/>
      <c r="AT422" s="49"/>
      <c r="AU422" s="49"/>
      <c r="AV422" s="49"/>
      <c r="AW422" s="49"/>
      <c r="AX422" s="49"/>
    </row>
    <row r="423">
      <c r="A423" s="49"/>
      <c r="B423" s="49"/>
      <c r="C423" s="50"/>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c r="AF423" s="49"/>
      <c r="AG423" s="49"/>
      <c r="AH423" s="49"/>
      <c r="AI423" s="49"/>
      <c r="AJ423" s="49"/>
      <c r="AK423" s="49"/>
      <c r="AL423" s="49"/>
      <c r="AM423" s="49"/>
      <c r="AN423" s="49"/>
      <c r="AO423" s="49"/>
      <c r="AP423" s="49"/>
      <c r="AQ423" s="49"/>
      <c r="AR423" s="49"/>
      <c r="AS423" s="49"/>
      <c r="AT423" s="49"/>
      <c r="AU423" s="49"/>
      <c r="AV423" s="49"/>
      <c r="AW423" s="49"/>
      <c r="AX423" s="49"/>
    </row>
    <row r="424">
      <c r="A424" s="49"/>
      <c r="B424" s="49"/>
      <c r="C424" s="50"/>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c r="AF424" s="49"/>
      <c r="AG424" s="49"/>
      <c r="AH424" s="49"/>
      <c r="AI424" s="49"/>
      <c r="AJ424" s="49"/>
      <c r="AK424" s="49"/>
      <c r="AL424" s="49"/>
      <c r="AM424" s="49"/>
      <c r="AN424" s="49"/>
      <c r="AO424" s="49"/>
      <c r="AP424" s="49"/>
      <c r="AQ424" s="49"/>
      <c r="AR424" s="49"/>
      <c r="AS424" s="49"/>
      <c r="AT424" s="49"/>
      <c r="AU424" s="49"/>
      <c r="AV424" s="49"/>
      <c r="AW424" s="49"/>
      <c r="AX424" s="49"/>
    </row>
    <row r="425">
      <c r="A425" s="49"/>
      <c r="B425" s="49"/>
      <c r="C425" s="50"/>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c r="AF425" s="49"/>
      <c r="AG425" s="49"/>
      <c r="AH425" s="49"/>
      <c r="AI425" s="49"/>
      <c r="AJ425" s="49"/>
      <c r="AK425" s="49"/>
      <c r="AL425" s="49"/>
      <c r="AM425" s="49"/>
      <c r="AN425" s="49"/>
      <c r="AO425" s="49"/>
      <c r="AP425" s="49"/>
      <c r="AQ425" s="49"/>
      <c r="AR425" s="49"/>
      <c r="AS425" s="49"/>
      <c r="AT425" s="49"/>
      <c r="AU425" s="49"/>
      <c r="AV425" s="49"/>
      <c r="AW425" s="49"/>
      <c r="AX425" s="49"/>
    </row>
    <row r="426">
      <c r="A426" s="49"/>
      <c r="B426" s="49"/>
      <c r="C426" s="50"/>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c r="AF426" s="49"/>
      <c r="AG426" s="49"/>
      <c r="AH426" s="49"/>
      <c r="AI426" s="49"/>
      <c r="AJ426" s="49"/>
      <c r="AK426" s="49"/>
      <c r="AL426" s="49"/>
      <c r="AM426" s="49"/>
      <c r="AN426" s="49"/>
      <c r="AO426" s="49"/>
      <c r="AP426" s="49"/>
      <c r="AQ426" s="49"/>
      <c r="AR426" s="49"/>
      <c r="AS426" s="49"/>
      <c r="AT426" s="49"/>
      <c r="AU426" s="49"/>
      <c r="AV426" s="49"/>
      <c r="AW426" s="49"/>
      <c r="AX426" s="49"/>
    </row>
    <row r="427">
      <c r="A427" s="49"/>
      <c r="B427" s="49"/>
      <c r="C427" s="50"/>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c r="AF427" s="49"/>
      <c r="AG427" s="49"/>
      <c r="AH427" s="49"/>
      <c r="AI427" s="49"/>
      <c r="AJ427" s="49"/>
      <c r="AK427" s="49"/>
      <c r="AL427" s="49"/>
      <c r="AM427" s="49"/>
      <c r="AN427" s="49"/>
      <c r="AO427" s="49"/>
      <c r="AP427" s="49"/>
      <c r="AQ427" s="49"/>
      <c r="AR427" s="49"/>
      <c r="AS427" s="49"/>
      <c r="AT427" s="49"/>
      <c r="AU427" s="49"/>
      <c r="AV427" s="49"/>
      <c r="AW427" s="49"/>
      <c r="AX427" s="49"/>
    </row>
    <row r="428">
      <c r="A428" s="49"/>
      <c r="B428" s="49"/>
      <c r="C428" s="50"/>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c r="AF428" s="49"/>
      <c r="AG428" s="49"/>
      <c r="AH428" s="49"/>
      <c r="AI428" s="49"/>
      <c r="AJ428" s="49"/>
      <c r="AK428" s="49"/>
      <c r="AL428" s="49"/>
      <c r="AM428" s="49"/>
      <c r="AN428" s="49"/>
      <c r="AO428" s="49"/>
      <c r="AP428" s="49"/>
      <c r="AQ428" s="49"/>
      <c r="AR428" s="49"/>
      <c r="AS428" s="49"/>
      <c r="AT428" s="49"/>
      <c r="AU428" s="49"/>
      <c r="AV428" s="49"/>
      <c r="AW428" s="49"/>
      <c r="AX428" s="49"/>
    </row>
    <row r="429">
      <c r="A429" s="49"/>
      <c r="B429" s="49"/>
      <c r="C429" s="50"/>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c r="AF429" s="49"/>
      <c r="AG429" s="49"/>
      <c r="AH429" s="49"/>
      <c r="AI429" s="49"/>
      <c r="AJ429" s="49"/>
      <c r="AK429" s="49"/>
      <c r="AL429" s="49"/>
      <c r="AM429" s="49"/>
      <c r="AN429" s="49"/>
      <c r="AO429" s="49"/>
      <c r="AP429" s="49"/>
      <c r="AQ429" s="49"/>
      <c r="AR429" s="49"/>
      <c r="AS429" s="49"/>
      <c r="AT429" s="49"/>
      <c r="AU429" s="49"/>
      <c r="AV429" s="49"/>
      <c r="AW429" s="49"/>
      <c r="AX429" s="49"/>
    </row>
    <row r="430">
      <c r="A430" s="49"/>
      <c r="B430" s="49"/>
      <c r="C430" s="50"/>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c r="AF430" s="49"/>
      <c r="AG430" s="49"/>
      <c r="AH430" s="49"/>
      <c r="AI430" s="49"/>
      <c r="AJ430" s="49"/>
      <c r="AK430" s="49"/>
      <c r="AL430" s="49"/>
      <c r="AM430" s="49"/>
      <c r="AN430" s="49"/>
      <c r="AO430" s="49"/>
      <c r="AP430" s="49"/>
      <c r="AQ430" s="49"/>
      <c r="AR430" s="49"/>
      <c r="AS430" s="49"/>
      <c r="AT430" s="49"/>
      <c r="AU430" s="49"/>
      <c r="AV430" s="49"/>
      <c r="AW430" s="49"/>
      <c r="AX430" s="49"/>
    </row>
    <row r="431">
      <c r="A431" s="49"/>
      <c r="B431" s="49"/>
      <c r="C431" s="50"/>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c r="AF431" s="49"/>
      <c r="AG431" s="49"/>
      <c r="AH431" s="49"/>
      <c r="AI431" s="49"/>
      <c r="AJ431" s="49"/>
      <c r="AK431" s="49"/>
      <c r="AL431" s="49"/>
      <c r="AM431" s="49"/>
      <c r="AN431" s="49"/>
      <c r="AO431" s="49"/>
      <c r="AP431" s="49"/>
      <c r="AQ431" s="49"/>
      <c r="AR431" s="49"/>
      <c r="AS431" s="49"/>
      <c r="AT431" s="49"/>
      <c r="AU431" s="49"/>
      <c r="AV431" s="49"/>
      <c r="AW431" s="49"/>
      <c r="AX431" s="49"/>
    </row>
    <row r="432">
      <c r="A432" s="49"/>
      <c r="B432" s="49"/>
      <c r="C432" s="50"/>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c r="AF432" s="49"/>
      <c r="AG432" s="49"/>
      <c r="AH432" s="49"/>
      <c r="AI432" s="49"/>
      <c r="AJ432" s="49"/>
      <c r="AK432" s="49"/>
      <c r="AL432" s="49"/>
      <c r="AM432" s="49"/>
      <c r="AN432" s="49"/>
      <c r="AO432" s="49"/>
      <c r="AP432" s="49"/>
      <c r="AQ432" s="49"/>
      <c r="AR432" s="49"/>
      <c r="AS432" s="49"/>
      <c r="AT432" s="49"/>
      <c r="AU432" s="49"/>
      <c r="AV432" s="49"/>
      <c r="AW432" s="49"/>
      <c r="AX432" s="49"/>
    </row>
    <row r="433">
      <c r="A433" s="49"/>
      <c r="B433" s="49"/>
      <c r="C433" s="50"/>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c r="AF433" s="49"/>
      <c r="AG433" s="49"/>
      <c r="AH433" s="49"/>
      <c r="AI433" s="49"/>
      <c r="AJ433" s="49"/>
      <c r="AK433" s="49"/>
      <c r="AL433" s="49"/>
      <c r="AM433" s="49"/>
      <c r="AN433" s="49"/>
      <c r="AO433" s="49"/>
      <c r="AP433" s="49"/>
      <c r="AQ433" s="49"/>
      <c r="AR433" s="49"/>
      <c r="AS433" s="49"/>
      <c r="AT433" s="49"/>
      <c r="AU433" s="49"/>
      <c r="AV433" s="49"/>
      <c r="AW433" s="49"/>
      <c r="AX433" s="49"/>
    </row>
    <row r="434">
      <c r="A434" s="49"/>
      <c r="B434" s="49"/>
      <c r="C434" s="50"/>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c r="AF434" s="49"/>
      <c r="AG434" s="49"/>
      <c r="AH434" s="49"/>
      <c r="AI434" s="49"/>
      <c r="AJ434" s="49"/>
      <c r="AK434" s="49"/>
      <c r="AL434" s="49"/>
      <c r="AM434" s="49"/>
      <c r="AN434" s="49"/>
      <c r="AO434" s="49"/>
      <c r="AP434" s="49"/>
      <c r="AQ434" s="49"/>
      <c r="AR434" s="49"/>
      <c r="AS434" s="49"/>
      <c r="AT434" s="49"/>
      <c r="AU434" s="49"/>
      <c r="AV434" s="49"/>
      <c r="AW434" s="49"/>
      <c r="AX434" s="49"/>
    </row>
    <row r="435">
      <c r="A435" s="49"/>
      <c r="B435" s="49"/>
      <c r="C435" s="50"/>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c r="AF435" s="49"/>
      <c r="AG435" s="49"/>
      <c r="AH435" s="49"/>
      <c r="AI435" s="49"/>
      <c r="AJ435" s="49"/>
      <c r="AK435" s="49"/>
      <c r="AL435" s="49"/>
      <c r="AM435" s="49"/>
      <c r="AN435" s="49"/>
      <c r="AO435" s="49"/>
      <c r="AP435" s="49"/>
      <c r="AQ435" s="49"/>
      <c r="AR435" s="49"/>
      <c r="AS435" s="49"/>
      <c r="AT435" s="49"/>
      <c r="AU435" s="49"/>
      <c r="AV435" s="49"/>
      <c r="AW435" s="49"/>
      <c r="AX435" s="49"/>
    </row>
    <row r="436">
      <c r="A436" s="49"/>
      <c r="B436" s="49"/>
      <c r="C436" s="50"/>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c r="AF436" s="49"/>
      <c r="AG436" s="49"/>
      <c r="AH436" s="49"/>
      <c r="AI436" s="49"/>
      <c r="AJ436" s="49"/>
      <c r="AK436" s="49"/>
      <c r="AL436" s="49"/>
      <c r="AM436" s="49"/>
      <c r="AN436" s="49"/>
      <c r="AO436" s="49"/>
      <c r="AP436" s="49"/>
      <c r="AQ436" s="49"/>
      <c r="AR436" s="49"/>
      <c r="AS436" s="49"/>
      <c r="AT436" s="49"/>
      <c r="AU436" s="49"/>
      <c r="AV436" s="49"/>
      <c r="AW436" s="49"/>
      <c r="AX436" s="49"/>
    </row>
    <row r="437">
      <c r="A437" s="49"/>
      <c r="B437" s="49"/>
      <c r="C437" s="50"/>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c r="AF437" s="49"/>
      <c r="AG437" s="49"/>
      <c r="AH437" s="49"/>
      <c r="AI437" s="49"/>
      <c r="AJ437" s="49"/>
      <c r="AK437" s="49"/>
      <c r="AL437" s="49"/>
      <c r="AM437" s="49"/>
      <c r="AN437" s="49"/>
      <c r="AO437" s="49"/>
      <c r="AP437" s="49"/>
      <c r="AQ437" s="49"/>
      <c r="AR437" s="49"/>
      <c r="AS437" s="49"/>
      <c r="AT437" s="49"/>
      <c r="AU437" s="49"/>
      <c r="AV437" s="49"/>
      <c r="AW437" s="49"/>
      <c r="AX437" s="49"/>
    </row>
    <row r="438">
      <c r="A438" s="49"/>
      <c r="B438" s="49"/>
      <c r="C438" s="50"/>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c r="AF438" s="49"/>
      <c r="AG438" s="49"/>
      <c r="AH438" s="49"/>
      <c r="AI438" s="49"/>
      <c r="AJ438" s="49"/>
      <c r="AK438" s="49"/>
      <c r="AL438" s="49"/>
      <c r="AM438" s="49"/>
      <c r="AN438" s="49"/>
      <c r="AO438" s="49"/>
      <c r="AP438" s="49"/>
      <c r="AQ438" s="49"/>
      <c r="AR438" s="49"/>
      <c r="AS438" s="49"/>
      <c r="AT438" s="49"/>
      <c r="AU438" s="49"/>
      <c r="AV438" s="49"/>
      <c r="AW438" s="49"/>
      <c r="AX438" s="49"/>
    </row>
    <row r="439">
      <c r="A439" s="49"/>
      <c r="B439" s="49"/>
      <c r="C439" s="50"/>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c r="AF439" s="49"/>
      <c r="AG439" s="49"/>
      <c r="AH439" s="49"/>
      <c r="AI439" s="49"/>
      <c r="AJ439" s="49"/>
      <c r="AK439" s="49"/>
      <c r="AL439" s="49"/>
      <c r="AM439" s="49"/>
      <c r="AN439" s="49"/>
      <c r="AO439" s="49"/>
      <c r="AP439" s="49"/>
      <c r="AQ439" s="49"/>
      <c r="AR439" s="49"/>
      <c r="AS439" s="49"/>
      <c r="AT439" s="49"/>
      <c r="AU439" s="49"/>
      <c r="AV439" s="49"/>
      <c r="AW439" s="49"/>
      <c r="AX439" s="49"/>
    </row>
    <row r="440">
      <c r="A440" s="49"/>
      <c r="B440" s="49"/>
      <c r="C440" s="50"/>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c r="AF440" s="49"/>
      <c r="AG440" s="49"/>
      <c r="AH440" s="49"/>
      <c r="AI440" s="49"/>
      <c r="AJ440" s="49"/>
      <c r="AK440" s="49"/>
      <c r="AL440" s="49"/>
      <c r="AM440" s="49"/>
      <c r="AN440" s="49"/>
      <c r="AO440" s="49"/>
      <c r="AP440" s="49"/>
      <c r="AQ440" s="49"/>
      <c r="AR440" s="49"/>
      <c r="AS440" s="49"/>
      <c r="AT440" s="49"/>
      <c r="AU440" s="49"/>
      <c r="AV440" s="49"/>
      <c r="AW440" s="49"/>
      <c r="AX440" s="49"/>
    </row>
    <row r="441">
      <c r="A441" s="49"/>
      <c r="B441" s="49"/>
      <c r="C441" s="50"/>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c r="AF441" s="49"/>
      <c r="AG441" s="49"/>
      <c r="AH441" s="49"/>
      <c r="AI441" s="49"/>
      <c r="AJ441" s="49"/>
      <c r="AK441" s="49"/>
      <c r="AL441" s="49"/>
      <c r="AM441" s="49"/>
      <c r="AN441" s="49"/>
      <c r="AO441" s="49"/>
      <c r="AP441" s="49"/>
      <c r="AQ441" s="49"/>
      <c r="AR441" s="49"/>
      <c r="AS441" s="49"/>
      <c r="AT441" s="49"/>
      <c r="AU441" s="49"/>
      <c r="AV441" s="49"/>
      <c r="AW441" s="49"/>
      <c r="AX441" s="49"/>
    </row>
    <row r="442">
      <c r="A442" s="49"/>
      <c r="B442" s="49"/>
      <c r="C442" s="50"/>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c r="AF442" s="49"/>
      <c r="AG442" s="49"/>
      <c r="AH442" s="49"/>
      <c r="AI442" s="49"/>
      <c r="AJ442" s="49"/>
      <c r="AK442" s="49"/>
      <c r="AL442" s="49"/>
      <c r="AM442" s="49"/>
      <c r="AN442" s="49"/>
      <c r="AO442" s="49"/>
      <c r="AP442" s="49"/>
      <c r="AQ442" s="49"/>
      <c r="AR442" s="49"/>
      <c r="AS442" s="49"/>
      <c r="AT442" s="49"/>
      <c r="AU442" s="49"/>
      <c r="AV442" s="49"/>
      <c r="AW442" s="49"/>
      <c r="AX442" s="49"/>
    </row>
    <row r="443">
      <c r="A443" s="49"/>
      <c r="B443" s="49"/>
      <c r="C443" s="50"/>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c r="AF443" s="49"/>
      <c r="AG443" s="49"/>
      <c r="AH443" s="49"/>
      <c r="AI443" s="49"/>
      <c r="AJ443" s="49"/>
      <c r="AK443" s="49"/>
      <c r="AL443" s="49"/>
      <c r="AM443" s="49"/>
      <c r="AN443" s="49"/>
      <c r="AO443" s="49"/>
      <c r="AP443" s="49"/>
      <c r="AQ443" s="49"/>
      <c r="AR443" s="49"/>
      <c r="AS443" s="49"/>
      <c r="AT443" s="49"/>
      <c r="AU443" s="49"/>
      <c r="AV443" s="49"/>
      <c r="AW443" s="49"/>
      <c r="AX443" s="49"/>
    </row>
    <row r="444">
      <c r="A444" s="49"/>
      <c r="B444" s="49"/>
      <c r="C444" s="50"/>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c r="AF444" s="49"/>
      <c r="AG444" s="49"/>
      <c r="AH444" s="49"/>
      <c r="AI444" s="49"/>
      <c r="AJ444" s="49"/>
      <c r="AK444" s="49"/>
      <c r="AL444" s="49"/>
      <c r="AM444" s="49"/>
      <c r="AN444" s="49"/>
      <c r="AO444" s="49"/>
      <c r="AP444" s="49"/>
      <c r="AQ444" s="49"/>
      <c r="AR444" s="49"/>
      <c r="AS444" s="49"/>
      <c r="AT444" s="49"/>
      <c r="AU444" s="49"/>
      <c r="AV444" s="49"/>
      <c r="AW444" s="49"/>
      <c r="AX444" s="49"/>
    </row>
    <row r="445">
      <c r="A445" s="49"/>
      <c r="B445" s="49"/>
      <c r="C445" s="50"/>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c r="AF445" s="49"/>
      <c r="AG445" s="49"/>
      <c r="AH445" s="49"/>
      <c r="AI445" s="49"/>
      <c r="AJ445" s="49"/>
      <c r="AK445" s="49"/>
      <c r="AL445" s="49"/>
      <c r="AM445" s="49"/>
      <c r="AN445" s="49"/>
      <c r="AO445" s="49"/>
      <c r="AP445" s="49"/>
      <c r="AQ445" s="49"/>
      <c r="AR445" s="49"/>
      <c r="AS445" s="49"/>
      <c r="AT445" s="49"/>
      <c r="AU445" s="49"/>
      <c r="AV445" s="49"/>
      <c r="AW445" s="49"/>
      <c r="AX445" s="49"/>
    </row>
    <row r="446">
      <c r="A446" s="49"/>
      <c r="B446" s="49"/>
      <c r="C446" s="50"/>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c r="AF446" s="49"/>
      <c r="AG446" s="49"/>
      <c r="AH446" s="49"/>
      <c r="AI446" s="49"/>
      <c r="AJ446" s="49"/>
      <c r="AK446" s="49"/>
      <c r="AL446" s="49"/>
      <c r="AM446" s="49"/>
      <c r="AN446" s="49"/>
      <c r="AO446" s="49"/>
      <c r="AP446" s="49"/>
      <c r="AQ446" s="49"/>
      <c r="AR446" s="49"/>
      <c r="AS446" s="49"/>
      <c r="AT446" s="49"/>
      <c r="AU446" s="49"/>
      <c r="AV446" s="49"/>
      <c r="AW446" s="49"/>
      <c r="AX446" s="49"/>
    </row>
    <row r="447">
      <c r="A447" s="49"/>
      <c r="B447" s="49"/>
      <c r="C447" s="50"/>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c r="AF447" s="49"/>
      <c r="AG447" s="49"/>
      <c r="AH447" s="49"/>
      <c r="AI447" s="49"/>
      <c r="AJ447" s="49"/>
      <c r="AK447" s="49"/>
      <c r="AL447" s="49"/>
      <c r="AM447" s="49"/>
      <c r="AN447" s="49"/>
      <c r="AO447" s="49"/>
      <c r="AP447" s="49"/>
      <c r="AQ447" s="49"/>
      <c r="AR447" s="49"/>
      <c r="AS447" s="49"/>
      <c r="AT447" s="49"/>
      <c r="AU447" s="49"/>
      <c r="AV447" s="49"/>
      <c r="AW447" s="49"/>
      <c r="AX447" s="49"/>
    </row>
    <row r="448">
      <c r="A448" s="49"/>
      <c r="B448" s="49"/>
      <c r="C448" s="50"/>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c r="AF448" s="49"/>
      <c r="AG448" s="49"/>
      <c r="AH448" s="49"/>
      <c r="AI448" s="49"/>
      <c r="AJ448" s="49"/>
      <c r="AK448" s="49"/>
      <c r="AL448" s="49"/>
      <c r="AM448" s="49"/>
      <c r="AN448" s="49"/>
      <c r="AO448" s="49"/>
      <c r="AP448" s="49"/>
      <c r="AQ448" s="49"/>
      <c r="AR448" s="49"/>
      <c r="AS448" s="49"/>
      <c r="AT448" s="49"/>
      <c r="AU448" s="49"/>
      <c r="AV448" s="49"/>
      <c r="AW448" s="49"/>
      <c r="AX448" s="49"/>
    </row>
    <row r="449">
      <c r="A449" s="49"/>
      <c r="B449" s="49"/>
      <c r="C449" s="50"/>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c r="AF449" s="49"/>
      <c r="AG449" s="49"/>
      <c r="AH449" s="49"/>
      <c r="AI449" s="49"/>
      <c r="AJ449" s="49"/>
      <c r="AK449" s="49"/>
      <c r="AL449" s="49"/>
      <c r="AM449" s="49"/>
      <c r="AN449" s="49"/>
      <c r="AO449" s="49"/>
      <c r="AP449" s="49"/>
      <c r="AQ449" s="49"/>
      <c r="AR449" s="49"/>
      <c r="AS449" s="49"/>
      <c r="AT449" s="49"/>
      <c r="AU449" s="49"/>
      <c r="AV449" s="49"/>
      <c r="AW449" s="49"/>
      <c r="AX449" s="49"/>
    </row>
    <row r="450">
      <c r="A450" s="49"/>
      <c r="B450" s="49"/>
      <c r="C450" s="50"/>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c r="AF450" s="49"/>
      <c r="AG450" s="49"/>
      <c r="AH450" s="49"/>
      <c r="AI450" s="49"/>
      <c r="AJ450" s="49"/>
      <c r="AK450" s="49"/>
      <c r="AL450" s="49"/>
      <c r="AM450" s="49"/>
      <c r="AN450" s="49"/>
      <c r="AO450" s="49"/>
      <c r="AP450" s="49"/>
      <c r="AQ450" s="49"/>
      <c r="AR450" s="49"/>
      <c r="AS450" s="49"/>
      <c r="AT450" s="49"/>
      <c r="AU450" s="49"/>
      <c r="AV450" s="49"/>
      <c r="AW450" s="49"/>
      <c r="AX450" s="49"/>
    </row>
    <row r="451">
      <c r="A451" s="49"/>
      <c r="B451" s="49"/>
      <c r="C451" s="50"/>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c r="AF451" s="49"/>
      <c r="AG451" s="49"/>
      <c r="AH451" s="49"/>
      <c r="AI451" s="49"/>
      <c r="AJ451" s="49"/>
      <c r="AK451" s="49"/>
      <c r="AL451" s="49"/>
      <c r="AM451" s="49"/>
      <c r="AN451" s="49"/>
      <c r="AO451" s="49"/>
      <c r="AP451" s="49"/>
      <c r="AQ451" s="49"/>
      <c r="AR451" s="49"/>
      <c r="AS451" s="49"/>
      <c r="AT451" s="49"/>
      <c r="AU451" s="49"/>
      <c r="AV451" s="49"/>
      <c r="AW451" s="49"/>
      <c r="AX451" s="49"/>
    </row>
    <row r="452">
      <c r="A452" s="49"/>
      <c r="B452" s="49"/>
      <c r="C452" s="50"/>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c r="AF452" s="49"/>
      <c r="AG452" s="49"/>
      <c r="AH452" s="49"/>
      <c r="AI452" s="49"/>
      <c r="AJ452" s="49"/>
      <c r="AK452" s="49"/>
      <c r="AL452" s="49"/>
      <c r="AM452" s="49"/>
      <c r="AN452" s="49"/>
      <c r="AO452" s="49"/>
      <c r="AP452" s="49"/>
      <c r="AQ452" s="49"/>
      <c r="AR452" s="49"/>
      <c r="AS452" s="49"/>
      <c r="AT452" s="49"/>
      <c r="AU452" s="49"/>
      <c r="AV452" s="49"/>
      <c r="AW452" s="49"/>
      <c r="AX452" s="49"/>
    </row>
    <row r="453">
      <c r="A453" s="49"/>
      <c r="B453" s="49"/>
      <c r="C453" s="50"/>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c r="AF453" s="49"/>
      <c r="AG453" s="49"/>
      <c r="AH453" s="49"/>
      <c r="AI453" s="49"/>
      <c r="AJ453" s="49"/>
      <c r="AK453" s="49"/>
      <c r="AL453" s="49"/>
      <c r="AM453" s="49"/>
      <c r="AN453" s="49"/>
      <c r="AO453" s="49"/>
      <c r="AP453" s="49"/>
      <c r="AQ453" s="49"/>
      <c r="AR453" s="49"/>
      <c r="AS453" s="49"/>
      <c r="AT453" s="49"/>
      <c r="AU453" s="49"/>
      <c r="AV453" s="49"/>
      <c r="AW453" s="49"/>
      <c r="AX453" s="49"/>
    </row>
    <row r="454">
      <c r="A454" s="49"/>
      <c r="B454" s="49"/>
      <c r="C454" s="50"/>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c r="AF454" s="49"/>
      <c r="AG454" s="49"/>
      <c r="AH454" s="49"/>
      <c r="AI454" s="49"/>
      <c r="AJ454" s="49"/>
      <c r="AK454" s="49"/>
      <c r="AL454" s="49"/>
      <c r="AM454" s="49"/>
      <c r="AN454" s="49"/>
      <c r="AO454" s="49"/>
      <c r="AP454" s="49"/>
      <c r="AQ454" s="49"/>
      <c r="AR454" s="49"/>
      <c r="AS454" s="49"/>
      <c r="AT454" s="49"/>
      <c r="AU454" s="49"/>
      <c r="AV454" s="49"/>
      <c r="AW454" s="49"/>
      <c r="AX454" s="49"/>
    </row>
    <row r="455">
      <c r="A455" s="49"/>
      <c r="B455" s="49"/>
      <c r="C455" s="50"/>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c r="AF455" s="49"/>
      <c r="AG455" s="49"/>
      <c r="AH455" s="49"/>
      <c r="AI455" s="49"/>
      <c r="AJ455" s="49"/>
      <c r="AK455" s="49"/>
      <c r="AL455" s="49"/>
      <c r="AM455" s="49"/>
      <c r="AN455" s="49"/>
      <c r="AO455" s="49"/>
      <c r="AP455" s="49"/>
      <c r="AQ455" s="49"/>
      <c r="AR455" s="49"/>
      <c r="AS455" s="49"/>
      <c r="AT455" s="49"/>
      <c r="AU455" s="49"/>
      <c r="AV455" s="49"/>
      <c r="AW455" s="49"/>
      <c r="AX455" s="49"/>
    </row>
    <row r="456">
      <c r="A456" s="49"/>
      <c r="B456" s="49"/>
      <c r="C456" s="50"/>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c r="AF456" s="49"/>
      <c r="AG456" s="49"/>
      <c r="AH456" s="49"/>
      <c r="AI456" s="49"/>
      <c r="AJ456" s="49"/>
      <c r="AK456" s="49"/>
      <c r="AL456" s="49"/>
      <c r="AM456" s="49"/>
      <c r="AN456" s="49"/>
      <c r="AO456" s="49"/>
      <c r="AP456" s="49"/>
      <c r="AQ456" s="49"/>
      <c r="AR456" s="49"/>
      <c r="AS456" s="49"/>
      <c r="AT456" s="49"/>
      <c r="AU456" s="49"/>
      <c r="AV456" s="49"/>
      <c r="AW456" s="49"/>
      <c r="AX456" s="49"/>
    </row>
    <row r="457">
      <c r="A457" s="49"/>
      <c r="B457" s="49"/>
      <c r="C457" s="50"/>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c r="AF457" s="49"/>
      <c r="AG457" s="49"/>
      <c r="AH457" s="49"/>
      <c r="AI457" s="49"/>
      <c r="AJ457" s="49"/>
      <c r="AK457" s="49"/>
      <c r="AL457" s="49"/>
      <c r="AM457" s="49"/>
      <c r="AN457" s="49"/>
      <c r="AO457" s="49"/>
      <c r="AP457" s="49"/>
      <c r="AQ457" s="49"/>
      <c r="AR457" s="49"/>
      <c r="AS457" s="49"/>
      <c r="AT457" s="49"/>
      <c r="AU457" s="49"/>
      <c r="AV457" s="49"/>
      <c r="AW457" s="49"/>
      <c r="AX457" s="49"/>
    </row>
    <row r="458">
      <c r="A458" s="49"/>
      <c r="B458" s="49"/>
      <c r="C458" s="50"/>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c r="AF458" s="49"/>
      <c r="AG458" s="49"/>
      <c r="AH458" s="49"/>
      <c r="AI458" s="49"/>
      <c r="AJ458" s="49"/>
      <c r="AK458" s="49"/>
      <c r="AL458" s="49"/>
      <c r="AM458" s="49"/>
      <c r="AN458" s="49"/>
      <c r="AO458" s="49"/>
      <c r="AP458" s="49"/>
      <c r="AQ458" s="49"/>
      <c r="AR458" s="49"/>
      <c r="AS458" s="49"/>
      <c r="AT458" s="49"/>
      <c r="AU458" s="49"/>
      <c r="AV458" s="49"/>
      <c r="AW458" s="49"/>
      <c r="AX458" s="49"/>
    </row>
    <row r="459">
      <c r="A459" s="49"/>
      <c r="B459" s="49"/>
      <c r="C459" s="50"/>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c r="AF459" s="49"/>
      <c r="AG459" s="49"/>
      <c r="AH459" s="49"/>
      <c r="AI459" s="49"/>
      <c r="AJ459" s="49"/>
      <c r="AK459" s="49"/>
      <c r="AL459" s="49"/>
      <c r="AM459" s="49"/>
      <c r="AN459" s="49"/>
      <c r="AO459" s="49"/>
      <c r="AP459" s="49"/>
      <c r="AQ459" s="49"/>
      <c r="AR459" s="49"/>
      <c r="AS459" s="49"/>
      <c r="AT459" s="49"/>
      <c r="AU459" s="49"/>
      <c r="AV459" s="49"/>
      <c r="AW459" s="49"/>
      <c r="AX459" s="49"/>
    </row>
    <row r="460">
      <c r="A460" s="49"/>
      <c r="B460" s="49"/>
      <c r="C460" s="50"/>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c r="AF460" s="49"/>
      <c r="AG460" s="49"/>
      <c r="AH460" s="49"/>
      <c r="AI460" s="49"/>
      <c r="AJ460" s="49"/>
      <c r="AK460" s="49"/>
      <c r="AL460" s="49"/>
      <c r="AM460" s="49"/>
      <c r="AN460" s="49"/>
      <c r="AO460" s="49"/>
      <c r="AP460" s="49"/>
      <c r="AQ460" s="49"/>
      <c r="AR460" s="49"/>
      <c r="AS460" s="49"/>
      <c r="AT460" s="49"/>
      <c r="AU460" s="49"/>
      <c r="AV460" s="49"/>
      <c r="AW460" s="49"/>
      <c r="AX460" s="49"/>
    </row>
    <row r="461">
      <c r="A461" s="49"/>
      <c r="B461" s="49"/>
      <c r="C461" s="50"/>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c r="AF461" s="49"/>
      <c r="AG461" s="49"/>
      <c r="AH461" s="49"/>
      <c r="AI461" s="49"/>
      <c r="AJ461" s="49"/>
      <c r="AK461" s="49"/>
      <c r="AL461" s="49"/>
      <c r="AM461" s="49"/>
      <c r="AN461" s="49"/>
      <c r="AO461" s="49"/>
      <c r="AP461" s="49"/>
      <c r="AQ461" s="49"/>
      <c r="AR461" s="49"/>
      <c r="AS461" s="49"/>
      <c r="AT461" s="49"/>
      <c r="AU461" s="49"/>
      <c r="AV461" s="49"/>
      <c r="AW461" s="49"/>
      <c r="AX461" s="49"/>
    </row>
    <row r="462">
      <c r="A462" s="49"/>
      <c r="B462" s="49"/>
      <c r="C462" s="50"/>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c r="AF462" s="49"/>
      <c r="AG462" s="49"/>
      <c r="AH462" s="49"/>
      <c r="AI462" s="49"/>
      <c r="AJ462" s="49"/>
      <c r="AK462" s="49"/>
      <c r="AL462" s="49"/>
      <c r="AM462" s="49"/>
      <c r="AN462" s="49"/>
      <c r="AO462" s="49"/>
      <c r="AP462" s="49"/>
      <c r="AQ462" s="49"/>
      <c r="AR462" s="49"/>
      <c r="AS462" s="49"/>
      <c r="AT462" s="49"/>
      <c r="AU462" s="49"/>
      <c r="AV462" s="49"/>
      <c r="AW462" s="49"/>
      <c r="AX462" s="49"/>
    </row>
    <row r="463">
      <c r="A463" s="49"/>
      <c r="B463" s="49"/>
      <c r="C463" s="50"/>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c r="AF463" s="49"/>
      <c r="AG463" s="49"/>
      <c r="AH463" s="49"/>
      <c r="AI463" s="49"/>
      <c r="AJ463" s="49"/>
      <c r="AK463" s="49"/>
      <c r="AL463" s="49"/>
      <c r="AM463" s="49"/>
      <c r="AN463" s="49"/>
      <c r="AO463" s="49"/>
      <c r="AP463" s="49"/>
      <c r="AQ463" s="49"/>
      <c r="AR463" s="49"/>
      <c r="AS463" s="49"/>
      <c r="AT463" s="49"/>
      <c r="AU463" s="49"/>
      <c r="AV463" s="49"/>
      <c r="AW463" s="49"/>
      <c r="AX463" s="49"/>
    </row>
    <row r="464">
      <c r="A464" s="49"/>
      <c r="B464" s="49"/>
      <c r="C464" s="50"/>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c r="AF464" s="49"/>
      <c r="AG464" s="49"/>
      <c r="AH464" s="49"/>
      <c r="AI464" s="49"/>
      <c r="AJ464" s="49"/>
      <c r="AK464" s="49"/>
      <c r="AL464" s="49"/>
      <c r="AM464" s="49"/>
      <c r="AN464" s="49"/>
      <c r="AO464" s="49"/>
      <c r="AP464" s="49"/>
      <c r="AQ464" s="49"/>
      <c r="AR464" s="49"/>
      <c r="AS464" s="49"/>
      <c r="AT464" s="49"/>
      <c r="AU464" s="49"/>
      <c r="AV464" s="49"/>
      <c r="AW464" s="49"/>
      <c r="AX464" s="49"/>
    </row>
    <row r="465">
      <c r="A465" s="49"/>
      <c r="B465" s="49"/>
      <c r="C465" s="50"/>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c r="AF465" s="49"/>
      <c r="AG465" s="49"/>
      <c r="AH465" s="49"/>
      <c r="AI465" s="49"/>
      <c r="AJ465" s="49"/>
      <c r="AK465" s="49"/>
      <c r="AL465" s="49"/>
      <c r="AM465" s="49"/>
      <c r="AN465" s="49"/>
      <c r="AO465" s="49"/>
      <c r="AP465" s="49"/>
      <c r="AQ465" s="49"/>
      <c r="AR465" s="49"/>
      <c r="AS465" s="49"/>
      <c r="AT465" s="49"/>
      <c r="AU465" s="49"/>
      <c r="AV465" s="49"/>
      <c r="AW465" s="49"/>
      <c r="AX465" s="49"/>
    </row>
    <row r="466">
      <c r="A466" s="49"/>
      <c r="B466" s="49"/>
      <c r="C466" s="50"/>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c r="AF466" s="49"/>
      <c r="AG466" s="49"/>
      <c r="AH466" s="49"/>
      <c r="AI466" s="49"/>
      <c r="AJ466" s="49"/>
      <c r="AK466" s="49"/>
      <c r="AL466" s="49"/>
      <c r="AM466" s="49"/>
      <c r="AN466" s="49"/>
      <c r="AO466" s="49"/>
      <c r="AP466" s="49"/>
      <c r="AQ466" s="49"/>
      <c r="AR466" s="49"/>
      <c r="AS466" s="49"/>
      <c r="AT466" s="49"/>
      <c r="AU466" s="49"/>
      <c r="AV466" s="49"/>
      <c r="AW466" s="49"/>
      <c r="AX466" s="49"/>
    </row>
    <row r="467">
      <c r="A467" s="49"/>
      <c r="B467" s="49"/>
      <c r="C467" s="50"/>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c r="AF467" s="49"/>
      <c r="AG467" s="49"/>
      <c r="AH467" s="49"/>
      <c r="AI467" s="49"/>
      <c r="AJ467" s="49"/>
      <c r="AK467" s="49"/>
      <c r="AL467" s="49"/>
      <c r="AM467" s="49"/>
      <c r="AN467" s="49"/>
      <c r="AO467" s="49"/>
      <c r="AP467" s="49"/>
      <c r="AQ467" s="49"/>
      <c r="AR467" s="49"/>
      <c r="AS467" s="49"/>
      <c r="AT467" s="49"/>
      <c r="AU467" s="49"/>
      <c r="AV467" s="49"/>
      <c r="AW467" s="49"/>
      <c r="AX467" s="49"/>
    </row>
    <row r="468">
      <c r="A468" s="49"/>
      <c r="B468" s="49"/>
      <c r="C468" s="50"/>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c r="AF468" s="49"/>
      <c r="AG468" s="49"/>
      <c r="AH468" s="49"/>
      <c r="AI468" s="49"/>
      <c r="AJ468" s="49"/>
      <c r="AK468" s="49"/>
      <c r="AL468" s="49"/>
      <c r="AM468" s="49"/>
      <c r="AN468" s="49"/>
      <c r="AO468" s="49"/>
      <c r="AP468" s="49"/>
      <c r="AQ468" s="49"/>
      <c r="AR468" s="49"/>
      <c r="AS468" s="49"/>
      <c r="AT468" s="49"/>
      <c r="AU468" s="49"/>
      <c r="AV468" s="49"/>
      <c r="AW468" s="49"/>
      <c r="AX468" s="49"/>
    </row>
    <row r="469">
      <c r="A469" s="49"/>
      <c r="B469" s="49"/>
      <c r="C469" s="50"/>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c r="AF469" s="49"/>
      <c r="AG469" s="49"/>
      <c r="AH469" s="49"/>
      <c r="AI469" s="49"/>
      <c r="AJ469" s="49"/>
      <c r="AK469" s="49"/>
      <c r="AL469" s="49"/>
      <c r="AM469" s="49"/>
      <c r="AN469" s="49"/>
      <c r="AO469" s="49"/>
      <c r="AP469" s="49"/>
      <c r="AQ469" s="49"/>
      <c r="AR469" s="49"/>
      <c r="AS469" s="49"/>
      <c r="AT469" s="49"/>
      <c r="AU469" s="49"/>
      <c r="AV469" s="49"/>
      <c r="AW469" s="49"/>
      <c r="AX469" s="49"/>
    </row>
    <row r="470">
      <c r="A470" s="49"/>
      <c r="B470" s="49"/>
      <c r="C470" s="50"/>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c r="AF470" s="49"/>
      <c r="AG470" s="49"/>
      <c r="AH470" s="49"/>
      <c r="AI470" s="49"/>
      <c r="AJ470" s="49"/>
      <c r="AK470" s="49"/>
      <c r="AL470" s="49"/>
      <c r="AM470" s="49"/>
      <c r="AN470" s="49"/>
      <c r="AO470" s="49"/>
      <c r="AP470" s="49"/>
      <c r="AQ470" s="49"/>
      <c r="AR470" s="49"/>
      <c r="AS470" s="49"/>
      <c r="AT470" s="49"/>
      <c r="AU470" s="49"/>
      <c r="AV470" s="49"/>
      <c r="AW470" s="49"/>
      <c r="AX470" s="49"/>
    </row>
    <row r="471">
      <c r="A471" s="49"/>
      <c r="B471" s="49"/>
      <c r="C471" s="50"/>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c r="AF471" s="49"/>
      <c r="AG471" s="49"/>
      <c r="AH471" s="49"/>
      <c r="AI471" s="49"/>
      <c r="AJ471" s="49"/>
      <c r="AK471" s="49"/>
      <c r="AL471" s="49"/>
      <c r="AM471" s="49"/>
      <c r="AN471" s="49"/>
      <c r="AO471" s="49"/>
      <c r="AP471" s="49"/>
      <c r="AQ471" s="49"/>
      <c r="AR471" s="49"/>
      <c r="AS471" s="49"/>
      <c r="AT471" s="49"/>
      <c r="AU471" s="49"/>
      <c r="AV471" s="49"/>
      <c r="AW471" s="49"/>
      <c r="AX471" s="49"/>
    </row>
    <row r="472">
      <c r="A472" s="49"/>
      <c r="B472" s="49"/>
      <c r="C472" s="50"/>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c r="AF472" s="49"/>
      <c r="AG472" s="49"/>
      <c r="AH472" s="49"/>
      <c r="AI472" s="49"/>
      <c r="AJ472" s="49"/>
      <c r="AK472" s="49"/>
      <c r="AL472" s="49"/>
      <c r="AM472" s="49"/>
      <c r="AN472" s="49"/>
      <c r="AO472" s="49"/>
      <c r="AP472" s="49"/>
      <c r="AQ472" s="49"/>
      <c r="AR472" s="49"/>
      <c r="AS472" s="49"/>
      <c r="AT472" s="49"/>
      <c r="AU472" s="49"/>
      <c r="AV472" s="49"/>
      <c r="AW472" s="49"/>
      <c r="AX472" s="49"/>
    </row>
    <row r="473">
      <c r="A473" s="49"/>
      <c r="B473" s="49"/>
      <c r="C473" s="50"/>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c r="AF473" s="49"/>
      <c r="AG473" s="49"/>
      <c r="AH473" s="49"/>
      <c r="AI473" s="49"/>
      <c r="AJ473" s="49"/>
      <c r="AK473" s="49"/>
      <c r="AL473" s="49"/>
      <c r="AM473" s="49"/>
      <c r="AN473" s="49"/>
      <c r="AO473" s="49"/>
      <c r="AP473" s="49"/>
      <c r="AQ473" s="49"/>
      <c r="AR473" s="49"/>
      <c r="AS473" s="49"/>
      <c r="AT473" s="49"/>
      <c r="AU473" s="49"/>
      <c r="AV473" s="49"/>
      <c r="AW473" s="49"/>
      <c r="AX473" s="49"/>
    </row>
    <row r="474">
      <c r="A474" s="49"/>
      <c r="B474" s="49"/>
      <c r="C474" s="50"/>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c r="AF474" s="49"/>
      <c r="AG474" s="49"/>
      <c r="AH474" s="49"/>
      <c r="AI474" s="49"/>
      <c r="AJ474" s="49"/>
      <c r="AK474" s="49"/>
      <c r="AL474" s="49"/>
      <c r="AM474" s="49"/>
      <c r="AN474" s="49"/>
      <c r="AO474" s="49"/>
      <c r="AP474" s="49"/>
      <c r="AQ474" s="49"/>
      <c r="AR474" s="49"/>
      <c r="AS474" s="49"/>
      <c r="AT474" s="49"/>
      <c r="AU474" s="49"/>
      <c r="AV474" s="49"/>
      <c r="AW474" s="49"/>
      <c r="AX474" s="49"/>
    </row>
    <row r="475">
      <c r="A475" s="49"/>
      <c r="B475" s="49"/>
      <c r="C475" s="50"/>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c r="AF475" s="49"/>
      <c r="AG475" s="49"/>
      <c r="AH475" s="49"/>
      <c r="AI475" s="49"/>
      <c r="AJ475" s="49"/>
      <c r="AK475" s="49"/>
      <c r="AL475" s="49"/>
      <c r="AM475" s="49"/>
      <c r="AN475" s="49"/>
      <c r="AO475" s="49"/>
      <c r="AP475" s="49"/>
      <c r="AQ475" s="49"/>
      <c r="AR475" s="49"/>
      <c r="AS475" s="49"/>
      <c r="AT475" s="49"/>
      <c r="AU475" s="49"/>
      <c r="AV475" s="49"/>
      <c r="AW475" s="49"/>
      <c r="AX475" s="49"/>
    </row>
    <row r="476">
      <c r="A476" s="49"/>
      <c r="B476" s="49"/>
      <c r="C476" s="50"/>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c r="AF476" s="49"/>
      <c r="AG476" s="49"/>
      <c r="AH476" s="49"/>
      <c r="AI476" s="49"/>
      <c r="AJ476" s="49"/>
      <c r="AK476" s="49"/>
      <c r="AL476" s="49"/>
      <c r="AM476" s="49"/>
      <c r="AN476" s="49"/>
      <c r="AO476" s="49"/>
      <c r="AP476" s="49"/>
      <c r="AQ476" s="49"/>
      <c r="AR476" s="49"/>
      <c r="AS476" s="49"/>
      <c r="AT476" s="49"/>
      <c r="AU476" s="49"/>
      <c r="AV476" s="49"/>
      <c r="AW476" s="49"/>
      <c r="AX476" s="49"/>
    </row>
    <row r="477">
      <c r="A477" s="49"/>
      <c r="B477" s="49"/>
      <c r="C477" s="50"/>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c r="AF477" s="49"/>
      <c r="AG477" s="49"/>
      <c r="AH477" s="49"/>
      <c r="AI477" s="49"/>
      <c r="AJ477" s="49"/>
      <c r="AK477" s="49"/>
      <c r="AL477" s="49"/>
      <c r="AM477" s="49"/>
      <c r="AN477" s="49"/>
      <c r="AO477" s="49"/>
      <c r="AP477" s="49"/>
      <c r="AQ477" s="49"/>
      <c r="AR477" s="49"/>
      <c r="AS477" s="49"/>
      <c r="AT477" s="49"/>
      <c r="AU477" s="49"/>
      <c r="AV477" s="49"/>
      <c r="AW477" s="49"/>
      <c r="AX477" s="49"/>
    </row>
    <row r="478">
      <c r="A478" s="49"/>
      <c r="B478" s="49"/>
      <c r="C478" s="50"/>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c r="AF478" s="49"/>
      <c r="AG478" s="49"/>
      <c r="AH478" s="49"/>
      <c r="AI478" s="49"/>
      <c r="AJ478" s="49"/>
      <c r="AK478" s="49"/>
      <c r="AL478" s="49"/>
      <c r="AM478" s="49"/>
      <c r="AN478" s="49"/>
      <c r="AO478" s="49"/>
      <c r="AP478" s="49"/>
      <c r="AQ478" s="49"/>
      <c r="AR478" s="49"/>
      <c r="AS478" s="49"/>
      <c r="AT478" s="49"/>
      <c r="AU478" s="49"/>
      <c r="AV478" s="49"/>
      <c r="AW478" s="49"/>
      <c r="AX478" s="49"/>
    </row>
    <row r="479">
      <c r="A479" s="49"/>
      <c r="B479" s="49"/>
      <c r="C479" s="50"/>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c r="AF479" s="49"/>
      <c r="AG479" s="49"/>
      <c r="AH479" s="49"/>
      <c r="AI479" s="49"/>
      <c r="AJ479" s="49"/>
      <c r="AK479" s="49"/>
      <c r="AL479" s="49"/>
      <c r="AM479" s="49"/>
      <c r="AN479" s="49"/>
      <c r="AO479" s="49"/>
      <c r="AP479" s="49"/>
      <c r="AQ479" s="49"/>
      <c r="AR479" s="49"/>
      <c r="AS479" s="49"/>
      <c r="AT479" s="49"/>
      <c r="AU479" s="49"/>
      <c r="AV479" s="49"/>
      <c r="AW479" s="49"/>
      <c r="AX479" s="49"/>
    </row>
    <row r="480">
      <c r="A480" s="49"/>
      <c r="B480" s="49"/>
      <c r="C480" s="50"/>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c r="AF480" s="49"/>
      <c r="AG480" s="49"/>
      <c r="AH480" s="49"/>
      <c r="AI480" s="49"/>
      <c r="AJ480" s="49"/>
      <c r="AK480" s="49"/>
      <c r="AL480" s="49"/>
      <c r="AM480" s="49"/>
      <c r="AN480" s="49"/>
      <c r="AO480" s="49"/>
      <c r="AP480" s="49"/>
      <c r="AQ480" s="49"/>
      <c r="AR480" s="49"/>
      <c r="AS480" s="49"/>
      <c r="AT480" s="49"/>
      <c r="AU480" s="49"/>
      <c r="AV480" s="49"/>
      <c r="AW480" s="49"/>
      <c r="AX480" s="49"/>
    </row>
    <row r="481">
      <c r="A481" s="49"/>
      <c r="B481" s="49"/>
      <c r="C481" s="50"/>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c r="AF481" s="49"/>
      <c r="AG481" s="49"/>
      <c r="AH481" s="49"/>
      <c r="AI481" s="49"/>
      <c r="AJ481" s="49"/>
      <c r="AK481" s="49"/>
      <c r="AL481" s="49"/>
      <c r="AM481" s="49"/>
      <c r="AN481" s="49"/>
      <c r="AO481" s="49"/>
      <c r="AP481" s="49"/>
      <c r="AQ481" s="49"/>
      <c r="AR481" s="49"/>
      <c r="AS481" s="49"/>
      <c r="AT481" s="49"/>
      <c r="AU481" s="49"/>
      <c r="AV481" s="49"/>
      <c r="AW481" s="49"/>
      <c r="AX481" s="49"/>
    </row>
    <row r="482">
      <c r="A482" s="49"/>
      <c r="B482" s="49"/>
      <c r="C482" s="50"/>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c r="AF482" s="49"/>
      <c r="AG482" s="49"/>
      <c r="AH482" s="49"/>
      <c r="AI482" s="49"/>
      <c r="AJ482" s="49"/>
      <c r="AK482" s="49"/>
      <c r="AL482" s="49"/>
      <c r="AM482" s="49"/>
      <c r="AN482" s="49"/>
      <c r="AO482" s="49"/>
      <c r="AP482" s="49"/>
      <c r="AQ482" s="49"/>
      <c r="AR482" s="49"/>
      <c r="AS482" s="49"/>
      <c r="AT482" s="49"/>
      <c r="AU482" s="49"/>
      <c r="AV482" s="49"/>
      <c r="AW482" s="49"/>
      <c r="AX482" s="49"/>
    </row>
    <row r="483">
      <c r="A483" s="49"/>
      <c r="B483" s="49"/>
      <c r="C483" s="50"/>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c r="AF483" s="49"/>
      <c r="AG483" s="49"/>
      <c r="AH483" s="49"/>
      <c r="AI483" s="49"/>
      <c r="AJ483" s="49"/>
      <c r="AK483" s="49"/>
      <c r="AL483" s="49"/>
      <c r="AM483" s="49"/>
      <c r="AN483" s="49"/>
      <c r="AO483" s="49"/>
      <c r="AP483" s="49"/>
      <c r="AQ483" s="49"/>
      <c r="AR483" s="49"/>
      <c r="AS483" s="49"/>
      <c r="AT483" s="49"/>
      <c r="AU483" s="49"/>
      <c r="AV483" s="49"/>
      <c r="AW483" s="49"/>
      <c r="AX483" s="49"/>
    </row>
    <row r="484">
      <c r="A484" s="49"/>
      <c r="B484" s="49"/>
      <c r="C484" s="50"/>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c r="AF484" s="49"/>
      <c r="AG484" s="49"/>
      <c r="AH484" s="49"/>
      <c r="AI484" s="49"/>
      <c r="AJ484" s="49"/>
      <c r="AK484" s="49"/>
      <c r="AL484" s="49"/>
      <c r="AM484" s="49"/>
      <c r="AN484" s="49"/>
      <c r="AO484" s="49"/>
      <c r="AP484" s="49"/>
      <c r="AQ484" s="49"/>
      <c r="AR484" s="49"/>
      <c r="AS484" s="49"/>
      <c r="AT484" s="49"/>
      <c r="AU484" s="49"/>
      <c r="AV484" s="49"/>
      <c r="AW484" s="49"/>
      <c r="AX484" s="49"/>
    </row>
    <row r="485">
      <c r="A485" s="49"/>
      <c r="B485" s="49"/>
      <c r="C485" s="50"/>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c r="AF485" s="49"/>
      <c r="AG485" s="49"/>
      <c r="AH485" s="49"/>
      <c r="AI485" s="49"/>
      <c r="AJ485" s="49"/>
      <c r="AK485" s="49"/>
      <c r="AL485" s="49"/>
      <c r="AM485" s="49"/>
      <c r="AN485" s="49"/>
      <c r="AO485" s="49"/>
      <c r="AP485" s="49"/>
      <c r="AQ485" s="49"/>
      <c r="AR485" s="49"/>
      <c r="AS485" s="49"/>
      <c r="AT485" s="49"/>
      <c r="AU485" s="49"/>
      <c r="AV485" s="49"/>
      <c r="AW485" s="49"/>
      <c r="AX485" s="49"/>
    </row>
    <row r="486">
      <c r="A486" s="49"/>
      <c r="B486" s="49"/>
      <c r="C486" s="50"/>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c r="AF486" s="49"/>
      <c r="AG486" s="49"/>
      <c r="AH486" s="49"/>
      <c r="AI486" s="49"/>
      <c r="AJ486" s="49"/>
      <c r="AK486" s="49"/>
      <c r="AL486" s="49"/>
      <c r="AM486" s="49"/>
      <c r="AN486" s="49"/>
      <c r="AO486" s="49"/>
      <c r="AP486" s="49"/>
      <c r="AQ486" s="49"/>
      <c r="AR486" s="49"/>
      <c r="AS486" s="49"/>
      <c r="AT486" s="49"/>
      <c r="AU486" s="49"/>
      <c r="AV486" s="49"/>
      <c r="AW486" s="49"/>
      <c r="AX486" s="49"/>
    </row>
    <row r="487">
      <c r="A487" s="49"/>
      <c r="B487" s="49"/>
      <c r="C487" s="50"/>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c r="AF487" s="49"/>
      <c r="AG487" s="49"/>
      <c r="AH487" s="49"/>
      <c r="AI487" s="49"/>
      <c r="AJ487" s="49"/>
      <c r="AK487" s="49"/>
      <c r="AL487" s="49"/>
      <c r="AM487" s="49"/>
      <c r="AN487" s="49"/>
      <c r="AO487" s="49"/>
      <c r="AP487" s="49"/>
      <c r="AQ487" s="49"/>
      <c r="AR487" s="49"/>
      <c r="AS487" s="49"/>
      <c r="AT487" s="49"/>
      <c r="AU487" s="49"/>
      <c r="AV487" s="49"/>
      <c r="AW487" s="49"/>
      <c r="AX487" s="49"/>
    </row>
    <row r="488">
      <c r="A488" s="49"/>
      <c r="B488" s="49"/>
      <c r="C488" s="50"/>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c r="AF488" s="49"/>
      <c r="AG488" s="49"/>
      <c r="AH488" s="49"/>
      <c r="AI488" s="49"/>
      <c r="AJ488" s="49"/>
      <c r="AK488" s="49"/>
      <c r="AL488" s="49"/>
      <c r="AM488" s="49"/>
      <c r="AN488" s="49"/>
      <c r="AO488" s="49"/>
      <c r="AP488" s="49"/>
      <c r="AQ488" s="49"/>
      <c r="AR488" s="49"/>
      <c r="AS488" s="49"/>
      <c r="AT488" s="49"/>
      <c r="AU488" s="49"/>
      <c r="AV488" s="49"/>
      <c r="AW488" s="49"/>
      <c r="AX488" s="49"/>
    </row>
    <row r="489">
      <c r="A489" s="49"/>
      <c r="B489" s="49"/>
      <c r="C489" s="50"/>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c r="AF489" s="49"/>
      <c r="AG489" s="49"/>
      <c r="AH489" s="49"/>
      <c r="AI489" s="49"/>
      <c r="AJ489" s="49"/>
      <c r="AK489" s="49"/>
      <c r="AL489" s="49"/>
      <c r="AM489" s="49"/>
      <c r="AN489" s="49"/>
      <c r="AO489" s="49"/>
      <c r="AP489" s="49"/>
      <c r="AQ489" s="49"/>
      <c r="AR489" s="49"/>
      <c r="AS489" s="49"/>
      <c r="AT489" s="49"/>
      <c r="AU489" s="49"/>
      <c r="AV489" s="49"/>
      <c r="AW489" s="49"/>
      <c r="AX489" s="49"/>
    </row>
    <row r="490">
      <c r="A490" s="49"/>
      <c r="B490" s="49"/>
      <c r="C490" s="50"/>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c r="AF490" s="49"/>
      <c r="AG490" s="49"/>
      <c r="AH490" s="49"/>
      <c r="AI490" s="49"/>
      <c r="AJ490" s="49"/>
      <c r="AK490" s="49"/>
      <c r="AL490" s="49"/>
      <c r="AM490" s="49"/>
      <c r="AN490" s="49"/>
      <c r="AO490" s="49"/>
      <c r="AP490" s="49"/>
      <c r="AQ490" s="49"/>
      <c r="AR490" s="49"/>
      <c r="AS490" s="49"/>
      <c r="AT490" s="49"/>
      <c r="AU490" s="49"/>
      <c r="AV490" s="49"/>
      <c r="AW490" s="49"/>
      <c r="AX490" s="49"/>
    </row>
    <row r="491">
      <c r="A491" s="49"/>
      <c r="B491" s="49"/>
      <c r="C491" s="50"/>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c r="AF491" s="49"/>
      <c r="AG491" s="49"/>
      <c r="AH491" s="49"/>
      <c r="AI491" s="49"/>
      <c r="AJ491" s="49"/>
      <c r="AK491" s="49"/>
      <c r="AL491" s="49"/>
      <c r="AM491" s="49"/>
      <c r="AN491" s="49"/>
      <c r="AO491" s="49"/>
      <c r="AP491" s="49"/>
      <c r="AQ491" s="49"/>
      <c r="AR491" s="49"/>
      <c r="AS491" s="49"/>
      <c r="AT491" s="49"/>
      <c r="AU491" s="49"/>
      <c r="AV491" s="49"/>
      <c r="AW491" s="49"/>
      <c r="AX491" s="49"/>
    </row>
    <row r="492">
      <c r="A492" s="49"/>
      <c r="B492" s="49"/>
      <c r="C492" s="50"/>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c r="AF492" s="49"/>
      <c r="AG492" s="49"/>
      <c r="AH492" s="49"/>
      <c r="AI492" s="49"/>
      <c r="AJ492" s="49"/>
      <c r="AK492" s="49"/>
      <c r="AL492" s="49"/>
      <c r="AM492" s="49"/>
      <c r="AN492" s="49"/>
      <c r="AO492" s="49"/>
      <c r="AP492" s="49"/>
      <c r="AQ492" s="49"/>
      <c r="AR492" s="49"/>
      <c r="AS492" s="49"/>
      <c r="AT492" s="49"/>
      <c r="AU492" s="49"/>
      <c r="AV492" s="49"/>
      <c r="AW492" s="49"/>
      <c r="AX492" s="49"/>
    </row>
    <row r="493">
      <c r="A493" s="49"/>
      <c r="B493" s="49"/>
      <c r="C493" s="50"/>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c r="AF493" s="49"/>
      <c r="AG493" s="49"/>
      <c r="AH493" s="49"/>
      <c r="AI493" s="49"/>
      <c r="AJ493" s="49"/>
      <c r="AK493" s="49"/>
      <c r="AL493" s="49"/>
      <c r="AM493" s="49"/>
      <c r="AN493" s="49"/>
      <c r="AO493" s="49"/>
      <c r="AP493" s="49"/>
      <c r="AQ493" s="49"/>
      <c r="AR493" s="49"/>
      <c r="AS493" s="49"/>
      <c r="AT493" s="49"/>
      <c r="AU493" s="49"/>
      <c r="AV493" s="49"/>
      <c r="AW493" s="49"/>
      <c r="AX493" s="49"/>
    </row>
    <row r="494">
      <c r="A494" s="49"/>
      <c r="B494" s="49"/>
      <c r="C494" s="50"/>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c r="AF494" s="49"/>
      <c r="AG494" s="49"/>
      <c r="AH494" s="49"/>
      <c r="AI494" s="49"/>
      <c r="AJ494" s="49"/>
      <c r="AK494" s="49"/>
      <c r="AL494" s="49"/>
      <c r="AM494" s="49"/>
      <c r="AN494" s="49"/>
      <c r="AO494" s="49"/>
      <c r="AP494" s="49"/>
      <c r="AQ494" s="49"/>
      <c r="AR494" s="49"/>
      <c r="AS494" s="49"/>
      <c r="AT494" s="49"/>
      <c r="AU494" s="49"/>
      <c r="AV494" s="49"/>
      <c r="AW494" s="49"/>
      <c r="AX494" s="49"/>
    </row>
    <row r="495">
      <c r="A495" s="49"/>
      <c r="B495" s="49"/>
      <c r="C495" s="50"/>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c r="AF495" s="49"/>
      <c r="AG495" s="49"/>
      <c r="AH495" s="49"/>
      <c r="AI495" s="49"/>
      <c r="AJ495" s="49"/>
      <c r="AK495" s="49"/>
      <c r="AL495" s="49"/>
      <c r="AM495" s="49"/>
      <c r="AN495" s="49"/>
      <c r="AO495" s="49"/>
      <c r="AP495" s="49"/>
      <c r="AQ495" s="49"/>
      <c r="AR495" s="49"/>
      <c r="AS495" s="49"/>
      <c r="AT495" s="49"/>
      <c r="AU495" s="49"/>
      <c r="AV495" s="49"/>
      <c r="AW495" s="49"/>
      <c r="AX495" s="49"/>
    </row>
    <row r="496">
      <c r="A496" s="49"/>
      <c r="B496" s="49"/>
      <c r="C496" s="50"/>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c r="AF496" s="49"/>
      <c r="AG496" s="49"/>
      <c r="AH496" s="49"/>
      <c r="AI496" s="49"/>
      <c r="AJ496" s="49"/>
      <c r="AK496" s="49"/>
      <c r="AL496" s="49"/>
      <c r="AM496" s="49"/>
      <c r="AN496" s="49"/>
      <c r="AO496" s="49"/>
      <c r="AP496" s="49"/>
      <c r="AQ496" s="49"/>
      <c r="AR496" s="49"/>
      <c r="AS496" s="49"/>
      <c r="AT496" s="49"/>
      <c r="AU496" s="49"/>
      <c r="AV496" s="49"/>
      <c r="AW496" s="49"/>
      <c r="AX496" s="49"/>
    </row>
    <row r="497">
      <c r="A497" s="49"/>
      <c r="B497" s="49"/>
      <c r="C497" s="50"/>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c r="AF497" s="49"/>
      <c r="AG497" s="49"/>
      <c r="AH497" s="49"/>
      <c r="AI497" s="49"/>
      <c r="AJ497" s="49"/>
      <c r="AK497" s="49"/>
      <c r="AL497" s="49"/>
      <c r="AM497" s="49"/>
      <c r="AN497" s="49"/>
      <c r="AO497" s="49"/>
      <c r="AP497" s="49"/>
      <c r="AQ497" s="49"/>
      <c r="AR497" s="49"/>
      <c r="AS497" s="49"/>
      <c r="AT497" s="49"/>
      <c r="AU497" s="49"/>
      <c r="AV497" s="49"/>
      <c r="AW497" s="49"/>
      <c r="AX497" s="49"/>
    </row>
    <row r="498">
      <c r="A498" s="49"/>
      <c r="B498" s="49"/>
      <c r="C498" s="50"/>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c r="AF498" s="49"/>
      <c r="AG498" s="49"/>
      <c r="AH498" s="49"/>
      <c r="AI498" s="49"/>
      <c r="AJ498" s="49"/>
      <c r="AK498" s="49"/>
      <c r="AL498" s="49"/>
      <c r="AM498" s="49"/>
      <c r="AN498" s="49"/>
      <c r="AO498" s="49"/>
      <c r="AP498" s="49"/>
      <c r="AQ498" s="49"/>
      <c r="AR498" s="49"/>
      <c r="AS498" s="49"/>
      <c r="AT498" s="49"/>
      <c r="AU498" s="49"/>
      <c r="AV498" s="49"/>
      <c r="AW498" s="49"/>
      <c r="AX498" s="49"/>
    </row>
    <row r="499">
      <c r="A499" s="49"/>
      <c r="B499" s="49"/>
      <c r="C499" s="50"/>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c r="AF499" s="49"/>
      <c r="AG499" s="49"/>
      <c r="AH499" s="49"/>
      <c r="AI499" s="49"/>
      <c r="AJ499" s="49"/>
      <c r="AK499" s="49"/>
      <c r="AL499" s="49"/>
      <c r="AM499" s="49"/>
      <c r="AN499" s="49"/>
      <c r="AO499" s="49"/>
      <c r="AP499" s="49"/>
      <c r="AQ499" s="49"/>
      <c r="AR499" s="49"/>
      <c r="AS499" s="49"/>
      <c r="AT499" s="49"/>
      <c r="AU499" s="49"/>
      <c r="AV499" s="49"/>
      <c r="AW499" s="49"/>
      <c r="AX499" s="49"/>
    </row>
    <row r="500">
      <c r="A500" s="49"/>
      <c r="B500" s="49"/>
      <c r="C500" s="50"/>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c r="AF500" s="49"/>
      <c r="AG500" s="49"/>
      <c r="AH500" s="49"/>
      <c r="AI500" s="49"/>
      <c r="AJ500" s="49"/>
      <c r="AK500" s="49"/>
      <c r="AL500" s="49"/>
      <c r="AM500" s="49"/>
      <c r="AN500" s="49"/>
      <c r="AO500" s="49"/>
      <c r="AP500" s="49"/>
      <c r="AQ500" s="49"/>
      <c r="AR500" s="49"/>
      <c r="AS500" s="49"/>
      <c r="AT500" s="49"/>
      <c r="AU500" s="49"/>
      <c r="AV500" s="49"/>
      <c r="AW500" s="49"/>
      <c r="AX500" s="49"/>
    </row>
    <row r="501">
      <c r="A501" s="49"/>
      <c r="B501" s="49"/>
      <c r="C501" s="50"/>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c r="AF501" s="49"/>
      <c r="AG501" s="49"/>
      <c r="AH501" s="49"/>
      <c r="AI501" s="49"/>
      <c r="AJ501" s="49"/>
      <c r="AK501" s="49"/>
      <c r="AL501" s="49"/>
      <c r="AM501" s="49"/>
      <c r="AN501" s="49"/>
      <c r="AO501" s="49"/>
      <c r="AP501" s="49"/>
      <c r="AQ501" s="49"/>
      <c r="AR501" s="49"/>
      <c r="AS501" s="49"/>
      <c r="AT501" s="49"/>
      <c r="AU501" s="49"/>
      <c r="AV501" s="49"/>
      <c r="AW501" s="49"/>
      <c r="AX501" s="49"/>
    </row>
    <row r="502">
      <c r="A502" s="49"/>
      <c r="B502" s="49"/>
      <c r="C502" s="50"/>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c r="AF502" s="49"/>
      <c r="AG502" s="49"/>
      <c r="AH502" s="49"/>
      <c r="AI502" s="49"/>
      <c r="AJ502" s="49"/>
      <c r="AK502" s="49"/>
      <c r="AL502" s="49"/>
      <c r="AM502" s="49"/>
      <c r="AN502" s="49"/>
      <c r="AO502" s="49"/>
      <c r="AP502" s="49"/>
      <c r="AQ502" s="49"/>
      <c r="AR502" s="49"/>
      <c r="AS502" s="49"/>
      <c r="AT502" s="49"/>
      <c r="AU502" s="49"/>
      <c r="AV502" s="49"/>
      <c r="AW502" s="49"/>
      <c r="AX502" s="49"/>
    </row>
    <row r="503">
      <c r="A503" s="49"/>
      <c r="B503" s="49"/>
      <c r="C503" s="50"/>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c r="AF503" s="49"/>
      <c r="AG503" s="49"/>
      <c r="AH503" s="49"/>
      <c r="AI503" s="49"/>
      <c r="AJ503" s="49"/>
      <c r="AK503" s="49"/>
      <c r="AL503" s="49"/>
      <c r="AM503" s="49"/>
      <c r="AN503" s="49"/>
      <c r="AO503" s="49"/>
      <c r="AP503" s="49"/>
      <c r="AQ503" s="49"/>
      <c r="AR503" s="49"/>
      <c r="AS503" s="49"/>
      <c r="AT503" s="49"/>
      <c r="AU503" s="49"/>
      <c r="AV503" s="49"/>
      <c r="AW503" s="49"/>
      <c r="AX503" s="49"/>
    </row>
    <row r="504">
      <c r="A504" s="49"/>
      <c r="B504" s="49"/>
      <c r="C504" s="50"/>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c r="AF504" s="49"/>
      <c r="AG504" s="49"/>
      <c r="AH504" s="49"/>
      <c r="AI504" s="49"/>
      <c r="AJ504" s="49"/>
      <c r="AK504" s="49"/>
      <c r="AL504" s="49"/>
      <c r="AM504" s="49"/>
      <c r="AN504" s="49"/>
      <c r="AO504" s="49"/>
      <c r="AP504" s="49"/>
      <c r="AQ504" s="49"/>
      <c r="AR504" s="49"/>
      <c r="AS504" s="49"/>
      <c r="AT504" s="49"/>
      <c r="AU504" s="49"/>
      <c r="AV504" s="49"/>
      <c r="AW504" s="49"/>
      <c r="AX504" s="49"/>
    </row>
    <row r="505">
      <c r="A505" s="49"/>
      <c r="B505" s="49"/>
      <c r="C505" s="50"/>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c r="AF505" s="49"/>
      <c r="AG505" s="49"/>
      <c r="AH505" s="49"/>
      <c r="AI505" s="49"/>
      <c r="AJ505" s="49"/>
      <c r="AK505" s="49"/>
      <c r="AL505" s="49"/>
      <c r="AM505" s="49"/>
      <c r="AN505" s="49"/>
      <c r="AO505" s="49"/>
      <c r="AP505" s="49"/>
      <c r="AQ505" s="49"/>
      <c r="AR505" s="49"/>
      <c r="AS505" s="49"/>
      <c r="AT505" s="49"/>
      <c r="AU505" s="49"/>
      <c r="AV505" s="49"/>
      <c r="AW505" s="49"/>
      <c r="AX505" s="49"/>
    </row>
    <row r="506">
      <c r="A506" s="49"/>
      <c r="B506" s="49"/>
      <c r="C506" s="50"/>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c r="AF506" s="49"/>
      <c r="AG506" s="49"/>
      <c r="AH506" s="49"/>
      <c r="AI506" s="49"/>
      <c r="AJ506" s="49"/>
      <c r="AK506" s="49"/>
      <c r="AL506" s="49"/>
      <c r="AM506" s="49"/>
      <c r="AN506" s="49"/>
      <c r="AO506" s="49"/>
      <c r="AP506" s="49"/>
      <c r="AQ506" s="49"/>
      <c r="AR506" s="49"/>
      <c r="AS506" s="49"/>
      <c r="AT506" s="49"/>
      <c r="AU506" s="49"/>
      <c r="AV506" s="49"/>
      <c r="AW506" s="49"/>
      <c r="AX506" s="49"/>
    </row>
    <row r="507">
      <c r="A507" s="49"/>
      <c r="B507" s="49"/>
      <c r="C507" s="50"/>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c r="AF507" s="49"/>
      <c r="AG507" s="49"/>
      <c r="AH507" s="49"/>
      <c r="AI507" s="49"/>
      <c r="AJ507" s="49"/>
      <c r="AK507" s="49"/>
      <c r="AL507" s="49"/>
      <c r="AM507" s="49"/>
      <c r="AN507" s="49"/>
      <c r="AO507" s="49"/>
      <c r="AP507" s="49"/>
      <c r="AQ507" s="49"/>
      <c r="AR507" s="49"/>
      <c r="AS507" s="49"/>
      <c r="AT507" s="49"/>
      <c r="AU507" s="49"/>
      <c r="AV507" s="49"/>
      <c r="AW507" s="49"/>
      <c r="AX507" s="49"/>
    </row>
    <row r="508">
      <c r="A508" s="49"/>
      <c r="B508" s="49"/>
      <c r="C508" s="50"/>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c r="AF508" s="49"/>
      <c r="AG508" s="49"/>
      <c r="AH508" s="49"/>
      <c r="AI508" s="49"/>
      <c r="AJ508" s="49"/>
      <c r="AK508" s="49"/>
      <c r="AL508" s="49"/>
      <c r="AM508" s="49"/>
      <c r="AN508" s="49"/>
      <c r="AO508" s="49"/>
      <c r="AP508" s="49"/>
      <c r="AQ508" s="49"/>
      <c r="AR508" s="49"/>
      <c r="AS508" s="49"/>
      <c r="AT508" s="49"/>
      <c r="AU508" s="49"/>
      <c r="AV508" s="49"/>
      <c r="AW508" s="49"/>
      <c r="AX508" s="49"/>
    </row>
    <row r="509">
      <c r="A509" s="49"/>
      <c r="B509" s="49"/>
      <c r="C509" s="50"/>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c r="AF509" s="49"/>
      <c r="AG509" s="49"/>
      <c r="AH509" s="49"/>
      <c r="AI509" s="49"/>
      <c r="AJ509" s="49"/>
      <c r="AK509" s="49"/>
      <c r="AL509" s="49"/>
      <c r="AM509" s="49"/>
      <c r="AN509" s="49"/>
      <c r="AO509" s="49"/>
      <c r="AP509" s="49"/>
      <c r="AQ509" s="49"/>
      <c r="AR509" s="49"/>
      <c r="AS509" s="49"/>
      <c r="AT509" s="49"/>
      <c r="AU509" s="49"/>
      <c r="AV509" s="49"/>
      <c r="AW509" s="49"/>
      <c r="AX509" s="49"/>
    </row>
    <row r="510">
      <c r="A510" s="49"/>
      <c r="B510" s="49"/>
      <c r="C510" s="50"/>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c r="AF510" s="49"/>
      <c r="AG510" s="49"/>
      <c r="AH510" s="49"/>
      <c r="AI510" s="49"/>
      <c r="AJ510" s="49"/>
      <c r="AK510" s="49"/>
      <c r="AL510" s="49"/>
      <c r="AM510" s="49"/>
      <c r="AN510" s="49"/>
      <c r="AO510" s="49"/>
      <c r="AP510" s="49"/>
      <c r="AQ510" s="49"/>
      <c r="AR510" s="49"/>
      <c r="AS510" s="49"/>
      <c r="AT510" s="49"/>
      <c r="AU510" s="49"/>
      <c r="AV510" s="49"/>
      <c r="AW510" s="49"/>
      <c r="AX510" s="49"/>
    </row>
    <row r="511">
      <c r="A511" s="49"/>
      <c r="B511" s="49"/>
      <c r="C511" s="50"/>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c r="AF511" s="49"/>
      <c r="AG511" s="49"/>
      <c r="AH511" s="49"/>
      <c r="AI511" s="49"/>
      <c r="AJ511" s="49"/>
      <c r="AK511" s="49"/>
      <c r="AL511" s="49"/>
      <c r="AM511" s="49"/>
      <c r="AN511" s="49"/>
      <c r="AO511" s="49"/>
      <c r="AP511" s="49"/>
      <c r="AQ511" s="49"/>
      <c r="AR511" s="49"/>
      <c r="AS511" s="49"/>
      <c r="AT511" s="49"/>
      <c r="AU511" s="49"/>
      <c r="AV511" s="49"/>
      <c r="AW511" s="49"/>
      <c r="AX511" s="49"/>
    </row>
    <row r="512">
      <c r="A512" s="49"/>
      <c r="B512" s="49"/>
      <c r="C512" s="50"/>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c r="AF512" s="49"/>
      <c r="AG512" s="49"/>
      <c r="AH512" s="49"/>
      <c r="AI512" s="49"/>
      <c r="AJ512" s="49"/>
      <c r="AK512" s="49"/>
      <c r="AL512" s="49"/>
      <c r="AM512" s="49"/>
      <c r="AN512" s="49"/>
      <c r="AO512" s="49"/>
      <c r="AP512" s="49"/>
      <c r="AQ512" s="49"/>
      <c r="AR512" s="49"/>
      <c r="AS512" s="49"/>
      <c r="AT512" s="49"/>
      <c r="AU512" s="49"/>
      <c r="AV512" s="49"/>
      <c r="AW512" s="49"/>
      <c r="AX512" s="49"/>
    </row>
    <row r="513">
      <c r="A513" s="49"/>
      <c r="B513" s="49"/>
      <c r="C513" s="50"/>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c r="AF513" s="49"/>
      <c r="AG513" s="49"/>
      <c r="AH513" s="49"/>
      <c r="AI513" s="49"/>
      <c r="AJ513" s="49"/>
      <c r="AK513" s="49"/>
      <c r="AL513" s="49"/>
      <c r="AM513" s="49"/>
      <c r="AN513" s="49"/>
      <c r="AO513" s="49"/>
      <c r="AP513" s="49"/>
      <c r="AQ513" s="49"/>
      <c r="AR513" s="49"/>
      <c r="AS513" s="49"/>
      <c r="AT513" s="49"/>
      <c r="AU513" s="49"/>
      <c r="AV513" s="49"/>
      <c r="AW513" s="49"/>
      <c r="AX513" s="49"/>
    </row>
    <row r="514">
      <c r="A514" s="49"/>
      <c r="B514" s="49"/>
      <c r="C514" s="50"/>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c r="AF514" s="49"/>
      <c r="AG514" s="49"/>
      <c r="AH514" s="49"/>
      <c r="AI514" s="49"/>
      <c r="AJ514" s="49"/>
      <c r="AK514" s="49"/>
      <c r="AL514" s="49"/>
      <c r="AM514" s="49"/>
      <c r="AN514" s="49"/>
      <c r="AO514" s="49"/>
      <c r="AP514" s="49"/>
      <c r="AQ514" s="49"/>
      <c r="AR514" s="49"/>
      <c r="AS514" s="49"/>
      <c r="AT514" s="49"/>
      <c r="AU514" s="49"/>
      <c r="AV514" s="49"/>
      <c r="AW514" s="49"/>
      <c r="AX514" s="49"/>
    </row>
    <row r="515">
      <c r="A515" s="49"/>
      <c r="B515" s="49"/>
      <c r="C515" s="50"/>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c r="AF515" s="49"/>
      <c r="AG515" s="49"/>
      <c r="AH515" s="49"/>
      <c r="AI515" s="49"/>
      <c r="AJ515" s="49"/>
      <c r="AK515" s="49"/>
      <c r="AL515" s="49"/>
      <c r="AM515" s="49"/>
      <c r="AN515" s="49"/>
      <c r="AO515" s="49"/>
      <c r="AP515" s="49"/>
      <c r="AQ515" s="49"/>
      <c r="AR515" s="49"/>
      <c r="AS515" s="49"/>
      <c r="AT515" s="49"/>
      <c r="AU515" s="49"/>
      <c r="AV515" s="49"/>
      <c r="AW515" s="49"/>
      <c r="AX515" s="49"/>
    </row>
    <row r="516">
      <c r="A516" s="49"/>
      <c r="B516" s="49"/>
      <c r="C516" s="50"/>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c r="AF516" s="49"/>
      <c r="AG516" s="49"/>
      <c r="AH516" s="49"/>
      <c r="AI516" s="49"/>
      <c r="AJ516" s="49"/>
      <c r="AK516" s="49"/>
      <c r="AL516" s="49"/>
      <c r="AM516" s="49"/>
      <c r="AN516" s="49"/>
      <c r="AO516" s="49"/>
      <c r="AP516" s="49"/>
      <c r="AQ516" s="49"/>
      <c r="AR516" s="49"/>
      <c r="AS516" s="49"/>
      <c r="AT516" s="49"/>
      <c r="AU516" s="49"/>
      <c r="AV516" s="49"/>
      <c r="AW516" s="49"/>
      <c r="AX516" s="49"/>
    </row>
    <row r="517">
      <c r="A517" s="49"/>
      <c r="B517" s="49"/>
      <c r="C517" s="50"/>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c r="AF517" s="49"/>
      <c r="AG517" s="49"/>
      <c r="AH517" s="49"/>
      <c r="AI517" s="49"/>
      <c r="AJ517" s="49"/>
      <c r="AK517" s="49"/>
      <c r="AL517" s="49"/>
      <c r="AM517" s="49"/>
      <c r="AN517" s="49"/>
      <c r="AO517" s="49"/>
      <c r="AP517" s="49"/>
      <c r="AQ517" s="49"/>
      <c r="AR517" s="49"/>
      <c r="AS517" s="49"/>
      <c r="AT517" s="49"/>
      <c r="AU517" s="49"/>
      <c r="AV517" s="49"/>
      <c r="AW517" s="49"/>
      <c r="AX517" s="49"/>
    </row>
    <row r="518">
      <c r="A518" s="49"/>
      <c r="B518" s="49"/>
      <c r="C518" s="50"/>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c r="AF518" s="49"/>
      <c r="AG518" s="49"/>
      <c r="AH518" s="49"/>
      <c r="AI518" s="49"/>
      <c r="AJ518" s="49"/>
      <c r="AK518" s="49"/>
      <c r="AL518" s="49"/>
      <c r="AM518" s="49"/>
      <c r="AN518" s="49"/>
      <c r="AO518" s="49"/>
      <c r="AP518" s="49"/>
      <c r="AQ518" s="49"/>
      <c r="AR518" s="49"/>
      <c r="AS518" s="49"/>
      <c r="AT518" s="49"/>
      <c r="AU518" s="49"/>
      <c r="AV518" s="49"/>
      <c r="AW518" s="49"/>
      <c r="AX518" s="49"/>
    </row>
    <row r="519">
      <c r="A519" s="49"/>
      <c r="B519" s="49"/>
      <c r="C519" s="50"/>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c r="AF519" s="49"/>
      <c r="AG519" s="49"/>
      <c r="AH519" s="49"/>
      <c r="AI519" s="49"/>
      <c r="AJ519" s="49"/>
      <c r="AK519" s="49"/>
      <c r="AL519" s="49"/>
      <c r="AM519" s="49"/>
      <c r="AN519" s="49"/>
      <c r="AO519" s="49"/>
      <c r="AP519" s="49"/>
      <c r="AQ519" s="49"/>
      <c r="AR519" s="49"/>
      <c r="AS519" s="49"/>
      <c r="AT519" s="49"/>
      <c r="AU519" s="49"/>
      <c r="AV519" s="49"/>
      <c r="AW519" s="49"/>
      <c r="AX519" s="49"/>
    </row>
    <row r="520">
      <c r="A520" s="49"/>
      <c r="B520" s="49"/>
      <c r="C520" s="50"/>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c r="AF520" s="49"/>
      <c r="AG520" s="49"/>
      <c r="AH520" s="49"/>
      <c r="AI520" s="49"/>
      <c r="AJ520" s="49"/>
      <c r="AK520" s="49"/>
      <c r="AL520" s="49"/>
      <c r="AM520" s="49"/>
      <c r="AN520" s="49"/>
      <c r="AO520" s="49"/>
      <c r="AP520" s="49"/>
      <c r="AQ520" s="49"/>
      <c r="AR520" s="49"/>
      <c r="AS520" s="49"/>
      <c r="AT520" s="49"/>
      <c r="AU520" s="49"/>
      <c r="AV520" s="49"/>
      <c r="AW520" s="49"/>
      <c r="AX520" s="49"/>
    </row>
    <row r="521">
      <c r="A521" s="49"/>
      <c r="B521" s="49"/>
      <c r="C521" s="50"/>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c r="AF521" s="49"/>
      <c r="AG521" s="49"/>
      <c r="AH521" s="49"/>
      <c r="AI521" s="49"/>
      <c r="AJ521" s="49"/>
      <c r="AK521" s="49"/>
      <c r="AL521" s="49"/>
      <c r="AM521" s="49"/>
      <c r="AN521" s="49"/>
      <c r="AO521" s="49"/>
      <c r="AP521" s="49"/>
      <c r="AQ521" s="49"/>
      <c r="AR521" s="49"/>
      <c r="AS521" s="49"/>
      <c r="AT521" s="49"/>
      <c r="AU521" s="49"/>
      <c r="AV521" s="49"/>
      <c r="AW521" s="49"/>
      <c r="AX521" s="49"/>
    </row>
    <row r="522">
      <c r="A522" s="49"/>
      <c r="B522" s="49"/>
      <c r="C522" s="50"/>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c r="AF522" s="49"/>
      <c r="AG522" s="49"/>
      <c r="AH522" s="49"/>
      <c r="AI522" s="49"/>
      <c r="AJ522" s="49"/>
      <c r="AK522" s="49"/>
      <c r="AL522" s="49"/>
      <c r="AM522" s="49"/>
      <c r="AN522" s="49"/>
      <c r="AO522" s="49"/>
      <c r="AP522" s="49"/>
      <c r="AQ522" s="49"/>
      <c r="AR522" s="49"/>
      <c r="AS522" s="49"/>
      <c r="AT522" s="49"/>
      <c r="AU522" s="49"/>
      <c r="AV522" s="49"/>
      <c r="AW522" s="49"/>
      <c r="AX522" s="49"/>
    </row>
    <row r="523">
      <c r="A523" s="49"/>
      <c r="B523" s="49"/>
      <c r="C523" s="50"/>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c r="AF523" s="49"/>
      <c r="AG523" s="49"/>
      <c r="AH523" s="49"/>
      <c r="AI523" s="49"/>
      <c r="AJ523" s="49"/>
      <c r="AK523" s="49"/>
      <c r="AL523" s="49"/>
      <c r="AM523" s="49"/>
      <c r="AN523" s="49"/>
      <c r="AO523" s="49"/>
      <c r="AP523" s="49"/>
      <c r="AQ523" s="49"/>
      <c r="AR523" s="49"/>
      <c r="AS523" s="49"/>
      <c r="AT523" s="49"/>
      <c r="AU523" s="49"/>
      <c r="AV523" s="49"/>
      <c r="AW523" s="49"/>
      <c r="AX523" s="49"/>
    </row>
    <row r="524">
      <c r="A524" s="49"/>
      <c r="B524" s="49"/>
      <c r="C524" s="50"/>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c r="AF524" s="49"/>
      <c r="AG524" s="49"/>
      <c r="AH524" s="49"/>
      <c r="AI524" s="49"/>
      <c r="AJ524" s="49"/>
      <c r="AK524" s="49"/>
      <c r="AL524" s="49"/>
      <c r="AM524" s="49"/>
      <c r="AN524" s="49"/>
      <c r="AO524" s="49"/>
      <c r="AP524" s="49"/>
      <c r="AQ524" s="49"/>
      <c r="AR524" s="49"/>
      <c r="AS524" s="49"/>
      <c r="AT524" s="49"/>
      <c r="AU524" s="49"/>
      <c r="AV524" s="49"/>
      <c r="AW524" s="49"/>
      <c r="AX524" s="49"/>
    </row>
    <row r="525">
      <c r="A525" s="49"/>
      <c r="B525" s="49"/>
      <c r="C525" s="50"/>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c r="AF525" s="49"/>
      <c r="AG525" s="49"/>
      <c r="AH525" s="49"/>
      <c r="AI525" s="49"/>
      <c r="AJ525" s="49"/>
      <c r="AK525" s="49"/>
      <c r="AL525" s="49"/>
      <c r="AM525" s="49"/>
      <c r="AN525" s="49"/>
      <c r="AO525" s="49"/>
      <c r="AP525" s="49"/>
      <c r="AQ525" s="49"/>
      <c r="AR525" s="49"/>
      <c r="AS525" s="49"/>
      <c r="AT525" s="49"/>
      <c r="AU525" s="49"/>
      <c r="AV525" s="49"/>
      <c r="AW525" s="49"/>
      <c r="AX525" s="49"/>
    </row>
    <row r="526">
      <c r="A526" s="49"/>
      <c r="B526" s="49"/>
      <c r="C526" s="50"/>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c r="AF526" s="49"/>
      <c r="AG526" s="49"/>
      <c r="AH526" s="49"/>
      <c r="AI526" s="49"/>
      <c r="AJ526" s="49"/>
      <c r="AK526" s="49"/>
      <c r="AL526" s="49"/>
      <c r="AM526" s="49"/>
      <c r="AN526" s="49"/>
      <c r="AO526" s="49"/>
      <c r="AP526" s="49"/>
      <c r="AQ526" s="49"/>
      <c r="AR526" s="49"/>
      <c r="AS526" s="49"/>
      <c r="AT526" s="49"/>
      <c r="AU526" s="49"/>
      <c r="AV526" s="49"/>
      <c r="AW526" s="49"/>
      <c r="AX526" s="49"/>
    </row>
    <row r="527">
      <c r="A527" s="49"/>
      <c r="B527" s="49"/>
      <c r="C527" s="50"/>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c r="AF527" s="49"/>
      <c r="AG527" s="49"/>
      <c r="AH527" s="49"/>
      <c r="AI527" s="49"/>
      <c r="AJ527" s="49"/>
      <c r="AK527" s="49"/>
      <c r="AL527" s="49"/>
      <c r="AM527" s="49"/>
      <c r="AN527" s="49"/>
      <c r="AO527" s="49"/>
      <c r="AP527" s="49"/>
      <c r="AQ527" s="49"/>
      <c r="AR527" s="49"/>
      <c r="AS527" s="49"/>
      <c r="AT527" s="49"/>
      <c r="AU527" s="49"/>
      <c r="AV527" s="49"/>
      <c r="AW527" s="49"/>
      <c r="AX527" s="49"/>
    </row>
    <row r="528">
      <c r="A528" s="49"/>
      <c r="B528" s="49"/>
      <c r="C528" s="50"/>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c r="AF528" s="49"/>
      <c r="AG528" s="49"/>
      <c r="AH528" s="49"/>
      <c r="AI528" s="49"/>
      <c r="AJ528" s="49"/>
      <c r="AK528" s="49"/>
      <c r="AL528" s="49"/>
      <c r="AM528" s="49"/>
      <c r="AN528" s="49"/>
      <c r="AO528" s="49"/>
      <c r="AP528" s="49"/>
      <c r="AQ528" s="49"/>
      <c r="AR528" s="49"/>
      <c r="AS528" s="49"/>
      <c r="AT528" s="49"/>
      <c r="AU528" s="49"/>
      <c r="AV528" s="49"/>
      <c r="AW528" s="49"/>
      <c r="AX528" s="49"/>
    </row>
    <row r="529">
      <c r="A529" s="49"/>
      <c r="B529" s="49"/>
      <c r="C529" s="50"/>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c r="AF529" s="49"/>
      <c r="AG529" s="49"/>
      <c r="AH529" s="49"/>
      <c r="AI529" s="49"/>
      <c r="AJ529" s="49"/>
      <c r="AK529" s="49"/>
      <c r="AL529" s="49"/>
      <c r="AM529" s="49"/>
      <c r="AN529" s="49"/>
      <c r="AO529" s="49"/>
      <c r="AP529" s="49"/>
      <c r="AQ529" s="49"/>
      <c r="AR529" s="49"/>
      <c r="AS529" s="49"/>
      <c r="AT529" s="49"/>
      <c r="AU529" s="49"/>
      <c r="AV529" s="49"/>
      <c r="AW529" s="49"/>
      <c r="AX529" s="49"/>
    </row>
    <row r="530">
      <c r="A530" s="49"/>
      <c r="B530" s="49"/>
      <c r="C530" s="50"/>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c r="AF530" s="49"/>
      <c r="AG530" s="49"/>
      <c r="AH530" s="49"/>
      <c r="AI530" s="49"/>
      <c r="AJ530" s="49"/>
      <c r="AK530" s="49"/>
      <c r="AL530" s="49"/>
      <c r="AM530" s="49"/>
      <c r="AN530" s="49"/>
      <c r="AO530" s="49"/>
      <c r="AP530" s="49"/>
      <c r="AQ530" s="49"/>
      <c r="AR530" s="49"/>
      <c r="AS530" s="49"/>
      <c r="AT530" s="49"/>
      <c r="AU530" s="49"/>
      <c r="AV530" s="49"/>
      <c r="AW530" s="49"/>
      <c r="AX530" s="49"/>
    </row>
    <row r="531">
      <c r="A531" s="49"/>
      <c r="B531" s="49"/>
      <c r="C531" s="50"/>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c r="AF531" s="49"/>
      <c r="AG531" s="49"/>
      <c r="AH531" s="49"/>
      <c r="AI531" s="49"/>
      <c r="AJ531" s="49"/>
      <c r="AK531" s="49"/>
      <c r="AL531" s="49"/>
      <c r="AM531" s="49"/>
      <c r="AN531" s="49"/>
      <c r="AO531" s="49"/>
      <c r="AP531" s="49"/>
      <c r="AQ531" s="49"/>
      <c r="AR531" s="49"/>
      <c r="AS531" s="49"/>
      <c r="AT531" s="49"/>
      <c r="AU531" s="49"/>
      <c r="AV531" s="49"/>
      <c r="AW531" s="49"/>
      <c r="AX531" s="49"/>
    </row>
    <row r="532">
      <c r="A532" s="49"/>
      <c r="B532" s="49"/>
      <c r="C532" s="50"/>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c r="AF532" s="49"/>
      <c r="AG532" s="49"/>
      <c r="AH532" s="49"/>
      <c r="AI532" s="49"/>
      <c r="AJ532" s="49"/>
      <c r="AK532" s="49"/>
      <c r="AL532" s="49"/>
      <c r="AM532" s="49"/>
      <c r="AN532" s="49"/>
      <c r="AO532" s="49"/>
      <c r="AP532" s="49"/>
      <c r="AQ532" s="49"/>
      <c r="AR532" s="49"/>
      <c r="AS532" s="49"/>
      <c r="AT532" s="49"/>
      <c r="AU532" s="49"/>
      <c r="AV532" s="49"/>
      <c r="AW532" s="49"/>
      <c r="AX532" s="49"/>
    </row>
    <row r="533">
      <c r="A533" s="49"/>
      <c r="B533" s="49"/>
      <c r="C533" s="50"/>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c r="AF533" s="49"/>
      <c r="AG533" s="49"/>
      <c r="AH533" s="49"/>
      <c r="AI533" s="49"/>
      <c r="AJ533" s="49"/>
      <c r="AK533" s="49"/>
      <c r="AL533" s="49"/>
      <c r="AM533" s="49"/>
      <c r="AN533" s="49"/>
      <c r="AO533" s="49"/>
      <c r="AP533" s="49"/>
      <c r="AQ533" s="49"/>
      <c r="AR533" s="49"/>
      <c r="AS533" s="49"/>
      <c r="AT533" s="49"/>
      <c r="AU533" s="49"/>
      <c r="AV533" s="49"/>
      <c r="AW533" s="49"/>
      <c r="AX533" s="49"/>
    </row>
    <row r="534">
      <c r="A534" s="49"/>
      <c r="B534" s="49"/>
      <c r="C534" s="50"/>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c r="AF534" s="49"/>
      <c r="AG534" s="49"/>
      <c r="AH534" s="49"/>
      <c r="AI534" s="49"/>
      <c r="AJ534" s="49"/>
      <c r="AK534" s="49"/>
      <c r="AL534" s="49"/>
      <c r="AM534" s="49"/>
      <c r="AN534" s="49"/>
      <c r="AO534" s="49"/>
      <c r="AP534" s="49"/>
      <c r="AQ534" s="49"/>
      <c r="AR534" s="49"/>
      <c r="AS534" s="49"/>
      <c r="AT534" s="49"/>
      <c r="AU534" s="49"/>
      <c r="AV534" s="49"/>
      <c r="AW534" s="49"/>
      <c r="AX534" s="49"/>
    </row>
    <row r="535">
      <c r="A535" s="49"/>
      <c r="B535" s="49"/>
      <c r="C535" s="50"/>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c r="AF535" s="49"/>
      <c r="AG535" s="49"/>
      <c r="AH535" s="49"/>
      <c r="AI535" s="49"/>
      <c r="AJ535" s="49"/>
      <c r="AK535" s="49"/>
      <c r="AL535" s="49"/>
      <c r="AM535" s="49"/>
      <c r="AN535" s="49"/>
      <c r="AO535" s="49"/>
      <c r="AP535" s="49"/>
      <c r="AQ535" s="49"/>
      <c r="AR535" s="49"/>
      <c r="AS535" s="49"/>
      <c r="AT535" s="49"/>
      <c r="AU535" s="49"/>
      <c r="AV535" s="49"/>
      <c r="AW535" s="49"/>
      <c r="AX535" s="49"/>
    </row>
    <row r="536">
      <c r="A536" s="49"/>
      <c r="B536" s="49"/>
      <c r="C536" s="50"/>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c r="AF536" s="49"/>
      <c r="AG536" s="49"/>
      <c r="AH536" s="49"/>
      <c r="AI536" s="49"/>
      <c r="AJ536" s="49"/>
      <c r="AK536" s="49"/>
      <c r="AL536" s="49"/>
      <c r="AM536" s="49"/>
      <c r="AN536" s="49"/>
      <c r="AO536" s="49"/>
      <c r="AP536" s="49"/>
      <c r="AQ536" s="49"/>
      <c r="AR536" s="49"/>
      <c r="AS536" s="49"/>
      <c r="AT536" s="49"/>
      <c r="AU536" s="49"/>
      <c r="AV536" s="49"/>
      <c r="AW536" s="49"/>
      <c r="AX536" s="49"/>
    </row>
    <row r="537">
      <c r="A537" s="49"/>
      <c r="B537" s="49"/>
      <c r="C537" s="50"/>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c r="AF537" s="49"/>
      <c r="AG537" s="49"/>
      <c r="AH537" s="49"/>
      <c r="AI537" s="49"/>
      <c r="AJ537" s="49"/>
      <c r="AK537" s="49"/>
      <c r="AL537" s="49"/>
      <c r="AM537" s="49"/>
      <c r="AN537" s="49"/>
      <c r="AO537" s="49"/>
      <c r="AP537" s="49"/>
      <c r="AQ537" s="49"/>
      <c r="AR537" s="49"/>
      <c r="AS537" s="49"/>
      <c r="AT537" s="49"/>
      <c r="AU537" s="49"/>
      <c r="AV537" s="49"/>
      <c r="AW537" s="49"/>
      <c r="AX537" s="49"/>
    </row>
    <row r="538">
      <c r="A538" s="49"/>
      <c r="B538" s="49"/>
      <c r="C538" s="50"/>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c r="AF538" s="49"/>
      <c r="AG538" s="49"/>
      <c r="AH538" s="49"/>
      <c r="AI538" s="49"/>
      <c r="AJ538" s="49"/>
      <c r="AK538" s="49"/>
      <c r="AL538" s="49"/>
      <c r="AM538" s="49"/>
      <c r="AN538" s="49"/>
      <c r="AO538" s="49"/>
      <c r="AP538" s="49"/>
      <c r="AQ538" s="49"/>
      <c r="AR538" s="49"/>
      <c r="AS538" s="49"/>
      <c r="AT538" s="49"/>
      <c r="AU538" s="49"/>
      <c r="AV538" s="49"/>
      <c r="AW538" s="49"/>
      <c r="AX538" s="49"/>
    </row>
    <row r="539">
      <c r="A539" s="49"/>
      <c r="B539" s="49"/>
      <c r="C539" s="50"/>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c r="AF539" s="49"/>
      <c r="AG539" s="49"/>
      <c r="AH539" s="49"/>
      <c r="AI539" s="49"/>
      <c r="AJ539" s="49"/>
      <c r="AK539" s="49"/>
      <c r="AL539" s="49"/>
      <c r="AM539" s="49"/>
      <c r="AN539" s="49"/>
      <c r="AO539" s="49"/>
      <c r="AP539" s="49"/>
      <c r="AQ539" s="49"/>
      <c r="AR539" s="49"/>
      <c r="AS539" s="49"/>
      <c r="AT539" s="49"/>
      <c r="AU539" s="49"/>
      <c r="AV539" s="49"/>
      <c r="AW539" s="49"/>
      <c r="AX539" s="49"/>
    </row>
    <row r="540">
      <c r="A540" s="49"/>
      <c r="B540" s="49"/>
      <c r="C540" s="50"/>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c r="AF540" s="49"/>
      <c r="AG540" s="49"/>
      <c r="AH540" s="49"/>
      <c r="AI540" s="49"/>
      <c r="AJ540" s="49"/>
      <c r="AK540" s="49"/>
      <c r="AL540" s="49"/>
      <c r="AM540" s="49"/>
      <c r="AN540" s="49"/>
      <c r="AO540" s="49"/>
      <c r="AP540" s="49"/>
      <c r="AQ540" s="49"/>
      <c r="AR540" s="49"/>
      <c r="AS540" s="49"/>
      <c r="AT540" s="49"/>
      <c r="AU540" s="49"/>
      <c r="AV540" s="49"/>
      <c r="AW540" s="49"/>
      <c r="AX540" s="49"/>
    </row>
    <row r="541">
      <c r="A541" s="49"/>
      <c r="B541" s="49"/>
      <c r="C541" s="50"/>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c r="AF541" s="49"/>
      <c r="AG541" s="49"/>
      <c r="AH541" s="49"/>
      <c r="AI541" s="49"/>
      <c r="AJ541" s="49"/>
      <c r="AK541" s="49"/>
      <c r="AL541" s="49"/>
      <c r="AM541" s="49"/>
      <c r="AN541" s="49"/>
      <c r="AO541" s="49"/>
      <c r="AP541" s="49"/>
      <c r="AQ541" s="49"/>
      <c r="AR541" s="49"/>
      <c r="AS541" s="49"/>
      <c r="AT541" s="49"/>
      <c r="AU541" s="49"/>
      <c r="AV541" s="49"/>
      <c r="AW541" s="49"/>
      <c r="AX541" s="49"/>
    </row>
    <row r="542">
      <c r="A542" s="49"/>
      <c r="B542" s="49"/>
      <c r="C542" s="50"/>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c r="AF542" s="49"/>
      <c r="AG542" s="49"/>
      <c r="AH542" s="49"/>
      <c r="AI542" s="49"/>
      <c r="AJ542" s="49"/>
      <c r="AK542" s="49"/>
      <c r="AL542" s="49"/>
      <c r="AM542" s="49"/>
      <c r="AN542" s="49"/>
      <c r="AO542" s="49"/>
      <c r="AP542" s="49"/>
      <c r="AQ542" s="49"/>
      <c r="AR542" s="49"/>
      <c r="AS542" s="49"/>
      <c r="AT542" s="49"/>
      <c r="AU542" s="49"/>
      <c r="AV542" s="49"/>
      <c r="AW542" s="49"/>
      <c r="AX542" s="49"/>
    </row>
    <row r="543">
      <c r="A543" s="49"/>
      <c r="B543" s="49"/>
      <c r="C543" s="50"/>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c r="AF543" s="49"/>
      <c r="AG543" s="49"/>
      <c r="AH543" s="49"/>
      <c r="AI543" s="49"/>
      <c r="AJ543" s="49"/>
      <c r="AK543" s="49"/>
      <c r="AL543" s="49"/>
      <c r="AM543" s="49"/>
      <c r="AN543" s="49"/>
      <c r="AO543" s="49"/>
      <c r="AP543" s="49"/>
      <c r="AQ543" s="49"/>
      <c r="AR543" s="49"/>
      <c r="AS543" s="49"/>
      <c r="AT543" s="49"/>
      <c r="AU543" s="49"/>
      <c r="AV543" s="49"/>
      <c r="AW543" s="49"/>
      <c r="AX543" s="49"/>
    </row>
    <row r="544">
      <c r="A544" s="49"/>
      <c r="B544" s="49"/>
      <c r="C544" s="50"/>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c r="AF544" s="49"/>
      <c r="AG544" s="49"/>
      <c r="AH544" s="49"/>
      <c r="AI544" s="49"/>
      <c r="AJ544" s="49"/>
      <c r="AK544" s="49"/>
      <c r="AL544" s="49"/>
      <c r="AM544" s="49"/>
      <c r="AN544" s="49"/>
      <c r="AO544" s="49"/>
      <c r="AP544" s="49"/>
      <c r="AQ544" s="49"/>
      <c r="AR544" s="49"/>
      <c r="AS544" s="49"/>
      <c r="AT544" s="49"/>
      <c r="AU544" s="49"/>
      <c r="AV544" s="49"/>
      <c r="AW544" s="49"/>
      <c r="AX544" s="49"/>
    </row>
    <row r="545">
      <c r="A545" s="49"/>
      <c r="B545" s="49"/>
      <c r="C545" s="50"/>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c r="AF545" s="49"/>
      <c r="AG545" s="49"/>
      <c r="AH545" s="49"/>
      <c r="AI545" s="49"/>
      <c r="AJ545" s="49"/>
      <c r="AK545" s="49"/>
      <c r="AL545" s="49"/>
      <c r="AM545" s="49"/>
      <c r="AN545" s="49"/>
      <c r="AO545" s="49"/>
      <c r="AP545" s="49"/>
      <c r="AQ545" s="49"/>
      <c r="AR545" s="49"/>
      <c r="AS545" s="49"/>
      <c r="AT545" s="49"/>
      <c r="AU545" s="49"/>
      <c r="AV545" s="49"/>
      <c r="AW545" s="49"/>
      <c r="AX545" s="49"/>
    </row>
    <row r="546">
      <c r="A546" s="49"/>
      <c r="B546" s="49"/>
      <c r="C546" s="50"/>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c r="AF546" s="49"/>
      <c r="AG546" s="49"/>
      <c r="AH546" s="49"/>
      <c r="AI546" s="49"/>
      <c r="AJ546" s="49"/>
      <c r="AK546" s="49"/>
      <c r="AL546" s="49"/>
      <c r="AM546" s="49"/>
      <c r="AN546" s="49"/>
      <c r="AO546" s="49"/>
      <c r="AP546" s="49"/>
      <c r="AQ546" s="49"/>
      <c r="AR546" s="49"/>
      <c r="AS546" s="49"/>
      <c r="AT546" s="49"/>
      <c r="AU546" s="49"/>
      <c r="AV546" s="49"/>
      <c r="AW546" s="49"/>
      <c r="AX546" s="49"/>
    </row>
    <row r="547">
      <c r="A547" s="49"/>
      <c r="B547" s="49"/>
      <c r="C547" s="50"/>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c r="AF547" s="49"/>
      <c r="AG547" s="49"/>
      <c r="AH547" s="49"/>
      <c r="AI547" s="49"/>
      <c r="AJ547" s="49"/>
      <c r="AK547" s="49"/>
      <c r="AL547" s="49"/>
      <c r="AM547" s="49"/>
      <c r="AN547" s="49"/>
      <c r="AO547" s="49"/>
      <c r="AP547" s="49"/>
      <c r="AQ547" s="49"/>
      <c r="AR547" s="49"/>
      <c r="AS547" s="49"/>
      <c r="AT547" s="49"/>
      <c r="AU547" s="49"/>
      <c r="AV547" s="49"/>
      <c r="AW547" s="49"/>
      <c r="AX547" s="49"/>
    </row>
    <row r="548">
      <c r="A548" s="49"/>
      <c r="B548" s="49"/>
      <c r="C548" s="50"/>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c r="AF548" s="49"/>
      <c r="AG548" s="49"/>
      <c r="AH548" s="49"/>
      <c r="AI548" s="49"/>
      <c r="AJ548" s="49"/>
      <c r="AK548" s="49"/>
      <c r="AL548" s="49"/>
      <c r="AM548" s="49"/>
      <c r="AN548" s="49"/>
      <c r="AO548" s="49"/>
      <c r="AP548" s="49"/>
      <c r="AQ548" s="49"/>
      <c r="AR548" s="49"/>
      <c r="AS548" s="49"/>
      <c r="AT548" s="49"/>
      <c r="AU548" s="49"/>
      <c r="AV548" s="49"/>
      <c r="AW548" s="49"/>
      <c r="AX548" s="49"/>
    </row>
    <row r="549">
      <c r="A549" s="49"/>
      <c r="B549" s="49"/>
      <c r="C549" s="50"/>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c r="AF549" s="49"/>
      <c r="AG549" s="49"/>
      <c r="AH549" s="49"/>
      <c r="AI549" s="49"/>
      <c r="AJ549" s="49"/>
      <c r="AK549" s="49"/>
      <c r="AL549" s="49"/>
      <c r="AM549" s="49"/>
      <c r="AN549" s="49"/>
      <c r="AO549" s="49"/>
      <c r="AP549" s="49"/>
      <c r="AQ549" s="49"/>
      <c r="AR549" s="49"/>
      <c r="AS549" s="49"/>
      <c r="AT549" s="49"/>
      <c r="AU549" s="49"/>
      <c r="AV549" s="49"/>
      <c r="AW549" s="49"/>
      <c r="AX549" s="49"/>
    </row>
    <row r="550">
      <c r="A550" s="49"/>
      <c r="B550" s="49"/>
      <c r="C550" s="50"/>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c r="AF550" s="49"/>
      <c r="AG550" s="49"/>
      <c r="AH550" s="49"/>
      <c r="AI550" s="49"/>
      <c r="AJ550" s="49"/>
      <c r="AK550" s="49"/>
      <c r="AL550" s="49"/>
      <c r="AM550" s="49"/>
      <c r="AN550" s="49"/>
      <c r="AO550" s="49"/>
      <c r="AP550" s="49"/>
      <c r="AQ550" s="49"/>
      <c r="AR550" s="49"/>
      <c r="AS550" s="49"/>
      <c r="AT550" s="49"/>
      <c r="AU550" s="49"/>
      <c r="AV550" s="49"/>
      <c r="AW550" s="49"/>
      <c r="AX550" s="49"/>
    </row>
    <row r="551">
      <c r="A551" s="49"/>
      <c r="B551" s="49"/>
      <c r="C551" s="50"/>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c r="AF551" s="49"/>
      <c r="AG551" s="49"/>
      <c r="AH551" s="49"/>
      <c r="AI551" s="49"/>
      <c r="AJ551" s="49"/>
      <c r="AK551" s="49"/>
      <c r="AL551" s="49"/>
      <c r="AM551" s="49"/>
      <c r="AN551" s="49"/>
      <c r="AO551" s="49"/>
      <c r="AP551" s="49"/>
      <c r="AQ551" s="49"/>
      <c r="AR551" s="49"/>
      <c r="AS551" s="49"/>
      <c r="AT551" s="49"/>
      <c r="AU551" s="49"/>
      <c r="AV551" s="49"/>
      <c r="AW551" s="49"/>
      <c r="AX551" s="49"/>
    </row>
    <row r="552">
      <c r="A552" s="49"/>
      <c r="B552" s="49"/>
      <c r="C552" s="50"/>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c r="AF552" s="49"/>
      <c r="AG552" s="49"/>
      <c r="AH552" s="49"/>
      <c r="AI552" s="49"/>
      <c r="AJ552" s="49"/>
      <c r="AK552" s="49"/>
      <c r="AL552" s="49"/>
      <c r="AM552" s="49"/>
      <c r="AN552" s="49"/>
      <c r="AO552" s="49"/>
      <c r="AP552" s="49"/>
      <c r="AQ552" s="49"/>
      <c r="AR552" s="49"/>
      <c r="AS552" s="49"/>
      <c r="AT552" s="49"/>
      <c r="AU552" s="49"/>
      <c r="AV552" s="49"/>
      <c r="AW552" s="49"/>
      <c r="AX552" s="49"/>
    </row>
    <row r="553">
      <c r="A553" s="49"/>
      <c r="B553" s="49"/>
      <c r="C553" s="50"/>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c r="AF553" s="49"/>
      <c r="AG553" s="49"/>
      <c r="AH553" s="49"/>
      <c r="AI553" s="49"/>
      <c r="AJ553" s="49"/>
      <c r="AK553" s="49"/>
      <c r="AL553" s="49"/>
      <c r="AM553" s="49"/>
      <c r="AN553" s="49"/>
      <c r="AO553" s="49"/>
      <c r="AP553" s="49"/>
      <c r="AQ553" s="49"/>
      <c r="AR553" s="49"/>
      <c r="AS553" s="49"/>
      <c r="AT553" s="49"/>
      <c r="AU553" s="49"/>
      <c r="AV553" s="49"/>
      <c r="AW553" s="49"/>
      <c r="AX553" s="49"/>
    </row>
    <row r="554">
      <c r="A554" s="49"/>
      <c r="B554" s="49"/>
      <c r="C554" s="50"/>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c r="AF554" s="49"/>
      <c r="AG554" s="49"/>
      <c r="AH554" s="49"/>
      <c r="AI554" s="49"/>
      <c r="AJ554" s="49"/>
      <c r="AK554" s="49"/>
      <c r="AL554" s="49"/>
      <c r="AM554" s="49"/>
      <c r="AN554" s="49"/>
      <c r="AO554" s="49"/>
      <c r="AP554" s="49"/>
      <c r="AQ554" s="49"/>
      <c r="AR554" s="49"/>
      <c r="AS554" s="49"/>
      <c r="AT554" s="49"/>
      <c r="AU554" s="49"/>
      <c r="AV554" s="49"/>
      <c r="AW554" s="49"/>
      <c r="AX554" s="49"/>
    </row>
    <row r="555">
      <c r="A555" s="49"/>
      <c r="B555" s="49"/>
      <c r="C555" s="50"/>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c r="AF555" s="49"/>
      <c r="AG555" s="49"/>
      <c r="AH555" s="49"/>
      <c r="AI555" s="49"/>
      <c r="AJ555" s="49"/>
      <c r="AK555" s="49"/>
      <c r="AL555" s="49"/>
      <c r="AM555" s="49"/>
      <c r="AN555" s="49"/>
      <c r="AO555" s="49"/>
      <c r="AP555" s="49"/>
      <c r="AQ555" s="49"/>
      <c r="AR555" s="49"/>
      <c r="AS555" s="49"/>
      <c r="AT555" s="49"/>
      <c r="AU555" s="49"/>
      <c r="AV555" s="49"/>
      <c r="AW555" s="49"/>
      <c r="AX555" s="49"/>
    </row>
    <row r="556">
      <c r="A556" s="49"/>
      <c r="B556" s="49"/>
      <c r="C556" s="50"/>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c r="AF556" s="49"/>
      <c r="AG556" s="49"/>
      <c r="AH556" s="49"/>
      <c r="AI556" s="49"/>
      <c r="AJ556" s="49"/>
      <c r="AK556" s="49"/>
      <c r="AL556" s="49"/>
      <c r="AM556" s="49"/>
      <c r="AN556" s="49"/>
      <c r="AO556" s="49"/>
      <c r="AP556" s="49"/>
      <c r="AQ556" s="49"/>
      <c r="AR556" s="49"/>
      <c r="AS556" s="49"/>
      <c r="AT556" s="49"/>
      <c r="AU556" s="49"/>
      <c r="AV556" s="49"/>
      <c r="AW556" s="49"/>
      <c r="AX556" s="49"/>
    </row>
    <row r="557">
      <c r="A557" s="49"/>
      <c r="B557" s="49"/>
      <c r="C557" s="50"/>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c r="AF557" s="49"/>
      <c r="AG557" s="49"/>
      <c r="AH557" s="49"/>
      <c r="AI557" s="49"/>
      <c r="AJ557" s="49"/>
      <c r="AK557" s="49"/>
      <c r="AL557" s="49"/>
      <c r="AM557" s="49"/>
      <c r="AN557" s="49"/>
      <c r="AO557" s="49"/>
      <c r="AP557" s="49"/>
      <c r="AQ557" s="49"/>
      <c r="AR557" s="49"/>
      <c r="AS557" s="49"/>
      <c r="AT557" s="49"/>
      <c r="AU557" s="49"/>
      <c r="AV557" s="49"/>
      <c r="AW557" s="49"/>
      <c r="AX557" s="49"/>
    </row>
    <row r="558">
      <c r="A558" s="49"/>
      <c r="B558" s="49"/>
      <c r="C558" s="50"/>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c r="AF558" s="49"/>
      <c r="AG558" s="49"/>
      <c r="AH558" s="49"/>
      <c r="AI558" s="49"/>
      <c r="AJ558" s="49"/>
      <c r="AK558" s="49"/>
      <c r="AL558" s="49"/>
      <c r="AM558" s="49"/>
      <c r="AN558" s="49"/>
      <c r="AO558" s="49"/>
      <c r="AP558" s="49"/>
      <c r="AQ558" s="49"/>
      <c r="AR558" s="49"/>
      <c r="AS558" s="49"/>
      <c r="AT558" s="49"/>
      <c r="AU558" s="49"/>
      <c r="AV558" s="49"/>
      <c r="AW558" s="49"/>
      <c r="AX558" s="49"/>
    </row>
    <row r="559">
      <c r="A559" s="49"/>
      <c r="B559" s="49"/>
      <c r="C559" s="50"/>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c r="AF559" s="49"/>
      <c r="AG559" s="49"/>
      <c r="AH559" s="49"/>
      <c r="AI559" s="49"/>
      <c r="AJ559" s="49"/>
      <c r="AK559" s="49"/>
      <c r="AL559" s="49"/>
      <c r="AM559" s="49"/>
      <c r="AN559" s="49"/>
      <c r="AO559" s="49"/>
      <c r="AP559" s="49"/>
      <c r="AQ559" s="49"/>
      <c r="AR559" s="49"/>
      <c r="AS559" s="49"/>
      <c r="AT559" s="49"/>
      <c r="AU559" s="49"/>
      <c r="AV559" s="49"/>
      <c r="AW559" s="49"/>
      <c r="AX559" s="49"/>
    </row>
    <row r="560">
      <c r="A560" s="49"/>
      <c r="B560" s="49"/>
      <c r="C560" s="50"/>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c r="AF560" s="49"/>
      <c r="AG560" s="49"/>
      <c r="AH560" s="49"/>
      <c r="AI560" s="49"/>
      <c r="AJ560" s="49"/>
      <c r="AK560" s="49"/>
      <c r="AL560" s="49"/>
      <c r="AM560" s="49"/>
      <c r="AN560" s="49"/>
      <c r="AO560" s="49"/>
      <c r="AP560" s="49"/>
      <c r="AQ560" s="49"/>
      <c r="AR560" s="49"/>
      <c r="AS560" s="49"/>
      <c r="AT560" s="49"/>
      <c r="AU560" s="49"/>
      <c r="AV560" s="49"/>
      <c r="AW560" s="49"/>
      <c r="AX560" s="49"/>
    </row>
    <row r="561">
      <c r="A561" s="49"/>
      <c r="B561" s="49"/>
      <c r="C561" s="50"/>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c r="AF561" s="49"/>
      <c r="AG561" s="49"/>
      <c r="AH561" s="49"/>
      <c r="AI561" s="49"/>
      <c r="AJ561" s="49"/>
      <c r="AK561" s="49"/>
      <c r="AL561" s="49"/>
      <c r="AM561" s="49"/>
      <c r="AN561" s="49"/>
      <c r="AO561" s="49"/>
      <c r="AP561" s="49"/>
      <c r="AQ561" s="49"/>
      <c r="AR561" s="49"/>
      <c r="AS561" s="49"/>
      <c r="AT561" s="49"/>
      <c r="AU561" s="49"/>
      <c r="AV561" s="49"/>
      <c r="AW561" s="49"/>
      <c r="AX561" s="49"/>
    </row>
    <row r="562">
      <c r="A562" s="49"/>
      <c r="B562" s="49"/>
      <c r="C562" s="50"/>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c r="AF562" s="49"/>
      <c r="AG562" s="49"/>
      <c r="AH562" s="49"/>
      <c r="AI562" s="49"/>
      <c r="AJ562" s="49"/>
      <c r="AK562" s="49"/>
      <c r="AL562" s="49"/>
      <c r="AM562" s="49"/>
      <c r="AN562" s="49"/>
      <c r="AO562" s="49"/>
      <c r="AP562" s="49"/>
      <c r="AQ562" s="49"/>
      <c r="AR562" s="49"/>
      <c r="AS562" s="49"/>
      <c r="AT562" s="49"/>
      <c r="AU562" s="49"/>
      <c r="AV562" s="49"/>
      <c r="AW562" s="49"/>
      <c r="AX562" s="49"/>
    </row>
    <row r="563">
      <c r="A563" s="49"/>
      <c r="B563" s="49"/>
      <c r="C563" s="50"/>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c r="AF563" s="49"/>
      <c r="AG563" s="49"/>
      <c r="AH563" s="49"/>
      <c r="AI563" s="49"/>
      <c r="AJ563" s="49"/>
      <c r="AK563" s="49"/>
      <c r="AL563" s="49"/>
      <c r="AM563" s="49"/>
      <c r="AN563" s="49"/>
      <c r="AO563" s="49"/>
      <c r="AP563" s="49"/>
      <c r="AQ563" s="49"/>
      <c r="AR563" s="49"/>
      <c r="AS563" s="49"/>
      <c r="AT563" s="49"/>
      <c r="AU563" s="49"/>
      <c r="AV563" s="49"/>
      <c r="AW563" s="49"/>
      <c r="AX563" s="49"/>
    </row>
    <row r="564">
      <c r="A564" s="49"/>
      <c r="B564" s="49"/>
      <c r="C564" s="50"/>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c r="AF564" s="49"/>
      <c r="AG564" s="49"/>
      <c r="AH564" s="49"/>
      <c r="AI564" s="49"/>
      <c r="AJ564" s="49"/>
      <c r="AK564" s="49"/>
      <c r="AL564" s="49"/>
      <c r="AM564" s="49"/>
      <c r="AN564" s="49"/>
      <c r="AO564" s="49"/>
      <c r="AP564" s="49"/>
      <c r="AQ564" s="49"/>
      <c r="AR564" s="49"/>
      <c r="AS564" s="49"/>
      <c r="AT564" s="49"/>
      <c r="AU564" s="49"/>
      <c r="AV564" s="49"/>
      <c r="AW564" s="49"/>
      <c r="AX564" s="49"/>
    </row>
    <row r="565">
      <c r="A565" s="49"/>
      <c r="B565" s="49"/>
      <c r="C565" s="50"/>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c r="AF565" s="49"/>
      <c r="AG565" s="49"/>
      <c r="AH565" s="49"/>
      <c r="AI565" s="49"/>
      <c r="AJ565" s="49"/>
      <c r="AK565" s="49"/>
      <c r="AL565" s="49"/>
      <c r="AM565" s="49"/>
      <c r="AN565" s="49"/>
      <c r="AO565" s="49"/>
      <c r="AP565" s="49"/>
      <c r="AQ565" s="49"/>
      <c r="AR565" s="49"/>
      <c r="AS565" s="49"/>
      <c r="AT565" s="49"/>
      <c r="AU565" s="49"/>
      <c r="AV565" s="49"/>
      <c r="AW565" s="49"/>
      <c r="AX565" s="49"/>
    </row>
    <row r="566">
      <c r="A566" s="49"/>
      <c r="B566" s="49"/>
      <c r="C566" s="50"/>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c r="AF566" s="49"/>
      <c r="AG566" s="49"/>
      <c r="AH566" s="49"/>
      <c r="AI566" s="49"/>
      <c r="AJ566" s="49"/>
      <c r="AK566" s="49"/>
      <c r="AL566" s="49"/>
      <c r="AM566" s="49"/>
      <c r="AN566" s="49"/>
      <c r="AO566" s="49"/>
      <c r="AP566" s="49"/>
      <c r="AQ566" s="49"/>
      <c r="AR566" s="49"/>
      <c r="AS566" s="49"/>
      <c r="AT566" s="49"/>
      <c r="AU566" s="49"/>
      <c r="AV566" s="49"/>
      <c r="AW566" s="49"/>
      <c r="AX566" s="49"/>
    </row>
    <row r="567">
      <c r="A567" s="49"/>
      <c r="B567" s="49"/>
      <c r="C567" s="50"/>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c r="AF567" s="49"/>
      <c r="AG567" s="49"/>
      <c r="AH567" s="49"/>
      <c r="AI567" s="49"/>
      <c r="AJ567" s="49"/>
      <c r="AK567" s="49"/>
      <c r="AL567" s="49"/>
      <c r="AM567" s="49"/>
      <c r="AN567" s="49"/>
      <c r="AO567" s="49"/>
      <c r="AP567" s="49"/>
      <c r="AQ567" s="49"/>
      <c r="AR567" s="49"/>
      <c r="AS567" s="49"/>
      <c r="AT567" s="49"/>
      <c r="AU567" s="49"/>
      <c r="AV567" s="49"/>
      <c r="AW567" s="49"/>
      <c r="AX567" s="49"/>
    </row>
    <row r="568">
      <c r="A568" s="49"/>
      <c r="B568" s="49"/>
      <c r="C568" s="50"/>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c r="AF568" s="49"/>
      <c r="AG568" s="49"/>
      <c r="AH568" s="49"/>
      <c r="AI568" s="49"/>
      <c r="AJ568" s="49"/>
      <c r="AK568" s="49"/>
      <c r="AL568" s="49"/>
      <c r="AM568" s="49"/>
      <c r="AN568" s="49"/>
      <c r="AO568" s="49"/>
      <c r="AP568" s="49"/>
      <c r="AQ568" s="49"/>
      <c r="AR568" s="49"/>
      <c r="AS568" s="49"/>
      <c r="AT568" s="49"/>
      <c r="AU568" s="49"/>
      <c r="AV568" s="49"/>
      <c r="AW568" s="49"/>
      <c r="AX568" s="49"/>
    </row>
    <row r="569">
      <c r="A569" s="49"/>
      <c r="B569" s="49"/>
      <c r="C569" s="50"/>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c r="AF569" s="49"/>
      <c r="AG569" s="49"/>
      <c r="AH569" s="49"/>
      <c r="AI569" s="49"/>
      <c r="AJ569" s="49"/>
      <c r="AK569" s="49"/>
      <c r="AL569" s="49"/>
      <c r="AM569" s="49"/>
      <c r="AN569" s="49"/>
      <c r="AO569" s="49"/>
      <c r="AP569" s="49"/>
      <c r="AQ569" s="49"/>
      <c r="AR569" s="49"/>
      <c r="AS569" s="49"/>
      <c r="AT569" s="49"/>
      <c r="AU569" s="49"/>
      <c r="AV569" s="49"/>
      <c r="AW569" s="49"/>
      <c r="AX569" s="49"/>
    </row>
    <row r="570">
      <c r="A570" s="49"/>
      <c r="B570" s="49"/>
      <c r="C570" s="50"/>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c r="AF570" s="49"/>
      <c r="AG570" s="49"/>
      <c r="AH570" s="49"/>
      <c r="AI570" s="49"/>
      <c r="AJ570" s="49"/>
      <c r="AK570" s="49"/>
      <c r="AL570" s="49"/>
      <c r="AM570" s="49"/>
      <c r="AN570" s="49"/>
      <c r="AO570" s="49"/>
      <c r="AP570" s="49"/>
      <c r="AQ570" s="49"/>
      <c r="AR570" s="49"/>
      <c r="AS570" s="49"/>
      <c r="AT570" s="49"/>
      <c r="AU570" s="49"/>
      <c r="AV570" s="49"/>
      <c r="AW570" s="49"/>
      <c r="AX570" s="49"/>
    </row>
    <row r="571">
      <c r="A571" s="49"/>
      <c r="B571" s="49"/>
      <c r="C571" s="50"/>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c r="AF571" s="49"/>
      <c r="AG571" s="49"/>
      <c r="AH571" s="49"/>
      <c r="AI571" s="49"/>
      <c r="AJ571" s="49"/>
      <c r="AK571" s="49"/>
      <c r="AL571" s="49"/>
      <c r="AM571" s="49"/>
      <c r="AN571" s="49"/>
      <c r="AO571" s="49"/>
      <c r="AP571" s="49"/>
      <c r="AQ571" s="49"/>
      <c r="AR571" s="49"/>
      <c r="AS571" s="49"/>
      <c r="AT571" s="49"/>
      <c r="AU571" s="49"/>
      <c r="AV571" s="49"/>
      <c r="AW571" s="49"/>
      <c r="AX571" s="49"/>
    </row>
    <row r="572">
      <c r="A572" s="49"/>
      <c r="B572" s="49"/>
      <c r="C572" s="50"/>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c r="AF572" s="49"/>
      <c r="AG572" s="49"/>
      <c r="AH572" s="49"/>
      <c r="AI572" s="49"/>
      <c r="AJ572" s="49"/>
      <c r="AK572" s="49"/>
      <c r="AL572" s="49"/>
      <c r="AM572" s="49"/>
      <c r="AN572" s="49"/>
      <c r="AO572" s="49"/>
      <c r="AP572" s="49"/>
      <c r="AQ572" s="49"/>
      <c r="AR572" s="49"/>
      <c r="AS572" s="49"/>
      <c r="AT572" s="49"/>
      <c r="AU572" s="49"/>
      <c r="AV572" s="49"/>
      <c r="AW572" s="49"/>
      <c r="AX572" s="49"/>
    </row>
    <row r="573">
      <c r="A573" s="49"/>
      <c r="B573" s="49"/>
      <c r="C573" s="50"/>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c r="AF573" s="49"/>
      <c r="AG573" s="49"/>
      <c r="AH573" s="49"/>
      <c r="AI573" s="49"/>
      <c r="AJ573" s="49"/>
      <c r="AK573" s="49"/>
      <c r="AL573" s="49"/>
      <c r="AM573" s="49"/>
      <c r="AN573" s="49"/>
      <c r="AO573" s="49"/>
      <c r="AP573" s="49"/>
      <c r="AQ573" s="49"/>
      <c r="AR573" s="49"/>
      <c r="AS573" s="49"/>
      <c r="AT573" s="49"/>
      <c r="AU573" s="49"/>
      <c r="AV573" s="49"/>
      <c r="AW573" s="49"/>
      <c r="AX573" s="49"/>
    </row>
    <row r="574">
      <c r="A574" s="49"/>
      <c r="B574" s="49"/>
      <c r="C574" s="50"/>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c r="AF574" s="49"/>
      <c r="AG574" s="49"/>
      <c r="AH574" s="49"/>
      <c r="AI574" s="49"/>
      <c r="AJ574" s="49"/>
      <c r="AK574" s="49"/>
      <c r="AL574" s="49"/>
      <c r="AM574" s="49"/>
      <c r="AN574" s="49"/>
      <c r="AO574" s="49"/>
      <c r="AP574" s="49"/>
      <c r="AQ574" s="49"/>
      <c r="AR574" s="49"/>
      <c r="AS574" s="49"/>
      <c r="AT574" s="49"/>
      <c r="AU574" s="49"/>
      <c r="AV574" s="49"/>
      <c r="AW574" s="49"/>
      <c r="AX574" s="49"/>
    </row>
    <row r="575">
      <c r="A575" s="49"/>
      <c r="B575" s="49"/>
      <c r="C575" s="50"/>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c r="AF575" s="49"/>
      <c r="AG575" s="49"/>
      <c r="AH575" s="49"/>
      <c r="AI575" s="49"/>
      <c r="AJ575" s="49"/>
      <c r="AK575" s="49"/>
      <c r="AL575" s="49"/>
      <c r="AM575" s="49"/>
      <c r="AN575" s="49"/>
      <c r="AO575" s="49"/>
      <c r="AP575" s="49"/>
      <c r="AQ575" s="49"/>
      <c r="AR575" s="49"/>
      <c r="AS575" s="49"/>
      <c r="AT575" s="49"/>
      <c r="AU575" s="49"/>
      <c r="AV575" s="49"/>
      <c r="AW575" s="49"/>
      <c r="AX575" s="49"/>
    </row>
    <row r="576">
      <c r="A576" s="49"/>
      <c r="B576" s="49"/>
      <c r="C576" s="50"/>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c r="AF576" s="49"/>
      <c r="AG576" s="49"/>
      <c r="AH576" s="49"/>
      <c r="AI576" s="49"/>
      <c r="AJ576" s="49"/>
      <c r="AK576" s="49"/>
      <c r="AL576" s="49"/>
      <c r="AM576" s="49"/>
      <c r="AN576" s="49"/>
      <c r="AO576" s="49"/>
      <c r="AP576" s="49"/>
      <c r="AQ576" s="49"/>
      <c r="AR576" s="49"/>
      <c r="AS576" s="49"/>
      <c r="AT576" s="49"/>
      <c r="AU576" s="49"/>
      <c r="AV576" s="49"/>
      <c r="AW576" s="49"/>
      <c r="AX576" s="49"/>
    </row>
    <row r="577">
      <c r="A577" s="49"/>
      <c r="B577" s="49"/>
      <c r="C577" s="50"/>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c r="AF577" s="49"/>
      <c r="AG577" s="49"/>
      <c r="AH577" s="49"/>
      <c r="AI577" s="49"/>
      <c r="AJ577" s="49"/>
      <c r="AK577" s="49"/>
      <c r="AL577" s="49"/>
      <c r="AM577" s="49"/>
      <c r="AN577" s="49"/>
      <c r="AO577" s="49"/>
      <c r="AP577" s="49"/>
      <c r="AQ577" s="49"/>
      <c r="AR577" s="49"/>
      <c r="AS577" s="49"/>
      <c r="AT577" s="49"/>
      <c r="AU577" s="49"/>
      <c r="AV577" s="49"/>
      <c r="AW577" s="49"/>
      <c r="AX577" s="49"/>
    </row>
    <row r="578">
      <c r="A578" s="49"/>
      <c r="B578" s="49"/>
      <c r="C578" s="50"/>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c r="AF578" s="49"/>
      <c r="AG578" s="49"/>
      <c r="AH578" s="49"/>
      <c r="AI578" s="49"/>
      <c r="AJ578" s="49"/>
      <c r="AK578" s="49"/>
      <c r="AL578" s="49"/>
      <c r="AM578" s="49"/>
      <c r="AN578" s="49"/>
      <c r="AO578" s="49"/>
      <c r="AP578" s="49"/>
      <c r="AQ578" s="49"/>
      <c r="AR578" s="49"/>
      <c r="AS578" s="49"/>
      <c r="AT578" s="49"/>
      <c r="AU578" s="49"/>
      <c r="AV578" s="49"/>
      <c r="AW578" s="49"/>
      <c r="AX578" s="49"/>
    </row>
    <row r="579">
      <c r="A579" s="49"/>
      <c r="B579" s="49"/>
      <c r="C579" s="50"/>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c r="AF579" s="49"/>
      <c r="AG579" s="49"/>
      <c r="AH579" s="49"/>
      <c r="AI579" s="49"/>
      <c r="AJ579" s="49"/>
      <c r="AK579" s="49"/>
      <c r="AL579" s="49"/>
      <c r="AM579" s="49"/>
      <c r="AN579" s="49"/>
      <c r="AO579" s="49"/>
      <c r="AP579" s="49"/>
      <c r="AQ579" s="49"/>
      <c r="AR579" s="49"/>
      <c r="AS579" s="49"/>
      <c r="AT579" s="49"/>
      <c r="AU579" s="49"/>
      <c r="AV579" s="49"/>
      <c r="AW579" s="49"/>
      <c r="AX579" s="49"/>
    </row>
    <row r="580">
      <c r="A580" s="49"/>
      <c r="B580" s="49"/>
      <c r="C580" s="50"/>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c r="AF580" s="49"/>
      <c r="AG580" s="49"/>
      <c r="AH580" s="49"/>
      <c r="AI580" s="49"/>
      <c r="AJ580" s="49"/>
      <c r="AK580" s="49"/>
      <c r="AL580" s="49"/>
      <c r="AM580" s="49"/>
      <c r="AN580" s="49"/>
      <c r="AO580" s="49"/>
      <c r="AP580" s="49"/>
      <c r="AQ580" s="49"/>
      <c r="AR580" s="49"/>
      <c r="AS580" s="49"/>
      <c r="AT580" s="49"/>
      <c r="AU580" s="49"/>
      <c r="AV580" s="49"/>
      <c r="AW580" s="49"/>
      <c r="AX580" s="49"/>
    </row>
    <row r="581">
      <c r="A581" s="49"/>
      <c r="B581" s="49"/>
      <c r="C581" s="50"/>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c r="AF581" s="49"/>
      <c r="AG581" s="49"/>
      <c r="AH581" s="49"/>
      <c r="AI581" s="49"/>
      <c r="AJ581" s="49"/>
      <c r="AK581" s="49"/>
      <c r="AL581" s="49"/>
      <c r="AM581" s="49"/>
      <c r="AN581" s="49"/>
      <c r="AO581" s="49"/>
      <c r="AP581" s="49"/>
      <c r="AQ581" s="49"/>
      <c r="AR581" s="49"/>
      <c r="AS581" s="49"/>
      <c r="AT581" s="49"/>
      <c r="AU581" s="49"/>
      <c r="AV581" s="49"/>
      <c r="AW581" s="49"/>
      <c r="AX581" s="49"/>
    </row>
    <row r="582">
      <c r="A582" s="49"/>
      <c r="B582" s="49"/>
      <c r="C582" s="50"/>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c r="AF582" s="49"/>
      <c r="AG582" s="49"/>
      <c r="AH582" s="49"/>
      <c r="AI582" s="49"/>
      <c r="AJ582" s="49"/>
      <c r="AK582" s="49"/>
      <c r="AL582" s="49"/>
      <c r="AM582" s="49"/>
      <c r="AN582" s="49"/>
      <c r="AO582" s="49"/>
      <c r="AP582" s="49"/>
      <c r="AQ582" s="49"/>
      <c r="AR582" s="49"/>
      <c r="AS582" s="49"/>
      <c r="AT582" s="49"/>
      <c r="AU582" s="49"/>
      <c r="AV582" s="49"/>
      <c r="AW582" s="49"/>
      <c r="AX582" s="49"/>
    </row>
    <row r="583">
      <c r="A583" s="49"/>
      <c r="B583" s="49"/>
      <c r="C583" s="50"/>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c r="AF583" s="49"/>
      <c r="AG583" s="49"/>
      <c r="AH583" s="49"/>
      <c r="AI583" s="49"/>
      <c r="AJ583" s="49"/>
      <c r="AK583" s="49"/>
      <c r="AL583" s="49"/>
      <c r="AM583" s="49"/>
      <c r="AN583" s="49"/>
      <c r="AO583" s="49"/>
      <c r="AP583" s="49"/>
      <c r="AQ583" s="49"/>
      <c r="AR583" s="49"/>
      <c r="AS583" s="49"/>
      <c r="AT583" s="49"/>
      <c r="AU583" s="49"/>
      <c r="AV583" s="49"/>
      <c r="AW583" s="49"/>
      <c r="AX583" s="49"/>
    </row>
    <row r="584">
      <c r="A584" s="49"/>
      <c r="B584" s="49"/>
      <c r="C584" s="50"/>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c r="AF584" s="49"/>
      <c r="AG584" s="49"/>
      <c r="AH584" s="49"/>
      <c r="AI584" s="49"/>
      <c r="AJ584" s="49"/>
      <c r="AK584" s="49"/>
      <c r="AL584" s="49"/>
      <c r="AM584" s="49"/>
      <c r="AN584" s="49"/>
      <c r="AO584" s="49"/>
      <c r="AP584" s="49"/>
      <c r="AQ584" s="49"/>
      <c r="AR584" s="49"/>
      <c r="AS584" s="49"/>
      <c r="AT584" s="49"/>
      <c r="AU584" s="49"/>
      <c r="AV584" s="49"/>
      <c r="AW584" s="49"/>
      <c r="AX584" s="49"/>
    </row>
    <row r="585">
      <c r="A585" s="49"/>
      <c r="B585" s="49"/>
      <c r="C585" s="50"/>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c r="AF585" s="49"/>
      <c r="AG585" s="49"/>
      <c r="AH585" s="49"/>
      <c r="AI585" s="49"/>
      <c r="AJ585" s="49"/>
      <c r="AK585" s="49"/>
      <c r="AL585" s="49"/>
      <c r="AM585" s="49"/>
      <c r="AN585" s="49"/>
      <c r="AO585" s="49"/>
      <c r="AP585" s="49"/>
      <c r="AQ585" s="49"/>
      <c r="AR585" s="49"/>
      <c r="AS585" s="49"/>
      <c r="AT585" s="49"/>
      <c r="AU585" s="49"/>
      <c r="AV585" s="49"/>
      <c r="AW585" s="49"/>
      <c r="AX585" s="49"/>
    </row>
    <row r="586">
      <c r="A586" s="49"/>
      <c r="B586" s="49"/>
      <c r="C586" s="50"/>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c r="AF586" s="49"/>
      <c r="AG586" s="49"/>
      <c r="AH586" s="49"/>
      <c r="AI586" s="49"/>
      <c r="AJ586" s="49"/>
      <c r="AK586" s="49"/>
      <c r="AL586" s="49"/>
      <c r="AM586" s="49"/>
      <c r="AN586" s="49"/>
      <c r="AO586" s="49"/>
      <c r="AP586" s="49"/>
      <c r="AQ586" s="49"/>
      <c r="AR586" s="49"/>
      <c r="AS586" s="49"/>
      <c r="AT586" s="49"/>
      <c r="AU586" s="49"/>
      <c r="AV586" s="49"/>
      <c r="AW586" s="49"/>
      <c r="AX586" s="49"/>
    </row>
    <row r="587">
      <c r="A587" s="49"/>
      <c r="B587" s="49"/>
      <c r="C587" s="50"/>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c r="AF587" s="49"/>
      <c r="AG587" s="49"/>
      <c r="AH587" s="49"/>
      <c r="AI587" s="49"/>
      <c r="AJ587" s="49"/>
      <c r="AK587" s="49"/>
      <c r="AL587" s="49"/>
      <c r="AM587" s="49"/>
      <c r="AN587" s="49"/>
      <c r="AO587" s="49"/>
      <c r="AP587" s="49"/>
      <c r="AQ587" s="49"/>
      <c r="AR587" s="49"/>
      <c r="AS587" s="49"/>
      <c r="AT587" s="49"/>
      <c r="AU587" s="49"/>
      <c r="AV587" s="49"/>
      <c r="AW587" s="49"/>
      <c r="AX587" s="49"/>
    </row>
    <row r="588">
      <c r="A588" s="49"/>
      <c r="B588" s="49"/>
      <c r="C588" s="50"/>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c r="AF588" s="49"/>
      <c r="AG588" s="49"/>
      <c r="AH588" s="49"/>
      <c r="AI588" s="49"/>
      <c r="AJ588" s="49"/>
      <c r="AK588" s="49"/>
      <c r="AL588" s="49"/>
      <c r="AM588" s="49"/>
      <c r="AN588" s="49"/>
      <c r="AO588" s="49"/>
      <c r="AP588" s="49"/>
      <c r="AQ588" s="49"/>
      <c r="AR588" s="49"/>
      <c r="AS588" s="49"/>
      <c r="AT588" s="49"/>
      <c r="AU588" s="49"/>
      <c r="AV588" s="49"/>
      <c r="AW588" s="49"/>
      <c r="AX588" s="49"/>
    </row>
    <row r="589">
      <c r="A589" s="49"/>
      <c r="B589" s="49"/>
      <c r="C589" s="50"/>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c r="AF589" s="49"/>
      <c r="AG589" s="49"/>
      <c r="AH589" s="49"/>
      <c r="AI589" s="49"/>
      <c r="AJ589" s="49"/>
      <c r="AK589" s="49"/>
      <c r="AL589" s="49"/>
      <c r="AM589" s="49"/>
      <c r="AN589" s="49"/>
      <c r="AO589" s="49"/>
      <c r="AP589" s="49"/>
      <c r="AQ589" s="49"/>
      <c r="AR589" s="49"/>
      <c r="AS589" s="49"/>
      <c r="AT589" s="49"/>
      <c r="AU589" s="49"/>
      <c r="AV589" s="49"/>
      <c r="AW589" s="49"/>
      <c r="AX589" s="49"/>
    </row>
    <row r="590">
      <c r="A590" s="49"/>
      <c r="B590" s="49"/>
      <c r="C590" s="50"/>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c r="AF590" s="49"/>
      <c r="AG590" s="49"/>
      <c r="AH590" s="49"/>
      <c r="AI590" s="49"/>
      <c r="AJ590" s="49"/>
      <c r="AK590" s="49"/>
      <c r="AL590" s="49"/>
      <c r="AM590" s="49"/>
      <c r="AN590" s="49"/>
      <c r="AO590" s="49"/>
      <c r="AP590" s="49"/>
      <c r="AQ590" s="49"/>
      <c r="AR590" s="49"/>
      <c r="AS590" s="49"/>
      <c r="AT590" s="49"/>
      <c r="AU590" s="49"/>
      <c r="AV590" s="49"/>
      <c r="AW590" s="49"/>
      <c r="AX590" s="49"/>
    </row>
    <row r="591">
      <c r="A591" s="49"/>
      <c r="B591" s="49"/>
      <c r="C591" s="50"/>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c r="AF591" s="49"/>
      <c r="AG591" s="49"/>
      <c r="AH591" s="49"/>
      <c r="AI591" s="49"/>
      <c r="AJ591" s="49"/>
      <c r="AK591" s="49"/>
      <c r="AL591" s="49"/>
      <c r="AM591" s="49"/>
      <c r="AN591" s="49"/>
      <c r="AO591" s="49"/>
      <c r="AP591" s="49"/>
      <c r="AQ591" s="49"/>
      <c r="AR591" s="49"/>
      <c r="AS591" s="49"/>
      <c r="AT591" s="49"/>
      <c r="AU591" s="49"/>
      <c r="AV591" s="49"/>
      <c r="AW591" s="49"/>
      <c r="AX591" s="49"/>
    </row>
    <row r="592">
      <c r="A592" s="49"/>
      <c r="B592" s="49"/>
      <c r="C592" s="50"/>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c r="AF592" s="49"/>
      <c r="AG592" s="49"/>
      <c r="AH592" s="49"/>
      <c r="AI592" s="49"/>
      <c r="AJ592" s="49"/>
      <c r="AK592" s="49"/>
      <c r="AL592" s="49"/>
      <c r="AM592" s="49"/>
      <c r="AN592" s="49"/>
      <c r="AO592" s="49"/>
      <c r="AP592" s="49"/>
      <c r="AQ592" s="49"/>
      <c r="AR592" s="49"/>
      <c r="AS592" s="49"/>
      <c r="AT592" s="49"/>
      <c r="AU592" s="49"/>
      <c r="AV592" s="49"/>
      <c r="AW592" s="49"/>
      <c r="AX592" s="49"/>
    </row>
    <row r="593">
      <c r="A593" s="49"/>
      <c r="B593" s="49"/>
      <c r="C593" s="50"/>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c r="AF593" s="49"/>
      <c r="AG593" s="49"/>
      <c r="AH593" s="49"/>
      <c r="AI593" s="49"/>
      <c r="AJ593" s="49"/>
      <c r="AK593" s="49"/>
      <c r="AL593" s="49"/>
      <c r="AM593" s="49"/>
      <c r="AN593" s="49"/>
      <c r="AO593" s="49"/>
      <c r="AP593" s="49"/>
      <c r="AQ593" s="49"/>
      <c r="AR593" s="49"/>
      <c r="AS593" s="49"/>
      <c r="AT593" s="49"/>
      <c r="AU593" s="49"/>
      <c r="AV593" s="49"/>
      <c r="AW593" s="49"/>
      <c r="AX593" s="49"/>
    </row>
    <row r="594">
      <c r="A594" s="49"/>
      <c r="B594" s="49"/>
      <c r="C594" s="50"/>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c r="AF594" s="49"/>
      <c r="AG594" s="49"/>
      <c r="AH594" s="49"/>
      <c r="AI594" s="49"/>
      <c r="AJ594" s="49"/>
      <c r="AK594" s="49"/>
      <c r="AL594" s="49"/>
      <c r="AM594" s="49"/>
      <c r="AN594" s="49"/>
      <c r="AO594" s="49"/>
      <c r="AP594" s="49"/>
      <c r="AQ594" s="49"/>
      <c r="AR594" s="49"/>
      <c r="AS594" s="49"/>
      <c r="AT594" s="49"/>
      <c r="AU594" s="49"/>
      <c r="AV594" s="49"/>
      <c r="AW594" s="49"/>
      <c r="AX594" s="49"/>
    </row>
    <row r="595">
      <c r="A595" s="49"/>
      <c r="B595" s="49"/>
      <c r="C595" s="50"/>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c r="AF595" s="49"/>
      <c r="AG595" s="49"/>
      <c r="AH595" s="49"/>
      <c r="AI595" s="49"/>
      <c r="AJ595" s="49"/>
      <c r="AK595" s="49"/>
      <c r="AL595" s="49"/>
      <c r="AM595" s="49"/>
      <c r="AN595" s="49"/>
      <c r="AO595" s="49"/>
      <c r="AP595" s="49"/>
      <c r="AQ595" s="49"/>
      <c r="AR595" s="49"/>
      <c r="AS595" s="49"/>
      <c r="AT595" s="49"/>
      <c r="AU595" s="49"/>
      <c r="AV595" s="49"/>
      <c r="AW595" s="49"/>
      <c r="AX595" s="49"/>
    </row>
    <row r="596">
      <c r="A596" s="49"/>
      <c r="B596" s="49"/>
      <c r="C596" s="50"/>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c r="AF596" s="49"/>
      <c r="AG596" s="49"/>
      <c r="AH596" s="49"/>
      <c r="AI596" s="49"/>
      <c r="AJ596" s="49"/>
      <c r="AK596" s="49"/>
      <c r="AL596" s="49"/>
      <c r="AM596" s="49"/>
      <c r="AN596" s="49"/>
      <c r="AO596" s="49"/>
      <c r="AP596" s="49"/>
      <c r="AQ596" s="49"/>
      <c r="AR596" s="49"/>
      <c r="AS596" s="49"/>
      <c r="AT596" s="49"/>
      <c r="AU596" s="49"/>
      <c r="AV596" s="49"/>
      <c r="AW596" s="49"/>
      <c r="AX596" s="49"/>
    </row>
    <row r="597">
      <c r="A597" s="49"/>
      <c r="B597" s="49"/>
      <c r="C597" s="50"/>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c r="AF597" s="49"/>
      <c r="AG597" s="49"/>
      <c r="AH597" s="49"/>
      <c r="AI597" s="49"/>
      <c r="AJ597" s="49"/>
      <c r="AK597" s="49"/>
      <c r="AL597" s="49"/>
      <c r="AM597" s="49"/>
      <c r="AN597" s="49"/>
      <c r="AO597" s="49"/>
      <c r="AP597" s="49"/>
      <c r="AQ597" s="49"/>
      <c r="AR597" s="49"/>
      <c r="AS597" s="49"/>
      <c r="AT597" s="49"/>
      <c r="AU597" s="49"/>
      <c r="AV597" s="49"/>
      <c r="AW597" s="49"/>
      <c r="AX597" s="49"/>
    </row>
    <row r="598">
      <c r="A598" s="49"/>
      <c r="B598" s="49"/>
      <c r="C598" s="50"/>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c r="AF598" s="49"/>
      <c r="AG598" s="49"/>
      <c r="AH598" s="49"/>
      <c r="AI598" s="49"/>
      <c r="AJ598" s="49"/>
      <c r="AK598" s="49"/>
      <c r="AL598" s="49"/>
      <c r="AM598" s="49"/>
      <c r="AN598" s="49"/>
      <c r="AO598" s="49"/>
      <c r="AP598" s="49"/>
      <c r="AQ598" s="49"/>
      <c r="AR598" s="49"/>
      <c r="AS598" s="49"/>
      <c r="AT598" s="49"/>
      <c r="AU598" s="49"/>
      <c r="AV598" s="49"/>
      <c r="AW598" s="49"/>
      <c r="AX598" s="49"/>
    </row>
    <row r="599">
      <c r="A599" s="49"/>
      <c r="B599" s="49"/>
      <c r="C599" s="50"/>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c r="AF599" s="49"/>
      <c r="AG599" s="49"/>
      <c r="AH599" s="49"/>
      <c r="AI599" s="49"/>
      <c r="AJ599" s="49"/>
      <c r="AK599" s="49"/>
      <c r="AL599" s="49"/>
      <c r="AM599" s="49"/>
      <c r="AN599" s="49"/>
      <c r="AO599" s="49"/>
      <c r="AP599" s="49"/>
      <c r="AQ599" s="49"/>
      <c r="AR599" s="49"/>
      <c r="AS599" s="49"/>
      <c r="AT599" s="49"/>
      <c r="AU599" s="49"/>
      <c r="AV599" s="49"/>
      <c r="AW599" s="49"/>
      <c r="AX599" s="49"/>
    </row>
    <row r="600">
      <c r="A600" s="49"/>
      <c r="B600" s="49"/>
      <c r="C600" s="50"/>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c r="AF600" s="49"/>
      <c r="AG600" s="49"/>
      <c r="AH600" s="49"/>
      <c r="AI600" s="49"/>
      <c r="AJ600" s="49"/>
      <c r="AK600" s="49"/>
      <c r="AL600" s="49"/>
      <c r="AM600" s="49"/>
      <c r="AN600" s="49"/>
      <c r="AO600" s="49"/>
      <c r="AP600" s="49"/>
      <c r="AQ600" s="49"/>
      <c r="AR600" s="49"/>
      <c r="AS600" s="49"/>
      <c r="AT600" s="49"/>
      <c r="AU600" s="49"/>
      <c r="AV600" s="49"/>
      <c r="AW600" s="49"/>
      <c r="AX600" s="49"/>
    </row>
    <row r="601">
      <c r="A601" s="49"/>
      <c r="B601" s="49"/>
      <c r="C601" s="50"/>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c r="AF601" s="49"/>
      <c r="AG601" s="49"/>
      <c r="AH601" s="49"/>
      <c r="AI601" s="49"/>
      <c r="AJ601" s="49"/>
      <c r="AK601" s="49"/>
      <c r="AL601" s="49"/>
      <c r="AM601" s="49"/>
      <c r="AN601" s="49"/>
      <c r="AO601" s="49"/>
      <c r="AP601" s="49"/>
      <c r="AQ601" s="49"/>
      <c r="AR601" s="49"/>
      <c r="AS601" s="49"/>
      <c r="AT601" s="49"/>
      <c r="AU601" s="49"/>
      <c r="AV601" s="49"/>
      <c r="AW601" s="49"/>
      <c r="AX601" s="49"/>
    </row>
    <row r="602">
      <c r="A602" s="49"/>
      <c r="B602" s="49"/>
      <c r="C602" s="50"/>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c r="AF602" s="49"/>
      <c r="AG602" s="49"/>
      <c r="AH602" s="49"/>
      <c r="AI602" s="49"/>
      <c r="AJ602" s="49"/>
      <c r="AK602" s="49"/>
      <c r="AL602" s="49"/>
      <c r="AM602" s="49"/>
      <c r="AN602" s="49"/>
      <c r="AO602" s="49"/>
      <c r="AP602" s="49"/>
      <c r="AQ602" s="49"/>
      <c r="AR602" s="49"/>
      <c r="AS602" s="49"/>
      <c r="AT602" s="49"/>
      <c r="AU602" s="49"/>
      <c r="AV602" s="49"/>
      <c r="AW602" s="49"/>
      <c r="AX602" s="49"/>
    </row>
    <row r="603">
      <c r="A603" s="49"/>
      <c r="B603" s="49"/>
      <c r="C603" s="50"/>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c r="AF603" s="49"/>
      <c r="AG603" s="49"/>
      <c r="AH603" s="49"/>
      <c r="AI603" s="49"/>
      <c r="AJ603" s="49"/>
      <c r="AK603" s="49"/>
      <c r="AL603" s="49"/>
      <c r="AM603" s="49"/>
      <c r="AN603" s="49"/>
      <c r="AO603" s="49"/>
      <c r="AP603" s="49"/>
      <c r="AQ603" s="49"/>
      <c r="AR603" s="49"/>
      <c r="AS603" s="49"/>
      <c r="AT603" s="49"/>
      <c r="AU603" s="49"/>
      <c r="AV603" s="49"/>
      <c r="AW603" s="49"/>
      <c r="AX603" s="49"/>
    </row>
    <row r="604">
      <c r="A604" s="49"/>
      <c r="B604" s="49"/>
      <c r="C604" s="50"/>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c r="AF604" s="49"/>
      <c r="AG604" s="49"/>
      <c r="AH604" s="49"/>
      <c r="AI604" s="49"/>
      <c r="AJ604" s="49"/>
      <c r="AK604" s="49"/>
      <c r="AL604" s="49"/>
      <c r="AM604" s="49"/>
      <c r="AN604" s="49"/>
      <c r="AO604" s="49"/>
      <c r="AP604" s="49"/>
      <c r="AQ604" s="49"/>
      <c r="AR604" s="49"/>
      <c r="AS604" s="49"/>
      <c r="AT604" s="49"/>
      <c r="AU604" s="49"/>
      <c r="AV604" s="49"/>
      <c r="AW604" s="49"/>
      <c r="AX604" s="49"/>
    </row>
    <row r="605">
      <c r="A605" s="49"/>
      <c r="B605" s="49"/>
      <c r="C605" s="50"/>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c r="AF605" s="49"/>
      <c r="AG605" s="49"/>
      <c r="AH605" s="49"/>
      <c r="AI605" s="49"/>
      <c r="AJ605" s="49"/>
      <c r="AK605" s="49"/>
      <c r="AL605" s="49"/>
      <c r="AM605" s="49"/>
      <c r="AN605" s="49"/>
      <c r="AO605" s="49"/>
      <c r="AP605" s="49"/>
      <c r="AQ605" s="49"/>
      <c r="AR605" s="49"/>
      <c r="AS605" s="49"/>
      <c r="AT605" s="49"/>
      <c r="AU605" s="49"/>
      <c r="AV605" s="49"/>
      <c r="AW605" s="49"/>
      <c r="AX605" s="49"/>
    </row>
    <row r="606">
      <c r="A606" s="49"/>
      <c r="B606" s="49"/>
      <c r="C606" s="50"/>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c r="AF606" s="49"/>
      <c r="AG606" s="49"/>
      <c r="AH606" s="49"/>
      <c r="AI606" s="49"/>
      <c r="AJ606" s="49"/>
      <c r="AK606" s="49"/>
      <c r="AL606" s="49"/>
      <c r="AM606" s="49"/>
      <c r="AN606" s="49"/>
      <c r="AO606" s="49"/>
      <c r="AP606" s="49"/>
      <c r="AQ606" s="49"/>
      <c r="AR606" s="49"/>
      <c r="AS606" s="49"/>
      <c r="AT606" s="49"/>
      <c r="AU606" s="49"/>
      <c r="AV606" s="49"/>
      <c r="AW606" s="49"/>
      <c r="AX606" s="49"/>
    </row>
    <row r="607">
      <c r="A607" s="49"/>
      <c r="B607" s="49"/>
      <c r="C607" s="50"/>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c r="AF607" s="49"/>
      <c r="AG607" s="49"/>
      <c r="AH607" s="49"/>
      <c r="AI607" s="49"/>
      <c r="AJ607" s="49"/>
      <c r="AK607" s="49"/>
      <c r="AL607" s="49"/>
      <c r="AM607" s="49"/>
      <c r="AN607" s="49"/>
      <c r="AO607" s="49"/>
      <c r="AP607" s="49"/>
      <c r="AQ607" s="49"/>
      <c r="AR607" s="49"/>
      <c r="AS607" s="49"/>
      <c r="AT607" s="49"/>
      <c r="AU607" s="49"/>
      <c r="AV607" s="49"/>
      <c r="AW607" s="49"/>
      <c r="AX607" s="49"/>
    </row>
    <row r="608">
      <c r="A608" s="49"/>
      <c r="B608" s="49"/>
      <c r="C608" s="50"/>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c r="AF608" s="49"/>
      <c r="AG608" s="49"/>
      <c r="AH608" s="49"/>
      <c r="AI608" s="49"/>
      <c r="AJ608" s="49"/>
      <c r="AK608" s="49"/>
      <c r="AL608" s="49"/>
      <c r="AM608" s="49"/>
      <c r="AN608" s="49"/>
      <c r="AO608" s="49"/>
      <c r="AP608" s="49"/>
      <c r="AQ608" s="49"/>
      <c r="AR608" s="49"/>
      <c r="AS608" s="49"/>
      <c r="AT608" s="49"/>
      <c r="AU608" s="49"/>
      <c r="AV608" s="49"/>
      <c r="AW608" s="49"/>
      <c r="AX608" s="49"/>
    </row>
    <row r="609">
      <c r="A609" s="49"/>
      <c r="B609" s="49"/>
      <c r="C609" s="50"/>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c r="AF609" s="49"/>
      <c r="AG609" s="49"/>
      <c r="AH609" s="49"/>
      <c r="AI609" s="49"/>
      <c r="AJ609" s="49"/>
      <c r="AK609" s="49"/>
      <c r="AL609" s="49"/>
      <c r="AM609" s="49"/>
      <c r="AN609" s="49"/>
      <c r="AO609" s="49"/>
      <c r="AP609" s="49"/>
      <c r="AQ609" s="49"/>
      <c r="AR609" s="49"/>
      <c r="AS609" s="49"/>
      <c r="AT609" s="49"/>
      <c r="AU609" s="49"/>
      <c r="AV609" s="49"/>
      <c r="AW609" s="49"/>
      <c r="AX609" s="49"/>
    </row>
    <row r="610">
      <c r="A610" s="49"/>
      <c r="B610" s="49"/>
      <c r="C610" s="50"/>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c r="AF610" s="49"/>
      <c r="AG610" s="49"/>
      <c r="AH610" s="49"/>
      <c r="AI610" s="49"/>
      <c r="AJ610" s="49"/>
      <c r="AK610" s="49"/>
      <c r="AL610" s="49"/>
      <c r="AM610" s="49"/>
      <c r="AN610" s="49"/>
      <c r="AO610" s="49"/>
      <c r="AP610" s="49"/>
      <c r="AQ610" s="49"/>
      <c r="AR610" s="49"/>
      <c r="AS610" s="49"/>
      <c r="AT610" s="49"/>
      <c r="AU610" s="49"/>
      <c r="AV610" s="49"/>
      <c r="AW610" s="49"/>
      <c r="AX610" s="49"/>
    </row>
    <row r="611">
      <c r="A611" s="49"/>
      <c r="B611" s="49"/>
      <c r="C611" s="50"/>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c r="AF611" s="49"/>
      <c r="AG611" s="49"/>
      <c r="AH611" s="49"/>
      <c r="AI611" s="49"/>
      <c r="AJ611" s="49"/>
      <c r="AK611" s="49"/>
      <c r="AL611" s="49"/>
      <c r="AM611" s="49"/>
      <c r="AN611" s="49"/>
      <c r="AO611" s="49"/>
      <c r="AP611" s="49"/>
      <c r="AQ611" s="49"/>
      <c r="AR611" s="49"/>
      <c r="AS611" s="49"/>
      <c r="AT611" s="49"/>
      <c r="AU611" s="49"/>
      <c r="AV611" s="49"/>
      <c r="AW611" s="49"/>
      <c r="AX611" s="49"/>
    </row>
    <row r="612">
      <c r="A612" s="49"/>
      <c r="B612" s="49"/>
      <c r="C612" s="50"/>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c r="AF612" s="49"/>
      <c r="AG612" s="49"/>
      <c r="AH612" s="49"/>
      <c r="AI612" s="49"/>
      <c r="AJ612" s="49"/>
      <c r="AK612" s="49"/>
      <c r="AL612" s="49"/>
      <c r="AM612" s="49"/>
      <c r="AN612" s="49"/>
      <c r="AO612" s="49"/>
      <c r="AP612" s="49"/>
      <c r="AQ612" s="49"/>
      <c r="AR612" s="49"/>
      <c r="AS612" s="49"/>
      <c r="AT612" s="49"/>
      <c r="AU612" s="49"/>
      <c r="AV612" s="49"/>
      <c r="AW612" s="49"/>
      <c r="AX612" s="49"/>
    </row>
    <row r="613">
      <c r="A613" s="49"/>
      <c r="B613" s="49"/>
      <c r="C613" s="50"/>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c r="AF613" s="49"/>
      <c r="AG613" s="49"/>
      <c r="AH613" s="49"/>
      <c r="AI613" s="49"/>
      <c r="AJ613" s="49"/>
      <c r="AK613" s="49"/>
      <c r="AL613" s="49"/>
      <c r="AM613" s="49"/>
      <c r="AN613" s="49"/>
      <c r="AO613" s="49"/>
      <c r="AP613" s="49"/>
      <c r="AQ613" s="49"/>
      <c r="AR613" s="49"/>
      <c r="AS613" s="49"/>
      <c r="AT613" s="49"/>
      <c r="AU613" s="49"/>
      <c r="AV613" s="49"/>
      <c r="AW613" s="49"/>
      <c r="AX613" s="49"/>
    </row>
    <row r="614">
      <c r="A614" s="49"/>
      <c r="B614" s="49"/>
      <c r="C614" s="50"/>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c r="AF614" s="49"/>
      <c r="AG614" s="49"/>
      <c r="AH614" s="49"/>
      <c r="AI614" s="49"/>
      <c r="AJ614" s="49"/>
      <c r="AK614" s="49"/>
      <c r="AL614" s="49"/>
      <c r="AM614" s="49"/>
      <c r="AN614" s="49"/>
      <c r="AO614" s="49"/>
      <c r="AP614" s="49"/>
      <c r="AQ614" s="49"/>
      <c r="AR614" s="49"/>
      <c r="AS614" s="49"/>
      <c r="AT614" s="49"/>
      <c r="AU614" s="49"/>
      <c r="AV614" s="49"/>
      <c r="AW614" s="49"/>
      <c r="AX614" s="49"/>
    </row>
    <row r="615">
      <c r="A615" s="49"/>
      <c r="B615" s="49"/>
      <c r="C615" s="50"/>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c r="AF615" s="49"/>
      <c r="AG615" s="49"/>
      <c r="AH615" s="49"/>
      <c r="AI615" s="49"/>
      <c r="AJ615" s="49"/>
      <c r="AK615" s="49"/>
      <c r="AL615" s="49"/>
      <c r="AM615" s="49"/>
      <c r="AN615" s="49"/>
      <c r="AO615" s="49"/>
      <c r="AP615" s="49"/>
      <c r="AQ615" s="49"/>
      <c r="AR615" s="49"/>
      <c r="AS615" s="49"/>
      <c r="AT615" s="49"/>
      <c r="AU615" s="49"/>
      <c r="AV615" s="49"/>
      <c r="AW615" s="49"/>
      <c r="AX615" s="49"/>
    </row>
    <row r="616">
      <c r="A616" s="49"/>
      <c r="B616" s="49"/>
      <c r="C616" s="50"/>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c r="AF616" s="49"/>
      <c r="AG616" s="49"/>
      <c r="AH616" s="49"/>
      <c r="AI616" s="49"/>
      <c r="AJ616" s="49"/>
      <c r="AK616" s="49"/>
      <c r="AL616" s="49"/>
      <c r="AM616" s="49"/>
      <c r="AN616" s="49"/>
      <c r="AO616" s="49"/>
      <c r="AP616" s="49"/>
      <c r="AQ616" s="49"/>
      <c r="AR616" s="49"/>
      <c r="AS616" s="49"/>
      <c r="AT616" s="49"/>
      <c r="AU616" s="49"/>
      <c r="AV616" s="49"/>
      <c r="AW616" s="49"/>
      <c r="AX616" s="49"/>
    </row>
    <row r="617">
      <c r="A617" s="49"/>
      <c r="B617" s="49"/>
      <c r="C617" s="50"/>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c r="AF617" s="49"/>
      <c r="AG617" s="49"/>
      <c r="AH617" s="49"/>
      <c r="AI617" s="49"/>
      <c r="AJ617" s="49"/>
      <c r="AK617" s="49"/>
      <c r="AL617" s="49"/>
      <c r="AM617" s="49"/>
      <c r="AN617" s="49"/>
      <c r="AO617" s="49"/>
      <c r="AP617" s="49"/>
      <c r="AQ617" s="49"/>
      <c r="AR617" s="49"/>
      <c r="AS617" s="49"/>
      <c r="AT617" s="49"/>
      <c r="AU617" s="49"/>
      <c r="AV617" s="49"/>
      <c r="AW617" s="49"/>
      <c r="AX617" s="49"/>
    </row>
    <row r="618">
      <c r="A618" s="49"/>
      <c r="B618" s="49"/>
      <c r="C618" s="50"/>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c r="AF618" s="49"/>
      <c r="AG618" s="49"/>
      <c r="AH618" s="49"/>
      <c r="AI618" s="49"/>
      <c r="AJ618" s="49"/>
      <c r="AK618" s="49"/>
      <c r="AL618" s="49"/>
      <c r="AM618" s="49"/>
      <c r="AN618" s="49"/>
      <c r="AO618" s="49"/>
      <c r="AP618" s="49"/>
      <c r="AQ618" s="49"/>
      <c r="AR618" s="49"/>
      <c r="AS618" s="49"/>
      <c r="AT618" s="49"/>
      <c r="AU618" s="49"/>
      <c r="AV618" s="49"/>
      <c r="AW618" s="49"/>
      <c r="AX618" s="49"/>
    </row>
    <row r="619">
      <c r="A619" s="49"/>
      <c r="B619" s="49"/>
      <c r="C619" s="50"/>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c r="AF619" s="49"/>
      <c r="AG619" s="49"/>
      <c r="AH619" s="49"/>
      <c r="AI619" s="49"/>
      <c r="AJ619" s="49"/>
      <c r="AK619" s="49"/>
      <c r="AL619" s="49"/>
      <c r="AM619" s="49"/>
      <c r="AN619" s="49"/>
      <c r="AO619" s="49"/>
      <c r="AP619" s="49"/>
      <c r="AQ619" s="49"/>
      <c r="AR619" s="49"/>
      <c r="AS619" s="49"/>
      <c r="AT619" s="49"/>
      <c r="AU619" s="49"/>
      <c r="AV619" s="49"/>
      <c r="AW619" s="49"/>
      <c r="AX619" s="49"/>
    </row>
    <row r="620">
      <c r="A620" s="49"/>
      <c r="B620" s="49"/>
      <c r="C620" s="50"/>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c r="AF620" s="49"/>
      <c r="AG620" s="49"/>
      <c r="AH620" s="49"/>
      <c r="AI620" s="49"/>
      <c r="AJ620" s="49"/>
      <c r="AK620" s="49"/>
      <c r="AL620" s="49"/>
      <c r="AM620" s="49"/>
      <c r="AN620" s="49"/>
      <c r="AO620" s="49"/>
      <c r="AP620" s="49"/>
      <c r="AQ620" s="49"/>
      <c r="AR620" s="49"/>
      <c r="AS620" s="49"/>
      <c r="AT620" s="49"/>
      <c r="AU620" s="49"/>
      <c r="AV620" s="49"/>
      <c r="AW620" s="49"/>
      <c r="AX620" s="49"/>
    </row>
    <row r="621">
      <c r="A621" s="49"/>
      <c r="B621" s="49"/>
      <c r="C621" s="50"/>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c r="AF621" s="49"/>
      <c r="AG621" s="49"/>
      <c r="AH621" s="49"/>
      <c r="AI621" s="49"/>
      <c r="AJ621" s="49"/>
      <c r="AK621" s="49"/>
      <c r="AL621" s="49"/>
      <c r="AM621" s="49"/>
      <c r="AN621" s="49"/>
      <c r="AO621" s="49"/>
      <c r="AP621" s="49"/>
      <c r="AQ621" s="49"/>
      <c r="AR621" s="49"/>
      <c r="AS621" s="49"/>
      <c r="AT621" s="49"/>
      <c r="AU621" s="49"/>
      <c r="AV621" s="49"/>
      <c r="AW621" s="49"/>
      <c r="AX621" s="49"/>
    </row>
    <row r="622">
      <c r="A622" s="49"/>
      <c r="B622" s="49"/>
      <c r="C622" s="50"/>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c r="AF622" s="49"/>
      <c r="AG622" s="49"/>
      <c r="AH622" s="49"/>
      <c r="AI622" s="49"/>
      <c r="AJ622" s="49"/>
      <c r="AK622" s="49"/>
      <c r="AL622" s="49"/>
      <c r="AM622" s="49"/>
      <c r="AN622" s="49"/>
      <c r="AO622" s="49"/>
      <c r="AP622" s="49"/>
      <c r="AQ622" s="49"/>
      <c r="AR622" s="49"/>
      <c r="AS622" s="49"/>
      <c r="AT622" s="49"/>
      <c r="AU622" s="49"/>
      <c r="AV622" s="49"/>
      <c r="AW622" s="49"/>
      <c r="AX622" s="49"/>
    </row>
    <row r="623">
      <c r="A623" s="49"/>
      <c r="B623" s="49"/>
      <c r="C623" s="50"/>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c r="AF623" s="49"/>
      <c r="AG623" s="49"/>
      <c r="AH623" s="49"/>
      <c r="AI623" s="49"/>
      <c r="AJ623" s="49"/>
      <c r="AK623" s="49"/>
      <c r="AL623" s="49"/>
      <c r="AM623" s="49"/>
      <c r="AN623" s="49"/>
      <c r="AO623" s="49"/>
      <c r="AP623" s="49"/>
      <c r="AQ623" s="49"/>
      <c r="AR623" s="49"/>
      <c r="AS623" s="49"/>
      <c r="AT623" s="49"/>
      <c r="AU623" s="49"/>
      <c r="AV623" s="49"/>
      <c r="AW623" s="49"/>
      <c r="AX623" s="49"/>
    </row>
    <row r="624">
      <c r="A624" s="49"/>
      <c r="B624" s="49"/>
      <c r="C624" s="50"/>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c r="AF624" s="49"/>
      <c r="AG624" s="49"/>
      <c r="AH624" s="49"/>
      <c r="AI624" s="49"/>
      <c r="AJ624" s="49"/>
      <c r="AK624" s="49"/>
      <c r="AL624" s="49"/>
      <c r="AM624" s="49"/>
      <c r="AN624" s="49"/>
      <c r="AO624" s="49"/>
      <c r="AP624" s="49"/>
      <c r="AQ624" s="49"/>
      <c r="AR624" s="49"/>
      <c r="AS624" s="49"/>
      <c r="AT624" s="49"/>
      <c r="AU624" s="49"/>
      <c r="AV624" s="49"/>
      <c r="AW624" s="49"/>
      <c r="AX624" s="49"/>
    </row>
    <row r="625">
      <c r="A625" s="49"/>
      <c r="B625" s="49"/>
      <c r="C625" s="50"/>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c r="AF625" s="49"/>
      <c r="AG625" s="49"/>
      <c r="AH625" s="49"/>
      <c r="AI625" s="49"/>
      <c r="AJ625" s="49"/>
      <c r="AK625" s="49"/>
      <c r="AL625" s="49"/>
      <c r="AM625" s="49"/>
      <c r="AN625" s="49"/>
      <c r="AO625" s="49"/>
      <c r="AP625" s="49"/>
      <c r="AQ625" s="49"/>
      <c r="AR625" s="49"/>
      <c r="AS625" s="49"/>
      <c r="AT625" s="49"/>
      <c r="AU625" s="49"/>
      <c r="AV625" s="49"/>
      <c r="AW625" s="49"/>
      <c r="AX625" s="49"/>
    </row>
    <row r="626">
      <c r="A626" s="49"/>
      <c r="B626" s="49"/>
      <c r="C626" s="50"/>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c r="AF626" s="49"/>
      <c r="AG626" s="49"/>
      <c r="AH626" s="49"/>
      <c r="AI626" s="49"/>
      <c r="AJ626" s="49"/>
      <c r="AK626" s="49"/>
      <c r="AL626" s="49"/>
      <c r="AM626" s="49"/>
      <c r="AN626" s="49"/>
      <c r="AO626" s="49"/>
      <c r="AP626" s="49"/>
      <c r="AQ626" s="49"/>
      <c r="AR626" s="49"/>
      <c r="AS626" s="49"/>
      <c r="AT626" s="49"/>
      <c r="AU626" s="49"/>
      <c r="AV626" s="49"/>
      <c r="AW626" s="49"/>
      <c r="AX626" s="49"/>
    </row>
    <row r="627">
      <c r="A627" s="49"/>
      <c r="B627" s="49"/>
      <c r="C627" s="50"/>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c r="AF627" s="49"/>
      <c r="AG627" s="49"/>
      <c r="AH627" s="49"/>
      <c r="AI627" s="49"/>
      <c r="AJ627" s="49"/>
      <c r="AK627" s="49"/>
      <c r="AL627" s="49"/>
      <c r="AM627" s="49"/>
      <c r="AN627" s="49"/>
      <c r="AO627" s="49"/>
      <c r="AP627" s="49"/>
      <c r="AQ627" s="49"/>
      <c r="AR627" s="49"/>
      <c r="AS627" s="49"/>
      <c r="AT627" s="49"/>
      <c r="AU627" s="49"/>
      <c r="AV627" s="49"/>
      <c r="AW627" s="49"/>
      <c r="AX627" s="49"/>
    </row>
    <row r="628">
      <c r="A628" s="49"/>
      <c r="B628" s="49"/>
      <c r="C628" s="50"/>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c r="AF628" s="49"/>
      <c r="AG628" s="49"/>
      <c r="AH628" s="49"/>
      <c r="AI628" s="49"/>
      <c r="AJ628" s="49"/>
      <c r="AK628" s="49"/>
      <c r="AL628" s="49"/>
      <c r="AM628" s="49"/>
      <c r="AN628" s="49"/>
      <c r="AO628" s="49"/>
      <c r="AP628" s="49"/>
      <c r="AQ628" s="49"/>
      <c r="AR628" s="49"/>
      <c r="AS628" s="49"/>
      <c r="AT628" s="49"/>
      <c r="AU628" s="49"/>
      <c r="AV628" s="49"/>
      <c r="AW628" s="49"/>
      <c r="AX628" s="49"/>
    </row>
    <row r="629">
      <c r="A629" s="49"/>
      <c r="B629" s="49"/>
      <c r="C629" s="50"/>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c r="AF629" s="49"/>
      <c r="AG629" s="49"/>
      <c r="AH629" s="49"/>
      <c r="AI629" s="49"/>
      <c r="AJ629" s="49"/>
      <c r="AK629" s="49"/>
      <c r="AL629" s="49"/>
      <c r="AM629" s="49"/>
      <c r="AN629" s="49"/>
      <c r="AO629" s="49"/>
      <c r="AP629" s="49"/>
      <c r="AQ629" s="49"/>
      <c r="AR629" s="49"/>
      <c r="AS629" s="49"/>
      <c r="AT629" s="49"/>
      <c r="AU629" s="49"/>
      <c r="AV629" s="49"/>
      <c r="AW629" s="49"/>
      <c r="AX629" s="49"/>
    </row>
    <row r="630">
      <c r="A630" s="49"/>
      <c r="B630" s="49"/>
      <c r="C630" s="50"/>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c r="AF630" s="49"/>
      <c r="AG630" s="49"/>
      <c r="AH630" s="49"/>
      <c r="AI630" s="49"/>
      <c r="AJ630" s="49"/>
      <c r="AK630" s="49"/>
      <c r="AL630" s="49"/>
      <c r="AM630" s="49"/>
      <c r="AN630" s="49"/>
      <c r="AO630" s="49"/>
      <c r="AP630" s="49"/>
      <c r="AQ630" s="49"/>
      <c r="AR630" s="49"/>
      <c r="AS630" s="49"/>
      <c r="AT630" s="49"/>
      <c r="AU630" s="49"/>
      <c r="AV630" s="49"/>
      <c r="AW630" s="49"/>
      <c r="AX630" s="49"/>
    </row>
    <row r="631">
      <c r="A631" s="49"/>
      <c r="B631" s="49"/>
      <c r="C631" s="50"/>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c r="AF631" s="49"/>
      <c r="AG631" s="49"/>
      <c r="AH631" s="49"/>
      <c r="AI631" s="49"/>
      <c r="AJ631" s="49"/>
      <c r="AK631" s="49"/>
      <c r="AL631" s="49"/>
      <c r="AM631" s="49"/>
      <c r="AN631" s="49"/>
      <c r="AO631" s="49"/>
      <c r="AP631" s="49"/>
      <c r="AQ631" s="49"/>
      <c r="AR631" s="49"/>
      <c r="AS631" s="49"/>
      <c r="AT631" s="49"/>
      <c r="AU631" s="49"/>
      <c r="AV631" s="49"/>
      <c r="AW631" s="49"/>
      <c r="AX631" s="49"/>
    </row>
    <row r="632">
      <c r="A632" s="49"/>
      <c r="B632" s="49"/>
      <c r="C632" s="50"/>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c r="AF632" s="49"/>
      <c r="AG632" s="49"/>
      <c r="AH632" s="49"/>
      <c r="AI632" s="49"/>
      <c r="AJ632" s="49"/>
      <c r="AK632" s="49"/>
      <c r="AL632" s="49"/>
      <c r="AM632" s="49"/>
      <c r="AN632" s="49"/>
      <c r="AO632" s="49"/>
      <c r="AP632" s="49"/>
      <c r="AQ632" s="49"/>
      <c r="AR632" s="49"/>
      <c r="AS632" s="49"/>
      <c r="AT632" s="49"/>
      <c r="AU632" s="49"/>
      <c r="AV632" s="49"/>
      <c r="AW632" s="49"/>
      <c r="AX632" s="49"/>
    </row>
    <row r="633">
      <c r="A633" s="49"/>
      <c r="B633" s="49"/>
      <c r="C633" s="50"/>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c r="AF633" s="49"/>
      <c r="AG633" s="49"/>
      <c r="AH633" s="49"/>
      <c r="AI633" s="49"/>
      <c r="AJ633" s="49"/>
      <c r="AK633" s="49"/>
      <c r="AL633" s="49"/>
      <c r="AM633" s="49"/>
      <c r="AN633" s="49"/>
      <c r="AO633" s="49"/>
      <c r="AP633" s="49"/>
      <c r="AQ633" s="49"/>
      <c r="AR633" s="49"/>
      <c r="AS633" s="49"/>
      <c r="AT633" s="49"/>
      <c r="AU633" s="49"/>
      <c r="AV633" s="49"/>
      <c r="AW633" s="49"/>
      <c r="AX633" s="49"/>
    </row>
    <row r="634">
      <c r="A634" s="49"/>
      <c r="B634" s="49"/>
      <c r="C634" s="50"/>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c r="AF634" s="49"/>
      <c r="AG634" s="49"/>
      <c r="AH634" s="49"/>
      <c r="AI634" s="49"/>
      <c r="AJ634" s="49"/>
      <c r="AK634" s="49"/>
      <c r="AL634" s="49"/>
      <c r="AM634" s="49"/>
      <c r="AN634" s="49"/>
      <c r="AO634" s="49"/>
      <c r="AP634" s="49"/>
      <c r="AQ634" s="49"/>
      <c r="AR634" s="49"/>
      <c r="AS634" s="49"/>
      <c r="AT634" s="49"/>
      <c r="AU634" s="49"/>
      <c r="AV634" s="49"/>
      <c r="AW634" s="49"/>
      <c r="AX634" s="49"/>
    </row>
    <row r="635">
      <c r="A635" s="49"/>
      <c r="B635" s="49"/>
      <c r="C635" s="50"/>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c r="AF635" s="49"/>
      <c r="AG635" s="49"/>
      <c r="AH635" s="49"/>
      <c r="AI635" s="49"/>
      <c r="AJ635" s="49"/>
      <c r="AK635" s="49"/>
      <c r="AL635" s="49"/>
      <c r="AM635" s="49"/>
      <c r="AN635" s="49"/>
      <c r="AO635" s="49"/>
      <c r="AP635" s="49"/>
      <c r="AQ635" s="49"/>
      <c r="AR635" s="49"/>
      <c r="AS635" s="49"/>
      <c r="AT635" s="49"/>
      <c r="AU635" s="49"/>
      <c r="AV635" s="49"/>
      <c r="AW635" s="49"/>
      <c r="AX635" s="49"/>
    </row>
    <row r="636">
      <c r="A636" s="49"/>
      <c r="B636" s="49"/>
      <c r="C636" s="50"/>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c r="AF636" s="49"/>
      <c r="AG636" s="49"/>
      <c r="AH636" s="49"/>
      <c r="AI636" s="49"/>
      <c r="AJ636" s="49"/>
      <c r="AK636" s="49"/>
      <c r="AL636" s="49"/>
      <c r="AM636" s="49"/>
      <c r="AN636" s="49"/>
      <c r="AO636" s="49"/>
      <c r="AP636" s="49"/>
      <c r="AQ636" s="49"/>
      <c r="AR636" s="49"/>
      <c r="AS636" s="49"/>
      <c r="AT636" s="49"/>
      <c r="AU636" s="49"/>
      <c r="AV636" s="49"/>
      <c r="AW636" s="49"/>
      <c r="AX636" s="49"/>
    </row>
    <row r="637">
      <c r="A637" s="49"/>
      <c r="B637" s="49"/>
      <c r="C637" s="50"/>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c r="AF637" s="49"/>
      <c r="AG637" s="49"/>
      <c r="AH637" s="49"/>
      <c r="AI637" s="49"/>
      <c r="AJ637" s="49"/>
      <c r="AK637" s="49"/>
      <c r="AL637" s="49"/>
      <c r="AM637" s="49"/>
      <c r="AN637" s="49"/>
      <c r="AO637" s="49"/>
      <c r="AP637" s="49"/>
      <c r="AQ637" s="49"/>
      <c r="AR637" s="49"/>
      <c r="AS637" s="49"/>
      <c r="AT637" s="49"/>
      <c r="AU637" s="49"/>
      <c r="AV637" s="49"/>
      <c r="AW637" s="49"/>
      <c r="AX637" s="49"/>
    </row>
    <row r="638">
      <c r="A638" s="49"/>
      <c r="B638" s="49"/>
      <c r="C638" s="50"/>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c r="AF638" s="49"/>
      <c r="AG638" s="49"/>
      <c r="AH638" s="49"/>
      <c r="AI638" s="49"/>
      <c r="AJ638" s="49"/>
      <c r="AK638" s="49"/>
      <c r="AL638" s="49"/>
      <c r="AM638" s="49"/>
      <c r="AN638" s="49"/>
      <c r="AO638" s="49"/>
      <c r="AP638" s="49"/>
      <c r="AQ638" s="49"/>
      <c r="AR638" s="49"/>
      <c r="AS638" s="49"/>
      <c r="AT638" s="49"/>
      <c r="AU638" s="49"/>
      <c r="AV638" s="49"/>
      <c r="AW638" s="49"/>
      <c r="AX638" s="49"/>
    </row>
    <row r="639">
      <c r="A639" s="49"/>
      <c r="B639" s="49"/>
      <c r="C639" s="50"/>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c r="AF639" s="49"/>
      <c r="AG639" s="49"/>
      <c r="AH639" s="49"/>
      <c r="AI639" s="49"/>
      <c r="AJ639" s="49"/>
      <c r="AK639" s="49"/>
      <c r="AL639" s="49"/>
      <c r="AM639" s="49"/>
      <c r="AN639" s="49"/>
      <c r="AO639" s="49"/>
      <c r="AP639" s="49"/>
      <c r="AQ639" s="49"/>
      <c r="AR639" s="49"/>
      <c r="AS639" s="49"/>
      <c r="AT639" s="49"/>
      <c r="AU639" s="49"/>
      <c r="AV639" s="49"/>
      <c r="AW639" s="49"/>
      <c r="AX639" s="49"/>
    </row>
    <row r="640">
      <c r="A640" s="49"/>
      <c r="B640" s="49"/>
      <c r="C640" s="50"/>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c r="AF640" s="49"/>
      <c r="AG640" s="49"/>
      <c r="AH640" s="49"/>
      <c r="AI640" s="49"/>
      <c r="AJ640" s="49"/>
      <c r="AK640" s="49"/>
      <c r="AL640" s="49"/>
      <c r="AM640" s="49"/>
      <c r="AN640" s="49"/>
      <c r="AO640" s="49"/>
      <c r="AP640" s="49"/>
      <c r="AQ640" s="49"/>
      <c r="AR640" s="49"/>
      <c r="AS640" s="49"/>
      <c r="AT640" s="49"/>
      <c r="AU640" s="49"/>
      <c r="AV640" s="49"/>
      <c r="AW640" s="49"/>
      <c r="AX640" s="49"/>
    </row>
    <row r="641">
      <c r="A641" s="49"/>
      <c r="B641" s="49"/>
      <c r="C641" s="50"/>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c r="AF641" s="49"/>
      <c r="AG641" s="49"/>
      <c r="AH641" s="49"/>
      <c r="AI641" s="49"/>
      <c r="AJ641" s="49"/>
      <c r="AK641" s="49"/>
      <c r="AL641" s="49"/>
      <c r="AM641" s="49"/>
      <c r="AN641" s="49"/>
      <c r="AO641" s="49"/>
      <c r="AP641" s="49"/>
      <c r="AQ641" s="49"/>
      <c r="AR641" s="49"/>
      <c r="AS641" s="49"/>
      <c r="AT641" s="49"/>
      <c r="AU641" s="49"/>
      <c r="AV641" s="49"/>
      <c r="AW641" s="49"/>
      <c r="AX641" s="49"/>
    </row>
    <row r="642">
      <c r="A642" s="49"/>
      <c r="B642" s="49"/>
      <c r="C642" s="50"/>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c r="AF642" s="49"/>
      <c r="AG642" s="49"/>
      <c r="AH642" s="49"/>
      <c r="AI642" s="49"/>
      <c r="AJ642" s="49"/>
      <c r="AK642" s="49"/>
      <c r="AL642" s="49"/>
      <c r="AM642" s="49"/>
      <c r="AN642" s="49"/>
      <c r="AO642" s="49"/>
      <c r="AP642" s="49"/>
      <c r="AQ642" s="49"/>
      <c r="AR642" s="49"/>
      <c r="AS642" s="49"/>
      <c r="AT642" s="49"/>
      <c r="AU642" s="49"/>
      <c r="AV642" s="49"/>
      <c r="AW642" s="49"/>
      <c r="AX642" s="49"/>
    </row>
    <row r="643">
      <c r="A643" s="49"/>
      <c r="B643" s="49"/>
      <c r="C643" s="50"/>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c r="AF643" s="49"/>
      <c r="AG643" s="49"/>
      <c r="AH643" s="49"/>
      <c r="AI643" s="49"/>
      <c r="AJ643" s="49"/>
      <c r="AK643" s="49"/>
      <c r="AL643" s="49"/>
      <c r="AM643" s="49"/>
      <c r="AN643" s="49"/>
      <c r="AO643" s="49"/>
      <c r="AP643" s="49"/>
      <c r="AQ643" s="49"/>
      <c r="AR643" s="49"/>
      <c r="AS643" s="49"/>
      <c r="AT643" s="49"/>
      <c r="AU643" s="49"/>
      <c r="AV643" s="49"/>
      <c r="AW643" s="49"/>
      <c r="AX643" s="49"/>
    </row>
    <row r="644">
      <c r="A644" s="49"/>
      <c r="B644" s="49"/>
      <c r="C644" s="50"/>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c r="AF644" s="49"/>
      <c r="AG644" s="49"/>
      <c r="AH644" s="49"/>
      <c r="AI644" s="49"/>
      <c r="AJ644" s="49"/>
      <c r="AK644" s="49"/>
      <c r="AL644" s="49"/>
      <c r="AM644" s="49"/>
      <c r="AN644" s="49"/>
      <c r="AO644" s="49"/>
      <c r="AP644" s="49"/>
      <c r="AQ644" s="49"/>
      <c r="AR644" s="49"/>
      <c r="AS644" s="49"/>
      <c r="AT644" s="49"/>
      <c r="AU644" s="49"/>
      <c r="AV644" s="49"/>
      <c r="AW644" s="49"/>
      <c r="AX644" s="49"/>
    </row>
    <row r="645">
      <c r="A645" s="49"/>
      <c r="B645" s="49"/>
      <c r="C645" s="50"/>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c r="AF645" s="49"/>
      <c r="AG645" s="49"/>
      <c r="AH645" s="49"/>
      <c r="AI645" s="49"/>
      <c r="AJ645" s="49"/>
      <c r="AK645" s="49"/>
      <c r="AL645" s="49"/>
      <c r="AM645" s="49"/>
      <c r="AN645" s="49"/>
      <c r="AO645" s="49"/>
      <c r="AP645" s="49"/>
      <c r="AQ645" s="49"/>
      <c r="AR645" s="49"/>
      <c r="AS645" s="49"/>
      <c r="AT645" s="49"/>
      <c r="AU645" s="49"/>
      <c r="AV645" s="49"/>
      <c r="AW645" s="49"/>
      <c r="AX645" s="49"/>
    </row>
    <row r="646">
      <c r="A646" s="49"/>
      <c r="B646" s="49"/>
      <c r="C646" s="50"/>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c r="AF646" s="49"/>
      <c r="AG646" s="49"/>
      <c r="AH646" s="49"/>
      <c r="AI646" s="49"/>
      <c r="AJ646" s="49"/>
      <c r="AK646" s="49"/>
      <c r="AL646" s="49"/>
      <c r="AM646" s="49"/>
      <c r="AN646" s="49"/>
      <c r="AO646" s="49"/>
      <c r="AP646" s="49"/>
      <c r="AQ646" s="49"/>
      <c r="AR646" s="49"/>
      <c r="AS646" s="49"/>
      <c r="AT646" s="49"/>
      <c r="AU646" s="49"/>
      <c r="AV646" s="49"/>
      <c r="AW646" s="49"/>
      <c r="AX646" s="49"/>
    </row>
    <row r="647">
      <c r="A647" s="49"/>
      <c r="B647" s="49"/>
      <c r="C647" s="50"/>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c r="AF647" s="49"/>
      <c r="AG647" s="49"/>
      <c r="AH647" s="49"/>
      <c r="AI647" s="49"/>
      <c r="AJ647" s="49"/>
      <c r="AK647" s="49"/>
      <c r="AL647" s="49"/>
      <c r="AM647" s="49"/>
      <c r="AN647" s="49"/>
      <c r="AO647" s="49"/>
      <c r="AP647" s="49"/>
      <c r="AQ647" s="49"/>
      <c r="AR647" s="49"/>
      <c r="AS647" s="49"/>
      <c r="AT647" s="49"/>
      <c r="AU647" s="49"/>
      <c r="AV647" s="49"/>
      <c r="AW647" s="49"/>
      <c r="AX647" s="49"/>
    </row>
    <row r="648">
      <c r="A648" s="49"/>
      <c r="B648" s="49"/>
      <c r="C648" s="50"/>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c r="AF648" s="49"/>
      <c r="AG648" s="49"/>
      <c r="AH648" s="49"/>
      <c r="AI648" s="49"/>
      <c r="AJ648" s="49"/>
      <c r="AK648" s="49"/>
      <c r="AL648" s="49"/>
      <c r="AM648" s="49"/>
      <c r="AN648" s="49"/>
      <c r="AO648" s="49"/>
      <c r="AP648" s="49"/>
      <c r="AQ648" s="49"/>
      <c r="AR648" s="49"/>
      <c r="AS648" s="49"/>
      <c r="AT648" s="49"/>
      <c r="AU648" s="49"/>
      <c r="AV648" s="49"/>
      <c r="AW648" s="49"/>
      <c r="AX648" s="49"/>
    </row>
    <row r="649">
      <c r="A649" s="49"/>
      <c r="B649" s="49"/>
      <c r="C649" s="50"/>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c r="AF649" s="49"/>
      <c r="AG649" s="49"/>
      <c r="AH649" s="49"/>
      <c r="AI649" s="49"/>
      <c r="AJ649" s="49"/>
      <c r="AK649" s="49"/>
      <c r="AL649" s="49"/>
      <c r="AM649" s="49"/>
      <c r="AN649" s="49"/>
      <c r="AO649" s="49"/>
      <c r="AP649" s="49"/>
      <c r="AQ649" s="49"/>
      <c r="AR649" s="49"/>
      <c r="AS649" s="49"/>
      <c r="AT649" s="49"/>
      <c r="AU649" s="49"/>
      <c r="AV649" s="49"/>
      <c r="AW649" s="49"/>
      <c r="AX649" s="49"/>
    </row>
    <row r="650">
      <c r="A650" s="49"/>
      <c r="B650" s="49"/>
      <c r="C650" s="50"/>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c r="AF650" s="49"/>
      <c r="AG650" s="49"/>
      <c r="AH650" s="49"/>
      <c r="AI650" s="49"/>
      <c r="AJ650" s="49"/>
      <c r="AK650" s="49"/>
      <c r="AL650" s="49"/>
      <c r="AM650" s="49"/>
      <c r="AN650" s="49"/>
      <c r="AO650" s="49"/>
      <c r="AP650" s="49"/>
      <c r="AQ650" s="49"/>
      <c r="AR650" s="49"/>
      <c r="AS650" s="49"/>
      <c r="AT650" s="49"/>
      <c r="AU650" s="49"/>
      <c r="AV650" s="49"/>
      <c r="AW650" s="49"/>
      <c r="AX650" s="49"/>
    </row>
    <row r="651">
      <c r="A651" s="49"/>
      <c r="B651" s="49"/>
      <c r="C651" s="50"/>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c r="AF651" s="49"/>
      <c r="AG651" s="49"/>
      <c r="AH651" s="49"/>
      <c r="AI651" s="49"/>
      <c r="AJ651" s="49"/>
      <c r="AK651" s="49"/>
      <c r="AL651" s="49"/>
      <c r="AM651" s="49"/>
      <c r="AN651" s="49"/>
      <c r="AO651" s="49"/>
      <c r="AP651" s="49"/>
      <c r="AQ651" s="49"/>
      <c r="AR651" s="49"/>
      <c r="AS651" s="49"/>
      <c r="AT651" s="49"/>
      <c r="AU651" s="49"/>
      <c r="AV651" s="49"/>
      <c r="AW651" s="49"/>
      <c r="AX651" s="49"/>
    </row>
    <row r="652">
      <c r="A652" s="49"/>
      <c r="B652" s="49"/>
      <c r="C652" s="50"/>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c r="AF652" s="49"/>
      <c r="AG652" s="49"/>
      <c r="AH652" s="49"/>
      <c r="AI652" s="49"/>
      <c r="AJ652" s="49"/>
      <c r="AK652" s="49"/>
      <c r="AL652" s="49"/>
      <c r="AM652" s="49"/>
      <c r="AN652" s="49"/>
      <c r="AO652" s="49"/>
      <c r="AP652" s="49"/>
      <c r="AQ652" s="49"/>
      <c r="AR652" s="49"/>
      <c r="AS652" s="49"/>
      <c r="AT652" s="49"/>
      <c r="AU652" s="49"/>
      <c r="AV652" s="49"/>
      <c r="AW652" s="49"/>
      <c r="AX652" s="49"/>
    </row>
    <row r="653">
      <c r="A653" s="49"/>
      <c r="B653" s="49"/>
      <c r="C653" s="50"/>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c r="AF653" s="49"/>
      <c r="AG653" s="49"/>
      <c r="AH653" s="49"/>
      <c r="AI653" s="49"/>
      <c r="AJ653" s="49"/>
      <c r="AK653" s="49"/>
      <c r="AL653" s="49"/>
      <c r="AM653" s="49"/>
      <c r="AN653" s="49"/>
      <c r="AO653" s="49"/>
      <c r="AP653" s="49"/>
      <c r="AQ653" s="49"/>
      <c r="AR653" s="49"/>
      <c r="AS653" s="49"/>
      <c r="AT653" s="49"/>
      <c r="AU653" s="49"/>
      <c r="AV653" s="49"/>
      <c r="AW653" s="49"/>
      <c r="AX653" s="49"/>
    </row>
    <row r="654">
      <c r="A654" s="49"/>
      <c r="B654" s="49"/>
      <c r="C654" s="50"/>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c r="AF654" s="49"/>
      <c r="AG654" s="49"/>
      <c r="AH654" s="49"/>
      <c r="AI654" s="49"/>
      <c r="AJ654" s="49"/>
      <c r="AK654" s="49"/>
      <c r="AL654" s="49"/>
      <c r="AM654" s="49"/>
      <c r="AN654" s="49"/>
      <c r="AO654" s="49"/>
      <c r="AP654" s="49"/>
      <c r="AQ654" s="49"/>
      <c r="AR654" s="49"/>
      <c r="AS654" s="49"/>
      <c r="AT654" s="49"/>
      <c r="AU654" s="49"/>
      <c r="AV654" s="49"/>
      <c r="AW654" s="49"/>
      <c r="AX654" s="49"/>
    </row>
    <row r="655">
      <c r="A655" s="49"/>
      <c r="B655" s="49"/>
      <c r="C655" s="50"/>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c r="AF655" s="49"/>
      <c r="AG655" s="49"/>
      <c r="AH655" s="49"/>
      <c r="AI655" s="49"/>
      <c r="AJ655" s="49"/>
      <c r="AK655" s="49"/>
      <c r="AL655" s="49"/>
      <c r="AM655" s="49"/>
      <c r="AN655" s="49"/>
      <c r="AO655" s="49"/>
      <c r="AP655" s="49"/>
      <c r="AQ655" s="49"/>
      <c r="AR655" s="49"/>
      <c r="AS655" s="49"/>
      <c r="AT655" s="49"/>
      <c r="AU655" s="49"/>
      <c r="AV655" s="49"/>
      <c r="AW655" s="49"/>
      <c r="AX655" s="49"/>
    </row>
    <row r="656">
      <c r="A656" s="49"/>
      <c r="B656" s="49"/>
      <c r="C656" s="50"/>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c r="AF656" s="49"/>
      <c r="AG656" s="49"/>
      <c r="AH656" s="49"/>
      <c r="AI656" s="49"/>
      <c r="AJ656" s="49"/>
      <c r="AK656" s="49"/>
      <c r="AL656" s="49"/>
      <c r="AM656" s="49"/>
      <c r="AN656" s="49"/>
      <c r="AO656" s="49"/>
      <c r="AP656" s="49"/>
      <c r="AQ656" s="49"/>
      <c r="AR656" s="49"/>
      <c r="AS656" s="49"/>
      <c r="AT656" s="49"/>
      <c r="AU656" s="49"/>
      <c r="AV656" s="49"/>
      <c r="AW656" s="49"/>
      <c r="AX656" s="49"/>
    </row>
    <row r="657">
      <c r="A657" s="49"/>
      <c r="B657" s="49"/>
      <c r="C657" s="50"/>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c r="AF657" s="49"/>
      <c r="AG657" s="49"/>
      <c r="AH657" s="49"/>
      <c r="AI657" s="49"/>
      <c r="AJ657" s="49"/>
      <c r="AK657" s="49"/>
      <c r="AL657" s="49"/>
      <c r="AM657" s="49"/>
      <c r="AN657" s="49"/>
      <c r="AO657" s="49"/>
      <c r="AP657" s="49"/>
      <c r="AQ657" s="49"/>
      <c r="AR657" s="49"/>
      <c r="AS657" s="49"/>
      <c r="AT657" s="49"/>
      <c r="AU657" s="49"/>
      <c r="AV657" s="49"/>
      <c r="AW657" s="49"/>
      <c r="AX657" s="49"/>
    </row>
    <row r="658">
      <c r="A658" s="49"/>
      <c r="B658" s="49"/>
      <c r="C658" s="50"/>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c r="AF658" s="49"/>
      <c r="AG658" s="49"/>
      <c r="AH658" s="49"/>
      <c r="AI658" s="49"/>
      <c r="AJ658" s="49"/>
      <c r="AK658" s="49"/>
      <c r="AL658" s="49"/>
      <c r="AM658" s="49"/>
      <c r="AN658" s="49"/>
      <c r="AO658" s="49"/>
      <c r="AP658" s="49"/>
      <c r="AQ658" s="49"/>
      <c r="AR658" s="49"/>
      <c r="AS658" s="49"/>
      <c r="AT658" s="49"/>
      <c r="AU658" s="49"/>
      <c r="AV658" s="49"/>
      <c r="AW658" s="49"/>
      <c r="AX658" s="49"/>
    </row>
    <row r="659">
      <c r="A659" s="49"/>
      <c r="B659" s="49"/>
      <c r="C659" s="50"/>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c r="AF659" s="49"/>
      <c r="AG659" s="49"/>
      <c r="AH659" s="49"/>
      <c r="AI659" s="49"/>
      <c r="AJ659" s="49"/>
      <c r="AK659" s="49"/>
      <c r="AL659" s="49"/>
      <c r="AM659" s="49"/>
      <c r="AN659" s="49"/>
      <c r="AO659" s="49"/>
      <c r="AP659" s="49"/>
      <c r="AQ659" s="49"/>
      <c r="AR659" s="49"/>
      <c r="AS659" s="49"/>
      <c r="AT659" s="49"/>
      <c r="AU659" s="49"/>
      <c r="AV659" s="49"/>
      <c r="AW659" s="49"/>
      <c r="AX659" s="49"/>
    </row>
    <row r="660">
      <c r="A660" s="49"/>
      <c r="B660" s="49"/>
      <c r="C660" s="50"/>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c r="AF660" s="49"/>
      <c r="AG660" s="49"/>
      <c r="AH660" s="49"/>
      <c r="AI660" s="49"/>
      <c r="AJ660" s="49"/>
      <c r="AK660" s="49"/>
      <c r="AL660" s="49"/>
      <c r="AM660" s="49"/>
      <c r="AN660" s="49"/>
      <c r="AO660" s="49"/>
      <c r="AP660" s="49"/>
      <c r="AQ660" s="49"/>
      <c r="AR660" s="49"/>
      <c r="AS660" s="49"/>
      <c r="AT660" s="49"/>
      <c r="AU660" s="49"/>
      <c r="AV660" s="49"/>
      <c r="AW660" s="49"/>
      <c r="AX660" s="49"/>
    </row>
    <row r="661">
      <c r="A661" s="49"/>
      <c r="B661" s="49"/>
      <c r="C661" s="50"/>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c r="AF661" s="49"/>
      <c r="AG661" s="49"/>
      <c r="AH661" s="49"/>
      <c r="AI661" s="49"/>
      <c r="AJ661" s="49"/>
      <c r="AK661" s="49"/>
      <c r="AL661" s="49"/>
      <c r="AM661" s="49"/>
      <c r="AN661" s="49"/>
      <c r="AO661" s="49"/>
      <c r="AP661" s="49"/>
      <c r="AQ661" s="49"/>
      <c r="AR661" s="49"/>
      <c r="AS661" s="49"/>
      <c r="AT661" s="49"/>
      <c r="AU661" s="49"/>
      <c r="AV661" s="49"/>
      <c r="AW661" s="49"/>
      <c r="AX661" s="49"/>
    </row>
    <row r="662">
      <c r="A662" s="49"/>
      <c r="B662" s="49"/>
      <c r="C662" s="50"/>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c r="AF662" s="49"/>
      <c r="AG662" s="49"/>
      <c r="AH662" s="49"/>
      <c r="AI662" s="49"/>
      <c r="AJ662" s="49"/>
      <c r="AK662" s="49"/>
      <c r="AL662" s="49"/>
      <c r="AM662" s="49"/>
      <c r="AN662" s="49"/>
      <c r="AO662" s="49"/>
      <c r="AP662" s="49"/>
      <c r="AQ662" s="49"/>
      <c r="AR662" s="49"/>
      <c r="AS662" s="49"/>
      <c r="AT662" s="49"/>
      <c r="AU662" s="49"/>
      <c r="AV662" s="49"/>
      <c r="AW662" s="49"/>
      <c r="AX662" s="49"/>
    </row>
    <row r="663">
      <c r="A663" s="49"/>
      <c r="B663" s="49"/>
      <c r="C663" s="50"/>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c r="AF663" s="49"/>
      <c r="AG663" s="49"/>
      <c r="AH663" s="49"/>
      <c r="AI663" s="49"/>
      <c r="AJ663" s="49"/>
      <c r="AK663" s="49"/>
      <c r="AL663" s="49"/>
      <c r="AM663" s="49"/>
      <c r="AN663" s="49"/>
      <c r="AO663" s="49"/>
      <c r="AP663" s="49"/>
      <c r="AQ663" s="49"/>
      <c r="AR663" s="49"/>
      <c r="AS663" s="49"/>
      <c r="AT663" s="49"/>
      <c r="AU663" s="49"/>
      <c r="AV663" s="49"/>
      <c r="AW663" s="49"/>
      <c r="AX663" s="49"/>
    </row>
    <row r="664">
      <c r="A664" s="49"/>
      <c r="B664" s="49"/>
      <c r="C664" s="50"/>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c r="AF664" s="49"/>
      <c r="AG664" s="49"/>
      <c r="AH664" s="49"/>
      <c r="AI664" s="49"/>
      <c r="AJ664" s="49"/>
      <c r="AK664" s="49"/>
      <c r="AL664" s="49"/>
      <c r="AM664" s="49"/>
      <c r="AN664" s="49"/>
      <c r="AO664" s="49"/>
      <c r="AP664" s="49"/>
      <c r="AQ664" s="49"/>
      <c r="AR664" s="49"/>
      <c r="AS664" s="49"/>
      <c r="AT664" s="49"/>
      <c r="AU664" s="49"/>
      <c r="AV664" s="49"/>
      <c r="AW664" s="49"/>
      <c r="AX664" s="49"/>
    </row>
    <row r="665">
      <c r="A665" s="49"/>
      <c r="B665" s="49"/>
      <c r="C665" s="50"/>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c r="AF665" s="49"/>
      <c r="AG665" s="49"/>
      <c r="AH665" s="49"/>
      <c r="AI665" s="49"/>
      <c r="AJ665" s="49"/>
      <c r="AK665" s="49"/>
      <c r="AL665" s="49"/>
      <c r="AM665" s="49"/>
      <c r="AN665" s="49"/>
      <c r="AO665" s="49"/>
      <c r="AP665" s="49"/>
      <c r="AQ665" s="49"/>
      <c r="AR665" s="49"/>
      <c r="AS665" s="49"/>
      <c r="AT665" s="49"/>
      <c r="AU665" s="49"/>
      <c r="AV665" s="49"/>
      <c r="AW665" s="49"/>
      <c r="AX665" s="49"/>
    </row>
    <row r="666">
      <c r="A666" s="49"/>
      <c r="B666" s="49"/>
      <c r="C666" s="50"/>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c r="AF666" s="49"/>
      <c r="AG666" s="49"/>
      <c r="AH666" s="49"/>
      <c r="AI666" s="49"/>
      <c r="AJ666" s="49"/>
      <c r="AK666" s="49"/>
      <c r="AL666" s="49"/>
      <c r="AM666" s="49"/>
      <c r="AN666" s="49"/>
      <c r="AO666" s="49"/>
      <c r="AP666" s="49"/>
      <c r="AQ666" s="49"/>
      <c r="AR666" s="49"/>
      <c r="AS666" s="49"/>
      <c r="AT666" s="49"/>
      <c r="AU666" s="49"/>
      <c r="AV666" s="49"/>
      <c r="AW666" s="49"/>
      <c r="AX666" s="49"/>
    </row>
    <row r="667">
      <c r="A667" s="49"/>
      <c r="B667" s="49"/>
      <c r="C667" s="50"/>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c r="AF667" s="49"/>
      <c r="AG667" s="49"/>
      <c r="AH667" s="49"/>
      <c r="AI667" s="49"/>
      <c r="AJ667" s="49"/>
      <c r="AK667" s="49"/>
      <c r="AL667" s="49"/>
      <c r="AM667" s="49"/>
      <c r="AN667" s="49"/>
      <c r="AO667" s="49"/>
      <c r="AP667" s="49"/>
      <c r="AQ667" s="49"/>
      <c r="AR667" s="49"/>
      <c r="AS667" s="49"/>
      <c r="AT667" s="49"/>
      <c r="AU667" s="49"/>
      <c r="AV667" s="49"/>
      <c r="AW667" s="49"/>
      <c r="AX667" s="49"/>
    </row>
    <row r="668">
      <c r="A668" s="49"/>
      <c r="B668" s="49"/>
      <c r="C668" s="50"/>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c r="AF668" s="49"/>
      <c r="AG668" s="49"/>
      <c r="AH668" s="49"/>
      <c r="AI668" s="49"/>
      <c r="AJ668" s="49"/>
      <c r="AK668" s="49"/>
      <c r="AL668" s="49"/>
      <c r="AM668" s="49"/>
      <c r="AN668" s="49"/>
      <c r="AO668" s="49"/>
      <c r="AP668" s="49"/>
      <c r="AQ668" s="49"/>
      <c r="AR668" s="49"/>
      <c r="AS668" s="49"/>
      <c r="AT668" s="49"/>
      <c r="AU668" s="49"/>
      <c r="AV668" s="49"/>
      <c r="AW668" s="49"/>
      <c r="AX668" s="49"/>
    </row>
    <row r="669">
      <c r="A669" s="49"/>
      <c r="B669" s="49"/>
      <c r="C669" s="50"/>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c r="AF669" s="49"/>
      <c r="AG669" s="49"/>
      <c r="AH669" s="49"/>
      <c r="AI669" s="49"/>
      <c r="AJ669" s="49"/>
      <c r="AK669" s="49"/>
      <c r="AL669" s="49"/>
      <c r="AM669" s="49"/>
      <c r="AN669" s="49"/>
      <c r="AO669" s="49"/>
      <c r="AP669" s="49"/>
      <c r="AQ669" s="49"/>
      <c r="AR669" s="49"/>
      <c r="AS669" s="49"/>
      <c r="AT669" s="49"/>
      <c r="AU669" s="49"/>
      <c r="AV669" s="49"/>
      <c r="AW669" s="49"/>
      <c r="AX669" s="49"/>
    </row>
    <row r="670">
      <c r="A670" s="49"/>
      <c r="B670" s="49"/>
      <c r="C670" s="50"/>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c r="AF670" s="49"/>
      <c r="AG670" s="49"/>
      <c r="AH670" s="49"/>
      <c r="AI670" s="49"/>
      <c r="AJ670" s="49"/>
      <c r="AK670" s="49"/>
      <c r="AL670" s="49"/>
      <c r="AM670" s="49"/>
      <c r="AN670" s="49"/>
      <c r="AO670" s="49"/>
      <c r="AP670" s="49"/>
      <c r="AQ670" s="49"/>
      <c r="AR670" s="49"/>
      <c r="AS670" s="49"/>
      <c r="AT670" s="49"/>
      <c r="AU670" s="49"/>
      <c r="AV670" s="49"/>
      <c r="AW670" s="49"/>
      <c r="AX670" s="49"/>
    </row>
    <row r="671">
      <c r="A671" s="49"/>
      <c r="B671" s="49"/>
      <c r="C671" s="50"/>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c r="AF671" s="49"/>
      <c r="AG671" s="49"/>
      <c r="AH671" s="49"/>
      <c r="AI671" s="49"/>
      <c r="AJ671" s="49"/>
      <c r="AK671" s="49"/>
      <c r="AL671" s="49"/>
      <c r="AM671" s="49"/>
      <c r="AN671" s="49"/>
      <c r="AO671" s="49"/>
      <c r="AP671" s="49"/>
      <c r="AQ671" s="49"/>
      <c r="AR671" s="49"/>
      <c r="AS671" s="49"/>
      <c r="AT671" s="49"/>
      <c r="AU671" s="49"/>
      <c r="AV671" s="49"/>
      <c r="AW671" s="49"/>
      <c r="AX671" s="49"/>
    </row>
    <row r="672">
      <c r="A672" s="49"/>
      <c r="B672" s="49"/>
      <c r="C672" s="50"/>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c r="AF672" s="49"/>
      <c r="AG672" s="49"/>
      <c r="AH672" s="49"/>
      <c r="AI672" s="49"/>
      <c r="AJ672" s="49"/>
      <c r="AK672" s="49"/>
      <c r="AL672" s="49"/>
      <c r="AM672" s="49"/>
      <c r="AN672" s="49"/>
      <c r="AO672" s="49"/>
      <c r="AP672" s="49"/>
      <c r="AQ672" s="49"/>
      <c r="AR672" s="49"/>
      <c r="AS672" s="49"/>
      <c r="AT672" s="49"/>
      <c r="AU672" s="49"/>
      <c r="AV672" s="49"/>
      <c r="AW672" s="49"/>
      <c r="AX672" s="49"/>
    </row>
    <row r="673">
      <c r="A673" s="49"/>
      <c r="B673" s="49"/>
      <c r="C673" s="50"/>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c r="AF673" s="49"/>
      <c r="AG673" s="49"/>
      <c r="AH673" s="49"/>
      <c r="AI673" s="49"/>
      <c r="AJ673" s="49"/>
      <c r="AK673" s="49"/>
      <c r="AL673" s="49"/>
      <c r="AM673" s="49"/>
      <c r="AN673" s="49"/>
      <c r="AO673" s="49"/>
      <c r="AP673" s="49"/>
      <c r="AQ673" s="49"/>
      <c r="AR673" s="49"/>
      <c r="AS673" s="49"/>
      <c r="AT673" s="49"/>
      <c r="AU673" s="49"/>
      <c r="AV673" s="49"/>
      <c r="AW673" s="49"/>
      <c r="AX673" s="49"/>
    </row>
    <row r="674">
      <c r="A674" s="49"/>
      <c r="B674" s="49"/>
      <c r="C674" s="50"/>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c r="AF674" s="49"/>
      <c r="AG674" s="49"/>
      <c r="AH674" s="49"/>
      <c r="AI674" s="49"/>
      <c r="AJ674" s="49"/>
      <c r="AK674" s="49"/>
      <c r="AL674" s="49"/>
      <c r="AM674" s="49"/>
      <c r="AN674" s="49"/>
      <c r="AO674" s="49"/>
      <c r="AP674" s="49"/>
      <c r="AQ674" s="49"/>
      <c r="AR674" s="49"/>
      <c r="AS674" s="49"/>
      <c r="AT674" s="49"/>
      <c r="AU674" s="49"/>
      <c r="AV674" s="49"/>
      <c r="AW674" s="49"/>
      <c r="AX674" s="49"/>
    </row>
    <row r="675">
      <c r="A675" s="49"/>
      <c r="B675" s="49"/>
      <c r="C675" s="50"/>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c r="AF675" s="49"/>
      <c r="AG675" s="49"/>
      <c r="AH675" s="49"/>
      <c r="AI675" s="49"/>
      <c r="AJ675" s="49"/>
      <c r="AK675" s="49"/>
      <c r="AL675" s="49"/>
      <c r="AM675" s="49"/>
      <c r="AN675" s="49"/>
      <c r="AO675" s="49"/>
      <c r="AP675" s="49"/>
      <c r="AQ675" s="49"/>
      <c r="AR675" s="49"/>
      <c r="AS675" s="49"/>
      <c r="AT675" s="49"/>
      <c r="AU675" s="49"/>
      <c r="AV675" s="49"/>
      <c r="AW675" s="49"/>
      <c r="AX675" s="49"/>
    </row>
    <row r="676">
      <c r="A676" s="49"/>
      <c r="B676" s="49"/>
      <c r="C676" s="50"/>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c r="AF676" s="49"/>
      <c r="AG676" s="49"/>
      <c r="AH676" s="49"/>
      <c r="AI676" s="49"/>
      <c r="AJ676" s="49"/>
      <c r="AK676" s="49"/>
      <c r="AL676" s="49"/>
      <c r="AM676" s="49"/>
      <c r="AN676" s="49"/>
      <c r="AO676" s="49"/>
      <c r="AP676" s="49"/>
      <c r="AQ676" s="49"/>
      <c r="AR676" s="49"/>
      <c r="AS676" s="49"/>
      <c r="AT676" s="49"/>
      <c r="AU676" s="49"/>
      <c r="AV676" s="49"/>
      <c r="AW676" s="49"/>
      <c r="AX676" s="49"/>
    </row>
    <row r="677">
      <c r="A677" s="49"/>
      <c r="B677" s="49"/>
      <c r="C677" s="50"/>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c r="AF677" s="49"/>
      <c r="AG677" s="49"/>
      <c r="AH677" s="49"/>
      <c r="AI677" s="49"/>
      <c r="AJ677" s="49"/>
      <c r="AK677" s="49"/>
      <c r="AL677" s="49"/>
      <c r="AM677" s="49"/>
      <c r="AN677" s="49"/>
      <c r="AO677" s="49"/>
      <c r="AP677" s="49"/>
      <c r="AQ677" s="49"/>
      <c r="AR677" s="49"/>
      <c r="AS677" s="49"/>
      <c r="AT677" s="49"/>
      <c r="AU677" s="49"/>
      <c r="AV677" s="49"/>
      <c r="AW677" s="49"/>
      <c r="AX677" s="49"/>
    </row>
    <row r="678">
      <c r="A678" s="49"/>
      <c r="B678" s="49"/>
      <c r="C678" s="50"/>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c r="AF678" s="49"/>
      <c r="AG678" s="49"/>
      <c r="AH678" s="49"/>
      <c r="AI678" s="49"/>
      <c r="AJ678" s="49"/>
      <c r="AK678" s="49"/>
      <c r="AL678" s="49"/>
      <c r="AM678" s="49"/>
      <c r="AN678" s="49"/>
      <c r="AO678" s="49"/>
      <c r="AP678" s="49"/>
      <c r="AQ678" s="49"/>
      <c r="AR678" s="49"/>
      <c r="AS678" s="49"/>
      <c r="AT678" s="49"/>
      <c r="AU678" s="49"/>
      <c r="AV678" s="49"/>
      <c r="AW678" s="49"/>
      <c r="AX678" s="49"/>
    </row>
    <row r="679">
      <c r="A679" s="49"/>
      <c r="B679" s="49"/>
      <c r="C679" s="50"/>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c r="AF679" s="49"/>
      <c r="AG679" s="49"/>
      <c r="AH679" s="49"/>
      <c r="AI679" s="49"/>
      <c r="AJ679" s="49"/>
      <c r="AK679" s="49"/>
      <c r="AL679" s="49"/>
      <c r="AM679" s="49"/>
      <c r="AN679" s="49"/>
      <c r="AO679" s="49"/>
      <c r="AP679" s="49"/>
      <c r="AQ679" s="49"/>
      <c r="AR679" s="49"/>
      <c r="AS679" s="49"/>
      <c r="AT679" s="49"/>
      <c r="AU679" s="49"/>
      <c r="AV679" s="49"/>
      <c r="AW679" s="49"/>
      <c r="AX679" s="49"/>
    </row>
    <row r="680">
      <c r="A680" s="49"/>
      <c r="B680" s="49"/>
      <c r="C680" s="50"/>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c r="AF680" s="49"/>
      <c r="AG680" s="49"/>
      <c r="AH680" s="49"/>
      <c r="AI680" s="49"/>
      <c r="AJ680" s="49"/>
      <c r="AK680" s="49"/>
      <c r="AL680" s="49"/>
      <c r="AM680" s="49"/>
      <c r="AN680" s="49"/>
      <c r="AO680" s="49"/>
      <c r="AP680" s="49"/>
      <c r="AQ680" s="49"/>
      <c r="AR680" s="49"/>
      <c r="AS680" s="49"/>
      <c r="AT680" s="49"/>
      <c r="AU680" s="49"/>
      <c r="AV680" s="49"/>
      <c r="AW680" s="49"/>
      <c r="AX680" s="49"/>
    </row>
    <row r="681">
      <c r="A681" s="49"/>
      <c r="B681" s="49"/>
      <c r="C681" s="50"/>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c r="AF681" s="49"/>
      <c r="AG681" s="49"/>
      <c r="AH681" s="49"/>
      <c r="AI681" s="49"/>
      <c r="AJ681" s="49"/>
      <c r="AK681" s="49"/>
      <c r="AL681" s="49"/>
      <c r="AM681" s="49"/>
      <c r="AN681" s="49"/>
      <c r="AO681" s="49"/>
      <c r="AP681" s="49"/>
      <c r="AQ681" s="49"/>
      <c r="AR681" s="49"/>
      <c r="AS681" s="49"/>
      <c r="AT681" s="49"/>
      <c r="AU681" s="49"/>
      <c r="AV681" s="49"/>
      <c r="AW681" s="49"/>
      <c r="AX681" s="49"/>
    </row>
    <row r="682">
      <c r="A682" s="49"/>
      <c r="B682" s="49"/>
      <c r="C682" s="50"/>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c r="AF682" s="49"/>
      <c r="AG682" s="49"/>
      <c r="AH682" s="49"/>
      <c r="AI682" s="49"/>
      <c r="AJ682" s="49"/>
      <c r="AK682" s="49"/>
      <c r="AL682" s="49"/>
      <c r="AM682" s="49"/>
      <c r="AN682" s="49"/>
      <c r="AO682" s="49"/>
      <c r="AP682" s="49"/>
      <c r="AQ682" s="49"/>
      <c r="AR682" s="49"/>
      <c r="AS682" s="49"/>
      <c r="AT682" s="49"/>
      <c r="AU682" s="49"/>
      <c r="AV682" s="49"/>
      <c r="AW682" s="49"/>
      <c r="AX682" s="49"/>
    </row>
    <row r="683">
      <c r="A683" s="49"/>
      <c r="B683" s="49"/>
      <c r="C683" s="50"/>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c r="AF683" s="49"/>
      <c r="AG683" s="49"/>
      <c r="AH683" s="49"/>
      <c r="AI683" s="49"/>
      <c r="AJ683" s="49"/>
      <c r="AK683" s="49"/>
      <c r="AL683" s="49"/>
      <c r="AM683" s="49"/>
      <c r="AN683" s="49"/>
      <c r="AO683" s="49"/>
      <c r="AP683" s="49"/>
      <c r="AQ683" s="49"/>
      <c r="AR683" s="49"/>
      <c r="AS683" s="49"/>
      <c r="AT683" s="49"/>
      <c r="AU683" s="49"/>
      <c r="AV683" s="49"/>
      <c r="AW683" s="49"/>
      <c r="AX683" s="49"/>
    </row>
    <row r="684">
      <c r="A684" s="49"/>
      <c r="B684" s="49"/>
      <c r="C684" s="50"/>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c r="AF684" s="49"/>
      <c r="AG684" s="49"/>
      <c r="AH684" s="49"/>
      <c r="AI684" s="49"/>
      <c r="AJ684" s="49"/>
      <c r="AK684" s="49"/>
      <c r="AL684" s="49"/>
      <c r="AM684" s="49"/>
      <c r="AN684" s="49"/>
      <c r="AO684" s="49"/>
      <c r="AP684" s="49"/>
      <c r="AQ684" s="49"/>
      <c r="AR684" s="49"/>
      <c r="AS684" s="49"/>
      <c r="AT684" s="49"/>
      <c r="AU684" s="49"/>
      <c r="AV684" s="49"/>
      <c r="AW684" s="49"/>
      <c r="AX684" s="49"/>
    </row>
    <row r="685">
      <c r="A685" s="49"/>
      <c r="B685" s="49"/>
      <c r="C685" s="50"/>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c r="AF685" s="49"/>
      <c r="AG685" s="49"/>
      <c r="AH685" s="49"/>
      <c r="AI685" s="49"/>
      <c r="AJ685" s="49"/>
      <c r="AK685" s="49"/>
      <c r="AL685" s="49"/>
      <c r="AM685" s="49"/>
      <c r="AN685" s="49"/>
      <c r="AO685" s="49"/>
      <c r="AP685" s="49"/>
      <c r="AQ685" s="49"/>
      <c r="AR685" s="49"/>
      <c r="AS685" s="49"/>
      <c r="AT685" s="49"/>
      <c r="AU685" s="49"/>
      <c r="AV685" s="49"/>
      <c r="AW685" s="49"/>
      <c r="AX685" s="49"/>
    </row>
    <row r="686">
      <c r="A686" s="49"/>
      <c r="B686" s="49"/>
      <c r="C686" s="50"/>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c r="AF686" s="49"/>
      <c r="AG686" s="49"/>
      <c r="AH686" s="49"/>
      <c r="AI686" s="49"/>
      <c r="AJ686" s="49"/>
      <c r="AK686" s="49"/>
      <c r="AL686" s="49"/>
      <c r="AM686" s="49"/>
      <c r="AN686" s="49"/>
      <c r="AO686" s="49"/>
      <c r="AP686" s="49"/>
      <c r="AQ686" s="49"/>
      <c r="AR686" s="49"/>
      <c r="AS686" s="49"/>
      <c r="AT686" s="49"/>
      <c r="AU686" s="49"/>
      <c r="AV686" s="49"/>
      <c r="AW686" s="49"/>
      <c r="AX686" s="49"/>
    </row>
    <row r="687">
      <c r="A687" s="49"/>
      <c r="B687" s="49"/>
      <c r="C687" s="50"/>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c r="AF687" s="49"/>
      <c r="AG687" s="49"/>
      <c r="AH687" s="49"/>
      <c r="AI687" s="49"/>
      <c r="AJ687" s="49"/>
      <c r="AK687" s="49"/>
      <c r="AL687" s="49"/>
      <c r="AM687" s="49"/>
      <c r="AN687" s="49"/>
      <c r="AO687" s="49"/>
      <c r="AP687" s="49"/>
      <c r="AQ687" s="49"/>
      <c r="AR687" s="49"/>
      <c r="AS687" s="49"/>
      <c r="AT687" s="49"/>
      <c r="AU687" s="49"/>
      <c r="AV687" s="49"/>
      <c r="AW687" s="49"/>
      <c r="AX687" s="49"/>
    </row>
    <row r="688">
      <c r="A688" s="49"/>
      <c r="B688" s="49"/>
      <c r="C688" s="50"/>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c r="AF688" s="49"/>
      <c r="AG688" s="49"/>
      <c r="AH688" s="49"/>
      <c r="AI688" s="49"/>
      <c r="AJ688" s="49"/>
      <c r="AK688" s="49"/>
      <c r="AL688" s="49"/>
      <c r="AM688" s="49"/>
      <c r="AN688" s="49"/>
      <c r="AO688" s="49"/>
      <c r="AP688" s="49"/>
      <c r="AQ688" s="49"/>
      <c r="AR688" s="49"/>
      <c r="AS688" s="49"/>
      <c r="AT688" s="49"/>
      <c r="AU688" s="49"/>
      <c r="AV688" s="49"/>
      <c r="AW688" s="49"/>
      <c r="AX688" s="49"/>
    </row>
    <row r="689">
      <c r="A689" s="49"/>
      <c r="B689" s="49"/>
      <c r="C689" s="50"/>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c r="AF689" s="49"/>
      <c r="AG689" s="49"/>
      <c r="AH689" s="49"/>
      <c r="AI689" s="49"/>
      <c r="AJ689" s="49"/>
      <c r="AK689" s="49"/>
      <c r="AL689" s="49"/>
      <c r="AM689" s="49"/>
      <c r="AN689" s="49"/>
      <c r="AO689" s="49"/>
      <c r="AP689" s="49"/>
      <c r="AQ689" s="49"/>
      <c r="AR689" s="49"/>
      <c r="AS689" s="49"/>
      <c r="AT689" s="49"/>
      <c r="AU689" s="49"/>
      <c r="AV689" s="49"/>
      <c r="AW689" s="49"/>
      <c r="AX689" s="49"/>
    </row>
    <row r="690">
      <c r="A690" s="49"/>
      <c r="B690" s="49"/>
      <c r="C690" s="50"/>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c r="AF690" s="49"/>
      <c r="AG690" s="49"/>
      <c r="AH690" s="49"/>
      <c r="AI690" s="49"/>
      <c r="AJ690" s="49"/>
      <c r="AK690" s="49"/>
      <c r="AL690" s="49"/>
      <c r="AM690" s="49"/>
      <c r="AN690" s="49"/>
      <c r="AO690" s="49"/>
      <c r="AP690" s="49"/>
      <c r="AQ690" s="49"/>
      <c r="AR690" s="49"/>
      <c r="AS690" s="49"/>
      <c r="AT690" s="49"/>
      <c r="AU690" s="49"/>
      <c r="AV690" s="49"/>
      <c r="AW690" s="49"/>
      <c r="AX690" s="49"/>
    </row>
    <row r="691">
      <c r="A691" s="49"/>
      <c r="B691" s="49"/>
      <c r="C691" s="50"/>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c r="AF691" s="49"/>
      <c r="AG691" s="49"/>
      <c r="AH691" s="49"/>
      <c r="AI691" s="49"/>
      <c r="AJ691" s="49"/>
      <c r="AK691" s="49"/>
      <c r="AL691" s="49"/>
      <c r="AM691" s="49"/>
      <c r="AN691" s="49"/>
      <c r="AO691" s="49"/>
      <c r="AP691" s="49"/>
      <c r="AQ691" s="49"/>
      <c r="AR691" s="49"/>
      <c r="AS691" s="49"/>
      <c r="AT691" s="49"/>
      <c r="AU691" s="49"/>
      <c r="AV691" s="49"/>
      <c r="AW691" s="49"/>
      <c r="AX691" s="49"/>
    </row>
    <row r="692">
      <c r="A692" s="49"/>
      <c r="B692" s="49"/>
      <c r="C692" s="50"/>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c r="AF692" s="49"/>
      <c r="AG692" s="49"/>
      <c r="AH692" s="49"/>
      <c r="AI692" s="49"/>
      <c r="AJ692" s="49"/>
      <c r="AK692" s="49"/>
      <c r="AL692" s="49"/>
      <c r="AM692" s="49"/>
      <c r="AN692" s="49"/>
      <c r="AO692" s="49"/>
      <c r="AP692" s="49"/>
      <c r="AQ692" s="49"/>
      <c r="AR692" s="49"/>
      <c r="AS692" s="49"/>
      <c r="AT692" s="49"/>
      <c r="AU692" s="49"/>
      <c r="AV692" s="49"/>
      <c r="AW692" s="49"/>
      <c r="AX692" s="49"/>
    </row>
    <row r="693">
      <c r="A693" s="49"/>
      <c r="B693" s="49"/>
      <c r="C693" s="50"/>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c r="AF693" s="49"/>
      <c r="AG693" s="49"/>
      <c r="AH693" s="49"/>
      <c r="AI693" s="49"/>
      <c r="AJ693" s="49"/>
      <c r="AK693" s="49"/>
      <c r="AL693" s="49"/>
      <c r="AM693" s="49"/>
      <c r="AN693" s="49"/>
      <c r="AO693" s="49"/>
      <c r="AP693" s="49"/>
      <c r="AQ693" s="49"/>
      <c r="AR693" s="49"/>
      <c r="AS693" s="49"/>
      <c r="AT693" s="49"/>
      <c r="AU693" s="49"/>
      <c r="AV693" s="49"/>
      <c r="AW693" s="49"/>
      <c r="AX693" s="49"/>
    </row>
    <row r="694">
      <c r="A694" s="49"/>
      <c r="B694" s="49"/>
      <c r="C694" s="50"/>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c r="AF694" s="49"/>
      <c r="AG694" s="49"/>
      <c r="AH694" s="49"/>
      <c r="AI694" s="49"/>
      <c r="AJ694" s="49"/>
      <c r="AK694" s="49"/>
      <c r="AL694" s="49"/>
      <c r="AM694" s="49"/>
      <c r="AN694" s="49"/>
      <c r="AO694" s="49"/>
      <c r="AP694" s="49"/>
      <c r="AQ694" s="49"/>
      <c r="AR694" s="49"/>
      <c r="AS694" s="49"/>
      <c r="AT694" s="49"/>
      <c r="AU694" s="49"/>
      <c r="AV694" s="49"/>
      <c r="AW694" s="49"/>
      <c r="AX694" s="49"/>
    </row>
    <row r="695">
      <c r="A695" s="49"/>
      <c r="B695" s="49"/>
      <c r="C695" s="50"/>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c r="AF695" s="49"/>
      <c r="AG695" s="49"/>
      <c r="AH695" s="49"/>
      <c r="AI695" s="49"/>
      <c r="AJ695" s="49"/>
      <c r="AK695" s="49"/>
      <c r="AL695" s="49"/>
      <c r="AM695" s="49"/>
      <c r="AN695" s="49"/>
      <c r="AO695" s="49"/>
      <c r="AP695" s="49"/>
      <c r="AQ695" s="49"/>
      <c r="AR695" s="49"/>
      <c r="AS695" s="49"/>
      <c r="AT695" s="49"/>
      <c r="AU695" s="49"/>
      <c r="AV695" s="49"/>
      <c r="AW695" s="49"/>
      <c r="AX695" s="49"/>
    </row>
    <row r="696">
      <c r="A696" s="49"/>
      <c r="B696" s="49"/>
      <c r="C696" s="50"/>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c r="AF696" s="49"/>
      <c r="AG696" s="49"/>
      <c r="AH696" s="49"/>
      <c r="AI696" s="49"/>
      <c r="AJ696" s="49"/>
      <c r="AK696" s="49"/>
      <c r="AL696" s="49"/>
      <c r="AM696" s="49"/>
      <c r="AN696" s="49"/>
      <c r="AO696" s="49"/>
      <c r="AP696" s="49"/>
      <c r="AQ696" s="49"/>
      <c r="AR696" s="49"/>
      <c r="AS696" s="49"/>
      <c r="AT696" s="49"/>
      <c r="AU696" s="49"/>
      <c r="AV696" s="49"/>
      <c r="AW696" s="49"/>
      <c r="AX696" s="49"/>
    </row>
    <row r="697">
      <c r="A697" s="49"/>
      <c r="B697" s="49"/>
      <c r="C697" s="50"/>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c r="AF697" s="49"/>
      <c r="AG697" s="49"/>
      <c r="AH697" s="49"/>
      <c r="AI697" s="49"/>
      <c r="AJ697" s="49"/>
      <c r="AK697" s="49"/>
      <c r="AL697" s="49"/>
      <c r="AM697" s="49"/>
      <c r="AN697" s="49"/>
      <c r="AO697" s="49"/>
      <c r="AP697" s="49"/>
      <c r="AQ697" s="49"/>
      <c r="AR697" s="49"/>
      <c r="AS697" s="49"/>
      <c r="AT697" s="49"/>
      <c r="AU697" s="49"/>
      <c r="AV697" s="49"/>
      <c r="AW697" s="49"/>
      <c r="AX697" s="49"/>
    </row>
    <row r="698">
      <c r="A698" s="49"/>
      <c r="B698" s="49"/>
      <c r="C698" s="50"/>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c r="AF698" s="49"/>
      <c r="AG698" s="49"/>
      <c r="AH698" s="49"/>
      <c r="AI698" s="49"/>
      <c r="AJ698" s="49"/>
      <c r="AK698" s="49"/>
      <c r="AL698" s="49"/>
      <c r="AM698" s="49"/>
      <c r="AN698" s="49"/>
      <c r="AO698" s="49"/>
      <c r="AP698" s="49"/>
      <c r="AQ698" s="49"/>
      <c r="AR698" s="49"/>
      <c r="AS698" s="49"/>
      <c r="AT698" s="49"/>
      <c r="AU698" s="49"/>
      <c r="AV698" s="49"/>
      <c r="AW698" s="49"/>
      <c r="AX698" s="49"/>
    </row>
    <row r="699">
      <c r="A699" s="49"/>
      <c r="B699" s="49"/>
      <c r="C699" s="50"/>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c r="AF699" s="49"/>
      <c r="AG699" s="49"/>
      <c r="AH699" s="49"/>
      <c r="AI699" s="49"/>
      <c r="AJ699" s="49"/>
      <c r="AK699" s="49"/>
      <c r="AL699" s="49"/>
      <c r="AM699" s="49"/>
      <c r="AN699" s="49"/>
      <c r="AO699" s="49"/>
      <c r="AP699" s="49"/>
      <c r="AQ699" s="49"/>
      <c r="AR699" s="49"/>
      <c r="AS699" s="49"/>
      <c r="AT699" s="49"/>
      <c r="AU699" s="49"/>
      <c r="AV699" s="49"/>
      <c r="AW699" s="49"/>
      <c r="AX699" s="49"/>
    </row>
    <row r="700">
      <c r="A700" s="49"/>
      <c r="B700" s="49"/>
      <c r="C700" s="50"/>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c r="AF700" s="49"/>
      <c r="AG700" s="49"/>
      <c r="AH700" s="49"/>
      <c r="AI700" s="49"/>
      <c r="AJ700" s="49"/>
      <c r="AK700" s="49"/>
      <c r="AL700" s="49"/>
      <c r="AM700" s="49"/>
      <c r="AN700" s="49"/>
      <c r="AO700" s="49"/>
      <c r="AP700" s="49"/>
      <c r="AQ700" s="49"/>
      <c r="AR700" s="49"/>
      <c r="AS700" s="49"/>
      <c r="AT700" s="49"/>
      <c r="AU700" s="49"/>
      <c r="AV700" s="49"/>
      <c r="AW700" s="49"/>
      <c r="AX700" s="49"/>
    </row>
    <row r="701">
      <c r="A701" s="49"/>
      <c r="B701" s="49"/>
      <c r="C701" s="50"/>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c r="AF701" s="49"/>
      <c r="AG701" s="49"/>
      <c r="AH701" s="49"/>
      <c r="AI701" s="49"/>
      <c r="AJ701" s="49"/>
      <c r="AK701" s="49"/>
      <c r="AL701" s="49"/>
      <c r="AM701" s="49"/>
      <c r="AN701" s="49"/>
      <c r="AO701" s="49"/>
      <c r="AP701" s="49"/>
      <c r="AQ701" s="49"/>
      <c r="AR701" s="49"/>
      <c r="AS701" s="49"/>
      <c r="AT701" s="49"/>
      <c r="AU701" s="49"/>
      <c r="AV701" s="49"/>
      <c r="AW701" s="49"/>
      <c r="AX701" s="49"/>
    </row>
    <row r="702">
      <c r="A702" s="49"/>
      <c r="B702" s="49"/>
      <c r="C702" s="50"/>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c r="AF702" s="49"/>
      <c r="AG702" s="49"/>
      <c r="AH702" s="49"/>
      <c r="AI702" s="49"/>
      <c r="AJ702" s="49"/>
      <c r="AK702" s="49"/>
      <c r="AL702" s="49"/>
      <c r="AM702" s="49"/>
      <c r="AN702" s="49"/>
      <c r="AO702" s="49"/>
      <c r="AP702" s="49"/>
      <c r="AQ702" s="49"/>
      <c r="AR702" s="49"/>
      <c r="AS702" s="49"/>
      <c r="AT702" s="49"/>
      <c r="AU702" s="49"/>
      <c r="AV702" s="49"/>
      <c r="AW702" s="49"/>
      <c r="AX702" s="49"/>
    </row>
    <row r="703">
      <c r="A703" s="49"/>
      <c r="B703" s="49"/>
      <c r="C703" s="50"/>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c r="AF703" s="49"/>
      <c r="AG703" s="49"/>
      <c r="AH703" s="49"/>
      <c r="AI703" s="49"/>
      <c r="AJ703" s="49"/>
      <c r="AK703" s="49"/>
      <c r="AL703" s="49"/>
      <c r="AM703" s="49"/>
      <c r="AN703" s="49"/>
      <c r="AO703" s="49"/>
      <c r="AP703" s="49"/>
      <c r="AQ703" s="49"/>
      <c r="AR703" s="49"/>
      <c r="AS703" s="49"/>
      <c r="AT703" s="49"/>
      <c r="AU703" s="49"/>
      <c r="AV703" s="49"/>
      <c r="AW703" s="49"/>
      <c r="AX703" s="49"/>
    </row>
    <row r="704">
      <c r="A704" s="49"/>
      <c r="B704" s="49"/>
      <c r="C704" s="50"/>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c r="AF704" s="49"/>
      <c r="AG704" s="49"/>
      <c r="AH704" s="49"/>
      <c r="AI704" s="49"/>
      <c r="AJ704" s="49"/>
      <c r="AK704" s="49"/>
      <c r="AL704" s="49"/>
      <c r="AM704" s="49"/>
      <c r="AN704" s="49"/>
      <c r="AO704" s="49"/>
      <c r="AP704" s="49"/>
      <c r="AQ704" s="49"/>
      <c r="AR704" s="49"/>
      <c r="AS704" s="49"/>
      <c r="AT704" s="49"/>
      <c r="AU704" s="49"/>
      <c r="AV704" s="49"/>
      <c r="AW704" s="49"/>
      <c r="AX704" s="49"/>
    </row>
    <row r="705">
      <c r="A705" s="49"/>
      <c r="B705" s="49"/>
      <c r="C705" s="50"/>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c r="AF705" s="49"/>
      <c r="AG705" s="49"/>
      <c r="AH705" s="49"/>
      <c r="AI705" s="49"/>
      <c r="AJ705" s="49"/>
      <c r="AK705" s="49"/>
      <c r="AL705" s="49"/>
      <c r="AM705" s="49"/>
      <c r="AN705" s="49"/>
      <c r="AO705" s="49"/>
      <c r="AP705" s="49"/>
      <c r="AQ705" s="49"/>
      <c r="AR705" s="49"/>
      <c r="AS705" s="49"/>
      <c r="AT705" s="49"/>
      <c r="AU705" s="49"/>
      <c r="AV705" s="49"/>
      <c r="AW705" s="49"/>
      <c r="AX705" s="49"/>
    </row>
    <row r="706">
      <c r="A706" s="49"/>
      <c r="B706" s="49"/>
      <c r="C706" s="50"/>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c r="AF706" s="49"/>
      <c r="AG706" s="49"/>
      <c r="AH706" s="49"/>
      <c r="AI706" s="49"/>
      <c r="AJ706" s="49"/>
      <c r="AK706" s="49"/>
      <c r="AL706" s="49"/>
      <c r="AM706" s="49"/>
      <c r="AN706" s="49"/>
      <c r="AO706" s="49"/>
      <c r="AP706" s="49"/>
      <c r="AQ706" s="49"/>
      <c r="AR706" s="49"/>
      <c r="AS706" s="49"/>
      <c r="AT706" s="49"/>
      <c r="AU706" s="49"/>
      <c r="AV706" s="49"/>
      <c r="AW706" s="49"/>
      <c r="AX706" s="49"/>
    </row>
    <row r="707">
      <c r="A707" s="49"/>
      <c r="B707" s="49"/>
      <c r="C707" s="50"/>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c r="AF707" s="49"/>
      <c r="AG707" s="49"/>
      <c r="AH707" s="49"/>
      <c r="AI707" s="49"/>
      <c r="AJ707" s="49"/>
      <c r="AK707" s="49"/>
      <c r="AL707" s="49"/>
      <c r="AM707" s="49"/>
      <c r="AN707" s="49"/>
      <c r="AO707" s="49"/>
      <c r="AP707" s="49"/>
      <c r="AQ707" s="49"/>
      <c r="AR707" s="49"/>
      <c r="AS707" s="49"/>
      <c r="AT707" s="49"/>
      <c r="AU707" s="49"/>
      <c r="AV707" s="49"/>
      <c r="AW707" s="49"/>
      <c r="AX707" s="49"/>
    </row>
    <row r="708">
      <c r="A708" s="49"/>
      <c r="B708" s="49"/>
      <c r="C708" s="50"/>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c r="AF708" s="49"/>
      <c r="AG708" s="49"/>
      <c r="AH708" s="49"/>
      <c r="AI708" s="49"/>
      <c r="AJ708" s="49"/>
      <c r="AK708" s="49"/>
      <c r="AL708" s="49"/>
      <c r="AM708" s="49"/>
      <c r="AN708" s="49"/>
      <c r="AO708" s="49"/>
      <c r="AP708" s="49"/>
      <c r="AQ708" s="49"/>
      <c r="AR708" s="49"/>
      <c r="AS708" s="49"/>
      <c r="AT708" s="49"/>
      <c r="AU708" s="49"/>
      <c r="AV708" s="49"/>
      <c r="AW708" s="49"/>
      <c r="AX708" s="49"/>
    </row>
    <row r="709">
      <c r="A709" s="49"/>
      <c r="B709" s="49"/>
      <c r="C709" s="50"/>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c r="AF709" s="49"/>
      <c r="AG709" s="49"/>
      <c r="AH709" s="49"/>
      <c r="AI709" s="49"/>
      <c r="AJ709" s="49"/>
      <c r="AK709" s="49"/>
      <c r="AL709" s="49"/>
      <c r="AM709" s="49"/>
      <c r="AN709" s="49"/>
      <c r="AO709" s="49"/>
      <c r="AP709" s="49"/>
      <c r="AQ709" s="49"/>
      <c r="AR709" s="49"/>
      <c r="AS709" s="49"/>
      <c r="AT709" s="49"/>
      <c r="AU709" s="49"/>
      <c r="AV709" s="49"/>
      <c r="AW709" s="49"/>
      <c r="AX709" s="49"/>
    </row>
    <row r="710">
      <c r="A710" s="49"/>
      <c r="B710" s="49"/>
      <c r="C710" s="50"/>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c r="AF710" s="49"/>
      <c r="AG710" s="49"/>
      <c r="AH710" s="49"/>
      <c r="AI710" s="49"/>
      <c r="AJ710" s="49"/>
      <c r="AK710" s="49"/>
      <c r="AL710" s="49"/>
      <c r="AM710" s="49"/>
      <c r="AN710" s="49"/>
      <c r="AO710" s="49"/>
      <c r="AP710" s="49"/>
      <c r="AQ710" s="49"/>
      <c r="AR710" s="49"/>
      <c r="AS710" s="49"/>
      <c r="AT710" s="49"/>
      <c r="AU710" s="49"/>
      <c r="AV710" s="49"/>
      <c r="AW710" s="49"/>
      <c r="AX710" s="49"/>
    </row>
    <row r="711">
      <c r="A711" s="49"/>
      <c r="B711" s="49"/>
      <c r="C711" s="50"/>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c r="AF711" s="49"/>
      <c r="AG711" s="49"/>
      <c r="AH711" s="49"/>
      <c r="AI711" s="49"/>
      <c r="AJ711" s="49"/>
      <c r="AK711" s="49"/>
      <c r="AL711" s="49"/>
      <c r="AM711" s="49"/>
      <c r="AN711" s="49"/>
      <c r="AO711" s="49"/>
      <c r="AP711" s="49"/>
      <c r="AQ711" s="49"/>
      <c r="AR711" s="49"/>
      <c r="AS711" s="49"/>
      <c r="AT711" s="49"/>
      <c r="AU711" s="49"/>
      <c r="AV711" s="49"/>
      <c r="AW711" s="49"/>
      <c r="AX711" s="49"/>
    </row>
    <row r="712">
      <c r="A712" s="49"/>
      <c r="B712" s="49"/>
      <c r="C712" s="50"/>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c r="AF712" s="49"/>
      <c r="AG712" s="49"/>
      <c r="AH712" s="49"/>
      <c r="AI712" s="49"/>
      <c r="AJ712" s="49"/>
      <c r="AK712" s="49"/>
      <c r="AL712" s="49"/>
      <c r="AM712" s="49"/>
      <c r="AN712" s="49"/>
      <c r="AO712" s="49"/>
      <c r="AP712" s="49"/>
      <c r="AQ712" s="49"/>
      <c r="AR712" s="49"/>
      <c r="AS712" s="49"/>
      <c r="AT712" s="49"/>
      <c r="AU712" s="49"/>
      <c r="AV712" s="49"/>
      <c r="AW712" s="49"/>
      <c r="AX712" s="49"/>
    </row>
    <row r="713">
      <c r="A713" s="49"/>
      <c r="B713" s="49"/>
      <c r="C713" s="50"/>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c r="AF713" s="49"/>
      <c r="AG713" s="49"/>
      <c r="AH713" s="49"/>
      <c r="AI713" s="49"/>
      <c r="AJ713" s="49"/>
      <c r="AK713" s="49"/>
      <c r="AL713" s="49"/>
      <c r="AM713" s="49"/>
      <c r="AN713" s="49"/>
      <c r="AO713" s="49"/>
      <c r="AP713" s="49"/>
      <c r="AQ713" s="49"/>
      <c r="AR713" s="49"/>
      <c r="AS713" s="49"/>
      <c r="AT713" s="49"/>
      <c r="AU713" s="49"/>
      <c r="AV713" s="49"/>
      <c r="AW713" s="49"/>
      <c r="AX713" s="49"/>
    </row>
    <row r="714">
      <c r="A714" s="49"/>
      <c r="B714" s="49"/>
      <c r="C714" s="50"/>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c r="AF714" s="49"/>
      <c r="AG714" s="49"/>
      <c r="AH714" s="49"/>
      <c r="AI714" s="49"/>
      <c r="AJ714" s="49"/>
      <c r="AK714" s="49"/>
      <c r="AL714" s="49"/>
      <c r="AM714" s="49"/>
      <c r="AN714" s="49"/>
      <c r="AO714" s="49"/>
      <c r="AP714" s="49"/>
      <c r="AQ714" s="49"/>
      <c r="AR714" s="49"/>
      <c r="AS714" s="49"/>
      <c r="AT714" s="49"/>
      <c r="AU714" s="49"/>
      <c r="AV714" s="49"/>
      <c r="AW714" s="49"/>
      <c r="AX714" s="49"/>
    </row>
    <row r="715">
      <c r="A715" s="49"/>
      <c r="B715" s="49"/>
      <c r="C715" s="50"/>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c r="AF715" s="49"/>
      <c r="AG715" s="49"/>
      <c r="AH715" s="49"/>
      <c r="AI715" s="49"/>
      <c r="AJ715" s="49"/>
      <c r="AK715" s="49"/>
      <c r="AL715" s="49"/>
      <c r="AM715" s="49"/>
      <c r="AN715" s="49"/>
      <c r="AO715" s="49"/>
      <c r="AP715" s="49"/>
      <c r="AQ715" s="49"/>
      <c r="AR715" s="49"/>
      <c r="AS715" s="49"/>
      <c r="AT715" s="49"/>
      <c r="AU715" s="49"/>
      <c r="AV715" s="49"/>
      <c r="AW715" s="49"/>
      <c r="AX715" s="49"/>
    </row>
    <row r="716">
      <c r="A716" s="49"/>
      <c r="B716" s="49"/>
      <c r="C716" s="50"/>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c r="AF716" s="49"/>
      <c r="AG716" s="49"/>
      <c r="AH716" s="49"/>
      <c r="AI716" s="49"/>
      <c r="AJ716" s="49"/>
      <c r="AK716" s="49"/>
      <c r="AL716" s="49"/>
      <c r="AM716" s="49"/>
      <c r="AN716" s="49"/>
      <c r="AO716" s="49"/>
      <c r="AP716" s="49"/>
      <c r="AQ716" s="49"/>
      <c r="AR716" s="49"/>
      <c r="AS716" s="49"/>
      <c r="AT716" s="49"/>
      <c r="AU716" s="49"/>
      <c r="AV716" s="49"/>
      <c r="AW716" s="49"/>
      <c r="AX716" s="49"/>
    </row>
    <row r="717">
      <c r="A717" s="49"/>
      <c r="B717" s="49"/>
      <c r="C717" s="50"/>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c r="AF717" s="49"/>
      <c r="AG717" s="49"/>
      <c r="AH717" s="49"/>
      <c r="AI717" s="49"/>
      <c r="AJ717" s="49"/>
      <c r="AK717" s="49"/>
      <c r="AL717" s="49"/>
      <c r="AM717" s="49"/>
      <c r="AN717" s="49"/>
      <c r="AO717" s="49"/>
      <c r="AP717" s="49"/>
      <c r="AQ717" s="49"/>
      <c r="AR717" s="49"/>
      <c r="AS717" s="49"/>
      <c r="AT717" s="49"/>
      <c r="AU717" s="49"/>
      <c r="AV717" s="49"/>
      <c r="AW717" s="49"/>
      <c r="AX717" s="49"/>
    </row>
    <row r="718">
      <c r="A718" s="49"/>
      <c r="B718" s="49"/>
      <c r="C718" s="50"/>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c r="AF718" s="49"/>
      <c r="AG718" s="49"/>
      <c r="AH718" s="49"/>
      <c r="AI718" s="49"/>
      <c r="AJ718" s="49"/>
      <c r="AK718" s="49"/>
      <c r="AL718" s="49"/>
      <c r="AM718" s="49"/>
      <c r="AN718" s="49"/>
      <c r="AO718" s="49"/>
      <c r="AP718" s="49"/>
      <c r="AQ718" s="49"/>
      <c r="AR718" s="49"/>
      <c r="AS718" s="49"/>
      <c r="AT718" s="49"/>
      <c r="AU718" s="49"/>
      <c r="AV718" s="49"/>
      <c r="AW718" s="49"/>
      <c r="AX718" s="49"/>
    </row>
    <row r="719">
      <c r="A719" s="49"/>
      <c r="B719" s="49"/>
      <c r="C719" s="50"/>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c r="AF719" s="49"/>
      <c r="AG719" s="49"/>
      <c r="AH719" s="49"/>
      <c r="AI719" s="49"/>
      <c r="AJ719" s="49"/>
      <c r="AK719" s="49"/>
      <c r="AL719" s="49"/>
      <c r="AM719" s="49"/>
      <c r="AN719" s="49"/>
      <c r="AO719" s="49"/>
      <c r="AP719" s="49"/>
      <c r="AQ719" s="49"/>
      <c r="AR719" s="49"/>
      <c r="AS719" s="49"/>
      <c r="AT719" s="49"/>
      <c r="AU719" s="49"/>
      <c r="AV719" s="49"/>
      <c r="AW719" s="49"/>
      <c r="AX719" s="49"/>
    </row>
    <row r="720">
      <c r="A720" s="49"/>
      <c r="B720" s="49"/>
      <c r="C720" s="50"/>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c r="AF720" s="49"/>
      <c r="AG720" s="49"/>
      <c r="AH720" s="49"/>
      <c r="AI720" s="49"/>
      <c r="AJ720" s="49"/>
      <c r="AK720" s="49"/>
      <c r="AL720" s="49"/>
      <c r="AM720" s="49"/>
      <c r="AN720" s="49"/>
      <c r="AO720" s="49"/>
      <c r="AP720" s="49"/>
      <c r="AQ720" s="49"/>
      <c r="AR720" s="49"/>
      <c r="AS720" s="49"/>
      <c r="AT720" s="49"/>
      <c r="AU720" s="49"/>
      <c r="AV720" s="49"/>
      <c r="AW720" s="49"/>
      <c r="AX720" s="49"/>
    </row>
    <row r="721">
      <c r="A721" s="49"/>
      <c r="B721" s="49"/>
      <c r="C721" s="50"/>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c r="AF721" s="49"/>
      <c r="AG721" s="49"/>
      <c r="AH721" s="49"/>
      <c r="AI721" s="49"/>
      <c r="AJ721" s="49"/>
      <c r="AK721" s="49"/>
      <c r="AL721" s="49"/>
      <c r="AM721" s="49"/>
      <c r="AN721" s="49"/>
      <c r="AO721" s="49"/>
      <c r="AP721" s="49"/>
      <c r="AQ721" s="49"/>
      <c r="AR721" s="49"/>
      <c r="AS721" s="49"/>
      <c r="AT721" s="49"/>
      <c r="AU721" s="49"/>
      <c r="AV721" s="49"/>
      <c r="AW721" s="49"/>
      <c r="AX721" s="49"/>
    </row>
    <row r="722">
      <c r="A722" s="49"/>
      <c r="B722" s="49"/>
      <c r="C722" s="50"/>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c r="AF722" s="49"/>
      <c r="AG722" s="49"/>
      <c r="AH722" s="49"/>
      <c r="AI722" s="49"/>
      <c r="AJ722" s="49"/>
      <c r="AK722" s="49"/>
      <c r="AL722" s="49"/>
      <c r="AM722" s="49"/>
      <c r="AN722" s="49"/>
      <c r="AO722" s="49"/>
      <c r="AP722" s="49"/>
      <c r="AQ722" s="49"/>
      <c r="AR722" s="49"/>
      <c r="AS722" s="49"/>
      <c r="AT722" s="49"/>
      <c r="AU722" s="49"/>
      <c r="AV722" s="49"/>
      <c r="AW722" s="49"/>
      <c r="AX722" s="49"/>
    </row>
    <row r="723">
      <c r="A723" s="49"/>
      <c r="B723" s="49"/>
      <c r="C723" s="50"/>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c r="AF723" s="49"/>
      <c r="AG723" s="49"/>
      <c r="AH723" s="49"/>
      <c r="AI723" s="49"/>
      <c r="AJ723" s="49"/>
      <c r="AK723" s="49"/>
      <c r="AL723" s="49"/>
      <c r="AM723" s="49"/>
      <c r="AN723" s="49"/>
      <c r="AO723" s="49"/>
      <c r="AP723" s="49"/>
      <c r="AQ723" s="49"/>
      <c r="AR723" s="49"/>
      <c r="AS723" s="49"/>
      <c r="AT723" s="49"/>
      <c r="AU723" s="49"/>
      <c r="AV723" s="49"/>
      <c r="AW723" s="49"/>
      <c r="AX723" s="49"/>
    </row>
    <row r="724">
      <c r="A724" s="49"/>
      <c r="B724" s="49"/>
      <c r="C724" s="50"/>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c r="AF724" s="49"/>
      <c r="AG724" s="49"/>
      <c r="AH724" s="49"/>
      <c r="AI724" s="49"/>
      <c r="AJ724" s="49"/>
      <c r="AK724" s="49"/>
      <c r="AL724" s="49"/>
      <c r="AM724" s="49"/>
      <c r="AN724" s="49"/>
      <c r="AO724" s="49"/>
      <c r="AP724" s="49"/>
      <c r="AQ724" s="49"/>
      <c r="AR724" s="49"/>
      <c r="AS724" s="49"/>
      <c r="AT724" s="49"/>
      <c r="AU724" s="49"/>
      <c r="AV724" s="49"/>
      <c r="AW724" s="49"/>
      <c r="AX724" s="49"/>
    </row>
    <row r="725">
      <c r="A725" s="49"/>
      <c r="B725" s="49"/>
      <c r="C725" s="50"/>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c r="AF725" s="49"/>
      <c r="AG725" s="49"/>
      <c r="AH725" s="49"/>
      <c r="AI725" s="49"/>
      <c r="AJ725" s="49"/>
      <c r="AK725" s="49"/>
      <c r="AL725" s="49"/>
      <c r="AM725" s="49"/>
      <c r="AN725" s="49"/>
      <c r="AO725" s="49"/>
      <c r="AP725" s="49"/>
      <c r="AQ725" s="49"/>
      <c r="AR725" s="49"/>
      <c r="AS725" s="49"/>
      <c r="AT725" s="49"/>
      <c r="AU725" s="49"/>
      <c r="AV725" s="49"/>
      <c r="AW725" s="49"/>
      <c r="AX725" s="49"/>
    </row>
    <row r="726">
      <c r="A726" s="49"/>
      <c r="B726" s="49"/>
      <c r="C726" s="50"/>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c r="AF726" s="49"/>
      <c r="AG726" s="49"/>
      <c r="AH726" s="49"/>
      <c r="AI726" s="49"/>
      <c r="AJ726" s="49"/>
      <c r="AK726" s="49"/>
      <c r="AL726" s="49"/>
      <c r="AM726" s="49"/>
      <c r="AN726" s="49"/>
      <c r="AO726" s="49"/>
      <c r="AP726" s="49"/>
      <c r="AQ726" s="49"/>
      <c r="AR726" s="49"/>
      <c r="AS726" s="49"/>
      <c r="AT726" s="49"/>
      <c r="AU726" s="49"/>
      <c r="AV726" s="49"/>
      <c r="AW726" s="49"/>
      <c r="AX726" s="49"/>
    </row>
    <row r="727">
      <c r="A727" s="49"/>
      <c r="B727" s="49"/>
      <c r="C727" s="50"/>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c r="AF727" s="49"/>
      <c r="AG727" s="49"/>
      <c r="AH727" s="49"/>
      <c r="AI727" s="49"/>
      <c r="AJ727" s="49"/>
      <c r="AK727" s="49"/>
      <c r="AL727" s="49"/>
      <c r="AM727" s="49"/>
      <c r="AN727" s="49"/>
      <c r="AO727" s="49"/>
      <c r="AP727" s="49"/>
      <c r="AQ727" s="49"/>
      <c r="AR727" s="49"/>
      <c r="AS727" s="49"/>
      <c r="AT727" s="49"/>
      <c r="AU727" s="49"/>
      <c r="AV727" s="49"/>
      <c r="AW727" s="49"/>
      <c r="AX727" s="49"/>
    </row>
    <row r="728">
      <c r="A728" s="49"/>
      <c r="B728" s="49"/>
      <c r="C728" s="50"/>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c r="AF728" s="49"/>
      <c r="AG728" s="49"/>
      <c r="AH728" s="49"/>
      <c r="AI728" s="49"/>
      <c r="AJ728" s="49"/>
      <c r="AK728" s="49"/>
      <c r="AL728" s="49"/>
      <c r="AM728" s="49"/>
      <c r="AN728" s="49"/>
      <c r="AO728" s="49"/>
      <c r="AP728" s="49"/>
      <c r="AQ728" s="49"/>
      <c r="AR728" s="49"/>
      <c r="AS728" s="49"/>
      <c r="AT728" s="49"/>
      <c r="AU728" s="49"/>
      <c r="AV728" s="49"/>
      <c r="AW728" s="49"/>
      <c r="AX728" s="49"/>
    </row>
    <row r="729">
      <c r="A729" s="49"/>
      <c r="B729" s="49"/>
      <c r="C729" s="50"/>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c r="AF729" s="49"/>
      <c r="AG729" s="49"/>
      <c r="AH729" s="49"/>
      <c r="AI729" s="49"/>
      <c r="AJ729" s="49"/>
      <c r="AK729" s="49"/>
      <c r="AL729" s="49"/>
      <c r="AM729" s="49"/>
      <c r="AN729" s="49"/>
      <c r="AO729" s="49"/>
      <c r="AP729" s="49"/>
      <c r="AQ729" s="49"/>
      <c r="AR729" s="49"/>
      <c r="AS729" s="49"/>
      <c r="AT729" s="49"/>
      <c r="AU729" s="49"/>
      <c r="AV729" s="49"/>
      <c r="AW729" s="49"/>
      <c r="AX729" s="49"/>
    </row>
    <row r="730">
      <c r="A730" s="49"/>
      <c r="B730" s="49"/>
      <c r="C730" s="50"/>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c r="AF730" s="49"/>
      <c r="AG730" s="49"/>
      <c r="AH730" s="49"/>
      <c r="AI730" s="49"/>
      <c r="AJ730" s="49"/>
      <c r="AK730" s="49"/>
      <c r="AL730" s="49"/>
      <c r="AM730" s="49"/>
      <c r="AN730" s="49"/>
      <c r="AO730" s="49"/>
      <c r="AP730" s="49"/>
      <c r="AQ730" s="49"/>
      <c r="AR730" s="49"/>
      <c r="AS730" s="49"/>
      <c r="AT730" s="49"/>
      <c r="AU730" s="49"/>
      <c r="AV730" s="49"/>
      <c r="AW730" s="49"/>
      <c r="AX730" s="49"/>
    </row>
    <row r="731">
      <c r="A731" s="49"/>
      <c r="B731" s="49"/>
      <c r="C731" s="50"/>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c r="AF731" s="49"/>
      <c r="AG731" s="49"/>
      <c r="AH731" s="49"/>
      <c r="AI731" s="49"/>
      <c r="AJ731" s="49"/>
      <c r="AK731" s="49"/>
      <c r="AL731" s="49"/>
      <c r="AM731" s="49"/>
      <c r="AN731" s="49"/>
      <c r="AO731" s="49"/>
      <c r="AP731" s="49"/>
      <c r="AQ731" s="49"/>
      <c r="AR731" s="49"/>
      <c r="AS731" s="49"/>
      <c r="AT731" s="49"/>
      <c r="AU731" s="49"/>
      <c r="AV731" s="49"/>
      <c r="AW731" s="49"/>
      <c r="AX731" s="49"/>
    </row>
    <row r="732">
      <c r="A732" s="49"/>
      <c r="B732" s="49"/>
      <c r="C732" s="50"/>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c r="AF732" s="49"/>
      <c r="AG732" s="49"/>
      <c r="AH732" s="49"/>
      <c r="AI732" s="49"/>
      <c r="AJ732" s="49"/>
      <c r="AK732" s="49"/>
      <c r="AL732" s="49"/>
      <c r="AM732" s="49"/>
      <c r="AN732" s="49"/>
      <c r="AO732" s="49"/>
      <c r="AP732" s="49"/>
      <c r="AQ732" s="49"/>
      <c r="AR732" s="49"/>
      <c r="AS732" s="49"/>
      <c r="AT732" s="49"/>
      <c r="AU732" s="49"/>
      <c r="AV732" s="49"/>
      <c r="AW732" s="49"/>
      <c r="AX732" s="49"/>
    </row>
    <row r="733">
      <c r="A733" s="49"/>
      <c r="B733" s="49"/>
      <c r="C733" s="50"/>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c r="AF733" s="49"/>
      <c r="AG733" s="49"/>
      <c r="AH733" s="49"/>
      <c r="AI733" s="49"/>
      <c r="AJ733" s="49"/>
      <c r="AK733" s="49"/>
      <c r="AL733" s="49"/>
      <c r="AM733" s="49"/>
      <c r="AN733" s="49"/>
      <c r="AO733" s="49"/>
      <c r="AP733" s="49"/>
      <c r="AQ733" s="49"/>
      <c r="AR733" s="49"/>
      <c r="AS733" s="49"/>
      <c r="AT733" s="49"/>
      <c r="AU733" s="49"/>
      <c r="AV733" s="49"/>
      <c r="AW733" s="49"/>
      <c r="AX733" s="49"/>
    </row>
    <row r="734">
      <c r="A734" s="49"/>
      <c r="B734" s="49"/>
      <c r="C734" s="50"/>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c r="AF734" s="49"/>
      <c r="AG734" s="49"/>
      <c r="AH734" s="49"/>
      <c r="AI734" s="49"/>
      <c r="AJ734" s="49"/>
      <c r="AK734" s="49"/>
      <c r="AL734" s="49"/>
      <c r="AM734" s="49"/>
      <c r="AN734" s="49"/>
      <c r="AO734" s="49"/>
      <c r="AP734" s="49"/>
      <c r="AQ734" s="49"/>
      <c r="AR734" s="49"/>
      <c r="AS734" s="49"/>
      <c r="AT734" s="49"/>
      <c r="AU734" s="49"/>
      <c r="AV734" s="49"/>
      <c r="AW734" s="49"/>
      <c r="AX734" s="49"/>
    </row>
    <row r="735">
      <c r="A735" s="49"/>
      <c r="B735" s="49"/>
      <c r="C735" s="50"/>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c r="AF735" s="49"/>
      <c r="AG735" s="49"/>
      <c r="AH735" s="49"/>
      <c r="AI735" s="49"/>
      <c r="AJ735" s="49"/>
      <c r="AK735" s="49"/>
      <c r="AL735" s="49"/>
      <c r="AM735" s="49"/>
      <c r="AN735" s="49"/>
      <c r="AO735" s="49"/>
      <c r="AP735" s="49"/>
      <c r="AQ735" s="49"/>
      <c r="AR735" s="49"/>
      <c r="AS735" s="49"/>
      <c r="AT735" s="49"/>
      <c r="AU735" s="49"/>
      <c r="AV735" s="49"/>
      <c r="AW735" s="49"/>
      <c r="AX735" s="49"/>
    </row>
    <row r="736">
      <c r="A736" s="49"/>
      <c r="B736" s="49"/>
      <c r="C736" s="50"/>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c r="AF736" s="49"/>
      <c r="AG736" s="49"/>
      <c r="AH736" s="49"/>
      <c r="AI736" s="49"/>
      <c r="AJ736" s="49"/>
      <c r="AK736" s="49"/>
      <c r="AL736" s="49"/>
      <c r="AM736" s="49"/>
      <c r="AN736" s="49"/>
      <c r="AO736" s="49"/>
      <c r="AP736" s="49"/>
      <c r="AQ736" s="49"/>
      <c r="AR736" s="49"/>
      <c r="AS736" s="49"/>
      <c r="AT736" s="49"/>
      <c r="AU736" s="49"/>
      <c r="AV736" s="49"/>
      <c r="AW736" s="49"/>
      <c r="AX736" s="49"/>
    </row>
    <row r="737">
      <c r="A737" s="49"/>
      <c r="B737" s="49"/>
      <c r="C737" s="50"/>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c r="AF737" s="49"/>
      <c r="AG737" s="49"/>
      <c r="AH737" s="49"/>
      <c r="AI737" s="49"/>
      <c r="AJ737" s="49"/>
      <c r="AK737" s="49"/>
      <c r="AL737" s="49"/>
      <c r="AM737" s="49"/>
      <c r="AN737" s="49"/>
      <c r="AO737" s="49"/>
      <c r="AP737" s="49"/>
      <c r="AQ737" s="49"/>
      <c r="AR737" s="49"/>
      <c r="AS737" s="49"/>
      <c r="AT737" s="49"/>
      <c r="AU737" s="49"/>
      <c r="AV737" s="49"/>
      <c r="AW737" s="49"/>
      <c r="AX737" s="49"/>
    </row>
    <row r="738">
      <c r="A738" s="49"/>
      <c r="B738" s="49"/>
      <c r="C738" s="50"/>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c r="AF738" s="49"/>
      <c r="AG738" s="49"/>
      <c r="AH738" s="49"/>
      <c r="AI738" s="49"/>
      <c r="AJ738" s="49"/>
      <c r="AK738" s="49"/>
      <c r="AL738" s="49"/>
      <c r="AM738" s="49"/>
      <c r="AN738" s="49"/>
      <c r="AO738" s="49"/>
      <c r="AP738" s="49"/>
      <c r="AQ738" s="49"/>
      <c r="AR738" s="49"/>
      <c r="AS738" s="49"/>
      <c r="AT738" s="49"/>
      <c r="AU738" s="49"/>
      <c r="AV738" s="49"/>
      <c r="AW738" s="49"/>
      <c r="AX738" s="49"/>
    </row>
    <row r="739">
      <c r="A739" s="49"/>
      <c r="B739" s="49"/>
      <c r="C739" s="50"/>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c r="AF739" s="49"/>
      <c r="AG739" s="49"/>
      <c r="AH739" s="49"/>
      <c r="AI739" s="49"/>
      <c r="AJ739" s="49"/>
      <c r="AK739" s="49"/>
      <c r="AL739" s="49"/>
      <c r="AM739" s="49"/>
      <c r="AN739" s="49"/>
      <c r="AO739" s="49"/>
      <c r="AP739" s="49"/>
      <c r="AQ739" s="49"/>
      <c r="AR739" s="49"/>
      <c r="AS739" s="49"/>
      <c r="AT739" s="49"/>
      <c r="AU739" s="49"/>
      <c r="AV739" s="49"/>
      <c r="AW739" s="49"/>
      <c r="AX739" s="49"/>
    </row>
    <row r="740">
      <c r="A740" s="49"/>
      <c r="B740" s="49"/>
      <c r="C740" s="50"/>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c r="AF740" s="49"/>
      <c r="AG740" s="49"/>
      <c r="AH740" s="49"/>
      <c r="AI740" s="49"/>
      <c r="AJ740" s="49"/>
      <c r="AK740" s="49"/>
      <c r="AL740" s="49"/>
      <c r="AM740" s="49"/>
      <c r="AN740" s="49"/>
      <c r="AO740" s="49"/>
      <c r="AP740" s="49"/>
      <c r="AQ740" s="49"/>
      <c r="AR740" s="49"/>
      <c r="AS740" s="49"/>
      <c r="AT740" s="49"/>
      <c r="AU740" s="49"/>
      <c r="AV740" s="49"/>
      <c r="AW740" s="49"/>
      <c r="AX740" s="49"/>
    </row>
    <row r="741">
      <c r="A741" s="49"/>
      <c r="B741" s="49"/>
      <c r="C741" s="50"/>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c r="AF741" s="49"/>
      <c r="AG741" s="49"/>
      <c r="AH741" s="49"/>
      <c r="AI741" s="49"/>
      <c r="AJ741" s="49"/>
      <c r="AK741" s="49"/>
      <c r="AL741" s="49"/>
      <c r="AM741" s="49"/>
      <c r="AN741" s="49"/>
      <c r="AO741" s="49"/>
      <c r="AP741" s="49"/>
      <c r="AQ741" s="49"/>
      <c r="AR741" s="49"/>
      <c r="AS741" s="49"/>
      <c r="AT741" s="49"/>
      <c r="AU741" s="49"/>
      <c r="AV741" s="49"/>
      <c r="AW741" s="49"/>
      <c r="AX741" s="49"/>
    </row>
    <row r="742">
      <c r="A742" s="49"/>
      <c r="B742" s="49"/>
      <c r="C742" s="50"/>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c r="AF742" s="49"/>
      <c r="AG742" s="49"/>
      <c r="AH742" s="49"/>
      <c r="AI742" s="49"/>
      <c r="AJ742" s="49"/>
      <c r="AK742" s="49"/>
      <c r="AL742" s="49"/>
      <c r="AM742" s="49"/>
      <c r="AN742" s="49"/>
      <c r="AO742" s="49"/>
      <c r="AP742" s="49"/>
      <c r="AQ742" s="49"/>
      <c r="AR742" s="49"/>
      <c r="AS742" s="49"/>
      <c r="AT742" s="49"/>
      <c r="AU742" s="49"/>
      <c r="AV742" s="49"/>
      <c r="AW742" s="49"/>
      <c r="AX742" s="49"/>
    </row>
    <row r="743">
      <c r="A743" s="49"/>
      <c r="B743" s="49"/>
      <c r="C743" s="50"/>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c r="AF743" s="49"/>
      <c r="AG743" s="49"/>
      <c r="AH743" s="49"/>
      <c r="AI743" s="49"/>
      <c r="AJ743" s="49"/>
      <c r="AK743" s="49"/>
      <c r="AL743" s="49"/>
      <c r="AM743" s="49"/>
      <c r="AN743" s="49"/>
      <c r="AO743" s="49"/>
      <c r="AP743" s="49"/>
      <c r="AQ743" s="49"/>
      <c r="AR743" s="49"/>
      <c r="AS743" s="49"/>
      <c r="AT743" s="49"/>
      <c r="AU743" s="49"/>
      <c r="AV743" s="49"/>
      <c r="AW743" s="49"/>
      <c r="AX743" s="49"/>
    </row>
    <row r="744">
      <c r="A744" s="49"/>
      <c r="B744" s="49"/>
      <c r="C744" s="50"/>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c r="AF744" s="49"/>
      <c r="AG744" s="49"/>
      <c r="AH744" s="49"/>
      <c r="AI744" s="49"/>
      <c r="AJ744" s="49"/>
      <c r="AK744" s="49"/>
      <c r="AL744" s="49"/>
      <c r="AM744" s="49"/>
      <c r="AN744" s="49"/>
      <c r="AO744" s="49"/>
      <c r="AP744" s="49"/>
      <c r="AQ744" s="49"/>
      <c r="AR744" s="49"/>
      <c r="AS744" s="49"/>
      <c r="AT744" s="49"/>
      <c r="AU744" s="49"/>
      <c r="AV744" s="49"/>
      <c r="AW744" s="49"/>
      <c r="AX744" s="49"/>
    </row>
    <row r="745">
      <c r="A745" s="49"/>
      <c r="B745" s="49"/>
      <c r="C745" s="50"/>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c r="AF745" s="49"/>
      <c r="AG745" s="49"/>
      <c r="AH745" s="49"/>
      <c r="AI745" s="49"/>
      <c r="AJ745" s="49"/>
      <c r="AK745" s="49"/>
      <c r="AL745" s="49"/>
      <c r="AM745" s="49"/>
      <c r="AN745" s="49"/>
      <c r="AO745" s="49"/>
      <c r="AP745" s="49"/>
      <c r="AQ745" s="49"/>
      <c r="AR745" s="49"/>
      <c r="AS745" s="49"/>
      <c r="AT745" s="49"/>
      <c r="AU745" s="49"/>
      <c r="AV745" s="49"/>
      <c r="AW745" s="49"/>
      <c r="AX745" s="49"/>
    </row>
    <row r="746">
      <c r="A746" s="49"/>
      <c r="B746" s="49"/>
      <c r="C746" s="50"/>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c r="AF746" s="49"/>
      <c r="AG746" s="49"/>
      <c r="AH746" s="49"/>
      <c r="AI746" s="49"/>
      <c r="AJ746" s="49"/>
      <c r="AK746" s="49"/>
      <c r="AL746" s="49"/>
      <c r="AM746" s="49"/>
      <c r="AN746" s="49"/>
      <c r="AO746" s="49"/>
      <c r="AP746" s="49"/>
      <c r="AQ746" s="49"/>
      <c r="AR746" s="49"/>
      <c r="AS746" s="49"/>
      <c r="AT746" s="49"/>
      <c r="AU746" s="49"/>
      <c r="AV746" s="49"/>
      <c r="AW746" s="49"/>
      <c r="AX746" s="49"/>
    </row>
    <row r="747">
      <c r="A747" s="49"/>
      <c r="B747" s="49"/>
      <c r="C747" s="50"/>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c r="AF747" s="49"/>
      <c r="AG747" s="49"/>
      <c r="AH747" s="49"/>
      <c r="AI747" s="49"/>
      <c r="AJ747" s="49"/>
      <c r="AK747" s="49"/>
      <c r="AL747" s="49"/>
      <c r="AM747" s="49"/>
      <c r="AN747" s="49"/>
      <c r="AO747" s="49"/>
      <c r="AP747" s="49"/>
      <c r="AQ747" s="49"/>
      <c r="AR747" s="49"/>
      <c r="AS747" s="49"/>
      <c r="AT747" s="49"/>
      <c r="AU747" s="49"/>
      <c r="AV747" s="49"/>
      <c r="AW747" s="49"/>
      <c r="AX747" s="49"/>
    </row>
    <row r="748">
      <c r="A748" s="49"/>
      <c r="B748" s="49"/>
      <c r="C748" s="50"/>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c r="AF748" s="49"/>
      <c r="AG748" s="49"/>
      <c r="AH748" s="49"/>
      <c r="AI748" s="49"/>
      <c r="AJ748" s="49"/>
      <c r="AK748" s="49"/>
      <c r="AL748" s="49"/>
      <c r="AM748" s="49"/>
      <c r="AN748" s="49"/>
      <c r="AO748" s="49"/>
      <c r="AP748" s="49"/>
      <c r="AQ748" s="49"/>
      <c r="AR748" s="49"/>
      <c r="AS748" s="49"/>
      <c r="AT748" s="49"/>
      <c r="AU748" s="49"/>
      <c r="AV748" s="49"/>
      <c r="AW748" s="49"/>
      <c r="AX748" s="49"/>
    </row>
    <row r="749">
      <c r="A749" s="49"/>
      <c r="B749" s="49"/>
      <c r="C749" s="50"/>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c r="AF749" s="49"/>
      <c r="AG749" s="49"/>
      <c r="AH749" s="49"/>
      <c r="AI749" s="49"/>
      <c r="AJ749" s="49"/>
      <c r="AK749" s="49"/>
      <c r="AL749" s="49"/>
      <c r="AM749" s="49"/>
      <c r="AN749" s="49"/>
      <c r="AO749" s="49"/>
      <c r="AP749" s="49"/>
      <c r="AQ749" s="49"/>
      <c r="AR749" s="49"/>
      <c r="AS749" s="49"/>
      <c r="AT749" s="49"/>
      <c r="AU749" s="49"/>
      <c r="AV749" s="49"/>
      <c r="AW749" s="49"/>
      <c r="AX749" s="49"/>
    </row>
    <row r="750">
      <c r="A750" s="49"/>
      <c r="B750" s="49"/>
      <c r="C750" s="50"/>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c r="AF750" s="49"/>
      <c r="AG750" s="49"/>
      <c r="AH750" s="49"/>
      <c r="AI750" s="49"/>
      <c r="AJ750" s="49"/>
      <c r="AK750" s="49"/>
      <c r="AL750" s="49"/>
      <c r="AM750" s="49"/>
      <c r="AN750" s="49"/>
      <c r="AO750" s="49"/>
      <c r="AP750" s="49"/>
      <c r="AQ750" s="49"/>
      <c r="AR750" s="49"/>
      <c r="AS750" s="49"/>
      <c r="AT750" s="49"/>
      <c r="AU750" s="49"/>
      <c r="AV750" s="49"/>
      <c r="AW750" s="49"/>
      <c r="AX750" s="49"/>
    </row>
    <row r="751">
      <c r="A751" s="49"/>
      <c r="B751" s="49"/>
      <c r="C751" s="50"/>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c r="AF751" s="49"/>
      <c r="AG751" s="49"/>
      <c r="AH751" s="49"/>
      <c r="AI751" s="49"/>
      <c r="AJ751" s="49"/>
      <c r="AK751" s="49"/>
      <c r="AL751" s="49"/>
      <c r="AM751" s="49"/>
      <c r="AN751" s="49"/>
      <c r="AO751" s="49"/>
      <c r="AP751" s="49"/>
      <c r="AQ751" s="49"/>
      <c r="AR751" s="49"/>
      <c r="AS751" s="49"/>
      <c r="AT751" s="49"/>
      <c r="AU751" s="49"/>
      <c r="AV751" s="49"/>
      <c r="AW751" s="49"/>
      <c r="AX751" s="49"/>
    </row>
    <row r="752">
      <c r="A752" s="49"/>
      <c r="B752" s="49"/>
      <c r="C752" s="50"/>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c r="AF752" s="49"/>
      <c r="AG752" s="49"/>
      <c r="AH752" s="49"/>
      <c r="AI752" s="49"/>
      <c r="AJ752" s="49"/>
      <c r="AK752" s="49"/>
      <c r="AL752" s="49"/>
      <c r="AM752" s="49"/>
      <c r="AN752" s="49"/>
      <c r="AO752" s="49"/>
      <c r="AP752" s="49"/>
      <c r="AQ752" s="49"/>
      <c r="AR752" s="49"/>
      <c r="AS752" s="49"/>
      <c r="AT752" s="49"/>
      <c r="AU752" s="49"/>
      <c r="AV752" s="49"/>
      <c r="AW752" s="49"/>
      <c r="AX752" s="49"/>
    </row>
    <row r="753">
      <c r="A753" s="49"/>
      <c r="B753" s="49"/>
      <c r="C753" s="50"/>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c r="AF753" s="49"/>
      <c r="AG753" s="49"/>
      <c r="AH753" s="49"/>
      <c r="AI753" s="49"/>
      <c r="AJ753" s="49"/>
      <c r="AK753" s="49"/>
      <c r="AL753" s="49"/>
      <c r="AM753" s="49"/>
      <c r="AN753" s="49"/>
      <c r="AO753" s="49"/>
      <c r="AP753" s="49"/>
      <c r="AQ753" s="49"/>
      <c r="AR753" s="49"/>
      <c r="AS753" s="49"/>
      <c r="AT753" s="49"/>
      <c r="AU753" s="49"/>
      <c r="AV753" s="49"/>
      <c r="AW753" s="49"/>
      <c r="AX753" s="49"/>
    </row>
    <row r="754">
      <c r="A754" s="49"/>
      <c r="B754" s="49"/>
      <c r="C754" s="50"/>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c r="AF754" s="49"/>
      <c r="AG754" s="49"/>
      <c r="AH754" s="49"/>
      <c r="AI754" s="49"/>
      <c r="AJ754" s="49"/>
      <c r="AK754" s="49"/>
      <c r="AL754" s="49"/>
      <c r="AM754" s="49"/>
      <c r="AN754" s="49"/>
      <c r="AO754" s="49"/>
      <c r="AP754" s="49"/>
      <c r="AQ754" s="49"/>
      <c r="AR754" s="49"/>
      <c r="AS754" s="49"/>
      <c r="AT754" s="49"/>
      <c r="AU754" s="49"/>
      <c r="AV754" s="49"/>
      <c r="AW754" s="49"/>
      <c r="AX754" s="49"/>
    </row>
    <row r="755">
      <c r="A755" s="49"/>
      <c r="B755" s="49"/>
      <c r="C755" s="50"/>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c r="AF755" s="49"/>
      <c r="AG755" s="49"/>
      <c r="AH755" s="49"/>
      <c r="AI755" s="49"/>
      <c r="AJ755" s="49"/>
      <c r="AK755" s="49"/>
      <c r="AL755" s="49"/>
      <c r="AM755" s="49"/>
      <c r="AN755" s="49"/>
      <c r="AO755" s="49"/>
      <c r="AP755" s="49"/>
      <c r="AQ755" s="49"/>
      <c r="AR755" s="49"/>
      <c r="AS755" s="49"/>
      <c r="AT755" s="49"/>
      <c r="AU755" s="49"/>
      <c r="AV755" s="49"/>
      <c r="AW755" s="49"/>
      <c r="AX755" s="49"/>
    </row>
    <row r="756">
      <c r="A756" s="49"/>
      <c r="B756" s="49"/>
      <c r="C756" s="50"/>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c r="AF756" s="49"/>
      <c r="AG756" s="49"/>
      <c r="AH756" s="49"/>
      <c r="AI756" s="49"/>
      <c r="AJ756" s="49"/>
      <c r="AK756" s="49"/>
      <c r="AL756" s="49"/>
      <c r="AM756" s="49"/>
      <c r="AN756" s="49"/>
      <c r="AO756" s="49"/>
      <c r="AP756" s="49"/>
      <c r="AQ756" s="49"/>
      <c r="AR756" s="49"/>
      <c r="AS756" s="49"/>
      <c r="AT756" s="49"/>
      <c r="AU756" s="49"/>
      <c r="AV756" s="49"/>
      <c r="AW756" s="49"/>
      <c r="AX756" s="49"/>
    </row>
    <row r="757">
      <c r="A757" s="49"/>
      <c r="B757" s="49"/>
      <c r="C757" s="50"/>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c r="AF757" s="49"/>
      <c r="AG757" s="49"/>
      <c r="AH757" s="49"/>
      <c r="AI757" s="49"/>
      <c r="AJ757" s="49"/>
      <c r="AK757" s="49"/>
      <c r="AL757" s="49"/>
      <c r="AM757" s="49"/>
      <c r="AN757" s="49"/>
      <c r="AO757" s="49"/>
      <c r="AP757" s="49"/>
      <c r="AQ757" s="49"/>
      <c r="AR757" s="49"/>
      <c r="AS757" s="49"/>
      <c r="AT757" s="49"/>
      <c r="AU757" s="49"/>
      <c r="AV757" s="49"/>
      <c r="AW757" s="49"/>
      <c r="AX757" s="49"/>
    </row>
    <row r="758">
      <c r="A758" s="49"/>
      <c r="B758" s="49"/>
      <c r="C758" s="50"/>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c r="AF758" s="49"/>
      <c r="AG758" s="49"/>
      <c r="AH758" s="49"/>
      <c r="AI758" s="49"/>
      <c r="AJ758" s="49"/>
      <c r="AK758" s="49"/>
      <c r="AL758" s="49"/>
      <c r="AM758" s="49"/>
      <c r="AN758" s="49"/>
      <c r="AO758" s="49"/>
      <c r="AP758" s="49"/>
      <c r="AQ758" s="49"/>
      <c r="AR758" s="49"/>
      <c r="AS758" s="49"/>
      <c r="AT758" s="49"/>
      <c r="AU758" s="49"/>
      <c r="AV758" s="49"/>
      <c r="AW758" s="49"/>
      <c r="AX758" s="49"/>
    </row>
    <row r="759">
      <c r="A759" s="49"/>
      <c r="B759" s="49"/>
      <c r="C759" s="50"/>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c r="AF759" s="49"/>
      <c r="AG759" s="49"/>
      <c r="AH759" s="49"/>
      <c r="AI759" s="49"/>
      <c r="AJ759" s="49"/>
      <c r="AK759" s="49"/>
      <c r="AL759" s="49"/>
      <c r="AM759" s="49"/>
      <c r="AN759" s="49"/>
      <c r="AO759" s="49"/>
      <c r="AP759" s="49"/>
      <c r="AQ759" s="49"/>
      <c r="AR759" s="49"/>
      <c r="AS759" s="49"/>
      <c r="AT759" s="49"/>
      <c r="AU759" s="49"/>
      <c r="AV759" s="49"/>
      <c r="AW759" s="49"/>
      <c r="AX759" s="49"/>
    </row>
    <row r="760">
      <c r="A760" s="49"/>
      <c r="B760" s="49"/>
      <c r="C760" s="50"/>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c r="AF760" s="49"/>
      <c r="AG760" s="49"/>
      <c r="AH760" s="49"/>
      <c r="AI760" s="49"/>
      <c r="AJ760" s="49"/>
      <c r="AK760" s="49"/>
      <c r="AL760" s="49"/>
      <c r="AM760" s="49"/>
      <c r="AN760" s="49"/>
      <c r="AO760" s="49"/>
      <c r="AP760" s="49"/>
      <c r="AQ760" s="49"/>
      <c r="AR760" s="49"/>
      <c r="AS760" s="49"/>
      <c r="AT760" s="49"/>
      <c r="AU760" s="49"/>
      <c r="AV760" s="49"/>
      <c r="AW760" s="49"/>
      <c r="AX760" s="49"/>
    </row>
    <row r="761">
      <c r="A761" s="49"/>
      <c r="B761" s="49"/>
      <c r="C761" s="50"/>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c r="AF761" s="49"/>
      <c r="AG761" s="49"/>
      <c r="AH761" s="49"/>
      <c r="AI761" s="49"/>
      <c r="AJ761" s="49"/>
      <c r="AK761" s="49"/>
      <c r="AL761" s="49"/>
      <c r="AM761" s="49"/>
      <c r="AN761" s="49"/>
      <c r="AO761" s="49"/>
      <c r="AP761" s="49"/>
      <c r="AQ761" s="49"/>
      <c r="AR761" s="49"/>
      <c r="AS761" s="49"/>
      <c r="AT761" s="49"/>
      <c r="AU761" s="49"/>
      <c r="AV761" s="49"/>
      <c r="AW761" s="49"/>
      <c r="AX761" s="49"/>
    </row>
    <row r="762">
      <c r="A762" s="49"/>
      <c r="B762" s="49"/>
      <c r="C762" s="50"/>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c r="AF762" s="49"/>
      <c r="AG762" s="49"/>
      <c r="AH762" s="49"/>
      <c r="AI762" s="49"/>
      <c r="AJ762" s="49"/>
      <c r="AK762" s="49"/>
      <c r="AL762" s="49"/>
      <c r="AM762" s="49"/>
      <c r="AN762" s="49"/>
      <c r="AO762" s="49"/>
      <c r="AP762" s="49"/>
      <c r="AQ762" s="49"/>
      <c r="AR762" s="49"/>
      <c r="AS762" s="49"/>
      <c r="AT762" s="49"/>
      <c r="AU762" s="49"/>
      <c r="AV762" s="49"/>
      <c r="AW762" s="49"/>
      <c r="AX762" s="49"/>
    </row>
    <row r="763">
      <c r="A763" s="49"/>
      <c r="B763" s="49"/>
      <c r="C763" s="50"/>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c r="AF763" s="49"/>
      <c r="AG763" s="49"/>
      <c r="AH763" s="49"/>
      <c r="AI763" s="49"/>
      <c r="AJ763" s="49"/>
      <c r="AK763" s="49"/>
      <c r="AL763" s="49"/>
      <c r="AM763" s="49"/>
      <c r="AN763" s="49"/>
      <c r="AO763" s="49"/>
      <c r="AP763" s="49"/>
      <c r="AQ763" s="49"/>
      <c r="AR763" s="49"/>
      <c r="AS763" s="49"/>
      <c r="AT763" s="49"/>
      <c r="AU763" s="49"/>
      <c r="AV763" s="49"/>
      <c r="AW763" s="49"/>
      <c r="AX763" s="49"/>
    </row>
    <row r="764">
      <c r="A764" s="49"/>
      <c r="B764" s="49"/>
      <c r="C764" s="50"/>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c r="AF764" s="49"/>
      <c r="AG764" s="49"/>
      <c r="AH764" s="49"/>
      <c r="AI764" s="49"/>
      <c r="AJ764" s="49"/>
      <c r="AK764" s="49"/>
      <c r="AL764" s="49"/>
      <c r="AM764" s="49"/>
      <c r="AN764" s="49"/>
      <c r="AO764" s="49"/>
      <c r="AP764" s="49"/>
      <c r="AQ764" s="49"/>
      <c r="AR764" s="49"/>
      <c r="AS764" s="49"/>
      <c r="AT764" s="49"/>
      <c r="AU764" s="49"/>
      <c r="AV764" s="49"/>
      <c r="AW764" s="49"/>
      <c r="AX764" s="49"/>
    </row>
    <row r="765">
      <c r="A765" s="49"/>
      <c r="B765" s="49"/>
      <c r="C765" s="50"/>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c r="AF765" s="49"/>
      <c r="AG765" s="49"/>
      <c r="AH765" s="49"/>
      <c r="AI765" s="49"/>
      <c r="AJ765" s="49"/>
      <c r="AK765" s="49"/>
      <c r="AL765" s="49"/>
      <c r="AM765" s="49"/>
      <c r="AN765" s="49"/>
      <c r="AO765" s="49"/>
      <c r="AP765" s="49"/>
      <c r="AQ765" s="49"/>
      <c r="AR765" s="49"/>
      <c r="AS765" s="49"/>
      <c r="AT765" s="49"/>
      <c r="AU765" s="49"/>
      <c r="AV765" s="49"/>
      <c r="AW765" s="49"/>
      <c r="AX765" s="49"/>
    </row>
    <row r="766">
      <c r="A766" s="49"/>
      <c r="B766" s="49"/>
      <c r="C766" s="50"/>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c r="AF766" s="49"/>
      <c r="AG766" s="49"/>
      <c r="AH766" s="49"/>
      <c r="AI766" s="49"/>
      <c r="AJ766" s="49"/>
      <c r="AK766" s="49"/>
      <c r="AL766" s="49"/>
      <c r="AM766" s="49"/>
      <c r="AN766" s="49"/>
      <c r="AO766" s="49"/>
      <c r="AP766" s="49"/>
      <c r="AQ766" s="49"/>
      <c r="AR766" s="49"/>
      <c r="AS766" s="49"/>
      <c r="AT766" s="49"/>
      <c r="AU766" s="49"/>
      <c r="AV766" s="49"/>
      <c r="AW766" s="49"/>
      <c r="AX766" s="49"/>
    </row>
    <row r="767">
      <c r="A767" s="49"/>
      <c r="B767" s="49"/>
      <c r="C767" s="50"/>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c r="AF767" s="49"/>
      <c r="AG767" s="49"/>
      <c r="AH767" s="49"/>
      <c r="AI767" s="49"/>
      <c r="AJ767" s="49"/>
      <c r="AK767" s="49"/>
      <c r="AL767" s="49"/>
      <c r="AM767" s="49"/>
      <c r="AN767" s="49"/>
      <c r="AO767" s="49"/>
      <c r="AP767" s="49"/>
      <c r="AQ767" s="49"/>
      <c r="AR767" s="49"/>
      <c r="AS767" s="49"/>
      <c r="AT767" s="49"/>
      <c r="AU767" s="49"/>
      <c r="AV767" s="49"/>
      <c r="AW767" s="49"/>
      <c r="AX767" s="49"/>
    </row>
    <row r="768">
      <c r="A768" s="49"/>
      <c r="B768" s="49"/>
      <c r="C768" s="50"/>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c r="AF768" s="49"/>
      <c r="AG768" s="49"/>
      <c r="AH768" s="49"/>
      <c r="AI768" s="49"/>
      <c r="AJ768" s="49"/>
      <c r="AK768" s="49"/>
      <c r="AL768" s="49"/>
      <c r="AM768" s="49"/>
      <c r="AN768" s="49"/>
      <c r="AO768" s="49"/>
      <c r="AP768" s="49"/>
      <c r="AQ768" s="49"/>
      <c r="AR768" s="49"/>
      <c r="AS768" s="49"/>
      <c r="AT768" s="49"/>
      <c r="AU768" s="49"/>
      <c r="AV768" s="49"/>
      <c r="AW768" s="49"/>
      <c r="AX768" s="49"/>
    </row>
    <row r="769">
      <c r="A769" s="49"/>
      <c r="B769" s="49"/>
      <c r="C769" s="50"/>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c r="AF769" s="49"/>
      <c r="AG769" s="49"/>
      <c r="AH769" s="49"/>
      <c r="AI769" s="49"/>
      <c r="AJ769" s="49"/>
      <c r="AK769" s="49"/>
      <c r="AL769" s="49"/>
      <c r="AM769" s="49"/>
      <c r="AN769" s="49"/>
      <c r="AO769" s="49"/>
      <c r="AP769" s="49"/>
      <c r="AQ769" s="49"/>
      <c r="AR769" s="49"/>
      <c r="AS769" s="49"/>
      <c r="AT769" s="49"/>
      <c r="AU769" s="49"/>
      <c r="AV769" s="49"/>
      <c r="AW769" s="49"/>
      <c r="AX769" s="49"/>
    </row>
    <row r="770">
      <c r="A770" s="49"/>
      <c r="B770" s="49"/>
      <c r="C770" s="50"/>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c r="AF770" s="49"/>
      <c r="AG770" s="49"/>
      <c r="AH770" s="49"/>
      <c r="AI770" s="49"/>
      <c r="AJ770" s="49"/>
      <c r="AK770" s="49"/>
      <c r="AL770" s="49"/>
      <c r="AM770" s="49"/>
      <c r="AN770" s="49"/>
      <c r="AO770" s="49"/>
      <c r="AP770" s="49"/>
      <c r="AQ770" s="49"/>
      <c r="AR770" s="49"/>
      <c r="AS770" s="49"/>
      <c r="AT770" s="49"/>
      <c r="AU770" s="49"/>
      <c r="AV770" s="49"/>
      <c r="AW770" s="49"/>
      <c r="AX770" s="49"/>
    </row>
    <row r="771">
      <c r="A771" s="49"/>
      <c r="B771" s="49"/>
      <c r="C771" s="50"/>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c r="AF771" s="49"/>
      <c r="AG771" s="49"/>
      <c r="AH771" s="49"/>
      <c r="AI771" s="49"/>
      <c r="AJ771" s="49"/>
      <c r="AK771" s="49"/>
      <c r="AL771" s="49"/>
      <c r="AM771" s="49"/>
      <c r="AN771" s="49"/>
      <c r="AO771" s="49"/>
      <c r="AP771" s="49"/>
      <c r="AQ771" s="49"/>
      <c r="AR771" s="49"/>
      <c r="AS771" s="49"/>
      <c r="AT771" s="49"/>
      <c r="AU771" s="49"/>
      <c r="AV771" s="49"/>
      <c r="AW771" s="49"/>
      <c r="AX771" s="49"/>
    </row>
    <row r="772">
      <c r="A772" s="49"/>
      <c r="B772" s="49"/>
      <c r="C772" s="50"/>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c r="AF772" s="49"/>
      <c r="AG772" s="49"/>
      <c r="AH772" s="49"/>
      <c r="AI772" s="49"/>
      <c r="AJ772" s="49"/>
      <c r="AK772" s="49"/>
      <c r="AL772" s="49"/>
      <c r="AM772" s="49"/>
      <c r="AN772" s="49"/>
      <c r="AO772" s="49"/>
      <c r="AP772" s="49"/>
      <c r="AQ772" s="49"/>
      <c r="AR772" s="49"/>
      <c r="AS772" s="49"/>
      <c r="AT772" s="49"/>
      <c r="AU772" s="49"/>
      <c r="AV772" s="49"/>
      <c r="AW772" s="49"/>
      <c r="AX772" s="49"/>
    </row>
    <row r="773">
      <c r="A773" s="49"/>
      <c r="B773" s="49"/>
      <c r="C773" s="50"/>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c r="AF773" s="49"/>
      <c r="AG773" s="49"/>
      <c r="AH773" s="49"/>
      <c r="AI773" s="49"/>
      <c r="AJ773" s="49"/>
      <c r="AK773" s="49"/>
      <c r="AL773" s="49"/>
      <c r="AM773" s="49"/>
      <c r="AN773" s="49"/>
      <c r="AO773" s="49"/>
      <c r="AP773" s="49"/>
      <c r="AQ773" s="49"/>
      <c r="AR773" s="49"/>
      <c r="AS773" s="49"/>
      <c r="AT773" s="49"/>
      <c r="AU773" s="49"/>
      <c r="AV773" s="49"/>
      <c r="AW773" s="49"/>
      <c r="AX773" s="49"/>
    </row>
    <row r="774">
      <c r="A774" s="49"/>
      <c r="B774" s="49"/>
      <c r="C774" s="50"/>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c r="AF774" s="49"/>
      <c r="AG774" s="49"/>
      <c r="AH774" s="49"/>
      <c r="AI774" s="49"/>
      <c r="AJ774" s="49"/>
      <c r="AK774" s="49"/>
      <c r="AL774" s="49"/>
      <c r="AM774" s="49"/>
      <c r="AN774" s="49"/>
      <c r="AO774" s="49"/>
      <c r="AP774" s="49"/>
      <c r="AQ774" s="49"/>
      <c r="AR774" s="49"/>
      <c r="AS774" s="49"/>
      <c r="AT774" s="49"/>
      <c r="AU774" s="49"/>
      <c r="AV774" s="49"/>
      <c r="AW774" s="49"/>
      <c r="AX774" s="49"/>
    </row>
    <row r="775">
      <c r="A775" s="49"/>
      <c r="B775" s="49"/>
      <c r="C775" s="50"/>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c r="AF775" s="49"/>
      <c r="AG775" s="49"/>
      <c r="AH775" s="49"/>
      <c r="AI775" s="49"/>
      <c r="AJ775" s="49"/>
      <c r="AK775" s="49"/>
      <c r="AL775" s="49"/>
      <c r="AM775" s="49"/>
      <c r="AN775" s="49"/>
      <c r="AO775" s="49"/>
      <c r="AP775" s="49"/>
      <c r="AQ775" s="49"/>
      <c r="AR775" s="49"/>
      <c r="AS775" s="49"/>
      <c r="AT775" s="49"/>
      <c r="AU775" s="49"/>
      <c r="AV775" s="49"/>
      <c r="AW775" s="49"/>
      <c r="AX775" s="49"/>
    </row>
    <row r="776">
      <c r="A776" s="49"/>
      <c r="B776" s="49"/>
      <c r="C776" s="50"/>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c r="AF776" s="49"/>
      <c r="AG776" s="49"/>
      <c r="AH776" s="49"/>
      <c r="AI776" s="49"/>
      <c r="AJ776" s="49"/>
      <c r="AK776" s="49"/>
      <c r="AL776" s="49"/>
      <c r="AM776" s="49"/>
      <c r="AN776" s="49"/>
      <c r="AO776" s="49"/>
      <c r="AP776" s="49"/>
      <c r="AQ776" s="49"/>
      <c r="AR776" s="49"/>
      <c r="AS776" s="49"/>
      <c r="AT776" s="49"/>
      <c r="AU776" s="49"/>
      <c r="AV776" s="49"/>
      <c r="AW776" s="49"/>
      <c r="AX776" s="49"/>
    </row>
    <row r="777">
      <c r="A777" s="49"/>
      <c r="B777" s="49"/>
      <c r="C777" s="50"/>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c r="AF777" s="49"/>
      <c r="AG777" s="49"/>
      <c r="AH777" s="49"/>
      <c r="AI777" s="49"/>
      <c r="AJ777" s="49"/>
      <c r="AK777" s="49"/>
      <c r="AL777" s="49"/>
      <c r="AM777" s="49"/>
      <c r="AN777" s="49"/>
      <c r="AO777" s="49"/>
      <c r="AP777" s="49"/>
      <c r="AQ777" s="49"/>
      <c r="AR777" s="49"/>
      <c r="AS777" s="49"/>
      <c r="AT777" s="49"/>
      <c r="AU777" s="49"/>
      <c r="AV777" s="49"/>
      <c r="AW777" s="49"/>
      <c r="AX777" s="49"/>
    </row>
    <row r="778">
      <c r="A778" s="49"/>
      <c r="B778" s="49"/>
      <c r="C778" s="50"/>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c r="AF778" s="49"/>
      <c r="AG778" s="49"/>
      <c r="AH778" s="49"/>
      <c r="AI778" s="49"/>
      <c r="AJ778" s="49"/>
      <c r="AK778" s="49"/>
      <c r="AL778" s="49"/>
      <c r="AM778" s="49"/>
      <c r="AN778" s="49"/>
      <c r="AO778" s="49"/>
      <c r="AP778" s="49"/>
      <c r="AQ778" s="49"/>
      <c r="AR778" s="49"/>
      <c r="AS778" s="49"/>
      <c r="AT778" s="49"/>
      <c r="AU778" s="49"/>
      <c r="AV778" s="49"/>
      <c r="AW778" s="49"/>
      <c r="AX778" s="49"/>
    </row>
    <row r="779">
      <c r="A779" s="49"/>
      <c r="B779" s="49"/>
      <c r="C779" s="50"/>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c r="AF779" s="49"/>
      <c r="AG779" s="49"/>
      <c r="AH779" s="49"/>
      <c r="AI779" s="49"/>
      <c r="AJ779" s="49"/>
      <c r="AK779" s="49"/>
      <c r="AL779" s="49"/>
      <c r="AM779" s="49"/>
      <c r="AN779" s="49"/>
      <c r="AO779" s="49"/>
      <c r="AP779" s="49"/>
      <c r="AQ779" s="49"/>
      <c r="AR779" s="49"/>
      <c r="AS779" s="49"/>
      <c r="AT779" s="49"/>
      <c r="AU779" s="49"/>
      <c r="AV779" s="49"/>
      <c r="AW779" s="49"/>
      <c r="AX779" s="49"/>
    </row>
    <row r="780">
      <c r="A780" s="49"/>
      <c r="B780" s="49"/>
      <c r="C780" s="50"/>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c r="AF780" s="49"/>
      <c r="AG780" s="49"/>
      <c r="AH780" s="49"/>
      <c r="AI780" s="49"/>
      <c r="AJ780" s="49"/>
      <c r="AK780" s="49"/>
      <c r="AL780" s="49"/>
      <c r="AM780" s="49"/>
      <c r="AN780" s="49"/>
      <c r="AO780" s="49"/>
      <c r="AP780" s="49"/>
      <c r="AQ780" s="49"/>
      <c r="AR780" s="49"/>
      <c r="AS780" s="49"/>
      <c r="AT780" s="49"/>
      <c r="AU780" s="49"/>
      <c r="AV780" s="49"/>
      <c r="AW780" s="49"/>
      <c r="AX780" s="49"/>
    </row>
    <row r="781">
      <c r="A781" s="49"/>
      <c r="B781" s="49"/>
      <c r="C781" s="50"/>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c r="AF781" s="49"/>
      <c r="AG781" s="49"/>
      <c r="AH781" s="49"/>
      <c r="AI781" s="49"/>
      <c r="AJ781" s="49"/>
      <c r="AK781" s="49"/>
      <c r="AL781" s="49"/>
      <c r="AM781" s="49"/>
      <c r="AN781" s="49"/>
      <c r="AO781" s="49"/>
      <c r="AP781" s="49"/>
      <c r="AQ781" s="49"/>
      <c r="AR781" s="49"/>
      <c r="AS781" s="49"/>
      <c r="AT781" s="49"/>
      <c r="AU781" s="49"/>
      <c r="AV781" s="49"/>
      <c r="AW781" s="49"/>
      <c r="AX781" s="49"/>
    </row>
    <row r="782">
      <c r="A782" s="49"/>
      <c r="B782" s="49"/>
      <c r="C782" s="50"/>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c r="AF782" s="49"/>
      <c r="AG782" s="49"/>
      <c r="AH782" s="49"/>
      <c r="AI782" s="49"/>
      <c r="AJ782" s="49"/>
      <c r="AK782" s="49"/>
      <c r="AL782" s="49"/>
      <c r="AM782" s="49"/>
      <c r="AN782" s="49"/>
      <c r="AO782" s="49"/>
      <c r="AP782" s="49"/>
      <c r="AQ782" s="49"/>
      <c r="AR782" s="49"/>
      <c r="AS782" s="49"/>
      <c r="AT782" s="49"/>
      <c r="AU782" s="49"/>
      <c r="AV782" s="49"/>
      <c r="AW782" s="49"/>
      <c r="AX782" s="49"/>
    </row>
    <row r="783">
      <c r="A783" s="49"/>
      <c r="B783" s="49"/>
      <c r="C783" s="50"/>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c r="AF783" s="49"/>
      <c r="AG783" s="49"/>
      <c r="AH783" s="49"/>
      <c r="AI783" s="49"/>
      <c r="AJ783" s="49"/>
      <c r="AK783" s="49"/>
      <c r="AL783" s="49"/>
      <c r="AM783" s="49"/>
      <c r="AN783" s="49"/>
      <c r="AO783" s="49"/>
      <c r="AP783" s="49"/>
      <c r="AQ783" s="49"/>
      <c r="AR783" s="49"/>
      <c r="AS783" s="49"/>
      <c r="AT783" s="49"/>
      <c r="AU783" s="49"/>
      <c r="AV783" s="49"/>
      <c r="AW783" s="49"/>
      <c r="AX783" s="49"/>
    </row>
    <row r="784">
      <c r="A784" s="49"/>
      <c r="B784" s="49"/>
      <c r="C784" s="50"/>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c r="AF784" s="49"/>
      <c r="AG784" s="49"/>
      <c r="AH784" s="49"/>
      <c r="AI784" s="49"/>
      <c r="AJ784" s="49"/>
      <c r="AK784" s="49"/>
      <c r="AL784" s="49"/>
      <c r="AM784" s="49"/>
      <c r="AN784" s="49"/>
      <c r="AO784" s="49"/>
      <c r="AP784" s="49"/>
      <c r="AQ784" s="49"/>
      <c r="AR784" s="49"/>
      <c r="AS784" s="49"/>
      <c r="AT784" s="49"/>
      <c r="AU784" s="49"/>
      <c r="AV784" s="49"/>
      <c r="AW784" s="49"/>
      <c r="AX784" s="49"/>
    </row>
    <row r="785">
      <c r="A785" s="49"/>
      <c r="B785" s="49"/>
      <c r="C785" s="50"/>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c r="AF785" s="49"/>
      <c r="AG785" s="49"/>
      <c r="AH785" s="49"/>
      <c r="AI785" s="49"/>
      <c r="AJ785" s="49"/>
      <c r="AK785" s="49"/>
      <c r="AL785" s="49"/>
      <c r="AM785" s="49"/>
      <c r="AN785" s="49"/>
      <c r="AO785" s="49"/>
      <c r="AP785" s="49"/>
      <c r="AQ785" s="49"/>
      <c r="AR785" s="49"/>
      <c r="AS785" s="49"/>
      <c r="AT785" s="49"/>
      <c r="AU785" s="49"/>
      <c r="AV785" s="49"/>
      <c r="AW785" s="49"/>
      <c r="AX785" s="49"/>
    </row>
    <row r="786">
      <c r="A786" s="49"/>
      <c r="B786" s="49"/>
      <c r="C786" s="50"/>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c r="AF786" s="49"/>
      <c r="AG786" s="49"/>
      <c r="AH786" s="49"/>
      <c r="AI786" s="49"/>
      <c r="AJ786" s="49"/>
      <c r="AK786" s="49"/>
      <c r="AL786" s="49"/>
      <c r="AM786" s="49"/>
      <c r="AN786" s="49"/>
      <c r="AO786" s="49"/>
      <c r="AP786" s="49"/>
      <c r="AQ786" s="49"/>
      <c r="AR786" s="49"/>
      <c r="AS786" s="49"/>
      <c r="AT786" s="49"/>
      <c r="AU786" s="49"/>
      <c r="AV786" s="49"/>
      <c r="AW786" s="49"/>
      <c r="AX786" s="49"/>
    </row>
    <row r="787">
      <c r="A787" s="49"/>
      <c r="B787" s="49"/>
      <c r="C787" s="50"/>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c r="AF787" s="49"/>
      <c r="AG787" s="49"/>
      <c r="AH787" s="49"/>
      <c r="AI787" s="49"/>
      <c r="AJ787" s="49"/>
      <c r="AK787" s="49"/>
      <c r="AL787" s="49"/>
      <c r="AM787" s="49"/>
      <c r="AN787" s="49"/>
      <c r="AO787" s="49"/>
      <c r="AP787" s="49"/>
      <c r="AQ787" s="49"/>
      <c r="AR787" s="49"/>
      <c r="AS787" s="49"/>
      <c r="AT787" s="49"/>
      <c r="AU787" s="49"/>
      <c r="AV787" s="49"/>
      <c r="AW787" s="49"/>
      <c r="AX787" s="49"/>
    </row>
    <row r="788">
      <c r="A788" s="49"/>
      <c r="B788" s="49"/>
      <c r="C788" s="50"/>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c r="AF788" s="49"/>
      <c r="AG788" s="49"/>
      <c r="AH788" s="49"/>
      <c r="AI788" s="49"/>
      <c r="AJ788" s="49"/>
      <c r="AK788" s="49"/>
      <c r="AL788" s="49"/>
      <c r="AM788" s="49"/>
      <c r="AN788" s="49"/>
      <c r="AO788" s="49"/>
      <c r="AP788" s="49"/>
      <c r="AQ788" s="49"/>
      <c r="AR788" s="49"/>
      <c r="AS788" s="49"/>
      <c r="AT788" s="49"/>
      <c r="AU788" s="49"/>
      <c r="AV788" s="49"/>
      <c r="AW788" s="49"/>
      <c r="AX788" s="49"/>
    </row>
    <row r="789">
      <c r="A789" s="49"/>
      <c r="B789" s="49"/>
      <c r="C789" s="50"/>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c r="AF789" s="49"/>
      <c r="AG789" s="49"/>
      <c r="AH789" s="49"/>
      <c r="AI789" s="49"/>
      <c r="AJ789" s="49"/>
      <c r="AK789" s="49"/>
      <c r="AL789" s="49"/>
      <c r="AM789" s="49"/>
      <c r="AN789" s="49"/>
      <c r="AO789" s="49"/>
      <c r="AP789" s="49"/>
      <c r="AQ789" s="49"/>
      <c r="AR789" s="49"/>
      <c r="AS789" s="49"/>
      <c r="AT789" s="49"/>
      <c r="AU789" s="49"/>
      <c r="AV789" s="49"/>
      <c r="AW789" s="49"/>
      <c r="AX789" s="49"/>
    </row>
    <row r="790">
      <c r="A790" s="49"/>
      <c r="B790" s="49"/>
      <c r="C790" s="50"/>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c r="AF790" s="49"/>
      <c r="AG790" s="49"/>
      <c r="AH790" s="49"/>
      <c r="AI790" s="49"/>
      <c r="AJ790" s="49"/>
      <c r="AK790" s="49"/>
      <c r="AL790" s="49"/>
      <c r="AM790" s="49"/>
      <c r="AN790" s="49"/>
      <c r="AO790" s="49"/>
      <c r="AP790" s="49"/>
      <c r="AQ790" s="49"/>
      <c r="AR790" s="49"/>
      <c r="AS790" s="49"/>
      <c r="AT790" s="49"/>
      <c r="AU790" s="49"/>
      <c r="AV790" s="49"/>
      <c r="AW790" s="49"/>
      <c r="AX790" s="49"/>
    </row>
    <row r="791">
      <c r="A791" s="49"/>
      <c r="B791" s="49"/>
      <c r="C791" s="50"/>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c r="AF791" s="49"/>
      <c r="AG791" s="49"/>
      <c r="AH791" s="49"/>
      <c r="AI791" s="49"/>
      <c r="AJ791" s="49"/>
      <c r="AK791" s="49"/>
      <c r="AL791" s="49"/>
      <c r="AM791" s="49"/>
      <c r="AN791" s="49"/>
      <c r="AO791" s="49"/>
      <c r="AP791" s="49"/>
      <c r="AQ791" s="49"/>
      <c r="AR791" s="49"/>
      <c r="AS791" s="49"/>
      <c r="AT791" s="49"/>
      <c r="AU791" s="49"/>
      <c r="AV791" s="49"/>
      <c r="AW791" s="49"/>
      <c r="AX791" s="49"/>
    </row>
    <row r="792">
      <c r="A792" s="49"/>
      <c r="B792" s="49"/>
      <c r="C792" s="50"/>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c r="AF792" s="49"/>
      <c r="AG792" s="49"/>
      <c r="AH792" s="49"/>
      <c r="AI792" s="49"/>
      <c r="AJ792" s="49"/>
      <c r="AK792" s="49"/>
      <c r="AL792" s="49"/>
      <c r="AM792" s="49"/>
      <c r="AN792" s="49"/>
      <c r="AO792" s="49"/>
      <c r="AP792" s="49"/>
      <c r="AQ792" s="49"/>
      <c r="AR792" s="49"/>
      <c r="AS792" s="49"/>
      <c r="AT792" s="49"/>
      <c r="AU792" s="49"/>
      <c r="AV792" s="49"/>
      <c r="AW792" s="49"/>
      <c r="AX792" s="49"/>
    </row>
    <row r="793">
      <c r="A793" s="49"/>
      <c r="B793" s="49"/>
      <c r="C793" s="50"/>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c r="AF793" s="49"/>
      <c r="AG793" s="49"/>
      <c r="AH793" s="49"/>
      <c r="AI793" s="49"/>
      <c r="AJ793" s="49"/>
      <c r="AK793" s="49"/>
      <c r="AL793" s="49"/>
      <c r="AM793" s="49"/>
      <c r="AN793" s="49"/>
      <c r="AO793" s="49"/>
      <c r="AP793" s="49"/>
      <c r="AQ793" s="49"/>
      <c r="AR793" s="49"/>
      <c r="AS793" s="49"/>
      <c r="AT793" s="49"/>
      <c r="AU793" s="49"/>
      <c r="AV793" s="49"/>
      <c r="AW793" s="49"/>
      <c r="AX793" s="49"/>
    </row>
    <row r="794">
      <c r="A794" s="49"/>
      <c r="B794" s="49"/>
      <c r="C794" s="50"/>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c r="AF794" s="49"/>
      <c r="AG794" s="49"/>
      <c r="AH794" s="49"/>
      <c r="AI794" s="49"/>
      <c r="AJ794" s="49"/>
      <c r="AK794" s="49"/>
      <c r="AL794" s="49"/>
      <c r="AM794" s="49"/>
      <c r="AN794" s="49"/>
      <c r="AO794" s="49"/>
      <c r="AP794" s="49"/>
      <c r="AQ794" s="49"/>
      <c r="AR794" s="49"/>
      <c r="AS794" s="49"/>
      <c r="AT794" s="49"/>
      <c r="AU794" s="49"/>
      <c r="AV794" s="49"/>
      <c r="AW794" s="49"/>
      <c r="AX794" s="49"/>
    </row>
    <row r="795">
      <c r="A795" s="49"/>
      <c r="B795" s="49"/>
      <c r="C795" s="50"/>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c r="AF795" s="49"/>
      <c r="AG795" s="49"/>
      <c r="AH795" s="49"/>
      <c r="AI795" s="49"/>
      <c r="AJ795" s="49"/>
      <c r="AK795" s="49"/>
      <c r="AL795" s="49"/>
      <c r="AM795" s="49"/>
      <c r="AN795" s="49"/>
      <c r="AO795" s="49"/>
      <c r="AP795" s="49"/>
      <c r="AQ795" s="49"/>
      <c r="AR795" s="49"/>
      <c r="AS795" s="49"/>
      <c r="AT795" s="49"/>
      <c r="AU795" s="49"/>
      <c r="AV795" s="49"/>
      <c r="AW795" s="49"/>
      <c r="AX795" s="49"/>
    </row>
    <row r="796">
      <c r="A796" s="49"/>
      <c r="B796" s="49"/>
      <c r="C796" s="50"/>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c r="AF796" s="49"/>
      <c r="AG796" s="49"/>
      <c r="AH796" s="49"/>
      <c r="AI796" s="49"/>
      <c r="AJ796" s="49"/>
      <c r="AK796" s="49"/>
      <c r="AL796" s="49"/>
      <c r="AM796" s="49"/>
      <c r="AN796" s="49"/>
      <c r="AO796" s="49"/>
      <c r="AP796" s="49"/>
      <c r="AQ796" s="49"/>
      <c r="AR796" s="49"/>
      <c r="AS796" s="49"/>
      <c r="AT796" s="49"/>
      <c r="AU796" s="49"/>
      <c r="AV796" s="49"/>
      <c r="AW796" s="49"/>
      <c r="AX796" s="49"/>
    </row>
    <row r="797">
      <c r="A797" s="49"/>
      <c r="B797" s="49"/>
      <c r="C797" s="50"/>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c r="AF797" s="49"/>
      <c r="AG797" s="49"/>
      <c r="AH797" s="49"/>
      <c r="AI797" s="49"/>
      <c r="AJ797" s="49"/>
      <c r="AK797" s="49"/>
      <c r="AL797" s="49"/>
      <c r="AM797" s="49"/>
      <c r="AN797" s="49"/>
      <c r="AO797" s="49"/>
      <c r="AP797" s="49"/>
      <c r="AQ797" s="49"/>
      <c r="AR797" s="49"/>
      <c r="AS797" s="49"/>
      <c r="AT797" s="49"/>
      <c r="AU797" s="49"/>
      <c r="AV797" s="49"/>
      <c r="AW797" s="49"/>
      <c r="AX797" s="49"/>
    </row>
    <row r="798">
      <c r="A798" s="49"/>
      <c r="B798" s="49"/>
      <c r="C798" s="50"/>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c r="AF798" s="49"/>
      <c r="AG798" s="49"/>
      <c r="AH798" s="49"/>
      <c r="AI798" s="49"/>
      <c r="AJ798" s="49"/>
      <c r="AK798" s="49"/>
      <c r="AL798" s="49"/>
      <c r="AM798" s="49"/>
      <c r="AN798" s="49"/>
      <c r="AO798" s="49"/>
      <c r="AP798" s="49"/>
      <c r="AQ798" s="49"/>
      <c r="AR798" s="49"/>
      <c r="AS798" s="49"/>
      <c r="AT798" s="49"/>
      <c r="AU798" s="49"/>
      <c r="AV798" s="49"/>
      <c r="AW798" s="49"/>
      <c r="AX798" s="49"/>
    </row>
    <row r="799">
      <c r="A799" s="49"/>
      <c r="B799" s="49"/>
      <c r="C799" s="50"/>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c r="AF799" s="49"/>
      <c r="AG799" s="49"/>
      <c r="AH799" s="49"/>
      <c r="AI799" s="49"/>
      <c r="AJ799" s="49"/>
      <c r="AK799" s="49"/>
      <c r="AL799" s="49"/>
      <c r="AM799" s="49"/>
      <c r="AN799" s="49"/>
      <c r="AO799" s="49"/>
      <c r="AP799" s="49"/>
      <c r="AQ799" s="49"/>
      <c r="AR799" s="49"/>
      <c r="AS799" s="49"/>
      <c r="AT799" s="49"/>
      <c r="AU799" s="49"/>
      <c r="AV799" s="49"/>
      <c r="AW799" s="49"/>
      <c r="AX799" s="49"/>
    </row>
    <row r="800">
      <c r="A800" s="49"/>
      <c r="B800" s="49"/>
      <c r="C800" s="50"/>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c r="AF800" s="49"/>
      <c r="AG800" s="49"/>
      <c r="AH800" s="49"/>
      <c r="AI800" s="49"/>
      <c r="AJ800" s="49"/>
      <c r="AK800" s="49"/>
      <c r="AL800" s="49"/>
      <c r="AM800" s="49"/>
      <c r="AN800" s="49"/>
      <c r="AO800" s="49"/>
      <c r="AP800" s="49"/>
      <c r="AQ800" s="49"/>
      <c r="AR800" s="49"/>
      <c r="AS800" s="49"/>
      <c r="AT800" s="49"/>
      <c r="AU800" s="49"/>
      <c r="AV800" s="49"/>
      <c r="AW800" s="49"/>
      <c r="AX800" s="49"/>
    </row>
    <row r="801">
      <c r="A801" s="49"/>
      <c r="B801" s="49"/>
      <c r="C801" s="50"/>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c r="AF801" s="49"/>
      <c r="AG801" s="49"/>
      <c r="AH801" s="49"/>
      <c r="AI801" s="49"/>
      <c r="AJ801" s="49"/>
      <c r="AK801" s="49"/>
      <c r="AL801" s="49"/>
      <c r="AM801" s="49"/>
      <c r="AN801" s="49"/>
      <c r="AO801" s="49"/>
      <c r="AP801" s="49"/>
      <c r="AQ801" s="49"/>
      <c r="AR801" s="49"/>
      <c r="AS801" s="49"/>
      <c r="AT801" s="49"/>
      <c r="AU801" s="49"/>
      <c r="AV801" s="49"/>
      <c r="AW801" s="49"/>
      <c r="AX801" s="49"/>
    </row>
    <row r="802">
      <c r="A802" s="49"/>
      <c r="B802" s="49"/>
      <c r="C802" s="50"/>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c r="AF802" s="49"/>
      <c r="AG802" s="49"/>
      <c r="AH802" s="49"/>
      <c r="AI802" s="49"/>
      <c r="AJ802" s="49"/>
      <c r="AK802" s="49"/>
      <c r="AL802" s="49"/>
      <c r="AM802" s="49"/>
      <c r="AN802" s="49"/>
      <c r="AO802" s="49"/>
      <c r="AP802" s="49"/>
      <c r="AQ802" s="49"/>
      <c r="AR802" s="49"/>
      <c r="AS802" s="49"/>
      <c r="AT802" s="49"/>
      <c r="AU802" s="49"/>
      <c r="AV802" s="49"/>
      <c r="AW802" s="49"/>
      <c r="AX802" s="49"/>
    </row>
    <row r="803">
      <c r="A803" s="49"/>
      <c r="B803" s="49"/>
      <c r="C803" s="50"/>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c r="AF803" s="49"/>
      <c r="AG803" s="49"/>
      <c r="AH803" s="49"/>
      <c r="AI803" s="49"/>
      <c r="AJ803" s="49"/>
      <c r="AK803" s="49"/>
      <c r="AL803" s="49"/>
      <c r="AM803" s="49"/>
      <c r="AN803" s="49"/>
      <c r="AO803" s="49"/>
      <c r="AP803" s="49"/>
      <c r="AQ803" s="49"/>
      <c r="AR803" s="49"/>
      <c r="AS803" s="49"/>
      <c r="AT803" s="49"/>
      <c r="AU803" s="49"/>
      <c r="AV803" s="49"/>
      <c r="AW803" s="49"/>
      <c r="AX803" s="49"/>
    </row>
    <row r="804">
      <c r="A804" s="49"/>
      <c r="B804" s="49"/>
      <c r="C804" s="50"/>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c r="AF804" s="49"/>
      <c r="AG804" s="49"/>
      <c r="AH804" s="49"/>
      <c r="AI804" s="49"/>
      <c r="AJ804" s="49"/>
      <c r="AK804" s="49"/>
      <c r="AL804" s="49"/>
      <c r="AM804" s="49"/>
      <c r="AN804" s="49"/>
      <c r="AO804" s="49"/>
      <c r="AP804" s="49"/>
      <c r="AQ804" s="49"/>
      <c r="AR804" s="49"/>
      <c r="AS804" s="49"/>
      <c r="AT804" s="49"/>
      <c r="AU804" s="49"/>
      <c r="AV804" s="49"/>
      <c r="AW804" s="49"/>
      <c r="AX804" s="49"/>
    </row>
    <row r="805">
      <c r="A805" s="49"/>
      <c r="B805" s="49"/>
      <c r="C805" s="50"/>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c r="AF805" s="49"/>
      <c r="AG805" s="49"/>
      <c r="AH805" s="49"/>
      <c r="AI805" s="49"/>
      <c r="AJ805" s="49"/>
      <c r="AK805" s="49"/>
      <c r="AL805" s="49"/>
      <c r="AM805" s="49"/>
      <c r="AN805" s="49"/>
      <c r="AO805" s="49"/>
      <c r="AP805" s="49"/>
      <c r="AQ805" s="49"/>
      <c r="AR805" s="49"/>
      <c r="AS805" s="49"/>
      <c r="AT805" s="49"/>
      <c r="AU805" s="49"/>
      <c r="AV805" s="49"/>
      <c r="AW805" s="49"/>
      <c r="AX805" s="49"/>
    </row>
    <row r="806">
      <c r="A806" s="49"/>
      <c r="B806" s="49"/>
      <c r="C806" s="50"/>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c r="AF806" s="49"/>
      <c r="AG806" s="49"/>
      <c r="AH806" s="49"/>
      <c r="AI806" s="49"/>
      <c r="AJ806" s="49"/>
      <c r="AK806" s="49"/>
      <c r="AL806" s="49"/>
      <c r="AM806" s="49"/>
      <c r="AN806" s="49"/>
      <c r="AO806" s="49"/>
      <c r="AP806" s="49"/>
      <c r="AQ806" s="49"/>
      <c r="AR806" s="49"/>
      <c r="AS806" s="49"/>
      <c r="AT806" s="49"/>
      <c r="AU806" s="49"/>
      <c r="AV806" s="49"/>
      <c r="AW806" s="49"/>
      <c r="AX806" s="49"/>
    </row>
    <row r="807">
      <c r="A807" s="49"/>
      <c r="B807" s="49"/>
      <c r="C807" s="50"/>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c r="AF807" s="49"/>
      <c r="AG807" s="49"/>
      <c r="AH807" s="49"/>
      <c r="AI807" s="49"/>
      <c r="AJ807" s="49"/>
      <c r="AK807" s="49"/>
      <c r="AL807" s="49"/>
      <c r="AM807" s="49"/>
      <c r="AN807" s="49"/>
      <c r="AO807" s="49"/>
      <c r="AP807" s="49"/>
      <c r="AQ807" s="49"/>
      <c r="AR807" s="49"/>
      <c r="AS807" s="49"/>
      <c r="AT807" s="49"/>
      <c r="AU807" s="49"/>
      <c r="AV807" s="49"/>
      <c r="AW807" s="49"/>
      <c r="AX807" s="49"/>
    </row>
    <row r="808">
      <c r="A808" s="49"/>
      <c r="B808" s="49"/>
      <c r="C808" s="50"/>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c r="AF808" s="49"/>
      <c r="AG808" s="49"/>
      <c r="AH808" s="49"/>
      <c r="AI808" s="49"/>
      <c r="AJ808" s="49"/>
      <c r="AK808" s="49"/>
      <c r="AL808" s="49"/>
      <c r="AM808" s="49"/>
      <c r="AN808" s="49"/>
      <c r="AO808" s="49"/>
      <c r="AP808" s="49"/>
      <c r="AQ808" s="49"/>
      <c r="AR808" s="49"/>
      <c r="AS808" s="49"/>
      <c r="AT808" s="49"/>
      <c r="AU808" s="49"/>
      <c r="AV808" s="49"/>
      <c r="AW808" s="49"/>
      <c r="AX808" s="49"/>
    </row>
    <row r="809">
      <c r="A809" s="49"/>
      <c r="B809" s="49"/>
      <c r="C809" s="50"/>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c r="AF809" s="49"/>
      <c r="AG809" s="49"/>
      <c r="AH809" s="49"/>
      <c r="AI809" s="49"/>
      <c r="AJ809" s="49"/>
      <c r="AK809" s="49"/>
      <c r="AL809" s="49"/>
      <c r="AM809" s="49"/>
      <c r="AN809" s="49"/>
      <c r="AO809" s="49"/>
      <c r="AP809" s="49"/>
      <c r="AQ809" s="49"/>
      <c r="AR809" s="49"/>
      <c r="AS809" s="49"/>
      <c r="AT809" s="49"/>
      <c r="AU809" s="49"/>
      <c r="AV809" s="49"/>
      <c r="AW809" s="49"/>
      <c r="AX809" s="49"/>
    </row>
    <row r="810">
      <c r="A810" s="49"/>
      <c r="B810" s="49"/>
      <c r="C810" s="50"/>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c r="AF810" s="49"/>
      <c r="AG810" s="49"/>
      <c r="AH810" s="49"/>
      <c r="AI810" s="49"/>
      <c r="AJ810" s="49"/>
      <c r="AK810" s="49"/>
      <c r="AL810" s="49"/>
      <c r="AM810" s="49"/>
      <c r="AN810" s="49"/>
      <c r="AO810" s="49"/>
      <c r="AP810" s="49"/>
      <c r="AQ810" s="49"/>
      <c r="AR810" s="49"/>
      <c r="AS810" s="49"/>
      <c r="AT810" s="49"/>
      <c r="AU810" s="49"/>
      <c r="AV810" s="49"/>
      <c r="AW810" s="49"/>
      <c r="AX810" s="49"/>
    </row>
    <row r="811">
      <c r="A811" s="49"/>
      <c r="B811" s="49"/>
      <c r="C811" s="50"/>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c r="AF811" s="49"/>
      <c r="AG811" s="49"/>
      <c r="AH811" s="49"/>
      <c r="AI811" s="49"/>
      <c r="AJ811" s="49"/>
      <c r="AK811" s="49"/>
      <c r="AL811" s="49"/>
      <c r="AM811" s="49"/>
      <c r="AN811" s="49"/>
      <c r="AO811" s="49"/>
      <c r="AP811" s="49"/>
      <c r="AQ811" s="49"/>
      <c r="AR811" s="49"/>
      <c r="AS811" s="49"/>
      <c r="AT811" s="49"/>
      <c r="AU811" s="49"/>
      <c r="AV811" s="49"/>
      <c r="AW811" s="49"/>
      <c r="AX811" s="49"/>
    </row>
    <row r="812">
      <c r="A812" s="49"/>
      <c r="B812" s="49"/>
      <c r="C812" s="50"/>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c r="AF812" s="49"/>
      <c r="AG812" s="49"/>
      <c r="AH812" s="49"/>
      <c r="AI812" s="49"/>
      <c r="AJ812" s="49"/>
      <c r="AK812" s="49"/>
      <c r="AL812" s="49"/>
      <c r="AM812" s="49"/>
      <c r="AN812" s="49"/>
      <c r="AO812" s="49"/>
      <c r="AP812" s="49"/>
      <c r="AQ812" s="49"/>
      <c r="AR812" s="49"/>
      <c r="AS812" s="49"/>
      <c r="AT812" s="49"/>
      <c r="AU812" s="49"/>
      <c r="AV812" s="49"/>
      <c r="AW812" s="49"/>
      <c r="AX812" s="49"/>
    </row>
    <row r="813">
      <c r="A813" s="49"/>
      <c r="B813" s="49"/>
      <c r="C813" s="50"/>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c r="AF813" s="49"/>
      <c r="AG813" s="49"/>
      <c r="AH813" s="49"/>
      <c r="AI813" s="49"/>
      <c r="AJ813" s="49"/>
      <c r="AK813" s="49"/>
      <c r="AL813" s="49"/>
      <c r="AM813" s="49"/>
      <c r="AN813" s="49"/>
      <c r="AO813" s="49"/>
      <c r="AP813" s="49"/>
      <c r="AQ813" s="49"/>
      <c r="AR813" s="49"/>
      <c r="AS813" s="49"/>
      <c r="AT813" s="49"/>
      <c r="AU813" s="49"/>
      <c r="AV813" s="49"/>
      <c r="AW813" s="49"/>
      <c r="AX813" s="49"/>
    </row>
    <row r="814">
      <c r="A814" s="49"/>
      <c r="B814" s="49"/>
      <c r="C814" s="50"/>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c r="AF814" s="49"/>
      <c r="AG814" s="49"/>
      <c r="AH814" s="49"/>
      <c r="AI814" s="49"/>
      <c r="AJ814" s="49"/>
      <c r="AK814" s="49"/>
      <c r="AL814" s="49"/>
      <c r="AM814" s="49"/>
      <c r="AN814" s="49"/>
      <c r="AO814" s="49"/>
      <c r="AP814" s="49"/>
      <c r="AQ814" s="49"/>
      <c r="AR814" s="49"/>
      <c r="AS814" s="49"/>
      <c r="AT814" s="49"/>
      <c r="AU814" s="49"/>
      <c r="AV814" s="49"/>
      <c r="AW814" s="49"/>
      <c r="AX814" s="49"/>
    </row>
    <row r="815">
      <c r="A815" s="49"/>
      <c r="B815" s="49"/>
      <c r="C815" s="50"/>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c r="AF815" s="49"/>
      <c r="AG815" s="49"/>
      <c r="AH815" s="49"/>
      <c r="AI815" s="49"/>
      <c r="AJ815" s="49"/>
      <c r="AK815" s="49"/>
      <c r="AL815" s="49"/>
      <c r="AM815" s="49"/>
      <c r="AN815" s="49"/>
      <c r="AO815" s="49"/>
      <c r="AP815" s="49"/>
      <c r="AQ815" s="49"/>
      <c r="AR815" s="49"/>
      <c r="AS815" s="49"/>
      <c r="AT815" s="49"/>
      <c r="AU815" s="49"/>
      <c r="AV815" s="49"/>
      <c r="AW815" s="49"/>
      <c r="AX815" s="49"/>
    </row>
    <row r="816">
      <c r="A816" s="49"/>
      <c r="B816" s="49"/>
      <c r="C816" s="50"/>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c r="AF816" s="49"/>
      <c r="AG816" s="49"/>
      <c r="AH816" s="49"/>
      <c r="AI816" s="49"/>
      <c r="AJ816" s="49"/>
      <c r="AK816" s="49"/>
      <c r="AL816" s="49"/>
      <c r="AM816" s="49"/>
      <c r="AN816" s="49"/>
      <c r="AO816" s="49"/>
      <c r="AP816" s="49"/>
      <c r="AQ816" s="49"/>
      <c r="AR816" s="49"/>
      <c r="AS816" s="49"/>
      <c r="AT816" s="49"/>
      <c r="AU816" s="49"/>
      <c r="AV816" s="49"/>
      <c r="AW816" s="49"/>
      <c r="AX816" s="49"/>
    </row>
    <row r="817">
      <c r="A817" s="49"/>
      <c r="B817" s="49"/>
      <c r="C817" s="50"/>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c r="AF817" s="49"/>
      <c r="AG817" s="49"/>
      <c r="AH817" s="49"/>
      <c r="AI817" s="49"/>
      <c r="AJ817" s="49"/>
      <c r="AK817" s="49"/>
      <c r="AL817" s="49"/>
      <c r="AM817" s="49"/>
      <c r="AN817" s="49"/>
      <c r="AO817" s="49"/>
      <c r="AP817" s="49"/>
      <c r="AQ817" s="49"/>
      <c r="AR817" s="49"/>
      <c r="AS817" s="49"/>
      <c r="AT817" s="49"/>
      <c r="AU817" s="49"/>
      <c r="AV817" s="49"/>
      <c r="AW817" s="49"/>
      <c r="AX817" s="49"/>
    </row>
    <row r="818">
      <c r="A818" s="49"/>
      <c r="B818" s="49"/>
      <c r="C818" s="50"/>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c r="AF818" s="49"/>
      <c r="AG818" s="49"/>
      <c r="AH818" s="49"/>
      <c r="AI818" s="49"/>
      <c r="AJ818" s="49"/>
      <c r="AK818" s="49"/>
      <c r="AL818" s="49"/>
      <c r="AM818" s="49"/>
      <c r="AN818" s="49"/>
      <c r="AO818" s="49"/>
      <c r="AP818" s="49"/>
      <c r="AQ818" s="49"/>
      <c r="AR818" s="49"/>
      <c r="AS818" s="49"/>
      <c r="AT818" s="49"/>
      <c r="AU818" s="49"/>
      <c r="AV818" s="49"/>
      <c r="AW818" s="49"/>
      <c r="AX818" s="49"/>
    </row>
    <row r="819">
      <c r="A819" s="49"/>
      <c r="B819" s="49"/>
      <c r="C819" s="50"/>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c r="AF819" s="49"/>
      <c r="AG819" s="49"/>
      <c r="AH819" s="49"/>
      <c r="AI819" s="49"/>
      <c r="AJ819" s="49"/>
      <c r="AK819" s="49"/>
      <c r="AL819" s="49"/>
      <c r="AM819" s="49"/>
      <c r="AN819" s="49"/>
      <c r="AO819" s="49"/>
      <c r="AP819" s="49"/>
      <c r="AQ819" s="49"/>
      <c r="AR819" s="49"/>
      <c r="AS819" s="49"/>
      <c r="AT819" s="49"/>
      <c r="AU819" s="49"/>
      <c r="AV819" s="49"/>
      <c r="AW819" s="49"/>
      <c r="AX819" s="49"/>
    </row>
    <row r="820">
      <c r="A820" s="49"/>
      <c r="B820" s="49"/>
      <c r="C820" s="50"/>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c r="AF820" s="49"/>
      <c r="AG820" s="49"/>
      <c r="AH820" s="49"/>
      <c r="AI820" s="49"/>
      <c r="AJ820" s="49"/>
      <c r="AK820" s="49"/>
      <c r="AL820" s="49"/>
      <c r="AM820" s="49"/>
      <c r="AN820" s="49"/>
      <c r="AO820" s="49"/>
      <c r="AP820" s="49"/>
      <c r="AQ820" s="49"/>
      <c r="AR820" s="49"/>
      <c r="AS820" s="49"/>
      <c r="AT820" s="49"/>
      <c r="AU820" s="49"/>
      <c r="AV820" s="49"/>
      <c r="AW820" s="49"/>
      <c r="AX820" s="49"/>
    </row>
    <row r="821">
      <c r="A821" s="49"/>
      <c r="B821" s="49"/>
      <c r="C821" s="50"/>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c r="AF821" s="49"/>
      <c r="AG821" s="49"/>
      <c r="AH821" s="49"/>
      <c r="AI821" s="49"/>
      <c r="AJ821" s="49"/>
      <c r="AK821" s="49"/>
      <c r="AL821" s="49"/>
      <c r="AM821" s="49"/>
      <c r="AN821" s="49"/>
      <c r="AO821" s="49"/>
      <c r="AP821" s="49"/>
      <c r="AQ821" s="49"/>
      <c r="AR821" s="49"/>
      <c r="AS821" s="49"/>
      <c r="AT821" s="49"/>
      <c r="AU821" s="49"/>
      <c r="AV821" s="49"/>
      <c r="AW821" s="49"/>
      <c r="AX821" s="49"/>
    </row>
    <row r="822">
      <c r="A822" s="49"/>
      <c r="B822" s="49"/>
      <c r="C822" s="50"/>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c r="AF822" s="49"/>
      <c r="AG822" s="49"/>
      <c r="AH822" s="49"/>
      <c r="AI822" s="49"/>
      <c r="AJ822" s="49"/>
      <c r="AK822" s="49"/>
      <c r="AL822" s="49"/>
      <c r="AM822" s="49"/>
      <c r="AN822" s="49"/>
      <c r="AO822" s="49"/>
      <c r="AP822" s="49"/>
      <c r="AQ822" s="49"/>
      <c r="AR822" s="49"/>
      <c r="AS822" s="49"/>
      <c r="AT822" s="49"/>
      <c r="AU822" s="49"/>
      <c r="AV822" s="49"/>
      <c r="AW822" s="49"/>
      <c r="AX822" s="49"/>
    </row>
    <row r="823">
      <c r="A823" s="49"/>
      <c r="B823" s="49"/>
      <c r="C823" s="50"/>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c r="AF823" s="49"/>
      <c r="AG823" s="49"/>
      <c r="AH823" s="49"/>
      <c r="AI823" s="49"/>
      <c r="AJ823" s="49"/>
      <c r="AK823" s="49"/>
      <c r="AL823" s="49"/>
      <c r="AM823" s="49"/>
      <c r="AN823" s="49"/>
      <c r="AO823" s="49"/>
      <c r="AP823" s="49"/>
      <c r="AQ823" s="49"/>
      <c r="AR823" s="49"/>
      <c r="AS823" s="49"/>
      <c r="AT823" s="49"/>
      <c r="AU823" s="49"/>
      <c r="AV823" s="49"/>
      <c r="AW823" s="49"/>
      <c r="AX823" s="49"/>
    </row>
    <row r="824">
      <c r="A824" s="49"/>
      <c r="B824" s="49"/>
      <c r="C824" s="50"/>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c r="AF824" s="49"/>
      <c r="AG824" s="49"/>
      <c r="AH824" s="49"/>
      <c r="AI824" s="49"/>
      <c r="AJ824" s="49"/>
      <c r="AK824" s="49"/>
      <c r="AL824" s="49"/>
      <c r="AM824" s="49"/>
      <c r="AN824" s="49"/>
      <c r="AO824" s="49"/>
      <c r="AP824" s="49"/>
      <c r="AQ824" s="49"/>
      <c r="AR824" s="49"/>
      <c r="AS824" s="49"/>
      <c r="AT824" s="49"/>
      <c r="AU824" s="49"/>
      <c r="AV824" s="49"/>
      <c r="AW824" s="49"/>
      <c r="AX824" s="49"/>
    </row>
    <row r="825">
      <c r="A825" s="49"/>
      <c r="B825" s="49"/>
      <c r="C825" s="50"/>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c r="AF825" s="49"/>
      <c r="AG825" s="49"/>
      <c r="AH825" s="49"/>
      <c r="AI825" s="49"/>
      <c r="AJ825" s="49"/>
      <c r="AK825" s="49"/>
      <c r="AL825" s="49"/>
      <c r="AM825" s="49"/>
      <c r="AN825" s="49"/>
      <c r="AO825" s="49"/>
      <c r="AP825" s="49"/>
      <c r="AQ825" s="49"/>
      <c r="AR825" s="49"/>
      <c r="AS825" s="49"/>
      <c r="AT825" s="49"/>
      <c r="AU825" s="49"/>
      <c r="AV825" s="49"/>
      <c r="AW825" s="49"/>
      <c r="AX825" s="49"/>
    </row>
    <row r="826">
      <c r="A826" s="49"/>
      <c r="B826" s="49"/>
      <c r="C826" s="50"/>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c r="AF826" s="49"/>
      <c r="AG826" s="49"/>
      <c r="AH826" s="49"/>
      <c r="AI826" s="49"/>
      <c r="AJ826" s="49"/>
      <c r="AK826" s="49"/>
      <c r="AL826" s="49"/>
      <c r="AM826" s="49"/>
      <c r="AN826" s="49"/>
      <c r="AO826" s="49"/>
      <c r="AP826" s="49"/>
      <c r="AQ826" s="49"/>
      <c r="AR826" s="49"/>
      <c r="AS826" s="49"/>
      <c r="AT826" s="49"/>
      <c r="AU826" s="49"/>
      <c r="AV826" s="49"/>
      <c r="AW826" s="49"/>
      <c r="AX826" s="49"/>
    </row>
    <row r="827">
      <c r="A827" s="49"/>
      <c r="B827" s="49"/>
      <c r="C827" s="50"/>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c r="AF827" s="49"/>
      <c r="AG827" s="49"/>
      <c r="AH827" s="49"/>
      <c r="AI827" s="49"/>
      <c r="AJ827" s="49"/>
      <c r="AK827" s="49"/>
      <c r="AL827" s="49"/>
      <c r="AM827" s="49"/>
      <c r="AN827" s="49"/>
      <c r="AO827" s="49"/>
      <c r="AP827" s="49"/>
      <c r="AQ827" s="49"/>
      <c r="AR827" s="49"/>
      <c r="AS827" s="49"/>
      <c r="AT827" s="49"/>
      <c r="AU827" s="49"/>
      <c r="AV827" s="49"/>
      <c r="AW827" s="49"/>
      <c r="AX827" s="49"/>
    </row>
    <row r="828">
      <c r="A828" s="49"/>
      <c r="B828" s="49"/>
      <c r="C828" s="50"/>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c r="AF828" s="49"/>
      <c r="AG828" s="49"/>
      <c r="AH828" s="49"/>
      <c r="AI828" s="49"/>
      <c r="AJ828" s="49"/>
      <c r="AK828" s="49"/>
      <c r="AL828" s="49"/>
      <c r="AM828" s="49"/>
      <c r="AN828" s="49"/>
      <c r="AO828" s="49"/>
      <c r="AP828" s="49"/>
      <c r="AQ828" s="49"/>
      <c r="AR828" s="49"/>
      <c r="AS828" s="49"/>
      <c r="AT828" s="49"/>
      <c r="AU828" s="49"/>
      <c r="AV828" s="49"/>
      <c r="AW828" s="49"/>
      <c r="AX828" s="49"/>
    </row>
    <row r="829">
      <c r="A829" s="49"/>
      <c r="B829" s="49"/>
      <c r="C829" s="50"/>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c r="AF829" s="49"/>
      <c r="AG829" s="49"/>
      <c r="AH829" s="49"/>
      <c r="AI829" s="49"/>
      <c r="AJ829" s="49"/>
      <c r="AK829" s="49"/>
      <c r="AL829" s="49"/>
      <c r="AM829" s="49"/>
      <c r="AN829" s="49"/>
      <c r="AO829" s="49"/>
      <c r="AP829" s="49"/>
      <c r="AQ829" s="49"/>
      <c r="AR829" s="49"/>
      <c r="AS829" s="49"/>
      <c r="AT829" s="49"/>
      <c r="AU829" s="49"/>
      <c r="AV829" s="49"/>
      <c r="AW829" s="49"/>
      <c r="AX829" s="49"/>
    </row>
    <row r="830">
      <c r="A830" s="49"/>
      <c r="B830" s="49"/>
      <c r="C830" s="50"/>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c r="AF830" s="49"/>
      <c r="AG830" s="49"/>
      <c r="AH830" s="49"/>
      <c r="AI830" s="49"/>
      <c r="AJ830" s="49"/>
      <c r="AK830" s="49"/>
      <c r="AL830" s="49"/>
      <c r="AM830" s="49"/>
      <c r="AN830" s="49"/>
      <c r="AO830" s="49"/>
      <c r="AP830" s="49"/>
      <c r="AQ830" s="49"/>
      <c r="AR830" s="49"/>
      <c r="AS830" s="49"/>
      <c r="AT830" s="49"/>
      <c r="AU830" s="49"/>
      <c r="AV830" s="49"/>
      <c r="AW830" s="49"/>
      <c r="AX830" s="49"/>
    </row>
    <row r="831">
      <c r="A831" s="49"/>
      <c r="B831" s="49"/>
      <c r="C831" s="50"/>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c r="AF831" s="49"/>
      <c r="AG831" s="49"/>
      <c r="AH831" s="49"/>
      <c r="AI831" s="49"/>
      <c r="AJ831" s="49"/>
      <c r="AK831" s="49"/>
      <c r="AL831" s="49"/>
      <c r="AM831" s="49"/>
      <c r="AN831" s="49"/>
      <c r="AO831" s="49"/>
      <c r="AP831" s="49"/>
      <c r="AQ831" s="49"/>
      <c r="AR831" s="49"/>
      <c r="AS831" s="49"/>
      <c r="AT831" s="49"/>
      <c r="AU831" s="49"/>
      <c r="AV831" s="49"/>
      <c r="AW831" s="49"/>
      <c r="AX831" s="49"/>
    </row>
    <row r="832">
      <c r="A832" s="49"/>
      <c r="B832" s="49"/>
      <c r="C832" s="50"/>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c r="AF832" s="49"/>
      <c r="AG832" s="49"/>
      <c r="AH832" s="49"/>
      <c r="AI832" s="49"/>
      <c r="AJ832" s="49"/>
      <c r="AK832" s="49"/>
      <c r="AL832" s="49"/>
      <c r="AM832" s="49"/>
      <c r="AN832" s="49"/>
      <c r="AO832" s="49"/>
      <c r="AP832" s="49"/>
      <c r="AQ832" s="49"/>
      <c r="AR832" s="49"/>
      <c r="AS832" s="49"/>
      <c r="AT832" s="49"/>
      <c r="AU832" s="49"/>
      <c r="AV832" s="49"/>
      <c r="AW832" s="49"/>
      <c r="AX832" s="49"/>
    </row>
    <row r="833">
      <c r="A833" s="49"/>
      <c r="B833" s="49"/>
      <c r="C833" s="50"/>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c r="AF833" s="49"/>
      <c r="AG833" s="49"/>
      <c r="AH833" s="49"/>
      <c r="AI833" s="49"/>
      <c r="AJ833" s="49"/>
      <c r="AK833" s="49"/>
      <c r="AL833" s="49"/>
      <c r="AM833" s="49"/>
      <c r="AN833" s="49"/>
      <c r="AO833" s="49"/>
      <c r="AP833" s="49"/>
      <c r="AQ833" s="49"/>
      <c r="AR833" s="49"/>
      <c r="AS833" s="49"/>
      <c r="AT833" s="49"/>
      <c r="AU833" s="49"/>
      <c r="AV833" s="49"/>
      <c r="AW833" s="49"/>
      <c r="AX833" s="49"/>
    </row>
    <row r="834">
      <c r="A834" s="49"/>
      <c r="B834" s="49"/>
      <c r="C834" s="50"/>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c r="AF834" s="49"/>
      <c r="AG834" s="49"/>
      <c r="AH834" s="49"/>
      <c r="AI834" s="49"/>
      <c r="AJ834" s="49"/>
      <c r="AK834" s="49"/>
      <c r="AL834" s="49"/>
      <c r="AM834" s="49"/>
      <c r="AN834" s="49"/>
      <c r="AO834" s="49"/>
      <c r="AP834" s="49"/>
      <c r="AQ834" s="49"/>
      <c r="AR834" s="49"/>
      <c r="AS834" s="49"/>
      <c r="AT834" s="49"/>
      <c r="AU834" s="49"/>
      <c r="AV834" s="49"/>
      <c r="AW834" s="49"/>
      <c r="AX834" s="49"/>
    </row>
    <row r="835">
      <c r="A835" s="49"/>
      <c r="B835" s="49"/>
      <c r="C835" s="50"/>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c r="AF835" s="49"/>
      <c r="AG835" s="49"/>
      <c r="AH835" s="49"/>
      <c r="AI835" s="49"/>
      <c r="AJ835" s="49"/>
      <c r="AK835" s="49"/>
      <c r="AL835" s="49"/>
      <c r="AM835" s="49"/>
      <c r="AN835" s="49"/>
      <c r="AO835" s="49"/>
      <c r="AP835" s="49"/>
      <c r="AQ835" s="49"/>
      <c r="AR835" s="49"/>
      <c r="AS835" s="49"/>
      <c r="AT835" s="49"/>
      <c r="AU835" s="49"/>
      <c r="AV835" s="49"/>
      <c r="AW835" s="49"/>
      <c r="AX835" s="49"/>
    </row>
    <row r="836">
      <c r="A836" s="49"/>
      <c r="B836" s="49"/>
      <c r="C836" s="50"/>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c r="AF836" s="49"/>
      <c r="AG836" s="49"/>
      <c r="AH836" s="49"/>
      <c r="AI836" s="49"/>
      <c r="AJ836" s="49"/>
      <c r="AK836" s="49"/>
      <c r="AL836" s="49"/>
      <c r="AM836" s="49"/>
      <c r="AN836" s="49"/>
      <c r="AO836" s="49"/>
      <c r="AP836" s="49"/>
      <c r="AQ836" s="49"/>
      <c r="AR836" s="49"/>
      <c r="AS836" s="49"/>
      <c r="AT836" s="49"/>
      <c r="AU836" s="49"/>
      <c r="AV836" s="49"/>
      <c r="AW836" s="49"/>
      <c r="AX836" s="49"/>
    </row>
    <row r="837">
      <c r="A837" s="49"/>
      <c r="B837" s="49"/>
      <c r="C837" s="50"/>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c r="AF837" s="49"/>
      <c r="AG837" s="49"/>
      <c r="AH837" s="49"/>
      <c r="AI837" s="49"/>
      <c r="AJ837" s="49"/>
      <c r="AK837" s="49"/>
      <c r="AL837" s="49"/>
      <c r="AM837" s="49"/>
      <c r="AN837" s="49"/>
      <c r="AO837" s="49"/>
      <c r="AP837" s="49"/>
      <c r="AQ837" s="49"/>
      <c r="AR837" s="49"/>
      <c r="AS837" s="49"/>
      <c r="AT837" s="49"/>
      <c r="AU837" s="49"/>
      <c r="AV837" s="49"/>
      <c r="AW837" s="49"/>
      <c r="AX837" s="49"/>
    </row>
    <row r="838">
      <c r="A838" s="49"/>
      <c r="B838" s="49"/>
      <c r="C838" s="50"/>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c r="AF838" s="49"/>
      <c r="AG838" s="49"/>
      <c r="AH838" s="49"/>
      <c r="AI838" s="49"/>
      <c r="AJ838" s="49"/>
      <c r="AK838" s="49"/>
      <c r="AL838" s="49"/>
      <c r="AM838" s="49"/>
      <c r="AN838" s="49"/>
      <c r="AO838" s="49"/>
      <c r="AP838" s="49"/>
      <c r="AQ838" s="49"/>
      <c r="AR838" s="49"/>
      <c r="AS838" s="49"/>
      <c r="AT838" s="49"/>
      <c r="AU838" s="49"/>
      <c r="AV838" s="49"/>
      <c r="AW838" s="49"/>
      <c r="AX838" s="49"/>
    </row>
    <row r="839">
      <c r="A839" s="49"/>
      <c r="B839" s="49"/>
      <c r="C839" s="50"/>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c r="AF839" s="49"/>
      <c r="AG839" s="49"/>
      <c r="AH839" s="49"/>
      <c r="AI839" s="49"/>
      <c r="AJ839" s="49"/>
      <c r="AK839" s="49"/>
      <c r="AL839" s="49"/>
      <c r="AM839" s="49"/>
      <c r="AN839" s="49"/>
      <c r="AO839" s="49"/>
      <c r="AP839" s="49"/>
      <c r="AQ839" s="49"/>
      <c r="AR839" s="49"/>
      <c r="AS839" s="49"/>
      <c r="AT839" s="49"/>
      <c r="AU839" s="49"/>
      <c r="AV839" s="49"/>
      <c r="AW839" s="49"/>
      <c r="AX839" s="49"/>
    </row>
    <row r="840">
      <c r="A840" s="49"/>
      <c r="B840" s="49"/>
      <c r="C840" s="50"/>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c r="AF840" s="49"/>
      <c r="AG840" s="49"/>
      <c r="AH840" s="49"/>
      <c r="AI840" s="49"/>
      <c r="AJ840" s="49"/>
      <c r="AK840" s="49"/>
      <c r="AL840" s="49"/>
      <c r="AM840" s="49"/>
      <c r="AN840" s="49"/>
      <c r="AO840" s="49"/>
      <c r="AP840" s="49"/>
      <c r="AQ840" s="49"/>
      <c r="AR840" s="49"/>
      <c r="AS840" s="49"/>
      <c r="AT840" s="49"/>
      <c r="AU840" s="49"/>
      <c r="AV840" s="49"/>
      <c r="AW840" s="49"/>
      <c r="AX840" s="49"/>
    </row>
    <row r="841">
      <c r="A841" s="49"/>
      <c r="B841" s="49"/>
      <c r="C841" s="50"/>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c r="AF841" s="49"/>
      <c r="AG841" s="49"/>
      <c r="AH841" s="49"/>
      <c r="AI841" s="49"/>
      <c r="AJ841" s="49"/>
      <c r="AK841" s="49"/>
      <c r="AL841" s="49"/>
      <c r="AM841" s="49"/>
      <c r="AN841" s="49"/>
      <c r="AO841" s="49"/>
      <c r="AP841" s="49"/>
      <c r="AQ841" s="49"/>
      <c r="AR841" s="49"/>
      <c r="AS841" s="49"/>
      <c r="AT841" s="49"/>
      <c r="AU841" s="49"/>
      <c r="AV841" s="49"/>
      <c r="AW841" s="49"/>
      <c r="AX841" s="49"/>
    </row>
    <row r="842">
      <c r="A842" s="49"/>
      <c r="B842" s="49"/>
      <c r="C842" s="50"/>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c r="AF842" s="49"/>
      <c r="AG842" s="49"/>
      <c r="AH842" s="49"/>
      <c r="AI842" s="49"/>
      <c r="AJ842" s="49"/>
      <c r="AK842" s="49"/>
      <c r="AL842" s="49"/>
      <c r="AM842" s="49"/>
      <c r="AN842" s="49"/>
      <c r="AO842" s="49"/>
      <c r="AP842" s="49"/>
      <c r="AQ842" s="49"/>
      <c r="AR842" s="49"/>
      <c r="AS842" s="49"/>
      <c r="AT842" s="49"/>
      <c r="AU842" s="49"/>
      <c r="AV842" s="49"/>
      <c r="AW842" s="49"/>
      <c r="AX842" s="49"/>
    </row>
    <row r="843">
      <c r="A843" s="49"/>
      <c r="B843" s="49"/>
      <c r="C843" s="50"/>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c r="AF843" s="49"/>
      <c r="AG843" s="49"/>
      <c r="AH843" s="49"/>
      <c r="AI843" s="49"/>
      <c r="AJ843" s="49"/>
      <c r="AK843" s="49"/>
      <c r="AL843" s="49"/>
      <c r="AM843" s="49"/>
      <c r="AN843" s="49"/>
      <c r="AO843" s="49"/>
      <c r="AP843" s="49"/>
      <c r="AQ843" s="49"/>
      <c r="AR843" s="49"/>
      <c r="AS843" s="49"/>
      <c r="AT843" s="49"/>
      <c r="AU843" s="49"/>
      <c r="AV843" s="49"/>
      <c r="AW843" s="49"/>
      <c r="AX843" s="49"/>
    </row>
    <row r="844">
      <c r="A844" s="49"/>
      <c r="B844" s="49"/>
      <c r="C844" s="50"/>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c r="AF844" s="49"/>
      <c r="AG844" s="49"/>
      <c r="AH844" s="49"/>
      <c r="AI844" s="49"/>
      <c r="AJ844" s="49"/>
      <c r="AK844" s="49"/>
      <c r="AL844" s="49"/>
      <c r="AM844" s="49"/>
      <c r="AN844" s="49"/>
      <c r="AO844" s="49"/>
      <c r="AP844" s="49"/>
      <c r="AQ844" s="49"/>
      <c r="AR844" s="49"/>
      <c r="AS844" s="49"/>
      <c r="AT844" s="49"/>
      <c r="AU844" s="49"/>
      <c r="AV844" s="49"/>
      <c r="AW844" s="49"/>
      <c r="AX844" s="49"/>
    </row>
    <row r="845">
      <c r="A845" s="49"/>
      <c r="B845" s="49"/>
      <c r="C845" s="50"/>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c r="AF845" s="49"/>
      <c r="AG845" s="49"/>
      <c r="AH845" s="49"/>
      <c r="AI845" s="49"/>
      <c r="AJ845" s="49"/>
      <c r="AK845" s="49"/>
      <c r="AL845" s="49"/>
      <c r="AM845" s="49"/>
      <c r="AN845" s="49"/>
      <c r="AO845" s="49"/>
      <c r="AP845" s="49"/>
      <c r="AQ845" s="49"/>
      <c r="AR845" s="49"/>
      <c r="AS845" s="49"/>
      <c r="AT845" s="49"/>
      <c r="AU845" s="49"/>
      <c r="AV845" s="49"/>
      <c r="AW845" s="49"/>
      <c r="AX845" s="49"/>
    </row>
    <row r="846">
      <c r="A846" s="49"/>
      <c r="B846" s="49"/>
      <c r="C846" s="50"/>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c r="AF846" s="49"/>
      <c r="AG846" s="49"/>
      <c r="AH846" s="49"/>
      <c r="AI846" s="49"/>
      <c r="AJ846" s="49"/>
      <c r="AK846" s="49"/>
      <c r="AL846" s="49"/>
      <c r="AM846" s="49"/>
      <c r="AN846" s="49"/>
      <c r="AO846" s="49"/>
      <c r="AP846" s="49"/>
      <c r="AQ846" s="49"/>
      <c r="AR846" s="49"/>
      <c r="AS846" s="49"/>
      <c r="AT846" s="49"/>
      <c r="AU846" s="49"/>
      <c r="AV846" s="49"/>
      <c r="AW846" s="49"/>
      <c r="AX846" s="49"/>
    </row>
    <row r="847">
      <c r="A847" s="49"/>
      <c r="B847" s="49"/>
      <c r="C847" s="50"/>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c r="AF847" s="49"/>
      <c r="AG847" s="49"/>
      <c r="AH847" s="49"/>
      <c r="AI847" s="49"/>
      <c r="AJ847" s="49"/>
      <c r="AK847" s="49"/>
      <c r="AL847" s="49"/>
      <c r="AM847" s="49"/>
      <c r="AN847" s="49"/>
      <c r="AO847" s="49"/>
      <c r="AP847" s="49"/>
      <c r="AQ847" s="49"/>
      <c r="AR847" s="49"/>
      <c r="AS847" s="49"/>
      <c r="AT847" s="49"/>
      <c r="AU847" s="49"/>
      <c r="AV847" s="49"/>
      <c r="AW847" s="49"/>
      <c r="AX847" s="49"/>
    </row>
    <row r="848">
      <c r="A848" s="49"/>
      <c r="B848" s="49"/>
      <c r="C848" s="50"/>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c r="AF848" s="49"/>
      <c r="AG848" s="49"/>
      <c r="AH848" s="49"/>
      <c r="AI848" s="49"/>
      <c r="AJ848" s="49"/>
      <c r="AK848" s="49"/>
      <c r="AL848" s="49"/>
      <c r="AM848" s="49"/>
      <c r="AN848" s="49"/>
      <c r="AO848" s="49"/>
      <c r="AP848" s="49"/>
      <c r="AQ848" s="49"/>
      <c r="AR848" s="49"/>
      <c r="AS848" s="49"/>
      <c r="AT848" s="49"/>
      <c r="AU848" s="49"/>
      <c r="AV848" s="49"/>
      <c r="AW848" s="49"/>
      <c r="AX848" s="49"/>
    </row>
    <row r="849">
      <c r="A849" s="49"/>
      <c r="B849" s="49"/>
      <c r="C849" s="50"/>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c r="AF849" s="49"/>
      <c r="AG849" s="49"/>
      <c r="AH849" s="49"/>
      <c r="AI849" s="49"/>
      <c r="AJ849" s="49"/>
      <c r="AK849" s="49"/>
      <c r="AL849" s="49"/>
      <c r="AM849" s="49"/>
      <c r="AN849" s="49"/>
      <c r="AO849" s="49"/>
      <c r="AP849" s="49"/>
      <c r="AQ849" s="49"/>
      <c r="AR849" s="49"/>
      <c r="AS849" s="49"/>
      <c r="AT849" s="49"/>
      <c r="AU849" s="49"/>
      <c r="AV849" s="49"/>
      <c r="AW849" s="49"/>
      <c r="AX849" s="49"/>
    </row>
    <row r="850">
      <c r="A850" s="49"/>
      <c r="B850" s="49"/>
      <c r="C850" s="50"/>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c r="AF850" s="49"/>
      <c r="AG850" s="49"/>
      <c r="AH850" s="49"/>
      <c r="AI850" s="49"/>
      <c r="AJ850" s="49"/>
      <c r="AK850" s="49"/>
      <c r="AL850" s="49"/>
      <c r="AM850" s="49"/>
      <c r="AN850" s="49"/>
      <c r="AO850" s="49"/>
      <c r="AP850" s="49"/>
      <c r="AQ850" s="49"/>
      <c r="AR850" s="49"/>
      <c r="AS850" s="49"/>
      <c r="AT850" s="49"/>
      <c r="AU850" s="49"/>
      <c r="AV850" s="49"/>
      <c r="AW850" s="49"/>
      <c r="AX850" s="49"/>
    </row>
    <row r="851">
      <c r="A851" s="49"/>
      <c r="B851" s="49"/>
      <c r="C851" s="50"/>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c r="AF851" s="49"/>
      <c r="AG851" s="49"/>
      <c r="AH851" s="49"/>
      <c r="AI851" s="49"/>
      <c r="AJ851" s="49"/>
      <c r="AK851" s="49"/>
      <c r="AL851" s="49"/>
      <c r="AM851" s="49"/>
      <c r="AN851" s="49"/>
      <c r="AO851" s="49"/>
      <c r="AP851" s="49"/>
      <c r="AQ851" s="49"/>
      <c r="AR851" s="49"/>
      <c r="AS851" s="49"/>
      <c r="AT851" s="49"/>
      <c r="AU851" s="49"/>
      <c r="AV851" s="49"/>
      <c r="AW851" s="49"/>
      <c r="AX851" s="49"/>
    </row>
    <row r="852">
      <c r="A852" s="49"/>
      <c r="B852" s="49"/>
      <c r="C852" s="50"/>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c r="AF852" s="49"/>
      <c r="AG852" s="49"/>
      <c r="AH852" s="49"/>
      <c r="AI852" s="49"/>
      <c r="AJ852" s="49"/>
      <c r="AK852" s="49"/>
      <c r="AL852" s="49"/>
      <c r="AM852" s="49"/>
      <c r="AN852" s="49"/>
      <c r="AO852" s="49"/>
      <c r="AP852" s="49"/>
      <c r="AQ852" s="49"/>
      <c r="AR852" s="49"/>
      <c r="AS852" s="49"/>
      <c r="AT852" s="49"/>
      <c r="AU852" s="49"/>
      <c r="AV852" s="49"/>
      <c r="AW852" s="49"/>
      <c r="AX852" s="49"/>
    </row>
    <row r="853">
      <c r="A853" s="49"/>
      <c r="B853" s="49"/>
      <c r="C853" s="50"/>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c r="AF853" s="49"/>
      <c r="AG853" s="49"/>
      <c r="AH853" s="49"/>
      <c r="AI853" s="49"/>
      <c r="AJ853" s="49"/>
      <c r="AK853" s="49"/>
      <c r="AL853" s="49"/>
      <c r="AM853" s="49"/>
      <c r="AN853" s="49"/>
      <c r="AO853" s="49"/>
      <c r="AP853" s="49"/>
      <c r="AQ853" s="49"/>
      <c r="AR853" s="49"/>
      <c r="AS853" s="49"/>
      <c r="AT853" s="49"/>
      <c r="AU853" s="49"/>
      <c r="AV853" s="49"/>
      <c r="AW853" s="49"/>
      <c r="AX853" s="49"/>
    </row>
    <row r="854">
      <c r="A854" s="49"/>
      <c r="B854" s="49"/>
      <c r="C854" s="50"/>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c r="AF854" s="49"/>
      <c r="AG854" s="49"/>
      <c r="AH854" s="49"/>
      <c r="AI854" s="49"/>
      <c r="AJ854" s="49"/>
      <c r="AK854" s="49"/>
      <c r="AL854" s="49"/>
      <c r="AM854" s="49"/>
      <c r="AN854" s="49"/>
      <c r="AO854" s="49"/>
      <c r="AP854" s="49"/>
      <c r="AQ854" s="49"/>
      <c r="AR854" s="49"/>
      <c r="AS854" s="49"/>
      <c r="AT854" s="49"/>
      <c r="AU854" s="49"/>
      <c r="AV854" s="49"/>
      <c r="AW854" s="49"/>
      <c r="AX854" s="49"/>
    </row>
    <row r="855">
      <c r="A855" s="49"/>
      <c r="B855" s="49"/>
      <c r="C855" s="50"/>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c r="AF855" s="49"/>
      <c r="AG855" s="49"/>
      <c r="AH855" s="49"/>
      <c r="AI855" s="49"/>
      <c r="AJ855" s="49"/>
      <c r="AK855" s="49"/>
      <c r="AL855" s="49"/>
      <c r="AM855" s="49"/>
      <c r="AN855" s="49"/>
      <c r="AO855" s="49"/>
      <c r="AP855" s="49"/>
      <c r="AQ855" s="49"/>
      <c r="AR855" s="49"/>
      <c r="AS855" s="49"/>
      <c r="AT855" s="49"/>
      <c r="AU855" s="49"/>
      <c r="AV855" s="49"/>
      <c r="AW855" s="49"/>
      <c r="AX855" s="49"/>
    </row>
    <row r="856">
      <c r="A856" s="49"/>
      <c r="B856" s="49"/>
      <c r="C856" s="50"/>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c r="AF856" s="49"/>
      <c r="AG856" s="49"/>
      <c r="AH856" s="49"/>
      <c r="AI856" s="49"/>
      <c r="AJ856" s="49"/>
      <c r="AK856" s="49"/>
      <c r="AL856" s="49"/>
      <c r="AM856" s="49"/>
      <c r="AN856" s="49"/>
      <c r="AO856" s="49"/>
      <c r="AP856" s="49"/>
      <c r="AQ856" s="49"/>
      <c r="AR856" s="49"/>
      <c r="AS856" s="49"/>
      <c r="AT856" s="49"/>
      <c r="AU856" s="49"/>
      <c r="AV856" s="49"/>
      <c r="AW856" s="49"/>
      <c r="AX856" s="49"/>
    </row>
    <row r="857">
      <c r="A857" s="49"/>
      <c r="B857" s="49"/>
      <c r="C857" s="50"/>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c r="AF857" s="49"/>
      <c r="AG857" s="49"/>
      <c r="AH857" s="49"/>
      <c r="AI857" s="49"/>
      <c r="AJ857" s="49"/>
      <c r="AK857" s="49"/>
      <c r="AL857" s="49"/>
      <c r="AM857" s="49"/>
      <c r="AN857" s="49"/>
      <c r="AO857" s="49"/>
      <c r="AP857" s="49"/>
      <c r="AQ857" s="49"/>
      <c r="AR857" s="49"/>
      <c r="AS857" s="49"/>
      <c r="AT857" s="49"/>
      <c r="AU857" s="49"/>
      <c r="AV857" s="49"/>
      <c r="AW857" s="49"/>
      <c r="AX857" s="49"/>
    </row>
    <row r="858">
      <c r="A858" s="49"/>
      <c r="B858" s="49"/>
      <c r="C858" s="50"/>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c r="AF858" s="49"/>
      <c r="AG858" s="49"/>
      <c r="AH858" s="49"/>
      <c r="AI858" s="49"/>
      <c r="AJ858" s="49"/>
      <c r="AK858" s="49"/>
      <c r="AL858" s="49"/>
      <c r="AM858" s="49"/>
      <c r="AN858" s="49"/>
      <c r="AO858" s="49"/>
      <c r="AP858" s="49"/>
      <c r="AQ858" s="49"/>
      <c r="AR858" s="49"/>
      <c r="AS858" s="49"/>
      <c r="AT858" s="49"/>
      <c r="AU858" s="49"/>
      <c r="AV858" s="49"/>
      <c r="AW858" s="49"/>
      <c r="AX858" s="49"/>
    </row>
    <row r="859">
      <c r="A859" s="49"/>
      <c r="B859" s="49"/>
      <c r="C859" s="50"/>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c r="AF859" s="49"/>
      <c r="AG859" s="49"/>
      <c r="AH859" s="49"/>
      <c r="AI859" s="49"/>
      <c r="AJ859" s="49"/>
      <c r="AK859" s="49"/>
      <c r="AL859" s="49"/>
      <c r="AM859" s="49"/>
      <c r="AN859" s="49"/>
      <c r="AO859" s="49"/>
      <c r="AP859" s="49"/>
      <c r="AQ859" s="49"/>
      <c r="AR859" s="49"/>
      <c r="AS859" s="49"/>
      <c r="AT859" s="49"/>
      <c r="AU859" s="49"/>
      <c r="AV859" s="49"/>
      <c r="AW859" s="49"/>
      <c r="AX859" s="49"/>
    </row>
    <row r="860">
      <c r="A860" s="49"/>
      <c r="B860" s="49"/>
      <c r="C860" s="50"/>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c r="AF860" s="49"/>
      <c r="AG860" s="49"/>
      <c r="AH860" s="49"/>
      <c r="AI860" s="49"/>
      <c r="AJ860" s="49"/>
      <c r="AK860" s="49"/>
      <c r="AL860" s="49"/>
      <c r="AM860" s="49"/>
      <c r="AN860" s="49"/>
      <c r="AO860" s="49"/>
      <c r="AP860" s="49"/>
      <c r="AQ860" s="49"/>
      <c r="AR860" s="49"/>
      <c r="AS860" s="49"/>
      <c r="AT860" s="49"/>
      <c r="AU860" s="49"/>
      <c r="AV860" s="49"/>
      <c r="AW860" s="49"/>
      <c r="AX860" s="49"/>
    </row>
    <row r="861">
      <c r="A861" s="49"/>
      <c r="B861" s="49"/>
      <c r="C861" s="50"/>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c r="AF861" s="49"/>
      <c r="AG861" s="49"/>
      <c r="AH861" s="49"/>
      <c r="AI861" s="49"/>
      <c r="AJ861" s="49"/>
      <c r="AK861" s="49"/>
      <c r="AL861" s="49"/>
      <c r="AM861" s="49"/>
      <c r="AN861" s="49"/>
      <c r="AO861" s="49"/>
      <c r="AP861" s="49"/>
      <c r="AQ861" s="49"/>
      <c r="AR861" s="49"/>
      <c r="AS861" s="49"/>
      <c r="AT861" s="49"/>
      <c r="AU861" s="49"/>
      <c r="AV861" s="49"/>
      <c r="AW861" s="49"/>
      <c r="AX861" s="49"/>
    </row>
    <row r="862">
      <c r="A862" s="49"/>
      <c r="B862" s="49"/>
      <c r="C862" s="50"/>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c r="AF862" s="49"/>
      <c r="AG862" s="49"/>
      <c r="AH862" s="49"/>
      <c r="AI862" s="49"/>
      <c r="AJ862" s="49"/>
      <c r="AK862" s="49"/>
      <c r="AL862" s="49"/>
      <c r="AM862" s="49"/>
      <c r="AN862" s="49"/>
      <c r="AO862" s="49"/>
      <c r="AP862" s="49"/>
      <c r="AQ862" s="49"/>
      <c r="AR862" s="49"/>
      <c r="AS862" s="49"/>
      <c r="AT862" s="49"/>
      <c r="AU862" s="49"/>
      <c r="AV862" s="49"/>
      <c r="AW862" s="49"/>
      <c r="AX862" s="49"/>
    </row>
    <row r="863">
      <c r="A863" s="49"/>
      <c r="B863" s="49"/>
      <c r="C863" s="50"/>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c r="AF863" s="49"/>
      <c r="AG863" s="49"/>
      <c r="AH863" s="49"/>
      <c r="AI863" s="49"/>
      <c r="AJ863" s="49"/>
      <c r="AK863" s="49"/>
      <c r="AL863" s="49"/>
      <c r="AM863" s="49"/>
      <c r="AN863" s="49"/>
      <c r="AO863" s="49"/>
      <c r="AP863" s="49"/>
      <c r="AQ863" s="49"/>
      <c r="AR863" s="49"/>
      <c r="AS863" s="49"/>
      <c r="AT863" s="49"/>
      <c r="AU863" s="49"/>
      <c r="AV863" s="49"/>
      <c r="AW863" s="49"/>
      <c r="AX863" s="49"/>
    </row>
    <row r="864">
      <c r="A864" s="49"/>
      <c r="B864" s="49"/>
      <c r="C864" s="50"/>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c r="AF864" s="49"/>
      <c r="AG864" s="49"/>
      <c r="AH864" s="49"/>
      <c r="AI864" s="49"/>
      <c r="AJ864" s="49"/>
      <c r="AK864" s="49"/>
      <c r="AL864" s="49"/>
      <c r="AM864" s="49"/>
      <c r="AN864" s="49"/>
      <c r="AO864" s="49"/>
      <c r="AP864" s="49"/>
      <c r="AQ864" s="49"/>
      <c r="AR864" s="49"/>
      <c r="AS864" s="49"/>
      <c r="AT864" s="49"/>
      <c r="AU864" s="49"/>
      <c r="AV864" s="49"/>
      <c r="AW864" s="49"/>
      <c r="AX864" s="49"/>
    </row>
    <row r="865">
      <c r="A865" s="49"/>
      <c r="B865" s="49"/>
      <c r="C865" s="50"/>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c r="AF865" s="49"/>
      <c r="AG865" s="49"/>
      <c r="AH865" s="49"/>
      <c r="AI865" s="49"/>
      <c r="AJ865" s="49"/>
      <c r="AK865" s="49"/>
      <c r="AL865" s="49"/>
      <c r="AM865" s="49"/>
      <c r="AN865" s="49"/>
      <c r="AO865" s="49"/>
      <c r="AP865" s="49"/>
      <c r="AQ865" s="49"/>
      <c r="AR865" s="49"/>
      <c r="AS865" s="49"/>
      <c r="AT865" s="49"/>
      <c r="AU865" s="49"/>
      <c r="AV865" s="49"/>
      <c r="AW865" s="49"/>
      <c r="AX865" s="49"/>
    </row>
    <row r="866">
      <c r="A866" s="49"/>
      <c r="B866" s="49"/>
      <c r="C866" s="50"/>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c r="AF866" s="49"/>
      <c r="AG866" s="49"/>
      <c r="AH866" s="49"/>
      <c r="AI866" s="49"/>
      <c r="AJ866" s="49"/>
      <c r="AK866" s="49"/>
      <c r="AL866" s="49"/>
      <c r="AM866" s="49"/>
      <c r="AN866" s="49"/>
      <c r="AO866" s="49"/>
      <c r="AP866" s="49"/>
      <c r="AQ866" s="49"/>
      <c r="AR866" s="49"/>
      <c r="AS866" s="49"/>
      <c r="AT866" s="49"/>
      <c r="AU866" s="49"/>
      <c r="AV866" s="49"/>
      <c r="AW866" s="49"/>
      <c r="AX866" s="49"/>
    </row>
    <row r="867">
      <c r="A867" s="49"/>
      <c r="B867" s="49"/>
      <c r="C867" s="50"/>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c r="AF867" s="49"/>
      <c r="AG867" s="49"/>
      <c r="AH867" s="49"/>
      <c r="AI867" s="49"/>
      <c r="AJ867" s="49"/>
      <c r="AK867" s="49"/>
      <c r="AL867" s="49"/>
      <c r="AM867" s="49"/>
      <c r="AN867" s="49"/>
      <c r="AO867" s="49"/>
      <c r="AP867" s="49"/>
      <c r="AQ867" s="49"/>
      <c r="AR867" s="49"/>
      <c r="AS867" s="49"/>
      <c r="AT867" s="49"/>
      <c r="AU867" s="49"/>
      <c r="AV867" s="49"/>
      <c r="AW867" s="49"/>
      <c r="AX867" s="49"/>
    </row>
    <row r="868">
      <c r="A868" s="49"/>
      <c r="B868" s="49"/>
      <c r="C868" s="50"/>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c r="AF868" s="49"/>
      <c r="AG868" s="49"/>
      <c r="AH868" s="49"/>
      <c r="AI868" s="49"/>
      <c r="AJ868" s="49"/>
      <c r="AK868" s="49"/>
      <c r="AL868" s="49"/>
      <c r="AM868" s="49"/>
      <c r="AN868" s="49"/>
      <c r="AO868" s="49"/>
      <c r="AP868" s="49"/>
      <c r="AQ868" s="49"/>
      <c r="AR868" s="49"/>
      <c r="AS868" s="49"/>
      <c r="AT868" s="49"/>
      <c r="AU868" s="49"/>
      <c r="AV868" s="49"/>
      <c r="AW868" s="49"/>
      <c r="AX868" s="49"/>
    </row>
    <row r="869">
      <c r="A869" s="49"/>
      <c r="B869" s="49"/>
      <c r="C869" s="50"/>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c r="AF869" s="49"/>
      <c r="AG869" s="49"/>
      <c r="AH869" s="49"/>
      <c r="AI869" s="49"/>
      <c r="AJ869" s="49"/>
      <c r="AK869" s="49"/>
      <c r="AL869" s="49"/>
      <c r="AM869" s="49"/>
      <c r="AN869" s="49"/>
      <c r="AO869" s="49"/>
      <c r="AP869" s="49"/>
      <c r="AQ869" s="49"/>
      <c r="AR869" s="49"/>
      <c r="AS869" s="49"/>
      <c r="AT869" s="49"/>
      <c r="AU869" s="49"/>
      <c r="AV869" s="49"/>
      <c r="AW869" s="49"/>
      <c r="AX869" s="49"/>
    </row>
    <row r="870">
      <c r="A870" s="49"/>
      <c r="B870" s="49"/>
      <c r="C870" s="50"/>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c r="AF870" s="49"/>
      <c r="AG870" s="49"/>
      <c r="AH870" s="49"/>
      <c r="AI870" s="49"/>
      <c r="AJ870" s="49"/>
      <c r="AK870" s="49"/>
      <c r="AL870" s="49"/>
      <c r="AM870" s="49"/>
      <c r="AN870" s="49"/>
      <c r="AO870" s="49"/>
      <c r="AP870" s="49"/>
      <c r="AQ870" s="49"/>
      <c r="AR870" s="49"/>
      <c r="AS870" s="49"/>
      <c r="AT870" s="49"/>
      <c r="AU870" s="49"/>
      <c r="AV870" s="49"/>
      <c r="AW870" s="49"/>
      <c r="AX870" s="49"/>
    </row>
    <row r="871">
      <c r="A871" s="49"/>
      <c r="B871" s="49"/>
      <c r="C871" s="50"/>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c r="AF871" s="49"/>
      <c r="AG871" s="49"/>
      <c r="AH871" s="49"/>
      <c r="AI871" s="49"/>
      <c r="AJ871" s="49"/>
      <c r="AK871" s="49"/>
      <c r="AL871" s="49"/>
      <c r="AM871" s="49"/>
      <c r="AN871" s="49"/>
      <c r="AO871" s="49"/>
      <c r="AP871" s="49"/>
      <c r="AQ871" s="49"/>
      <c r="AR871" s="49"/>
      <c r="AS871" s="49"/>
      <c r="AT871" s="49"/>
      <c r="AU871" s="49"/>
      <c r="AV871" s="49"/>
      <c r="AW871" s="49"/>
      <c r="AX871" s="49"/>
    </row>
    <row r="872">
      <c r="A872" s="49"/>
      <c r="B872" s="49"/>
      <c r="C872" s="50"/>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c r="AF872" s="49"/>
      <c r="AG872" s="49"/>
      <c r="AH872" s="49"/>
      <c r="AI872" s="49"/>
      <c r="AJ872" s="49"/>
      <c r="AK872" s="49"/>
      <c r="AL872" s="49"/>
      <c r="AM872" s="49"/>
      <c r="AN872" s="49"/>
      <c r="AO872" s="49"/>
      <c r="AP872" s="49"/>
      <c r="AQ872" s="49"/>
      <c r="AR872" s="49"/>
      <c r="AS872" s="49"/>
      <c r="AT872" s="49"/>
      <c r="AU872" s="49"/>
      <c r="AV872" s="49"/>
      <c r="AW872" s="49"/>
      <c r="AX872" s="49"/>
    </row>
    <row r="873">
      <c r="A873" s="49"/>
      <c r="B873" s="49"/>
      <c r="C873" s="50"/>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c r="AF873" s="49"/>
      <c r="AG873" s="49"/>
      <c r="AH873" s="49"/>
      <c r="AI873" s="49"/>
      <c r="AJ873" s="49"/>
      <c r="AK873" s="49"/>
      <c r="AL873" s="49"/>
      <c r="AM873" s="49"/>
      <c r="AN873" s="49"/>
      <c r="AO873" s="49"/>
      <c r="AP873" s="49"/>
      <c r="AQ873" s="49"/>
      <c r="AR873" s="49"/>
      <c r="AS873" s="49"/>
      <c r="AT873" s="49"/>
      <c r="AU873" s="49"/>
      <c r="AV873" s="49"/>
      <c r="AW873" s="49"/>
      <c r="AX873" s="49"/>
    </row>
    <row r="874">
      <c r="A874" s="49"/>
      <c r="B874" s="49"/>
      <c r="C874" s="50"/>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c r="AF874" s="49"/>
      <c r="AG874" s="49"/>
      <c r="AH874" s="49"/>
      <c r="AI874" s="49"/>
      <c r="AJ874" s="49"/>
      <c r="AK874" s="49"/>
      <c r="AL874" s="49"/>
      <c r="AM874" s="49"/>
      <c r="AN874" s="49"/>
      <c r="AO874" s="49"/>
      <c r="AP874" s="49"/>
      <c r="AQ874" s="49"/>
      <c r="AR874" s="49"/>
      <c r="AS874" s="49"/>
      <c r="AT874" s="49"/>
      <c r="AU874" s="49"/>
      <c r="AV874" s="49"/>
      <c r="AW874" s="49"/>
      <c r="AX874" s="49"/>
    </row>
    <row r="875">
      <c r="A875" s="49"/>
      <c r="B875" s="49"/>
      <c r="C875" s="50"/>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c r="AF875" s="49"/>
      <c r="AG875" s="49"/>
      <c r="AH875" s="49"/>
      <c r="AI875" s="49"/>
      <c r="AJ875" s="49"/>
      <c r="AK875" s="49"/>
      <c r="AL875" s="49"/>
      <c r="AM875" s="49"/>
      <c r="AN875" s="49"/>
      <c r="AO875" s="49"/>
      <c r="AP875" s="49"/>
      <c r="AQ875" s="49"/>
      <c r="AR875" s="49"/>
      <c r="AS875" s="49"/>
      <c r="AT875" s="49"/>
      <c r="AU875" s="49"/>
      <c r="AV875" s="49"/>
      <c r="AW875" s="49"/>
      <c r="AX875" s="49"/>
    </row>
    <row r="876">
      <c r="A876" s="49"/>
      <c r="B876" s="49"/>
      <c r="C876" s="50"/>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c r="AF876" s="49"/>
      <c r="AG876" s="49"/>
      <c r="AH876" s="49"/>
      <c r="AI876" s="49"/>
      <c r="AJ876" s="49"/>
      <c r="AK876" s="49"/>
      <c r="AL876" s="49"/>
      <c r="AM876" s="49"/>
      <c r="AN876" s="49"/>
      <c r="AO876" s="49"/>
      <c r="AP876" s="49"/>
      <c r="AQ876" s="49"/>
      <c r="AR876" s="49"/>
      <c r="AS876" s="49"/>
      <c r="AT876" s="49"/>
      <c r="AU876" s="49"/>
      <c r="AV876" s="49"/>
      <c r="AW876" s="49"/>
      <c r="AX876" s="49"/>
    </row>
    <row r="877">
      <c r="A877" s="49"/>
      <c r="B877" s="49"/>
      <c r="C877" s="50"/>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c r="AF877" s="49"/>
      <c r="AG877" s="49"/>
      <c r="AH877" s="49"/>
      <c r="AI877" s="49"/>
      <c r="AJ877" s="49"/>
      <c r="AK877" s="49"/>
      <c r="AL877" s="49"/>
      <c r="AM877" s="49"/>
      <c r="AN877" s="49"/>
      <c r="AO877" s="49"/>
      <c r="AP877" s="49"/>
      <c r="AQ877" s="49"/>
      <c r="AR877" s="49"/>
      <c r="AS877" s="49"/>
      <c r="AT877" s="49"/>
      <c r="AU877" s="49"/>
      <c r="AV877" s="49"/>
      <c r="AW877" s="49"/>
      <c r="AX877" s="49"/>
    </row>
    <row r="878">
      <c r="A878" s="49"/>
      <c r="B878" s="49"/>
      <c r="C878" s="50"/>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c r="AF878" s="49"/>
      <c r="AG878" s="49"/>
      <c r="AH878" s="49"/>
      <c r="AI878" s="49"/>
      <c r="AJ878" s="49"/>
      <c r="AK878" s="49"/>
      <c r="AL878" s="49"/>
      <c r="AM878" s="49"/>
      <c r="AN878" s="49"/>
      <c r="AO878" s="49"/>
      <c r="AP878" s="49"/>
      <c r="AQ878" s="49"/>
      <c r="AR878" s="49"/>
      <c r="AS878" s="49"/>
      <c r="AT878" s="49"/>
      <c r="AU878" s="49"/>
      <c r="AV878" s="49"/>
      <c r="AW878" s="49"/>
      <c r="AX878" s="49"/>
    </row>
    <row r="879">
      <c r="A879" s="49"/>
      <c r="B879" s="49"/>
      <c r="C879" s="50"/>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c r="AF879" s="49"/>
      <c r="AG879" s="49"/>
      <c r="AH879" s="49"/>
      <c r="AI879" s="49"/>
      <c r="AJ879" s="49"/>
      <c r="AK879" s="49"/>
      <c r="AL879" s="49"/>
      <c r="AM879" s="49"/>
      <c r="AN879" s="49"/>
      <c r="AO879" s="49"/>
      <c r="AP879" s="49"/>
      <c r="AQ879" s="49"/>
      <c r="AR879" s="49"/>
      <c r="AS879" s="49"/>
      <c r="AT879" s="49"/>
      <c r="AU879" s="49"/>
      <c r="AV879" s="49"/>
      <c r="AW879" s="49"/>
      <c r="AX879" s="49"/>
    </row>
    <row r="880">
      <c r="A880" s="49"/>
      <c r="B880" s="49"/>
      <c r="C880" s="50"/>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c r="AF880" s="49"/>
      <c r="AG880" s="49"/>
      <c r="AH880" s="49"/>
      <c r="AI880" s="49"/>
      <c r="AJ880" s="49"/>
      <c r="AK880" s="49"/>
      <c r="AL880" s="49"/>
      <c r="AM880" s="49"/>
      <c r="AN880" s="49"/>
      <c r="AO880" s="49"/>
      <c r="AP880" s="49"/>
      <c r="AQ880" s="49"/>
      <c r="AR880" s="49"/>
      <c r="AS880" s="49"/>
      <c r="AT880" s="49"/>
      <c r="AU880" s="49"/>
      <c r="AV880" s="49"/>
      <c r="AW880" s="49"/>
      <c r="AX880" s="49"/>
    </row>
    <row r="881">
      <c r="A881" s="49"/>
      <c r="B881" s="49"/>
      <c r="C881" s="50"/>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c r="AF881" s="49"/>
      <c r="AG881" s="49"/>
      <c r="AH881" s="49"/>
      <c r="AI881" s="49"/>
      <c r="AJ881" s="49"/>
      <c r="AK881" s="49"/>
      <c r="AL881" s="49"/>
      <c r="AM881" s="49"/>
      <c r="AN881" s="49"/>
      <c r="AO881" s="49"/>
      <c r="AP881" s="49"/>
      <c r="AQ881" s="49"/>
      <c r="AR881" s="49"/>
      <c r="AS881" s="49"/>
      <c r="AT881" s="49"/>
      <c r="AU881" s="49"/>
      <c r="AV881" s="49"/>
      <c r="AW881" s="49"/>
      <c r="AX881" s="49"/>
    </row>
    <row r="882">
      <c r="A882" s="49"/>
      <c r="B882" s="49"/>
      <c r="C882" s="50"/>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c r="AF882" s="49"/>
      <c r="AG882" s="49"/>
      <c r="AH882" s="49"/>
      <c r="AI882" s="49"/>
      <c r="AJ882" s="49"/>
      <c r="AK882" s="49"/>
      <c r="AL882" s="49"/>
      <c r="AM882" s="49"/>
      <c r="AN882" s="49"/>
      <c r="AO882" s="49"/>
      <c r="AP882" s="49"/>
      <c r="AQ882" s="49"/>
      <c r="AR882" s="49"/>
      <c r="AS882" s="49"/>
      <c r="AT882" s="49"/>
      <c r="AU882" s="49"/>
      <c r="AV882" s="49"/>
      <c r="AW882" s="49"/>
      <c r="AX882" s="49"/>
    </row>
    <row r="883">
      <c r="A883" s="49"/>
      <c r="B883" s="49"/>
      <c r="C883" s="50"/>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c r="AF883" s="49"/>
      <c r="AG883" s="49"/>
      <c r="AH883" s="49"/>
      <c r="AI883" s="49"/>
      <c r="AJ883" s="49"/>
      <c r="AK883" s="49"/>
      <c r="AL883" s="49"/>
      <c r="AM883" s="49"/>
      <c r="AN883" s="49"/>
      <c r="AO883" s="49"/>
      <c r="AP883" s="49"/>
      <c r="AQ883" s="49"/>
      <c r="AR883" s="49"/>
      <c r="AS883" s="49"/>
      <c r="AT883" s="49"/>
      <c r="AU883" s="49"/>
      <c r="AV883" s="49"/>
      <c r="AW883" s="49"/>
      <c r="AX883" s="49"/>
    </row>
    <row r="884">
      <c r="A884" s="49"/>
      <c r="B884" s="49"/>
      <c r="C884" s="50"/>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c r="AF884" s="49"/>
      <c r="AG884" s="49"/>
      <c r="AH884" s="49"/>
      <c r="AI884" s="49"/>
      <c r="AJ884" s="49"/>
      <c r="AK884" s="49"/>
      <c r="AL884" s="49"/>
      <c r="AM884" s="49"/>
      <c r="AN884" s="49"/>
      <c r="AO884" s="49"/>
      <c r="AP884" s="49"/>
      <c r="AQ884" s="49"/>
      <c r="AR884" s="49"/>
      <c r="AS884" s="49"/>
      <c r="AT884" s="49"/>
      <c r="AU884" s="49"/>
      <c r="AV884" s="49"/>
      <c r="AW884" s="49"/>
      <c r="AX884" s="49"/>
    </row>
    <row r="885">
      <c r="A885" s="49"/>
      <c r="B885" s="49"/>
      <c r="C885" s="50"/>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c r="AF885" s="49"/>
      <c r="AG885" s="49"/>
      <c r="AH885" s="49"/>
      <c r="AI885" s="49"/>
      <c r="AJ885" s="49"/>
      <c r="AK885" s="49"/>
      <c r="AL885" s="49"/>
      <c r="AM885" s="49"/>
      <c r="AN885" s="49"/>
      <c r="AO885" s="49"/>
      <c r="AP885" s="49"/>
      <c r="AQ885" s="49"/>
      <c r="AR885" s="49"/>
      <c r="AS885" s="49"/>
      <c r="AT885" s="49"/>
      <c r="AU885" s="49"/>
      <c r="AV885" s="49"/>
      <c r="AW885" s="49"/>
      <c r="AX885" s="49"/>
    </row>
    <row r="886">
      <c r="A886" s="49"/>
      <c r="B886" s="49"/>
      <c r="C886" s="50"/>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c r="AF886" s="49"/>
      <c r="AG886" s="49"/>
      <c r="AH886" s="49"/>
      <c r="AI886" s="49"/>
      <c r="AJ886" s="49"/>
      <c r="AK886" s="49"/>
      <c r="AL886" s="49"/>
      <c r="AM886" s="49"/>
      <c r="AN886" s="49"/>
      <c r="AO886" s="49"/>
      <c r="AP886" s="49"/>
      <c r="AQ886" s="49"/>
      <c r="AR886" s="49"/>
      <c r="AS886" s="49"/>
      <c r="AT886" s="49"/>
      <c r="AU886" s="49"/>
      <c r="AV886" s="49"/>
      <c r="AW886" s="49"/>
      <c r="AX886" s="49"/>
    </row>
    <row r="887">
      <c r="A887" s="49"/>
      <c r="B887" s="49"/>
      <c r="C887" s="50"/>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c r="AF887" s="49"/>
      <c r="AG887" s="49"/>
      <c r="AH887" s="49"/>
      <c r="AI887" s="49"/>
      <c r="AJ887" s="49"/>
      <c r="AK887" s="49"/>
      <c r="AL887" s="49"/>
      <c r="AM887" s="49"/>
      <c r="AN887" s="49"/>
      <c r="AO887" s="49"/>
      <c r="AP887" s="49"/>
      <c r="AQ887" s="49"/>
      <c r="AR887" s="49"/>
      <c r="AS887" s="49"/>
      <c r="AT887" s="49"/>
      <c r="AU887" s="49"/>
      <c r="AV887" s="49"/>
      <c r="AW887" s="49"/>
      <c r="AX887" s="49"/>
    </row>
    <row r="888">
      <c r="A888" s="49"/>
      <c r="B888" s="49"/>
      <c r="C888" s="50"/>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c r="AF888" s="49"/>
      <c r="AG888" s="49"/>
      <c r="AH888" s="49"/>
      <c r="AI888" s="49"/>
      <c r="AJ888" s="49"/>
      <c r="AK888" s="49"/>
      <c r="AL888" s="49"/>
      <c r="AM888" s="49"/>
      <c r="AN888" s="49"/>
      <c r="AO888" s="49"/>
      <c r="AP888" s="49"/>
      <c r="AQ888" s="49"/>
      <c r="AR888" s="49"/>
      <c r="AS888" s="49"/>
      <c r="AT888" s="49"/>
      <c r="AU888" s="49"/>
      <c r="AV888" s="49"/>
      <c r="AW888" s="49"/>
      <c r="AX888" s="49"/>
    </row>
    <row r="889">
      <c r="A889" s="49"/>
      <c r="B889" s="49"/>
      <c r="C889" s="50"/>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c r="AF889" s="49"/>
      <c r="AG889" s="49"/>
      <c r="AH889" s="49"/>
      <c r="AI889" s="49"/>
      <c r="AJ889" s="49"/>
      <c r="AK889" s="49"/>
      <c r="AL889" s="49"/>
      <c r="AM889" s="49"/>
      <c r="AN889" s="49"/>
      <c r="AO889" s="49"/>
      <c r="AP889" s="49"/>
      <c r="AQ889" s="49"/>
      <c r="AR889" s="49"/>
      <c r="AS889" s="49"/>
      <c r="AT889" s="49"/>
      <c r="AU889" s="49"/>
      <c r="AV889" s="49"/>
      <c r="AW889" s="49"/>
      <c r="AX889" s="49"/>
    </row>
    <row r="890">
      <c r="A890" s="49"/>
      <c r="B890" s="49"/>
      <c r="C890" s="50"/>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c r="AF890" s="49"/>
      <c r="AG890" s="49"/>
      <c r="AH890" s="49"/>
      <c r="AI890" s="49"/>
      <c r="AJ890" s="49"/>
      <c r="AK890" s="49"/>
      <c r="AL890" s="49"/>
      <c r="AM890" s="49"/>
      <c r="AN890" s="49"/>
      <c r="AO890" s="49"/>
      <c r="AP890" s="49"/>
      <c r="AQ890" s="49"/>
      <c r="AR890" s="49"/>
      <c r="AS890" s="49"/>
      <c r="AT890" s="49"/>
      <c r="AU890" s="49"/>
      <c r="AV890" s="49"/>
      <c r="AW890" s="49"/>
      <c r="AX890" s="49"/>
    </row>
    <row r="891">
      <c r="A891" s="49"/>
      <c r="B891" s="49"/>
      <c r="C891" s="50"/>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c r="AF891" s="49"/>
      <c r="AG891" s="49"/>
      <c r="AH891" s="49"/>
      <c r="AI891" s="49"/>
      <c r="AJ891" s="49"/>
      <c r="AK891" s="49"/>
      <c r="AL891" s="49"/>
      <c r="AM891" s="49"/>
      <c r="AN891" s="49"/>
      <c r="AO891" s="49"/>
      <c r="AP891" s="49"/>
      <c r="AQ891" s="49"/>
      <c r="AR891" s="49"/>
      <c r="AS891" s="49"/>
      <c r="AT891" s="49"/>
      <c r="AU891" s="49"/>
      <c r="AV891" s="49"/>
      <c r="AW891" s="49"/>
      <c r="AX891" s="49"/>
    </row>
    <row r="892">
      <c r="A892" s="49"/>
      <c r="B892" s="49"/>
      <c r="C892" s="50"/>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c r="AF892" s="49"/>
      <c r="AG892" s="49"/>
      <c r="AH892" s="49"/>
      <c r="AI892" s="49"/>
      <c r="AJ892" s="49"/>
      <c r="AK892" s="49"/>
      <c r="AL892" s="49"/>
      <c r="AM892" s="49"/>
      <c r="AN892" s="49"/>
      <c r="AO892" s="49"/>
      <c r="AP892" s="49"/>
      <c r="AQ892" s="49"/>
      <c r="AR892" s="49"/>
      <c r="AS892" s="49"/>
      <c r="AT892" s="49"/>
      <c r="AU892" s="49"/>
      <c r="AV892" s="49"/>
      <c r="AW892" s="49"/>
      <c r="AX892" s="49"/>
    </row>
    <row r="893">
      <c r="A893" s="49"/>
      <c r="B893" s="49"/>
      <c r="C893" s="50"/>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c r="AF893" s="49"/>
      <c r="AG893" s="49"/>
      <c r="AH893" s="49"/>
      <c r="AI893" s="49"/>
      <c r="AJ893" s="49"/>
      <c r="AK893" s="49"/>
      <c r="AL893" s="49"/>
      <c r="AM893" s="49"/>
      <c r="AN893" s="49"/>
      <c r="AO893" s="49"/>
      <c r="AP893" s="49"/>
      <c r="AQ893" s="49"/>
      <c r="AR893" s="49"/>
      <c r="AS893" s="49"/>
      <c r="AT893" s="49"/>
      <c r="AU893" s="49"/>
      <c r="AV893" s="49"/>
      <c r="AW893" s="49"/>
      <c r="AX893" s="49"/>
    </row>
    <row r="894">
      <c r="A894" s="49"/>
      <c r="B894" s="49"/>
      <c r="C894" s="50"/>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c r="AF894" s="49"/>
      <c r="AG894" s="49"/>
      <c r="AH894" s="49"/>
      <c r="AI894" s="49"/>
      <c r="AJ894" s="49"/>
      <c r="AK894" s="49"/>
      <c r="AL894" s="49"/>
      <c r="AM894" s="49"/>
      <c r="AN894" s="49"/>
      <c r="AO894" s="49"/>
      <c r="AP894" s="49"/>
      <c r="AQ894" s="49"/>
      <c r="AR894" s="49"/>
      <c r="AS894" s="49"/>
      <c r="AT894" s="49"/>
      <c r="AU894" s="49"/>
      <c r="AV894" s="49"/>
      <c r="AW894" s="49"/>
      <c r="AX894" s="49"/>
    </row>
    <row r="895">
      <c r="A895" s="49"/>
      <c r="B895" s="49"/>
      <c r="C895" s="50"/>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c r="AF895" s="49"/>
      <c r="AG895" s="49"/>
      <c r="AH895" s="49"/>
      <c r="AI895" s="49"/>
      <c r="AJ895" s="49"/>
      <c r="AK895" s="49"/>
      <c r="AL895" s="49"/>
      <c r="AM895" s="49"/>
      <c r="AN895" s="49"/>
      <c r="AO895" s="49"/>
      <c r="AP895" s="49"/>
      <c r="AQ895" s="49"/>
      <c r="AR895" s="49"/>
      <c r="AS895" s="49"/>
      <c r="AT895" s="49"/>
      <c r="AU895" s="49"/>
      <c r="AV895" s="49"/>
      <c r="AW895" s="49"/>
      <c r="AX895" s="49"/>
    </row>
    <row r="896">
      <c r="A896" s="49"/>
      <c r="B896" s="49"/>
      <c r="C896" s="50"/>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c r="AF896" s="49"/>
      <c r="AG896" s="49"/>
      <c r="AH896" s="49"/>
      <c r="AI896" s="49"/>
      <c r="AJ896" s="49"/>
      <c r="AK896" s="49"/>
      <c r="AL896" s="49"/>
      <c r="AM896" s="49"/>
      <c r="AN896" s="49"/>
      <c r="AO896" s="49"/>
      <c r="AP896" s="49"/>
      <c r="AQ896" s="49"/>
      <c r="AR896" s="49"/>
      <c r="AS896" s="49"/>
      <c r="AT896" s="49"/>
      <c r="AU896" s="49"/>
      <c r="AV896" s="49"/>
      <c r="AW896" s="49"/>
      <c r="AX896" s="49"/>
    </row>
    <row r="897">
      <c r="A897" s="49"/>
      <c r="B897" s="49"/>
      <c r="C897" s="50"/>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c r="AF897" s="49"/>
      <c r="AG897" s="49"/>
      <c r="AH897" s="49"/>
      <c r="AI897" s="49"/>
      <c r="AJ897" s="49"/>
      <c r="AK897" s="49"/>
      <c r="AL897" s="49"/>
      <c r="AM897" s="49"/>
      <c r="AN897" s="49"/>
      <c r="AO897" s="49"/>
      <c r="AP897" s="49"/>
      <c r="AQ897" s="49"/>
      <c r="AR897" s="49"/>
      <c r="AS897" s="49"/>
      <c r="AT897" s="49"/>
      <c r="AU897" s="49"/>
      <c r="AV897" s="49"/>
      <c r="AW897" s="49"/>
      <c r="AX897" s="49"/>
    </row>
    <row r="898">
      <c r="A898" s="49"/>
      <c r="B898" s="49"/>
      <c r="C898" s="50"/>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c r="AF898" s="49"/>
      <c r="AG898" s="49"/>
      <c r="AH898" s="49"/>
      <c r="AI898" s="49"/>
      <c r="AJ898" s="49"/>
      <c r="AK898" s="49"/>
      <c r="AL898" s="49"/>
      <c r="AM898" s="49"/>
      <c r="AN898" s="49"/>
      <c r="AO898" s="49"/>
      <c r="AP898" s="49"/>
      <c r="AQ898" s="49"/>
      <c r="AR898" s="49"/>
      <c r="AS898" s="49"/>
      <c r="AT898" s="49"/>
      <c r="AU898" s="49"/>
      <c r="AV898" s="49"/>
      <c r="AW898" s="49"/>
      <c r="AX898" s="49"/>
    </row>
    <row r="899">
      <c r="A899" s="49"/>
      <c r="B899" s="49"/>
      <c r="C899" s="50"/>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c r="AF899" s="49"/>
      <c r="AG899" s="49"/>
      <c r="AH899" s="49"/>
      <c r="AI899" s="49"/>
      <c r="AJ899" s="49"/>
      <c r="AK899" s="49"/>
      <c r="AL899" s="49"/>
      <c r="AM899" s="49"/>
      <c r="AN899" s="49"/>
      <c r="AO899" s="49"/>
      <c r="AP899" s="49"/>
      <c r="AQ899" s="49"/>
      <c r="AR899" s="49"/>
      <c r="AS899" s="49"/>
      <c r="AT899" s="49"/>
      <c r="AU899" s="49"/>
      <c r="AV899" s="49"/>
      <c r="AW899" s="49"/>
      <c r="AX899" s="49"/>
    </row>
    <row r="900">
      <c r="A900" s="49"/>
      <c r="B900" s="49"/>
      <c r="C900" s="50"/>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c r="AF900" s="49"/>
      <c r="AG900" s="49"/>
      <c r="AH900" s="49"/>
      <c r="AI900" s="49"/>
      <c r="AJ900" s="49"/>
      <c r="AK900" s="49"/>
      <c r="AL900" s="49"/>
      <c r="AM900" s="49"/>
      <c r="AN900" s="49"/>
      <c r="AO900" s="49"/>
      <c r="AP900" s="49"/>
      <c r="AQ900" s="49"/>
      <c r="AR900" s="49"/>
      <c r="AS900" s="49"/>
      <c r="AT900" s="49"/>
      <c r="AU900" s="49"/>
      <c r="AV900" s="49"/>
      <c r="AW900" s="49"/>
      <c r="AX900" s="49"/>
    </row>
    <row r="901">
      <c r="A901" s="49"/>
      <c r="B901" s="49"/>
      <c r="C901" s="50"/>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c r="AF901" s="49"/>
      <c r="AG901" s="49"/>
      <c r="AH901" s="49"/>
      <c r="AI901" s="49"/>
      <c r="AJ901" s="49"/>
      <c r="AK901" s="49"/>
      <c r="AL901" s="49"/>
      <c r="AM901" s="49"/>
      <c r="AN901" s="49"/>
      <c r="AO901" s="49"/>
      <c r="AP901" s="49"/>
      <c r="AQ901" s="49"/>
      <c r="AR901" s="49"/>
      <c r="AS901" s="49"/>
      <c r="AT901" s="49"/>
      <c r="AU901" s="49"/>
      <c r="AV901" s="49"/>
      <c r="AW901" s="49"/>
      <c r="AX901" s="49"/>
    </row>
    <row r="902">
      <c r="A902" s="49"/>
      <c r="B902" s="49"/>
      <c r="C902" s="50"/>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c r="AF902" s="49"/>
      <c r="AG902" s="49"/>
      <c r="AH902" s="49"/>
      <c r="AI902" s="49"/>
      <c r="AJ902" s="49"/>
      <c r="AK902" s="49"/>
      <c r="AL902" s="49"/>
      <c r="AM902" s="49"/>
      <c r="AN902" s="49"/>
      <c r="AO902" s="49"/>
      <c r="AP902" s="49"/>
      <c r="AQ902" s="49"/>
      <c r="AR902" s="49"/>
      <c r="AS902" s="49"/>
      <c r="AT902" s="49"/>
      <c r="AU902" s="49"/>
      <c r="AV902" s="49"/>
      <c r="AW902" s="49"/>
      <c r="AX902" s="49"/>
    </row>
    <row r="903">
      <c r="A903" s="49"/>
      <c r="B903" s="49"/>
      <c r="C903" s="50"/>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c r="AF903" s="49"/>
      <c r="AG903" s="49"/>
      <c r="AH903" s="49"/>
      <c r="AI903" s="49"/>
      <c r="AJ903" s="49"/>
      <c r="AK903" s="49"/>
      <c r="AL903" s="49"/>
      <c r="AM903" s="49"/>
      <c r="AN903" s="49"/>
      <c r="AO903" s="49"/>
      <c r="AP903" s="49"/>
      <c r="AQ903" s="49"/>
      <c r="AR903" s="49"/>
      <c r="AS903" s="49"/>
      <c r="AT903" s="49"/>
      <c r="AU903" s="49"/>
      <c r="AV903" s="49"/>
      <c r="AW903" s="49"/>
      <c r="AX903" s="49"/>
    </row>
    <row r="904">
      <c r="A904" s="49"/>
      <c r="B904" s="49"/>
      <c r="C904" s="50"/>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c r="AF904" s="49"/>
      <c r="AG904" s="49"/>
      <c r="AH904" s="49"/>
      <c r="AI904" s="49"/>
      <c r="AJ904" s="49"/>
      <c r="AK904" s="49"/>
      <c r="AL904" s="49"/>
      <c r="AM904" s="49"/>
      <c r="AN904" s="49"/>
      <c r="AO904" s="49"/>
      <c r="AP904" s="49"/>
      <c r="AQ904" s="49"/>
      <c r="AR904" s="49"/>
      <c r="AS904" s="49"/>
      <c r="AT904" s="49"/>
      <c r="AU904" s="49"/>
      <c r="AV904" s="49"/>
      <c r="AW904" s="49"/>
      <c r="AX904" s="49"/>
    </row>
    <row r="905">
      <c r="A905" s="49"/>
      <c r="B905" s="49"/>
      <c r="C905" s="50"/>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c r="AF905" s="49"/>
      <c r="AG905" s="49"/>
      <c r="AH905" s="49"/>
      <c r="AI905" s="49"/>
      <c r="AJ905" s="49"/>
      <c r="AK905" s="49"/>
      <c r="AL905" s="49"/>
      <c r="AM905" s="49"/>
      <c r="AN905" s="49"/>
      <c r="AO905" s="49"/>
      <c r="AP905" s="49"/>
      <c r="AQ905" s="49"/>
      <c r="AR905" s="49"/>
      <c r="AS905" s="49"/>
      <c r="AT905" s="49"/>
      <c r="AU905" s="49"/>
      <c r="AV905" s="49"/>
      <c r="AW905" s="49"/>
      <c r="AX905" s="49"/>
    </row>
    <row r="906">
      <c r="A906" s="49"/>
      <c r="B906" s="49"/>
      <c r="C906" s="50"/>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c r="AF906" s="49"/>
      <c r="AG906" s="49"/>
      <c r="AH906" s="49"/>
      <c r="AI906" s="49"/>
      <c r="AJ906" s="49"/>
      <c r="AK906" s="49"/>
      <c r="AL906" s="49"/>
      <c r="AM906" s="49"/>
      <c r="AN906" s="49"/>
      <c r="AO906" s="49"/>
      <c r="AP906" s="49"/>
      <c r="AQ906" s="49"/>
      <c r="AR906" s="49"/>
      <c r="AS906" s="49"/>
      <c r="AT906" s="49"/>
      <c r="AU906" s="49"/>
      <c r="AV906" s="49"/>
      <c r="AW906" s="49"/>
      <c r="AX906" s="49"/>
    </row>
    <row r="907">
      <c r="A907" s="49"/>
      <c r="B907" s="49"/>
      <c r="C907" s="50"/>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c r="AF907" s="49"/>
      <c r="AG907" s="49"/>
      <c r="AH907" s="49"/>
      <c r="AI907" s="49"/>
      <c r="AJ907" s="49"/>
      <c r="AK907" s="49"/>
      <c r="AL907" s="49"/>
      <c r="AM907" s="49"/>
      <c r="AN907" s="49"/>
      <c r="AO907" s="49"/>
      <c r="AP907" s="49"/>
      <c r="AQ907" s="49"/>
      <c r="AR907" s="49"/>
      <c r="AS907" s="49"/>
      <c r="AT907" s="49"/>
      <c r="AU907" s="49"/>
      <c r="AV907" s="49"/>
      <c r="AW907" s="49"/>
      <c r="AX907" s="49"/>
    </row>
    <row r="908">
      <c r="A908" s="49"/>
      <c r="B908" s="49"/>
      <c r="C908" s="50"/>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c r="AF908" s="49"/>
      <c r="AG908" s="49"/>
      <c r="AH908" s="49"/>
      <c r="AI908" s="49"/>
      <c r="AJ908" s="49"/>
      <c r="AK908" s="49"/>
      <c r="AL908" s="49"/>
      <c r="AM908" s="49"/>
      <c r="AN908" s="49"/>
      <c r="AO908" s="49"/>
      <c r="AP908" s="49"/>
      <c r="AQ908" s="49"/>
      <c r="AR908" s="49"/>
      <c r="AS908" s="49"/>
      <c r="AT908" s="49"/>
      <c r="AU908" s="49"/>
      <c r="AV908" s="49"/>
      <c r="AW908" s="49"/>
      <c r="AX908" s="49"/>
    </row>
    <row r="909">
      <c r="A909" s="49"/>
      <c r="B909" s="49"/>
      <c r="C909" s="50"/>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c r="AF909" s="49"/>
      <c r="AG909" s="49"/>
      <c r="AH909" s="49"/>
      <c r="AI909" s="49"/>
      <c r="AJ909" s="49"/>
      <c r="AK909" s="49"/>
      <c r="AL909" s="49"/>
      <c r="AM909" s="49"/>
      <c r="AN909" s="49"/>
      <c r="AO909" s="49"/>
      <c r="AP909" s="49"/>
      <c r="AQ909" s="49"/>
      <c r="AR909" s="49"/>
      <c r="AS909" s="49"/>
      <c r="AT909" s="49"/>
      <c r="AU909" s="49"/>
      <c r="AV909" s="49"/>
      <c r="AW909" s="49"/>
      <c r="AX909" s="49"/>
    </row>
    <row r="910">
      <c r="A910" s="49"/>
      <c r="B910" s="49"/>
      <c r="C910" s="50"/>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c r="AF910" s="49"/>
      <c r="AG910" s="49"/>
      <c r="AH910" s="49"/>
      <c r="AI910" s="49"/>
      <c r="AJ910" s="49"/>
      <c r="AK910" s="49"/>
      <c r="AL910" s="49"/>
      <c r="AM910" s="49"/>
      <c r="AN910" s="49"/>
      <c r="AO910" s="49"/>
      <c r="AP910" s="49"/>
      <c r="AQ910" s="49"/>
      <c r="AR910" s="49"/>
      <c r="AS910" s="49"/>
      <c r="AT910" s="49"/>
      <c r="AU910" s="49"/>
      <c r="AV910" s="49"/>
      <c r="AW910" s="49"/>
      <c r="AX910" s="49"/>
    </row>
    <row r="911">
      <c r="A911" s="49"/>
      <c r="B911" s="49"/>
      <c r="C911" s="50"/>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c r="AF911" s="49"/>
      <c r="AG911" s="49"/>
      <c r="AH911" s="49"/>
      <c r="AI911" s="49"/>
      <c r="AJ911" s="49"/>
      <c r="AK911" s="49"/>
      <c r="AL911" s="49"/>
      <c r="AM911" s="49"/>
      <c r="AN911" s="49"/>
      <c r="AO911" s="49"/>
      <c r="AP911" s="49"/>
      <c r="AQ911" s="49"/>
      <c r="AR911" s="49"/>
      <c r="AS911" s="49"/>
      <c r="AT911" s="49"/>
      <c r="AU911" s="49"/>
      <c r="AV911" s="49"/>
      <c r="AW911" s="49"/>
      <c r="AX911" s="49"/>
    </row>
    <row r="912">
      <c r="A912" s="49"/>
      <c r="B912" s="49"/>
      <c r="C912" s="50"/>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c r="AF912" s="49"/>
      <c r="AG912" s="49"/>
      <c r="AH912" s="49"/>
      <c r="AI912" s="49"/>
      <c r="AJ912" s="49"/>
      <c r="AK912" s="49"/>
      <c r="AL912" s="49"/>
      <c r="AM912" s="49"/>
      <c r="AN912" s="49"/>
      <c r="AO912" s="49"/>
      <c r="AP912" s="49"/>
      <c r="AQ912" s="49"/>
      <c r="AR912" s="49"/>
      <c r="AS912" s="49"/>
      <c r="AT912" s="49"/>
      <c r="AU912" s="49"/>
      <c r="AV912" s="49"/>
      <c r="AW912" s="49"/>
      <c r="AX912" s="49"/>
    </row>
    <row r="913">
      <c r="A913" s="49"/>
      <c r="B913" s="49"/>
      <c r="C913" s="50"/>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c r="AF913" s="49"/>
      <c r="AG913" s="49"/>
      <c r="AH913" s="49"/>
      <c r="AI913" s="49"/>
      <c r="AJ913" s="49"/>
      <c r="AK913" s="49"/>
      <c r="AL913" s="49"/>
      <c r="AM913" s="49"/>
      <c r="AN913" s="49"/>
      <c r="AO913" s="49"/>
      <c r="AP913" s="49"/>
      <c r="AQ913" s="49"/>
      <c r="AR913" s="49"/>
      <c r="AS913" s="49"/>
      <c r="AT913" s="49"/>
      <c r="AU913" s="49"/>
      <c r="AV913" s="49"/>
      <c r="AW913" s="49"/>
      <c r="AX913" s="49"/>
    </row>
    <row r="914">
      <c r="A914" s="49"/>
      <c r="B914" s="49"/>
      <c r="C914" s="50"/>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c r="AF914" s="49"/>
      <c r="AG914" s="49"/>
      <c r="AH914" s="49"/>
      <c r="AI914" s="49"/>
      <c r="AJ914" s="49"/>
      <c r="AK914" s="49"/>
      <c r="AL914" s="49"/>
      <c r="AM914" s="49"/>
      <c r="AN914" s="49"/>
      <c r="AO914" s="49"/>
      <c r="AP914" s="49"/>
      <c r="AQ914" s="49"/>
      <c r="AR914" s="49"/>
      <c r="AS914" s="49"/>
      <c r="AT914" s="49"/>
      <c r="AU914" s="49"/>
      <c r="AV914" s="49"/>
      <c r="AW914" s="49"/>
      <c r="AX914" s="49"/>
    </row>
    <row r="915">
      <c r="A915" s="49"/>
      <c r="B915" s="49"/>
      <c r="C915" s="50"/>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c r="AF915" s="49"/>
      <c r="AG915" s="49"/>
      <c r="AH915" s="49"/>
      <c r="AI915" s="49"/>
      <c r="AJ915" s="49"/>
      <c r="AK915" s="49"/>
      <c r="AL915" s="49"/>
      <c r="AM915" s="49"/>
      <c r="AN915" s="49"/>
      <c r="AO915" s="49"/>
      <c r="AP915" s="49"/>
      <c r="AQ915" s="49"/>
      <c r="AR915" s="49"/>
      <c r="AS915" s="49"/>
      <c r="AT915" s="49"/>
      <c r="AU915" s="49"/>
      <c r="AV915" s="49"/>
      <c r="AW915" s="49"/>
      <c r="AX915" s="49"/>
    </row>
    <row r="916">
      <c r="A916" s="49"/>
      <c r="B916" s="49"/>
      <c r="C916" s="50"/>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c r="AF916" s="49"/>
      <c r="AG916" s="49"/>
      <c r="AH916" s="49"/>
      <c r="AI916" s="49"/>
      <c r="AJ916" s="49"/>
      <c r="AK916" s="49"/>
      <c r="AL916" s="49"/>
      <c r="AM916" s="49"/>
      <c r="AN916" s="49"/>
      <c r="AO916" s="49"/>
      <c r="AP916" s="49"/>
      <c r="AQ916" s="49"/>
      <c r="AR916" s="49"/>
      <c r="AS916" s="49"/>
      <c r="AT916" s="49"/>
      <c r="AU916" s="49"/>
      <c r="AV916" s="49"/>
      <c r="AW916" s="49"/>
      <c r="AX916" s="49"/>
    </row>
    <row r="917">
      <c r="A917" s="49"/>
      <c r="B917" s="49"/>
      <c r="C917" s="50"/>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c r="AF917" s="49"/>
      <c r="AG917" s="49"/>
      <c r="AH917" s="49"/>
      <c r="AI917" s="49"/>
      <c r="AJ917" s="49"/>
      <c r="AK917" s="49"/>
      <c r="AL917" s="49"/>
      <c r="AM917" s="49"/>
      <c r="AN917" s="49"/>
      <c r="AO917" s="49"/>
      <c r="AP917" s="49"/>
      <c r="AQ917" s="49"/>
      <c r="AR917" s="49"/>
      <c r="AS917" s="49"/>
      <c r="AT917" s="49"/>
      <c r="AU917" s="49"/>
      <c r="AV917" s="49"/>
      <c r="AW917" s="49"/>
      <c r="AX917" s="49"/>
    </row>
    <row r="918">
      <c r="A918" s="49"/>
      <c r="B918" s="49"/>
      <c r="C918" s="50"/>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c r="AF918" s="49"/>
      <c r="AG918" s="49"/>
      <c r="AH918" s="49"/>
      <c r="AI918" s="49"/>
      <c r="AJ918" s="49"/>
      <c r="AK918" s="49"/>
      <c r="AL918" s="49"/>
      <c r="AM918" s="49"/>
      <c r="AN918" s="49"/>
      <c r="AO918" s="49"/>
      <c r="AP918" s="49"/>
      <c r="AQ918" s="49"/>
      <c r="AR918" s="49"/>
      <c r="AS918" s="49"/>
      <c r="AT918" s="49"/>
      <c r="AU918" s="49"/>
      <c r="AV918" s="49"/>
      <c r="AW918" s="49"/>
      <c r="AX918" s="49"/>
    </row>
    <row r="919">
      <c r="A919" s="49"/>
      <c r="B919" s="49"/>
      <c r="C919" s="50"/>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c r="AF919" s="49"/>
      <c r="AG919" s="49"/>
      <c r="AH919" s="49"/>
      <c r="AI919" s="49"/>
      <c r="AJ919" s="49"/>
      <c r="AK919" s="49"/>
      <c r="AL919" s="49"/>
      <c r="AM919" s="49"/>
      <c r="AN919" s="49"/>
      <c r="AO919" s="49"/>
      <c r="AP919" s="49"/>
      <c r="AQ919" s="49"/>
      <c r="AR919" s="49"/>
      <c r="AS919" s="49"/>
      <c r="AT919" s="49"/>
      <c r="AU919" s="49"/>
      <c r="AV919" s="49"/>
      <c r="AW919" s="49"/>
      <c r="AX919" s="49"/>
    </row>
    <row r="920">
      <c r="A920" s="49"/>
      <c r="B920" s="49"/>
      <c r="C920" s="50"/>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c r="AF920" s="49"/>
      <c r="AG920" s="49"/>
      <c r="AH920" s="49"/>
      <c r="AI920" s="49"/>
      <c r="AJ920" s="49"/>
      <c r="AK920" s="49"/>
      <c r="AL920" s="49"/>
      <c r="AM920" s="49"/>
      <c r="AN920" s="49"/>
      <c r="AO920" s="49"/>
      <c r="AP920" s="49"/>
      <c r="AQ920" s="49"/>
      <c r="AR920" s="49"/>
      <c r="AS920" s="49"/>
      <c r="AT920" s="49"/>
      <c r="AU920" s="49"/>
      <c r="AV920" s="49"/>
      <c r="AW920" s="49"/>
      <c r="AX920" s="49"/>
    </row>
    <row r="921">
      <c r="A921" s="49"/>
      <c r="B921" s="49"/>
      <c r="C921" s="50"/>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c r="AF921" s="49"/>
      <c r="AG921" s="49"/>
      <c r="AH921" s="49"/>
      <c r="AI921" s="49"/>
      <c r="AJ921" s="49"/>
      <c r="AK921" s="49"/>
      <c r="AL921" s="49"/>
      <c r="AM921" s="49"/>
      <c r="AN921" s="49"/>
      <c r="AO921" s="49"/>
      <c r="AP921" s="49"/>
      <c r="AQ921" s="49"/>
      <c r="AR921" s="49"/>
      <c r="AS921" s="49"/>
      <c r="AT921" s="49"/>
      <c r="AU921" s="49"/>
      <c r="AV921" s="49"/>
      <c r="AW921" s="49"/>
      <c r="AX921" s="49"/>
    </row>
    <row r="922">
      <c r="A922" s="49"/>
      <c r="B922" s="49"/>
      <c r="C922" s="50"/>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c r="AF922" s="49"/>
      <c r="AG922" s="49"/>
      <c r="AH922" s="49"/>
      <c r="AI922" s="49"/>
      <c r="AJ922" s="49"/>
      <c r="AK922" s="49"/>
      <c r="AL922" s="49"/>
      <c r="AM922" s="49"/>
      <c r="AN922" s="49"/>
      <c r="AO922" s="49"/>
      <c r="AP922" s="49"/>
      <c r="AQ922" s="49"/>
      <c r="AR922" s="49"/>
      <c r="AS922" s="49"/>
      <c r="AT922" s="49"/>
      <c r="AU922" s="49"/>
      <c r="AV922" s="49"/>
      <c r="AW922" s="49"/>
      <c r="AX922" s="49"/>
    </row>
    <row r="923">
      <c r="A923" s="49"/>
      <c r="B923" s="49"/>
      <c r="C923" s="50"/>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c r="AF923" s="49"/>
      <c r="AG923" s="49"/>
      <c r="AH923" s="49"/>
      <c r="AI923" s="49"/>
      <c r="AJ923" s="49"/>
      <c r="AK923" s="49"/>
      <c r="AL923" s="49"/>
      <c r="AM923" s="49"/>
      <c r="AN923" s="49"/>
      <c r="AO923" s="49"/>
      <c r="AP923" s="49"/>
      <c r="AQ923" s="49"/>
      <c r="AR923" s="49"/>
      <c r="AS923" s="49"/>
      <c r="AT923" s="49"/>
      <c r="AU923" s="49"/>
      <c r="AV923" s="49"/>
      <c r="AW923" s="49"/>
      <c r="AX923" s="49"/>
    </row>
    <row r="924">
      <c r="A924" s="49"/>
      <c r="B924" s="49"/>
      <c r="C924" s="50"/>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c r="AF924" s="49"/>
      <c r="AG924" s="49"/>
      <c r="AH924" s="49"/>
      <c r="AI924" s="49"/>
      <c r="AJ924" s="49"/>
      <c r="AK924" s="49"/>
      <c r="AL924" s="49"/>
      <c r="AM924" s="49"/>
      <c r="AN924" s="49"/>
      <c r="AO924" s="49"/>
      <c r="AP924" s="49"/>
      <c r="AQ924" s="49"/>
      <c r="AR924" s="49"/>
      <c r="AS924" s="49"/>
      <c r="AT924" s="49"/>
      <c r="AU924" s="49"/>
      <c r="AV924" s="49"/>
      <c r="AW924" s="49"/>
      <c r="AX924" s="49"/>
    </row>
    <row r="925">
      <c r="A925" s="49"/>
      <c r="B925" s="49"/>
      <c r="C925" s="50"/>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c r="AF925" s="49"/>
      <c r="AG925" s="49"/>
      <c r="AH925" s="49"/>
      <c r="AI925" s="49"/>
      <c r="AJ925" s="49"/>
      <c r="AK925" s="49"/>
      <c r="AL925" s="49"/>
      <c r="AM925" s="49"/>
      <c r="AN925" s="49"/>
      <c r="AO925" s="49"/>
      <c r="AP925" s="49"/>
      <c r="AQ925" s="49"/>
      <c r="AR925" s="49"/>
      <c r="AS925" s="49"/>
      <c r="AT925" s="49"/>
      <c r="AU925" s="49"/>
      <c r="AV925" s="49"/>
      <c r="AW925" s="49"/>
      <c r="AX925" s="49"/>
    </row>
    <row r="926">
      <c r="A926" s="49"/>
      <c r="B926" s="49"/>
      <c r="C926" s="50"/>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c r="AF926" s="49"/>
      <c r="AG926" s="49"/>
      <c r="AH926" s="49"/>
      <c r="AI926" s="49"/>
      <c r="AJ926" s="49"/>
      <c r="AK926" s="49"/>
      <c r="AL926" s="49"/>
      <c r="AM926" s="49"/>
      <c r="AN926" s="49"/>
      <c r="AO926" s="49"/>
      <c r="AP926" s="49"/>
      <c r="AQ926" s="49"/>
      <c r="AR926" s="49"/>
      <c r="AS926" s="49"/>
      <c r="AT926" s="49"/>
      <c r="AU926" s="49"/>
      <c r="AV926" s="49"/>
      <c r="AW926" s="49"/>
      <c r="AX926" s="49"/>
    </row>
    <row r="927">
      <c r="A927" s="49"/>
      <c r="B927" s="49"/>
      <c r="C927" s="50"/>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c r="AF927" s="49"/>
      <c r="AG927" s="49"/>
      <c r="AH927" s="49"/>
      <c r="AI927" s="49"/>
      <c r="AJ927" s="49"/>
      <c r="AK927" s="49"/>
      <c r="AL927" s="49"/>
      <c r="AM927" s="49"/>
      <c r="AN927" s="49"/>
      <c r="AO927" s="49"/>
      <c r="AP927" s="49"/>
      <c r="AQ927" s="49"/>
      <c r="AR927" s="49"/>
      <c r="AS927" s="49"/>
      <c r="AT927" s="49"/>
      <c r="AU927" s="49"/>
      <c r="AV927" s="49"/>
      <c r="AW927" s="49"/>
      <c r="AX927" s="49"/>
    </row>
    <row r="928">
      <c r="A928" s="49"/>
      <c r="B928" s="49"/>
      <c r="C928" s="50"/>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c r="AF928" s="49"/>
      <c r="AG928" s="49"/>
      <c r="AH928" s="49"/>
      <c r="AI928" s="49"/>
      <c r="AJ928" s="49"/>
      <c r="AK928" s="49"/>
      <c r="AL928" s="49"/>
      <c r="AM928" s="49"/>
      <c r="AN928" s="49"/>
      <c r="AO928" s="49"/>
      <c r="AP928" s="49"/>
      <c r="AQ928" s="49"/>
      <c r="AR928" s="49"/>
      <c r="AS928" s="49"/>
      <c r="AT928" s="49"/>
      <c r="AU928" s="49"/>
      <c r="AV928" s="49"/>
      <c r="AW928" s="49"/>
      <c r="AX928" s="49"/>
    </row>
    <row r="929">
      <c r="A929" s="49"/>
      <c r="B929" s="49"/>
      <c r="C929" s="50"/>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c r="AF929" s="49"/>
      <c r="AG929" s="49"/>
      <c r="AH929" s="49"/>
      <c r="AI929" s="49"/>
      <c r="AJ929" s="49"/>
      <c r="AK929" s="49"/>
      <c r="AL929" s="49"/>
      <c r="AM929" s="49"/>
      <c r="AN929" s="49"/>
      <c r="AO929" s="49"/>
      <c r="AP929" s="49"/>
      <c r="AQ929" s="49"/>
      <c r="AR929" s="49"/>
      <c r="AS929" s="49"/>
      <c r="AT929" s="49"/>
      <c r="AU929" s="49"/>
      <c r="AV929" s="49"/>
      <c r="AW929" s="49"/>
      <c r="AX929" s="49"/>
    </row>
    <row r="930">
      <c r="A930" s="49"/>
      <c r="B930" s="49"/>
      <c r="C930" s="50"/>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c r="AF930" s="49"/>
      <c r="AG930" s="49"/>
      <c r="AH930" s="49"/>
      <c r="AI930" s="49"/>
      <c r="AJ930" s="49"/>
      <c r="AK930" s="49"/>
      <c r="AL930" s="49"/>
      <c r="AM930" s="49"/>
      <c r="AN930" s="49"/>
      <c r="AO930" s="49"/>
      <c r="AP930" s="49"/>
      <c r="AQ930" s="49"/>
      <c r="AR930" s="49"/>
      <c r="AS930" s="49"/>
      <c r="AT930" s="49"/>
      <c r="AU930" s="49"/>
      <c r="AV930" s="49"/>
      <c r="AW930" s="49"/>
      <c r="AX930" s="49"/>
    </row>
    <row r="931">
      <c r="A931" s="49"/>
      <c r="B931" s="49"/>
      <c r="C931" s="50"/>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c r="AF931" s="49"/>
      <c r="AG931" s="49"/>
      <c r="AH931" s="49"/>
      <c r="AI931" s="49"/>
      <c r="AJ931" s="49"/>
      <c r="AK931" s="49"/>
      <c r="AL931" s="49"/>
      <c r="AM931" s="49"/>
      <c r="AN931" s="49"/>
      <c r="AO931" s="49"/>
      <c r="AP931" s="49"/>
      <c r="AQ931" s="49"/>
      <c r="AR931" s="49"/>
      <c r="AS931" s="49"/>
      <c r="AT931" s="49"/>
      <c r="AU931" s="49"/>
      <c r="AV931" s="49"/>
      <c r="AW931" s="49"/>
      <c r="AX931" s="49"/>
    </row>
    <row r="932">
      <c r="A932" s="49"/>
      <c r="B932" s="49"/>
      <c r="C932" s="50"/>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c r="AF932" s="49"/>
      <c r="AG932" s="49"/>
      <c r="AH932" s="49"/>
      <c r="AI932" s="49"/>
      <c r="AJ932" s="49"/>
      <c r="AK932" s="49"/>
      <c r="AL932" s="49"/>
      <c r="AM932" s="49"/>
      <c r="AN932" s="49"/>
      <c r="AO932" s="49"/>
      <c r="AP932" s="49"/>
      <c r="AQ932" s="49"/>
      <c r="AR932" s="49"/>
      <c r="AS932" s="49"/>
      <c r="AT932" s="49"/>
      <c r="AU932" s="49"/>
      <c r="AV932" s="49"/>
      <c r="AW932" s="49"/>
      <c r="AX932" s="49"/>
    </row>
    <row r="933">
      <c r="A933" s="49"/>
      <c r="B933" s="49"/>
      <c r="C933" s="50"/>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c r="AF933" s="49"/>
      <c r="AG933" s="49"/>
      <c r="AH933" s="49"/>
      <c r="AI933" s="49"/>
      <c r="AJ933" s="49"/>
      <c r="AK933" s="49"/>
      <c r="AL933" s="49"/>
      <c r="AM933" s="49"/>
      <c r="AN933" s="49"/>
      <c r="AO933" s="49"/>
      <c r="AP933" s="49"/>
      <c r="AQ933" s="49"/>
      <c r="AR933" s="49"/>
      <c r="AS933" s="49"/>
      <c r="AT933" s="49"/>
      <c r="AU933" s="49"/>
      <c r="AV933" s="49"/>
      <c r="AW933" s="49"/>
      <c r="AX933" s="49"/>
    </row>
    <row r="934">
      <c r="A934" s="49"/>
      <c r="B934" s="49"/>
      <c r="C934" s="50"/>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c r="AF934" s="49"/>
      <c r="AG934" s="49"/>
      <c r="AH934" s="49"/>
      <c r="AI934" s="49"/>
      <c r="AJ934" s="49"/>
      <c r="AK934" s="49"/>
      <c r="AL934" s="49"/>
      <c r="AM934" s="49"/>
      <c r="AN934" s="49"/>
      <c r="AO934" s="49"/>
      <c r="AP934" s="49"/>
      <c r="AQ934" s="49"/>
      <c r="AR934" s="49"/>
      <c r="AS934" s="49"/>
      <c r="AT934" s="49"/>
      <c r="AU934" s="49"/>
      <c r="AV934" s="49"/>
      <c r="AW934" s="49"/>
      <c r="AX934" s="49"/>
    </row>
    <row r="935">
      <c r="A935" s="49"/>
      <c r="B935" s="49"/>
      <c r="C935" s="50"/>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c r="AF935" s="49"/>
      <c r="AG935" s="49"/>
      <c r="AH935" s="49"/>
      <c r="AI935" s="49"/>
      <c r="AJ935" s="49"/>
      <c r="AK935" s="49"/>
      <c r="AL935" s="49"/>
      <c r="AM935" s="49"/>
      <c r="AN935" s="49"/>
      <c r="AO935" s="49"/>
      <c r="AP935" s="49"/>
      <c r="AQ935" s="49"/>
      <c r="AR935" s="49"/>
      <c r="AS935" s="49"/>
      <c r="AT935" s="49"/>
      <c r="AU935" s="49"/>
      <c r="AV935" s="49"/>
      <c r="AW935" s="49"/>
      <c r="AX935" s="49"/>
    </row>
    <row r="936">
      <c r="A936" s="49"/>
      <c r="B936" s="49"/>
      <c r="C936" s="50"/>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c r="AF936" s="49"/>
      <c r="AG936" s="49"/>
      <c r="AH936" s="49"/>
      <c r="AI936" s="49"/>
      <c r="AJ936" s="49"/>
      <c r="AK936" s="49"/>
      <c r="AL936" s="49"/>
      <c r="AM936" s="49"/>
      <c r="AN936" s="49"/>
      <c r="AO936" s="49"/>
      <c r="AP936" s="49"/>
      <c r="AQ936" s="49"/>
      <c r="AR936" s="49"/>
      <c r="AS936" s="49"/>
      <c r="AT936" s="49"/>
      <c r="AU936" s="49"/>
      <c r="AV936" s="49"/>
      <c r="AW936" s="49"/>
      <c r="AX936" s="49"/>
    </row>
    <row r="937">
      <c r="A937" s="49"/>
      <c r="B937" s="49"/>
      <c r="C937" s="50"/>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c r="AF937" s="49"/>
      <c r="AG937" s="49"/>
      <c r="AH937" s="49"/>
      <c r="AI937" s="49"/>
      <c r="AJ937" s="49"/>
      <c r="AK937" s="49"/>
      <c r="AL937" s="49"/>
      <c r="AM937" s="49"/>
      <c r="AN937" s="49"/>
      <c r="AO937" s="49"/>
      <c r="AP937" s="49"/>
      <c r="AQ937" s="49"/>
      <c r="AR937" s="49"/>
      <c r="AS937" s="49"/>
      <c r="AT937" s="49"/>
      <c r="AU937" s="49"/>
      <c r="AV937" s="49"/>
      <c r="AW937" s="49"/>
      <c r="AX937" s="49"/>
    </row>
    <row r="938">
      <c r="A938" s="49"/>
      <c r="B938" s="49"/>
      <c r="C938" s="50"/>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c r="AF938" s="49"/>
      <c r="AG938" s="49"/>
      <c r="AH938" s="49"/>
      <c r="AI938" s="49"/>
      <c r="AJ938" s="49"/>
      <c r="AK938" s="49"/>
      <c r="AL938" s="49"/>
      <c r="AM938" s="49"/>
      <c r="AN938" s="49"/>
      <c r="AO938" s="49"/>
      <c r="AP938" s="49"/>
      <c r="AQ938" s="49"/>
      <c r="AR938" s="49"/>
      <c r="AS938" s="49"/>
      <c r="AT938" s="49"/>
      <c r="AU938" s="49"/>
      <c r="AV938" s="49"/>
      <c r="AW938" s="49"/>
      <c r="AX938" s="49"/>
    </row>
    <row r="939">
      <c r="A939" s="49"/>
      <c r="B939" s="49"/>
      <c r="C939" s="50"/>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c r="AF939" s="49"/>
      <c r="AG939" s="49"/>
      <c r="AH939" s="49"/>
      <c r="AI939" s="49"/>
      <c r="AJ939" s="49"/>
      <c r="AK939" s="49"/>
      <c r="AL939" s="49"/>
      <c r="AM939" s="49"/>
      <c r="AN939" s="49"/>
      <c r="AO939" s="49"/>
      <c r="AP939" s="49"/>
      <c r="AQ939" s="49"/>
      <c r="AR939" s="49"/>
      <c r="AS939" s="49"/>
      <c r="AT939" s="49"/>
      <c r="AU939" s="49"/>
      <c r="AV939" s="49"/>
      <c r="AW939" s="49"/>
      <c r="AX939" s="49"/>
    </row>
    <row r="940">
      <c r="A940" s="49"/>
      <c r="B940" s="49"/>
      <c r="C940" s="50"/>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c r="AF940" s="49"/>
      <c r="AG940" s="49"/>
      <c r="AH940" s="49"/>
      <c r="AI940" s="49"/>
      <c r="AJ940" s="49"/>
      <c r="AK940" s="49"/>
      <c r="AL940" s="49"/>
      <c r="AM940" s="49"/>
      <c r="AN940" s="49"/>
      <c r="AO940" s="49"/>
      <c r="AP940" s="49"/>
      <c r="AQ940" s="49"/>
      <c r="AR940" s="49"/>
      <c r="AS940" s="49"/>
      <c r="AT940" s="49"/>
      <c r="AU940" s="49"/>
      <c r="AV940" s="49"/>
      <c r="AW940" s="49"/>
      <c r="AX940" s="49"/>
    </row>
    <row r="941">
      <c r="A941" s="49"/>
      <c r="B941" s="49"/>
      <c r="C941" s="50"/>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c r="AF941" s="49"/>
      <c r="AG941" s="49"/>
      <c r="AH941" s="49"/>
      <c r="AI941" s="49"/>
      <c r="AJ941" s="49"/>
      <c r="AK941" s="49"/>
      <c r="AL941" s="49"/>
      <c r="AM941" s="49"/>
      <c r="AN941" s="49"/>
      <c r="AO941" s="49"/>
      <c r="AP941" s="49"/>
      <c r="AQ941" s="49"/>
      <c r="AR941" s="49"/>
      <c r="AS941" s="49"/>
      <c r="AT941" s="49"/>
      <c r="AU941" s="49"/>
      <c r="AV941" s="49"/>
      <c r="AW941" s="49"/>
      <c r="AX941" s="49"/>
    </row>
    <row r="942">
      <c r="A942" s="49"/>
      <c r="B942" s="49"/>
      <c r="C942" s="50"/>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c r="AF942" s="49"/>
      <c r="AG942" s="49"/>
      <c r="AH942" s="49"/>
      <c r="AI942" s="49"/>
      <c r="AJ942" s="49"/>
      <c r="AK942" s="49"/>
      <c r="AL942" s="49"/>
      <c r="AM942" s="49"/>
      <c r="AN942" s="49"/>
      <c r="AO942" s="49"/>
      <c r="AP942" s="49"/>
      <c r="AQ942" s="49"/>
      <c r="AR942" s="49"/>
      <c r="AS942" s="49"/>
      <c r="AT942" s="49"/>
      <c r="AU942" s="49"/>
      <c r="AV942" s="49"/>
      <c r="AW942" s="49"/>
      <c r="AX942" s="49"/>
    </row>
    <row r="943">
      <c r="A943" s="49"/>
      <c r="B943" s="49"/>
      <c r="C943" s="50"/>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c r="AF943" s="49"/>
      <c r="AG943" s="49"/>
      <c r="AH943" s="49"/>
      <c r="AI943" s="49"/>
      <c r="AJ943" s="49"/>
      <c r="AK943" s="49"/>
      <c r="AL943" s="49"/>
      <c r="AM943" s="49"/>
      <c r="AN943" s="49"/>
      <c r="AO943" s="49"/>
      <c r="AP943" s="49"/>
      <c r="AQ943" s="49"/>
      <c r="AR943" s="49"/>
      <c r="AS943" s="49"/>
      <c r="AT943" s="49"/>
      <c r="AU943" s="49"/>
      <c r="AV943" s="49"/>
      <c r="AW943" s="49"/>
      <c r="AX943" s="49"/>
    </row>
    <row r="944">
      <c r="A944" s="49"/>
      <c r="B944" s="49"/>
      <c r="C944" s="50"/>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c r="AF944" s="49"/>
      <c r="AG944" s="49"/>
      <c r="AH944" s="49"/>
      <c r="AI944" s="49"/>
      <c r="AJ944" s="49"/>
      <c r="AK944" s="49"/>
      <c r="AL944" s="49"/>
      <c r="AM944" s="49"/>
      <c r="AN944" s="49"/>
      <c r="AO944" s="49"/>
      <c r="AP944" s="49"/>
      <c r="AQ944" s="49"/>
      <c r="AR944" s="49"/>
      <c r="AS944" s="49"/>
      <c r="AT944" s="49"/>
      <c r="AU944" s="49"/>
      <c r="AV944" s="49"/>
      <c r="AW944" s="49"/>
      <c r="AX944" s="49"/>
    </row>
    <row r="945">
      <c r="A945" s="49"/>
      <c r="B945" s="49"/>
      <c r="C945" s="50"/>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c r="AF945" s="49"/>
      <c r="AG945" s="49"/>
      <c r="AH945" s="49"/>
      <c r="AI945" s="49"/>
      <c r="AJ945" s="49"/>
      <c r="AK945" s="49"/>
      <c r="AL945" s="49"/>
      <c r="AM945" s="49"/>
      <c r="AN945" s="49"/>
      <c r="AO945" s="49"/>
      <c r="AP945" s="49"/>
      <c r="AQ945" s="49"/>
      <c r="AR945" s="49"/>
      <c r="AS945" s="49"/>
      <c r="AT945" s="49"/>
      <c r="AU945" s="49"/>
      <c r="AV945" s="49"/>
      <c r="AW945" s="49"/>
      <c r="AX945" s="49"/>
    </row>
    <row r="946">
      <c r="A946" s="49"/>
      <c r="B946" s="49"/>
      <c r="C946" s="50"/>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c r="AF946" s="49"/>
      <c r="AG946" s="49"/>
      <c r="AH946" s="49"/>
      <c r="AI946" s="49"/>
      <c r="AJ946" s="49"/>
      <c r="AK946" s="49"/>
      <c r="AL946" s="49"/>
      <c r="AM946" s="49"/>
      <c r="AN946" s="49"/>
      <c r="AO946" s="49"/>
      <c r="AP946" s="49"/>
      <c r="AQ946" s="49"/>
      <c r="AR946" s="49"/>
      <c r="AS946" s="49"/>
      <c r="AT946" s="49"/>
      <c r="AU946" s="49"/>
      <c r="AV946" s="49"/>
      <c r="AW946" s="49"/>
      <c r="AX946" s="49"/>
    </row>
    <row r="947">
      <c r="A947" s="49"/>
      <c r="B947" s="49"/>
      <c r="C947" s="50"/>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c r="AF947" s="49"/>
      <c r="AG947" s="49"/>
      <c r="AH947" s="49"/>
      <c r="AI947" s="49"/>
      <c r="AJ947" s="49"/>
      <c r="AK947" s="49"/>
      <c r="AL947" s="49"/>
      <c r="AM947" s="49"/>
      <c r="AN947" s="49"/>
      <c r="AO947" s="49"/>
      <c r="AP947" s="49"/>
      <c r="AQ947" s="49"/>
      <c r="AR947" s="49"/>
      <c r="AS947" s="49"/>
      <c r="AT947" s="49"/>
      <c r="AU947" s="49"/>
      <c r="AV947" s="49"/>
      <c r="AW947" s="49"/>
      <c r="AX947" s="49"/>
    </row>
    <row r="948">
      <c r="A948" s="49"/>
      <c r="B948" s="49"/>
      <c r="C948" s="50"/>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c r="AF948" s="49"/>
      <c r="AG948" s="49"/>
      <c r="AH948" s="49"/>
      <c r="AI948" s="49"/>
      <c r="AJ948" s="49"/>
      <c r="AK948" s="49"/>
      <c r="AL948" s="49"/>
      <c r="AM948" s="49"/>
      <c r="AN948" s="49"/>
      <c r="AO948" s="49"/>
      <c r="AP948" s="49"/>
      <c r="AQ948" s="49"/>
      <c r="AR948" s="49"/>
      <c r="AS948" s="49"/>
      <c r="AT948" s="49"/>
      <c r="AU948" s="49"/>
      <c r="AV948" s="49"/>
      <c r="AW948" s="49"/>
      <c r="AX948" s="49"/>
    </row>
    <row r="949">
      <c r="A949" s="49"/>
      <c r="B949" s="49"/>
      <c r="C949" s="50"/>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c r="AF949" s="49"/>
      <c r="AG949" s="49"/>
      <c r="AH949" s="49"/>
      <c r="AI949" s="49"/>
      <c r="AJ949" s="49"/>
      <c r="AK949" s="49"/>
      <c r="AL949" s="49"/>
      <c r="AM949" s="49"/>
      <c r="AN949" s="49"/>
      <c r="AO949" s="49"/>
      <c r="AP949" s="49"/>
      <c r="AQ949" s="49"/>
      <c r="AR949" s="49"/>
      <c r="AS949" s="49"/>
      <c r="AT949" s="49"/>
      <c r="AU949" s="49"/>
      <c r="AV949" s="49"/>
      <c r="AW949" s="49"/>
      <c r="AX949" s="49"/>
    </row>
    <row r="950">
      <c r="A950" s="49"/>
      <c r="B950" s="49"/>
      <c r="C950" s="50"/>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c r="AF950" s="49"/>
      <c r="AG950" s="49"/>
      <c r="AH950" s="49"/>
      <c r="AI950" s="49"/>
      <c r="AJ950" s="49"/>
      <c r="AK950" s="49"/>
      <c r="AL950" s="49"/>
      <c r="AM950" s="49"/>
      <c r="AN950" s="49"/>
      <c r="AO950" s="49"/>
      <c r="AP950" s="49"/>
      <c r="AQ950" s="49"/>
      <c r="AR950" s="49"/>
      <c r="AS950" s="49"/>
      <c r="AT950" s="49"/>
      <c r="AU950" s="49"/>
      <c r="AV950" s="49"/>
      <c r="AW950" s="49"/>
      <c r="AX950" s="49"/>
    </row>
    <row r="951">
      <c r="A951" s="49"/>
      <c r="B951" s="49"/>
      <c r="C951" s="50"/>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c r="AF951" s="49"/>
      <c r="AG951" s="49"/>
      <c r="AH951" s="49"/>
      <c r="AI951" s="49"/>
      <c r="AJ951" s="49"/>
      <c r="AK951" s="49"/>
      <c r="AL951" s="49"/>
      <c r="AM951" s="49"/>
      <c r="AN951" s="49"/>
      <c r="AO951" s="49"/>
      <c r="AP951" s="49"/>
      <c r="AQ951" s="49"/>
      <c r="AR951" s="49"/>
      <c r="AS951" s="49"/>
      <c r="AT951" s="49"/>
      <c r="AU951" s="49"/>
      <c r="AV951" s="49"/>
      <c r="AW951" s="49"/>
      <c r="AX951" s="49"/>
    </row>
    <row r="952">
      <c r="A952" s="49"/>
      <c r="B952" s="49"/>
      <c r="C952" s="50"/>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c r="AF952" s="49"/>
      <c r="AG952" s="49"/>
      <c r="AH952" s="49"/>
      <c r="AI952" s="49"/>
      <c r="AJ952" s="49"/>
      <c r="AK952" s="49"/>
      <c r="AL952" s="49"/>
      <c r="AM952" s="49"/>
      <c r="AN952" s="49"/>
      <c r="AO952" s="49"/>
      <c r="AP952" s="49"/>
      <c r="AQ952" s="49"/>
      <c r="AR952" s="49"/>
      <c r="AS952" s="49"/>
      <c r="AT952" s="49"/>
      <c r="AU952" s="49"/>
      <c r="AV952" s="49"/>
      <c r="AW952" s="49"/>
      <c r="AX952" s="49"/>
    </row>
    <row r="953">
      <c r="A953" s="49"/>
      <c r="B953" s="49"/>
      <c r="C953" s="50"/>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c r="AF953" s="49"/>
      <c r="AG953" s="49"/>
      <c r="AH953" s="49"/>
      <c r="AI953" s="49"/>
      <c r="AJ953" s="49"/>
      <c r="AK953" s="49"/>
      <c r="AL953" s="49"/>
      <c r="AM953" s="49"/>
      <c r="AN953" s="49"/>
      <c r="AO953" s="49"/>
      <c r="AP953" s="49"/>
      <c r="AQ953" s="49"/>
      <c r="AR953" s="49"/>
      <c r="AS953" s="49"/>
      <c r="AT953" s="49"/>
      <c r="AU953" s="49"/>
      <c r="AV953" s="49"/>
      <c r="AW953" s="49"/>
      <c r="AX953" s="49"/>
    </row>
    <row r="954">
      <c r="A954" s="49"/>
      <c r="B954" s="49"/>
      <c r="C954" s="50"/>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c r="AF954" s="49"/>
      <c r="AG954" s="49"/>
      <c r="AH954" s="49"/>
      <c r="AI954" s="49"/>
      <c r="AJ954" s="49"/>
      <c r="AK954" s="49"/>
      <c r="AL954" s="49"/>
      <c r="AM954" s="49"/>
      <c r="AN954" s="49"/>
      <c r="AO954" s="49"/>
      <c r="AP954" s="49"/>
      <c r="AQ954" s="49"/>
      <c r="AR954" s="49"/>
      <c r="AS954" s="49"/>
      <c r="AT954" s="49"/>
      <c r="AU954" s="49"/>
      <c r="AV954" s="49"/>
      <c r="AW954" s="49"/>
      <c r="AX954" s="49"/>
    </row>
    <row r="955">
      <c r="A955" s="49"/>
      <c r="B955" s="49"/>
      <c r="C955" s="50"/>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c r="AF955" s="49"/>
      <c r="AG955" s="49"/>
      <c r="AH955" s="49"/>
      <c r="AI955" s="49"/>
      <c r="AJ955" s="49"/>
      <c r="AK955" s="49"/>
      <c r="AL955" s="49"/>
      <c r="AM955" s="49"/>
      <c r="AN955" s="49"/>
      <c r="AO955" s="49"/>
      <c r="AP955" s="49"/>
      <c r="AQ955" s="49"/>
      <c r="AR955" s="49"/>
      <c r="AS955" s="49"/>
      <c r="AT955" s="49"/>
      <c r="AU955" s="49"/>
      <c r="AV955" s="49"/>
      <c r="AW955" s="49"/>
      <c r="AX955" s="49"/>
    </row>
    <row r="956">
      <c r="A956" s="49"/>
      <c r="B956" s="49"/>
      <c r="C956" s="50"/>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c r="AF956" s="49"/>
      <c r="AG956" s="49"/>
      <c r="AH956" s="49"/>
      <c r="AI956" s="49"/>
      <c r="AJ956" s="49"/>
      <c r="AK956" s="49"/>
      <c r="AL956" s="49"/>
      <c r="AM956" s="49"/>
      <c r="AN956" s="49"/>
      <c r="AO956" s="49"/>
      <c r="AP956" s="49"/>
      <c r="AQ956" s="49"/>
      <c r="AR956" s="49"/>
      <c r="AS956" s="49"/>
      <c r="AT956" s="49"/>
      <c r="AU956" s="49"/>
      <c r="AV956" s="49"/>
      <c r="AW956" s="49"/>
      <c r="AX956" s="49"/>
    </row>
    <row r="957">
      <c r="A957" s="49"/>
      <c r="B957" s="49"/>
      <c r="C957" s="50"/>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c r="AF957" s="49"/>
      <c r="AG957" s="49"/>
      <c r="AH957" s="49"/>
      <c r="AI957" s="49"/>
      <c r="AJ957" s="49"/>
      <c r="AK957" s="49"/>
      <c r="AL957" s="49"/>
      <c r="AM957" s="49"/>
      <c r="AN957" s="49"/>
      <c r="AO957" s="49"/>
      <c r="AP957" s="49"/>
      <c r="AQ957" s="49"/>
      <c r="AR957" s="49"/>
      <c r="AS957" s="49"/>
      <c r="AT957" s="49"/>
      <c r="AU957" s="49"/>
      <c r="AV957" s="49"/>
      <c r="AW957" s="49"/>
      <c r="AX957" s="49"/>
    </row>
    <row r="958">
      <c r="A958" s="49"/>
      <c r="B958" s="49"/>
      <c r="C958" s="50"/>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c r="AF958" s="49"/>
      <c r="AG958" s="49"/>
      <c r="AH958" s="49"/>
      <c r="AI958" s="49"/>
      <c r="AJ958" s="49"/>
      <c r="AK958" s="49"/>
      <c r="AL958" s="49"/>
      <c r="AM958" s="49"/>
      <c r="AN958" s="49"/>
      <c r="AO958" s="49"/>
      <c r="AP958" s="49"/>
      <c r="AQ958" s="49"/>
      <c r="AR958" s="49"/>
      <c r="AS958" s="49"/>
      <c r="AT958" s="49"/>
      <c r="AU958" s="49"/>
      <c r="AV958" s="49"/>
      <c r="AW958" s="49"/>
      <c r="AX958" s="49"/>
    </row>
    <row r="959">
      <c r="A959" s="49"/>
      <c r="B959" s="49"/>
      <c r="C959" s="50"/>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c r="AF959" s="49"/>
      <c r="AG959" s="49"/>
      <c r="AH959" s="49"/>
      <c r="AI959" s="49"/>
      <c r="AJ959" s="49"/>
      <c r="AK959" s="49"/>
      <c r="AL959" s="49"/>
      <c r="AM959" s="49"/>
      <c r="AN959" s="49"/>
      <c r="AO959" s="49"/>
      <c r="AP959" s="49"/>
      <c r="AQ959" s="49"/>
      <c r="AR959" s="49"/>
      <c r="AS959" s="49"/>
      <c r="AT959" s="49"/>
      <c r="AU959" s="49"/>
      <c r="AV959" s="49"/>
      <c r="AW959" s="49"/>
      <c r="AX959" s="49"/>
    </row>
    <row r="960">
      <c r="A960" s="49"/>
      <c r="B960" s="49"/>
      <c r="C960" s="50"/>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c r="AF960" s="49"/>
      <c r="AG960" s="49"/>
      <c r="AH960" s="49"/>
      <c r="AI960" s="49"/>
      <c r="AJ960" s="49"/>
      <c r="AK960" s="49"/>
      <c r="AL960" s="49"/>
      <c r="AM960" s="49"/>
      <c r="AN960" s="49"/>
      <c r="AO960" s="49"/>
      <c r="AP960" s="49"/>
      <c r="AQ960" s="49"/>
      <c r="AR960" s="49"/>
      <c r="AS960" s="49"/>
      <c r="AT960" s="49"/>
      <c r="AU960" s="49"/>
      <c r="AV960" s="49"/>
      <c r="AW960" s="49"/>
      <c r="AX960" s="49"/>
    </row>
    <row r="961">
      <c r="A961" s="49"/>
      <c r="B961" s="49"/>
      <c r="C961" s="50"/>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c r="AF961" s="49"/>
      <c r="AG961" s="49"/>
      <c r="AH961" s="49"/>
      <c r="AI961" s="49"/>
      <c r="AJ961" s="49"/>
      <c r="AK961" s="49"/>
      <c r="AL961" s="49"/>
      <c r="AM961" s="49"/>
      <c r="AN961" s="49"/>
      <c r="AO961" s="49"/>
      <c r="AP961" s="49"/>
      <c r="AQ961" s="49"/>
      <c r="AR961" s="49"/>
      <c r="AS961" s="49"/>
      <c r="AT961" s="49"/>
      <c r="AU961" s="49"/>
      <c r="AV961" s="49"/>
      <c r="AW961" s="49"/>
      <c r="AX961" s="49"/>
    </row>
    <row r="962">
      <c r="A962" s="49"/>
      <c r="B962" s="49"/>
      <c r="C962" s="50"/>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c r="AF962" s="49"/>
      <c r="AG962" s="49"/>
      <c r="AH962" s="49"/>
      <c r="AI962" s="49"/>
      <c r="AJ962" s="49"/>
      <c r="AK962" s="49"/>
      <c r="AL962" s="49"/>
      <c r="AM962" s="49"/>
      <c r="AN962" s="49"/>
      <c r="AO962" s="49"/>
      <c r="AP962" s="49"/>
      <c r="AQ962" s="49"/>
      <c r="AR962" s="49"/>
      <c r="AS962" s="49"/>
      <c r="AT962" s="49"/>
      <c r="AU962" s="49"/>
      <c r="AV962" s="49"/>
      <c r="AW962" s="49"/>
      <c r="AX962" s="49"/>
    </row>
    <row r="963">
      <c r="A963" s="49"/>
      <c r="B963" s="49"/>
      <c r="C963" s="50"/>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c r="AF963" s="49"/>
      <c r="AG963" s="49"/>
      <c r="AH963" s="49"/>
      <c r="AI963" s="49"/>
      <c r="AJ963" s="49"/>
      <c r="AK963" s="49"/>
      <c r="AL963" s="49"/>
      <c r="AM963" s="49"/>
      <c r="AN963" s="49"/>
      <c r="AO963" s="49"/>
      <c r="AP963" s="49"/>
      <c r="AQ963" s="49"/>
      <c r="AR963" s="49"/>
      <c r="AS963" s="49"/>
      <c r="AT963" s="49"/>
      <c r="AU963" s="49"/>
      <c r="AV963" s="49"/>
      <c r="AW963" s="49"/>
      <c r="AX963" s="49"/>
    </row>
    <row r="964">
      <c r="A964" s="49"/>
      <c r="B964" s="49"/>
      <c r="C964" s="50"/>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c r="AF964" s="49"/>
      <c r="AG964" s="49"/>
      <c r="AH964" s="49"/>
      <c r="AI964" s="49"/>
      <c r="AJ964" s="49"/>
      <c r="AK964" s="49"/>
      <c r="AL964" s="49"/>
      <c r="AM964" s="49"/>
      <c r="AN964" s="49"/>
      <c r="AO964" s="49"/>
      <c r="AP964" s="49"/>
      <c r="AQ964" s="49"/>
      <c r="AR964" s="49"/>
      <c r="AS964" s="49"/>
      <c r="AT964" s="49"/>
      <c r="AU964" s="49"/>
      <c r="AV964" s="49"/>
      <c r="AW964" s="49"/>
      <c r="AX964" s="49"/>
    </row>
    <row r="965">
      <c r="A965" s="49"/>
      <c r="B965" s="49"/>
      <c r="C965" s="50"/>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c r="AF965" s="49"/>
      <c r="AG965" s="49"/>
      <c r="AH965" s="49"/>
      <c r="AI965" s="49"/>
      <c r="AJ965" s="49"/>
      <c r="AK965" s="49"/>
      <c r="AL965" s="49"/>
      <c r="AM965" s="49"/>
      <c r="AN965" s="49"/>
      <c r="AO965" s="49"/>
      <c r="AP965" s="49"/>
      <c r="AQ965" s="49"/>
      <c r="AR965" s="49"/>
      <c r="AS965" s="49"/>
      <c r="AT965" s="49"/>
      <c r="AU965" s="49"/>
      <c r="AV965" s="49"/>
      <c r="AW965" s="49"/>
      <c r="AX965" s="49"/>
    </row>
    <row r="966">
      <c r="A966" s="49"/>
      <c r="B966" s="49"/>
      <c r="C966" s="50"/>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c r="AF966" s="49"/>
      <c r="AG966" s="49"/>
      <c r="AH966" s="49"/>
      <c r="AI966" s="49"/>
      <c r="AJ966" s="49"/>
      <c r="AK966" s="49"/>
      <c r="AL966" s="49"/>
      <c r="AM966" s="49"/>
      <c r="AN966" s="49"/>
      <c r="AO966" s="49"/>
      <c r="AP966" s="49"/>
      <c r="AQ966" s="49"/>
      <c r="AR966" s="49"/>
      <c r="AS966" s="49"/>
      <c r="AT966" s="49"/>
      <c r="AU966" s="49"/>
      <c r="AV966" s="49"/>
      <c r="AW966" s="49"/>
      <c r="AX966" s="49"/>
    </row>
    <row r="967">
      <c r="A967" s="49"/>
      <c r="B967" s="49"/>
      <c r="C967" s="50"/>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c r="AF967" s="49"/>
      <c r="AG967" s="49"/>
      <c r="AH967" s="49"/>
      <c r="AI967" s="49"/>
      <c r="AJ967" s="49"/>
      <c r="AK967" s="49"/>
      <c r="AL967" s="49"/>
      <c r="AM967" s="49"/>
      <c r="AN967" s="49"/>
      <c r="AO967" s="49"/>
      <c r="AP967" s="49"/>
      <c r="AQ967" s="49"/>
      <c r="AR967" s="49"/>
      <c r="AS967" s="49"/>
      <c r="AT967" s="49"/>
      <c r="AU967" s="49"/>
      <c r="AV967" s="49"/>
      <c r="AW967" s="49"/>
      <c r="AX967" s="49"/>
    </row>
    <row r="968">
      <c r="A968" s="49"/>
      <c r="B968" s="49"/>
      <c r="C968" s="50"/>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c r="AF968" s="49"/>
      <c r="AG968" s="49"/>
      <c r="AH968" s="49"/>
      <c r="AI968" s="49"/>
      <c r="AJ968" s="49"/>
      <c r="AK968" s="49"/>
      <c r="AL968" s="49"/>
      <c r="AM968" s="49"/>
      <c r="AN968" s="49"/>
      <c r="AO968" s="49"/>
      <c r="AP968" s="49"/>
      <c r="AQ968" s="49"/>
      <c r="AR968" s="49"/>
      <c r="AS968" s="49"/>
      <c r="AT968" s="49"/>
      <c r="AU968" s="49"/>
      <c r="AV968" s="49"/>
      <c r="AW968" s="49"/>
      <c r="AX968" s="49"/>
    </row>
    <row r="969">
      <c r="A969" s="49"/>
      <c r="B969" s="49"/>
      <c r="C969" s="50"/>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c r="AF969" s="49"/>
      <c r="AG969" s="49"/>
      <c r="AH969" s="49"/>
      <c r="AI969" s="49"/>
      <c r="AJ969" s="49"/>
      <c r="AK969" s="49"/>
      <c r="AL969" s="49"/>
      <c r="AM969" s="49"/>
      <c r="AN969" s="49"/>
      <c r="AO969" s="49"/>
      <c r="AP969" s="49"/>
      <c r="AQ969" s="49"/>
      <c r="AR969" s="49"/>
      <c r="AS969" s="49"/>
      <c r="AT969" s="49"/>
      <c r="AU969" s="49"/>
      <c r="AV969" s="49"/>
      <c r="AW969" s="49"/>
      <c r="AX969" s="49"/>
    </row>
    <row r="970">
      <c r="A970" s="49"/>
      <c r="B970" s="49"/>
      <c r="C970" s="50"/>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c r="AF970" s="49"/>
      <c r="AG970" s="49"/>
      <c r="AH970" s="49"/>
      <c r="AI970" s="49"/>
      <c r="AJ970" s="49"/>
      <c r="AK970" s="49"/>
      <c r="AL970" s="49"/>
      <c r="AM970" s="49"/>
      <c r="AN970" s="49"/>
      <c r="AO970" s="49"/>
      <c r="AP970" s="49"/>
      <c r="AQ970" s="49"/>
      <c r="AR970" s="49"/>
      <c r="AS970" s="49"/>
      <c r="AT970" s="49"/>
      <c r="AU970" s="49"/>
      <c r="AV970" s="49"/>
      <c r="AW970" s="49"/>
      <c r="AX970" s="49"/>
    </row>
    <row r="971">
      <c r="A971" s="49"/>
      <c r="B971" s="49"/>
      <c r="C971" s="50"/>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c r="AF971" s="49"/>
      <c r="AG971" s="49"/>
      <c r="AH971" s="49"/>
      <c r="AI971" s="49"/>
      <c r="AJ971" s="49"/>
      <c r="AK971" s="49"/>
      <c r="AL971" s="49"/>
      <c r="AM971" s="49"/>
      <c r="AN971" s="49"/>
      <c r="AO971" s="49"/>
      <c r="AP971" s="49"/>
      <c r="AQ971" s="49"/>
      <c r="AR971" s="49"/>
      <c r="AS971" s="49"/>
      <c r="AT971" s="49"/>
      <c r="AU971" s="49"/>
      <c r="AV971" s="49"/>
      <c r="AW971" s="49"/>
      <c r="AX971" s="49"/>
    </row>
    <row r="972">
      <c r="A972" s="49"/>
      <c r="B972" s="49"/>
      <c r="C972" s="50"/>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c r="AF972" s="49"/>
      <c r="AG972" s="49"/>
      <c r="AH972" s="49"/>
      <c r="AI972" s="49"/>
      <c r="AJ972" s="49"/>
      <c r="AK972" s="49"/>
      <c r="AL972" s="49"/>
      <c r="AM972" s="49"/>
      <c r="AN972" s="49"/>
      <c r="AO972" s="49"/>
      <c r="AP972" s="49"/>
      <c r="AQ972" s="49"/>
      <c r="AR972" s="49"/>
      <c r="AS972" s="49"/>
      <c r="AT972" s="49"/>
      <c r="AU972" s="49"/>
      <c r="AV972" s="49"/>
      <c r="AW972" s="49"/>
      <c r="AX972" s="49"/>
    </row>
    <row r="973">
      <c r="A973" s="49"/>
      <c r="B973" s="49"/>
      <c r="C973" s="50"/>
      <c r="D973" s="49"/>
      <c r="E973" s="49"/>
      <c r="F973" s="49"/>
      <c r="G973" s="49"/>
      <c r="H973" s="49"/>
      <c r="I973" s="49"/>
      <c r="J973" s="49"/>
      <c r="K973" s="49"/>
      <c r="L973" s="49"/>
      <c r="M973" s="49"/>
      <c r="N973" s="49"/>
      <c r="O973" s="49"/>
      <c r="P973" s="49"/>
      <c r="Q973" s="49"/>
      <c r="R973" s="49"/>
      <c r="S973" s="49"/>
      <c r="T973" s="49"/>
      <c r="U973" s="49"/>
      <c r="V973" s="49"/>
      <c r="W973" s="49"/>
      <c r="X973" s="49"/>
      <c r="Y973" s="49"/>
      <c r="Z973" s="49"/>
      <c r="AA973" s="49"/>
      <c r="AB973" s="49"/>
      <c r="AC973" s="49"/>
      <c r="AD973" s="49"/>
      <c r="AE973" s="49"/>
      <c r="AF973" s="49"/>
      <c r="AG973" s="49"/>
      <c r="AH973" s="49"/>
      <c r="AI973" s="49"/>
      <c r="AJ973" s="49"/>
      <c r="AK973" s="49"/>
      <c r="AL973" s="49"/>
      <c r="AM973" s="49"/>
      <c r="AN973" s="49"/>
      <c r="AO973" s="49"/>
      <c r="AP973" s="49"/>
      <c r="AQ973" s="49"/>
      <c r="AR973" s="49"/>
      <c r="AS973" s="49"/>
      <c r="AT973" s="49"/>
      <c r="AU973" s="49"/>
      <c r="AV973" s="49"/>
      <c r="AW973" s="49"/>
      <c r="AX973" s="49"/>
    </row>
    <row r="974">
      <c r="A974" s="49"/>
      <c r="B974" s="49"/>
      <c r="C974" s="50"/>
      <c r="D974" s="49"/>
      <c r="E974" s="49"/>
      <c r="F974" s="49"/>
      <c r="G974" s="49"/>
      <c r="H974" s="49"/>
      <c r="I974" s="49"/>
      <c r="J974" s="49"/>
      <c r="K974" s="49"/>
      <c r="L974" s="49"/>
      <c r="M974" s="49"/>
      <c r="N974" s="49"/>
      <c r="O974" s="49"/>
      <c r="P974" s="49"/>
      <c r="Q974" s="49"/>
      <c r="R974" s="49"/>
      <c r="S974" s="49"/>
      <c r="T974" s="49"/>
      <c r="U974" s="49"/>
      <c r="V974" s="49"/>
      <c r="W974" s="49"/>
      <c r="X974" s="49"/>
      <c r="Y974" s="49"/>
      <c r="Z974" s="49"/>
      <c r="AA974" s="49"/>
      <c r="AB974" s="49"/>
      <c r="AC974" s="49"/>
      <c r="AD974" s="49"/>
      <c r="AE974" s="49"/>
      <c r="AF974" s="49"/>
      <c r="AG974" s="49"/>
      <c r="AH974" s="49"/>
      <c r="AI974" s="49"/>
      <c r="AJ974" s="49"/>
      <c r="AK974" s="49"/>
      <c r="AL974" s="49"/>
      <c r="AM974" s="49"/>
      <c r="AN974" s="49"/>
      <c r="AO974" s="49"/>
      <c r="AP974" s="49"/>
      <c r="AQ974" s="49"/>
      <c r="AR974" s="49"/>
      <c r="AS974" s="49"/>
      <c r="AT974" s="49"/>
      <c r="AU974" s="49"/>
      <c r="AV974" s="49"/>
      <c r="AW974" s="49"/>
      <c r="AX974" s="49"/>
    </row>
    <row r="975">
      <c r="A975" s="49"/>
      <c r="B975" s="49"/>
      <c r="C975" s="50"/>
      <c r="D975" s="49"/>
      <c r="E975" s="49"/>
      <c r="F975" s="49"/>
      <c r="G975" s="49"/>
      <c r="H975" s="49"/>
      <c r="I975" s="49"/>
      <c r="J975" s="49"/>
      <c r="K975" s="49"/>
      <c r="L975" s="49"/>
      <c r="M975" s="49"/>
      <c r="N975" s="49"/>
      <c r="O975" s="49"/>
      <c r="P975" s="49"/>
      <c r="Q975" s="49"/>
      <c r="R975" s="49"/>
      <c r="S975" s="49"/>
      <c r="T975" s="49"/>
      <c r="U975" s="49"/>
      <c r="V975" s="49"/>
      <c r="W975" s="49"/>
      <c r="X975" s="49"/>
      <c r="Y975" s="49"/>
      <c r="Z975" s="49"/>
      <c r="AA975" s="49"/>
      <c r="AB975" s="49"/>
      <c r="AC975" s="49"/>
      <c r="AD975" s="49"/>
      <c r="AE975" s="49"/>
      <c r="AF975" s="49"/>
      <c r="AG975" s="49"/>
      <c r="AH975" s="49"/>
      <c r="AI975" s="49"/>
      <c r="AJ975" s="49"/>
      <c r="AK975" s="49"/>
      <c r="AL975" s="49"/>
      <c r="AM975" s="49"/>
      <c r="AN975" s="49"/>
      <c r="AO975" s="49"/>
      <c r="AP975" s="49"/>
      <c r="AQ975" s="49"/>
      <c r="AR975" s="49"/>
      <c r="AS975" s="49"/>
      <c r="AT975" s="49"/>
      <c r="AU975" s="49"/>
      <c r="AV975" s="49"/>
      <c r="AW975" s="49"/>
      <c r="AX975" s="49"/>
    </row>
    <row r="976">
      <c r="A976" s="49"/>
      <c r="B976" s="49"/>
      <c r="C976" s="50"/>
      <c r="D976" s="49"/>
      <c r="E976" s="49"/>
      <c r="F976" s="49"/>
      <c r="G976" s="49"/>
      <c r="H976" s="49"/>
      <c r="I976" s="49"/>
      <c r="J976" s="49"/>
      <c r="K976" s="49"/>
      <c r="L976" s="49"/>
      <c r="M976" s="49"/>
      <c r="N976" s="49"/>
      <c r="O976" s="49"/>
      <c r="P976" s="49"/>
      <c r="Q976" s="49"/>
      <c r="R976" s="49"/>
      <c r="S976" s="49"/>
      <c r="T976" s="49"/>
      <c r="U976" s="49"/>
      <c r="V976" s="49"/>
      <c r="W976" s="49"/>
      <c r="X976" s="49"/>
      <c r="Y976" s="49"/>
      <c r="Z976" s="49"/>
      <c r="AA976" s="49"/>
      <c r="AB976" s="49"/>
      <c r="AC976" s="49"/>
      <c r="AD976" s="49"/>
      <c r="AE976" s="49"/>
      <c r="AF976" s="49"/>
      <c r="AG976" s="49"/>
      <c r="AH976" s="49"/>
      <c r="AI976" s="49"/>
      <c r="AJ976" s="49"/>
      <c r="AK976" s="49"/>
      <c r="AL976" s="49"/>
      <c r="AM976" s="49"/>
      <c r="AN976" s="49"/>
      <c r="AO976" s="49"/>
      <c r="AP976" s="49"/>
      <c r="AQ976" s="49"/>
      <c r="AR976" s="49"/>
      <c r="AS976" s="49"/>
      <c r="AT976" s="49"/>
      <c r="AU976" s="49"/>
      <c r="AV976" s="49"/>
      <c r="AW976" s="49"/>
      <c r="AX976" s="49"/>
    </row>
    <row r="977">
      <c r="A977" s="49"/>
      <c r="B977" s="49"/>
      <c r="C977" s="50"/>
      <c r="D977" s="49"/>
      <c r="E977" s="49"/>
      <c r="F977" s="49"/>
      <c r="G977" s="49"/>
      <c r="H977" s="49"/>
      <c r="I977" s="49"/>
      <c r="J977" s="49"/>
      <c r="K977" s="49"/>
      <c r="L977" s="49"/>
      <c r="M977" s="49"/>
      <c r="N977" s="49"/>
      <c r="O977" s="49"/>
      <c r="P977" s="49"/>
      <c r="Q977" s="49"/>
      <c r="R977" s="49"/>
      <c r="S977" s="49"/>
      <c r="T977" s="49"/>
      <c r="U977" s="49"/>
      <c r="V977" s="49"/>
      <c r="W977" s="49"/>
      <c r="X977" s="49"/>
      <c r="Y977" s="49"/>
      <c r="Z977" s="49"/>
      <c r="AA977" s="49"/>
      <c r="AB977" s="49"/>
      <c r="AC977" s="49"/>
      <c r="AD977" s="49"/>
      <c r="AE977" s="49"/>
      <c r="AF977" s="49"/>
      <c r="AG977" s="49"/>
      <c r="AH977" s="49"/>
      <c r="AI977" s="49"/>
      <c r="AJ977" s="49"/>
      <c r="AK977" s="49"/>
      <c r="AL977" s="49"/>
      <c r="AM977" s="49"/>
      <c r="AN977" s="49"/>
      <c r="AO977" s="49"/>
      <c r="AP977" s="49"/>
      <c r="AQ977" s="49"/>
      <c r="AR977" s="49"/>
      <c r="AS977" s="49"/>
      <c r="AT977" s="49"/>
      <c r="AU977" s="49"/>
      <c r="AV977" s="49"/>
      <c r="AW977" s="49"/>
      <c r="AX977" s="49"/>
    </row>
    <row r="978">
      <c r="A978" s="49"/>
      <c r="B978" s="49"/>
      <c r="C978" s="50"/>
      <c r="D978" s="49"/>
      <c r="E978" s="49"/>
      <c r="F978" s="49"/>
      <c r="G978" s="49"/>
      <c r="H978" s="49"/>
      <c r="I978" s="49"/>
      <c r="J978" s="49"/>
      <c r="K978" s="49"/>
      <c r="L978" s="49"/>
      <c r="M978" s="49"/>
      <c r="N978" s="49"/>
      <c r="O978" s="49"/>
      <c r="P978" s="49"/>
      <c r="Q978" s="49"/>
      <c r="R978" s="49"/>
      <c r="S978" s="49"/>
      <c r="T978" s="49"/>
      <c r="U978" s="49"/>
      <c r="V978" s="49"/>
      <c r="W978" s="49"/>
      <c r="X978" s="49"/>
      <c r="Y978" s="49"/>
      <c r="Z978" s="49"/>
      <c r="AA978" s="49"/>
      <c r="AB978" s="49"/>
      <c r="AC978" s="49"/>
      <c r="AD978" s="49"/>
      <c r="AE978" s="49"/>
      <c r="AF978" s="49"/>
      <c r="AG978" s="49"/>
      <c r="AH978" s="49"/>
      <c r="AI978" s="49"/>
      <c r="AJ978" s="49"/>
      <c r="AK978" s="49"/>
      <c r="AL978" s="49"/>
      <c r="AM978" s="49"/>
      <c r="AN978" s="49"/>
      <c r="AO978" s="49"/>
      <c r="AP978" s="49"/>
      <c r="AQ978" s="49"/>
      <c r="AR978" s="49"/>
      <c r="AS978" s="49"/>
      <c r="AT978" s="49"/>
      <c r="AU978" s="49"/>
      <c r="AV978" s="49"/>
      <c r="AW978" s="49"/>
      <c r="AX978" s="49"/>
    </row>
    <row r="979">
      <c r="A979" s="49"/>
      <c r="B979" s="49"/>
      <c r="C979" s="50"/>
      <c r="D979" s="49"/>
      <c r="E979" s="49"/>
      <c r="F979" s="49"/>
      <c r="G979" s="49"/>
      <c r="H979" s="49"/>
      <c r="I979" s="49"/>
      <c r="J979" s="49"/>
      <c r="K979" s="49"/>
      <c r="L979" s="49"/>
      <c r="M979" s="49"/>
      <c r="N979" s="49"/>
      <c r="O979" s="49"/>
      <c r="P979" s="49"/>
      <c r="Q979" s="49"/>
      <c r="R979" s="49"/>
      <c r="S979" s="49"/>
      <c r="T979" s="49"/>
      <c r="U979" s="49"/>
      <c r="V979" s="49"/>
      <c r="W979" s="49"/>
      <c r="X979" s="49"/>
      <c r="Y979" s="49"/>
      <c r="Z979" s="49"/>
      <c r="AA979" s="49"/>
      <c r="AB979" s="49"/>
      <c r="AC979" s="49"/>
      <c r="AD979" s="49"/>
      <c r="AE979" s="49"/>
      <c r="AF979" s="49"/>
      <c r="AG979" s="49"/>
      <c r="AH979" s="49"/>
      <c r="AI979" s="49"/>
      <c r="AJ979" s="49"/>
      <c r="AK979" s="49"/>
      <c r="AL979" s="49"/>
      <c r="AM979" s="49"/>
      <c r="AN979" s="49"/>
      <c r="AO979" s="49"/>
      <c r="AP979" s="49"/>
      <c r="AQ979" s="49"/>
      <c r="AR979" s="49"/>
      <c r="AS979" s="49"/>
      <c r="AT979" s="49"/>
      <c r="AU979" s="49"/>
      <c r="AV979" s="49"/>
      <c r="AW979" s="49"/>
      <c r="AX979" s="49"/>
    </row>
    <row r="980">
      <c r="A980" s="49"/>
      <c r="B980" s="49"/>
      <c r="C980" s="50"/>
      <c r="D980" s="49"/>
      <c r="E980" s="49"/>
      <c r="F980" s="49"/>
      <c r="G980" s="49"/>
      <c r="H980" s="49"/>
      <c r="I980" s="49"/>
      <c r="J980" s="49"/>
      <c r="K980" s="49"/>
      <c r="L980" s="49"/>
      <c r="M980" s="49"/>
      <c r="N980" s="49"/>
      <c r="O980" s="49"/>
      <c r="P980" s="49"/>
      <c r="Q980" s="49"/>
      <c r="R980" s="49"/>
      <c r="S980" s="49"/>
      <c r="T980" s="49"/>
      <c r="U980" s="49"/>
      <c r="V980" s="49"/>
      <c r="W980" s="49"/>
      <c r="X980" s="49"/>
      <c r="Y980" s="49"/>
      <c r="Z980" s="49"/>
      <c r="AA980" s="49"/>
      <c r="AB980" s="49"/>
      <c r="AC980" s="49"/>
      <c r="AD980" s="49"/>
      <c r="AE980" s="49"/>
      <c r="AF980" s="49"/>
      <c r="AG980" s="49"/>
      <c r="AH980" s="49"/>
      <c r="AI980" s="49"/>
      <c r="AJ980" s="49"/>
      <c r="AK980" s="49"/>
      <c r="AL980" s="49"/>
      <c r="AM980" s="49"/>
      <c r="AN980" s="49"/>
      <c r="AO980" s="49"/>
      <c r="AP980" s="49"/>
      <c r="AQ980" s="49"/>
      <c r="AR980" s="49"/>
      <c r="AS980" s="49"/>
      <c r="AT980" s="49"/>
      <c r="AU980" s="49"/>
      <c r="AV980" s="49"/>
      <c r="AW980" s="49"/>
      <c r="AX980" s="49"/>
    </row>
    <row r="981">
      <c r="A981" s="49"/>
      <c r="B981" s="49"/>
      <c r="C981" s="50"/>
      <c r="D981" s="49"/>
      <c r="E981" s="49"/>
      <c r="F981" s="49"/>
      <c r="G981" s="49"/>
      <c r="H981" s="49"/>
      <c r="I981" s="49"/>
      <c r="J981" s="49"/>
      <c r="K981" s="49"/>
      <c r="L981" s="49"/>
      <c r="M981" s="49"/>
      <c r="N981" s="49"/>
      <c r="O981" s="49"/>
      <c r="P981" s="49"/>
      <c r="Q981" s="49"/>
      <c r="R981" s="49"/>
      <c r="S981" s="49"/>
      <c r="T981" s="49"/>
      <c r="U981" s="49"/>
      <c r="V981" s="49"/>
      <c r="W981" s="49"/>
      <c r="X981" s="49"/>
      <c r="Y981" s="49"/>
      <c r="Z981" s="49"/>
      <c r="AA981" s="49"/>
      <c r="AB981" s="49"/>
      <c r="AC981" s="49"/>
      <c r="AD981" s="49"/>
      <c r="AE981" s="49"/>
      <c r="AF981" s="49"/>
      <c r="AG981" s="49"/>
      <c r="AH981" s="49"/>
      <c r="AI981" s="49"/>
      <c r="AJ981" s="49"/>
      <c r="AK981" s="49"/>
      <c r="AL981" s="49"/>
      <c r="AM981" s="49"/>
      <c r="AN981" s="49"/>
      <c r="AO981" s="49"/>
      <c r="AP981" s="49"/>
      <c r="AQ981" s="49"/>
      <c r="AR981" s="49"/>
      <c r="AS981" s="49"/>
      <c r="AT981" s="49"/>
      <c r="AU981" s="49"/>
      <c r="AV981" s="49"/>
      <c r="AW981" s="49"/>
      <c r="AX981" s="49"/>
    </row>
    <row r="982">
      <c r="A982" s="49"/>
      <c r="B982" s="49"/>
      <c r="C982" s="50"/>
      <c r="D982" s="49"/>
      <c r="E982" s="49"/>
      <c r="F982" s="49"/>
      <c r="G982" s="49"/>
      <c r="H982" s="49"/>
      <c r="I982" s="49"/>
      <c r="J982" s="49"/>
      <c r="K982" s="49"/>
      <c r="L982" s="49"/>
      <c r="M982" s="49"/>
      <c r="N982" s="49"/>
      <c r="O982" s="49"/>
      <c r="P982" s="49"/>
      <c r="Q982" s="49"/>
      <c r="R982" s="49"/>
      <c r="S982" s="49"/>
      <c r="T982" s="49"/>
      <c r="U982" s="49"/>
      <c r="V982" s="49"/>
      <c r="W982" s="49"/>
      <c r="X982" s="49"/>
      <c r="Y982" s="49"/>
      <c r="Z982" s="49"/>
      <c r="AA982" s="49"/>
      <c r="AB982" s="49"/>
      <c r="AC982" s="49"/>
      <c r="AD982" s="49"/>
      <c r="AE982" s="49"/>
      <c r="AF982" s="49"/>
      <c r="AG982" s="49"/>
      <c r="AH982" s="49"/>
      <c r="AI982" s="49"/>
      <c r="AJ982" s="49"/>
      <c r="AK982" s="49"/>
      <c r="AL982" s="49"/>
      <c r="AM982" s="49"/>
      <c r="AN982" s="49"/>
      <c r="AO982" s="49"/>
      <c r="AP982" s="49"/>
      <c r="AQ982" s="49"/>
      <c r="AR982" s="49"/>
      <c r="AS982" s="49"/>
      <c r="AT982" s="49"/>
      <c r="AU982" s="49"/>
      <c r="AV982" s="49"/>
      <c r="AW982" s="49"/>
      <c r="AX982" s="49"/>
    </row>
    <row r="983">
      <c r="A983" s="49"/>
      <c r="B983" s="49"/>
      <c r="C983" s="50"/>
      <c r="D983" s="49"/>
      <c r="E983" s="49"/>
      <c r="F983" s="49"/>
      <c r="G983" s="49"/>
      <c r="H983" s="49"/>
      <c r="I983" s="49"/>
      <c r="J983" s="49"/>
      <c r="K983" s="49"/>
      <c r="L983" s="49"/>
      <c r="M983" s="49"/>
      <c r="N983" s="49"/>
      <c r="O983" s="49"/>
      <c r="P983" s="49"/>
      <c r="Q983" s="49"/>
      <c r="R983" s="49"/>
      <c r="S983" s="49"/>
      <c r="T983" s="49"/>
      <c r="U983" s="49"/>
      <c r="V983" s="49"/>
      <c r="W983" s="49"/>
      <c r="X983" s="49"/>
      <c r="Y983" s="49"/>
      <c r="Z983" s="49"/>
      <c r="AA983" s="49"/>
      <c r="AB983" s="49"/>
      <c r="AC983" s="49"/>
      <c r="AD983" s="49"/>
      <c r="AE983" s="49"/>
      <c r="AF983" s="49"/>
      <c r="AG983" s="49"/>
      <c r="AH983" s="49"/>
      <c r="AI983" s="49"/>
      <c r="AJ983" s="49"/>
      <c r="AK983" s="49"/>
      <c r="AL983" s="49"/>
      <c r="AM983" s="49"/>
      <c r="AN983" s="49"/>
      <c r="AO983" s="49"/>
      <c r="AP983" s="49"/>
      <c r="AQ983" s="49"/>
      <c r="AR983" s="49"/>
      <c r="AS983" s="49"/>
      <c r="AT983" s="49"/>
      <c r="AU983" s="49"/>
      <c r="AV983" s="49"/>
      <c r="AW983" s="49"/>
      <c r="AX983" s="49"/>
    </row>
    <row r="984">
      <c r="A984" s="49"/>
      <c r="B984" s="49"/>
      <c r="C984" s="50"/>
      <c r="D984" s="49"/>
      <c r="E984" s="49"/>
      <c r="F984" s="49"/>
      <c r="G984" s="49"/>
      <c r="H984" s="49"/>
      <c r="I984" s="49"/>
      <c r="J984" s="49"/>
      <c r="K984" s="49"/>
      <c r="L984" s="49"/>
      <c r="M984" s="49"/>
      <c r="N984" s="49"/>
      <c r="O984" s="49"/>
      <c r="P984" s="49"/>
      <c r="Q984" s="49"/>
      <c r="R984" s="49"/>
      <c r="S984" s="49"/>
      <c r="T984" s="49"/>
      <c r="U984" s="49"/>
      <c r="V984" s="49"/>
      <c r="W984" s="49"/>
      <c r="X984" s="49"/>
      <c r="Y984" s="49"/>
      <c r="Z984" s="49"/>
      <c r="AA984" s="49"/>
      <c r="AB984" s="49"/>
      <c r="AC984" s="49"/>
      <c r="AD984" s="49"/>
      <c r="AE984" s="49"/>
      <c r="AF984" s="49"/>
      <c r="AG984" s="49"/>
      <c r="AH984" s="49"/>
      <c r="AI984" s="49"/>
      <c r="AJ984" s="49"/>
      <c r="AK984" s="49"/>
      <c r="AL984" s="49"/>
      <c r="AM984" s="49"/>
      <c r="AN984" s="49"/>
      <c r="AO984" s="49"/>
      <c r="AP984" s="49"/>
      <c r="AQ984" s="49"/>
      <c r="AR984" s="49"/>
      <c r="AS984" s="49"/>
      <c r="AT984" s="49"/>
      <c r="AU984" s="49"/>
      <c r="AV984" s="49"/>
      <c r="AW984" s="49"/>
      <c r="AX984" s="49"/>
    </row>
    <row r="985">
      <c r="A985" s="49"/>
      <c r="B985" s="49"/>
      <c r="C985" s="50"/>
      <c r="D985" s="49"/>
      <c r="E985" s="49"/>
      <c r="F985" s="49"/>
      <c r="G985" s="49"/>
      <c r="H985" s="49"/>
      <c r="I985" s="49"/>
      <c r="J985" s="49"/>
      <c r="K985" s="49"/>
      <c r="L985" s="49"/>
      <c r="M985" s="49"/>
      <c r="N985" s="49"/>
      <c r="O985" s="49"/>
      <c r="P985" s="49"/>
      <c r="Q985" s="49"/>
      <c r="R985" s="49"/>
      <c r="S985" s="49"/>
      <c r="T985" s="49"/>
      <c r="U985" s="49"/>
      <c r="V985" s="49"/>
      <c r="W985" s="49"/>
      <c r="X985" s="49"/>
      <c r="Y985" s="49"/>
      <c r="Z985" s="49"/>
      <c r="AA985" s="49"/>
      <c r="AB985" s="49"/>
      <c r="AC985" s="49"/>
      <c r="AD985" s="49"/>
      <c r="AE985" s="49"/>
      <c r="AF985" s="49"/>
      <c r="AG985" s="49"/>
      <c r="AH985" s="49"/>
      <c r="AI985" s="49"/>
      <c r="AJ985" s="49"/>
      <c r="AK985" s="49"/>
      <c r="AL985" s="49"/>
      <c r="AM985" s="49"/>
      <c r="AN985" s="49"/>
      <c r="AO985" s="49"/>
      <c r="AP985" s="49"/>
      <c r="AQ985" s="49"/>
      <c r="AR985" s="49"/>
      <c r="AS985" s="49"/>
      <c r="AT985" s="49"/>
      <c r="AU985" s="49"/>
      <c r="AV985" s="49"/>
      <c r="AW985" s="49"/>
      <c r="AX985" s="49"/>
    </row>
    <row r="986">
      <c r="A986" s="49"/>
      <c r="B986" s="49"/>
      <c r="C986" s="50"/>
      <c r="D986" s="49"/>
      <c r="E986" s="49"/>
      <c r="F986" s="49"/>
      <c r="G986" s="49"/>
      <c r="H986" s="49"/>
      <c r="I986" s="49"/>
      <c r="J986" s="49"/>
      <c r="K986" s="49"/>
      <c r="L986" s="49"/>
      <c r="M986" s="49"/>
      <c r="N986" s="49"/>
      <c r="O986" s="49"/>
      <c r="P986" s="49"/>
      <c r="Q986" s="49"/>
      <c r="R986" s="49"/>
      <c r="S986" s="49"/>
      <c r="T986" s="49"/>
      <c r="U986" s="49"/>
      <c r="V986" s="49"/>
      <c r="W986" s="49"/>
      <c r="X986" s="49"/>
      <c r="Y986" s="49"/>
      <c r="Z986" s="49"/>
      <c r="AA986" s="49"/>
      <c r="AB986" s="49"/>
      <c r="AC986" s="49"/>
      <c r="AD986" s="49"/>
      <c r="AE986" s="49"/>
      <c r="AF986" s="49"/>
      <c r="AG986" s="49"/>
      <c r="AH986" s="49"/>
      <c r="AI986" s="49"/>
      <c r="AJ986" s="49"/>
      <c r="AK986" s="49"/>
      <c r="AL986" s="49"/>
      <c r="AM986" s="49"/>
      <c r="AN986" s="49"/>
      <c r="AO986" s="49"/>
      <c r="AP986" s="49"/>
      <c r="AQ986" s="49"/>
      <c r="AR986" s="49"/>
      <c r="AS986" s="49"/>
      <c r="AT986" s="49"/>
      <c r="AU986" s="49"/>
      <c r="AV986" s="49"/>
      <c r="AW986" s="49"/>
      <c r="AX986" s="49"/>
    </row>
    <row r="987">
      <c r="A987" s="49"/>
      <c r="B987" s="49"/>
      <c r="C987" s="50"/>
      <c r="D987" s="49"/>
      <c r="E987" s="49"/>
      <c r="F987" s="49"/>
      <c r="G987" s="49"/>
      <c r="H987" s="49"/>
      <c r="I987" s="49"/>
      <c r="J987" s="49"/>
      <c r="K987" s="49"/>
      <c r="L987" s="49"/>
      <c r="M987" s="49"/>
      <c r="N987" s="49"/>
      <c r="O987" s="49"/>
      <c r="P987" s="49"/>
      <c r="Q987" s="49"/>
      <c r="R987" s="49"/>
      <c r="S987" s="49"/>
      <c r="T987" s="49"/>
      <c r="U987" s="49"/>
      <c r="V987" s="49"/>
      <c r="W987" s="49"/>
      <c r="X987" s="49"/>
      <c r="Y987" s="49"/>
      <c r="Z987" s="49"/>
      <c r="AA987" s="49"/>
      <c r="AB987" s="49"/>
      <c r="AC987" s="49"/>
      <c r="AD987" s="49"/>
      <c r="AE987" s="49"/>
      <c r="AF987" s="49"/>
      <c r="AG987" s="49"/>
      <c r="AH987" s="49"/>
      <c r="AI987" s="49"/>
      <c r="AJ987" s="49"/>
      <c r="AK987" s="49"/>
      <c r="AL987" s="49"/>
      <c r="AM987" s="49"/>
      <c r="AN987" s="49"/>
      <c r="AO987" s="49"/>
      <c r="AP987" s="49"/>
      <c r="AQ987" s="49"/>
      <c r="AR987" s="49"/>
      <c r="AS987" s="49"/>
      <c r="AT987" s="49"/>
      <c r="AU987" s="49"/>
      <c r="AV987" s="49"/>
      <c r="AW987" s="49"/>
      <c r="AX987" s="49"/>
    </row>
    <row r="988">
      <c r="A988" s="49"/>
      <c r="B988" s="49"/>
      <c r="C988" s="50"/>
      <c r="D988" s="49"/>
      <c r="E988" s="49"/>
      <c r="F988" s="49"/>
      <c r="G988" s="49"/>
      <c r="H988" s="49"/>
      <c r="I988" s="49"/>
      <c r="J988" s="49"/>
      <c r="K988" s="49"/>
      <c r="L988" s="49"/>
      <c r="M988" s="49"/>
      <c r="N988" s="49"/>
      <c r="O988" s="49"/>
      <c r="P988" s="49"/>
      <c r="Q988" s="49"/>
      <c r="R988" s="49"/>
      <c r="S988" s="49"/>
      <c r="T988" s="49"/>
      <c r="U988" s="49"/>
      <c r="V988" s="49"/>
      <c r="W988" s="49"/>
      <c r="X988" s="49"/>
      <c r="Y988" s="49"/>
      <c r="Z988" s="49"/>
      <c r="AA988" s="49"/>
      <c r="AB988" s="49"/>
      <c r="AC988" s="49"/>
      <c r="AD988" s="49"/>
      <c r="AE988" s="49"/>
      <c r="AF988" s="49"/>
      <c r="AG988" s="49"/>
      <c r="AH988" s="49"/>
      <c r="AI988" s="49"/>
      <c r="AJ988" s="49"/>
      <c r="AK988" s="49"/>
      <c r="AL988" s="49"/>
      <c r="AM988" s="49"/>
      <c r="AN988" s="49"/>
      <c r="AO988" s="49"/>
      <c r="AP988" s="49"/>
      <c r="AQ988" s="49"/>
      <c r="AR988" s="49"/>
      <c r="AS988" s="49"/>
      <c r="AT988" s="49"/>
      <c r="AU988" s="49"/>
      <c r="AV988" s="49"/>
      <c r="AW988" s="49"/>
      <c r="AX988" s="49"/>
    </row>
    <row r="989">
      <c r="A989" s="49"/>
      <c r="B989" s="49"/>
      <c r="C989" s="50"/>
      <c r="D989" s="49"/>
      <c r="E989" s="49"/>
      <c r="F989" s="49"/>
      <c r="G989" s="49"/>
      <c r="H989" s="49"/>
      <c r="I989" s="49"/>
      <c r="J989" s="49"/>
      <c r="K989" s="49"/>
      <c r="L989" s="49"/>
      <c r="M989" s="49"/>
      <c r="N989" s="49"/>
      <c r="O989" s="49"/>
      <c r="P989" s="49"/>
      <c r="Q989" s="49"/>
      <c r="R989" s="49"/>
      <c r="S989" s="49"/>
      <c r="T989" s="49"/>
      <c r="U989" s="49"/>
      <c r="V989" s="49"/>
      <c r="W989" s="49"/>
      <c r="X989" s="49"/>
      <c r="Y989" s="49"/>
      <c r="Z989" s="49"/>
      <c r="AA989" s="49"/>
      <c r="AB989" s="49"/>
      <c r="AC989" s="49"/>
      <c r="AD989" s="49"/>
      <c r="AE989" s="49"/>
      <c r="AF989" s="49"/>
      <c r="AG989" s="49"/>
      <c r="AH989" s="49"/>
      <c r="AI989" s="49"/>
      <c r="AJ989" s="49"/>
      <c r="AK989" s="49"/>
      <c r="AL989" s="49"/>
      <c r="AM989" s="49"/>
      <c r="AN989" s="49"/>
      <c r="AO989" s="49"/>
      <c r="AP989" s="49"/>
      <c r="AQ989" s="49"/>
      <c r="AR989" s="49"/>
      <c r="AS989" s="49"/>
      <c r="AT989" s="49"/>
      <c r="AU989" s="49"/>
      <c r="AV989" s="49"/>
      <c r="AW989" s="49"/>
      <c r="AX989" s="49"/>
    </row>
    <row r="990">
      <c r="A990" s="49"/>
      <c r="B990" s="49"/>
      <c r="C990" s="50"/>
      <c r="D990" s="49"/>
      <c r="E990" s="49"/>
      <c r="F990" s="49"/>
      <c r="G990" s="49"/>
      <c r="H990" s="49"/>
      <c r="I990" s="49"/>
      <c r="J990" s="49"/>
      <c r="K990" s="49"/>
      <c r="L990" s="49"/>
      <c r="M990" s="49"/>
      <c r="N990" s="49"/>
      <c r="O990" s="49"/>
      <c r="P990" s="49"/>
      <c r="Q990" s="49"/>
      <c r="R990" s="49"/>
      <c r="S990" s="49"/>
      <c r="T990" s="49"/>
      <c r="U990" s="49"/>
      <c r="V990" s="49"/>
      <c r="W990" s="49"/>
      <c r="X990" s="49"/>
      <c r="Y990" s="49"/>
      <c r="Z990" s="49"/>
      <c r="AA990" s="49"/>
      <c r="AB990" s="49"/>
      <c r="AC990" s="49"/>
      <c r="AD990" s="49"/>
      <c r="AE990" s="49"/>
      <c r="AF990" s="49"/>
      <c r="AG990" s="49"/>
      <c r="AH990" s="49"/>
      <c r="AI990" s="49"/>
      <c r="AJ990" s="49"/>
      <c r="AK990" s="49"/>
      <c r="AL990" s="49"/>
      <c r="AM990" s="49"/>
      <c r="AN990" s="49"/>
      <c r="AO990" s="49"/>
      <c r="AP990" s="49"/>
      <c r="AQ990" s="49"/>
      <c r="AR990" s="49"/>
      <c r="AS990" s="49"/>
      <c r="AT990" s="49"/>
      <c r="AU990" s="49"/>
      <c r="AV990" s="49"/>
      <c r="AW990" s="49"/>
      <c r="AX990" s="49"/>
    </row>
    <row r="991">
      <c r="A991" s="49"/>
      <c r="B991" s="49"/>
      <c r="C991" s="50"/>
      <c r="D991" s="49"/>
      <c r="E991" s="49"/>
      <c r="F991" s="49"/>
      <c r="G991" s="49"/>
      <c r="H991" s="49"/>
      <c r="I991" s="49"/>
      <c r="J991" s="49"/>
      <c r="K991" s="49"/>
      <c r="L991" s="49"/>
      <c r="M991" s="49"/>
      <c r="N991" s="49"/>
      <c r="O991" s="49"/>
      <c r="P991" s="49"/>
      <c r="Q991" s="49"/>
      <c r="R991" s="49"/>
      <c r="S991" s="49"/>
      <c r="T991" s="49"/>
      <c r="U991" s="49"/>
      <c r="V991" s="49"/>
      <c r="W991" s="49"/>
      <c r="X991" s="49"/>
      <c r="Y991" s="49"/>
      <c r="Z991" s="49"/>
      <c r="AA991" s="49"/>
      <c r="AB991" s="49"/>
      <c r="AC991" s="49"/>
      <c r="AD991" s="49"/>
      <c r="AE991" s="49"/>
      <c r="AF991" s="49"/>
      <c r="AG991" s="49"/>
      <c r="AH991" s="49"/>
      <c r="AI991" s="49"/>
      <c r="AJ991" s="49"/>
      <c r="AK991" s="49"/>
      <c r="AL991" s="49"/>
      <c r="AM991" s="49"/>
      <c r="AN991" s="49"/>
      <c r="AO991" s="49"/>
      <c r="AP991" s="49"/>
      <c r="AQ991" s="49"/>
      <c r="AR991" s="49"/>
      <c r="AS991" s="49"/>
      <c r="AT991" s="49"/>
      <c r="AU991" s="49"/>
      <c r="AV991" s="49"/>
      <c r="AW991" s="49"/>
      <c r="AX991" s="49"/>
    </row>
    <row r="992">
      <c r="A992" s="49"/>
      <c r="B992" s="49"/>
      <c r="C992" s="50"/>
      <c r="D992" s="49"/>
      <c r="E992" s="49"/>
      <c r="F992" s="49"/>
      <c r="G992" s="49"/>
      <c r="H992" s="49"/>
      <c r="I992" s="49"/>
      <c r="J992" s="49"/>
      <c r="K992" s="49"/>
      <c r="L992" s="49"/>
      <c r="M992" s="49"/>
      <c r="N992" s="49"/>
      <c r="O992" s="49"/>
      <c r="P992" s="49"/>
      <c r="Q992" s="49"/>
      <c r="R992" s="49"/>
      <c r="S992" s="49"/>
      <c r="T992" s="49"/>
      <c r="U992" s="49"/>
      <c r="V992" s="49"/>
      <c r="W992" s="49"/>
      <c r="X992" s="49"/>
      <c r="Y992" s="49"/>
      <c r="Z992" s="49"/>
      <c r="AA992" s="49"/>
      <c r="AB992" s="49"/>
      <c r="AC992" s="49"/>
      <c r="AD992" s="49"/>
      <c r="AE992" s="49"/>
      <c r="AF992" s="49"/>
      <c r="AG992" s="49"/>
      <c r="AH992" s="49"/>
      <c r="AI992" s="49"/>
      <c r="AJ992" s="49"/>
      <c r="AK992" s="49"/>
      <c r="AL992" s="49"/>
      <c r="AM992" s="49"/>
      <c r="AN992" s="49"/>
      <c r="AO992" s="49"/>
      <c r="AP992" s="49"/>
      <c r="AQ992" s="49"/>
      <c r="AR992" s="49"/>
      <c r="AS992" s="49"/>
      <c r="AT992" s="49"/>
      <c r="AU992" s="49"/>
      <c r="AV992" s="49"/>
      <c r="AW992" s="49"/>
      <c r="AX992" s="49"/>
    </row>
    <row r="993">
      <c r="A993" s="49"/>
      <c r="B993" s="49"/>
      <c r="C993" s="50"/>
      <c r="D993" s="49"/>
      <c r="E993" s="49"/>
      <c r="F993" s="49"/>
      <c r="G993" s="49"/>
      <c r="H993" s="49"/>
      <c r="I993" s="49"/>
      <c r="J993" s="49"/>
      <c r="K993" s="49"/>
      <c r="L993" s="49"/>
      <c r="M993" s="49"/>
      <c r="N993" s="49"/>
      <c r="O993" s="49"/>
      <c r="P993" s="49"/>
      <c r="Q993" s="49"/>
      <c r="R993" s="49"/>
      <c r="S993" s="49"/>
      <c r="T993" s="49"/>
      <c r="U993" s="49"/>
      <c r="V993" s="49"/>
      <c r="W993" s="49"/>
      <c r="X993" s="49"/>
      <c r="Y993" s="49"/>
      <c r="Z993" s="49"/>
      <c r="AA993" s="49"/>
      <c r="AB993" s="49"/>
      <c r="AC993" s="49"/>
      <c r="AD993" s="49"/>
      <c r="AE993" s="49"/>
      <c r="AF993" s="49"/>
      <c r="AG993" s="49"/>
      <c r="AH993" s="49"/>
      <c r="AI993" s="49"/>
      <c r="AJ993" s="49"/>
      <c r="AK993" s="49"/>
      <c r="AL993" s="49"/>
      <c r="AM993" s="49"/>
      <c r="AN993" s="49"/>
      <c r="AO993" s="49"/>
      <c r="AP993" s="49"/>
      <c r="AQ993" s="49"/>
      <c r="AR993" s="49"/>
      <c r="AS993" s="49"/>
      <c r="AT993" s="49"/>
      <c r="AU993" s="49"/>
      <c r="AV993" s="49"/>
      <c r="AW993" s="49"/>
      <c r="AX993" s="49"/>
    </row>
    <row r="994">
      <c r="A994" s="49"/>
      <c r="B994" s="49"/>
      <c r="C994" s="50"/>
      <c r="D994" s="49"/>
      <c r="E994" s="49"/>
      <c r="F994" s="49"/>
      <c r="G994" s="49"/>
      <c r="H994" s="49"/>
      <c r="I994" s="49"/>
      <c r="J994" s="49"/>
      <c r="K994" s="49"/>
      <c r="L994" s="49"/>
      <c r="M994" s="49"/>
      <c r="N994" s="49"/>
      <c r="O994" s="49"/>
      <c r="P994" s="49"/>
      <c r="Q994" s="49"/>
      <c r="R994" s="49"/>
      <c r="S994" s="49"/>
      <c r="T994" s="49"/>
      <c r="U994" s="49"/>
      <c r="V994" s="49"/>
      <c r="W994" s="49"/>
      <c r="X994" s="49"/>
      <c r="Y994" s="49"/>
      <c r="Z994" s="49"/>
      <c r="AA994" s="49"/>
      <c r="AB994" s="49"/>
      <c r="AC994" s="49"/>
      <c r="AD994" s="49"/>
      <c r="AE994" s="49"/>
      <c r="AF994" s="49"/>
      <c r="AG994" s="49"/>
      <c r="AH994" s="49"/>
      <c r="AI994" s="49"/>
      <c r="AJ994" s="49"/>
      <c r="AK994" s="49"/>
      <c r="AL994" s="49"/>
      <c r="AM994" s="49"/>
      <c r="AN994" s="49"/>
      <c r="AO994" s="49"/>
      <c r="AP994" s="49"/>
      <c r="AQ994" s="49"/>
      <c r="AR994" s="49"/>
      <c r="AS994" s="49"/>
      <c r="AT994" s="49"/>
      <c r="AU994" s="49"/>
      <c r="AV994" s="49"/>
      <c r="AW994" s="49"/>
      <c r="AX994" s="49"/>
    </row>
    <row r="995">
      <c r="A995" s="49"/>
      <c r="B995" s="49"/>
      <c r="C995" s="50"/>
      <c r="D995" s="49"/>
      <c r="E995" s="49"/>
      <c r="F995" s="49"/>
      <c r="G995" s="49"/>
      <c r="H995" s="49"/>
      <c r="I995" s="49"/>
      <c r="J995" s="49"/>
      <c r="K995" s="49"/>
      <c r="L995" s="49"/>
      <c r="M995" s="49"/>
      <c r="N995" s="49"/>
      <c r="O995" s="49"/>
      <c r="P995" s="49"/>
      <c r="Q995" s="49"/>
      <c r="R995" s="49"/>
      <c r="S995" s="49"/>
      <c r="T995" s="49"/>
      <c r="U995" s="49"/>
      <c r="V995" s="49"/>
      <c r="W995" s="49"/>
      <c r="X995" s="49"/>
      <c r="Y995" s="49"/>
      <c r="Z995" s="49"/>
      <c r="AA995" s="49"/>
      <c r="AB995" s="49"/>
      <c r="AC995" s="49"/>
      <c r="AD995" s="49"/>
      <c r="AE995" s="49"/>
      <c r="AF995" s="49"/>
      <c r="AG995" s="49"/>
      <c r="AH995" s="49"/>
      <c r="AI995" s="49"/>
      <c r="AJ995" s="49"/>
      <c r="AK995" s="49"/>
      <c r="AL995" s="49"/>
      <c r="AM995" s="49"/>
      <c r="AN995" s="49"/>
      <c r="AO995" s="49"/>
      <c r="AP995" s="49"/>
      <c r="AQ995" s="49"/>
      <c r="AR995" s="49"/>
      <c r="AS995" s="49"/>
      <c r="AT995" s="49"/>
      <c r="AU995" s="49"/>
      <c r="AV995" s="49"/>
      <c r="AW995" s="49"/>
      <c r="AX995" s="49"/>
    </row>
    <row r="996">
      <c r="A996" s="49"/>
      <c r="B996" s="49"/>
      <c r="C996" s="50"/>
      <c r="D996" s="49"/>
      <c r="E996" s="49"/>
      <c r="F996" s="49"/>
      <c r="G996" s="49"/>
      <c r="H996" s="49"/>
      <c r="I996" s="49"/>
      <c r="J996" s="49"/>
      <c r="K996" s="49"/>
      <c r="L996" s="49"/>
      <c r="M996" s="49"/>
      <c r="N996" s="49"/>
      <c r="O996" s="49"/>
      <c r="P996" s="49"/>
      <c r="Q996" s="49"/>
      <c r="R996" s="49"/>
      <c r="S996" s="49"/>
      <c r="T996" s="49"/>
      <c r="U996" s="49"/>
      <c r="V996" s="49"/>
      <c r="W996" s="49"/>
      <c r="X996" s="49"/>
      <c r="Y996" s="49"/>
      <c r="Z996" s="49"/>
      <c r="AA996" s="49"/>
      <c r="AB996" s="49"/>
      <c r="AC996" s="49"/>
      <c r="AD996" s="49"/>
      <c r="AE996" s="49"/>
      <c r="AF996" s="49"/>
      <c r="AG996" s="49"/>
      <c r="AH996" s="49"/>
      <c r="AI996" s="49"/>
      <c r="AJ996" s="49"/>
      <c r="AK996" s="49"/>
      <c r="AL996" s="49"/>
      <c r="AM996" s="49"/>
      <c r="AN996" s="49"/>
      <c r="AO996" s="49"/>
      <c r="AP996" s="49"/>
      <c r="AQ996" s="49"/>
      <c r="AR996" s="49"/>
      <c r="AS996" s="49"/>
      <c r="AT996" s="49"/>
      <c r="AU996" s="49"/>
      <c r="AV996" s="49"/>
      <c r="AW996" s="49"/>
      <c r="AX996" s="49"/>
    </row>
    <row r="997">
      <c r="A997" s="49"/>
      <c r="B997" s="49"/>
      <c r="C997" s="50"/>
      <c r="D997" s="49"/>
      <c r="E997" s="49"/>
      <c r="F997" s="49"/>
      <c r="G997" s="49"/>
      <c r="H997" s="49"/>
      <c r="I997" s="49"/>
      <c r="J997" s="49"/>
      <c r="K997" s="49"/>
      <c r="L997" s="49"/>
      <c r="M997" s="49"/>
      <c r="N997" s="49"/>
      <c r="O997" s="49"/>
      <c r="P997" s="49"/>
      <c r="Q997" s="49"/>
      <c r="R997" s="49"/>
      <c r="S997" s="49"/>
      <c r="T997" s="49"/>
      <c r="U997" s="49"/>
      <c r="V997" s="49"/>
      <c r="W997" s="49"/>
      <c r="X997" s="49"/>
      <c r="Y997" s="49"/>
      <c r="Z997" s="49"/>
      <c r="AA997" s="49"/>
      <c r="AB997" s="49"/>
      <c r="AC997" s="49"/>
      <c r="AD997" s="49"/>
      <c r="AE997" s="49"/>
      <c r="AF997" s="49"/>
      <c r="AG997" s="49"/>
      <c r="AH997" s="49"/>
      <c r="AI997" s="49"/>
      <c r="AJ997" s="49"/>
      <c r="AK997" s="49"/>
      <c r="AL997" s="49"/>
      <c r="AM997" s="49"/>
      <c r="AN997" s="49"/>
      <c r="AO997" s="49"/>
      <c r="AP997" s="49"/>
      <c r="AQ997" s="49"/>
      <c r="AR997" s="49"/>
      <c r="AS997" s="49"/>
      <c r="AT997" s="49"/>
      <c r="AU997" s="49"/>
      <c r="AV997" s="49"/>
      <c r="AW997" s="49"/>
      <c r="AX997" s="49"/>
    </row>
    <row r="998">
      <c r="A998" s="49"/>
      <c r="B998" s="49"/>
      <c r="C998" s="50"/>
      <c r="D998" s="49"/>
      <c r="E998" s="49"/>
      <c r="F998" s="49"/>
      <c r="G998" s="49"/>
      <c r="H998" s="49"/>
      <c r="I998" s="49"/>
      <c r="J998" s="49"/>
      <c r="K998" s="49"/>
      <c r="L998" s="49"/>
      <c r="M998" s="49"/>
      <c r="N998" s="49"/>
      <c r="O998" s="49"/>
      <c r="P998" s="49"/>
      <c r="Q998" s="49"/>
      <c r="R998" s="49"/>
      <c r="S998" s="49"/>
      <c r="T998" s="49"/>
      <c r="U998" s="49"/>
      <c r="V998" s="49"/>
      <c r="W998" s="49"/>
      <c r="X998" s="49"/>
      <c r="Y998" s="49"/>
      <c r="Z998" s="49"/>
      <c r="AA998" s="49"/>
      <c r="AB998" s="49"/>
      <c r="AC998" s="49"/>
      <c r="AD998" s="49"/>
      <c r="AE998" s="49"/>
      <c r="AF998" s="49"/>
      <c r="AG998" s="49"/>
      <c r="AH998" s="49"/>
      <c r="AI998" s="49"/>
      <c r="AJ998" s="49"/>
      <c r="AK998" s="49"/>
      <c r="AL998" s="49"/>
      <c r="AM998" s="49"/>
      <c r="AN998" s="49"/>
      <c r="AO998" s="49"/>
      <c r="AP998" s="49"/>
      <c r="AQ998" s="49"/>
      <c r="AR998" s="49"/>
      <c r="AS998" s="49"/>
      <c r="AT998" s="49"/>
      <c r="AU998" s="49"/>
      <c r="AV998" s="49"/>
      <c r="AW998" s="49"/>
      <c r="AX998" s="49"/>
    </row>
    <row r="999">
      <c r="A999" s="49"/>
      <c r="B999" s="49"/>
      <c r="C999" s="50"/>
      <c r="D999" s="49"/>
      <c r="E999" s="49"/>
      <c r="F999" s="49"/>
      <c r="G999" s="49"/>
      <c r="H999" s="49"/>
      <c r="I999" s="49"/>
      <c r="J999" s="49"/>
      <c r="K999" s="49"/>
      <c r="L999" s="49"/>
      <c r="M999" s="49"/>
      <c r="N999" s="49"/>
      <c r="O999" s="49"/>
      <c r="P999" s="49"/>
      <c r="Q999" s="49"/>
      <c r="R999" s="49"/>
      <c r="S999" s="49"/>
      <c r="T999" s="49"/>
      <c r="U999" s="49"/>
      <c r="V999" s="49"/>
      <c r="W999" s="49"/>
      <c r="X999" s="49"/>
      <c r="Y999" s="49"/>
      <c r="Z999" s="49"/>
      <c r="AA999" s="49"/>
      <c r="AB999" s="49"/>
      <c r="AC999" s="49"/>
      <c r="AD999" s="49"/>
      <c r="AE999" s="49"/>
      <c r="AF999" s="49"/>
      <c r="AG999" s="49"/>
      <c r="AH999" s="49"/>
      <c r="AI999" s="49"/>
      <c r="AJ999" s="49"/>
      <c r="AK999" s="49"/>
      <c r="AL999" s="49"/>
      <c r="AM999" s="49"/>
      <c r="AN999" s="49"/>
      <c r="AO999" s="49"/>
      <c r="AP999" s="49"/>
      <c r="AQ999" s="49"/>
      <c r="AR999" s="49"/>
      <c r="AS999" s="49"/>
      <c r="AT999" s="49"/>
      <c r="AU999" s="49"/>
      <c r="AV999" s="49"/>
      <c r="AW999" s="49"/>
      <c r="AX999" s="49"/>
    </row>
    <row r="1000">
      <c r="A1000" s="49"/>
      <c r="B1000" s="49"/>
      <c r="C1000" s="50"/>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c r="AA1000" s="49"/>
      <c r="AB1000" s="49"/>
      <c r="AC1000" s="49"/>
      <c r="AD1000" s="49"/>
      <c r="AE1000" s="49"/>
      <c r="AF1000" s="49"/>
      <c r="AG1000" s="49"/>
      <c r="AH1000" s="49"/>
      <c r="AI1000" s="49"/>
      <c r="AJ1000" s="49"/>
      <c r="AK1000" s="49"/>
      <c r="AL1000" s="49"/>
      <c r="AM1000" s="49"/>
      <c r="AN1000" s="49"/>
      <c r="AO1000" s="49"/>
      <c r="AP1000" s="49"/>
      <c r="AQ1000" s="49"/>
      <c r="AR1000" s="49"/>
      <c r="AS1000" s="49"/>
      <c r="AT1000" s="49"/>
      <c r="AU1000" s="49"/>
      <c r="AV1000" s="49"/>
      <c r="AW1000" s="49"/>
      <c r="AX1000" s="49"/>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9" t="str">
        <f>IFERROR(__xludf.DUMMYFUNCTION("IMPORTRANGE(""https://docs.google.com/spreadsheets/d/""&amp;Config!B1,""EntityTypes!A:AX"")"),"EntityType")</f>
        <v>EntityType</v>
      </c>
      <c r="B1" s="49" t="str">
        <f>IFERROR(__xludf.DUMMYFUNCTION("""COMPUTED_VALUE"""),"Description")</f>
        <v>Description</v>
      </c>
      <c r="C1" s="49" t="str">
        <f>IFERROR(__xludf.DUMMYFUNCTION("""COMPUTED_VALUE"""),"Abilities")</f>
        <v>Abilities</v>
      </c>
      <c r="D1" s="49"/>
      <c r="E1" s="49"/>
      <c r="F1" s="49"/>
      <c r="G1" s="49"/>
      <c r="H1" s="49"/>
      <c r="I1" s="49"/>
      <c r="J1" s="49"/>
      <c r="K1" s="49"/>
      <c r="L1" s="49"/>
      <c r="M1" s="49"/>
      <c r="N1" s="49"/>
      <c r="O1" s="49"/>
      <c r="P1" s="49"/>
      <c r="Q1" s="49"/>
      <c r="R1" s="49"/>
      <c r="S1" s="49"/>
      <c r="T1" s="49"/>
      <c r="U1" s="49"/>
      <c r="V1" s="49"/>
      <c r="W1" s="49"/>
      <c r="X1" s="49"/>
      <c r="Y1" s="49"/>
      <c r="Z1" s="49"/>
    </row>
    <row r="2">
      <c r="A2" s="49" t="str">
        <f>IFERROR(__xludf.DUMMYFUNCTION("""COMPUTED_VALUE"""),"Undead")</f>
        <v>Undead</v>
      </c>
      <c r="B2" s="49"/>
      <c r="C2" s="49"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49"/>
      <c r="E2" s="49"/>
      <c r="F2" s="49"/>
      <c r="G2" s="49"/>
      <c r="H2" s="49"/>
      <c r="I2" s="49"/>
      <c r="J2" s="49"/>
      <c r="K2" s="49"/>
      <c r="L2" s="49"/>
      <c r="M2" s="49"/>
      <c r="N2" s="49"/>
      <c r="O2" s="49"/>
      <c r="P2" s="49"/>
      <c r="Q2" s="49"/>
      <c r="R2" s="49"/>
      <c r="S2" s="49"/>
      <c r="T2" s="49"/>
      <c r="U2" s="49"/>
      <c r="V2" s="49"/>
      <c r="W2" s="49"/>
      <c r="X2" s="49"/>
      <c r="Y2" s="49"/>
      <c r="Z2" s="49"/>
    </row>
    <row r="3">
      <c r="A3" s="49" t="str">
        <f>IFERROR(__xludf.DUMMYFUNCTION("""COMPUTED_VALUE"""),"Beast")</f>
        <v>Beast</v>
      </c>
      <c r="B3" s="49"/>
      <c r="C3" s="49" t="str">
        <f>IFERROR(__xludf.DUMMYFUNCTION("""COMPUTED_VALUE"""),"+5 to all perks and doubled base stats for the first round of battle.")</f>
        <v>+5 to all perks and doubled base stats for the first round of battle.</v>
      </c>
      <c r="D3" s="49"/>
      <c r="E3" s="49"/>
      <c r="F3" s="49"/>
      <c r="G3" s="49"/>
      <c r="H3" s="49"/>
      <c r="I3" s="49"/>
      <c r="J3" s="49"/>
      <c r="K3" s="49"/>
      <c r="L3" s="49"/>
      <c r="M3" s="49"/>
      <c r="N3" s="49"/>
      <c r="O3" s="49"/>
      <c r="P3" s="49"/>
      <c r="Q3" s="49"/>
      <c r="R3" s="49"/>
      <c r="S3" s="49"/>
      <c r="T3" s="49"/>
      <c r="U3" s="49"/>
      <c r="V3" s="49"/>
      <c r="W3" s="49"/>
      <c r="X3" s="49"/>
      <c r="Y3" s="49"/>
      <c r="Z3" s="49"/>
    </row>
    <row r="4">
      <c r="A4" s="49" t="str">
        <f>IFERROR(__xludf.DUMMYFUNCTION("""COMPUTED_VALUE"""),"Humanoid")</f>
        <v>Humanoid</v>
      </c>
      <c r="B4" s="49"/>
      <c r="C4" s="49"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49"/>
      <c r="E4" s="49"/>
      <c r="F4" s="49"/>
      <c r="G4" s="49"/>
      <c r="H4" s="49"/>
      <c r="I4" s="49"/>
      <c r="J4" s="49"/>
      <c r="K4" s="49"/>
      <c r="L4" s="49"/>
      <c r="M4" s="49"/>
      <c r="N4" s="49"/>
      <c r="O4" s="49"/>
      <c r="P4" s="49"/>
      <c r="Q4" s="49"/>
      <c r="R4" s="49"/>
      <c r="S4" s="49"/>
      <c r="T4" s="49"/>
      <c r="U4" s="49"/>
      <c r="V4" s="49"/>
      <c r="W4" s="49"/>
      <c r="X4" s="49"/>
      <c r="Y4" s="49"/>
      <c r="Z4" s="49"/>
    </row>
    <row r="5">
      <c r="A5" s="49" t="str">
        <f>IFERROR(__xludf.DUMMYFUNCTION("""COMPUTED_VALUE"""),"God")</f>
        <v>God</v>
      </c>
      <c r="B5" s="49"/>
      <c r="C5" s="49" t="str">
        <f>IFERROR(__xludf.DUMMYFUNCTION("""COMPUTED_VALUE"""),"Immune to Celestial, X10 to all damage types.")</f>
        <v>Immune to Celestial, X10 to all damage types.</v>
      </c>
      <c r="D5" s="49"/>
      <c r="E5" s="49"/>
      <c r="F5" s="49"/>
      <c r="G5" s="49"/>
      <c r="H5" s="49"/>
      <c r="I5" s="49"/>
      <c r="J5" s="49"/>
      <c r="K5" s="49"/>
      <c r="L5" s="49"/>
      <c r="M5" s="49"/>
      <c r="N5" s="49"/>
      <c r="O5" s="49"/>
      <c r="P5" s="49"/>
      <c r="Q5" s="49"/>
      <c r="R5" s="49"/>
      <c r="S5" s="49"/>
      <c r="T5" s="49"/>
      <c r="U5" s="49"/>
      <c r="V5" s="49"/>
      <c r="W5" s="49"/>
      <c r="X5" s="49"/>
      <c r="Y5" s="49"/>
      <c r="Z5" s="49"/>
    </row>
    <row r="6">
      <c r="A6" s="49" t="str">
        <f>IFERROR(__xludf.DUMMYFUNCTION("""COMPUTED_VALUE"""),"Demonic")</f>
        <v>Demonic</v>
      </c>
      <c r="B6" s="49"/>
      <c r="C6" s="49" t="str">
        <f>IFERROR(__xludf.DUMMYFUNCTION("""COMPUTED_VALUE"""),"When casting any Chaos, Dark, or Voodoo spell there is a 5% chance of the spell effect activating twice")</f>
        <v>When casting any Chaos, Dark, or Voodoo spell there is a 5% chance of the spell effect activating twice</v>
      </c>
      <c r="D6" s="49"/>
      <c r="E6" s="49"/>
      <c r="F6" s="49"/>
      <c r="G6" s="49"/>
      <c r="H6" s="49"/>
      <c r="I6" s="49"/>
      <c r="J6" s="49"/>
      <c r="K6" s="49"/>
      <c r="L6" s="49"/>
      <c r="M6" s="49"/>
      <c r="N6" s="49"/>
      <c r="O6" s="49"/>
      <c r="P6" s="49"/>
      <c r="Q6" s="49"/>
      <c r="R6" s="49"/>
      <c r="S6" s="49"/>
      <c r="T6" s="49"/>
      <c r="U6" s="49"/>
      <c r="V6" s="49"/>
      <c r="W6" s="49"/>
      <c r="X6" s="49"/>
      <c r="Y6" s="49"/>
      <c r="Z6" s="49"/>
    </row>
    <row r="7">
      <c r="A7" s="49" t="str">
        <f>IFERROR(__xludf.DUMMYFUNCTION("""COMPUTED_VALUE"""),"Heavenly")</f>
        <v>Heavenly</v>
      </c>
      <c r="B7" s="49"/>
      <c r="C7" s="49" t="str">
        <f>IFERROR(__xludf.DUMMYFUNCTION("""COMPUTED_VALUE"""),"When casting any Order, Light, or Astral spell there is a 5% chance of the spell effect activating twice")</f>
        <v>When casting any Order, Light, or Astral spell there is a 5% chance of the spell effect activating twice</v>
      </c>
      <c r="D7" s="49"/>
      <c r="E7" s="49"/>
      <c r="F7" s="49"/>
      <c r="G7" s="49"/>
      <c r="H7" s="49"/>
      <c r="I7" s="49"/>
      <c r="J7" s="49"/>
      <c r="K7" s="49"/>
      <c r="L7" s="49"/>
      <c r="M7" s="49"/>
      <c r="N7" s="49"/>
      <c r="O7" s="49"/>
      <c r="P7" s="49"/>
      <c r="Q7" s="49"/>
      <c r="R7" s="49"/>
      <c r="S7" s="49"/>
      <c r="T7" s="49"/>
      <c r="U7" s="49"/>
      <c r="V7" s="49"/>
      <c r="W7" s="49"/>
      <c r="X7" s="49"/>
      <c r="Y7" s="49"/>
      <c r="Z7" s="49"/>
    </row>
    <row r="8">
      <c r="A8" s="49" t="str">
        <f>IFERROR(__xludf.DUMMYFUNCTION("""COMPUTED_VALUE"""),"Spirit")</f>
        <v>Spirit</v>
      </c>
      <c r="B8" s="49"/>
      <c r="C8" s="49"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49"/>
      <c r="E8" s="49"/>
      <c r="F8" s="49"/>
      <c r="G8" s="49"/>
      <c r="H8" s="49"/>
      <c r="I8" s="49"/>
      <c r="J8" s="49"/>
      <c r="K8" s="49"/>
      <c r="L8" s="49"/>
      <c r="M8" s="49"/>
      <c r="N8" s="49"/>
      <c r="O8" s="49"/>
      <c r="P8" s="49"/>
      <c r="Q8" s="49"/>
      <c r="R8" s="49"/>
      <c r="S8" s="49"/>
      <c r="T8" s="49"/>
      <c r="U8" s="49"/>
      <c r="V8" s="49"/>
      <c r="W8" s="49"/>
      <c r="X8" s="49"/>
      <c r="Y8" s="49"/>
      <c r="Z8" s="49"/>
    </row>
    <row r="9">
      <c r="A9" s="49" t="str">
        <f>IFERROR(__xludf.DUMMYFUNCTION("""COMPUTED_VALUE"""),"Draconic")</f>
        <v>Draconic</v>
      </c>
      <c r="B9" s="49"/>
      <c r="C9" s="49" t="str">
        <f>IFERROR(__xludf.DUMMYFUNCTION("""COMPUTED_VALUE"""),"When in a party with 2 or more Draconic allies you and your Draconic allies gain X2 DEF")</f>
        <v>When in a party with 2 or more Draconic allies you and your Draconic allies gain X2 DEF</v>
      </c>
      <c r="D9" s="49"/>
      <c r="E9" s="49"/>
      <c r="F9" s="49"/>
      <c r="G9" s="49"/>
      <c r="H9" s="49"/>
      <c r="I9" s="49"/>
      <c r="J9" s="49"/>
      <c r="K9" s="49"/>
      <c r="L9" s="49"/>
      <c r="M9" s="49"/>
      <c r="N9" s="49"/>
      <c r="O9" s="49"/>
      <c r="P9" s="49"/>
      <c r="Q9" s="49"/>
      <c r="R9" s="49"/>
      <c r="S9" s="49"/>
      <c r="T9" s="49"/>
      <c r="U9" s="49"/>
      <c r="V9" s="49"/>
      <c r="W9" s="49"/>
      <c r="X9" s="49"/>
      <c r="Y9" s="49"/>
      <c r="Z9" s="49"/>
    </row>
    <row r="10">
      <c r="A10" s="49" t="str">
        <f>IFERROR(__xludf.DUMMYFUNCTION("""COMPUTED_VALUE"""),"Construct")</f>
        <v>Construct</v>
      </c>
      <c r="B10" s="49"/>
      <c r="C10" s="49"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49"/>
      <c r="E10" s="49"/>
      <c r="F10" s="49"/>
      <c r="G10" s="49"/>
      <c r="H10" s="49"/>
      <c r="I10" s="49"/>
      <c r="J10" s="49"/>
      <c r="K10" s="49"/>
      <c r="L10" s="49"/>
      <c r="M10" s="49"/>
      <c r="N10" s="49"/>
      <c r="O10" s="49"/>
      <c r="P10" s="49"/>
      <c r="Q10" s="49"/>
      <c r="R10" s="49"/>
      <c r="S10" s="49"/>
      <c r="T10" s="49"/>
      <c r="U10" s="49"/>
      <c r="V10" s="49"/>
      <c r="W10" s="49"/>
      <c r="X10" s="49"/>
      <c r="Y10" s="49"/>
      <c r="Z10" s="49"/>
    </row>
    <row r="11">
      <c r="A11" s="49" t="str">
        <f>IFERROR(__xludf.DUMMYFUNCTION("""COMPUTED_VALUE"""),"Monstrosity")</f>
        <v>Monstrosity</v>
      </c>
      <c r="B11" s="49"/>
      <c r="C11" s="49" t="str">
        <f>IFERROR(__xludf.DUMMYFUNCTION("""COMPUTED_VALUE"""),"When removing an enemy from battle you regain HP and SP equal to their defense..")</f>
        <v>When removing an enemy from battle you regain HP and SP equal to their defense..</v>
      </c>
      <c r="D11" s="49"/>
      <c r="E11" s="49"/>
      <c r="F11" s="49"/>
      <c r="G11" s="49"/>
      <c r="H11" s="49"/>
      <c r="I11" s="49"/>
      <c r="J11" s="49"/>
      <c r="K11" s="49"/>
      <c r="L11" s="49"/>
      <c r="M11" s="49"/>
      <c r="N11" s="49"/>
      <c r="O11" s="49"/>
      <c r="P11" s="49"/>
      <c r="Q11" s="49"/>
      <c r="R11" s="49"/>
      <c r="S11" s="49"/>
      <c r="T11" s="49"/>
      <c r="U11" s="49"/>
      <c r="V11" s="49"/>
      <c r="W11" s="49"/>
      <c r="X11" s="49"/>
      <c r="Y11" s="49"/>
      <c r="Z11" s="49"/>
    </row>
    <row r="12">
      <c r="A12" s="49" t="str">
        <f>IFERROR(__xludf.DUMMYFUNCTION("""COMPUTED_VALUE"""),"Fae")</f>
        <v>Fae</v>
      </c>
      <c r="B12" s="49"/>
      <c r="C12" s="49"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49"/>
      <c r="E12" s="49"/>
      <c r="F12" s="49"/>
      <c r="G12" s="49"/>
      <c r="H12" s="49"/>
      <c r="I12" s="49"/>
      <c r="J12" s="49"/>
      <c r="K12" s="49"/>
      <c r="L12" s="49"/>
      <c r="M12" s="49"/>
      <c r="N12" s="49"/>
      <c r="O12" s="49"/>
      <c r="P12" s="49"/>
      <c r="Q12" s="49"/>
      <c r="R12" s="49"/>
      <c r="S12" s="49"/>
      <c r="T12" s="49"/>
      <c r="U12" s="49"/>
      <c r="V12" s="49"/>
      <c r="W12" s="49"/>
      <c r="X12" s="49"/>
      <c r="Y12" s="49"/>
      <c r="Z12" s="49"/>
    </row>
    <row r="13">
      <c r="A13" s="49" t="str">
        <f>IFERROR(__xludf.DUMMYFUNCTION("""COMPUTED_VALUE"""),"Giant")</f>
        <v>Giant</v>
      </c>
      <c r="B13" s="49"/>
      <c r="C13" s="49"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49"/>
      <c r="E13" s="49"/>
      <c r="F13" s="49"/>
      <c r="G13" s="49"/>
      <c r="H13" s="49"/>
      <c r="I13" s="49"/>
      <c r="J13" s="49"/>
      <c r="K13" s="49"/>
      <c r="L13" s="49"/>
      <c r="M13" s="49"/>
      <c r="N13" s="49"/>
      <c r="O13" s="49"/>
      <c r="P13" s="49"/>
      <c r="Q13" s="49"/>
      <c r="R13" s="49"/>
      <c r="S13" s="49"/>
      <c r="T13" s="49"/>
      <c r="U13" s="49"/>
      <c r="V13" s="49"/>
      <c r="W13" s="49"/>
      <c r="X13" s="49"/>
      <c r="Y13" s="49"/>
      <c r="Z13" s="49"/>
    </row>
    <row r="14">
      <c r="A14" s="49" t="str">
        <f>IFERROR(__xludf.DUMMYFUNCTION("""COMPUTED_VALUE"""),"Trap/Puzzle")</f>
        <v>Trap/Puzzle</v>
      </c>
      <c r="B14" s="49"/>
      <c r="C14" s="49"/>
      <c r="D14" s="49"/>
      <c r="E14" s="49"/>
      <c r="F14" s="49"/>
      <c r="G14" s="49"/>
      <c r="H14" s="49"/>
      <c r="I14" s="49"/>
      <c r="J14" s="49"/>
      <c r="K14" s="49"/>
      <c r="L14" s="49"/>
      <c r="M14" s="49"/>
      <c r="N14" s="49"/>
      <c r="O14" s="49"/>
      <c r="P14" s="49"/>
      <c r="Q14" s="49"/>
      <c r="R14" s="49"/>
      <c r="S14" s="49"/>
      <c r="T14" s="49"/>
      <c r="U14" s="49"/>
      <c r="V14" s="49"/>
      <c r="W14" s="49"/>
      <c r="X14" s="49"/>
      <c r="Y14" s="49"/>
      <c r="Z14" s="49"/>
    </row>
    <row r="15">
      <c r="A15" s="49"/>
      <c r="B15" s="49"/>
      <c r="C15" s="49"/>
      <c r="D15" s="49"/>
      <c r="E15" s="49"/>
      <c r="F15" s="49"/>
      <c r="G15" s="49"/>
      <c r="H15" s="49"/>
      <c r="I15" s="49"/>
      <c r="J15" s="49"/>
      <c r="K15" s="49"/>
      <c r="L15" s="49"/>
      <c r="M15" s="49"/>
      <c r="N15" s="49"/>
      <c r="O15" s="49"/>
      <c r="P15" s="49"/>
      <c r="Q15" s="49"/>
      <c r="R15" s="49"/>
      <c r="S15" s="49"/>
      <c r="T15" s="49"/>
      <c r="U15" s="49"/>
      <c r="V15" s="49"/>
      <c r="W15" s="49"/>
      <c r="X15" s="49"/>
      <c r="Y15" s="49"/>
      <c r="Z15" s="49"/>
    </row>
    <row r="16">
      <c r="A16" s="49"/>
      <c r="B16" s="49"/>
      <c r="C16" s="49"/>
      <c r="D16" s="49"/>
      <c r="E16" s="49"/>
      <c r="F16" s="49"/>
      <c r="G16" s="49"/>
      <c r="H16" s="49"/>
      <c r="I16" s="49"/>
      <c r="J16" s="49"/>
      <c r="K16" s="49"/>
      <c r="L16" s="49"/>
      <c r="M16" s="49"/>
      <c r="N16" s="49"/>
      <c r="O16" s="49"/>
      <c r="P16" s="49"/>
      <c r="Q16" s="49"/>
      <c r="R16" s="49"/>
      <c r="S16" s="49"/>
      <c r="T16" s="49"/>
      <c r="U16" s="49"/>
      <c r="V16" s="49"/>
      <c r="W16" s="49"/>
      <c r="X16" s="49"/>
      <c r="Y16" s="49"/>
      <c r="Z16" s="49"/>
    </row>
    <row r="17">
      <c r="A17" s="49"/>
      <c r="B17" s="49"/>
      <c r="C17" s="49"/>
      <c r="D17" s="49"/>
      <c r="E17" s="49"/>
      <c r="F17" s="49"/>
      <c r="G17" s="49"/>
      <c r="H17" s="49"/>
      <c r="I17" s="49"/>
      <c r="J17" s="49"/>
      <c r="K17" s="49"/>
      <c r="L17" s="49"/>
      <c r="M17" s="49"/>
      <c r="N17" s="49"/>
      <c r="O17" s="49"/>
      <c r="P17" s="49"/>
      <c r="Q17" s="49"/>
      <c r="R17" s="49"/>
      <c r="S17" s="49"/>
      <c r="T17" s="49"/>
      <c r="U17" s="49"/>
      <c r="V17" s="49"/>
      <c r="W17" s="49"/>
      <c r="X17" s="49"/>
      <c r="Y17" s="49"/>
      <c r="Z17" s="49"/>
    </row>
    <row r="18">
      <c r="A18" s="49"/>
      <c r="B18" s="49"/>
      <c r="C18" s="49"/>
      <c r="D18" s="49"/>
      <c r="E18" s="49"/>
      <c r="F18" s="49"/>
      <c r="G18" s="49"/>
      <c r="H18" s="49"/>
      <c r="I18" s="49"/>
      <c r="J18" s="49"/>
      <c r="K18" s="49"/>
      <c r="L18" s="49"/>
      <c r="M18" s="49"/>
      <c r="N18" s="49"/>
      <c r="O18" s="49"/>
      <c r="P18" s="49"/>
      <c r="Q18" s="49"/>
      <c r="R18" s="49"/>
      <c r="S18" s="49"/>
      <c r="T18" s="49"/>
      <c r="U18" s="49"/>
      <c r="V18" s="49"/>
      <c r="W18" s="49"/>
      <c r="X18" s="49"/>
      <c r="Y18" s="49"/>
      <c r="Z18" s="49"/>
    </row>
    <row r="19">
      <c r="A19" s="49"/>
      <c r="B19" s="49"/>
      <c r="C19" s="49"/>
      <c r="D19" s="49"/>
      <c r="E19" s="49"/>
      <c r="F19" s="49"/>
      <c r="G19" s="49"/>
      <c r="H19" s="49"/>
      <c r="I19" s="49"/>
      <c r="J19" s="49"/>
      <c r="K19" s="49"/>
      <c r="L19" s="49"/>
      <c r="M19" s="49"/>
      <c r="N19" s="49"/>
      <c r="O19" s="49"/>
      <c r="P19" s="49"/>
      <c r="Q19" s="49"/>
      <c r="R19" s="49"/>
      <c r="S19" s="49"/>
      <c r="T19" s="49"/>
      <c r="U19" s="49"/>
      <c r="V19" s="49"/>
      <c r="W19" s="49"/>
      <c r="X19" s="49"/>
      <c r="Y19" s="49"/>
      <c r="Z19" s="49"/>
    </row>
    <row r="20">
      <c r="A20" s="49"/>
      <c r="B20" s="49"/>
      <c r="C20" s="49"/>
      <c r="D20" s="49"/>
      <c r="E20" s="49"/>
      <c r="F20" s="49"/>
      <c r="G20" s="49"/>
      <c r="H20" s="49"/>
      <c r="I20" s="49"/>
      <c r="J20" s="49"/>
      <c r="K20" s="49"/>
      <c r="L20" s="49"/>
      <c r="M20" s="49"/>
      <c r="N20" s="49"/>
      <c r="O20" s="49"/>
      <c r="P20" s="49"/>
      <c r="Q20" s="49"/>
      <c r="R20" s="49"/>
      <c r="S20" s="49"/>
      <c r="T20" s="49"/>
      <c r="U20" s="49"/>
      <c r="V20" s="49"/>
      <c r="W20" s="49"/>
      <c r="X20" s="49"/>
      <c r="Y20" s="49"/>
      <c r="Z20" s="49"/>
    </row>
    <row r="21">
      <c r="A21" s="49"/>
      <c r="B21" s="49"/>
      <c r="C21" s="49"/>
      <c r="D21" s="49"/>
      <c r="E21" s="49"/>
      <c r="F21" s="49"/>
      <c r="G21" s="49"/>
      <c r="H21" s="49"/>
      <c r="I21" s="49"/>
      <c r="J21" s="49"/>
      <c r="K21" s="49"/>
      <c r="L21" s="49"/>
      <c r="M21" s="49"/>
      <c r="N21" s="49"/>
      <c r="O21" s="49"/>
      <c r="P21" s="49"/>
      <c r="Q21" s="49"/>
      <c r="R21" s="49"/>
      <c r="S21" s="49"/>
      <c r="T21" s="49"/>
      <c r="U21" s="49"/>
      <c r="V21" s="49"/>
      <c r="W21" s="49"/>
      <c r="X21" s="49"/>
      <c r="Y21" s="49"/>
      <c r="Z21" s="49"/>
    </row>
    <row r="22">
      <c r="A22" s="49"/>
      <c r="B22" s="49"/>
      <c r="C22" s="49"/>
      <c r="D22" s="49"/>
      <c r="E22" s="49"/>
      <c r="F22" s="49"/>
      <c r="G22" s="49"/>
      <c r="H22" s="49"/>
      <c r="I22" s="49"/>
      <c r="J22" s="49"/>
      <c r="K22" s="49"/>
      <c r="L22" s="49"/>
      <c r="M22" s="49"/>
      <c r="N22" s="49"/>
      <c r="O22" s="49"/>
      <c r="P22" s="49"/>
      <c r="Q22" s="49"/>
      <c r="R22" s="49"/>
      <c r="S22" s="49"/>
      <c r="T22" s="49"/>
      <c r="U22" s="49"/>
      <c r="V22" s="49"/>
      <c r="W22" s="49"/>
      <c r="X22" s="49"/>
      <c r="Y22" s="49"/>
      <c r="Z22" s="49"/>
    </row>
    <row r="23">
      <c r="A23" s="49"/>
      <c r="B23" s="49"/>
      <c r="C23" s="49"/>
      <c r="D23" s="49"/>
      <c r="E23" s="49"/>
      <c r="F23" s="49"/>
      <c r="G23" s="49"/>
      <c r="H23" s="49"/>
      <c r="I23" s="49"/>
      <c r="J23" s="49"/>
      <c r="K23" s="49"/>
      <c r="L23" s="49"/>
      <c r="M23" s="49"/>
      <c r="N23" s="49"/>
      <c r="O23" s="49"/>
      <c r="P23" s="49"/>
      <c r="Q23" s="49"/>
      <c r="R23" s="49"/>
      <c r="S23" s="49"/>
      <c r="T23" s="49"/>
      <c r="U23" s="49"/>
      <c r="V23" s="49"/>
      <c r="W23" s="49"/>
      <c r="X23" s="49"/>
      <c r="Y23" s="49"/>
      <c r="Z23" s="49"/>
    </row>
    <row r="24">
      <c r="A24" s="49"/>
      <c r="B24" s="49"/>
      <c r="C24" s="49"/>
      <c r="D24" s="49"/>
      <c r="E24" s="49"/>
      <c r="F24" s="49"/>
      <c r="G24" s="49"/>
      <c r="H24" s="49"/>
      <c r="I24" s="49"/>
      <c r="J24" s="49"/>
      <c r="K24" s="49"/>
      <c r="L24" s="49"/>
      <c r="M24" s="49"/>
      <c r="N24" s="49"/>
      <c r="O24" s="49"/>
      <c r="P24" s="49"/>
      <c r="Q24" s="49"/>
      <c r="R24" s="49"/>
      <c r="S24" s="49"/>
      <c r="T24" s="49"/>
      <c r="U24" s="49"/>
      <c r="V24" s="49"/>
      <c r="W24" s="49"/>
      <c r="X24" s="49"/>
      <c r="Y24" s="49"/>
      <c r="Z24" s="49"/>
    </row>
    <row r="25">
      <c r="A25" s="49"/>
      <c r="B25" s="49"/>
      <c r="C25" s="49"/>
      <c r="D25" s="49"/>
      <c r="E25" s="49"/>
      <c r="F25" s="49"/>
      <c r="G25" s="49"/>
      <c r="H25" s="49"/>
      <c r="I25" s="49"/>
      <c r="J25" s="49"/>
      <c r="K25" s="49"/>
      <c r="L25" s="49"/>
      <c r="M25" s="49"/>
      <c r="N25" s="49"/>
      <c r="O25" s="49"/>
      <c r="P25" s="49"/>
      <c r="Q25" s="49"/>
      <c r="R25" s="49"/>
      <c r="S25" s="49"/>
      <c r="T25" s="49"/>
      <c r="U25" s="49"/>
      <c r="V25" s="49"/>
      <c r="W25" s="49"/>
      <c r="X25" s="49"/>
      <c r="Y25" s="49"/>
      <c r="Z25" s="49"/>
    </row>
    <row r="26">
      <c r="A26" s="49"/>
      <c r="B26" s="49"/>
      <c r="C26" s="49"/>
      <c r="D26" s="49"/>
      <c r="E26" s="49"/>
      <c r="F26" s="49"/>
      <c r="G26" s="49"/>
      <c r="H26" s="49"/>
      <c r="I26" s="49"/>
      <c r="J26" s="49"/>
      <c r="K26" s="49"/>
      <c r="L26" s="49"/>
      <c r="M26" s="49"/>
      <c r="N26" s="49"/>
      <c r="O26" s="49"/>
      <c r="P26" s="49"/>
      <c r="Q26" s="49"/>
      <c r="R26" s="49"/>
      <c r="S26" s="49"/>
      <c r="T26" s="49"/>
      <c r="U26" s="49"/>
      <c r="V26" s="49"/>
      <c r="W26" s="49"/>
      <c r="X26" s="49"/>
      <c r="Y26" s="49"/>
      <c r="Z26" s="49"/>
    </row>
    <row r="27">
      <c r="A27" s="49"/>
      <c r="B27" s="49"/>
      <c r="C27" s="49"/>
      <c r="D27" s="49"/>
      <c r="E27" s="49"/>
      <c r="F27" s="49"/>
      <c r="G27" s="49"/>
      <c r="H27" s="49"/>
      <c r="I27" s="49"/>
      <c r="J27" s="49"/>
      <c r="K27" s="49"/>
      <c r="L27" s="49"/>
      <c r="M27" s="49"/>
      <c r="N27" s="49"/>
      <c r="O27" s="49"/>
      <c r="P27" s="49"/>
      <c r="Q27" s="49"/>
      <c r="R27" s="49"/>
      <c r="S27" s="49"/>
      <c r="T27" s="49"/>
      <c r="U27" s="49"/>
      <c r="V27" s="49"/>
      <c r="W27" s="49"/>
      <c r="X27" s="49"/>
      <c r="Y27" s="49"/>
      <c r="Z27" s="49"/>
    </row>
    <row r="28">
      <c r="A28" s="49"/>
      <c r="B28" s="49"/>
      <c r="C28" s="49"/>
      <c r="D28" s="49"/>
      <c r="E28" s="49"/>
      <c r="F28" s="49"/>
      <c r="G28" s="49"/>
      <c r="H28" s="49"/>
      <c r="I28" s="49"/>
      <c r="J28" s="49"/>
      <c r="K28" s="49"/>
      <c r="L28" s="49"/>
      <c r="M28" s="49"/>
      <c r="N28" s="49"/>
      <c r="O28" s="49"/>
      <c r="P28" s="49"/>
      <c r="Q28" s="49"/>
      <c r="R28" s="49"/>
      <c r="S28" s="49"/>
      <c r="T28" s="49"/>
      <c r="U28" s="49"/>
      <c r="V28" s="49"/>
      <c r="W28" s="49"/>
      <c r="X28" s="49"/>
      <c r="Y28" s="49"/>
      <c r="Z28" s="49"/>
    </row>
    <row r="29">
      <c r="A29" s="49"/>
      <c r="B29" s="49"/>
      <c r="C29" s="49"/>
      <c r="D29" s="49"/>
      <c r="E29" s="49"/>
      <c r="F29" s="49"/>
      <c r="G29" s="49"/>
      <c r="H29" s="49"/>
      <c r="I29" s="49"/>
      <c r="J29" s="49"/>
      <c r="K29" s="49"/>
      <c r="L29" s="49"/>
      <c r="M29" s="49"/>
      <c r="N29" s="49"/>
      <c r="O29" s="49"/>
      <c r="P29" s="49"/>
      <c r="Q29" s="49"/>
      <c r="R29" s="49"/>
      <c r="S29" s="49"/>
      <c r="T29" s="49"/>
      <c r="U29" s="49"/>
      <c r="V29" s="49"/>
      <c r="W29" s="49"/>
      <c r="X29" s="49"/>
      <c r="Y29" s="49"/>
      <c r="Z29" s="49"/>
    </row>
    <row r="30">
      <c r="A30" s="49"/>
      <c r="B30" s="49"/>
      <c r="C30" s="49"/>
      <c r="D30" s="49"/>
      <c r="E30" s="49"/>
      <c r="F30" s="49"/>
      <c r="G30" s="49"/>
      <c r="H30" s="49"/>
      <c r="I30" s="49"/>
      <c r="J30" s="49"/>
      <c r="K30" s="49"/>
      <c r="L30" s="49"/>
      <c r="M30" s="49"/>
      <c r="N30" s="49"/>
      <c r="O30" s="49"/>
      <c r="P30" s="49"/>
      <c r="Q30" s="49"/>
      <c r="R30" s="49"/>
      <c r="S30" s="49"/>
      <c r="T30" s="49"/>
      <c r="U30" s="49"/>
      <c r="V30" s="49"/>
      <c r="W30" s="49"/>
      <c r="X30" s="49"/>
      <c r="Y30" s="49"/>
      <c r="Z30" s="49"/>
    </row>
    <row r="31">
      <c r="A31" s="49"/>
      <c r="B31" s="49"/>
      <c r="C31" s="49"/>
      <c r="D31" s="49"/>
      <c r="E31" s="49"/>
      <c r="F31" s="49"/>
      <c r="G31" s="49"/>
      <c r="H31" s="49"/>
      <c r="I31" s="49"/>
      <c r="J31" s="49"/>
      <c r="K31" s="49"/>
      <c r="L31" s="49"/>
      <c r="M31" s="49"/>
      <c r="N31" s="49"/>
      <c r="O31" s="49"/>
      <c r="P31" s="49"/>
      <c r="Q31" s="49"/>
      <c r="R31" s="49"/>
      <c r="S31" s="49"/>
      <c r="T31" s="49"/>
      <c r="U31" s="49"/>
      <c r="V31" s="49"/>
      <c r="W31" s="49"/>
      <c r="X31" s="49"/>
      <c r="Y31" s="49"/>
      <c r="Z31" s="49"/>
    </row>
    <row r="32">
      <c r="A32" s="49"/>
      <c r="B32" s="49"/>
      <c r="C32" s="49"/>
      <c r="D32" s="49"/>
      <c r="E32" s="49"/>
      <c r="F32" s="49"/>
      <c r="G32" s="49"/>
      <c r="H32" s="49"/>
      <c r="I32" s="49"/>
      <c r="J32" s="49"/>
      <c r="K32" s="49"/>
      <c r="L32" s="49"/>
      <c r="M32" s="49"/>
      <c r="N32" s="49"/>
      <c r="O32" s="49"/>
      <c r="P32" s="49"/>
      <c r="Q32" s="49"/>
      <c r="R32" s="49"/>
      <c r="S32" s="49"/>
      <c r="T32" s="49"/>
      <c r="U32" s="49"/>
      <c r="V32" s="49"/>
      <c r="W32" s="49"/>
      <c r="X32" s="49"/>
      <c r="Y32" s="49"/>
      <c r="Z32" s="49"/>
    </row>
    <row r="33">
      <c r="A33" s="49"/>
      <c r="B33" s="49"/>
      <c r="C33" s="49"/>
      <c r="D33" s="49"/>
      <c r="E33" s="49"/>
      <c r="F33" s="49"/>
      <c r="G33" s="49"/>
      <c r="H33" s="49"/>
      <c r="I33" s="49"/>
      <c r="J33" s="49"/>
      <c r="K33" s="49"/>
      <c r="L33" s="49"/>
      <c r="M33" s="49"/>
      <c r="N33" s="49"/>
      <c r="O33" s="49"/>
      <c r="P33" s="49"/>
      <c r="Q33" s="49"/>
      <c r="R33" s="49"/>
      <c r="S33" s="49"/>
      <c r="T33" s="49"/>
      <c r="U33" s="49"/>
      <c r="V33" s="49"/>
      <c r="W33" s="49"/>
      <c r="X33" s="49"/>
      <c r="Y33" s="49"/>
      <c r="Z33" s="49"/>
    </row>
    <row r="34">
      <c r="A34" s="49"/>
      <c r="B34" s="49"/>
      <c r="C34" s="49"/>
      <c r="D34" s="49"/>
      <c r="E34" s="49"/>
      <c r="F34" s="49"/>
      <c r="G34" s="49"/>
      <c r="H34" s="49"/>
      <c r="I34" s="49"/>
      <c r="J34" s="49"/>
      <c r="K34" s="49"/>
      <c r="L34" s="49"/>
      <c r="M34" s="49"/>
      <c r="N34" s="49"/>
      <c r="O34" s="49"/>
      <c r="P34" s="49"/>
      <c r="Q34" s="49"/>
      <c r="R34" s="49"/>
      <c r="S34" s="49"/>
      <c r="T34" s="49"/>
      <c r="U34" s="49"/>
      <c r="V34" s="49"/>
      <c r="W34" s="49"/>
      <c r="X34" s="49"/>
      <c r="Y34" s="49"/>
      <c r="Z34" s="49"/>
    </row>
    <row r="35">
      <c r="A35" s="49"/>
      <c r="B35" s="49"/>
      <c r="C35" s="49"/>
      <c r="D35" s="49"/>
      <c r="E35" s="49"/>
      <c r="F35" s="49"/>
      <c r="G35" s="49"/>
      <c r="H35" s="49"/>
      <c r="I35" s="49"/>
      <c r="J35" s="49"/>
      <c r="K35" s="49"/>
      <c r="L35" s="49"/>
      <c r="M35" s="49"/>
      <c r="N35" s="49"/>
      <c r="O35" s="49"/>
      <c r="P35" s="49"/>
      <c r="Q35" s="49"/>
      <c r="R35" s="49"/>
      <c r="S35" s="49"/>
      <c r="T35" s="49"/>
      <c r="U35" s="49"/>
      <c r="V35" s="49"/>
      <c r="W35" s="49"/>
      <c r="X35" s="49"/>
      <c r="Y35" s="49"/>
      <c r="Z35" s="49"/>
    </row>
    <row r="36">
      <c r="A36" s="49"/>
      <c r="B36" s="49"/>
      <c r="C36" s="49"/>
      <c r="D36" s="49"/>
      <c r="E36" s="49"/>
      <c r="F36" s="49"/>
      <c r="G36" s="49"/>
      <c r="H36" s="49"/>
      <c r="I36" s="49"/>
      <c r="J36" s="49"/>
      <c r="K36" s="49"/>
      <c r="L36" s="49"/>
      <c r="M36" s="49"/>
      <c r="N36" s="49"/>
      <c r="O36" s="49"/>
      <c r="P36" s="49"/>
      <c r="Q36" s="49"/>
      <c r="R36" s="49"/>
      <c r="S36" s="49"/>
      <c r="T36" s="49"/>
      <c r="U36" s="49"/>
      <c r="V36" s="49"/>
      <c r="W36" s="49"/>
      <c r="X36" s="49"/>
      <c r="Y36" s="49"/>
      <c r="Z36" s="49"/>
    </row>
    <row r="37">
      <c r="A37" s="49"/>
      <c r="B37" s="49"/>
      <c r="C37" s="49"/>
      <c r="D37" s="49"/>
      <c r="E37" s="49"/>
      <c r="F37" s="49"/>
      <c r="G37" s="49"/>
      <c r="H37" s="49"/>
      <c r="I37" s="49"/>
      <c r="J37" s="49"/>
      <c r="K37" s="49"/>
      <c r="L37" s="49"/>
      <c r="M37" s="49"/>
      <c r="N37" s="49"/>
      <c r="O37" s="49"/>
      <c r="P37" s="49"/>
      <c r="Q37" s="49"/>
      <c r="R37" s="49"/>
      <c r="S37" s="49"/>
      <c r="T37" s="49"/>
      <c r="U37" s="49"/>
      <c r="V37" s="49"/>
      <c r="W37" s="49"/>
      <c r="X37" s="49"/>
      <c r="Y37" s="49"/>
      <c r="Z37" s="49"/>
    </row>
    <row r="38">
      <c r="A38" s="49"/>
      <c r="B38" s="49"/>
      <c r="C38" s="49"/>
      <c r="D38" s="49"/>
      <c r="E38" s="49"/>
      <c r="F38" s="49"/>
      <c r="G38" s="49"/>
      <c r="H38" s="49"/>
      <c r="I38" s="49"/>
      <c r="J38" s="49"/>
      <c r="K38" s="49"/>
      <c r="L38" s="49"/>
      <c r="M38" s="49"/>
      <c r="N38" s="49"/>
      <c r="O38" s="49"/>
      <c r="P38" s="49"/>
      <c r="Q38" s="49"/>
      <c r="R38" s="49"/>
      <c r="S38" s="49"/>
      <c r="T38" s="49"/>
      <c r="U38" s="49"/>
      <c r="V38" s="49"/>
      <c r="W38" s="49"/>
      <c r="X38" s="49"/>
      <c r="Y38" s="49"/>
      <c r="Z38" s="49"/>
    </row>
    <row r="39">
      <c r="A39" s="49"/>
      <c r="B39" s="49"/>
      <c r="C39" s="49"/>
      <c r="D39" s="49"/>
      <c r="E39" s="49"/>
      <c r="F39" s="49"/>
      <c r="G39" s="49"/>
      <c r="H39" s="49"/>
      <c r="I39" s="49"/>
      <c r="J39" s="49"/>
      <c r="K39" s="49"/>
      <c r="L39" s="49"/>
      <c r="M39" s="49"/>
      <c r="N39" s="49"/>
      <c r="O39" s="49"/>
      <c r="P39" s="49"/>
      <c r="Q39" s="49"/>
      <c r="R39" s="49"/>
      <c r="S39" s="49"/>
      <c r="T39" s="49"/>
      <c r="U39" s="49"/>
      <c r="V39" s="49"/>
      <c r="W39" s="49"/>
      <c r="X39" s="49"/>
      <c r="Y39" s="49"/>
      <c r="Z39" s="49"/>
    </row>
    <row r="40">
      <c r="A40" s="49"/>
      <c r="B40" s="49"/>
      <c r="C40" s="49"/>
      <c r="D40" s="49"/>
      <c r="E40" s="49"/>
      <c r="F40" s="49"/>
      <c r="G40" s="49"/>
      <c r="H40" s="49"/>
      <c r="I40" s="49"/>
      <c r="J40" s="49"/>
      <c r="K40" s="49"/>
      <c r="L40" s="49"/>
      <c r="M40" s="49"/>
      <c r="N40" s="49"/>
      <c r="O40" s="49"/>
      <c r="P40" s="49"/>
      <c r="Q40" s="49"/>
      <c r="R40" s="49"/>
      <c r="S40" s="49"/>
      <c r="T40" s="49"/>
      <c r="U40" s="49"/>
      <c r="V40" s="49"/>
      <c r="W40" s="49"/>
      <c r="X40" s="49"/>
      <c r="Y40" s="49"/>
      <c r="Z40" s="49"/>
    </row>
    <row r="41">
      <c r="A41" s="49"/>
      <c r="B41" s="49"/>
      <c r="C41" s="49"/>
      <c r="D41" s="49"/>
      <c r="E41" s="49"/>
      <c r="F41" s="49"/>
      <c r="G41" s="49"/>
      <c r="H41" s="49"/>
      <c r="I41" s="49"/>
      <c r="J41" s="49"/>
      <c r="K41" s="49"/>
      <c r="L41" s="49"/>
      <c r="M41" s="49"/>
      <c r="N41" s="49"/>
      <c r="O41" s="49"/>
      <c r="P41" s="49"/>
      <c r="Q41" s="49"/>
      <c r="R41" s="49"/>
      <c r="S41" s="49"/>
      <c r="T41" s="49"/>
      <c r="U41" s="49"/>
      <c r="V41" s="49"/>
      <c r="W41" s="49"/>
      <c r="X41" s="49"/>
      <c r="Y41" s="49"/>
      <c r="Z41" s="49"/>
    </row>
    <row r="42">
      <c r="A42" s="49"/>
      <c r="B42" s="49"/>
      <c r="C42" s="49"/>
      <c r="D42" s="49"/>
      <c r="E42" s="49"/>
      <c r="F42" s="49"/>
      <c r="G42" s="49"/>
      <c r="H42" s="49"/>
      <c r="I42" s="49"/>
      <c r="J42" s="49"/>
      <c r="K42" s="49"/>
      <c r="L42" s="49"/>
      <c r="M42" s="49"/>
      <c r="N42" s="49"/>
      <c r="O42" s="49"/>
      <c r="P42" s="49"/>
      <c r="Q42" s="49"/>
      <c r="R42" s="49"/>
      <c r="S42" s="49"/>
      <c r="T42" s="49"/>
      <c r="U42" s="49"/>
      <c r="V42" s="49"/>
      <c r="W42" s="49"/>
      <c r="X42" s="49"/>
      <c r="Y42" s="49"/>
      <c r="Z42" s="49"/>
    </row>
    <row r="43">
      <c r="A43" s="49"/>
      <c r="B43" s="49"/>
      <c r="C43" s="49"/>
      <c r="D43" s="49"/>
      <c r="E43" s="49"/>
      <c r="F43" s="49"/>
      <c r="G43" s="49"/>
      <c r="H43" s="49"/>
      <c r="I43" s="49"/>
      <c r="J43" s="49"/>
      <c r="K43" s="49"/>
      <c r="L43" s="49"/>
      <c r="M43" s="49"/>
      <c r="N43" s="49"/>
      <c r="O43" s="49"/>
      <c r="P43" s="49"/>
      <c r="Q43" s="49"/>
      <c r="R43" s="49"/>
      <c r="S43" s="49"/>
      <c r="T43" s="49"/>
      <c r="U43" s="49"/>
      <c r="V43" s="49"/>
      <c r="W43" s="49"/>
      <c r="X43" s="49"/>
      <c r="Y43" s="49"/>
      <c r="Z43" s="49"/>
    </row>
    <row r="44">
      <c r="A44" s="49"/>
      <c r="B44" s="49"/>
      <c r="C44" s="49"/>
      <c r="D44" s="49"/>
      <c r="E44" s="49"/>
      <c r="F44" s="49"/>
      <c r="G44" s="49"/>
      <c r="H44" s="49"/>
      <c r="I44" s="49"/>
      <c r="J44" s="49"/>
      <c r="K44" s="49"/>
      <c r="L44" s="49"/>
      <c r="M44" s="49"/>
      <c r="N44" s="49"/>
      <c r="O44" s="49"/>
      <c r="P44" s="49"/>
      <c r="Q44" s="49"/>
      <c r="R44" s="49"/>
      <c r="S44" s="49"/>
      <c r="T44" s="49"/>
      <c r="U44" s="49"/>
      <c r="V44" s="49"/>
      <c r="W44" s="49"/>
      <c r="X44" s="49"/>
      <c r="Y44" s="49"/>
      <c r="Z44" s="49"/>
    </row>
    <row r="45">
      <c r="A45" s="49"/>
      <c r="B45" s="49"/>
      <c r="C45" s="49"/>
      <c r="D45" s="49"/>
      <c r="E45" s="49"/>
      <c r="F45" s="49"/>
      <c r="G45" s="49"/>
      <c r="H45" s="49"/>
      <c r="I45" s="49"/>
      <c r="J45" s="49"/>
      <c r="K45" s="49"/>
      <c r="L45" s="49"/>
      <c r="M45" s="49"/>
      <c r="N45" s="49"/>
      <c r="O45" s="49"/>
      <c r="P45" s="49"/>
      <c r="Q45" s="49"/>
      <c r="R45" s="49"/>
      <c r="S45" s="49"/>
      <c r="T45" s="49"/>
      <c r="U45" s="49"/>
      <c r="V45" s="49"/>
      <c r="W45" s="49"/>
      <c r="X45" s="49"/>
      <c r="Y45" s="49"/>
      <c r="Z45" s="49"/>
    </row>
    <row r="46">
      <c r="A46" s="49"/>
      <c r="B46" s="49"/>
      <c r="C46" s="49"/>
      <c r="D46" s="49"/>
      <c r="E46" s="49"/>
      <c r="F46" s="49"/>
      <c r="G46" s="49"/>
      <c r="H46" s="49"/>
      <c r="I46" s="49"/>
      <c r="J46" s="49"/>
      <c r="K46" s="49"/>
      <c r="L46" s="49"/>
      <c r="M46" s="49"/>
      <c r="N46" s="49"/>
      <c r="O46" s="49"/>
      <c r="P46" s="49"/>
      <c r="Q46" s="49"/>
      <c r="R46" s="49"/>
      <c r="S46" s="49"/>
      <c r="T46" s="49"/>
      <c r="U46" s="49"/>
      <c r="V46" s="49"/>
      <c r="W46" s="49"/>
      <c r="X46" s="49"/>
      <c r="Y46" s="49"/>
      <c r="Z46" s="49"/>
    </row>
    <row r="47">
      <c r="A47" s="49"/>
      <c r="B47" s="49"/>
      <c r="C47" s="49"/>
      <c r="D47" s="49"/>
      <c r="E47" s="49"/>
      <c r="F47" s="49"/>
      <c r="G47" s="49"/>
      <c r="H47" s="49"/>
      <c r="I47" s="49"/>
      <c r="J47" s="49"/>
      <c r="K47" s="49"/>
      <c r="L47" s="49"/>
      <c r="M47" s="49"/>
      <c r="N47" s="49"/>
      <c r="O47" s="49"/>
      <c r="P47" s="49"/>
      <c r="Q47" s="49"/>
      <c r="R47" s="49"/>
      <c r="S47" s="49"/>
      <c r="T47" s="49"/>
      <c r="U47" s="49"/>
      <c r="V47" s="49"/>
      <c r="W47" s="49"/>
      <c r="X47" s="49"/>
      <c r="Y47" s="49"/>
      <c r="Z47" s="49"/>
    </row>
    <row r="48">
      <c r="A48" s="49"/>
      <c r="B48" s="49"/>
      <c r="C48" s="49"/>
      <c r="D48" s="49"/>
      <c r="E48" s="49"/>
      <c r="F48" s="49"/>
      <c r="G48" s="49"/>
      <c r="H48" s="49"/>
      <c r="I48" s="49"/>
      <c r="J48" s="49"/>
      <c r="K48" s="49"/>
      <c r="L48" s="49"/>
      <c r="M48" s="49"/>
      <c r="N48" s="49"/>
      <c r="O48" s="49"/>
      <c r="P48" s="49"/>
      <c r="Q48" s="49"/>
      <c r="R48" s="49"/>
      <c r="S48" s="49"/>
      <c r="T48" s="49"/>
      <c r="U48" s="49"/>
      <c r="V48" s="49"/>
      <c r="W48" s="49"/>
      <c r="X48" s="49"/>
      <c r="Y48" s="49"/>
      <c r="Z48" s="49"/>
    </row>
    <row r="49">
      <c r="A49" s="49"/>
      <c r="B49" s="49"/>
      <c r="C49" s="49"/>
      <c r="D49" s="49"/>
      <c r="E49" s="49"/>
      <c r="F49" s="49"/>
      <c r="G49" s="49"/>
      <c r="H49" s="49"/>
      <c r="I49" s="49"/>
      <c r="J49" s="49"/>
      <c r="K49" s="49"/>
      <c r="L49" s="49"/>
      <c r="M49" s="49"/>
      <c r="N49" s="49"/>
      <c r="O49" s="49"/>
      <c r="P49" s="49"/>
      <c r="Q49" s="49"/>
      <c r="R49" s="49"/>
      <c r="S49" s="49"/>
      <c r="T49" s="49"/>
      <c r="U49" s="49"/>
      <c r="V49" s="49"/>
      <c r="W49" s="49"/>
      <c r="X49" s="49"/>
      <c r="Y49" s="49"/>
      <c r="Z49" s="49"/>
    </row>
    <row r="50">
      <c r="A50" s="49"/>
      <c r="B50" s="49"/>
      <c r="C50" s="49"/>
      <c r="D50" s="49"/>
      <c r="E50" s="49"/>
      <c r="F50" s="49"/>
      <c r="G50" s="49"/>
      <c r="H50" s="49"/>
      <c r="I50" s="49"/>
      <c r="J50" s="49"/>
      <c r="K50" s="49"/>
      <c r="L50" s="49"/>
      <c r="M50" s="49"/>
      <c r="N50" s="49"/>
      <c r="O50" s="49"/>
      <c r="P50" s="49"/>
      <c r="Q50" s="49"/>
      <c r="R50" s="49"/>
      <c r="S50" s="49"/>
      <c r="T50" s="49"/>
      <c r="U50" s="49"/>
      <c r="V50" s="49"/>
      <c r="W50" s="49"/>
      <c r="X50" s="49"/>
      <c r="Y50" s="49"/>
      <c r="Z50" s="49"/>
    </row>
    <row r="51">
      <c r="A51" s="49"/>
      <c r="B51" s="49"/>
      <c r="C51" s="49"/>
      <c r="D51" s="49"/>
      <c r="E51" s="49"/>
      <c r="F51" s="49"/>
      <c r="G51" s="49"/>
      <c r="H51" s="49"/>
      <c r="I51" s="49"/>
      <c r="J51" s="49"/>
      <c r="K51" s="49"/>
      <c r="L51" s="49"/>
      <c r="M51" s="49"/>
      <c r="N51" s="49"/>
      <c r="O51" s="49"/>
      <c r="P51" s="49"/>
      <c r="Q51" s="49"/>
      <c r="R51" s="49"/>
      <c r="S51" s="49"/>
      <c r="T51" s="49"/>
      <c r="U51" s="49"/>
      <c r="V51" s="49"/>
      <c r="W51" s="49"/>
      <c r="X51" s="49"/>
      <c r="Y51" s="49"/>
      <c r="Z51" s="49"/>
    </row>
    <row r="52">
      <c r="A52" s="49"/>
      <c r="B52" s="49"/>
      <c r="C52" s="49"/>
      <c r="D52" s="49"/>
      <c r="E52" s="49"/>
      <c r="F52" s="49"/>
      <c r="G52" s="49"/>
      <c r="H52" s="49"/>
      <c r="I52" s="49"/>
      <c r="J52" s="49"/>
      <c r="K52" s="49"/>
      <c r="L52" s="49"/>
      <c r="M52" s="49"/>
      <c r="N52" s="49"/>
      <c r="O52" s="49"/>
      <c r="P52" s="49"/>
      <c r="Q52" s="49"/>
      <c r="R52" s="49"/>
      <c r="S52" s="49"/>
      <c r="T52" s="49"/>
      <c r="U52" s="49"/>
      <c r="V52" s="49"/>
      <c r="W52" s="49"/>
      <c r="X52" s="49"/>
      <c r="Y52" s="49"/>
      <c r="Z52" s="49"/>
    </row>
    <row r="53">
      <c r="A53" s="49"/>
      <c r="B53" s="49"/>
      <c r="C53" s="49"/>
      <c r="D53" s="49"/>
      <c r="E53" s="49"/>
      <c r="F53" s="49"/>
      <c r="G53" s="49"/>
      <c r="H53" s="49"/>
      <c r="I53" s="49"/>
      <c r="J53" s="49"/>
      <c r="K53" s="49"/>
      <c r="L53" s="49"/>
      <c r="M53" s="49"/>
      <c r="N53" s="49"/>
      <c r="O53" s="49"/>
      <c r="P53" s="49"/>
      <c r="Q53" s="49"/>
      <c r="R53" s="49"/>
      <c r="S53" s="49"/>
      <c r="T53" s="49"/>
      <c r="U53" s="49"/>
      <c r="V53" s="49"/>
      <c r="W53" s="49"/>
      <c r="X53" s="49"/>
      <c r="Y53" s="49"/>
      <c r="Z53" s="49"/>
    </row>
    <row r="54">
      <c r="A54" s="49"/>
      <c r="B54" s="49"/>
      <c r="C54" s="49"/>
      <c r="D54" s="49"/>
      <c r="E54" s="49"/>
      <c r="F54" s="49"/>
      <c r="G54" s="49"/>
      <c r="H54" s="49"/>
      <c r="I54" s="49"/>
      <c r="J54" s="49"/>
      <c r="K54" s="49"/>
      <c r="L54" s="49"/>
      <c r="M54" s="49"/>
      <c r="N54" s="49"/>
      <c r="O54" s="49"/>
      <c r="P54" s="49"/>
      <c r="Q54" s="49"/>
      <c r="R54" s="49"/>
      <c r="S54" s="49"/>
      <c r="T54" s="49"/>
      <c r="U54" s="49"/>
      <c r="V54" s="49"/>
      <c r="W54" s="49"/>
      <c r="X54" s="49"/>
      <c r="Y54" s="49"/>
      <c r="Z54" s="49"/>
    </row>
    <row r="55">
      <c r="A55" s="49"/>
      <c r="B55" s="49"/>
      <c r="C55" s="49"/>
      <c r="D55" s="49"/>
      <c r="E55" s="49"/>
      <c r="F55" s="49"/>
      <c r="G55" s="49"/>
      <c r="H55" s="49"/>
      <c r="I55" s="49"/>
      <c r="J55" s="49"/>
      <c r="K55" s="49"/>
      <c r="L55" s="49"/>
      <c r="M55" s="49"/>
      <c r="N55" s="49"/>
      <c r="O55" s="49"/>
      <c r="P55" s="49"/>
      <c r="Q55" s="49"/>
      <c r="R55" s="49"/>
      <c r="S55" s="49"/>
      <c r="T55" s="49"/>
      <c r="U55" s="49"/>
      <c r="V55" s="49"/>
      <c r="W55" s="49"/>
      <c r="X55" s="49"/>
      <c r="Y55" s="49"/>
      <c r="Z55" s="49"/>
    </row>
    <row r="56">
      <c r="A56" s="49"/>
      <c r="B56" s="49"/>
      <c r="C56" s="49"/>
      <c r="D56" s="49"/>
      <c r="E56" s="49"/>
      <c r="F56" s="49"/>
      <c r="G56" s="49"/>
      <c r="H56" s="49"/>
      <c r="I56" s="49"/>
      <c r="J56" s="49"/>
      <c r="K56" s="49"/>
      <c r="L56" s="49"/>
      <c r="M56" s="49"/>
      <c r="N56" s="49"/>
      <c r="O56" s="49"/>
      <c r="P56" s="49"/>
      <c r="Q56" s="49"/>
      <c r="R56" s="49"/>
      <c r="S56" s="49"/>
      <c r="T56" s="49"/>
      <c r="U56" s="49"/>
      <c r="V56" s="49"/>
      <c r="W56" s="49"/>
      <c r="X56" s="49"/>
      <c r="Y56" s="49"/>
      <c r="Z56" s="49"/>
    </row>
    <row r="57">
      <c r="A57" s="49"/>
      <c r="B57" s="49"/>
      <c r="C57" s="49"/>
      <c r="D57" s="49"/>
      <c r="E57" s="49"/>
      <c r="F57" s="49"/>
      <c r="G57" s="49"/>
      <c r="H57" s="49"/>
      <c r="I57" s="49"/>
      <c r="J57" s="49"/>
      <c r="K57" s="49"/>
      <c r="L57" s="49"/>
      <c r="M57" s="49"/>
      <c r="N57" s="49"/>
      <c r="O57" s="49"/>
      <c r="P57" s="49"/>
      <c r="Q57" s="49"/>
      <c r="R57" s="49"/>
      <c r="S57" s="49"/>
      <c r="T57" s="49"/>
      <c r="U57" s="49"/>
      <c r="V57" s="49"/>
      <c r="W57" s="49"/>
      <c r="X57" s="49"/>
      <c r="Y57" s="49"/>
      <c r="Z57" s="49"/>
    </row>
    <row r="58">
      <c r="A58" s="49"/>
      <c r="B58" s="49"/>
      <c r="C58" s="49"/>
      <c r="D58" s="49"/>
      <c r="E58" s="49"/>
      <c r="F58" s="49"/>
      <c r="G58" s="49"/>
      <c r="H58" s="49"/>
      <c r="I58" s="49"/>
      <c r="J58" s="49"/>
      <c r="K58" s="49"/>
      <c r="L58" s="49"/>
      <c r="M58" s="49"/>
      <c r="N58" s="49"/>
      <c r="O58" s="49"/>
      <c r="P58" s="49"/>
      <c r="Q58" s="49"/>
      <c r="R58" s="49"/>
      <c r="S58" s="49"/>
      <c r="T58" s="49"/>
      <c r="U58" s="49"/>
      <c r="V58" s="49"/>
      <c r="W58" s="49"/>
      <c r="X58" s="49"/>
      <c r="Y58" s="49"/>
      <c r="Z58" s="49"/>
    </row>
    <row r="59">
      <c r="A59" s="49"/>
      <c r="B59" s="49"/>
      <c r="C59" s="49"/>
      <c r="D59" s="49"/>
      <c r="E59" s="49"/>
      <c r="F59" s="49"/>
      <c r="G59" s="49"/>
      <c r="H59" s="49"/>
      <c r="I59" s="49"/>
      <c r="J59" s="49"/>
      <c r="K59" s="49"/>
      <c r="L59" s="49"/>
      <c r="M59" s="49"/>
      <c r="N59" s="49"/>
      <c r="O59" s="49"/>
      <c r="P59" s="49"/>
      <c r="Q59" s="49"/>
      <c r="R59" s="49"/>
      <c r="S59" s="49"/>
      <c r="T59" s="49"/>
      <c r="U59" s="49"/>
      <c r="V59" s="49"/>
      <c r="W59" s="49"/>
      <c r="X59" s="49"/>
      <c r="Y59" s="49"/>
      <c r="Z59" s="49"/>
    </row>
    <row r="60">
      <c r="A60" s="49"/>
      <c r="B60" s="49"/>
      <c r="C60" s="49"/>
      <c r="D60" s="49"/>
      <c r="E60" s="49"/>
      <c r="F60" s="49"/>
      <c r="G60" s="49"/>
      <c r="H60" s="49"/>
      <c r="I60" s="49"/>
      <c r="J60" s="49"/>
      <c r="K60" s="49"/>
      <c r="L60" s="49"/>
      <c r="M60" s="49"/>
      <c r="N60" s="49"/>
      <c r="O60" s="49"/>
      <c r="P60" s="49"/>
      <c r="Q60" s="49"/>
      <c r="R60" s="49"/>
      <c r="S60" s="49"/>
      <c r="T60" s="49"/>
      <c r="U60" s="49"/>
      <c r="V60" s="49"/>
      <c r="W60" s="49"/>
      <c r="X60" s="49"/>
      <c r="Y60" s="49"/>
      <c r="Z60" s="49"/>
    </row>
    <row r="61">
      <c r="A61" s="49"/>
      <c r="B61" s="49"/>
      <c r="C61" s="49"/>
      <c r="D61" s="49"/>
      <c r="E61" s="49"/>
      <c r="F61" s="49"/>
      <c r="G61" s="49"/>
      <c r="H61" s="49"/>
      <c r="I61" s="49"/>
      <c r="J61" s="49"/>
      <c r="K61" s="49"/>
      <c r="L61" s="49"/>
      <c r="M61" s="49"/>
      <c r="N61" s="49"/>
      <c r="O61" s="49"/>
      <c r="P61" s="49"/>
      <c r="Q61" s="49"/>
      <c r="R61" s="49"/>
      <c r="S61" s="49"/>
      <c r="T61" s="49"/>
      <c r="U61" s="49"/>
      <c r="V61" s="49"/>
      <c r="W61" s="49"/>
      <c r="X61" s="49"/>
      <c r="Y61" s="49"/>
      <c r="Z61" s="49"/>
    </row>
    <row r="62">
      <c r="A62" s="49"/>
      <c r="B62" s="49"/>
      <c r="C62" s="49"/>
      <c r="D62" s="49"/>
      <c r="E62" s="49"/>
      <c r="F62" s="49"/>
      <c r="G62" s="49"/>
      <c r="H62" s="49"/>
      <c r="I62" s="49"/>
      <c r="J62" s="49"/>
      <c r="K62" s="49"/>
      <c r="L62" s="49"/>
      <c r="M62" s="49"/>
      <c r="N62" s="49"/>
      <c r="O62" s="49"/>
      <c r="P62" s="49"/>
      <c r="Q62" s="49"/>
      <c r="R62" s="49"/>
      <c r="S62" s="49"/>
      <c r="T62" s="49"/>
      <c r="U62" s="49"/>
      <c r="V62" s="49"/>
      <c r="W62" s="49"/>
      <c r="X62" s="49"/>
      <c r="Y62" s="49"/>
      <c r="Z62" s="49"/>
    </row>
    <row r="63">
      <c r="A63" s="49"/>
      <c r="B63" s="49"/>
      <c r="C63" s="49"/>
      <c r="D63" s="49"/>
      <c r="E63" s="49"/>
      <c r="F63" s="49"/>
      <c r="G63" s="49"/>
      <c r="H63" s="49"/>
      <c r="I63" s="49"/>
      <c r="J63" s="49"/>
      <c r="K63" s="49"/>
      <c r="L63" s="49"/>
      <c r="M63" s="49"/>
      <c r="N63" s="49"/>
      <c r="O63" s="49"/>
      <c r="P63" s="49"/>
      <c r="Q63" s="49"/>
      <c r="R63" s="49"/>
      <c r="S63" s="49"/>
      <c r="T63" s="49"/>
      <c r="U63" s="49"/>
      <c r="V63" s="49"/>
      <c r="W63" s="49"/>
      <c r="X63" s="49"/>
      <c r="Y63" s="49"/>
      <c r="Z63" s="49"/>
    </row>
    <row r="64">
      <c r="A64" s="49"/>
      <c r="B64" s="49"/>
      <c r="C64" s="49"/>
      <c r="D64" s="49"/>
      <c r="E64" s="49"/>
      <c r="F64" s="49"/>
      <c r="G64" s="49"/>
      <c r="H64" s="49"/>
      <c r="I64" s="49"/>
      <c r="J64" s="49"/>
      <c r="K64" s="49"/>
      <c r="L64" s="49"/>
      <c r="M64" s="49"/>
      <c r="N64" s="49"/>
      <c r="O64" s="49"/>
      <c r="P64" s="49"/>
      <c r="Q64" s="49"/>
      <c r="R64" s="49"/>
      <c r="S64" s="49"/>
      <c r="T64" s="49"/>
      <c r="U64" s="49"/>
      <c r="V64" s="49"/>
      <c r="W64" s="49"/>
      <c r="X64" s="49"/>
      <c r="Y64" s="49"/>
      <c r="Z64" s="49"/>
    </row>
    <row r="65">
      <c r="A65" s="49"/>
      <c r="B65" s="49"/>
      <c r="C65" s="49"/>
      <c r="D65" s="49"/>
      <c r="E65" s="49"/>
      <c r="F65" s="49"/>
      <c r="G65" s="49"/>
      <c r="H65" s="49"/>
      <c r="I65" s="49"/>
      <c r="J65" s="49"/>
      <c r="K65" s="49"/>
      <c r="L65" s="49"/>
      <c r="M65" s="49"/>
      <c r="N65" s="49"/>
      <c r="O65" s="49"/>
      <c r="P65" s="49"/>
      <c r="Q65" s="49"/>
      <c r="R65" s="49"/>
      <c r="S65" s="49"/>
      <c r="T65" s="49"/>
      <c r="U65" s="49"/>
      <c r="V65" s="49"/>
      <c r="W65" s="49"/>
      <c r="X65" s="49"/>
      <c r="Y65" s="49"/>
      <c r="Z65" s="49"/>
    </row>
    <row r="66">
      <c r="A66" s="49"/>
      <c r="B66" s="49"/>
      <c r="C66" s="49"/>
      <c r="D66" s="49"/>
      <c r="E66" s="49"/>
      <c r="F66" s="49"/>
      <c r="G66" s="49"/>
      <c r="H66" s="49"/>
      <c r="I66" s="49"/>
      <c r="J66" s="49"/>
      <c r="K66" s="49"/>
      <c r="L66" s="49"/>
      <c r="M66" s="49"/>
      <c r="N66" s="49"/>
      <c r="O66" s="49"/>
      <c r="P66" s="49"/>
      <c r="Q66" s="49"/>
      <c r="R66" s="49"/>
      <c r="S66" s="49"/>
      <c r="T66" s="49"/>
      <c r="U66" s="49"/>
      <c r="V66" s="49"/>
      <c r="W66" s="49"/>
      <c r="X66" s="49"/>
      <c r="Y66" s="49"/>
      <c r="Z66" s="49"/>
    </row>
    <row r="67">
      <c r="A67" s="49"/>
      <c r="B67" s="49"/>
      <c r="C67" s="49"/>
      <c r="D67" s="49"/>
      <c r="E67" s="49"/>
      <c r="F67" s="49"/>
      <c r="G67" s="49"/>
      <c r="H67" s="49"/>
      <c r="I67" s="49"/>
      <c r="J67" s="49"/>
      <c r="K67" s="49"/>
      <c r="L67" s="49"/>
      <c r="M67" s="49"/>
      <c r="N67" s="49"/>
      <c r="O67" s="49"/>
      <c r="P67" s="49"/>
      <c r="Q67" s="49"/>
      <c r="R67" s="49"/>
      <c r="S67" s="49"/>
      <c r="T67" s="49"/>
      <c r="U67" s="49"/>
      <c r="V67" s="49"/>
      <c r="W67" s="49"/>
      <c r="X67" s="49"/>
      <c r="Y67" s="49"/>
      <c r="Z67" s="49"/>
    </row>
    <row r="68">
      <c r="A68" s="49"/>
      <c r="B68" s="49"/>
      <c r="C68" s="49"/>
      <c r="D68" s="49"/>
      <c r="E68" s="49"/>
      <c r="F68" s="49"/>
      <c r="G68" s="49"/>
      <c r="H68" s="49"/>
      <c r="I68" s="49"/>
      <c r="J68" s="49"/>
      <c r="K68" s="49"/>
      <c r="L68" s="49"/>
      <c r="M68" s="49"/>
      <c r="N68" s="49"/>
      <c r="O68" s="49"/>
      <c r="P68" s="49"/>
      <c r="Q68" s="49"/>
      <c r="R68" s="49"/>
      <c r="S68" s="49"/>
      <c r="T68" s="49"/>
      <c r="U68" s="49"/>
      <c r="V68" s="49"/>
      <c r="W68" s="49"/>
      <c r="X68" s="49"/>
      <c r="Y68" s="49"/>
      <c r="Z68" s="49"/>
    </row>
    <row r="69">
      <c r="A69" s="49"/>
      <c r="B69" s="49"/>
      <c r="C69" s="49"/>
      <c r="D69" s="49"/>
      <c r="E69" s="49"/>
      <c r="F69" s="49"/>
      <c r="G69" s="49"/>
      <c r="H69" s="49"/>
      <c r="I69" s="49"/>
      <c r="J69" s="49"/>
      <c r="K69" s="49"/>
      <c r="L69" s="49"/>
      <c r="M69" s="49"/>
      <c r="N69" s="49"/>
      <c r="O69" s="49"/>
      <c r="P69" s="49"/>
      <c r="Q69" s="49"/>
      <c r="R69" s="49"/>
      <c r="S69" s="49"/>
      <c r="T69" s="49"/>
      <c r="U69" s="49"/>
      <c r="V69" s="49"/>
      <c r="W69" s="49"/>
      <c r="X69" s="49"/>
      <c r="Y69" s="49"/>
      <c r="Z69" s="49"/>
    </row>
    <row r="70">
      <c r="A70" s="49"/>
      <c r="B70" s="49"/>
      <c r="C70" s="49"/>
      <c r="D70" s="49"/>
      <c r="E70" s="49"/>
      <c r="F70" s="49"/>
      <c r="G70" s="49"/>
      <c r="H70" s="49"/>
      <c r="I70" s="49"/>
      <c r="J70" s="49"/>
      <c r="K70" s="49"/>
      <c r="L70" s="49"/>
      <c r="M70" s="49"/>
      <c r="N70" s="49"/>
      <c r="O70" s="49"/>
      <c r="P70" s="49"/>
      <c r="Q70" s="49"/>
      <c r="R70" s="49"/>
      <c r="S70" s="49"/>
      <c r="T70" s="49"/>
      <c r="U70" s="49"/>
      <c r="V70" s="49"/>
      <c r="W70" s="49"/>
      <c r="X70" s="49"/>
      <c r="Y70" s="49"/>
      <c r="Z70" s="49"/>
    </row>
    <row r="71">
      <c r="A71" s="49"/>
      <c r="B71" s="49"/>
      <c r="C71" s="49"/>
      <c r="D71" s="49"/>
      <c r="E71" s="49"/>
      <c r="F71" s="49"/>
      <c r="G71" s="49"/>
      <c r="H71" s="49"/>
      <c r="I71" s="49"/>
      <c r="J71" s="49"/>
      <c r="K71" s="49"/>
      <c r="L71" s="49"/>
      <c r="M71" s="49"/>
      <c r="N71" s="49"/>
      <c r="O71" s="49"/>
      <c r="P71" s="49"/>
      <c r="Q71" s="49"/>
      <c r="R71" s="49"/>
      <c r="S71" s="49"/>
      <c r="T71" s="49"/>
      <c r="U71" s="49"/>
      <c r="V71" s="49"/>
      <c r="W71" s="49"/>
      <c r="X71" s="49"/>
      <c r="Y71" s="49"/>
      <c r="Z71" s="49"/>
    </row>
    <row r="72">
      <c r="A72" s="49"/>
      <c r="B72" s="49"/>
      <c r="C72" s="49"/>
      <c r="D72" s="49"/>
      <c r="E72" s="49"/>
      <c r="F72" s="49"/>
      <c r="G72" s="49"/>
      <c r="H72" s="49"/>
      <c r="I72" s="49"/>
      <c r="J72" s="49"/>
      <c r="K72" s="49"/>
      <c r="L72" s="49"/>
      <c r="M72" s="49"/>
      <c r="N72" s="49"/>
      <c r="O72" s="49"/>
      <c r="P72" s="49"/>
      <c r="Q72" s="49"/>
      <c r="R72" s="49"/>
      <c r="S72" s="49"/>
      <c r="T72" s="49"/>
      <c r="U72" s="49"/>
      <c r="V72" s="49"/>
      <c r="W72" s="49"/>
      <c r="X72" s="49"/>
      <c r="Y72" s="49"/>
      <c r="Z72" s="49"/>
    </row>
    <row r="73">
      <c r="A73" s="49"/>
      <c r="B73" s="49"/>
      <c r="C73" s="49"/>
      <c r="D73" s="49"/>
      <c r="E73" s="49"/>
      <c r="F73" s="49"/>
      <c r="G73" s="49"/>
      <c r="H73" s="49"/>
      <c r="I73" s="49"/>
      <c r="J73" s="49"/>
      <c r="K73" s="49"/>
      <c r="L73" s="49"/>
      <c r="M73" s="49"/>
      <c r="N73" s="49"/>
      <c r="O73" s="49"/>
      <c r="P73" s="49"/>
      <c r="Q73" s="49"/>
      <c r="R73" s="49"/>
      <c r="S73" s="49"/>
      <c r="T73" s="49"/>
      <c r="U73" s="49"/>
      <c r="V73" s="49"/>
      <c r="W73" s="49"/>
      <c r="X73" s="49"/>
      <c r="Y73" s="49"/>
      <c r="Z73" s="49"/>
    </row>
    <row r="74">
      <c r="A74" s="49"/>
      <c r="B74" s="49"/>
      <c r="C74" s="49"/>
      <c r="D74" s="49"/>
      <c r="E74" s="49"/>
      <c r="F74" s="49"/>
      <c r="G74" s="49"/>
      <c r="H74" s="49"/>
      <c r="I74" s="49"/>
      <c r="J74" s="49"/>
      <c r="K74" s="49"/>
      <c r="L74" s="49"/>
      <c r="M74" s="49"/>
      <c r="N74" s="49"/>
      <c r="O74" s="49"/>
      <c r="P74" s="49"/>
      <c r="Q74" s="49"/>
      <c r="R74" s="49"/>
      <c r="S74" s="49"/>
      <c r="T74" s="49"/>
      <c r="U74" s="49"/>
      <c r="V74" s="49"/>
      <c r="W74" s="49"/>
      <c r="X74" s="49"/>
      <c r="Y74" s="49"/>
      <c r="Z74" s="49"/>
    </row>
    <row r="75">
      <c r="A75" s="49"/>
      <c r="B75" s="49"/>
      <c r="C75" s="49"/>
      <c r="D75" s="49"/>
      <c r="E75" s="49"/>
      <c r="F75" s="49"/>
      <c r="G75" s="49"/>
      <c r="H75" s="49"/>
      <c r="I75" s="49"/>
      <c r="J75" s="49"/>
      <c r="K75" s="49"/>
      <c r="L75" s="49"/>
      <c r="M75" s="49"/>
      <c r="N75" s="49"/>
      <c r="O75" s="49"/>
      <c r="P75" s="49"/>
      <c r="Q75" s="49"/>
      <c r="R75" s="49"/>
      <c r="S75" s="49"/>
      <c r="T75" s="49"/>
      <c r="U75" s="49"/>
      <c r="V75" s="49"/>
      <c r="W75" s="49"/>
      <c r="X75" s="49"/>
      <c r="Y75" s="49"/>
      <c r="Z75" s="49"/>
    </row>
    <row r="76">
      <c r="A76" s="49"/>
      <c r="B76" s="49"/>
      <c r="C76" s="49"/>
      <c r="D76" s="49"/>
      <c r="E76" s="49"/>
      <c r="F76" s="49"/>
      <c r="G76" s="49"/>
      <c r="H76" s="49"/>
      <c r="I76" s="49"/>
      <c r="J76" s="49"/>
      <c r="K76" s="49"/>
      <c r="L76" s="49"/>
      <c r="M76" s="49"/>
      <c r="N76" s="49"/>
      <c r="O76" s="49"/>
      <c r="P76" s="49"/>
      <c r="Q76" s="49"/>
      <c r="R76" s="49"/>
      <c r="S76" s="49"/>
      <c r="T76" s="49"/>
      <c r="U76" s="49"/>
      <c r="V76" s="49"/>
      <c r="W76" s="49"/>
      <c r="X76" s="49"/>
      <c r="Y76" s="49"/>
      <c r="Z76" s="49"/>
    </row>
    <row r="77">
      <c r="A77" s="49"/>
      <c r="B77" s="49"/>
      <c r="C77" s="49"/>
      <c r="D77" s="49"/>
      <c r="E77" s="49"/>
      <c r="F77" s="49"/>
      <c r="G77" s="49"/>
      <c r="H77" s="49"/>
      <c r="I77" s="49"/>
      <c r="J77" s="49"/>
      <c r="K77" s="49"/>
      <c r="L77" s="49"/>
      <c r="M77" s="49"/>
      <c r="N77" s="49"/>
      <c r="O77" s="49"/>
      <c r="P77" s="49"/>
      <c r="Q77" s="49"/>
      <c r="R77" s="49"/>
      <c r="S77" s="49"/>
      <c r="T77" s="49"/>
      <c r="U77" s="49"/>
      <c r="V77" s="49"/>
      <c r="W77" s="49"/>
      <c r="X77" s="49"/>
      <c r="Y77" s="49"/>
      <c r="Z77" s="49"/>
    </row>
    <row r="78">
      <c r="A78" s="49"/>
      <c r="B78" s="49"/>
      <c r="C78" s="49"/>
      <c r="D78" s="49"/>
      <c r="E78" s="49"/>
      <c r="F78" s="49"/>
      <c r="G78" s="49"/>
      <c r="H78" s="49"/>
      <c r="I78" s="49"/>
      <c r="J78" s="49"/>
      <c r="K78" s="49"/>
      <c r="L78" s="49"/>
      <c r="M78" s="49"/>
      <c r="N78" s="49"/>
      <c r="O78" s="49"/>
      <c r="P78" s="49"/>
      <c r="Q78" s="49"/>
      <c r="R78" s="49"/>
      <c r="S78" s="49"/>
      <c r="T78" s="49"/>
      <c r="U78" s="49"/>
      <c r="V78" s="49"/>
      <c r="W78" s="49"/>
      <c r="X78" s="49"/>
      <c r="Y78" s="49"/>
      <c r="Z78" s="49"/>
    </row>
    <row r="79">
      <c r="A79" s="49"/>
      <c r="B79" s="49"/>
      <c r="C79" s="49"/>
      <c r="D79" s="49"/>
      <c r="E79" s="49"/>
      <c r="F79" s="49"/>
      <c r="G79" s="49"/>
      <c r="H79" s="49"/>
      <c r="I79" s="49"/>
      <c r="J79" s="49"/>
      <c r="K79" s="49"/>
      <c r="L79" s="49"/>
      <c r="M79" s="49"/>
      <c r="N79" s="49"/>
      <c r="O79" s="49"/>
      <c r="P79" s="49"/>
      <c r="Q79" s="49"/>
      <c r="R79" s="49"/>
      <c r="S79" s="49"/>
      <c r="T79" s="49"/>
      <c r="U79" s="49"/>
      <c r="V79" s="49"/>
      <c r="W79" s="49"/>
      <c r="X79" s="49"/>
      <c r="Y79" s="49"/>
      <c r="Z79" s="49"/>
    </row>
    <row r="80">
      <c r="A80" s="49"/>
      <c r="B80" s="49"/>
      <c r="C80" s="49"/>
      <c r="D80" s="49"/>
      <c r="E80" s="49"/>
      <c r="F80" s="49"/>
      <c r="G80" s="49"/>
      <c r="H80" s="49"/>
      <c r="I80" s="49"/>
      <c r="J80" s="49"/>
      <c r="K80" s="49"/>
      <c r="L80" s="49"/>
      <c r="M80" s="49"/>
      <c r="N80" s="49"/>
      <c r="O80" s="49"/>
      <c r="P80" s="49"/>
      <c r="Q80" s="49"/>
      <c r="R80" s="49"/>
      <c r="S80" s="49"/>
      <c r="T80" s="49"/>
      <c r="U80" s="49"/>
      <c r="V80" s="49"/>
      <c r="W80" s="49"/>
      <c r="X80" s="49"/>
      <c r="Y80" s="49"/>
      <c r="Z80" s="49"/>
    </row>
    <row r="81">
      <c r="A81" s="49"/>
      <c r="B81" s="49"/>
      <c r="C81" s="49"/>
      <c r="D81" s="49"/>
      <c r="E81" s="49"/>
      <c r="F81" s="49"/>
      <c r="G81" s="49"/>
      <c r="H81" s="49"/>
      <c r="I81" s="49"/>
      <c r="J81" s="49"/>
      <c r="K81" s="49"/>
      <c r="L81" s="49"/>
      <c r="M81" s="49"/>
      <c r="N81" s="49"/>
      <c r="O81" s="49"/>
      <c r="P81" s="49"/>
      <c r="Q81" s="49"/>
      <c r="R81" s="49"/>
      <c r="S81" s="49"/>
      <c r="T81" s="49"/>
      <c r="U81" s="49"/>
      <c r="V81" s="49"/>
      <c r="W81" s="49"/>
      <c r="X81" s="49"/>
      <c r="Y81" s="49"/>
      <c r="Z81" s="49"/>
    </row>
    <row r="82">
      <c r="A82" s="49"/>
      <c r="B82" s="49"/>
      <c r="C82" s="49"/>
      <c r="D82" s="49"/>
      <c r="E82" s="49"/>
      <c r="F82" s="49"/>
      <c r="G82" s="49"/>
      <c r="H82" s="49"/>
      <c r="I82" s="49"/>
      <c r="J82" s="49"/>
      <c r="K82" s="49"/>
      <c r="L82" s="49"/>
      <c r="M82" s="49"/>
      <c r="N82" s="49"/>
      <c r="O82" s="49"/>
      <c r="P82" s="49"/>
      <c r="Q82" s="49"/>
      <c r="R82" s="49"/>
      <c r="S82" s="49"/>
      <c r="T82" s="49"/>
      <c r="U82" s="49"/>
      <c r="V82" s="49"/>
      <c r="W82" s="49"/>
      <c r="X82" s="49"/>
      <c r="Y82" s="49"/>
      <c r="Z82" s="49"/>
    </row>
    <row r="83">
      <c r="A83" s="49"/>
      <c r="B83" s="49"/>
      <c r="C83" s="49"/>
      <c r="D83" s="49"/>
      <c r="E83" s="49"/>
      <c r="F83" s="49"/>
      <c r="G83" s="49"/>
      <c r="H83" s="49"/>
      <c r="I83" s="49"/>
      <c r="J83" s="49"/>
      <c r="K83" s="49"/>
      <c r="L83" s="49"/>
      <c r="M83" s="49"/>
      <c r="N83" s="49"/>
      <c r="O83" s="49"/>
      <c r="P83" s="49"/>
      <c r="Q83" s="49"/>
      <c r="R83" s="49"/>
      <c r="S83" s="49"/>
      <c r="T83" s="49"/>
      <c r="U83" s="49"/>
      <c r="V83" s="49"/>
      <c r="W83" s="49"/>
      <c r="X83" s="49"/>
      <c r="Y83" s="49"/>
      <c r="Z83" s="49"/>
    </row>
    <row r="84">
      <c r="A84" s="49"/>
      <c r="B84" s="49"/>
      <c r="C84" s="49"/>
      <c r="D84" s="49"/>
      <c r="E84" s="49"/>
      <c r="F84" s="49"/>
      <c r="G84" s="49"/>
      <c r="H84" s="49"/>
      <c r="I84" s="49"/>
      <c r="J84" s="49"/>
      <c r="K84" s="49"/>
      <c r="L84" s="49"/>
      <c r="M84" s="49"/>
      <c r="N84" s="49"/>
      <c r="O84" s="49"/>
      <c r="P84" s="49"/>
      <c r="Q84" s="49"/>
      <c r="R84" s="49"/>
      <c r="S84" s="49"/>
      <c r="T84" s="49"/>
      <c r="U84" s="49"/>
      <c r="V84" s="49"/>
      <c r="W84" s="49"/>
      <c r="X84" s="49"/>
      <c r="Y84" s="49"/>
      <c r="Z84" s="49"/>
    </row>
    <row r="85">
      <c r="A85" s="49"/>
      <c r="B85" s="49"/>
      <c r="C85" s="49"/>
      <c r="D85" s="49"/>
      <c r="E85" s="49"/>
      <c r="F85" s="49"/>
      <c r="G85" s="49"/>
      <c r="H85" s="49"/>
      <c r="I85" s="49"/>
      <c r="J85" s="49"/>
      <c r="K85" s="49"/>
      <c r="L85" s="49"/>
      <c r="M85" s="49"/>
      <c r="N85" s="49"/>
      <c r="O85" s="49"/>
      <c r="P85" s="49"/>
      <c r="Q85" s="49"/>
      <c r="R85" s="49"/>
      <c r="S85" s="49"/>
      <c r="T85" s="49"/>
      <c r="U85" s="49"/>
      <c r="V85" s="49"/>
      <c r="W85" s="49"/>
      <c r="X85" s="49"/>
      <c r="Y85" s="49"/>
      <c r="Z85" s="49"/>
    </row>
    <row r="86">
      <c r="A86" s="49"/>
      <c r="B86" s="49"/>
      <c r="C86" s="49"/>
      <c r="D86" s="49"/>
      <c r="E86" s="49"/>
      <c r="F86" s="49"/>
      <c r="G86" s="49"/>
      <c r="H86" s="49"/>
      <c r="I86" s="49"/>
      <c r="J86" s="49"/>
      <c r="K86" s="49"/>
      <c r="L86" s="49"/>
      <c r="M86" s="49"/>
      <c r="N86" s="49"/>
      <c r="O86" s="49"/>
      <c r="P86" s="49"/>
      <c r="Q86" s="49"/>
      <c r="R86" s="49"/>
      <c r="S86" s="49"/>
      <c r="T86" s="49"/>
      <c r="U86" s="49"/>
      <c r="V86" s="49"/>
      <c r="W86" s="49"/>
      <c r="X86" s="49"/>
      <c r="Y86" s="49"/>
      <c r="Z86" s="49"/>
    </row>
    <row r="87">
      <c r="A87" s="49"/>
      <c r="B87" s="49"/>
      <c r="C87" s="49"/>
      <c r="D87" s="49"/>
      <c r="E87" s="49"/>
      <c r="F87" s="49"/>
      <c r="G87" s="49"/>
      <c r="H87" s="49"/>
      <c r="I87" s="49"/>
      <c r="J87" s="49"/>
      <c r="K87" s="49"/>
      <c r="L87" s="49"/>
      <c r="M87" s="49"/>
      <c r="N87" s="49"/>
      <c r="O87" s="49"/>
      <c r="P87" s="49"/>
      <c r="Q87" s="49"/>
      <c r="R87" s="49"/>
      <c r="S87" s="49"/>
      <c r="T87" s="49"/>
      <c r="U87" s="49"/>
      <c r="V87" s="49"/>
      <c r="W87" s="49"/>
      <c r="X87" s="49"/>
      <c r="Y87" s="49"/>
      <c r="Z87" s="49"/>
    </row>
    <row r="88">
      <c r="A88" s="49"/>
      <c r="B88" s="49"/>
      <c r="C88" s="49"/>
      <c r="D88" s="49"/>
      <c r="E88" s="49"/>
      <c r="F88" s="49"/>
      <c r="G88" s="49"/>
      <c r="H88" s="49"/>
      <c r="I88" s="49"/>
      <c r="J88" s="49"/>
      <c r="K88" s="49"/>
      <c r="L88" s="49"/>
      <c r="M88" s="49"/>
      <c r="N88" s="49"/>
      <c r="O88" s="49"/>
      <c r="P88" s="49"/>
      <c r="Q88" s="49"/>
      <c r="R88" s="49"/>
      <c r="S88" s="49"/>
      <c r="T88" s="49"/>
      <c r="U88" s="49"/>
      <c r="V88" s="49"/>
      <c r="W88" s="49"/>
      <c r="X88" s="49"/>
      <c r="Y88" s="49"/>
      <c r="Z88" s="49"/>
    </row>
    <row r="89">
      <c r="A89" s="49"/>
      <c r="B89" s="49"/>
      <c r="C89" s="49"/>
      <c r="D89" s="49"/>
      <c r="E89" s="49"/>
      <c r="F89" s="49"/>
      <c r="G89" s="49"/>
      <c r="H89" s="49"/>
      <c r="I89" s="49"/>
      <c r="J89" s="49"/>
      <c r="K89" s="49"/>
      <c r="L89" s="49"/>
      <c r="M89" s="49"/>
      <c r="N89" s="49"/>
      <c r="O89" s="49"/>
      <c r="P89" s="49"/>
      <c r="Q89" s="49"/>
      <c r="R89" s="49"/>
      <c r="S89" s="49"/>
      <c r="T89" s="49"/>
      <c r="U89" s="49"/>
      <c r="V89" s="49"/>
      <c r="W89" s="49"/>
      <c r="X89" s="49"/>
      <c r="Y89" s="49"/>
      <c r="Z89" s="49"/>
    </row>
    <row r="90">
      <c r="A90" s="49"/>
      <c r="B90" s="49"/>
      <c r="C90" s="49"/>
      <c r="D90" s="49"/>
      <c r="E90" s="49"/>
      <c r="F90" s="49"/>
      <c r="G90" s="49"/>
      <c r="H90" s="49"/>
      <c r="I90" s="49"/>
      <c r="J90" s="49"/>
      <c r="K90" s="49"/>
      <c r="L90" s="49"/>
      <c r="M90" s="49"/>
      <c r="N90" s="49"/>
      <c r="O90" s="49"/>
      <c r="P90" s="49"/>
      <c r="Q90" s="49"/>
      <c r="R90" s="49"/>
      <c r="S90" s="49"/>
      <c r="T90" s="49"/>
      <c r="U90" s="49"/>
      <c r="V90" s="49"/>
      <c r="W90" s="49"/>
      <c r="X90" s="49"/>
      <c r="Y90" s="49"/>
      <c r="Z90" s="49"/>
    </row>
    <row r="91">
      <c r="A91" s="49"/>
      <c r="B91" s="49"/>
      <c r="C91" s="49"/>
      <c r="D91" s="49"/>
      <c r="E91" s="49"/>
      <c r="F91" s="49"/>
      <c r="G91" s="49"/>
      <c r="H91" s="49"/>
      <c r="I91" s="49"/>
      <c r="J91" s="49"/>
      <c r="K91" s="49"/>
      <c r="L91" s="49"/>
      <c r="M91" s="49"/>
      <c r="N91" s="49"/>
      <c r="O91" s="49"/>
      <c r="P91" s="49"/>
      <c r="Q91" s="49"/>
      <c r="R91" s="49"/>
      <c r="S91" s="49"/>
      <c r="T91" s="49"/>
      <c r="U91" s="49"/>
      <c r="V91" s="49"/>
      <c r="W91" s="49"/>
      <c r="X91" s="49"/>
      <c r="Y91" s="49"/>
      <c r="Z91" s="49"/>
    </row>
    <row r="92">
      <c r="A92" s="49"/>
      <c r="B92" s="49"/>
      <c r="C92" s="49"/>
      <c r="D92" s="49"/>
      <c r="E92" s="49"/>
      <c r="F92" s="49"/>
      <c r="G92" s="49"/>
      <c r="H92" s="49"/>
      <c r="I92" s="49"/>
      <c r="J92" s="49"/>
      <c r="K92" s="49"/>
      <c r="L92" s="49"/>
      <c r="M92" s="49"/>
      <c r="N92" s="49"/>
      <c r="O92" s="49"/>
      <c r="P92" s="49"/>
      <c r="Q92" s="49"/>
      <c r="R92" s="49"/>
      <c r="S92" s="49"/>
      <c r="T92" s="49"/>
      <c r="U92" s="49"/>
      <c r="V92" s="49"/>
      <c r="W92" s="49"/>
      <c r="X92" s="49"/>
      <c r="Y92" s="49"/>
      <c r="Z92" s="49"/>
    </row>
    <row r="93">
      <c r="A93" s="49"/>
      <c r="B93" s="49"/>
      <c r="C93" s="49"/>
      <c r="D93" s="49"/>
      <c r="E93" s="49"/>
      <c r="F93" s="49"/>
      <c r="G93" s="49"/>
      <c r="H93" s="49"/>
      <c r="I93" s="49"/>
      <c r="J93" s="49"/>
      <c r="K93" s="49"/>
      <c r="L93" s="49"/>
      <c r="M93" s="49"/>
      <c r="N93" s="49"/>
      <c r="O93" s="49"/>
      <c r="P93" s="49"/>
      <c r="Q93" s="49"/>
      <c r="R93" s="49"/>
      <c r="S93" s="49"/>
      <c r="T93" s="49"/>
      <c r="U93" s="49"/>
      <c r="V93" s="49"/>
      <c r="W93" s="49"/>
      <c r="X93" s="49"/>
      <c r="Y93" s="49"/>
      <c r="Z93" s="49"/>
    </row>
    <row r="94">
      <c r="A94" s="49"/>
      <c r="B94" s="49"/>
      <c r="C94" s="49"/>
      <c r="D94" s="49"/>
      <c r="E94" s="49"/>
      <c r="F94" s="49"/>
      <c r="G94" s="49"/>
      <c r="H94" s="49"/>
      <c r="I94" s="49"/>
      <c r="J94" s="49"/>
      <c r="K94" s="49"/>
      <c r="L94" s="49"/>
      <c r="M94" s="49"/>
      <c r="N94" s="49"/>
      <c r="O94" s="49"/>
      <c r="P94" s="49"/>
      <c r="Q94" s="49"/>
      <c r="R94" s="49"/>
      <c r="S94" s="49"/>
      <c r="T94" s="49"/>
      <c r="U94" s="49"/>
      <c r="V94" s="49"/>
      <c r="W94" s="49"/>
      <c r="X94" s="49"/>
      <c r="Y94" s="49"/>
      <c r="Z94" s="49"/>
    </row>
    <row r="95">
      <c r="A95" s="49"/>
      <c r="B95" s="49"/>
      <c r="C95" s="49"/>
      <c r="D95" s="49"/>
      <c r="E95" s="49"/>
      <c r="F95" s="49"/>
      <c r="G95" s="49"/>
      <c r="H95" s="49"/>
      <c r="I95" s="49"/>
      <c r="J95" s="49"/>
      <c r="K95" s="49"/>
      <c r="L95" s="49"/>
      <c r="M95" s="49"/>
      <c r="N95" s="49"/>
      <c r="O95" s="49"/>
      <c r="P95" s="49"/>
      <c r="Q95" s="49"/>
      <c r="R95" s="49"/>
      <c r="S95" s="49"/>
      <c r="T95" s="49"/>
      <c r="U95" s="49"/>
      <c r="V95" s="49"/>
      <c r="W95" s="49"/>
      <c r="X95" s="49"/>
      <c r="Y95" s="49"/>
      <c r="Z95" s="49"/>
    </row>
    <row r="96">
      <c r="A96" s="49"/>
      <c r="B96" s="49"/>
      <c r="C96" s="49"/>
      <c r="D96" s="49"/>
      <c r="E96" s="49"/>
      <c r="F96" s="49"/>
      <c r="G96" s="49"/>
      <c r="H96" s="49"/>
      <c r="I96" s="49"/>
      <c r="J96" s="49"/>
      <c r="K96" s="49"/>
      <c r="L96" s="49"/>
      <c r="M96" s="49"/>
      <c r="N96" s="49"/>
      <c r="O96" s="49"/>
      <c r="P96" s="49"/>
      <c r="Q96" s="49"/>
      <c r="R96" s="49"/>
      <c r="S96" s="49"/>
      <c r="T96" s="49"/>
      <c r="U96" s="49"/>
      <c r="V96" s="49"/>
      <c r="W96" s="49"/>
      <c r="X96" s="49"/>
      <c r="Y96" s="49"/>
      <c r="Z96" s="49"/>
    </row>
    <row r="97">
      <c r="A97" s="49"/>
      <c r="B97" s="49"/>
      <c r="C97" s="49"/>
      <c r="D97" s="49"/>
      <c r="E97" s="49"/>
      <c r="F97" s="49"/>
      <c r="G97" s="49"/>
      <c r="H97" s="49"/>
      <c r="I97" s="49"/>
      <c r="J97" s="49"/>
      <c r="K97" s="49"/>
      <c r="L97" s="49"/>
      <c r="M97" s="49"/>
      <c r="N97" s="49"/>
      <c r="O97" s="49"/>
      <c r="P97" s="49"/>
      <c r="Q97" s="49"/>
      <c r="R97" s="49"/>
      <c r="S97" s="49"/>
      <c r="T97" s="49"/>
      <c r="U97" s="49"/>
      <c r="V97" s="49"/>
      <c r="W97" s="49"/>
      <c r="X97" s="49"/>
      <c r="Y97" s="49"/>
      <c r="Z97" s="49"/>
    </row>
    <row r="98">
      <c r="A98" s="49"/>
      <c r="B98" s="49"/>
      <c r="C98" s="49"/>
      <c r="D98" s="49"/>
      <c r="E98" s="49"/>
      <c r="F98" s="49"/>
      <c r="G98" s="49"/>
      <c r="H98" s="49"/>
      <c r="I98" s="49"/>
      <c r="J98" s="49"/>
      <c r="K98" s="49"/>
      <c r="L98" s="49"/>
      <c r="M98" s="49"/>
      <c r="N98" s="49"/>
      <c r="O98" s="49"/>
      <c r="P98" s="49"/>
      <c r="Q98" s="49"/>
      <c r="R98" s="49"/>
      <c r="S98" s="49"/>
      <c r="T98" s="49"/>
      <c r="U98" s="49"/>
      <c r="V98" s="49"/>
      <c r="W98" s="49"/>
      <c r="X98" s="49"/>
      <c r="Y98" s="49"/>
      <c r="Z98" s="49"/>
    </row>
    <row r="99">
      <c r="A99" s="49"/>
      <c r="B99" s="49"/>
      <c r="C99" s="49"/>
      <c r="D99" s="49"/>
      <c r="E99" s="49"/>
      <c r="F99" s="49"/>
      <c r="G99" s="49"/>
      <c r="H99" s="49"/>
      <c r="I99" s="49"/>
      <c r="J99" s="49"/>
      <c r="K99" s="49"/>
      <c r="L99" s="49"/>
      <c r="M99" s="49"/>
      <c r="N99" s="49"/>
      <c r="O99" s="49"/>
      <c r="P99" s="49"/>
      <c r="Q99" s="49"/>
      <c r="R99" s="49"/>
      <c r="S99" s="49"/>
      <c r="T99" s="49"/>
      <c r="U99" s="49"/>
      <c r="V99" s="49"/>
      <c r="W99" s="49"/>
      <c r="X99" s="49"/>
      <c r="Y99" s="49"/>
      <c r="Z99" s="49"/>
    </row>
    <row r="100">
      <c r="A100" s="49"/>
      <c r="B100" s="49"/>
      <c r="C100" s="49"/>
      <c r="D100" s="49"/>
      <c r="E100" s="49"/>
      <c r="F100" s="49"/>
      <c r="G100" s="49"/>
      <c r="H100" s="49"/>
      <c r="I100" s="49"/>
      <c r="J100" s="49"/>
      <c r="K100" s="49"/>
      <c r="L100" s="49"/>
      <c r="M100" s="49"/>
      <c r="N100" s="49"/>
      <c r="O100" s="49"/>
      <c r="P100" s="49"/>
      <c r="Q100" s="49"/>
      <c r="R100" s="49"/>
      <c r="S100" s="49"/>
      <c r="T100" s="49"/>
      <c r="U100" s="49"/>
      <c r="V100" s="49"/>
      <c r="W100" s="49"/>
      <c r="X100" s="49"/>
      <c r="Y100" s="49"/>
      <c r="Z100" s="49"/>
    </row>
    <row r="101">
      <c r="A101" s="49"/>
      <c r="B101" s="49"/>
      <c r="C101" s="49"/>
      <c r="D101" s="49"/>
      <c r="E101" s="49"/>
      <c r="F101" s="49"/>
      <c r="G101" s="49"/>
      <c r="H101" s="49"/>
      <c r="I101" s="49"/>
      <c r="J101" s="49"/>
      <c r="K101" s="49"/>
      <c r="L101" s="49"/>
      <c r="M101" s="49"/>
      <c r="N101" s="49"/>
      <c r="O101" s="49"/>
      <c r="P101" s="49"/>
      <c r="Q101" s="49"/>
      <c r="R101" s="49"/>
      <c r="S101" s="49"/>
      <c r="T101" s="49"/>
      <c r="U101" s="49"/>
      <c r="V101" s="49"/>
      <c r="W101" s="49"/>
      <c r="X101" s="49"/>
      <c r="Y101" s="49"/>
      <c r="Z101" s="49"/>
    </row>
    <row r="102">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5" max="5" width="19.5"/>
    <col customWidth="1" min="13" max="13" width="18.0"/>
    <col customWidth="1" min="14" max="14" width="13.5"/>
  </cols>
  <sheetData>
    <row r="1">
      <c r="A1" s="49" t="str">
        <f>IFERROR(__xludf.DUMMYFUNCTION("IMPORTRANGE(""https://docs.google.com/spreadsheets/d/""&amp;Config!B1,""SpellsNatPowers!A:N"")"),"Name")</f>
        <v>Name</v>
      </c>
      <c r="B1" s="126" t="str">
        <f>IFERROR(__xludf.DUMMYFUNCTION("""COMPUTED_VALUE"""),"Rank")</f>
        <v>Rank</v>
      </c>
      <c r="C1" s="49" t="str">
        <f>IFERROR(__xludf.DUMMYFUNCTION("""COMPUTED_VALUE"""),"SP Cost")</f>
        <v>SP Cost</v>
      </c>
      <c r="D1" s="49" t="str">
        <f>IFERROR(__xludf.DUMMYFUNCTION("""COMPUTED_VALUE"""),"HP Cost")</f>
        <v>HP Cost</v>
      </c>
      <c r="E1" s="49" t="str">
        <f>IFERROR(__xludf.DUMMYFUNCTION("""COMPUTED_VALUE"""),"Effect")</f>
        <v>Effect</v>
      </c>
      <c r="F1" s="49" t="str">
        <f>IFERROR(__xludf.DUMMYFUNCTION("""COMPUTED_VALUE"""),"Type")</f>
        <v>Type</v>
      </c>
      <c r="G1" s="49" t="str">
        <f>IFERROR(__xludf.DUMMYFUNCTION("""COMPUTED_VALUE"""),"Target Amount")</f>
        <v>Target Amount</v>
      </c>
      <c r="H1" s="49" t="str">
        <f>IFERROR(__xludf.DUMMYFUNCTION("""COMPUTED_VALUE"""),"Element")</f>
        <v>Element</v>
      </c>
      <c r="I1" s="49" t="str">
        <f>IFERROR(__xludf.DUMMYFUNCTION("""COMPUTED_VALUE"""),"Player/Mob")</f>
        <v>Player/Mob</v>
      </c>
      <c r="J1" s="49" t="str">
        <f>IFERROR(__xludf.DUMMYFUNCTION("""COMPUTED_VALUE"""),"Restricted")</f>
        <v>Restricted</v>
      </c>
      <c r="K1" s="49" t="str">
        <f>IFERROR(__xludf.DUMMYFUNCTION("""COMPUTED_VALUE"""),"Restricted Info")</f>
        <v>Restricted Info</v>
      </c>
      <c r="L1" s="49" t="str">
        <f>IFERROR(__xludf.DUMMYFUNCTION("""COMPUTED_VALUE"""),"Undefendable")</f>
        <v>Undefendable</v>
      </c>
      <c r="M1" s="49" t="str">
        <f>IFERROR(__xludf.DUMMYFUNCTION("""COMPUTED_VALUE"""),"Bypass Resist/Immune")</f>
        <v>Bypass Resist/Immune</v>
      </c>
      <c r="N1" s="49" t="str">
        <f>IFERROR(__xludf.DUMMYFUNCTION("""COMPUTED_VALUE"""),"SpellWorldOrigin")</f>
        <v>SpellWorldOrigin</v>
      </c>
    </row>
    <row r="2">
      <c r="A2" s="49" t="str">
        <f>IFERROR(__xludf.DUMMYFUNCTION("""COMPUTED_VALUE"""),"Acoustic Slam")</f>
        <v>Acoustic Slam</v>
      </c>
      <c r="B2" s="126">
        <f>IFERROR(__xludf.DUMMYFUNCTION("""COMPUTED_VALUE"""),1.0)</f>
        <v>1</v>
      </c>
      <c r="C2" s="49">
        <f>IFERROR(__xludf.DUMMYFUNCTION("""COMPUTED_VALUE"""),0.0)</f>
        <v>0</v>
      </c>
      <c r="D2" s="49"/>
      <c r="E2" s="49" t="str">
        <f>IFERROR(__xludf.DUMMYFUNCTION("""COMPUTED_VALUE"""),"Deals X*Charisma Acoustic Damage Where X equals the users Accuracy")</f>
        <v>Deals X*Charisma Acoustic Damage Where X equals the users Accuracy</v>
      </c>
      <c r="F2" s="49" t="str">
        <f>IFERROR(__xludf.DUMMYFUNCTION("""COMPUTED_VALUE"""),"Natural/Fail or Succeed")</f>
        <v>Natural/Fail or Succeed</v>
      </c>
      <c r="G2" s="49">
        <f>IFERROR(__xludf.DUMMYFUNCTION("""COMPUTED_VALUE"""),1.0)</f>
        <v>1</v>
      </c>
      <c r="H2" s="49" t="str">
        <f>IFERROR(__xludf.DUMMYFUNCTION("""COMPUTED_VALUE"""),"Acoustic")</f>
        <v>Acoustic</v>
      </c>
      <c r="I2" s="49" t="str">
        <f>IFERROR(__xludf.DUMMYFUNCTION("""COMPUTED_VALUE"""),"Player")</f>
        <v>Player</v>
      </c>
      <c r="J2" s="49" t="b">
        <f>IFERROR(__xludf.DUMMYFUNCTION("""COMPUTED_VALUE"""),FALSE)</f>
        <v>0</v>
      </c>
      <c r="K2" s="49"/>
      <c r="L2" s="49" t="b">
        <f>IFERROR(__xludf.DUMMYFUNCTION("""COMPUTED_VALUE"""),TRUE)</f>
        <v>1</v>
      </c>
      <c r="M2" s="49" t="b">
        <f>IFERROR(__xludf.DUMMYFUNCTION("""COMPUTED_VALUE"""),FALSE)</f>
        <v>0</v>
      </c>
      <c r="N2" s="49"/>
    </row>
    <row r="3">
      <c r="A3" s="49" t="str">
        <f>IFERROR(__xludf.DUMMYFUNCTION("""COMPUTED_VALUE"""),"Amplify")</f>
        <v>Amplify</v>
      </c>
      <c r="B3" s="126">
        <f>IFERROR(__xludf.DUMMYFUNCTION("""COMPUTED_VALUE"""),1.0)</f>
        <v>1</v>
      </c>
      <c r="C3" s="49">
        <f>IFERROR(__xludf.DUMMYFUNCTION("""COMPUTED_VALUE"""),0.0)</f>
        <v>0</v>
      </c>
      <c r="D3" s="49"/>
      <c r="E3" s="49"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49" t="str">
        <f>IFERROR(__xludf.DUMMYFUNCTION("""COMPUTED_VALUE"""),"Natural/Will Succeed")</f>
        <v>Natural/Will Succeed</v>
      </c>
      <c r="G3" s="49" t="str">
        <f>IFERROR(__xludf.DUMMYFUNCTION("""COMPUTED_VALUE"""),"Self")</f>
        <v>Self</v>
      </c>
      <c r="H3" s="49" t="str">
        <f>IFERROR(__xludf.DUMMYFUNCTION("""COMPUTED_VALUE"""),"Acoustic")</f>
        <v>Acoustic</v>
      </c>
      <c r="I3" s="49" t="str">
        <f>IFERROR(__xludf.DUMMYFUNCTION("""COMPUTED_VALUE"""),"Player")</f>
        <v>Player</v>
      </c>
      <c r="J3" s="49" t="b">
        <f>IFERROR(__xludf.DUMMYFUNCTION("""COMPUTED_VALUE"""),FALSE)</f>
        <v>0</v>
      </c>
      <c r="K3" s="49"/>
      <c r="L3" s="49" t="b">
        <f>IFERROR(__xludf.DUMMYFUNCTION("""COMPUTED_VALUE"""),TRUE)</f>
        <v>1</v>
      </c>
      <c r="M3" s="49" t="b">
        <f>IFERROR(__xludf.DUMMYFUNCTION("""COMPUTED_VALUE"""),FALSE)</f>
        <v>0</v>
      </c>
      <c r="N3" s="49"/>
    </row>
    <row r="4">
      <c r="A4" s="49" t="str">
        <f>IFERROR(__xludf.DUMMYFUNCTION("""COMPUTED_VALUE"""),"Chant of Discomfort")</f>
        <v>Chant of Discomfort</v>
      </c>
      <c r="B4" s="126">
        <f>IFERROR(__xludf.DUMMYFUNCTION("""COMPUTED_VALUE"""),1.0)</f>
        <v>1</v>
      </c>
      <c r="C4" s="49">
        <f>IFERROR(__xludf.DUMMYFUNCTION("""COMPUTED_VALUE"""),0.0)</f>
        <v>0</v>
      </c>
      <c r="D4" s="49"/>
      <c r="E4" s="49" t="str">
        <f>IFERROR(__xludf.DUMMYFUNCTION("""COMPUTED_VALUE"""),"20,000 Acoustic damage to all enemies.")</f>
        <v>20,000 Acoustic damage to all enemies.</v>
      </c>
      <c r="F4" s="49" t="str">
        <f>IFERROR(__xludf.DUMMYFUNCTION("""COMPUTED_VALUE"""),"Natural/Cannot Avoid")</f>
        <v>Natural/Cannot Avoid</v>
      </c>
      <c r="G4" s="49" t="str">
        <f>IFERROR(__xludf.DUMMYFUNCTION("""COMPUTED_VALUE"""),"All")</f>
        <v>All</v>
      </c>
      <c r="H4" s="49" t="str">
        <f>IFERROR(__xludf.DUMMYFUNCTION("""COMPUTED_VALUE"""),"Acoustic")</f>
        <v>Acoustic</v>
      </c>
      <c r="I4" s="49" t="str">
        <f>IFERROR(__xludf.DUMMYFUNCTION("""COMPUTED_VALUE"""),"Player")</f>
        <v>Player</v>
      </c>
      <c r="J4" s="49" t="b">
        <f>IFERROR(__xludf.DUMMYFUNCTION("""COMPUTED_VALUE"""),FALSE)</f>
        <v>0</v>
      </c>
      <c r="K4" s="49"/>
      <c r="L4" s="49" t="b">
        <f>IFERROR(__xludf.DUMMYFUNCTION("""COMPUTED_VALUE"""),TRUE)</f>
        <v>1</v>
      </c>
      <c r="M4" s="49" t="b">
        <f>IFERROR(__xludf.DUMMYFUNCTION("""COMPUTED_VALUE"""),FALSE)</f>
        <v>0</v>
      </c>
      <c r="N4" s="49"/>
    </row>
    <row r="5">
      <c r="A5" s="49" t="str">
        <f>IFERROR(__xludf.DUMMYFUNCTION("""COMPUTED_VALUE"""),"Chanting Destruction")</f>
        <v>Chanting Destruction</v>
      </c>
      <c r="B5" s="126">
        <f>IFERROR(__xludf.DUMMYFUNCTION("""COMPUTED_VALUE"""),1.0)</f>
        <v>1</v>
      </c>
      <c r="C5" s="49">
        <f>IFERROR(__xludf.DUMMYFUNCTION("""COMPUTED_VALUE"""),0.0)</f>
        <v>0</v>
      </c>
      <c r="D5" s="49"/>
      <c r="E5" s="49" t="str">
        <f>IFERROR(__xludf.DUMMYFUNCTION("""COMPUTED_VALUE"""),"50,000 Acoustic, Fire, Dark, Chaos, and Celestial Damage to all enemies.")</f>
        <v>50,000 Acoustic, Fire, Dark, Chaos, and Celestial Damage to all enemies.</v>
      </c>
      <c r="F5" s="49" t="str">
        <f>IFERROR(__xludf.DUMMYFUNCTION("""COMPUTED_VALUE"""),"Natural/Cannot Avoid")</f>
        <v>Natural/Cannot Avoid</v>
      </c>
      <c r="G5" s="49" t="str">
        <f>IFERROR(__xludf.DUMMYFUNCTION("""COMPUTED_VALUE"""),"All")</f>
        <v>All</v>
      </c>
      <c r="H5" s="49" t="str">
        <f>IFERROR(__xludf.DUMMYFUNCTION("""COMPUTED_VALUE"""),"Acoustic")</f>
        <v>Acoustic</v>
      </c>
      <c r="I5" s="49" t="str">
        <f>IFERROR(__xludf.DUMMYFUNCTION("""COMPUTED_VALUE"""),"Mob")</f>
        <v>Mob</v>
      </c>
      <c r="J5" s="49" t="b">
        <f>IFERROR(__xludf.DUMMYFUNCTION("""COMPUTED_VALUE"""),TRUE)</f>
        <v>1</v>
      </c>
      <c r="K5" s="49"/>
      <c r="L5" s="49" t="b">
        <f>IFERROR(__xludf.DUMMYFUNCTION("""COMPUTED_VALUE"""),TRUE)</f>
        <v>1</v>
      </c>
      <c r="M5" s="49" t="b">
        <f>IFERROR(__xludf.DUMMYFUNCTION("""COMPUTED_VALUE"""),FALSE)</f>
        <v>0</v>
      </c>
      <c r="N5" s="49"/>
    </row>
    <row r="6">
      <c r="A6" s="49" t="str">
        <f>IFERROR(__xludf.DUMMYFUNCTION("""COMPUTED_VALUE"""),"Choir of 1000 Voices")</f>
        <v>Choir of 1000 Voices</v>
      </c>
      <c r="B6" s="126">
        <f>IFERROR(__xludf.DUMMYFUNCTION("""COMPUTED_VALUE"""),1.0)</f>
        <v>1</v>
      </c>
      <c r="C6" s="49">
        <f>IFERROR(__xludf.DUMMYFUNCTION("""COMPUTED_VALUE"""),0.0)</f>
        <v>0</v>
      </c>
      <c r="D6" s="49"/>
      <c r="E6" s="49" t="str">
        <f>IFERROR(__xludf.DUMMYFUNCTION("""COMPUTED_VALUE"""),"10,000 Acoustic, Light, and Order damage to all enemies.")</f>
        <v>10,000 Acoustic, Light, and Order damage to all enemies.</v>
      </c>
      <c r="F6" s="49" t="str">
        <f>IFERROR(__xludf.DUMMYFUNCTION("""COMPUTED_VALUE"""),"Natural/Cannot Avoid")</f>
        <v>Natural/Cannot Avoid</v>
      </c>
      <c r="G6" s="49" t="str">
        <f>IFERROR(__xludf.DUMMYFUNCTION("""COMPUTED_VALUE"""),"All")</f>
        <v>All</v>
      </c>
      <c r="H6" s="49" t="str">
        <f>IFERROR(__xludf.DUMMYFUNCTION("""COMPUTED_VALUE"""),"Acoustic")</f>
        <v>Acoustic</v>
      </c>
      <c r="I6" s="49" t="str">
        <f>IFERROR(__xludf.DUMMYFUNCTION("""COMPUTED_VALUE"""),"Player")</f>
        <v>Player</v>
      </c>
      <c r="J6" s="49" t="b">
        <f>IFERROR(__xludf.DUMMYFUNCTION("""COMPUTED_VALUE"""),FALSE)</f>
        <v>0</v>
      </c>
      <c r="K6" s="49"/>
      <c r="L6" s="49" t="b">
        <f>IFERROR(__xludf.DUMMYFUNCTION("""COMPUTED_VALUE"""),TRUE)</f>
        <v>1</v>
      </c>
      <c r="M6" s="49" t="b">
        <f>IFERROR(__xludf.DUMMYFUNCTION("""COMPUTED_VALUE"""),FALSE)</f>
        <v>0</v>
      </c>
      <c r="N6" s="49"/>
    </row>
    <row r="7">
      <c r="A7" s="49" t="str">
        <f>IFERROR(__xludf.DUMMYFUNCTION("""COMPUTED_VALUE"""),"Dreadful's Choir")</f>
        <v>Dreadful's Choir</v>
      </c>
      <c r="B7" s="126">
        <f>IFERROR(__xludf.DUMMYFUNCTION("""COMPUTED_VALUE"""),1.0)</f>
        <v>1</v>
      </c>
      <c r="C7" s="49">
        <f>IFERROR(__xludf.DUMMYFUNCTION("""COMPUTED_VALUE"""),0.0)</f>
        <v>0</v>
      </c>
      <c r="D7" s="49"/>
      <c r="E7" s="49" t="str">
        <f>IFERROR(__xludf.DUMMYFUNCTION("""COMPUTED_VALUE"""),"20,000 Acoustic, Dark, Fire, and Chaos Damage to all enemies. 25% chance nearby guards will engage you in battle.")</f>
        <v>20,000 Acoustic, Dark, Fire, and Chaos Damage to all enemies. 25% chance nearby guards will engage you in battle.</v>
      </c>
      <c r="F7" s="49" t="str">
        <f>IFERROR(__xludf.DUMMYFUNCTION("""COMPUTED_VALUE"""),"Natural/Cannot Avoid")</f>
        <v>Natural/Cannot Avoid</v>
      </c>
      <c r="G7" s="49" t="str">
        <f>IFERROR(__xludf.DUMMYFUNCTION("""COMPUTED_VALUE"""),"All")</f>
        <v>All</v>
      </c>
      <c r="H7" s="49" t="str">
        <f>IFERROR(__xludf.DUMMYFUNCTION("""COMPUTED_VALUE"""),"Acoustic")</f>
        <v>Acoustic</v>
      </c>
      <c r="I7" s="49" t="str">
        <f>IFERROR(__xludf.DUMMYFUNCTION("""COMPUTED_VALUE"""),"Player")</f>
        <v>Player</v>
      </c>
      <c r="J7" s="49" t="b">
        <f>IFERROR(__xludf.DUMMYFUNCTION("""COMPUTED_VALUE"""),FALSE)</f>
        <v>0</v>
      </c>
      <c r="K7" s="49"/>
      <c r="L7" s="49" t="b">
        <f>IFERROR(__xludf.DUMMYFUNCTION("""COMPUTED_VALUE"""),TRUE)</f>
        <v>1</v>
      </c>
      <c r="M7" s="49" t="b">
        <f>IFERROR(__xludf.DUMMYFUNCTION("""COMPUTED_VALUE"""),FALSE)</f>
        <v>0</v>
      </c>
      <c r="N7" s="49"/>
    </row>
    <row r="8">
      <c r="A8" s="49" t="str">
        <f>IFERROR(__xludf.DUMMYFUNCTION("""COMPUTED_VALUE"""),"Healing Melody")</f>
        <v>Healing Melody</v>
      </c>
      <c r="B8" s="126">
        <f>IFERROR(__xludf.DUMMYFUNCTION("""COMPUTED_VALUE"""),1.0)</f>
        <v>1</v>
      </c>
      <c r="C8" s="49">
        <f>IFERROR(__xludf.DUMMYFUNCTION("""COMPUTED_VALUE"""),0.0)</f>
        <v>0</v>
      </c>
      <c r="D8" s="49"/>
      <c r="E8" s="49" t="str">
        <f>IFERROR(__xludf.DUMMYFUNCTION("""COMPUTED_VALUE"""),"Restores 300 HP and SP to a target of choosing.")</f>
        <v>Restores 300 HP and SP to a target of choosing.</v>
      </c>
      <c r="F8" s="49" t="str">
        <f>IFERROR(__xludf.DUMMYFUNCTION("""COMPUTED_VALUE"""),"Natural/Will Succeed")</f>
        <v>Natural/Will Succeed</v>
      </c>
      <c r="G8" s="49">
        <f>IFERROR(__xludf.DUMMYFUNCTION("""COMPUTED_VALUE"""),1.0)</f>
        <v>1</v>
      </c>
      <c r="H8" s="49" t="str">
        <f>IFERROR(__xludf.DUMMYFUNCTION("""COMPUTED_VALUE"""),"Acoustic")</f>
        <v>Acoustic</v>
      </c>
      <c r="I8" s="49" t="str">
        <f>IFERROR(__xludf.DUMMYFUNCTION("""COMPUTED_VALUE"""),"Player")</f>
        <v>Player</v>
      </c>
      <c r="J8" s="49" t="b">
        <f>IFERROR(__xludf.DUMMYFUNCTION("""COMPUTED_VALUE"""),FALSE)</f>
        <v>0</v>
      </c>
      <c r="K8" s="49"/>
      <c r="L8" s="49" t="b">
        <f>IFERROR(__xludf.DUMMYFUNCTION("""COMPUTED_VALUE"""),TRUE)</f>
        <v>1</v>
      </c>
      <c r="M8" s="49" t="b">
        <f>IFERROR(__xludf.DUMMYFUNCTION("""COMPUTED_VALUE"""),FALSE)</f>
        <v>0</v>
      </c>
      <c r="N8" s="49"/>
    </row>
    <row r="9">
      <c r="A9" s="49" t="str">
        <f>IFERROR(__xludf.DUMMYFUNCTION("""COMPUTED_VALUE"""),"Intimidating Song")</f>
        <v>Intimidating Song</v>
      </c>
      <c r="B9" s="126">
        <f>IFERROR(__xludf.DUMMYFUNCTION("""COMPUTED_VALUE"""),1.0)</f>
        <v>1</v>
      </c>
      <c r="C9" s="49">
        <f>IFERROR(__xludf.DUMMYFUNCTION("""COMPUTED_VALUE"""),0.0)</f>
        <v>0</v>
      </c>
      <c r="D9" s="49"/>
      <c r="E9" s="49" t="str">
        <f>IFERROR(__xludf.DUMMYFUNCTION("""COMPUTED_VALUE"""),"+10 Intimidation for 3 rounds.")</f>
        <v>+10 Intimidation for 3 rounds.</v>
      </c>
      <c r="F9" s="49" t="str">
        <f>IFERROR(__xludf.DUMMYFUNCTION("""COMPUTED_VALUE"""),"Natural/Fail or Succeed")</f>
        <v>Natural/Fail or Succeed</v>
      </c>
      <c r="G9" s="49" t="str">
        <f>IFERROR(__xludf.DUMMYFUNCTION("""COMPUTED_VALUE"""),"Self")</f>
        <v>Self</v>
      </c>
      <c r="H9" s="49" t="str">
        <f>IFERROR(__xludf.DUMMYFUNCTION("""COMPUTED_VALUE"""),"Acoustic")</f>
        <v>Acoustic</v>
      </c>
      <c r="I9" s="49" t="str">
        <f>IFERROR(__xludf.DUMMYFUNCTION("""COMPUTED_VALUE"""),"Player")</f>
        <v>Player</v>
      </c>
      <c r="J9" s="49" t="b">
        <f>IFERROR(__xludf.DUMMYFUNCTION("""COMPUTED_VALUE"""),FALSE)</f>
        <v>0</v>
      </c>
      <c r="K9" s="49"/>
      <c r="L9" s="49" t="b">
        <f>IFERROR(__xludf.DUMMYFUNCTION("""COMPUTED_VALUE"""),TRUE)</f>
        <v>1</v>
      </c>
      <c r="M9" s="49" t="b">
        <f>IFERROR(__xludf.DUMMYFUNCTION("""COMPUTED_VALUE"""),FALSE)</f>
        <v>0</v>
      </c>
      <c r="N9" s="49"/>
    </row>
    <row r="10">
      <c r="A10" s="49" t="str">
        <f>IFERROR(__xludf.DUMMYFUNCTION("""COMPUTED_VALUE"""),"Melodic Push")</f>
        <v>Melodic Push</v>
      </c>
      <c r="B10" s="126">
        <f>IFERROR(__xludf.DUMMYFUNCTION("""COMPUTED_VALUE"""),1.0)</f>
        <v>1</v>
      </c>
      <c r="C10" s="49">
        <f>IFERROR(__xludf.DUMMYFUNCTION("""COMPUTED_VALUE"""),0.0)</f>
        <v>0</v>
      </c>
      <c r="D10" s="49"/>
      <c r="E10" s="49" t="str">
        <f>IFERROR(__xludf.DUMMYFUNCTION("""COMPUTED_VALUE"""),"10,000 Acoustic damage.")</f>
        <v>10,000 Acoustic damage.</v>
      </c>
      <c r="F10" s="49" t="str">
        <f>IFERROR(__xludf.DUMMYFUNCTION("""COMPUTED_VALUE"""),"Natural/Fail or Succeed")</f>
        <v>Natural/Fail or Succeed</v>
      </c>
      <c r="G10" s="49">
        <f>IFERROR(__xludf.DUMMYFUNCTION("""COMPUTED_VALUE"""),1.0)</f>
        <v>1</v>
      </c>
      <c r="H10" s="49" t="str">
        <f>IFERROR(__xludf.DUMMYFUNCTION("""COMPUTED_VALUE"""),"Acoustic")</f>
        <v>Acoustic</v>
      </c>
      <c r="I10" s="49" t="str">
        <f>IFERROR(__xludf.DUMMYFUNCTION("""COMPUTED_VALUE"""),"Player")</f>
        <v>Player</v>
      </c>
      <c r="J10" s="49" t="b">
        <f>IFERROR(__xludf.DUMMYFUNCTION("""COMPUTED_VALUE"""),FALSE)</f>
        <v>0</v>
      </c>
      <c r="K10" s="49"/>
      <c r="L10" s="49" t="b">
        <f>IFERROR(__xludf.DUMMYFUNCTION("""COMPUTED_VALUE"""),TRUE)</f>
        <v>1</v>
      </c>
      <c r="M10" s="49" t="b">
        <f>IFERROR(__xludf.DUMMYFUNCTION("""COMPUTED_VALUE"""),FALSE)</f>
        <v>0</v>
      </c>
      <c r="N10" s="49"/>
    </row>
    <row r="11">
      <c r="A11" s="49" t="str">
        <f>IFERROR(__xludf.DUMMYFUNCTION("""COMPUTED_VALUE"""),"Thrash Sesh")</f>
        <v>Thrash Sesh</v>
      </c>
      <c r="B11" s="126">
        <f>IFERROR(__xludf.DUMMYFUNCTION("""COMPUTED_VALUE"""),1.0)</f>
        <v>1</v>
      </c>
      <c r="C11" s="49">
        <f>IFERROR(__xludf.DUMMYFUNCTION("""COMPUTED_VALUE"""),0.0)</f>
        <v>0</v>
      </c>
      <c r="D11" s="49"/>
      <c r="E11" s="49" t="str">
        <f>IFERROR(__xludf.DUMMYFUNCTION("""COMPUTED_VALUE"""),"+5 Evasion and Mobility for 3 rounds.")</f>
        <v>+5 Evasion and Mobility for 3 rounds.</v>
      </c>
      <c r="F11" s="49" t="str">
        <f>IFERROR(__xludf.DUMMYFUNCTION("""COMPUTED_VALUE"""),"Natural/Fail or Succeed")</f>
        <v>Natural/Fail or Succeed</v>
      </c>
      <c r="G11" s="49" t="str">
        <f>IFERROR(__xludf.DUMMYFUNCTION("""COMPUTED_VALUE"""),"Self")</f>
        <v>Self</v>
      </c>
      <c r="H11" s="49" t="str">
        <f>IFERROR(__xludf.DUMMYFUNCTION("""COMPUTED_VALUE"""),"Acoustic")</f>
        <v>Acoustic</v>
      </c>
      <c r="I11" s="49" t="str">
        <f>IFERROR(__xludf.DUMMYFUNCTION("""COMPUTED_VALUE"""),"Player")</f>
        <v>Player</v>
      </c>
      <c r="J11" s="49" t="b">
        <f>IFERROR(__xludf.DUMMYFUNCTION("""COMPUTED_VALUE"""),FALSE)</f>
        <v>0</v>
      </c>
      <c r="K11" s="49"/>
      <c r="L11" s="49" t="b">
        <f>IFERROR(__xludf.DUMMYFUNCTION("""COMPUTED_VALUE"""),TRUE)</f>
        <v>1</v>
      </c>
      <c r="M11" s="49" t="b">
        <f>IFERROR(__xludf.DUMMYFUNCTION("""COMPUTED_VALUE"""),FALSE)</f>
        <v>0</v>
      </c>
      <c r="N11" s="49"/>
    </row>
    <row r="12">
      <c r="A12" s="49" t="str">
        <f>IFERROR(__xludf.DUMMYFUNCTION("""COMPUTED_VALUE"""),"Serenading Song")</f>
        <v>Serenading Song</v>
      </c>
      <c r="B12" s="126">
        <f>IFERROR(__xludf.DUMMYFUNCTION("""COMPUTED_VALUE"""),1.0)</f>
        <v>1</v>
      </c>
      <c r="C12" s="49">
        <f>IFERROR(__xludf.DUMMYFUNCTION("""COMPUTED_VALUE"""),0.0)</f>
        <v>0</v>
      </c>
      <c r="D12" s="49"/>
      <c r="E12" s="49" t="str">
        <f>IFERROR(__xludf.DUMMYFUNCTION("""COMPUTED_VALUE"""),"+10 Charisma for 3 rounds")</f>
        <v>+10 Charisma for 3 rounds</v>
      </c>
      <c r="F12" s="49" t="str">
        <f>IFERROR(__xludf.DUMMYFUNCTION("""COMPUTED_VALUE"""),"Natural/Fail or Succeed")</f>
        <v>Natural/Fail or Succeed</v>
      </c>
      <c r="G12" s="49" t="str">
        <f>IFERROR(__xludf.DUMMYFUNCTION("""COMPUTED_VALUE"""),"Self")</f>
        <v>Self</v>
      </c>
      <c r="H12" s="49" t="str">
        <f>IFERROR(__xludf.DUMMYFUNCTION("""COMPUTED_VALUE"""),"Acoustic")</f>
        <v>Acoustic</v>
      </c>
      <c r="I12" s="49" t="str">
        <f>IFERROR(__xludf.DUMMYFUNCTION("""COMPUTED_VALUE"""),"Player")</f>
        <v>Player</v>
      </c>
      <c r="J12" s="49" t="b">
        <f>IFERROR(__xludf.DUMMYFUNCTION("""COMPUTED_VALUE"""),FALSE)</f>
        <v>0</v>
      </c>
      <c r="K12" s="49"/>
      <c r="L12" s="49" t="b">
        <f>IFERROR(__xludf.DUMMYFUNCTION("""COMPUTED_VALUE"""),FALSE)</f>
        <v>0</v>
      </c>
      <c r="M12" s="49" t="b">
        <f>IFERROR(__xludf.DUMMYFUNCTION("""COMPUTED_VALUE"""),FALSE)</f>
        <v>0</v>
      </c>
      <c r="N12" s="49"/>
    </row>
    <row r="13">
      <c r="A13" s="49" t="str">
        <f>IFERROR(__xludf.DUMMYFUNCTION("""COMPUTED_VALUE"""),"Astral Beam")</f>
        <v>Astral Beam</v>
      </c>
      <c r="B13" s="126">
        <f>IFERROR(__xludf.DUMMYFUNCTION("""COMPUTED_VALUE"""),2.0)</f>
        <v>2</v>
      </c>
      <c r="C13" s="49" t="str">
        <f>IFERROR(__xludf.DUMMYFUNCTION("""COMPUTED_VALUE"""),"X")</f>
        <v>X</v>
      </c>
      <c r="D13" s="49"/>
      <c r="E13" s="49" t="str">
        <f>IFERROR(__xludf.DUMMYFUNCTION("""COMPUTED_VALUE"""),"X*50 Light damage and X*50 Astral damage to a single target where X is equal to SP.")</f>
        <v>X*50 Light damage and X*50 Astral damage to a single target where X is equal to SP.</v>
      </c>
      <c r="F13" s="49" t="str">
        <f>IFERROR(__xludf.DUMMYFUNCTION("""COMPUTED_VALUE"""),"Hit or Miss")</f>
        <v>Hit or Miss</v>
      </c>
      <c r="G13" s="49">
        <f>IFERROR(__xludf.DUMMYFUNCTION("""COMPUTED_VALUE"""),1.0)</f>
        <v>1</v>
      </c>
      <c r="H13" s="49" t="str">
        <f>IFERROR(__xludf.DUMMYFUNCTION("""COMPUTED_VALUE"""),"Astral")</f>
        <v>Astral</v>
      </c>
      <c r="I13" s="49" t="str">
        <f>IFERROR(__xludf.DUMMYFUNCTION("""COMPUTED_VALUE"""),"Player")</f>
        <v>Player</v>
      </c>
      <c r="J13" s="49" t="b">
        <f>IFERROR(__xludf.DUMMYFUNCTION("""COMPUTED_VALUE"""),FALSE)</f>
        <v>0</v>
      </c>
      <c r="K13" s="49"/>
      <c r="L13" s="49" t="b">
        <f>IFERROR(__xludf.DUMMYFUNCTION("""COMPUTED_VALUE"""),FALSE)</f>
        <v>0</v>
      </c>
      <c r="M13" s="49" t="b">
        <f>IFERROR(__xludf.DUMMYFUNCTION("""COMPUTED_VALUE"""),FALSE)</f>
        <v>0</v>
      </c>
      <c r="N13" s="49"/>
    </row>
    <row r="14">
      <c r="A14" s="49" t="str">
        <f>IFERROR(__xludf.DUMMYFUNCTION("""COMPUTED_VALUE"""),"Astral Contact")</f>
        <v>Astral Contact</v>
      </c>
      <c r="B14" s="126">
        <f>IFERROR(__xludf.DUMMYFUNCTION("""COMPUTED_VALUE"""),3.0)</f>
        <v>3</v>
      </c>
      <c r="C14" s="49">
        <f>IFERROR(__xludf.DUMMYFUNCTION("""COMPUTED_VALUE"""),100.0)</f>
        <v>100</v>
      </c>
      <c r="D14" s="49"/>
      <c r="E14" s="49" t="str">
        <f>IFERROR(__xludf.DUMMYFUNCTION("""COMPUTED_VALUE"""),"Increases Astral and Light damage by X2 for caster only.")</f>
        <v>Increases Astral and Light damage by X2 for caster only.</v>
      </c>
      <c r="F14" s="49" t="str">
        <f>IFERROR(__xludf.DUMMYFUNCTION("""COMPUTED_VALUE"""),"Fail/succeed")</f>
        <v>Fail/succeed</v>
      </c>
      <c r="G14" s="49"/>
      <c r="H14" s="49" t="str">
        <f>IFERROR(__xludf.DUMMYFUNCTION("""COMPUTED_VALUE"""),"Astral")</f>
        <v>Astral</v>
      </c>
      <c r="I14" s="49" t="str">
        <f>IFERROR(__xludf.DUMMYFUNCTION("""COMPUTED_VALUE"""),"Player")</f>
        <v>Player</v>
      </c>
      <c r="J14" s="49" t="b">
        <f>IFERROR(__xludf.DUMMYFUNCTION("""COMPUTED_VALUE"""),FALSE)</f>
        <v>0</v>
      </c>
      <c r="K14" s="49"/>
      <c r="L14" s="49" t="b">
        <f>IFERROR(__xludf.DUMMYFUNCTION("""COMPUTED_VALUE"""),FALSE)</f>
        <v>0</v>
      </c>
      <c r="M14" s="49" t="b">
        <f>IFERROR(__xludf.DUMMYFUNCTION("""COMPUTED_VALUE"""),FALSE)</f>
        <v>0</v>
      </c>
      <c r="N14" s="49"/>
    </row>
    <row r="15">
      <c r="A15" s="49" t="str">
        <f>IFERROR(__xludf.DUMMYFUNCTION("""COMPUTED_VALUE"""),"Black Hole")</f>
        <v>Black Hole</v>
      </c>
      <c r="B15" s="126">
        <f>IFERROR(__xludf.DUMMYFUNCTION("""COMPUTED_VALUE"""),9.0)</f>
        <v>9</v>
      </c>
      <c r="C15" s="49">
        <f>IFERROR(__xludf.DUMMYFUNCTION("""COMPUTED_VALUE"""),1000.0)</f>
        <v>1000</v>
      </c>
      <c r="D15" s="49"/>
      <c r="E15" s="49" t="str">
        <f>IFERROR(__xludf.DUMMYFUNCTION("""COMPUTED_VALUE"""),"Summon a void that has a 100% chance of instant death to all enemies.")</f>
        <v>Summon a void that has a 100% chance of instant death to all enemies.</v>
      </c>
      <c r="F15" s="49" t="str">
        <f>IFERROR(__xludf.DUMMYFUNCTION("""COMPUTED_VALUE"""),"Cannot be avoided")</f>
        <v>Cannot be avoided</v>
      </c>
      <c r="G15" s="49"/>
      <c r="H15" s="49" t="str">
        <f>IFERROR(__xludf.DUMMYFUNCTION("""COMPUTED_VALUE"""),"Astral")</f>
        <v>Astral</v>
      </c>
      <c r="I15" s="49" t="str">
        <f>IFERROR(__xludf.DUMMYFUNCTION("""COMPUTED_VALUE"""),"Player")</f>
        <v>Player</v>
      </c>
      <c r="J15" s="49" t="b">
        <f>IFERROR(__xludf.DUMMYFUNCTION("""COMPUTED_VALUE"""),FALSE)</f>
        <v>0</v>
      </c>
      <c r="K15" s="49"/>
      <c r="L15" s="49" t="b">
        <f>IFERROR(__xludf.DUMMYFUNCTION("""COMPUTED_VALUE"""),FALSE)</f>
        <v>0</v>
      </c>
      <c r="M15" s="49" t="b">
        <f>IFERROR(__xludf.DUMMYFUNCTION("""COMPUTED_VALUE"""),FALSE)</f>
        <v>0</v>
      </c>
      <c r="N15" s="49"/>
    </row>
    <row r="16">
      <c r="A16" s="49" t="str">
        <f>IFERROR(__xludf.DUMMYFUNCTION("""COMPUTED_VALUE"""),"Comet Shower")</f>
        <v>Comet Shower</v>
      </c>
      <c r="B16" s="126">
        <f>IFERROR(__xludf.DUMMYFUNCTION("""COMPUTED_VALUE"""),9.0)</f>
        <v>9</v>
      </c>
      <c r="C16" s="49" t="str">
        <f>IFERROR(__xludf.DUMMYFUNCTION("""COMPUTED_VALUE"""),"X")</f>
        <v>X</v>
      </c>
      <c r="D16" s="49"/>
      <c r="E16" s="49" t="str">
        <f>IFERROR(__xludf.DUMMYFUNCTION("""COMPUTED_VALUE"""),"X*15 Astral and X*15 Light damage to all enemies where X is equal to SP.")</f>
        <v>X*15 Astral and X*15 Light damage to all enemies where X is equal to SP.</v>
      </c>
      <c r="F16" s="49" t="str">
        <f>IFERROR(__xludf.DUMMYFUNCTION("""COMPUTED_VALUE"""),"Cannot be avoided")</f>
        <v>Cannot be avoided</v>
      </c>
      <c r="G16" s="49"/>
      <c r="H16" s="49" t="str">
        <f>IFERROR(__xludf.DUMMYFUNCTION("""COMPUTED_VALUE"""),"Astral")</f>
        <v>Astral</v>
      </c>
      <c r="I16" s="49" t="str">
        <f>IFERROR(__xludf.DUMMYFUNCTION("""COMPUTED_VALUE"""),"Player")</f>
        <v>Player</v>
      </c>
      <c r="J16" s="49" t="b">
        <f>IFERROR(__xludf.DUMMYFUNCTION("""COMPUTED_VALUE"""),FALSE)</f>
        <v>0</v>
      </c>
      <c r="K16" s="49"/>
      <c r="L16" s="49" t="b">
        <f>IFERROR(__xludf.DUMMYFUNCTION("""COMPUTED_VALUE"""),FALSE)</f>
        <v>0</v>
      </c>
      <c r="M16" s="49" t="b">
        <f>IFERROR(__xludf.DUMMYFUNCTION("""COMPUTED_VALUE"""),FALSE)</f>
        <v>0</v>
      </c>
      <c r="N16" s="49"/>
    </row>
    <row r="17">
      <c r="A17" s="49" t="str">
        <f>IFERROR(__xludf.DUMMYFUNCTION("""COMPUTED_VALUE"""),"Constellation Strike")</f>
        <v>Constellation Strike</v>
      </c>
      <c r="B17" s="126">
        <f>IFERROR(__xludf.DUMMYFUNCTION("""COMPUTED_VALUE"""),5.0)</f>
        <v>5</v>
      </c>
      <c r="C17" s="49">
        <f>IFERROR(__xludf.DUMMYFUNCTION("""COMPUTED_VALUE"""),1100.0)</f>
        <v>1100</v>
      </c>
      <c r="D17" s="49"/>
      <c r="E17" s="49" t="str">
        <f>IFERROR(__xludf.DUMMYFUNCTION("""COMPUTED_VALUE"""),"25000 Astral dmg + 25000 light dmg, increases Astral damage by X2 for caster only.")</f>
        <v>25000 Astral dmg + 25000 light dmg, increases Astral damage by X2 for caster only.</v>
      </c>
      <c r="F17" s="49" t="str">
        <f>IFERROR(__xludf.DUMMYFUNCTION("""COMPUTED_VALUE"""),"Hit or Miss")</f>
        <v>Hit or Miss</v>
      </c>
      <c r="G17" s="49">
        <f>IFERROR(__xludf.DUMMYFUNCTION("""COMPUTED_VALUE"""),1.0)</f>
        <v>1</v>
      </c>
      <c r="H17" s="49" t="str">
        <f>IFERROR(__xludf.DUMMYFUNCTION("""COMPUTED_VALUE"""),"Astral")</f>
        <v>Astral</v>
      </c>
      <c r="I17" s="49" t="str">
        <f>IFERROR(__xludf.DUMMYFUNCTION("""COMPUTED_VALUE"""),"Player")</f>
        <v>Player</v>
      </c>
      <c r="J17" s="49" t="b">
        <f>IFERROR(__xludf.DUMMYFUNCTION("""COMPUTED_VALUE"""),FALSE)</f>
        <v>0</v>
      </c>
      <c r="K17" s="49"/>
      <c r="L17" s="49" t="b">
        <f>IFERROR(__xludf.DUMMYFUNCTION("""COMPUTED_VALUE"""),FALSE)</f>
        <v>0</v>
      </c>
      <c r="M17" s="49" t="b">
        <f>IFERROR(__xludf.DUMMYFUNCTION("""COMPUTED_VALUE"""),FALSE)</f>
        <v>0</v>
      </c>
      <c r="N17" s="49"/>
    </row>
    <row r="18">
      <c r="A18" s="49" t="str">
        <f>IFERROR(__xludf.DUMMYFUNCTION("""COMPUTED_VALUE"""),"Lunar Ward")</f>
        <v>Lunar Ward</v>
      </c>
      <c r="B18" s="126">
        <f>IFERROR(__xludf.DUMMYFUNCTION("""COMPUTED_VALUE"""),1.0)</f>
        <v>1</v>
      </c>
      <c r="C18" s="49">
        <f>IFERROR(__xludf.DUMMYFUNCTION("""COMPUTED_VALUE"""),0.0)</f>
        <v>0</v>
      </c>
      <c r="D18" s="49"/>
      <c r="E18" s="49"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49" t="str">
        <f>IFERROR(__xludf.DUMMYFUNCTION("""COMPUTED_VALUE"""),"Natural/Fail or Succeed")</f>
        <v>Natural/Fail or Succeed</v>
      </c>
      <c r="G18" s="49" t="str">
        <f>IFERROR(__xludf.DUMMYFUNCTION("""COMPUTED_VALUE"""),"Self")</f>
        <v>Self</v>
      </c>
      <c r="H18" s="49" t="str">
        <f>IFERROR(__xludf.DUMMYFUNCTION("""COMPUTED_VALUE"""),"Astral")</f>
        <v>Astral</v>
      </c>
      <c r="I18" s="49" t="str">
        <f>IFERROR(__xludf.DUMMYFUNCTION("""COMPUTED_VALUE"""),"Mob")</f>
        <v>Mob</v>
      </c>
      <c r="J18" s="49" t="b">
        <f>IFERROR(__xludf.DUMMYFUNCTION("""COMPUTED_VALUE"""),TRUE)</f>
        <v>1</v>
      </c>
      <c r="K18" s="49"/>
      <c r="L18" s="49" t="b">
        <f>IFERROR(__xludf.DUMMYFUNCTION("""COMPUTED_VALUE"""),FALSE)</f>
        <v>0</v>
      </c>
      <c r="M18" s="49" t="b">
        <f>IFERROR(__xludf.DUMMYFUNCTION("""COMPUTED_VALUE"""),FALSE)</f>
        <v>0</v>
      </c>
      <c r="N18" s="49"/>
    </row>
    <row r="19">
      <c r="A19" s="49" t="str">
        <f>IFERROR(__xludf.DUMMYFUNCTION("""COMPUTED_VALUE"""),"Planetary Meteor Storm")</f>
        <v>Planetary Meteor Storm</v>
      </c>
      <c r="B19" s="126">
        <f>IFERROR(__xludf.DUMMYFUNCTION("""COMPUTED_VALUE"""),9.0)</f>
        <v>9</v>
      </c>
      <c r="C19" s="49" t="str">
        <f>IFERROR(__xludf.DUMMYFUNCTION("""COMPUTED_VALUE"""),"X")</f>
        <v>X</v>
      </c>
      <c r="D19" s="49"/>
      <c r="E19" s="49" t="str">
        <f>IFERROR(__xludf.DUMMYFUNCTION("""COMPUTED_VALUE"""),"X*15 Astral damage and X*15 Light damage to all enemies.")</f>
        <v>X*15 Astral damage and X*15 Light damage to all enemies.</v>
      </c>
      <c r="F19" s="49" t="str">
        <f>IFERROR(__xludf.DUMMYFUNCTION("""COMPUTED_VALUE"""),"Cannot be avoided")</f>
        <v>Cannot be avoided</v>
      </c>
      <c r="G19" s="49"/>
      <c r="H19" s="49" t="str">
        <f>IFERROR(__xludf.DUMMYFUNCTION("""COMPUTED_VALUE"""),"Astral")</f>
        <v>Astral</v>
      </c>
      <c r="I19" s="49" t="str">
        <f>IFERROR(__xludf.DUMMYFUNCTION("""COMPUTED_VALUE"""),"Player")</f>
        <v>Player</v>
      </c>
      <c r="J19" s="49" t="b">
        <f>IFERROR(__xludf.DUMMYFUNCTION("""COMPUTED_VALUE"""),FALSE)</f>
        <v>0</v>
      </c>
      <c r="K19" s="49"/>
      <c r="L19" s="49" t="b">
        <f>IFERROR(__xludf.DUMMYFUNCTION("""COMPUTED_VALUE"""),FALSE)</f>
        <v>0</v>
      </c>
      <c r="M19" s="49" t="b">
        <f>IFERROR(__xludf.DUMMYFUNCTION("""COMPUTED_VALUE"""),FALSE)</f>
        <v>0</v>
      </c>
      <c r="N19" s="49"/>
    </row>
    <row r="20">
      <c r="A20" s="49" t="str">
        <f>IFERROR(__xludf.DUMMYFUNCTION("""COMPUTED_VALUE"""),"Protection of Stars.")</f>
        <v>Protection of Stars.</v>
      </c>
      <c r="B20" s="126">
        <f>IFERROR(__xludf.DUMMYFUNCTION("""COMPUTED_VALUE"""),4.0)</f>
        <v>4</v>
      </c>
      <c r="C20" s="49">
        <f>IFERROR(__xludf.DUMMYFUNCTION("""COMPUTED_VALUE"""),200.0)</f>
        <v>200</v>
      </c>
      <c r="D20" s="49"/>
      <c r="E20" s="49"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49" t="str">
        <f>IFERROR(__xludf.DUMMYFUNCTION("""COMPUTED_VALUE"""),"Fail/Succeed")</f>
        <v>Fail/Succeed</v>
      </c>
      <c r="G20" s="49"/>
      <c r="H20" s="49" t="str">
        <f>IFERROR(__xludf.DUMMYFUNCTION("""COMPUTED_VALUE"""),"Astral")</f>
        <v>Astral</v>
      </c>
      <c r="I20" s="49" t="str">
        <f>IFERROR(__xludf.DUMMYFUNCTION("""COMPUTED_VALUE"""),"Player")</f>
        <v>Player</v>
      </c>
      <c r="J20" s="49" t="b">
        <f>IFERROR(__xludf.DUMMYFUNCTION("""COMPUTED_VALUE"""),FALSE)</f>
        <v>0</v>
      </c>
      <c r="K20" s="49"/>
      <c r="L20" s="49" t="b">
        <f>IFERROR(__xludf.DUMMYFUNCTION("""COMPUTED_VALUE"""),FALSE)</f>
        <v>0</v>
      </c>
      <c r="M20" s="49" t="b">
        <f>IFERROR(__xludf.DUMMYFUNCTION("""COMPUTED_VALUE"""),FALSE)</f>
        <v>0</v>
      </c>
      <c r="N20" s="49"/>
    </row>
    <row r="21">
      <c r="A21" s="49" t="str">
        <f>IFERROR(__xludf.DUMMYFUNCTION("""COMPUTED_VALUE"""),"Star Storm")</f>
        <v>Star Storm</v>
      </c>
      <c r="B21" s="126">
        <f>IFERROR(__xludf.DUMMYFUNCTION("""COMPUTED_VALUE"""),1.0)</f>
        <v>1</v>
      </c>
      <c r="C21" s="49" t="str">
        <f>IFERROR(__xludf.DUMMYFUNCTION("""COMPUTED_VALUE"""),"X")</f>
        <v>X</v>
      </c>
      <c r="D21" s="49"/>
      <c r="E21" s="49"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49" t="str">
        <f>IFERROR(__xludf.DUMMYFUNCTION("""COMPUTED_VALUE"""),"Fail/Succeed")</f>
        <v>Fail/Succeed</v>
      </c>
      <c r="G21" s="49"/>
      <c r="H21" s="49" t="str">
        <f>IFERROR(__xludf.DUMMYFUNCTION("""COMPUTED_VALUE"""),"Astral")</f>
        <v>Astral</v>
      </c>
      <c r="I21" s="49" t="str">
        <f>IFERROR(__xludf.DUMMYFUNCTION("""COMPUTED_VALUE"""),"Player")</f>
        <v>Player</v>
      </c>
      <c r="J21" s="49" t="b">
        <f>IFERROR(__xludf.DUMMYFUNCTION("""COMPUTED_VALUE"""),FALSE)</f>
        <v>0</v>
      </c>
      <c r="K21" s="49"/>
      <c r="L21" s="49" t="b">
        <f>IFERROR(__xludf.DUMMYFUNCTION("""COMPUTED_VALUE"""),FALSE)</f>
        <v>0</v>
      </c>
      <c r="M21" s="49" t="b">
        <f>IFERROR(__xludf.DUMMYFUNCTION("""COMPUTED_VALUE"""),FALSE)</f>
        <v>0</v>
      </c>
      <c r="N21" s="49"/>
    </row>
    <row r="22">
      <c r="A22" s="49" t="str">
        <f>IFERROR(__xludf.DUMMYFUNCTION("""COMPUTED_VALUE"""),"Sunny Day")</f>
        <v>Sunny Day</v>
      </c>
      <c r="B22" s="126">
        <f>IFERROR(__xludf.DUMMYFUNCTION("""COMPUTED_VALUE"""),9.0)</f>
        <v>9</v>
      </c>
      <c r="C22" s="125">
        <f>IFERROR(__xludf.DUMMYFUNCTION("""COMPUTED_VALUE"""),20000.0)</f>
        <v>20000</v>
      </c>
      <c r="D22" s="49"/>
      <c r="E22" s="49"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49" t="str">
        <f>IFERROR(__xludf.DUMMYFUNCTION("""COMPUTED_VALUE"""),"Fail/Succeed")</f>
        <v>Fail/Succeed</v>
      </c>
      <c r="G22" s="49"/>
      <c r="H22" s="49" t="str">
        <f>IFERROR(__xludf.DUMMYFUNCTION("""COMPUTED_VALUE"""),"Astral")</f>
        <v>Astral</v>
      </c>
      <c r="I22" s="49" t="str">
        <f>IFERROR(__xludf.DUMMYFUNCTION("""COMPUTED_VALUE"""),"Player")</f>
        <v>Player</v>
      </c>
      <c r="J22" s="49" t="b">
        <f>IFERROR(__xludf.DUMMYFUNCTION("""COMPUTED_VALUE"""),FALSE)</f>
        <v>0</v>
      </c>
      <c r="K22" s="49"/>
      <c r="L22" s="49" t="b">
        <f>IFERROR(__xludf.DUMMYFUNCTION("""COMPUTED_VALUE"""),FALSE)</f>
        <v>0</v>
      </c>
      <c r="M22" s="49" t="b">
        <f>IFERROR(__xludf.DUMMYFUNCTION("""COMPUTED_VALUE"""),FALSE)</f>
        <v>0</v>
      </c>
      <c r="N22" s="49"/>
    </row>
    <row r="23">
      <c r="A23" s="49" t="str">
        <f>IFERROR(__xludf.DUMMYFUNCTION("""COMPUTED_VALUE"""),"Tower of The Universe")</f>
        <v>Tower of The Universe</v>
      </c>
      <c r="B23" s="126">
        <f>IFERROR(__xludf.DUMMYFUNCTION("""COMPUTED_VALUE"""),8.0)</f>
        <v>8</v>
      </c>
      <c r="C23" s="49">
        <f>IFERROR(__xludf.DUMMYFUNCTION("""COMPUTED_VALUE"""),1200.0)</f>
        <v>1200</v>
      </c>
      <c r="D23" s="49"/>
      <c r="E23" s="49"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49" t="str">
        <f>IFERROR(__xludf.DUMMYFUNCTION("""COMPUTED_VALUE"""),"Hit/miss")</f>
        <v>Hit/miss</v>
      </c>
      <c r="G23" s="49">
        <f>IFERROR(__xludf.DUMMYFUNCTION("""COMPUTED_VALUE"""),1.0)</f>
        <v>1</v>
      </c>
      <c r="H23" s="49" t="str">
        <f>IFERROR(__xludf.DUMMYFUNCTION("""COMPUTED_VALUE"""),"Astral")</f>
        <v>Astral</v>
      </c>
      <c r="I23" s="49" t="str">
        <f>IFERROR(__xludf.DUMMYFUNCTION("""COMPUTED_VALUE"""),"Player")</f>
        <v>Player</v>
      </c>
      <c r="J23" s="49" t="b">
        <f>IFERROR(__xludf.DUMMYFUNCTION("""COMPUTED_VALUE"""),FALSE)</f>
        <v>0</v>
      </c>
      <c r="K23" s="49"/>
      <c r="L23" s="49" t="b">
        <f>IFERROR(__xludf.DUMMYFUNCTION("""COMPUTED_VALUE"""),FALSE)</f>
        <v>0</v>
      </c>
      <c r="M23" s="49" t="b">
        <f>IFERROR(__xludf.DUMMYFUNCTION("""COMPUTED_VALUE"""),FALSE)</f>
        <v>0</v>
      </c>
      <c r="N23" s="49"/>
    </row>
    <row r="24">
      <c r="A24" s="49" t="str">
        <f>IFERROR(__xludf.DUMMYFUNCTION("""COMPUTED_VALUE"""),"Inferno Sun")</f>
        <v>Inferno Sun</v>
      </c>
      <c r="B24" s="126">
        <f>IFERROR(__xludf.DUMMYFUNCTION("""COMPUTED_VALUE"""),9.0)</f>
        <v>9</v>
      </c>
      <c r="C24" s="125">
        <f>IFERROR(__xludf.DUMMYFUNCTION("""COMPUTED_VALUE"""),5000.0)</f>
        <v>5000</v>
      </c>
      <c r="D24" s="49"/>
      <c r="E24" s="49"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49" t="str">
        <f>IFERROR(__xludf.DUMMYFUNCTION("""COMPUTED_VALUE"""),"Cannot Avoid")</f>
        <v>Cannot Avoid</v>
      </c>
      <c r="G24" s="49" t="str">
        <f>IFERROR(__xludf.DUMMYFUNCTION("""COMPUTED_VALUE"""),"All")</f>
        <v>All</v>
      </c>
      <c r="H24" s="49" t="str">
        <f>IFERROR(__xludf.DUMMYFUNCTION("""COMPUTED_VALUE"""),"Astral")</f>
        <v>Astral</v>
      </c>
      <c r="I24" s="49" t="str">
        <f>IFERROR(__xludf.DUMMYFUNCTION("""COMPUTED_VALUE"""),"Mob")</f>
        <v>Mob</v>
      </c>
      <c r="J24" s="49" t="b">
        <f>IFERROR(__xludf.DUMMYFUNCTION("""COMPUTED_VALUE"""),TRUE)</f>
        <v>1</v>
      </c>
      <c r="K24" s="49" t="str">
        <f>IFERROR(__xludf.DUMMYFUNCTION("""COMPUTED_VALUE"""),"Mob spell")</f>
        <v>Mob spell</v>
      </c>
      <c r="L24" s="49" t="b">
        <f>IFERROR(__xludf.DUMMYFUNCTION("""COMPUTED_VALUE"""),FALSE)</f>
        <v>0</v>
      </c>
      <c r="M24" s="49" t="b">
        <f>IFERROR(__xludf.DUMMYFUNCTION("""COMPUTED_VALUE"""),FALSE)</f>
        <v>0</v>
      </c>
      <c r="N24" s="49"/>
    </row>
    <row r="25">
      <c r="A25" s="49" t="str">
        <f>IFERROR(__xludf.DUMMYFUNCTION("""COMPUTED_VALUE"""),"Sunlight Regen")</f>
        <v>Sunlight Regen</v>
      </c>
      <c r="B25" s="126">
        <f>IFERROR(__xludf.DUMMYFUNCTION("""COMPUTED_VALUE"""),9.0)</f>
        <v>9</v>
      </c>
      <c r="C25" s="125">
        <f>IFERROR(__xludf.DUMMYFUNCTION("""COMPUTED_VALUE"""),900.0)</f>
        <v>900</v>
      </c>
      <c r="D25" s="49"/>
      <c r="E25" s="49"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49" t="str">
        <f>IFERROR(__xludf.DUMMYFUNCTION("""COMPUTED_VALUE"""),"Will Succeed")</f>
        <v>Will Succeed</v>
      </c>
      <c r="G25" s="49" t="str">
        <f>IFERROR(__xludf.DUMMYFUNCTION("""COMPUTED_VALUE"""),"Self")</f>
        <v>Self</v>
      </c>
      <c r="H25" s="49" t="str">
        <f>IFERROR(__xludf.DUMMYFUNCTION("""COMPUTED_VALUE"""),"Astral")</f>
        <v>Astral</v>
      </c>
      <c r="I25" s="49" t="str">
        <f>IFERROR(__xludf.DUMMYFUNCTION("""COMPUTED_VALUE"""),"Player")</f>
        <v>Player</v>
      </c>
      <c r="J25" s="49" t="b">
        <f>IFERROR(__xludf.DUMMYFUNCTION("""COMPUTED_VALUE"""),TRUE)</f>
        <v>1</v>
      </c>
      <c r="K25" s="49" t="str">
        <f>IFERROR(__xludf.DUMMYFUNCTION("""COMPUTED_VALUE"""),"shop spell")</f>
        <v>shop spell</v>
      </c>
      <c r="L25" s="49" t="b">
        <f>IFERROR(__xludf.DUMMYFUNCTION("""COMPUTED_VALUE"""),FALSE)</f>
        <v>0</v>
      </c>
      <c r="M25" s="49" t="b">
        <f>IFERROR(__xludf.DUMMYFUNCTION("""COMPUTED_VALUE"""),FALSE)</f>
        <v>0</v>
      </c>
      <c r="N25" s="49"/>
    </row>
    <row r="26">
      <c r="A26" s="49" t="str">
        <f>IFERROR(__xludf.DUMMYFUNCTION("""COMPUTED_VALUE"""),"Moon Slam")</f>
        <v>Moon Slam</v>
      </c>
      <c r="B26" s="126">
        <f>IFERROR(__xludf.DUMMYFUNCTION("""COMPUTED_VALUE"""),9.0)</f>
        <v>9</v>
      </c>
      <c r="C26" s="49">
        <f>IFERROR(__xludf.DUMMYFUNCTION("""COMPUTED_VALUE"""),80000.0)</f>
        <v>80000</v>
      </c>
      <c r="D26" s="49"/>
      <c r="E26" s="49"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49" t="str">
        <f>IFERROR(__xludf.DUMMYFUNCTION("""COMPUTED_VALUE"""),"Cannot Avoid")</f>
        <v>Cannot Avoid</v>
      </c>
      <c r="G26" s="49" t="str">
        <f>IFERROR(__xludf.DUMMYFUNCTION("""COMPUTED_VALUE"""),"All")</f>
        <v>All</v>
      </c>
      <c r="H26" s="49" t="str">
        <f>IFERROR(__xludf.DUMMYFUNCTION("""COMPUTED_VALUE"""),"Astral")</f>
        <v>Astral</v>
      </c>
      <c r="I26" s="49" t="str">
        <f>IFERROR(__xludf.DUMMYFUNCTION("""COMPUTED_VALUE"""),"Mob")</f>
        <v>Mob</v>
      </c>
      <c r="J26" s="49" t="b">
        <f>IFERROR(__xludf.DUMMYFUNCTION("""COMPUTED_VALUE"""),TRUE)</f>
        <v>1</v>
      </c>
      <c r="K26" s="49" t="str">
        <f>IFERROR(__xludf.DUMMYFUNCTION("""COMPUTED_VALUE"""),"mob power")</f>
        <v>mob power</v>
      </c>
      <c r="L26" s="49" t="b">
        <f>IFERROR(__xludf.DUMMYFUNCTION("""COMPUTED_VALUE"""),FALSE)</f>
        <v>0</v>
      </c>
      <c r="M26" s="49" t="b">
        <f>IFERROR(__xludf.DUMMYFUNCTION("""COMPUTED_VALUE"""),TRUE)</f>
        <v>1</v>
      </c>
      <c r="N26" s="49"/>
    </row>
    <row r="27">
      <c r="A27" s="49" t="str">
        <f>IFERROR(__xludf.DUMMYFUNCTION("""COMPUTED_VALUE"""),"Moon Beam")</f>
        <v>Moon Beam</v>
      </c>
      <c r="B27" s="126">
        <f>IFERROR(__xludf.DUMMYFUNCTION("""COMPUTED_VALUE"""),9.0)</f>
        <v>9</v>
      </c>
      <c r="C27" s="49">
        <f>IFERROR(__xludf.DUMMYFUNCTION("""COMPUTED_VALUE"""),200.0)</f>
        <v>200</v>
      </c>
      <c r="D27" s="49"/>
      <c r="E27" s="49"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49" t="str">
        <f>IFERROR(__xludf.DUMMYFUNCTION("""COMPUTED_VALUE"""),"Hit/Miss")</f>
        <v>Hit/Miss</v>
      </c>
      <c r="G27" s="49">
        <f>IFERROR(__xludf.DUMMYFUNCTION("""COMPUTED_VALUE"""),1.0)</f>
        <v>1</v>
      </c>
      <c r="H27" s="49" t="str">
        <f>IFERROR(__xludf.DUMMYFUNCTION("""COMPUTED_VALUE"""),"Astral")</f>
        <v>Astral</v>
      </c>
      <c r="I27" s="49" t="str">
        <f>IFERROR(__xludf.DUMMYFUNCTION("""COMPUTED_VALUE"""),"Player")</f>
        <v>Player</v>
      </c>
      <c r="J27" s="49" t="b">
        <f>IFERROR(__xludf.DUMMYFUNCTION("""COMPUTED_VALUE"""),FALSE)</f>
        <v>0</v>
      </c>
      <c r="K27" s="49"/>
      <c r="L27" s="49" t="b">
        <f>IFERROR(__xludf.DUMMYFUNCTION("""COMPUTED_VALUE"""),FALSE)</f>
        <v>0</v>
      </c>
      <c r="M27" s="49" t="b">
        <f>IFERROR(__xludf.DUMMYFUNCTION("""COMPUTED_VALUE"""),FALSE)</f>
        <v>0</v>
      </c>
      <c r="N27" s="49"/>
    </row>
    <row r="28">
      <c r="A28" s="49" t="str">
        <f>IFERROR(__xludf.DUMMYFUNCTION("""COMPUTED_VALUE"""),"Moonlight")</f>
        <v>Moonlight</v>
      </c>
      <c r="B28" s="126">
        <f>IFERROR(__xludf.DUMMYFUNCTION("""COMPUTED_VALUE"""),7.0)</f>
        <v>7</v>
      </c>
      <c r="C28" s="49">
        <f>IFERROR(__xludf.DUMMYFUNCTION("""COMPUTED_VALUE"""),250.0)</f>
        <v>250</v>
      </c>
      <c r="D28" s="49"/>
      <c r="E28" s="49"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49" t="str">
        <f>IFERROR(__xludf.DUMMYFUNCTION("""COMPUTED_VALUE"""),"Fail/Succeed")</f>
        <v>Fail/Succeed</v>
      </c>
      <c r="G28" s="49" t="str">
        <f>IFERROR(__xludf.DUMMYFUNCTION("""COMPUTED_VALUE"""),"All")</f>
        <v>All</v>
      </c>
      <c r="H28" s="49" t="str">
        <f>IFERROR(__xludf.DUMMYFUNCTION("""COMPUTED_VALUE"""),"Astral")</f>
        <v>Astral</v>
      </c>
      <c r="I28" s="49" t="str">
        <f>IFERROR(__xludf.DUMMYFUNCTION("""COMPUTED_VALUE"""),"Mob")</f>
        <v>Mob</v>
      </c>
      <c r="J28" s="49" t="b">
        <f>IFERROR(__xludf.DUMMYFUNCTION("""COMPUTED_VALUE"""),TRUE)</f>
        <v>1</v>
      </c>
      <c r="K28" s="49" t="str">
        <f>IFERROR(__xludf.DUMMYFUNCTION("""COMPUTED_VALUE"""),"(Obtained From Quest)")</f>
        <v>(Obtained From Quest)</v>
      </c>
      <c r="L28" s="49" t="b">
        <f>IFERROR(__xludf.DUMMYFUNCTION("""COMPUTED_VALUE"""),FALSE)</f>
        <v>0</v>
      </c>
      <c r="M28" s="49" t="b">
        <f>IFERROR(__xludf.DUMMYFUNCTION("""COMPUTED_VALUE"""),FALSE)</f>
        <v>0</v>
      </c>
      <c r="N28" s="49"/>
    </row>
    <row r="29">
      <c r="A29" s="49" t="str">
        <f>IFERROR(__xludf.DUMMYFUNCTION("""COMPUTED_VALUE"""),"Moonlight Regen")</f>
        <v>Moonlight Regen</v>
      </c>
      <c r="B29" s="126">
        <f>IFERROR(__xludf.DUMMYFUNCTION("""COMPUTED_VALUE"""),9.0)</f>
        <v>9</v>
      </c>
      <c r="C29" s="49">
        <f>IFERROR(__xludf.DUMMYFUNCTION("""COMPUTED_VALUE"""),400.0)</f>
        <v>400</v>
      </c>
      <c r="D29" s="49"/>
      <c r="E29" s="49"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49" t="str">
        <f>IFERROR(__xludf.DUMMYFUNCTION("""COMPUTED_VALUE"""),"Fail/Succeed")</f>
        <v>Fail/Succeed</v>
      </c>
      <c r="G29" s="49" t="str">
        <f>IFERROR(__xludf.DUMMYFUNCTION("""COMPUTED_VALUE"""),"All")</f>
        <v>All</v>
      </c>
      <c r="H29" s="49" t="str">
        <f>IFERROR(__xludf.DUMMYFUNCTION("""COMPUTED_VALUE"""),"Astral")</f>
        <v>Astral</v>
      </c>
      <c r="I29" s="49" t="str">
        <f>IFERROR(__xludf.DUMMYFUNCTION("""COMPUTED_VALUE"""),"Player")</f>
        <v>Player</v>
      </c>
      <c r="J29" s="49" t="b">
        <f>IFERROR(__xludf.DUMMYFUNCTION("""COMPUTED_VALUE"""),FALSE)</f>
        <v>0</v>
      </c>
      <c r="K29" s="49"/>
      <c r="L29" s="49" t="b">
        <f>IFERROR(__xludf.DUMMYFUNCTION("""COMPUTED_VALUE"""),FALSE)</f>
        <v>0</v>
      </c>
      <c r="M29" s="49" t="b">
        <f>IFERROR(__xludf.DUMMYFUNCTION("""COMPUTED_VALUE"""),FALSE)</f>
        <v>0</v>
      </c>
      <c r="N29" s="49"/>
    </row>
    <row r="30">
      <c r="A30" s="49" t="str">
        <f>IFERROR(__xludf.DUMMYFUNCTION("""COMPUTED_VALUE"""),"Sun Slam")</f>
        <v>Sun Slam</v>
      </c>
      <c r="B30" s="126">
        <f>IFERROR(__xludf.DUMMYFUNCTION("""COMPUTED_VALUE"""),9.0)</f>
        <v>9</v>
      </c>
      <c r="C30" s="49">
        <f>IFERROR(__xludf.DUMMYFUNCTION("""COMPUTED_VALUE"""),80000.0)</f>
        <v>80000</v>
      </c>
      <c r="D30" s="49"/>
      <c r="E30" s="49"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49" t="str">
        <f>IFERROR(__xludf.DUMMYFUNCTION("""COMPUTED_VALUE"""),"Cannot Avoid")</f>
        <v>Cannot Avoid</v>
      </c>
      <c r="G30" s="49" t="str">
        <f>IFERROR(__xludf.DUMMYFUNCTION("""COMPUTED_VALUE"""),"All")</f>
        <v>All</v>
      </c>
      <c r="H30" s="49" t="str">
        <f>IFERROR(__xludf.DUMMYFUNCTION("""COMPUTED_VALUE"""),"Astral")</f>
        <v>Astral</v>
      </c>
      <c r="I30" s="49" t="str">
        <f>IFERROR(__xludf.DUMMYFUNCTION("""COMPUTED_VALUE"""),"Mob")</f>
        <v>Mob</v>
      </c>
      <c r="J30" s="49" t="b">
        <f>IFERROR(__xludf.DUMMYFUNCTION("""COMPUTED_VALUE"""),TRUE)</f>
        <v>1</v>
      </c>
      <c r="K30" s="49" t="str">
        <f>IFERROR(__xludf.DUMMYFUNCTION("""COMPUTED_VALUE"""),"mob power")</f>
        <v>mob power</v>
      </c>
      <c r="L30" s="49" t="b">
        <f>IFERROR(__xludf.DUMMYFUNCTION("""COMPUTED_VALUE"""),FALSE)</f>
        <v>0</v>
      </c>
      <c r="M30" s="49" t="b">
        <f>IFERROR(__xludf.DUMMYFUNCTION("""COMPUTED_VALUE"""),TRUE)</f>
        <v>1</v>
      </c>
      <c r="N30" s="49"/>
    </row>
    <row r="31">
      <c r="A31" s="49" t="str">
        <f>IFERROR(__xludf.DUMMYFUNCTION("""COMPUTED_VALUE"""),"Solar Eclipse")</f>
        <v>Solar Eclipse</v>
      </c>
      <c r="B31" s="126">
        <f>IFERROR(__xludf.DUMMYFUNCTION("""COMPUTED_VALUE"""),9.0)</f>
        <v>9</v>
      </c>
      <c r="C31" s="125">
        <f>IFERROR(__xludf.DUMMYFUNCTION("""COMPUTED_VALUE"""),600000.0)</f>
        <v>600000</v>
      </c>
      <c r="D31" s="49"/>
      <c r="E31" s="49"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49" t="str">
        <f>IFERROR(__xludf.DUMMYFUNCTION("""COMPUTED_VALUE"""),"Cannot Avoid")</f>
        <v>Cannot Avoid</v>
      </c>
      <c r="G31" s="49"/>
      <c r="H31" s="49" t="str">
        <f>IFERROR(__xludf.DUMMYFUNCTION("""COMPUTED_VALUE"""),"Astral")</f>
        <v>Astral</v>
      </c>
      <c r="I31" s="49" t="str">
        <f>IFERROR(__xludf.DUMMYFUNCTION("""COMPUTED_VALUE"""),"Mob")</f>
        <v>Mob</v>
      </c>
      <c r="J31" s="49" t="b">
        <f>IFERROR(__xludf.DUMMYFUNCTION("""COMPUTED_VALUE"""),TRUE)</f>
        <v>1</v>
      </c>
      <c r="K31" s="49" t="str">
        <f>IFERROR(__xludf.DUMMYFUNCTION("""COMPUTED_VALUE"""),"mob power")</f>
        <v>mob power</v>
      </c>
      <c r="L31" s="49" t="b">
        <f>IFERROR(__xludf.DUMMYFUNCTION("""COMPUTED_VALUE"""),FALSE)</f>
        <v>0</v>
      </c>
      <c r="M31" s="49" t="b">
        <f>IFERROR(__xludf.DUMMYFUNCTION("""COMPUTED_VALUE"""),TRUE)</f>
        <v>1</v>
      </c>
      <c r="N31" s="49"/>
    </row>
    <row r="32">
      <c r="A32" s="49" t="str">
        <f>IFERROR(__xludf.DUMMYFUNCTION("""COMPUTED_VALUE"""),"A Worthy Sacrifice")</f>
        <v>A Worthy Sacrifice</v>
      </c>
      <c r="B32" s="126">
        <f>IFERROR(__xludf.DUMMYFUNCTION("""COMPUTED_VALUE"""),9.0)</f>
        <v>9</v>
      </c>
      <c r="C32" s="49"/>
      <c r="D32" s="49" t="str">
        <f>IFERROR(__xludf.DUMMYFUNCTION("""COMPUTED_VALUE"""),"All")</f>
        <v>All</v>
      </c>
      <c r="E32" s="49" t="str">
        <f>IFERROR(__xludf.DUMMYFUNCTION("""COMPUTED_VALUE"""),"Revive all allies by completely depleting your own hp, Cannot resist or be immune to.")</f>
        <v>Revive all allies by completely depleting your own hp, Cannot resist or be immune to.</v>
      </c>
      <c r="F32" s="49" t="str">
        <f>IFERROR(__xludf.DUMMYFUNCTION("""COMPUTED_VALUE"""),"Will Succeed")</f>
        <v>Will Succeed</v>
      </c>
      <c r="G32" s="49"/>
      <c r="H32" s="49" t="str">
        <f>IFERROR(__xludf.DUMMYFUNCTION("""COMPUTED_VALUE"""),"Blood")</f>
        <v>Blood</v>
      </c>
      <c r="I32" s="49" t="str">
        <f>IFERROR(__xludf.DUMMYFUNCTION("""COMPUTED_VALUE"""),"Player")</f>
        <v>Player</v>
      </c>
      <c r="J32" s="49" t="b">
        <f>IFERROR(__xludf.DUMMYFUNCTION("""COMPUTED_VALUE"""),FALSE)</f>
        <v>0</v>
      </c>
      <c r="K32" s="49"/>
      <c r="L32" s="49" t="b">
        <f>IFERROR(__xludf.DUMMYFUNCTION("""COMPUTED_VALUE"""),TRUE)</f>
        <v>1</v>
      </c>
      <c r="M32" s="49" t="b">
        <f>IFERROR(__xludf.DUMMYFUNCTION("""COMPUTED_VALUE"""),FALSE)</f>
        <v>0</v>
      </c>
      <c r="N32" s="49"/>
    </row>
    <row r="33">
      <c r="A33" s="49" t="str">
        <f>IFERROR(__xludf.DUMMYFUNCTION("""COMPUTED_VALUE"""),"Absorbing Blood")</f>
        <v>Absorbing Blood</v>
      </c>
      <c r="B33" s="126">
        <f>IFERROR(__xludf.DUMMYFUNCTION("""COMPUTED_VALUE"""),9.0)</f>
        <v>9</v>
      </c>
      <c r="C33" s="49"/>
      <c r="D33" s="49">
        <f>IFERROR(__xludf.DUMMYFUNCTION("""COMPUTED_VALUE"""),300.0)</f>
        <v>300</v>
      </c>
      <c r="E33" s="49"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49" t="str">
        <f>IFERROR(__xludf.DUMMYFUNCTION("""COMPUTED_VALUE"""),"Hit/Miss")</f>
        <v>Hit/Miss</v>
      </c>
      <c r="G33" s="49">
        <f>IFERROR(__xludf.DUMMYFUNCTION("""COMPUTED_VALUE"""),1.0)</f>
        <v>1</v>
      </c>
      <c r="H33" s="49" t="str">
        <f>IFERROR(__xludf.DUMMYFUNCTION("""COMPUTED_VALUE"""),"Blood")</f>
        <v>Blood</v>
      </c>
      <c r="I33" s="49" t="str">
        <f>IFERROR(__xludf.DUMMYFUNCTION("""COMPUTED_VALUE"""),"Player")</f>
        <v>Player</v>
      </c>
      <c r="J33" s="49" t="b">
        <f>IFERROR(__xludf.DUMMYFUNCTION("""COMPUTED_VALUE"""),FALSE)</f>
        <v>0</v>
      </c>
      <c r="K33" s="49"/>
      <c r="L33" s="49" t="b">
        <f>IFERROR(__xludf.DUMMYFUNCTION("""COMPUTED_VALUE"""),TRUE)</f>
        <v>1</v>
      </c>
      <c r="M33" s="49" t="b">
        <f>IFERROR(__xludf.DUMMYFUNCTION("""COMPUTED_VALUE"""),FALSE)</f>
        <v>0</v>
      </c>
      <c r="N33" s="49"/>
    </row>
    <row r="34">
      <c r="A34" s="49" t="str">
        <f>IFERROR(__xludf.DUMMYFUNCTION("""COMPUTED_VALUE"""),"Bleeding Catastrophe")</f>
        <v>Bleeding Catastrophe</v>
      </c>
      <c r="B34" s="126">
        <f>IFERROR(__xludf.DUMMYFUNCTION("""COMPUTED_VALUE"""),9.0)</f>
        <v>9</v>
      </c>
      <c r="C34" s="49"/>
      <c r="D34" s="49">
        <f>IFERROR(__xludf.DUMMYFUNCTION("""COMPUTED_VALUE"""),300.0)</f>
        <v>300</v>
      </c>
      <c r="E34" s="49" t="str">
        <f>IFERROR(__xludf.DUMMYFUNCTION("""COMPUTED_VALUE"""),"An equipped weapon will deal an additional X2 bleeding damage per round for 3 rounds.")</f>
        <v>An equipped weapon will deal an additional X2 bleeding damage per round for 3 rounds.</v>
      </c>
      <c r="F34" s="49" t="str">
        <f>IFERROR(__xludf.DUMMYFUNCTION("""COMPUTED_VALUE"""),"Will Succeed")</f>
        <v>Will Succeed</v>
      </c>
      <c r="G34" s="49"/>
      <c r="H34" s="49" t="str">
        <f>IFERROR(__xludf.DUMMYFUNCTION("""COMPUTED_VALUE"""),"Blood")</f>
        <v>Blood</v>
      </c>
      <c r="I34" s="49" t="str">
        <f>IFERROR(__xludf.DUMMYFUNCTION("""COMPUTED_VALUE"""),"Player")</f>
        <v>Player</v>
      </c>
      <c r="J34" s="49" t="b">
        <f>IFERROR(__xludf.DUMMYFUNCTION("""COMPUTED_VALUE"""),FALSE)</f>
        <v>0</v>
      </c>
      <c r="K34" s="49"/>
      <c r="L34" s="49" t="b">
        <f>IFERROR(__xludf.DUMMYFUNCTION("""COMPUTED_VALUE"""),TRUE)</f>
        <v>1</v>
      </c>
      <c r="M34" s="49" t="b">
        <f>IFERROR(__xludf.DUMMYFUNCTION("""COMPUTED_VALUE"""),FALSE)</f>
        <v>0</v>
      </c>
      <c r="N34" s="49"/>
    </row>
    <row r="35">
      <c r="A35" s="49" t="str">
        <f>IFERROR(__xludf.DUMMYFUNCTION("""COMPUTED_VALUE"""),"Blood Barrage")</f>
        <v>Blood Barrage</v>
      </c>
      <c r="B35" s="126">
        <f>IFERROR(__xludf.DUMMYFUNCTION("""COMPUTED_VALUE"""),6.0)</f>
        <v>6</v>
      </c>
      <c r="C35" s="49"/>
      <c r="D35" s="49" t="str">
        <f>IFERROR(__xludf.DUMMYFUNCTION("""COMPUTED_VALUE"""),"1d20*10")</f>
        <v>1d20*10</v>
      </c>
      <c r="E35" s="49" t="str">
        <f>IFERROR(__xludf.DUMMYFUNCTION("""COMPUTED_VALUE"""),"Drains 1d20*1000 HP.")</f>
        <v>Drains 1d20*1000 HP.</v>
      </c>
      <c r="F35" s="49" t="str">
        <f>IFERROR(__xludf.DUMMYFUNCTION("""COMPUTED_VALUE"""),"Hit/Miss")</f>
        <v>Hit/Miss</v>
      </c>
      <c r="G35" s="49">
        <f>IFERROR(__xludf.DUMMYFUNCTION("""COMPUTED_VALUE"""),1.0)</f>
        <v>1</v>
      </c>
      <c r="H35" s="49" t="str">
        <f>IFERROR(__xludf.DUMMYFUNCTION("""COMPUTED_VALUE"""),"Blood")</f>
        <v>Blood</v>
      </c>
      <c r="I35" s="49" t="str">
        <f>IFERROR(__xludf.DUMMYFUNCTION("""COMPUTED_VALUE"""),"Player")</f>
        <v>Player</v>
      </c>
      <c r="J35" s="49" t="b">
        <f>IFERROR(__xludf.DUMMYFUNCTION("""COMPUTED_VALUE"""),FALSE)</f>
        <v>0</v>
      </c>
      <c r="K35" s="49"/>
      <c r="L35" s="49" t="b">
        <f>IFERROR(__xludf.DUMMYFUNCTION("""COMPUTED_VALUE"""),TRUE)</f>
        <v>1</v>
      </c>
      <c r="M35" s="49" t="b">
        <f>IFERROR(__xludf.DUMMYFUNCTION("""COMPUTED_VALUE"""),FALSE)</f>
        <v>0</v>
      </c>
      <c r="N35" s="49"/>
    </row>
    <row r="36">
      <c r="A36" s="49" t="str">
        <f>IFERROR(__xludf.DUMMYFUNCTION("""COMPUTED_VALUE"""),"Blood Fire")</f>
        <v>Blood Fire</v>
      </c>
      <c r="B36" s="126">
        <f>IFERROR(__xludf.DUMMYFUNCTION("""COMPUTED_VALUE"""),5.0)</f>
        <v>5</v>
      </c>
      <c r="C36" s="49"/>
      <c r="D36" s="49" t="str">
        <f>IFERROR(__xludf.DUMMYFUNCTION("""COMPUTED_VALUE"""),"X")</f>
        <v>X</v>
      </c>
      <c r="E36" s="49" t="str">
        <f>IFERROR(__xludf.DUMMYFUNCTION("""COMPUTED_VALUE"""),"X*50 Blood and X*50 Fire Damage where X is equal to HP spent.")</f>
        <v>X*50 Blood and X*50 Fire Damage where X is equal to HP spent.</v>
      </c>
      <c r="F36" s="49" t="str">
        <f>IFERROR(__xludf.DUMMYFUNCTION("""COMPUTED_VALUE"""),"Hit/Miss")</f>
        <v>Hit/Miss</v>
      </c>
      <c r="G36" s="49">
        <f>IFERROR(__xludf.DUMMYFUNCTION("""COMPUTED_VALUE"""),1.0)</f>
        <v>1</v>
      </c>
      <c r="H36" s="49" t="str">
        <f>IFERROR(__xludf.DUMMYFUNCTION("""COMPUTED_VALUE"""),"Blood")</f>
        <v>Blood</v>
      </c>
      <c r="I36" s="49" t="str">
        <f>IFERROR(__xludf.DUMMYFUNCTION("""COMPUTED_VALUE"""),"Player")</f>
        <v>Player</v>
      </c>
      <c r="J36" s="49" t="b">
        <f>IFERROR(__xludf.DUMMYFUNCTION("""COMPUTED_VALUE"""),FALSE)</f>
        <v>0</v>
      </c>
      <c r="K36" s="49"/>
      <c r="L36" s="49" t="b">
        <f>IFERROR(__xludf.DUMMYFUNCTION("""COMPUTED_VALUE"""),TRUE)</f>
        <v>1</v>
      </c>
      <c r="M36" s="49" t="b">
        <f>IFERROR(__xludf.DUMMYFUNCTION("""COMPUTED_VALUE"""),FALSE)</f>
        <v>0</v>
      </c>
      <c r="N36" s="49"/>
    </row>
    <row r="37">
      <c r="A37" s="49" t="str">
        <f>IFERROR(__xludf.DUMMYFUNCTION("""COMPUTED_VALUE"""),"Blood Geyser")</f>
        <v>Blood Geyser</v>
      </c>
      <c r="B37" s="126">
        <f>IFERROR(__xludf.DUMMYFUNCTION("""COMPUTED_VALUE"""),7.0)</f>
        <v>7</v>
      </c>
      <c r="C37" s="49"/>
      <c r="D37" s="49">
        <f>IFERROR(__xludf.DUMMYFUNCTION("""COMPUTED_VALUE"""),600.0)</f>
        <v>600</v>
      </c>
      <c r="E37" s="49"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49" t="str">
        <f>IFERROR(__xludf.DUMMYFUNCTION("""COMPUTED_VALUE"""),"Cannot Avoid")</f>
        <v>Cannot Avoid</v>
      </c>
      <c r="G37" s="49"/>
      <c r="H37" s="49" t="str">
        <f>IFERROR(__xludf.DUMMYFUNCTION("""COMPUTED_VALUE"""),"Blood")</f>
        <v>Blood</v>
      </c>
      <c r="I37" s="49" t="str">
        <f>IFERROR(__xludf.DUMMYFUNCTION("""COMPUTED_VALUE"""),"Player")</f>
        <v>Player</v>
      </c>
      <c r="J37" s="49" t="b">
        <f>IFERROR(__xludf.DUMMYFUNCTION("""COMPUTED_VALUE"""),FALSE)</f>
        <v>0</v>
      </c>
      <c r="K37" s="49"/>
      <c r="L37" s="49" t="b">
        <f>IFERROR(__xludf.DUMMYFUNCTION("""COMPUTED_VALUE"""),TRUE)</f>
        <v>1</v>
      </c>
      <c r="M37" s="49" t="b">
        <f>IFERROR(__xludf.DUMMYFUNCTION("""COMPUTED_VALUE"""),FALSE)</f>
        <v>0</v>
      </c>
      <c r="N37" s="49"/>
    </row>
    <row r="38">
      <c r="A38" s="49" t="str">
        <f>IFERROR(__xludf.DUMMYFUNCTION("""COMPUTED_VALUE"""),"Blood Rejuvenation")</f>
        <v>Blood Rejuvenation</v>
      </c>
      <c r="B38" s="126">
        <f>IFERROR(__xludf.DUMMYFUNCTION("""COMPUTED_VALUE"""),5.0)</f>
        <v>5</v>
      </c>
      <c r="C38" s="49"/>
      <c r="D38" s="49" t="str">
        <f>IFERROR(__xludf.DUMMYFUNCTION("""COMPUTED_VALUE"""),"X")</f>
        <v>X</v>
      </c>
      <c r="E38" s="49" t="str">
        <f>IFERROR(__xludf.DUMMYFUNCTION("""COMPUTED_VALUE"""),"Restores X*50 HP to target for 3 rounds. Cannot be used on self")</f>
        <v>Restores X*50 HP to target for 3 rounds. Cannot be used on self</v>
      </c>
      <c r="F38" s="49" t="str">
        <f>IFERROR(__xludf.DUMMYFUNCTION("""COMPUTED_VALUE"""),"Fail/Succeed")</f>
        <v>Fail/Succeed</v>
      </c>
      <c r="G38" s="49"/>
      <c r="H38" s="49" t="str">
        <f>IFERROR(__xludf.DUMMYFUNCTION("""COMPUTED_VALUE"""),"Blood")</f>
        <v>Blood</v>
      </c>
      <c r="I38" s="49" t="str">
        <f>IFERROR(__xludf.DUMMYFUNCTION("""COMPUTED_VALUE"""),"Player")</f>
        <v>Player</v>
      </c>
      <c r="J38" s="49" t="b">
        <f>IFERROR(__xludf.DUMMYFUNCTION("""COMPUTED_VALUE"""),FALSE)</f>
        <v>0</v>
      </c>
      <c r="K38" s="49"/>
      <c r="L38" s="49" t="b">
        <f>IFERROR(__xludf.DUMMYFUNCTION("""COMPUTED_VALUE"""),TRUE)</f>
        <v>1</v>
      </c>
      <c r="M38" s="49" t="b">
        <f>IFERROR(__xludf.DUMMYFUNCTION("""COMPUTED_VALUE"""),FALSE)</f>
        <v>0</v>
      </c>
      <c r="N38" s="49"/>
    </row>
    <row r="39">
      <c r="A39" s="49" t="str">
        <f>IFERROR(__xludf.DUMMYFUNCTION("""COMPUTED_VALUE"""),"Blood Siphon")</f>
        <v>Blood Siphon</v>
      </c>
      <c r="B39" s="126">
        <f>IFERROR(__xludf.DUMMYFUNCTION("""COMPUTED_VALUE"""),5.0)</f>
        <v>5</v>
      </c>
      <c r="C39" s="49"/>
      <c r="D39" s="49" t="str">
        <f>IFERROR(__xludf.DUMMYFUNCTION("""COMPUTED_VALUE"""),"X")</f>
        <v>X</v>
      </c>
      <c r="E39" s="49" t="str">
        <f>IFERROR(__xludf.DUMMYFUNCTION("""COMPUTED_VALUE"""),"Drain X*100 HP from target where X is equal to HP spent.")</f>
        <v>Drain X*100 HP from target where X is equal to HP spent.</v>
      </c>
      <c r="F39" s="49" t="str">
        <f>IFERROR(__xludf.DUMMYFUNCTION("""COMPUTED_VALUE"""),"Hit/Miss")</f>
        <v>Hit/Miss</v>
      </c>
      <c r="G39" s="49"/>
      <c r="H39" s="49" t="str">
        <f>IFERROR(__xludf.DUMMYFUNCTION("""COMPUTED_VALUE"""),"Blood")</f>
        <v>Blood</v>
      </c>
      <c r="I39" s="49" t="str">
        <f>IFERROR(__xludf.DUMMYFUNCTION("""COMPUTED_VALUE"""),"Player")</f>
        <v>Player</v>
      </c>
      <c r="J39" s="49" t="b">
        <f>IFERROR(__xludf.DUMMYFUNCTION("""COMPUTED_VALUE"""),FALSE)</f>
        <v>0</v>
      </c>
      <c r="K39" s="49"/>
      <c r="L39" s="49" t="b">
        <f>IFERROR(__xludf.DUMMYFUNCTION("""COMPUTED_VALUE"""),TRUE)</f>
        <v>1</v>
      </c>
      <c r="M39" s="49" t="b">
        <f>IFERROR(__xludf.DUMMYFUNCTION("""COMPUTED_VALUE"""),FALSE)</f>
        <v>0</v>
      </c>
      <c r="N39" s="49"/>
    </row>
    <row r="40">
      <c r="A40" s="49" t="str">
        <f>IFERROR(__xludf.DUMMYFUNCTION("""COMPUTED_VALUE"""),"Blood Transfusion")</f>
        <v>Blood Transfusion</v>
      </c>
      <c r="B40" s="126">
        <f>IFERROR(__xludf.DUMMYFUNCTION("""COMPUTED_VALUE"""),4.0)</f>
        <v>4</v>
      </c>
      <c r="C40" s="49"/>
      <c r="D40" s="49" t="str">
        <f>IFERROR(__xludf.DUMMYFUNCTION("""COMPUTED_VALUE"""),"d100")</f>
        <v>d100</v>
      </c>
      <c r="E40" s="49"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49" t="str">
        <f>IFERROR(__xludf.DUMMYFUNCTION("""COMPUTED_VALUE"""),"Fail/Succeed")</f>
        <v>Fail/Succeed</v>
      </c>
      <c r="G40" s="49"/>
      <c r="H40" s="49" t="str">
        <f>IFERROR(__xludf.DUMMYFUNCTION("""COMPUTED_VALUE"""),"Blood")</f>
        <v>Blood</v>
      </c>
      <c r="I40" s="49" t="str">
        <f>IFERROR(__xludf.DUMMYFUNCTION("""COMPUTED_VALUE"""),"Player")</f>
        <v>Player</v>
      </c>
      <c r="J40" s="49" t="b">
        <f>IFERROR(__xludf.DUMMYFUNCTION("""COMPUTED_VALUE"""),FALSE)</f>
        <v>0</v>
      </c>
      <c r="K40" s="49"/>
      <c r="L40" s="49" t="b">
        <f>IFERROR(__xludf.DUMMYFUNCTION("""COMPUTED_VALUE"""),TRUE)</f>
        <v>1</v>
      </c>
      <c r="M40" s="49" t="b">
        <f>IFERROR(__xludf.DUMMYFUNCTION("""COMPUTED_VALUE"""),FALSE)</f>
        <v>0</v>
      </c>
      <c r="N40" s="49"/>
    </row>
    <row r="41">
      <c r="A41" s="49" t="str">
        <f>IFERROR(__xludf.DUMMYFUNCTION("""COMPUTED_VALUE"""),"Bloody Alliance")</f>
        <v>Bloody Alliance</v>
      </c>
      <c r="B41" s="126">
        <f>IFERROR(__xludf.DUMMYFUNCTION("""COMPUTED_VALUE"""),9.0)</f>
        <v>9</v>
      </c>
      <c r="C41" s="49"/>
      <c r="D41" s="49" t="str">
        <f>IFERROR(__xludf.DUMMYFUNCTION("""COMPUTED_VALUE"""),"X*1000")</f>
        <v>X*1000</v>
      </c>
      <c r="E41" s="49" t="str">
        <f>IFERROR(__xludf.DUMMYFUNCTION("""COMPUTED_VALUE"""),"Select up to 3 target's to gain SP equal to the damage you take from the next incoming attack.")</f>
        <v>Select up to 3 target's to gain SP equal to the damage you take from the next incoming attack.</v>
      </c>
      <c r="F41" s="49" t="str">
        <f>IFERROR(__xludf.DUMMYFUNCTION("""COMPUTED_VALUE"""),"Fail/Succeed")</f>
        <v>Fail/Succeed</v>
      </c>
      <c r="G41" s="49" t="str">
        <f>IFERROR(__xludf.DUMMYFUNCTION("""COMPUTED_VALUE"""),"X")</f>
        <v>X</v>
      </c>
      <c r="H41" s="49" t="str">
        <f>IFERROR(__xludf.DUMMYFUNCTION("""COMPUTED_VALUE"""),"Blood")</f>
        <v>Blood</v>
      </c>
      <c r="I41" s="49" t="str">
        <f>IFERROR(__xludf.DUMMYFUNCTION("""COMPUTED_VALUE"""),"Player")</f>
        <v>Player</v>
      </c>
      <c r="J41" s="49" t="b">
        <f>IFERROR(__xludf.DUMMYFUNCTION("""COMPUTED_VALUE"""),FALSE)</f>
        <v>0</v>
      </c>
      <c r="K41" s="49"/>
      <c r="L41" s="49" t="b">
        <f>IFERROR(__xludf.DUMMYFUNCTION("""COMPUTED_VALUE"""),TRUE)</f>
        <v>1</v>
      </c>
      <c r="M41" s="49" t="b">
        <f>IFERROR(__xludf.DUMMYFUNCTION("""COMPUTED_VALUE"""),FALSE)</f>
        <v>0</v>
      </c>
      <c r="N41" s="49"/>
    </row>
    <row r="42">
      <c r="A42" s="49" t="str">
        <f>IFERROR(__xludf.DUMMYFUNCTION("""COMPUTED_VALUE"""),"Bloody Knuckles")</f>
        <v>Bloody Knuckles</v>
      </c>
      <c r="B42" s="126">
        <f>IFERROR(__xludf.DUMMYFUNCTION("""COMPUTED_VALUE"""),4.0)</f>
        <v>4</v>
      </c>
      <c r="C42" s="49"/>
      <c r="D42" s="49">
        <f>IFERROR(__xludf.DUMMYFUNCTION("""COMPUTED_VALUE"""),40.0)</f>
        <v>40</v>
      </c>
      <c r="E42" s="49" t="str">
        <f>IFERROR(__xludf.DUMMYFUNCTION("""COMPUTED_VALUE"""),"X2 additional bleeding damage for weapons and spells.")</f>
        <v>X2 additional bleeding damage for weapons and spells.</v>
      </c>
      <c r="F42" s="49" t="str">
        <f>IFERROR(__xludf.DUMMYFUNCTION("""COMPUTED_VALUE"""),"Fail/Succeed")</f>
        <v>Fail/Succeed</v>
      </c>
      <c r="G42" s="49"/>
      <c r="H42" s="49" t="str">
        <f>IFERROR(__xludf.DUMMYFUNCTION("""COMPUTED_VALUE"""),"Blood")</f>
        <v>Blood</v>
      </c>
      <c r="I42" s="49" t="str">
        <f>IFERROR(__xludf.DUMMYFUNCTION("""COMPUTED_VALUE"""),"Player")</f>
        <v>Player</v>
      </c>
      <c r="J42" s="49" t="b">
        <f>IFERROR(__xludf.DUMMYFUNCTION("""COMPUTED_VALUE"""),FALSE)</f>
        <v>0</v>
      </c>
      <c r="K42" s="49"/>
      <c r="L42" s="49" t="b">
        <f>IFERROR(__xludf.DUMMYFUNCTION("""COMPUTED_VALUE"""),TRUE)</f>
        <v>1</v>
      </c>
      <c r="M42" s="49" t="b">
        <f>IFERROR(__xludf.DUMMYFUNCTION("""COMPUTED_VALUE"""),FALSE)</f>
        <v>0</v>
      </c>
      <c r="N42" s="49"/>
    </row>
    <row r="43">
      <c r="A43" s="49" t="str">
        <f>IFERROR(__xludf.DUMMYFUNCTION("""COMPUTED_VALUE"""),"Callous Sacrifice")</f>
        <v>Callous Sacrifice</v>
      </c>
      <c r="B43" s="126">
        <f>IFERROR(__xludf.DUMMYFUNCTION("""COMPUTED_VALUE"""),8.0)</f>
        <v>8</v>
      </c>
      <c r="C43" s="49" t="str">
        <f>IFERROR(__xludf.DUMMYFUNCTION("""COMPUTED_VALUE"""),"X*300")</f>
        <v>X*300</v>
      </c>
      <c r="D43" s="49">
        <f>IFERROR(__xludf.DUMMYFUNCTION("""COMPUTED_VALUE"""),200.0)</f>
        <v>200</v>
      </c>
      <c r="E43" s="49" t="str">
        <f>IFERROR(__xludf.DUMMYFUNCTION("""COMPUTED_VALUE"""),"Sacrifice a party member. All enemies take 6* sacrificed party member’s Max HP.")</f>
        <v>Sacrifice a party member. All enemies take 6* sacrificed party member’s Max HP.</v>
      </c>
      <c r="F43" s="49" t="str">
        <f>IFERROR(__xludf.DUMMYFUNCTION("""COMPUTED_VALUE"""),"Fail/Succeed")</f>
        <v>Fail/Succeed</v>
      </c>
      <c r="G43" s="49"/>
      <c r="H43" s="49" t="str">
        <f>IFERROR(__xludf.DUMMYFUNCTION("""COMPUTED_VALUE"""),"Blood")</f>
        <v>Blood</v>
      </c>
      <c r="I43" s="49" t="str">
        <f>IFERROR(__xludf.DUMMYFUNCTION("""COMPUTED_VALUE"""),"Player")</f>
        <v>Player</v>
      </c>
      <c r="J43" s="49" t="b">
        <f>IFERROR(__xludf.DUMMYFUNCTION("""COMPUTED_VALUE"""),FALSE)</f>
        <v>0</v>
      </c>
      <c r="K43" s="49"/>
      <c r="L43" s="49" t="b">
        <f>IFERROR(__xludf.DUMMYFUNCTION("""COMPUTED_VALUE"""),TRUE)</f>
        <v>1</v>
      </c>
      <c r="M43" s="49" t="b">
        <f>IFERROR(__xludf.DUMMYFUNCTION("""COMPUTED_VALUE"""),FALSE)</f>
        <v>0</v>
      </c>
      <c r="N43" s="49"/>
    </row>
    <row r="44">
      <c r="A44" s="49" t="str">
        <f>IFERROR(__xludf.DUMMYFUNCTION("""COMPUTED_VALUE"""),"Damage With A Cost.")</f>
        <v>Damage With A Cost.</v>
      </c>
      <c r="B44" s="126">
        <f>IFERROR(__xludf.DUMMYFUNCTION("""COMPUTED_VALUE"""),9.0)</f>
        <v>9</v>
      </c>
      <c r="C44" s="49"/>
      <c r="D44" s="49">
        <f>IFERROR(__xludf.DUMMYFUNCTION("""COMPUTED_VALUE"""),1000.0)</f>
        <v>1000</v>
      </c>
      <c r="E44" s="49" t="str">
        <f>IFERROR(__xludf.DUMMYFUNCTION("""COMPUTED_VALUE"""),"For 3 rounds enemies will take the same amount of damage you or your allies take.")</f>
        <v>For 3 rounds enemies will take the same amount of damage you or your allies take.</v>
      </c>
      <c r="F44" s="49" t="str">
        <f>IFERROR(__xludf.DUMMYFUNCTION("""COMPUTED_VALUE"""),"Fail/Succeed")</f>
        <v>Fail/Succeed</v>
      </c>
      <c r="G44" s="49"/>
      <c r="H44" s="49" t="str">
        <f>IFERROR(__xludf.DUMMYFUNCTION("""COMPUTED_VALUE"""),"Blood")</f>
        <v>Blood</v>
      </c>
      <c r="I44" s="49" t="str">
        <f>IFERROR(__xludf.DUMMYFUNCTION("""COMPUTED_VALUE"""),"Player")</f>
        <v>Player</v>
      </c>
      <c r="J44" s="49" t="b">
        <f>IFERROR(__xludf.DUMMYFUNCTION("""COMPUTED_VALUE"""),FALSE)</f>
        <v>0</v>
      </c>
      <c r="K44" s="49"/>
      <c r="L44" s="49" t="b">
        <f>IFERROR(__xludf.DUMMYFUNCTION("""COMPUTED_VALUE"""),TRUE)</f>
        <v>1</v>
      </c>
      <c r="M44" s="49" t="b">
        <f>IFERROR(__xludf.DUMMYFUNCTION("""COMPUTED_VALUE"""),FALSE)</f>
        <v>0</v>
      </c>
      <c r="N44" s="49"/>
    </row>
    <row r="45">
      <c r="A45" s="49" t="str">
        <f>IFERROR(__xludf.DUMMYFUNCTION("""COMPUTED_VALUE"""),"One For Another")</f>
        <v>One For Another</v>
      </c>
      <c r="B45" s="126">
        <f>IFERROR(__xludf.DUMMYFUNCTION("""COMPUTED_VALUE"""),6.0)</f>
        <v>6</v>
      </c>
      <c r="C45" s="49"/>
      <c r="D45" s="49" t="str">
        <f>IFERROR(__xludf.DUMMYFUNCTION("""COMPUTED_VALUE"""),"X")</f>
        <v>X</v>
      </c>
      <c r="E45" s="49" t="str">
        <f>IFERROR(__xludf.DUMMYFUNCTION("""COMPUTED_VALUE"""),"Drain all but 1HP from a party member to Drain all but 1HP from 1 enemy.")</f>
        <v>Drain all but 1HP from a party member to Drain all but 1HP from 1 enemy.</v>
      </c>
      <c r="F45" s="49" t="str">
        <f>IFERROR(__xludf.DUMMYFUNCTION("""COMPUTED_VALUE"""),"Hit/Miss")</f>
        <v>Hit/Miss</v>
      </c>
      <c r="G45" s="49">
        <f>IFERROR(__xludf.DUMMYFUNCTION("""COMPUTED_VALUE"""),1.0)</f>
        <v>1</v>
      </c>
      <c r="H45" s="49" t="str">
        <f>IFERROR(__xludf.DUMMYFUNCTION("""COMPUTED_VALUE"""),"Blood")</f>
        <v>Blood</v>
      </c>
      <c r="I45" s="49" t="str">
        <f>IFERROR(__xludf.DUMMYFUNCTION("""COMPUTED_VALUE"""),"Player")</f>
        <v>Player</v>
      </c>
      <c r="J45" s="49" t="b">
        <f>IFERROR(__xludf.DUMMYFUNCTION("""COMPUTED_VALUE"""),FALSE)</f>
        <v>0</v>
      </c>
      <c r="K45" s="49"/>
      <c r="L45" s="49" t="b">
        <f>IFERROR(__xludf.DUMMYFUNCTION("""COMPUTED_VALUE"""),TRUE)</f>
        <v>1</v>
      </c>
      <c r="M45" s="49" t="b">
        <f>IFERROR(__xludf.DUMMYFUNCTION("""COMPUTED_VALUE"""),FALSE)</f>
        <v>0</v>
      </c>
      <c r="N45" s="49"/>
    </row>
    <row r="46">
      <c r="A46" s="49" t="str">
        <f>IFERROR(__xludf.DUMMYFUNCTION("""COMPUTED_VALUE"""),"Purified Blood")</f>
        <v>Purified Blood</v>
      </c>
      <c r="B46" s="126">
        <f>IFERROR(__xludf.DUMMYFUNCTION("""COMPUTED_VALUE"""),6.0)</f>
        <v>6</v>
      </c>
      <c r="C46" s="49"/>
      <c r="D46" s="49">
        <f>IFERROR(__xludf.DUMMYFUNCTION("""COMPUTED_VALUE"""),60.0)</f>
        <v>60</v>
      </c>
      <c r="E46" s="49" t="str">
        <f>IFERROR(__xludf.DUMMYFUNCTION("""COMPUTED_VALUE"""),"Cure a target of the Bleed effect, or drain 10,000 health from an undead creature.")</f>
        <v>Cure a target of the Bleed effect, or drain 10,000 health from an undead creature.</v>
      </c>
      <c r="F46" s="49" t="str">
        <f>IFERROR(__xludf.DUMMYFUNCTION("""COMPUTED_VALUE"""),"Hit/Miss")</f>
        <v>Hit/Miss</v>
      </c>
      <c r="G46" s="49">
        <f>IFERROR(__xludf.DUMMYFUNCTION("""COMPUTED_VALUE"""),1.0)</f>
        <v>1</v>
      </c>
      <c r="H46" s="49" t="str">
        <f>IFERROR(__xludf.DUMMYFUNCTION("""COMPUTED_VALUE"""),"Blood")</f>
        <v>Blood</v>
      </c>
      <c r="I46" s="49" t="str">
        <f>IFERROR(__xludf.DUMMYFUNCTION("""COMPUTED_VALUE"""),"Player")</f>
        <v>Player</v>
      </c>
      <c r="J46" s="49" t="b">
        <f>IFERROR(__xludf.DUMMYFUNCTION("""COMPUTED_VALUE"""),FALSE)</f>
        <v>0</v>
      </c>
      <c r="K46" s="49"/>
      <c r="L46" s="49" t="b">
        <f>IFERROR(__xludf.DUMMYFUNCTION("""COMPUTED_VALUE"""),TRUE)</f>
        <v>1</v>
      </c>
      <c r="M46" s="49" t="b">
        <f>IFERROR(__xludf.DUMMYFUNCTION("""COMPUTED_VALUE"""),FALSE)</f>
        <v>0</v>
      </c>
      <c r="N46" s="49"/>
    </row>
    <row r="47">
      <c r="A47" s="49" t="str">
        <f>IFERROR(__xludf.DUMMYFUNCTION("""COMPUTED_VALUE"""),"Swallow")</f>
        <v>Swallow</v>
      </c>
      <c r="B47" s="126">
        <f>IFERROR(__xludf.DUMMYFUNCTION("""COMPUTED_VALUE"""),7.0)</f>
        <v>7</v>
      </c>
      <c r="C47" s="49"/>
      <c r="D47" s="49">
        <f>IFERROR(__xludf.DUMMYFUNCTION("""COMPUTED_VALUE"""),100.0)</f>
        <v>100</v>
      </c>
      <c r="E47" s="49" t="str">
        <f>IFERROR(__xludf.DUMMYFUNCTION("""COMPUTED_VALUE"""),"If Target’s Max HP is at least 500 &lt; Caster’s Max HP, The target is instantly vanquished.")</f>
        <v>If Target’s Max HP is at least 500 &lt; Caster’s Max HP, The target is instantly vanquished.</v>
      </c>
      <c r="F47" s="49" t="str">
        <f>IFERROR(__xludf.DUMMYFUNCTION("""COMPUTED_VALUE"""),"Fail/Succeed")</f>
        <v>Fail/Succeed</v>
      </c>
      <c r="G47" s="49">
        <f>IFERROR(__xludf.DUMMYFUNCTION("""COMPUTED_VALUE"""),1.0)</f>
        <v>1</v>
      </c>
      <c r="H47" s="49" t="str">
        <f>IFERROR(__xludf.DUMMYFUNCTION("""COMPUTED_VALUE"""),"Blood")</f>
        <v>Blood</v>
      </c>
      <c r="I47" s="49" t="str">
        <f>IFERROR(__xludf.DUMMYFUNCTION("""COMPUTED_VALUE"""),"Mob")</f>
        <v>Mob</v>
      </c>
      <c r="J47" s="49" t="b">
        <f>IFERROR(__xludf.DUMMYFUNCTION("""COMPUTED_VALUE"""),TRUE)</f>
        <v>1</v>
      </c>
      <c r="K47" s="49"/>
      <c r="L47" s="49" t="b">
        <f>IFERROR(__xludf.DUMMYFUNCTION("""COMPUTED_VALUE"""),TRUE)</f>
        <v>1</v>
      </c>
      <c r="M47" s="49" t="b">
        <f>IFERROR(__xludf.DUMMYFUNCTION("""COMPUTED_VALUE"""),FALSE)</f>
        <v>0</v>
      </c>
      <c r="N47" s="49"/>
    </row>
    <row r="48">
      <c r="A48" s="49" t="str">
        <f>IFERROR(__xludf.DUMMYFUNCTION("""COMPUTED_VALUE"""),"Tainted Blood")</f>
        <v>Tainted Blood</v>
      </c>
      <c r="B48" s="126">
        <f>IFERROR(__xludf.DUMMYFUNCTION("""COMPUTED_VALUE"""),6.0)</f>
        <v>6</v>
      </c>
      <c r="C48" s="49"/>
      <c r="D48" s="49">
        <f>IFERROR(__xludf.DUMMYFUNCTION("""COMPUTED_VALUE"""),60.0)</f>
        <v>60</v>
      </c>
      <c r="E48" s="49" t="str">
        <f>IFERROR(__xludf.DUMMYFUNCTION("""COMPUTED_VALUE"""),"Inflict Undead (Dark) for 3 rounds to 1 target.")</f>
        <v>Inflict Undead (Dark) for 3 rounds to 1 target.</v>
      </c>
      <c r="F48" s="49" t="str">
        <f>IFERROR(__xludf.DUMMYFUNCTION("""COMPUTED_VALUE"""),"Fail/Succeed")</f>
        <v>Fail/Succeed</v>
      </c>
      <c r="G48" s="49"/>
      <c r="H48" s="49" t="str">
        <f>IFERROR(__xludf.DUMMYFUNCTION("""COMPUTED_VALUE"""),"Blood")</f>
        <v>Blood</v>
      </c>
      <c r="I48" s="49" t="str">
        <f>IFERROR(__xludf.DUMMYFUNCTION("""COMPUTED_VALUE"""),"Player")</f>
        <v>Player</v>
      </c>
      <c r="J48" s="49" t="b">
        <f>IFERROR(__xludf.DUMMYFUNCTION("""COMPUTED_VALUE"""),FALSE)</f>
        <v>0</v>
      </c>
      <c r="K48" s="49"/>
      <c r="L48" s="49" t="b">
        <f>IFERROR(__xludf.DUMMYFUNCTION("""COMPUTED_VALUE"""),TRUE)</f>
        <v>1</v>
      </c>
      <c r="M48" s="49" t="b">
        <f>IFERROR(__xludf.DUMMYFUNCTION("""COMPUTED_VALUE"""),FALSE)</f>
        <v>0</v>
      </c>
      <c r="N48" s="49"/>
    </row>
    <row r="49">
      <c r="A49" s="49" t="str">
        <f>IFERROR(__xludf.DUMMYFUNCTION("""COMPUTED_VALUE"""),"Absorb Life")</f>
        <v>Absorb Life</v>
      </c>
      <c r="B49" s="126">
        <f>IFERROR(__xludf.DUMMYFUNCTION("""COMPUTED_VALUE"""),1.0)</f>
        <v>1</v>
      </c>
      <c r="C49" s="49"/>
      <c r="D49" s="49">
        <f>IFERROR(__xludf.DUMMYFUNCTION("""COMPUTED_VALUE"""),0.0)</f>
        <v>0</v>
      </c>
      <c r="E49" s="49" t="str">
        <f>IFERROR(__xludf.DUMMYFUNCTION("""COMPUTED_VALUE"""),"Drain X*2 HP from 1 target, where X is equal to your accuracy.")</f>
        <v>Drain X*2 HP from 1 target, where X is equal to your accuracy.</v>
      </c>
      <c r="F49" s="49" t="str">
        <f>IFERROR(__xludf.DUMMYFUNCTION("""COMPUTED_VALUE"""),"Natural/ Hit or Miss")</f>
        <v>Natural/ Hit or Miss</v>
      </c>
      <c r="G49" s="49">
        <f>IFERROR(__xludf.DUMMYFUNCTION("""COMPUTED_VALUE"""),1.0)</f>
        <v>1</v>
      </c>
      <c r="H49" s="49" t="str">
        <f>IFERROR(__xludf.DUMMYFUNCTION("""COMPUTED_VALUE"""),"Blood")</f>
        <v>Blood</v>
      </c>
      <c r="I49" s="49" t="str">
        <f>IFERROR(__xludf.DUMMYFUNCTION("""COMPUTED_VALUE"""),"Player")</f>
        <v>Player</v>
      </c>
      <c r="J49" s="49" t="b">
        <f>IFERROR(__xludf.DUMMYFUNCTION("""COMPUTED_VALUE"""),FALSE)</f>
        <v>0</v>
      </c>
      <c r="K49" s="49"/>
      <c r="L49" s="49" t="b">
        <f>IFERROR(__xludf.DUMMYFUNCTION("""COMPUTED_VALUE"""),FALSE)</f>
        <v>0</v>
      </c>
      <c r="M49" s="49" t="b">
        <f>IFERROR(__xludf.DUMMYFUNCTION("""COMPUTED_VALUE"""),FALSE)</f>
        <v>0</v>
      </c>
      <c r="N49" s="49"/>
    </row>
    <row r="50">
      <c r="A50" s="49" t="str">
        <f>IFERROR(__xludf.DUMMYFUNCTION("""COMPUTED_VALUE"""),"Blood Bolt")</f>
        <v>Blood Bolt</v>
      </c>
      <c r="B50" s="126">
        <f>IFERROR(__xludf.DUMMYFUNCTION("""COMPUTED_VALUE"""),1.0)</f>
        <v>1</v>
      </c>
      <c r="C50" s="49"/>
      <c r="D50" s="49" t="str">
        <f>IFERROR(__xludf.DUMMYFUNCTION("""COMPUTED_VALUE"""),"X")</f>
        <v>X</v>
      </c>
      <c r="E50" s="49" t="str">
        <f>IFERROR(__xludf.DUMMYFUNCTION("""COMPUTED_VALUE"""),"Deals X*100 Blood damage to a single enemy where X is equal to HP spent.")</f>
        <v>Deals X*100 Blood damage to a single enemy where X is equal to HP spent.</v>
      </c>
      <c r="F50" s="49" t="str">
        <f>IFERROR(__xludf.DUMMYFUNCTION("""COMPUTED_VALUE"""),"Hit/Miss")</f>
        <v>Hit/Miss</v>
      </c>
      <c r="G50" s="49">
        <f>IFERROR(__xludf.DUMMYFUNCTION("""COMPUTED_VALUE"""),1.0)</f>
        <v>1</v>
      </c>
      <c r="H50" s="49" t="str">
        <f>IFERROR(__xludf.DUMMYFUNCTION("""COMPUTED_VALUE"""),"Blood")</f>
        <v>Blood</v>
      </c>
      <c r="I50" s="49" t="str">
        <f>IFERROR(__xludf.DUMMYFUNCTION("""COMPUTED_VALUE"""),"Player")</f>
        <v>Player</v>
      </c>
      <c r="J50" s="49" t="b">
        <f>IFERROR(__xludf.DUMMYFUNCTION("""COMPUTED_VALUE"""),FALSE)</f>
        <v>0</v>
      </c>
      <c r="K50" s="49"/>
      <c r="L50" s="49" t="b">
        <f>IFERROR(__xludf.DUMMYFUNCTION("""COMPUTED_VALUE"""),FALSE)</f>
        <v>0</v>
      </c>
      <c r="M50" s="49" t="b">
        <f>IFERROR(__xludf.DUMMYFUNCTION("""COMPUTED_VALUE"""),FALSE)</f>
        <v>0</v>
      </c>
      <c r="N50" s="49"/>
    </row>
    <row r="51">
      <c r="A51" s="49" t="str">
        <f>IFERROR(__xludf.DUMMYFUNCTION("""COMPUTED_VALUE"""),"Atrophy")</f>
        <v>Atrophy</v>
      </c>
      <c r="B51" s="126">
        <f>IFERROR(__xludf.DUMMYFUNCTION("""COMPUTED_VALUE"""),5.0)</f>
        <v>5</v>
      </c>
      <c r="C51" s="49"/>
      <c r="D51" s="49" t="str">
        <f>IFERROR(__xludf.DUMMYFUNCTION("""COMPUTED_VALUE"""),"X")</f>
        <v>X</v>
      </c>
      <c r="E51" s="49" t="str">
        <f>IFERROR(__xludf.DUMMYFUNCTION("""COMPUTED_VALUE"""),"Deals X*50 Bleed for 3 rounds to a single target where X is equal to HP spent.")</f>
        <v>Deals X*50 Bleed for 3 rounds to a single target where X is equal to HP spent.</v>
      </c>
      <c r="F51" s="49" t="str">
        <f>IFERROR(__xludf.DUMMYFUNCTION("""COMPUTED_VALUE"""),"Hit/Miss")</f>
        <v>Hit/Miss</v>
      </c>
      <c r="G51" s="49">
        <f>IFERROR(__xludf.DUMMYFUNCTION("""COMPUTED_VALUE"""),1.0)</f>
        <v>1</v>
      </c>
      <c r="H51" s="49" t="str">
        <f>IFERROR(__xludf.DUMMYFUNCTION("""COMPUTED_VALUE"""),"Blood")</f>
        <v>Blood</v>
      </c>
      <c r="I51" s="49" t="str">
        <f>IFERROR(__xludf.DUMMYFUNCTION("""COMPUTED_VALUE"""),"Player")</f>
        <v>Player</v>
      </c>
      <c r="J51" s="49" t="b">
        <f>IFERROR(__xludf.DUMMYFUNCTION("""COMPUTED_VALUE"""),FALSE)</f>
        <v>0</v>
      </c>
      <c r="K51" s="49"/>
      <c r="L51" s="49" t="b">
        <f>IFERROR(__xludf.DUMMYFUNCTION("""COMPUTED_VALUE"""),FALSE)</f>
        <v>0</v>
      </c>
      <c r="M51" s="49" t="b">
        <f>IFERROR(__xludf.DUMMYFUNCTION("""COMPUTED_VALUE"""),FALSE)</f>
        <v>0</v>
      </c>
      <c r="N51" s="49"/>
    </row>
    <row r="52">
      <c r="A52" s="49" t="str">
        <f>IFERROR(__xludf.DUMMYFUNCTION("""COMPUTED_VALUE"""),"Blood Spray")</f>
        <v>Blood Spray</v>
      </c>
      <c r="B52" s="126">
        <f>IFERROR(__xludf.DUMMYFUNCTION("""COMPUTED_VALUE"""),5.0)</f>
        <v>5</v>
      </c>
      <c r="C52" s="49"/>
      <c r="D52" s="49" t="str">
        <f>IFERROR(__xludf.DUMMYFUNCTION("""COMPUTED_VALUE"""),"X")</f>
        <v>X</v>
      </c>
      <c r="E52" s="49" t="str">
        <f>IFERROR(__xludf.DUMMYFUNCTION("""COMPUTED_VALUE"""),"Deals X*25 Blood damage to all enemies where X is equal to HP spent.")</f>
        <v>Deals X*25 Blood damage to all enemies where X is equal to HP spent.</v>
      </c>
      <c r="F52" s="49" t="str">
        <f>IFERROR(__xludf.DUMMYFUNCTION("""COMPUTED_VALUE"""),"Cannot Avoid")</f>
        <v>Cannot Avoid</v>
      </c>
      <c r="G52" s="49" t="str">
        <f>IFERROR(__xludf.DUMMYFUNCTION("""COMPUTED_VALUE"""),"All")</f>
        <v>All</v>
      </c>
      <c r="H52" s="49" t="str">
        <f>IFERROR(__xludf.DUMMYFUNCTION("""COMPUTED_VALUE"""),"Blood")</f>
        <v>Blood</v>
      </c>
      <c r="I52" s="49" t="str">
        <f>IFERROR(__xludf.DUMMYFUNCTION("""COMPUTED_VALUE"""),"Player")</f>
        <v>Player</v>
      </c>
      <c r="J52" s="49" t="b">
        <f>IFERROR(__xludf.DUMMYFUNCTION("""COMPUTED_VALUE"""),FALSE)</f>
        <v>0</v>
      </c>
      <c r="K52" s="49"/>
      <c r="L52" s="49" t="b">
        <f>IFERROR(__xludf.DUMMYFUNCTION("""COMPUTED_VALUE"""),FALSE)</f>
        <v>0</v>
      </c>
      <c r="M52" s="49" t="b">
        <f>IFERROR(__xludf.DUMMYFUNCTION("""COMPUTED_VALUE"""),FALSE)</f>
        <v>0</v>
      </c>
      <c r="N52" s="49"/>
    </row>
    <row r="53">
      <c r="A53" s="49" t="str">
        <f>IFERROR(__xludf.DUMMYFUNCTION("""COMPUTED_VALUE"""),"Mass Blood Control")</f>
        <v>Mass Blood Control</v>
      </c>
      <c r="B53" s="126">
        <f>IFERROR(__xludf.DUMMYFUNCTION("""COMPUTED_VALUE"""),6.0)</f>
        <v>6</v>
      </c>
      <c r="C53" s="49"/>
      <c r="D53" s="49" t="str">
        <f>IFERROR(__xludf.DUMMYFUNCTION("""COMPUTED_VALUE"""),"X")</f>
        <v>X</v>
      </c>
      <c r="E53" s="49" t="str">
        <f>IFERROR(__xludf.DUMMYFUNCTION("""COMPUTED_VALUE"""),"Deals X*10 Bleed to all enemies for 3 rounds where X is equal to HP spent.")</f>
        <v>Deals X*10 Bleed to all enemies for 3 rounds where X is equal to HP spent.</v>
      </c>
      <c r="F53" s="49" t="str">
        <f>IFERROR(__xludf.DUMMYFUNCTION("""COMPUTED_VALUE"""),"Cannot Avoid")</f>
        <v>Cannot Avoid</v>
      </c>
      <c r="G53" s="49" t="str">
        <f>IFERROR(__xludf.DUMMYFUNCTION("""COMPUTED_VALUE"""),"All")</f>
        <v>All</v>
      </c>
      <c r="H53" s="49" t="str">
        <f>IFERROR(__xludf.DUMMYFUNCTION("""COMPUTED_VALUE"""),"Blood")</f>
        <v>Blood</v>
      </c>
      <c r="I53" s="49" t="str">
        <f>IFERROR(__xludf.DUMMYFUNCTION("""COMPUTED_VALUE"""),"Player")</f>
        <v>Player</v>
      </c>
      <c r="J53" s="49" t="b">
        <f>IFERROR(__xludf.DUMMYFUNCTION("""COMPUTED_VALUE"""),FALSE)</f>
        <v>0</v>
      </c>
      <c r="K53" s="49"/>
      <c r="L53" s="49" t="b">
        <f>IFERROR(__xludf.DUMMYFUNCTION("""COMPUTED_VALUE"""),FALSE)</f>
        <v>0</v>
      </c>
      <c r="M53" s="49" t="b">
        <f>IFERROR(__xludf.DUMMYFUNCTION("""COMPUTED_VALUE"""),FALSE)</f>
        <v>0</v>
      </c>
      <c r="N53" s="49"/>
    </row>
    <row r="54">
      <c r="A54" s="49" t="str">
        <f>IFERROR(__xludf.DUMMYFUNCTION("""COMPUTED_VALUE"""),"Ancient Frost Mages Ice Show")</f>
        <v>Ancient Frost Mages Ice Show</v>
      </c>
      <c r="B54" s="126">
        <f>IFERROR(__xludf.DUMMYFUNCTION("""COMPUTED_VALUE"""),9.0)</f>
        <v>9</v>
      </c>
      <c r="C54" s="49">
        <f>IFERROR(__xludf.DUMMYFUNCTION("""COMPUTED_VALUE"""),900.0)</f>
        <v>900</v>
      </c>
      <c r="D54" s="49"/>
      <c r="E54" s="49" t="str">
        <f>IFERROR(__xludf.DUMMYFUNCTION("""COMPUTED_VALUE"""),"Summon the spirit of the Ancient Frost Grand Mage to help you for 3 rounds. Level determined by DM/GM.")</f>
        <v>Summon the spirit of the Ancient Frost Grand Mage to help you for 3 rounds. Level determined by DM/GM.</v>
      </c>
      <c r="F54" s="49" t="str">
        <f>IFERROR(__xludf.DUMMYFUNCTION("""COMPUTED_VALUE"""),"Fail/Succeed")</f>
        <v>Fail/Succeed</v>
      </c>
      <c r="G54" s="49" t="str">
        <f>IFERROR(__xludf.DUMMYFUNCTION("""COMPUTED_VALUE"""),"Self")</f>
        <v>Self</v>
      </c>
      <c r="H54" s="49" t="str">
        <f>IFERROR(__xludf.DUMMYFUNCTION("""COMPUTED_VALUE"""),"Celestial")</f>
        <v>Celestial</v>
      </c>
      <c r="I54" s="49" t="str">
        <f>IFERROR(__xludf.DUMMYFUNCTION("""COMPUTED_VALUE"""),"Player")</f>
        <v>Player</v>
      </c>
      <c r="J54" s="49" t="b">
        <f>IFERROR(__xludf.DUMMYFUNCTION("""COMPUTED_VALUE"""),TRUE)</f>
        <v>1</v>
      </c>
      <c r="K54" s="49"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49" t="b">
        <f>IFERROR(__xludf.DUMMYFUNCTION("""COMPUTED_VALUE"""),FALSE)</f>
        <v>0</v>
      </c>
      <c r="M54" s="49" t="b">
        <f>IFERROR(__xludf.DUMMYFUNCTION("""COMPUTED_VALUE"""),FALSE)</f>
        <v>0</v>
      </c>
      <c r="N54" s="49"/>
    </row>
    <row r="55">
      <c r="A55" s="49" t="str">
        <f>IFERROR(__xludf.DUMMYFUNCTION("""COMPUTED_VALUE"""),"Celestial Blast")</f>
        <v>Celestial Blast</v>
      </c>
      <c r="B55" s="126">
        <f>IFERROR(__xludf.DUMMYFUNCTION("""COMPUTED_VALUE"""),6.0)</f>
        <v>6</v>
      </c>
      <c r="C55" s="49" t="str">
        <f>IFERROR(__xludf.DUMMYFUNCTION("""COMPUTED_VALUE"""),"X*100")</f>
        <v>X*100</v>
      </c>
      <c r="D55" s="49"/>
      <c r="E55" s="49" t="str">
        <f>IFERROR(__xludf.DUMMYFUNCTION("""COMPUTED_VALUE"""),"Pay X amount of mana for celestial dmg and times the damage by 5000.")</f>
        <v>Pay X amount of mana for celestial dmg and times the damage by 5000.</v>
      </c>
      <c r="F55" s="49" t="str">
        <f>IFERROR(__xludf.DUMMYFUNCTION("""COMPUTED_VALUE"""),"Hit or Miss")</f>
        <v>Hit or Miss</v>
      </c>
      <c r="G55" s="49">
        <f>IFERROR(__xludf.DUMMYFUNCTION("""COMPUTED_VALUE"""),1.0)</f>
        <v>1</v>
      </c>
      <c r="H55" s="49" t="str">
        <f>IFERROR(__xludf.DUMMYFUNCTION("""COMPUTED_VALUE"""),"Celestial")</f>
        <v>Celestial</v>
      </c>
      <c r="I55" s="49" t="str">
        <f>IFERROR(__xludf.DUMMYFUNCTION("""COMPUTED_VALUE"""),"Player")</f>
        <v>Player</v>
      </c>
      <c r="J55" s="49" t="b">
        <f>IFERROR(__xludf.DUMMYFUNCTION("""COMPUTED_VALUE"""),FALSE)</f>
        <v>0</v>
      </c>
      <c r="K55" s="49"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49" t="b">
        <f>IFERROR(__xludf.DUMMYFUNCTION("""COMPUTED_VALUE"""),FALSE)</f>
        <v>0</v>
      </c>
      <c r="M55" s="49" t="b">
        <f>IFERROR(__xludf.DUMMYFUNCTION("""COMPUTED_VALUE"""),FALSE)</f>
        <v>0</v>
      </c>
      <c r="N55" s="49"/>
    </row>
    <row r="56">
      <c r="A56" s="49" t="str">
        <f>IFERROR(__xludf.DUMMYFUNCTION("""COMPUTED_VALUE"""),"Celestial Increase I")</f>
        <v>Celestial Increase I</v>
      </c>
      <c r="B56" s="126">
        <f>IFERROR(__xludf.DUMMYFUNCTION("""COMPUTED_VALUE"""),2.0)</f>
        <v>2</v>
      </c>
      <c r="C56" s="49">
        <f>IFERROR(__xludf.DUMMYFUNCTION("""COMPUTED_VALUE"""),200.0)</f>
        <v>200</v>
      </c>
      <c r="D56" s="49"/>
      <c r="E56" s="49" t="str">
        <f>IFERROR(__xludf.DUMMYFUNCTION("""COMPUTED_VALUE"""),"X2 additional Celestial dmg for self + X2 attack and accuracy for self.")</f>
        <v>X2 additional Celestial dmg for self + X2 attack and accuracy for self.</v>
      </c>
      <c r="F56" s="49" t="str">
        <f>IFERROR(__xludf.DUMMYFUNCTION("""COMPUTED_VALUE"""),"Will Succeed")</f>
        <v>Will Succeed</v>
      </c>
      <c r="G56" s="49"/>
      <c r="H56" s="49" t="str">
        <f>IFERROR(__xludf.DUMMYFUNCTION("""COMPUTED_VALUE"""),"Celestial")</f>
        <v>Celestial</v>
      </c>
      <c r="I56" s="49" t="str">
        <f>IFERROR(__xludf.DUMMYFUNCTION("""COMPUTED_VALUE"""),"Player")</f>
        <v>Player</v>
      </c>
      <c r="J56" s="49" t="b">
        <f>IFERROR(__xludf.DUMMYFUNCTION("""COMPUTED_VALUE"""),FALSE)</f>
        <v>0</v>
      </c>
      <c r="K56" s="49"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49" t="b">
        <f>IFERROR(__xludf.DUMMYFUNCTION("""COMPUTED_VALUE"""),FALSE)</f>
        <v>0</v>
      </c>
      <c r="M56" s="49" t="b">
        <f>IFERROR(__xludf.DUMMYFUNCTION("""COMPUTED_VALUE"""),FALSE)</f>
        <v>0</v>
      </c>
      <c r="N56" s="49"/>
    </row>
    <row r="57">
      <c r="A57" s="49" t="str">
        <f>IFERROR(__xludf.DUMMYFUNCTION("""COMPUTED_VALUE"""),"Celestial Increase II")</f>
        <v>Celestial Increase II</v>
      </c>
      <c r="B57" s="126">
        <f>IFERROR(__xludf.DUMMYFUNCTION("""COMPUTED_VALUE"""),3.0)</f>
        <v>3</v>
      </c>
      <c r="C57" s="49">
        <f>IFERROR(__xludf.DUMMYFUNCTION("""COMPUTED_VALUE"""),300.0)</f>
        <v>300</v>
      </c>
      <c r="D57" s="49"/>
      <c r="E57" s="49" t="str">
        <f>IFERROR(__xludf.DUMMYFUNCTION("""COMPUTED_VALUE"""),"X4 Celestial dmg for self + X4 attack and accuracy for self.")</f>
        <v>X4 Celestial dmg for self + X4 attack and accuracy for self.</v>
      </c>
      <c r="F57" s="49" t="str">
        <f>IFERROR(__xludf.DUMMYFUNCTION("""COMPUTED_VALUE"""),"Will Succeed")</f>
        <v>Will Succeed</v>
      </c>
      <c r="G57" s="49"/>
      <c r="H57" s="49" t="str">
        <f>IFERROR(__xludf.DUMMYFUNCTION("""COMPUTED_VALUE"""),"Celestial")</f>
        <v>Celestial</v>
      </c>
      <c r="I57" s="49" t="str">
        <f>IFERROR(__xludf.DUMMYFUNCTION("""COMPUTED_VALUE"""),"Player")</f>
        <v>Player</v>
      </c>
      <c r="J57" s="49" t="b">
        <f>IFERROR(__xludf.DUMMYFUNCTION("""COMPUTED_VALUE"""),FALSE)</f>
        <v>0</v>
      </c>
      <c r="K57" s="49"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49" t="b">
        <f>IFERROR(__xludf.DUMMYFUNCTION("""COMPUTED_VALUE"""),FALSE)</f>
        <v>0</v>
      </c>
      <c r="M57" s="49" t="b">
        <f>IFERROR(__xludf.DUMMYFUNCTION("""COMPUTED_VALUE"""),FALSE)</f>
        <v>0</v>
      </c>
      <c r="N57" s="49"/>
    </row>
    <row r="58">
      <c r="A58" s="49" t="str">
        <f>IFERROR(__xludf.DUMMYFUNCTION("""COMPUTED_VALUE"""),"Celestial Portal")</f>
        <v>Celestial Portal</v>
      </c>
      <c r="B58" s="126">
        <f>IFERROR(__xludf.DUMMYFUNCTION("""COMPUTED_VALUE"""),2.0)</f>
        <v>2</v>
      </c>
      <c r="C58" s="49">
        <f>IFERROR(__xludf.DUMMYFUNCTION("""COMPUTED_VALUE"""),200.0)</f>
        <v>200</v>
      </c>
      <c r="D58" s="49"/>
      <c r="E58" s="49" t="str">
        <f>IFERROR(__xludf.DUMMYFUNCTION("""COMPUTED_VALUE"""),"6000 celestial continuous damage to one target.")</f>
        <v>6000 celestial continuous damage to one target.</v>
      </c>
      <c r="F58" s="49" t="str">
        <f>IFERROR(__xludf.DUMMYFUNCTION("""COMPUTED_VALUE"""),"Hit or Miss")</f>
        <v>Hit or Miss</v>
      </c>
      <c r="G58" s="49">
        <f>IFERROR(__xludf.DUMMYFUNCTION("""COMPUTED_VALUE"""),1.0)</f>
        <v>1</v>
      </c>
      <c r="H58" s="49" t="str">
        <f>IFERROR(__xludf.DUMMYFUNCTION("""COMPUTED_VALUE"""),"Celestial")</f>
        <v>Celestial</v>
      </c>
      <c r="I58" s="49" t="str">
        <f>IFERROR(__xludf.DUMMYFUNCTION("""COMPUTED_VALUE"""),"Player")</f>
        <v>Player</v>
      </c>
      <c r="J58" s="49" t="b">
        <f>IFERROR(__xludf.DUMMYFUNCTION("""COMPUTED_VALUE"""),FALSE)</f>
        <v>0</v>
      </c>
      <c r="K58" s="49"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49" t="b">
        <f>IFERROR(__xludf.DUMMYFUNCTION("""COMPUTED_VALUE"""),FALSE)</f>
        <v>0</v>
      </c>
      <c r="M58" s="49" t="b">
        <f>IFERROR(__xludf.DUMMYFUNCTION("""COMPUTED_VALUE"""),FALSE)</f>
        <v>0</v>
      </c>
      <c r="N58" s="49"/>
    </row>
    <row r="59">
      <c r="A59" s="49" t="str">
        <f>IFERROR(__xludf.DUMMYFUNCTION("""COMPUTED_VALUE"""),"Celestial Shield")</f>
        <v>Celestial Shield</v>
      </c>
      <c r="B59" s="126">
        <f>IFERROR(__xludf.DUMMYFUNCTION("""COMPUTED_VALUE"""),4.0)</f>
        <v>4</v>
      </c>
      <c r="C59" s="49">
        <f>IFERROR(__xludf.DUMMYFUNCTION("""COMPUTED_VALUE"""),400.0)</f>
        <v>400</v>
      </c>
      <c r="D59" s="49"/>
      <c r="E59" s="49" t="str">
        <f>IFERROR(__xludf.DUMMYFUNCTION("""COMPUTED_VALUE"""),"Gives caster X2 def, and X2 resistance to astral dmg. (can only be used once per battle)")</f>
        <v>Gives caster X2 def, and X2 resistance to astral dmg. (can only be used once per battle)</v>
      </c>
      <c r="F59" s="49" t="str">
        <f>IFERROR(__xludf.DUMMYFUNCTION("""COMPUTED_VALUE"""),"Will Succeed")</f>
        <v>Will Succeed</v>
      </c>
      <c r="G59" s="49"/>
      <c r="H59" s="49" t="str">
        <f>IFERROR(__xludf.DUMMYFUNCTION("""COMPUTED_VALUE"""),"Celestial")</f>
        <v>Celestial</v>
      </c>
      <c r="I59" s="49" t="str">
        <f>IFERROR(__xludf.DUMMYFUNCTION("""COMPUTED_VALUE"""),"Player")</f>
        <v>Player</v>
      </c>
      <c r="J59" s="49" t="b">
        <f>IFERROR(__xludf.DUMMYFUNCTION("""COMPUTED_VALUE"""),FALSE)</f>
        <v>0</v>
      </c>
      <c r="K59" s="49"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49" t="b">
        <f>IFERROR(__xludf.DUMMYFUNCTION("""COMPUTED_VALUE"""),FALSE)</f>
        <v>0</v>
      </c>
      <c r="M59" s="49" t="b">
        <f>IFERROR(__xludf.DUMMYFUNCTION("""COMPUTED_VALUE"""),FALSE)</f>
        <v>0</v>
      </c>
      <c r="N59" s="49"/>
    </row>
    <row r="60">
      <c r="A60" s="49" t="str">
        <f>IFERROR(__xludf.DUMMYFUNCTION("""COMPUTED_VALUE"""),"Celestial Strike")</f>
        <v>Celestial Strike</v>
      </c>
      <c r="B60" s="126">
        <f>IFERROR(__xludf.DUMMYFUNCTION("""COMPUTED_VALUE"""),1.0)</f>
        <v>1</v>
      </c>
      <c r="C60" s="49">
        <f>IFERROR(__xludf.DUMMYFUNCTION("""COMPUTED_VALUE"""),100.0)</f>
        <v>100</v>
      </c>
      <c r="D60" s="49"/>
      <c r="E60" s="49" t="str">
        <f>IFERROR(__xludf.DUMMYFUNCTION("""COMPUTED_VALUE"""),"6000 celestial damage, X2 attack and accuracy for self if you hit the target..")</f>
        <v>6000 celestial damage, X2 attack and accuracy for self if you hit the target..</v>
      </c>
      <c r="F60" s="49" t="str">
        <f>IFERROR(__xludf.DUMMYFUNCTION("""COMPUTED_VALUE"""),"Hit/Miss")</f>
        <v>Hit/Miss</v>
      </c>
      <c r="G60" s="49">
        <f>IFERROR(__xludf.DUMMYFUNCTION("""COMPUTED_VALUE"""),1.0)</f>
        <v>1</v>
      </c>
      <c r="H60" s="49" t="str">
        <f>IFERROR(__xludf.DUMMYFUNCTION("""COMPUTED_VALUE"""),"Celestial")</f>
        <v>Celestial</v>
      </c>
      <c r="I60" s="49" t="str">
        <f>IFERROR(__xludf.DUMMYFUNCTION("""COMPUTED_VALUE"""),"Player")</f>
        <v>Player</v>
      </c>
      <c r="J60" s="49" t="b">
        <f>IFERROR(__xludf.DUMMYFUNCTION("""COMPUTED_VALUE"""),FALSE)</f>
        <v>0</v>
      </c>
      <c r="K60" s="49"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49" t="b">
        <f>IFERROR(__xludf.DUMMYFUNCTION("""COMPUTED_VALUE"""),FALSE)</f>
        <v>0</v>
      </c>
      <c r="M60" s="49" t="b">
        <f>IFERROR(__xludf.DUMMYFUNCTION("""COMPUTED_VALUE"""),FALSE)</f>
        <v>0</v>
      </c>
      <c r="N60" s="49"/>
    </row>
    <row r="61">
      <c r="A61" s="49" t="str">
        <f>IFERROR(__xludf.DUMMYFUNCTION("""COMPUTED_VALUE"""),"Celestial Summon")</f>
        <v>Celestial Summon</v>
      </c>
      <c r="B61" s="126">
        <f>IFERROR(__xludf.DUMMYFUNCTION("""COMPUTED_VALUE"""),8.0)</f>
        <v>8</v>
      </c>
      <c r="C61" s="49">
        <f>IFERROR(__xludf.DUMMYFUNCTION("""COMPUTED_VALUE"""),800.0)</f>
        <v>800</v>
      </c>
      <c r="D61" s="49"/>
      <c r="E61" s="49" t="str">
        <f>IFERROR(__xludf.DUMMYFUNCTION("""COMPUTED_VALUE"""),"Summon a mob as an ally. Level and Mob is determined by DM/GM.  ")</f>
        <v>Summon a mob as an ally. Level and Mob is determined by DM/GM.  </v>
      </c>
      <c r="F61" s="49" t="str">
        <f>IFERROR(__xludf.DUMMYFUNCTION("""COMPUTED_VALUE"""),"Fail/Succeed")</f>
        <v>Fail/Succeed</v>
      </c>
      <c r="G61" s="49"/>
      <c r="H61" s="49" t="str">
        <f>IFERROR(__xludf.DUMMYFUNCTION("""COMPUTED_VALUE"""),"Celestial")</f>
        <v>Celestial</v>
      </c>
      <c r="I61" s="49" t="str">
        <f>IFERROR(__xludf.DUMMYFUNCTION("""COMPUTED_VALUE"""),"Player")</f>
        <v>Player</v>
      </c>
      <c r="J61" s="49" t="b">
        <f>IFERROR(__xludf.DUMMYFUNCTION("""COMPUTED_VALUE"""),FALSE)</f>
        <v>0</v>
      </c>
      <c r="K61" s="49"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49" t="b">
        <f>IFERROR(__xludf.DUMMYFUNCTION("""COMPUTED_VALUE"""),FALSE)</f>
        <v>0</v>
      </c>
      <c r="M61" s="49" t="b">
        <f>IFERROR(__xludf.DUMMYFUNCTION("""COMPUTED_VALUE"""),FALSE)</f>
        <v>0</v>
      </c>
      <c r="N61" s="49"/>
    </row>
    <row r="62">
      <c r="A62" s="49" t="str">
        <f>IFERROR(__xludf.DUMMYFUNCTION("""COMPUTED_VALUE"""),"Celestial Wave")</f>
        <v>Celestial Wave</v>
      </c>
      <c r="B62" s="126">
        <f>IFERROR(__xludf.DUMMYFUNCTION("""COMPUTED_VALUE"""),5.0)</f>
        <v>5</v>
      </c>
      <c r="C62" s="49">
        <f>IFERROR(__xludf.DUMMYFUNCTION("""COMPUTED_VALUE"""),500.0)</f>
        <v>500</v>
      </c>
      <c r="D62" s="49"/>
      <c r="E62" s="49" t="str">
        <f>IFERROR(__xludf.DUMMYFUNCTION("""COMPUTED_VALUE"""),"30000 Celestial dmg to all enemies.")</f>
        <v>30000 Celestial dmg to all enemies.</v>
      </c>
      <c r="F62" s="49" t="str">
        <f>IFERROR(__xludf.DUMMYFUNCTION("""COMPUTED_VALUE"""),"Cannot be avoided")</f>
        <v>Cannot be avoided</v>
      </c>
      <c r="G62" s="49"/>
      <c r="H62" s="49" t="str">
        <f>IFERROR(__xludf.DUMMYFUNCTION("""COMPUTED_VALUE"""),"Celestial")</f>
        <v>Celestial</v>
      </c>
      <c r="I62" s="49" t="str">
        <f>IFERROR(__xludf.DUMMYFUNCTION("""COMPUTED_VALUE"""),"Player")</f>
        <v>Player</v>
      </c>
      <c r="J62" s="49" t="b">
        <f>IFERROR(__xludf.DUMMYFUNCTION("""COMPUTED_VALUE"""),FALSE)</f>
        <v>0</v>
      </c>
      <c r="K62" s="49"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49" t="b">
        <f>IFERROR(__xludf.DUMMYFUNCTION("""COMPUTED_VALUE"""),FALSE)</f>
        <v>0</v>
      </c>
      <c r="M62" s="49" t="b">
        <f>IFERROR(__xludf.DUMMYFUNCTION("""COMPUTED_VALUE"""),FALSE)</f>
        <v>0</v>
      </c>
      <c r="N62" s="49"/>
    </row>
    <row r="63">
      <c r="A63" s="49" t="str">
        <f>IFERROR(__xludf.DUMMYFUNCTION("""COMPUTED_VALUE"""),"Celestial Wrath")</f>
        <v>Celestial Wrath</v>
      </c>
      <c r="B63" s="126">
        <f>IFERROR(__xludf.DUMMYFUNCTION("""COMPUTED_VALUE"""),7.0)</f>
        <v>7</v>
      </c>
      <c r="C63" s="49">
        <f>IFERROR(__xludf.DUMMYFUNCTION("""COMPUTED_VALUE"""),700.0)</f>
        <v>700</v>
      </c>
      <c r="D63" s="49"/>
      <c r="E63" s="49" t="str">
        <f>IFERROR(__xludf.DUMMYFUNCTION("""COMPUTED_VALUE"""),"Causes 42000 Celestial dmg to all enemies, +7000 def to self and allies.")</f>
        <v>Causes 42000 Celestial dmg to all enemies, +7000 def to self and allies.</v>
      </c>
      <c r="F63" s="49" t="str">
        <f>IFERROR(__xludf.DUMMYFUNCTION("""COMPUTED_VALUE"""),"Cannot Avoid")</f>
        <v>Cannot Avoid</v>
      </c>
      <c r="G63" s="49"/>
      <c r="H63" s="49" t="str">
        <f>IFERROR(__xludf.DUMMYFUNCTION("""COMPUTED_VALUE"""),"Celestial")</f>
        <v>Celestial</v>
      </c>
      <c r="I63" s="49" t="str">
        <f>IFERROR(__xludf.DUMMYFUNCTION("""COMPUTED_VALUE"""),"Player")</f>
        <v>Player</v>
      </c>
      <c r="J63" s="49" t="b">
        <f>IFERROR(__xludf.DUMMYFUNCTION("""COMPUTED_VALUE"""),FALSE)</f>
        <v>0</v>
      </c>
      <c r="K63" s="49"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49" t="b">
        <f>IFERROR(__xludf.DUMMYFUNCTION("""COMPUTED_VALUE"""),FALSE)</f>
        <v>0</v>
      </c>
      <c r="M63" s="49" t="b">
        <f>IFERROR(__xludf.DUMMYFUNCTION("""COMPUTED_VALUE"""),FALSE)</f>
        <v>0</v>
      </c>
      <c r="N63" s="49"/>
    </row>
    <row r="64">
      <c r="A64" s="49" t="str">
        <f>IFERROR(__xludf.DUMMYFUNCTION("""COMPUTED_VALUE"""),"Defender of The Flame")</f>
        <v>Defender of The Flame</v>
      </c>
      <c r="B64" s="126">
        <f>IFERROR(__xludf.DUMMYFUNCTION("""COMPUTED_VALUE"""),9.0)</f>
        <v>9</v>
      </c>
      <c r="C64" s="49">
        <f>IFERROR(__xludf.DUMMYFUNCTION("""COMPUTED_VALUE"""),900.0)</f>
        <v>900</v>
      </c>
      <c r="D64" s="49"/>
      <c r="E64" s="49"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49" t="str">
        <f>IFERROR(__xludf.DUMMYFUNCTION("""COMPUTED_VALUE"""),"Fail/Succeed")</f>
        <v>Fail/Succeed</v>
      </c>
      <c r="G64" s="49" t="str">
        <f>IFERROR(__xludf.DUMMYFUNCTION("""COMPUTED_VALUE"""),"Self")</f>
        <v>Self</v>
      </c>
      <c r="H64" s="49" t="str">
        <f>IFERROR(__xludf.DUMMYFUNCTION("""COMPUTED_VALUE"""),"Celestial")</f>
        <v>Celestial</v>
      </c>
      <c r="I64" s="49" t="str">
        <f>IFERROR(__xludf.DUMMYFUNCTION("""COMPUTED_VALUE"""),"Player")</f>
        <v>Player</v>
      </c>
      <c r="J64" s="49" t="b">
        <f>IFERROR(__xludf.DUMMYFUNCTION("""COMPUTED_VALUE"""),TRUE)</f>
        <v>1</v>
      </c>
      <c r="K64" s="49"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49" t="b">
        <f>IFERROR(__xludf.DUMMYFUNCTION("""COMPUTED_VALUE"""),FALSE)</f>
        <v>0</v>
      </c>
      <c r="M64" s="49" t="b">
        <f>IFERROR(__xludf.DUMMYFUNCTION("""COMPUTED_VALUE"""),FALSE)</f>
        <v>0</v>
      </c>
      <c r="N64" s="49"/>
    </row>
    <row r="65">
      <c r="A65" s="49" t="str">
        <f>IFERROR(__xludf.DUMMYFUNCTION("""COMPUTED_VALUE"""),"Duplicate")</f>
        <v>Duplicate</v>
      </c>
      <c r="B65" s="126">
        <f>IFERROR(__xludf.DUMMYFUNCTION("""COMPUTED_VALUE"""),9.0)</f>
        <v>9</v>
      </c>
      <c r="C65" s="49">
        <f>IFERROR(__xludf.DUMMYFUNCTION("""COMPUTED_VALUE"""),1000.0)</f>
        <v>1000</v>
      </c>
      <c r="D65" s="49"/>
      <c r="E65" s="49" t="str">
        <f>IFERROR(__xludf.DUMMYFUNCTION("""COMPUTED_VALUE"""),"Duplicate an item of choice in your bag or inventory. (spell can only be used once per week in real time.)")</f>
        <v>Duplicate an item of choice in your bag or inventory. (spell can only be used once per week in real time.)</v>
      </c>
      <c r="F65" s="49" t="str">
        <f>IFERROR(__xludf.DUMMYFUNCTION("""COMPUTED_VALUE"""),"Will Succeed")</f>
        <v>Will Succeed</v>
      </c>
      <c r="G65" s="49"/>
      <c r="H65" s="49" t="str">
        <f>IFERROR(__xludf.DUMMYFUNCTION("""COMPUTED_VALUE"""),"Celestial")</f>
        <v>Celestial</v>
      </c>
      <c r="I65" s="49" t="str">
        <f>IFERROR(__xludf.DUMMYFUNCTION("""COMPUTED_VALUE"""),"Player")</f>
        <v>Player</v>
      </c>
      <c r="J65" s="49" t="b">
        <f>IFERROR(__xludf.DUMMYFUNCTION("""COMPUTED_VALUE"""),FALSE)</f>
        <v>0</v>
      </c>
      <c r="K65" s="49"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49" t="b">
        <f>IFERROR(__xludf.DUMMYFUNCTION("""COMPUTED_VALUE"""),FALSE)</f>
        <v>0</v>
      </c>
      <c r="M65" s="49" t="b">
        <f>IFERROR(__xludf.DUMMYFUNCTION("""COMPUTED_VALUE"""),FALSE)</f>
        <v>0</v>
      </c>
      <c r="N65" s="49"/>
    </row>
    <row r="66">
      <c r="A66" s="49" t="str">
        <f>IFERROR(__xludf.DUMMYFUNCTION("""COMPUTED_VALUE"""),"Legend of the Inflamed Apprentice")</f>
        <v>Legend of the Inflamed Apprentice</v>
      </c>
      <c r="B66" s="126">
        <f>IFERROR(__xludf.DUMMYFUNCTION("""COMPUTED_VALUE"""),9.0)</f>
        <v>9</v>
      </c>
      <c r="C66" s="49">
        <f>IFERROR(__xludf.DUMMYFUNCTION("""COMPUTED_VALUE"""),900.0)</f>
        <v>900</v>
      </c>
      <c r="D66" s="49"/>
      <c r="E66" s="49"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49" t="str">
        <f>IFERROR(__xludf.DUMMYFUNCTION("""COMPUTED_VALUE"""),"Fail/Succeed")</f>
        <v>Fail/Succeed</v>
      </c>
      <c r="G66" s="49" t="str">
        <f>IFERROR(__xludf.DUMMYFUNCTION("""COMPUTED_VALUE"""),"Self")</f>
        <v>Self</v>
      </c>
      <c r="H66" s="49" t="str">
        <f>IFERROR(__xludf.DUMMYFUNCTION("""COMPUTED_VALUE"""),"Celestial")</f>
        <v>Celestial</v>
      </c>
      <c r="I66" s="49" t="str">
        <f>IFERROR(__xludf.DUMMYFUNCTION("""COMPUTED_VALUE"""),"Player")</f>
        <v>Player</v>
      </c>
      <c r="J66" s="49" t="b">
        <f>IFERROR(__xludf.DUMMYFUNCTION("""COMPUTED_VALUE"""),TRUE)</f>
        <v>1</v>
      </c>
      <c r="K66" s="49"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49" t="b">
        <f>IFERROR(__xludf.DUMMYFUNCTION("""COMPUTED_VALUE"""),FALSE)</f>
        <v>0</v>
      </c>
      <c r="M66" s="49" t="b">
        <f>IFERROR(__xludf.DUMMYFUNCTION("""COMPUTED_VALUE"""),FALSE)</f>
        <v>0</v>
      </c>
      <c r="N66" s="49"/>
    </row>
    <row r="67">
      <c r="A67" s="49" t="str">
        <f>IFERROR(__xludf.DUMMYFUNCTION("""COMPUTED_VALUE"""),"Legend of The Inflamed Master")</f>
        <v>Legend of The Inflamed Master</v>
      </c>
      <c r="B67" s="126">
        <f>IFERROR(__xludf.DUMMYFUNCTION("""COMPUTED_VALUE"""),9.0)</f>
        <v>9</v>
      </c>
      <c r="C67" s="49">
        <f>IFERROR(__xludf.DUMMYFUNCTION("""COMPUTED_VALUE"""),900.0)</f>
        <v>900</v>
      </c>
      <c r="D67" s="49"/>
      <c r="E67" s="49"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49" t="str">
        <f>IFERROR(__xludf.DUMMYFUNCTION("""COMPUTED_VALUE"""),"Fail/Succeed")</f>
        <v>Fail/Succeed</v>
      </c>
      <c r="G67" s="49" t="str">
        <f>IFERROR(__xludf.DUMMYFUNCTION("""COMPUTED_VALUE"""),"Self")</f>
        <v>Self</v>
      </c>
      <c r="H67" s="49" t="str">
        <f>IFERROR(__xludf.DUMMYFUNCTION("""COMPUTED_VALUE"""),"Celestial")</f>
        <v>Celestial</v>
      </c>
      <c r="I67" s="49" t="str">
        <f>IFERROR(__xludf.DUMMYFUNCTION("""COMPUTED_VALUE"""),"Player")</f>
        <v>Player</v>
      </c>
      <c r="J67" s="49" t="b">
        <f>IFERROR(__xludf.DUMMYFUNCTION("""COMPUTED_VALUE"""),TRUE)</f>
        <v>1</v>
      </c>
      <c r="K67" s="49"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49" t="b">
        <f>IFERROR(__xludf.DUMMYFUNCTION("""COMPUTED_VALUE"""),FALSE)</f>
        <v>0</v>
      </c>
      <c r="M67" s="49" t="b">
        <f>IFERROR(__xludf.DUMMYFUNCTION("""COMPUTED_VALUE"""),FALSE)</f>
        <v>0</v>
      </c>
      <c r="N67" s="49"/>
    </row>
    <row r="68">
      <c r="A68" s="49" t="str">
        <f>IFERROR(__xludf.DUMMYFUNCTION("""COMPUTED_VALUE"""),"Mass Destruction")</f>
        <v>Mass Destruction</v>
      </c>
      <c r="B68" s="126">
        <f>IFERROR(__xludf.DUMMYFUNCTION("""COMPUTED_VALUE"""),9.0)</f>
        <v>9</v>
      </c>
      <c r="C68" s="49">
        <f>IFERROR(__xludf.DUMMYFUNCTION("""COMPUTED_VALUE"""),900.0)</f>
        <v>900</v>
      </c>
      <c r="D68" s="49"/>
      <c r="E68" s="49" t="str">
        <f>IFERROR(__xludf.DUMMYFUNCTION("""COMPUTED_VALUE"""),"54,000 celestial damage to all enemies, 70% chance of instant death.")</f>
        <v>54,000 celestial damage to all enemies, 70% chance of instant death.</v>
      </c>
      <c r="F68" s="49" t="str">
        <f>IFERROR(__xludf.DUMMYFUNCTION("""COMPUTED_VALUE"""),"Cannot Avoid")</f>
        <v>Cannot Avoid</v>
      </c>
      <c r="G68" s="49"/>
      <c r="H68" s="49" t="str">
        <f>IFERROR(__xludf.DUMMYFUNCTION("""COMPUTED_VALUE"""),"Celestial")</f>
        <v>Celestial</v>
      </c>
      <c r="I68" s="49" t="str">
        <f>IFERROR(__xludf.DUMMYFUNCTION("""COMPUTED_VALUE"""),"Player")</f>
        <v>Player</v>
      </c>
      <c r="J68" s="49" t="b">
        <f>IFERROR(__xludf.DUMMYFUNCTION("""COMPUTED_VALUE"""),FALSE)</f>
        <v>0</v>
      </c>
      <c r="K68" s="49"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49" t="b">
        <f>IFERROR(__xludf.DUMMYFUNCTION("""COMPUTED_VALUE"""),FALSE)</f>
        <v>0</v>
      </c>
      <c r="M68" s="49" t="b">
        <f>IFERROR(__xludf.DUMMYFUNCTION("""COMPUTED_VALUE"""),FALSE)</f>
        <v>0</v>
      </c>
      <c r="N68" s="49"/>
    </row>
    <row r="69">
      <c r="A69" s="49" t="str">
        <f>IFERROR(__xludf.DUMMYFUNCTION("""COMPUTED_VALUE"""),"Solar Ward")</f>
        <v>Solar Ward</v>
      </c>
      <c r="B69" s="126">
        <f>IFERROR(__xludf.DUMMYFUNCTION("""COMPUTED_VALUE"""),0.0)</f>
        <v>0</v>
      </c>
      <c r="C69" s="49">
        <f>IFERROR(__xludf.DUMMYFUNCTION("""COMPUTED_VALUE"""),0.0)</f>
        <v>0</v>
      </c>
      <c r="D69" s="49"/>
      <c r="E69" s="49"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49" t="str">
        <f>IFERROR(__xludf.DUMMYFUNCTION("""COMPUTED_VALUE"""),"Natural/Fail or Succeed")</f>
        <v>Natural/Fail or Succeed</v>
      </c>
      <c r="G69" s="49" t="str">
        <f>IFERROR(__xludf.DUMMYFUNCTION("""COMPUTED_VALUE"""),"Self")</f>
        <v>Self</v>
      </c>
      <c r="H69" s="49" t="str">
        <f>IFERROR(__xludf.DUMMYFUNCTION("""COMPUTED_VALUE"""),"Celestial")</f>
        <v>Celestial</v>
      </c>
      <c r="I69" s="49" t="str">
        <f>IFERROR(__xludf.DUMMYFUNCTION("""COMPUTED_VALUE"""),"Mob")</f>
        <v>Mob</v>
      </c>
      <c r="J69" s="49" t="b">
        <f>IFERROR(__xludf.DUMMYFUNCTION("""COMPUTED_VALUE"""),TRUE)</f>
        <v>1</v>
      </c>
      <c r="K69" s="49"/>
      <c r="L69" s="49" t="b">
        <f>IFERROR(__xludf.DUMMYFUNCTION("""COMPUTED_VALUE"""),FALSE)</f>
        <v>0</v>
      </c>
      <c r="M69" s="49" t="b">
        <f>IFERROR(__xludf.DUMMYFUNCTION("""COMPUTED_VALUE"""),FALSE)</f>
        <v>0</v>
      </c>
      <c r="N69" s="49"/>
    </row>
    <row r="70">
      <c r="A70" s="49" t="str">
        <f>IFERROR(__xludf.DUMMYFUNCTION("""COMPUTED_VALUE"""),"Tower Of Gods")</f>
        <v>Tower Of Gods</v>
      </c>
      <c r="B70" s="126">
        <f>IFERROR(__xludf.DUMMYFUNCTION("""COMPUTED_VALUE"""),8.0)</f>
        <v>8</v>
      </c>
      <c r="C70" s="49">
        <f>IFERROR(__xludf.DUMMYFUNCTION("""COMPUTED_VALUE"""),800.0)</f>
        <v>800</v>
      </c>
      <c r="D70" s="49"/>
      <c r="E70" s="49"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49" t="str">
        <f>IFERROR(__xludf.DUMMYFUNCTION("""COMPUTED_VALUE"""),"Fail/Succeed")</f>
        <v>Fail/Succeed</v>
      </c>
      <c r="G70" s="49"/>
      <c r="H70" s="49" t="str">
        <f>IFERROR(__xludf.DUMMYFUNCTION("""COMPUTED_VALUE"""),"Celestial")</f>
        <v>Celestial</v>
      </c>
      <c r="I70" s="49" t="str">
        <f>IFERROR(__xludf.DUMMYFUNCTION("""COMPUTED_VALUE"""),"Player")</f>
        <v>Player</v>
      </c>
      <c r="J70" s="49" t="b">
        <f>IFERROR(__xludf.DUMMYFUNCTION("""COMPUTED_VALUE"""),FALSE)</f>
        <v>0</v>
      </c>
      <c r="K70" s="49"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49" t="b">
        <f>IFERROR(__xludf.DUMMYFUNCTION("""COMPUTED_VALUE"""),FALSE)</f>
        <v>0</v>
      </c>
      <c r="M70" s="49" t="b">
        <f>IFERROR(__xludf.DUMMYFUNCTION("""COMPUTED_VALUE"""),FALSE)</f>
        <v>0</v>
      </c>
      <c r="N70" s="49"/>
    </row>
    <row r="71">
      <c r="A71" s="49" t="str">
        <f>IFERROR(__xludf.DUMMYFUNCTION("""COMPUTED_VALUE"""),"Vaporize")</f>
        <v>Vaporize</v>
      </c>
      <c r="B71" s="126">
        <f>IFERROR(__xludf.DUMMYFUNCTION("""COMPUTED_VALUE"""),9.0)</f>
        <v>9</v>
      </c>
      <c r="C71" s="49" t="str">
        <f>IFERROR(__xludf.DUMMYFUNCTION("""COMPUTED_VALUE"""),"X*1000")</f>
        <v>X*1000</v>
      </c>
      <c r="D71" s="49"/>
      <c r="E71" s="49" t="str">
        <f>IFERROR(__xludf.DUMMYFUNCTION("""COMPUTED_VALUE"""),"X times 10,000  Celestial Damage to all enemies. X is = to the ammount of mana you paid")</f>
        <v>X times 10,000  Celestial Damage to all enemies. X is = to the ammount of mana you paid</v>
      </c>
      <c r="F71" s="49" t="str">
        <f>IFERROR(__xludf.DUMMYFUNCTION("""COMPUTED_VALUE"""),"Cannot Avoid")</f>
        <v>Cannot Avoid</v>
      </c>
      <c r="G71" s="49" t="str">
        <f>IFERROR(__xludf.DUMMYFUNCTION("""COMPUTED_VALUE"""),"All")</f>
        <v>All</v>
      </c>
      <c r="H71" s="49" t="str">
        <f>IFERROR(__xludf.DUMMYFUNCTION("""COMPUTED_VALUE"""),"Celestial")</f>
        <v>Celestial</v>
      </c>
      <c r="I71" s="49" t="str">
        <f>IFERROR(__xludf.DUMMYFUNCTION("""COMPUTED_VALUE"""),"Mob")</f>
        <v>Mob</v>
      </c>
      <c r="J71" s="49" t="b">
        <f>IFERROR(__xludf.DUMMYFUNCTION("""COMPUTED_VALUE"""),TRUE)</f>
        <v>1</v>
      </c>
      <c r="K71" s="49"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49" t="b">
        <f>IFERROR(__xludf.DUMMYFUNCTION("""COMPUTED_VALUE"""),FALSE)</f>
        <v>0</v>
      </c>
      <c r="M71" s="49" t="b">
        <f>IFERROR(__xludf.DUMMYFUNCTION("""COMPUTED_VALUE"""),FALSE)</f>
        <v>0</v>
      </c>
      <c r="N71" s="49"/>
    </row>
    <row r="72">
      <c r="A72" s="49" t="str">
        <f>IFERROR(__xludf.DUMMYFUNCTION("""COMPUTED_VALUE"""),"World Tree Warp")</f>
        <v>World Tree Warp</v>
      </c>
      <c r="B72" s="126">
        <f>IFERROR(__xludf.DUMMYFUNCTION("""COMPUTED_VALUE"""),9.0)</f>
        <v>9</v>
      </c>
      <c r="C72" s="49">
        <f>IFERROR(__xludf.DUMMYFUNCTION("""COMPUTED_VALUE"""),900.0)</f>
        <v>900</v>
      </c>
      <c r="D72" s="49"/>
      <c r="E72" s="49" t="str">
        <f>IFERROR(__xludf.DUMMYFUNCTION("""COMPUTED_VALUE"""),"Allows the caster to warp directly to the world tree from anywhere in the Land of Spira")</f>
        <v>Allows the caster to warp directly to the world tree from anywhere in the Land of Spira</v>
      </c>
      <c r="F72" s="49" t="str">
        <f>IFERROR(__xludf.DUMMYFUNCTION("""COMPUTED_VALUE"""),"Will Succeed")</f>
        <v>Will Succeed</v>
      </c>
      <c r="G72" s="49" t="str">
        <f>IFERROR(__xludf.DUMMYFUNCTION("""COMPUTED_VALUE"""),"Self")</f>
        <v>Self</v>
      </c>
      <c r="H72" s="49" t="str">
        <f>IFERROR(__xludf.DUMMYFUNCTION("""COMPUTED_VALUE"""),"Celestial")</f>
        <v>Celestial</v>
      </c>
      <c r="I72" s="49" t="str">
        <f>IFERROR(__xludf.DUMMYFUNCTION("""COMPUTED_VALUE"""),"Player")</f>
        <v>Player</v>
      </c>
      <c r="J72" s="49" t="b">
        <f>IFERROR(__xludf.DUMMYFUNCTION("""COMPUTED_VALUE"""),TRUE)</f>
        <v>1</v>
      </c>
      <c r="K72" s="49"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49" t="b">
        <f>IFERROR(__xludf.DUMMYFUNCTION("""COMPUTED_VALUE"""),FALSE)</f>
        <v>0</v>
      </c>
      <c r="M72" s="49" t="b">
        <f>IFERROR(__xludf.DUMMYFUNCTION("""COMPUTED_VALUE"""),FALSE)</f>
        <v>0</v>
      </c>
      <c r="N72" s="49"/>
    </row>
    <row r="73">
      <c r="A73" s="49" t="str">
        <f>IFERROR(__xludf.DUMMYFUNCTION("""COMPUTED_VALUE"""),"Transformation")</f>
        <v>Transformation</v>
      </c>
      <c r="B73" s="126">
        <f>IFERROR(__xludf.DUMMYFUNCTION("""COMPUTED_VALUE"""),1.0)</f>
        <v>1</v>
      </c>
      <c r="C73" s="127" t="str">
        <f>IFERROR(__xludf.DUMMYFUNCTION("""COMPUTED_VALUE"""),"0")</f>
        <v>0</v>
      </c>
      <c r="D73" s="49"/>
      <c r="E73" s="49"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49" t="str">
        <f>IFERROR(__xludf.DUMMYFUNCTION("""COMPUTED_VALUE"""),"Fail/Succeed")</f>
        <v>Fail/Succeed</v>
      </c>
      <c r="G73" s="49" t="str">
        <f>IFERROR(__xludf.DUMMYFUNCTION("""COMPUTED_VALUE"""),"Self")</f>
        <v>Self</v>
      </c>
      <c r="H73" s="49" t="str">
        <f>IFERROR(__xludf.DUMMYFUNCTION("""COMPUTED_VALUE"""),"Celestial")</f>
        <v>Celestial</v>
      </c>
      <c r="I73" s="49" t="str">
        <f>IFERROR(__xludf.DUMMYFUNCTION("""COMPUTED_VALUE"""),"Player")</f>
        <v>Player</v>
      </c>
      <c r="J73" s="49" t="b">
        <f>IFERROR(__xludf.DUMMYFUNCTION("""COMPUTED_VALUE"""),FALSE)</f>
        <v>0</v>
      </c>
      <c r="K73" s="49"/>
      <c r="L73" s="49" t="b">
        <f>IFERROR(__xludf.DUMMYFUNCTION("""COMPUTED_VALUE"""),FALSE)</f>
        <v>0</v>
      </c>
      <c r="M73" s="49" t="b">
        <f>IFERROR(__xludf.DUMMYFUNCTION("""COMPUTED_VALUE"""),FALSE)</f>
        <v>0</v>
      </c>
      <c r="N73" s="49"/>
    </row>
    <row r="74">
      <c r="A74" s="49" t="str">
        <f>IFERROR(__xludf.DUMMYFUNCTION("""COMPUTED_VALUE"""),"Tri-Blast")</f>
        <v>Tri-Blast</v>
      </c>
      <c r="B74" s="126">
        <f>IFERROR(__xludf.DUMMYFUNCTION("""COMPUTED_VALUE"""),9.0)</f>
        <v>9</v>
      </c>
      <c r="C74" s="125">
        <f>IFERROR(__xludf.DUMMYFUNCTION("""COMPUTED_VALUE"""),24000.0)</f>
        <v>24000</v>
      </c>
      <c r="D74" s="49"/>
      <c r="E74" s="49" t="str">
        <f>IFERROR(__xludf.DUMMYFUNCTION("""COMPUTED_VALUE"""),"200,000 Water, Fire, and Nature damage to all enemies.")</f>
        <v>200,000 Water, Fire, and Nature damage to all enemies.</v>
      </c>
      <c r="F74" s="49" t="str">
        <f>IFERROR(__xludf.DUMMYFUNCTION("""COMPUTED_VALUE"""),"Cannot Avoid")</f>
        <v>Cannot Avoid</v>
      </c>
      <c r="G74" s="49" t="str">
        <f>IFERROR(__xludf.DUMMYFUNCTION("""COMPUTED_VALUE"""),"All")</f>
        <v>All</v>
      </c>
      <c r="H74" s="49" t="str">
        <f>IFERROR(__xludf.DUMMYFUNCTION("""COMPUTED_VALUE"""),"Celestial")</f>
        <v>Celestial</v>
      </c>
      <c r="I74" s="49" t="str">
        <f>IFERROR(__xludf.DUMMYFUNCTION("""COMPUTED_VALUE"""),"Mob")</f>
        <v>Mob</v>
      </c>
      <c r="J74" s="49" t="b">
        <f>IFERROR(__xludf.DUMMYFUNCTION("""COMPUTED_VALUE"""),TRUE)</f>
        <v>1</v>
      </c>
      <c r="K74" s="49"/>
      <c r="L74" s="49" t="b">
        <f>IFERROR(__xludf.DUMMYFUNCTION("""COMPUTED_VALUE"""),FALSE)</f>
        <v>0</v>
      </c>
      <c r="M74" s="49" t="b">
        <f>IFERROR(__xludf.DUMMYFUNCTION("""COMPUTED_VALUE"""),FALSE)</f>
        <v>0</v>
      </c>
      <c r="N74" s="49"/>
    </row>
    <row r="75">
      <c r="A75" s="49" t="str">
        <f>IFERROR(__xludf.DUMMYFUNCTION("""COMPUTED_VALUE"""),"Call From The Mob House")</f>
        <v>Call From The Mob House</v>
      </c>
      <c r="B75" s="126">
        <f>IFERROR(__xludf.DUMMYFUNCTION("""COMPUTED_VALUE"""),3.0)</f>
        <v>3</v>
      </c>
      <c r="C75" s="49">
        <f>IFERROR(__xludf.DUMMYFUNCTION("""COMPUTED_VALUE"""),30.0)</f>
        <v>30</v>
      </c>
      <c r="D75" s="49"/>
      <c r="E75" s="49"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49" t="str">
        <f>IFERROR(__xludf.DUMMYFUNCTION("""COMPUTED_VALUE"""),"Fail/Succeed")</f>
        <v>Fail/Succeed</v>
      </c>
      <c r="G75" s="49"/>
      <c r="H75" s="49" t="str">
        <f>IFERROR(__xludf.DUMMYFUNCTION("""COMPUTED_VALUE"""),"Chaos")</f>
        <v>Chaos</v>
      </c>
      <c r="I75" s="49" t="str">
        <f>IFERROR(__xludf.DUMMYFUNCTION("""COMPUTED_VALUE"""),"Player")</f>
        <v>Player</v>
      </c>
      <c r="J75" s="49" t="b">
        <f>IFERROR(__xludf.DUMMYFUNCTION("""COMPUTED_VALUE"""),FALSE)</f>
        <v>0</v>
      </c>
      <c r="K75" s="49"/>
      <c r="L75" s="49" t="b">
        <f>IFERROR(__xludf.DUMMYFUNCTION("""COMPUTED_VALUE"""),FALSE)</f>
        <v>0</v>
      </c>
      <c r="M75" s="49" t="b">
        <f>IFERROR(__xludf.DUMMYFUNCTION("""COMPUTED_VALUE"""),FALSE)</f>
        <v>0</v>
      </c>
      <c r="N75" s="49"/>
    </row>
    <row r="76">
      <c r="A76" s="49" t="str">
        <f>IFERROR(__xludf.DUMMYFUNCTION("""COMPUTED_VALUE"""),"Chaos Barrier")</f>
        <v>Chaos Barrier</v>
      </c>
      <c r="B76" s="126">
        <f>IFERROR(__xludf.DUMMYFUNCTION("""COMPUTED_VALUE"""),4.0)</f>
        <v>4</v>
      </c>
      <c r="C76" s="49">
        <f>IFERROR(__xludf.DUMMYFUNCTION("""COMPUTED_VALUE"""),40.0)</f>
        <v>40</v>
      </c>
      <c r="D76" s="49"/>
      <c r="E76" s="49" t="str">
        <f>IFERROR(__xludf.DUMMYFUNCTION("""COMPUTED_VALUE"""),"If the caster is hit, the attacker takes 4000 chaos dmg for 3 rounds.")</f>
        <v>If the caster is hit, the attacker takes 4000 chaos dmg for 3 rounds.</v>
      </c>
      <c r="F76" s="49" t="str">
        <f>IFERROR(__xludf.DUMMYFUNCTION("""COMPUTED_VALUE"""),"Fail/Succeed")</f>
        <v>Fail/Succeed</v>
      </c>
      <c r="G76" s="49"/>
      <c r="H76" s="49" t="str">
        <f>IFERROR(__xludf.DUMMYFUNCTION("""COMPUTED_VALUE"""),"Chaos")</f>
        <v>Chaos</v>
      </c>
      <c r="I76" s="49" t="str">
        <f>IFERROR(__xludf.DUMMYFUNCTION("""COMPUTED_VALUE"""),"Player")</f>
        <v>Player</v>
      </c>
      <c r="J76" s="49" t="b">
        <f>IFERROR(__xludf.DUMMYFUNCTION("""COMPUTED_VALUE"""),FALSE)</f>
        <v>0</v>
      </c>
      <c r="K76" s="49"/>
      <c r="L76" s="49" t="b">
        <f>IFERROR(__xludf.DUMMYFUNCTION("""COMPUTED_VALUE"""),FALSE)</f>
        <v>0</v>
      </c>
      <c r="M76" s="49" t="b">
        <f>IFERROR(__xludf.DUMMYFUNCTION("""COMPUTED_VALUE"""),FALSE)</f>
        <v>0</v>
      </c>
      <c r="N76" s="49"/>
    </row>
    <row r="77">
      <c r="A77" s="49" t="str">
        <f>IFERROR(__xludf.DUMMYFUNCTION("""COMPUTED_VALUE"""),"Chaos Ward")</f>
        <v>Chaos Ward</v>
      </c>
      <c r="B77" s="126">
        <f>IFERROR(__xludf.DUMMYFUNCTION("""COMPUTED_VALUE"""),9.0)</f>
        <v>9</v>
      </c>
      <c r="C77" s="49">
        <f>IFERROR(__xludf.DUMMYFUNCTION("""COMPUTED_VALUE"""),400.0)</f>
        <v>400</v>
      </c>
      <c r="D77" s="49"/>
      <c r="E77" s="49"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49" t="str">
        <f>IFERROR(__xludf.DUMMYFUNCTION("""COMPUTED_VALUE"""),"Fail/Succeed")</f>
        <v>Fail/Succeed</v>
      </c>
      <c r="G77" s="49">
        <f>IFERROR(__xludf.DUMMYFUNCTION("""COMPUTED_VALUE"""),1.0)</f>
        <v>1</v>
      </c>
      <c r="H77" s="49" t="str">
        <f>IFERROR(__xludf.DUMMYFUNCTION("""COMPUTED_VALUE"""),"Chaos")</f>
        <v>Chaos</v>
      </c>
      <c r="I77" s="49" t="str">
        <f>IFERROR(__xludf.DUMMYFUNCTION("""COMPUTED_VALUE"""),"Player")</f>
        <v>Player</v>
      </c>
      <c r="J77" s="49" t="b">
        <f>IFERROR(__xludf.DUMMYFUNCTION("""COMPUTED_VALUE"""),FALSE)</f>
        <v>0</v>
      </c>
      <c r="K77" s="49"/>
      <c r="L77" s="49" t="b">
        <f>IFERROR(__xludf.DUMMYFUNCTION("""COMPUTED_VALUE"""),FALSE)</f>
        <v>0</v>
      </c>
      <c r="M77" s="49" t="b">
        <f>IFERROR(__xludf.DUMMYFUNCTION("""COMPUTED_VALUE"""),FALSE)</f>
        <v>0</v>
      </c>
      <c r="N77" s="49"/>
    </row>
    <row r="78">
      <c r="A78" s="49" t="str">
        <f>IFERROR(__xludf.DUMMYFUNCTION("""COMPUTED_VALUE"""),"Chaotic Golem Scream")</f>
        <v>Chaotic Golem Scream</v>
      </c>
      <c r="B78" s="126">
        <f>IFERROR(__xludf.DUMMYFUNCTION("""COMPUTED_VALUE"""),0.0)</f>
        <v>0</v>
      </c>
      <c r="C78" s="49">
        <f>IFERROR(__xludf.DUMMYFUNCTION("""COMPUTED_VALUE"""),0.0)</f>
        <v>0</v>
      </c>
      <c r="D78" s="49"/>
      <c r="E78" s="49" t="str">
        <f>IFERROR(__xludf.DUMMYFUNCTION("""COMPUTED_VALUE"""),"All enemies are stunned for 3 rounds.")</f>
        <v>All enemies are stunned for 3 rounds.</v>
      </c>
      <c r="F78" s="49" t="str">
        <f>IFERROR(__xludf.DUMMYFUNCTION("""COMPUTED_VALUE"""),"Natural/Fail Or Succeed")</f>
        <v>Natural/Fail Or Succeed</v>
      </c>
      <c r="G78" s="49" t="str">
        <f>IFERROR(__xludf.DUMMYFUNCTION("""COMPUTED_VALUE"""),"All")</f>
        <v>All</v>
      </c>
      <c r="H78" s="49" t="str">
        <f>IFERROR(__xludf.DUMMYFUNCTION("""COMPUTED_VALUE"""),"Chaos")</f>
        <v>Chaos</v>
      </c>
      <c r="I78" s="49" t="str">
        <f>IFERROR(__xludf.DUMMYFUNCTION("""COMPUTED_VALUE"""),"Mob")</f>
        <v>Mob</v>
      </c>
      <c r="J78" s="49" t="b">
        <f>IFERROR(__xludf.DUMMYFUNCTION("""COMPUTED_VALUE"""),TRUE)</f>
        <v>1</v>
      </c>
      <c r="K78" s="49" t="str">
        <f>IFERROR(__xludf.DUMMYFUNCTION("""COMPUTED_VALUE"""),"Players cannot obtain this spell.")</f>
        <v>Players cannot obtain this spell.</v>
      </c>
      <c r="L78" s="49" t="b">
        <f>IFERROR(__xludf.DUMMYFUNCTION("""COMPUTED_VALUE"""),FALSE)</f>
        <v>0</v>
      </c>
      <c r="M78" s="49" t="b">
        <f>IFERROR(__xludf.DUMMYFUNCTION("""COMPUTED_VALUE"""),FALSE)</f>
        <v>0</v>
      </c>
      <c r="N78" s="49"/>
    </row>
    <row r="79">
      <c r="A79" s="49" t="str">
        <f>IFERROR(__xludf.DUMMYFUNCTION("""COMPUTED_VALUE"""),"Chaotic Increase")</f>
        <v>Chaotic Increase</v>
      </c>
      <c r="B79" s="126">
        <f>IFERROR(__xludf.DUMMYFUNCTION("""COMPUTED_VALUE"""),5.0)</f>
        <v>5</v>
      </c>
      <c r="C79" s="49">
        <f>IFERROR(__xludf.DUMMYFUNCTION("""COMPUTED_VALUE"""),200.0)</f>
        <v>200</v>
      </c>
      <c r="D79" s="49"/>
      <c r="E79" s="49" t="str">
        <f>IFERROR(__xludf.DUMMYFUNCTION("""COMPUTED_VALUE"""),"Increases chaos dmg by X4 for the caster.")</f>
        <v>Increases chaos dmg by X4 for the caster.</v>
      </c>
      <c r="F79" s="49" t="str">
        <f>IFERROR(__xludf.DUMMYFUNCTION("""COMPUTED_VALUE"""),"Will Succeed")</f>
        <v>Will Succeed</v>
      </c>
      <c r="G79" s="49"/>
      <c r="H79" s="49" t="str">
        <f>IFERROR(__xludf.DUMMYFUNCTION("""COMPUTED_VALUE"""),"Chaos")</f>
        <v>Chaos</v>
      </c>
      <c r="I79" s="49" t="str">
        <f>IFERROR(__xludf.DUMMYFUNCTION("""COMPUTED_VALUE"""),"Player")</f>
        <v>Player</v>
      </c>
      <c r="J79" s="49" t="b">
        <f>IFERROR(__xludf.DUMMYFUNCTION("""COMPUTED_VALUE"""),FALSE)</f>
        <v>0</v>
      </c>
      <c r="K79" s="49"/>
      <c r="L79" s="49" t="b">
        <f>IFERROR(__xludf.DUMMYFUNCTION("""COMPUTED_VALUE"""),FALSE)</f>
        <v>0</v>
      </c>
      <c r="M79" s="49" t="b">
        <f>IFERROR(__xludf.DUMMYFUNCTION("""COMPUTED_VALUE"""),FALSE)</f>
        <v>0</v>
      </c>
      <c r="N79" s="49"/>
    </row>
    <row r="80">
      <c r="A80" s="49" t="str">
        <f>IFERROR(__xludf.DUMMYFUNCTION("""COMPUTED_VALUE"""),"Chaotic Phantom Blast")</f>
        <v>Chaotic Phantom Blast</v>
      </c>
      <c r="B80" s="126">
        <f>IFERROR(__xludf.DUMMYFUNCTION("""COMPUTED_VALUE"""),9.0)</f>
        <v>9</v>
      </c>
      <c r="C80" s="49" t="str">
        <f>IFERROR(__xludf.DUMMYFUNCTION("""COMPUTED_VALUE"""),"X")</f>
        <v>X</v>
      </c>
      <c r="D80" s="49"/>
      <c r="E80" s="49" t="str">
        <f>IFERROR(__xludf.DUMMYFUNCTION("""COMPUTED_VALUE"""),"X*15 Dark and X*15 Chaos damage to all enemies where X is equal to SP spent.")</f>
        <v>X*15 Dark and X*15 Chaos damage to all enemies where X is equal to SP spent.</v>
      </c>
      <c r="F80" s="49" t="str">
        <f>IFERROR(__xludf.DUMMYFUNCTION("""COMPUTED_VALUE"""),"Cannot Avoid")</f>
        <v>Cannot Avoid</v>
      </c>
      <c r="G80" s="49" t="str">
        <f>IFERROR(__xludf.DUMMYFUNCTION("""COMPUTED_VALUE"""),"All")</f>
        <v>All</v>
      </c>
      <c r="H80" s="49" t="str">
        <f>IFERROR(__xludf.DUMMYFUNCTION("""COMPUTED_VALUE"""),"Chaos")</f>
        <v>Chaos</v>
      </c>
      <c r="I80" s="49" t="str">
        <f>IFERROR(__xludf.DUMMYFUNCTION("""COMPUTED_VALUE"""),"Mob")</f>
        <v>Mob</v>
      </c>
      <c r="J80" s="49" t="b">
        <f>IFERROR(__xludf.DUMMYFUNCTION("""COMPUTED_VALUE"""),TRUE)</f>
        <v>1</v>
      </c>
      <c r="K80" s="49"/>
      <c r="L80" s="49" t="b">
        <f>IFERROR(__xludf.DUMMYFUNCTION("""COMPUTED_VALUE"""),FALSE)</f>
        <v>0</v>
      </c>
      <c r="M80" s="49" t="b">
        <f>IFERROR(__xludf.DUMMYFUNCTION("""COMPUTED_VALUE"""),FALSE)</f>
        <v>0</v>
      </c>
      <c r="N80" s="49"/>
    </row>
    <row r="81">
      <c r="A81" s="49" t="str">
        <f>IFERROR(__xludf.DUMMYFUNCTION("""COMPUTED_VALUE"""),"Chaotic Royal Barrier")</f>
        <v>Chaotic Royal Barrier</v>
      </c>
      <c r="B81" s="126">
        <f>IFERROR(__xludf.DUMMYFUNCTION("""COMPUTED_VALUE"""),9.0)</f>
        <v>9</v>
      </c>
      <c r="C81" s="125">
        <f>IFERROR(__xludf.DUMMYFUNCTION("""COMPUTED_VALUE"""),10000.0)</f>
        <v>10000</v>
      </c>
      <c r="D81" s="49"/>
      <c r="E81" s="49" t="str">
        <f>IFERROR(__xludf.DUMMYFUNCTION("""COMPUTED_VALUE"""),"Caster and allies are protected from all dmg for 3 rounds.")</f>
        <v>Caster and allies are protected from all dmg for 3 rounds.</v>
      </c>
      <c r="F81" s="49" t="str">
        <f>IFERROR(__xludf.DUMMYFUNCTION("""COMPUTED_VALUE"""),"Fail/Succeed")</f>
        <v>Fail/Succeed</v>
      </c>
      <c r="G81" s="49" t="str">
        <f>IFERROR(__xludf.DUMMYFUNCTION("""COMPUTED_VALUE"""),"Self")</f>
        <v>Self</v>
      </c>
      <c r="H81" s="49" t="str">
        <f>IFERROR(__xludf.DUMMYFUNCTION("""COMPUTED_VALUE"""),"Chaos")</f>
        <v>Chaos</v>
      </c>
      <c r="I81" s="49" t="str">
        <f>IFERROR(__xludf.DUMMYFUNCTION("""COMPUTED_VALUE"""),"Mob")</f>
        <v>Mob</v>
      </c>
      <c r="J81" s="49" t="b">
        <f>IFERROR(__xludf.DUMMYFUNCTION("""COMPUTED_VALUE"""),TRUE)</f>
        <v>1</v>
      </c>
      <c r="K81" s="49"/>
      <c r="L81" s="49" t="b">
        <f>IFERROR(__xludf.DUMMYFUNCTION("""COMPUTED_VALUE"""),FALSE)</f>
        <v>0</v>
      </c>
      <c r="M81" s="49" t="b">
        <f>IFERROR(__xludf.DUMMYFUNCTION("""COMPUTED_VALUE"""),FALSE)</f>
        <v>0</v>
      </c>
      <c r="N81" s="49"/>
    </row>
    <row r="82">
      <c r="A82" s="49" t="str">
        <f>IFERROR(__xludf.DUMMYFUNCTION("""COMPUTED_VALUE"""),"Chaotic Shadow Barrier")</f>
        <v>Chaotic Shadow Barrier</v>
      </c>
      <c r="B82" s="126">
        <f>IFERROR(__xludf.DUMMYFUNCTION("""COMPUTED_VALUE"""),9.0)</f>
        <v>9</v>
      </c>
      <c r="C82" s="125">
        <f>IFERROR(__xludf.DUMMYFUNCTION("""COMPUTED_VALUE"""),10000.0)</f>
        <v>10000</v>
      </c>
      <c r="D82" s="49"/>
      <c r="E82" s="49" t="str">
        <f>IFERROR(__xludf.DUMMYFUNCTION("""COMPUTED_VALUE"""),"Target is protected from all spells for 3 rounds")</f>
        <v>Target is protected from all spells for 3 rounds</v>
      </c>
      <c r="F82" s="49" t="str">
        <f>IFERROR(__xludf.DUMMYFUNCTION("""COMPUTED_VALUE"""),"Fail/Succeed")</f>
        <v>Fail/Succeed</v>
      </c>
      <c r="G82" s="49" t="str">
        <f>IFERROR(__xludf.DUMMYFUNCTION("""COMPUTED_VALUE"""),"Self")</f>
        <v>Self</v>
      </c>
      <c r="H82" s="49" t="str">
        <f>IFERROR(__xludf.DUMMYFUNCTION("""COMPUTED_VALUE"""),"Chaos")</f>
        <v>Chaos</v>
      </c>
      <c r="I82" s="49" t="str">
        <f>IFERROR(__xludf.DUMMYFUNCTION("""COMPUTED_VALUE"""),"Mob")</f>
        <v>Mob</v>
      </c>
      <c r="J82" s="49" t="b">
        <f>IFERROR(__xludf.DUMMYFUNCTION("""COMPUTED_VALUE"""),TRUE)</f>
        <v>1</v>
      </c>
      <c r="K82" s="49"/>
      <c r="L82" s="49" t="b">
        <f>IFERROR(__xludf.DUMMYFUNCTION("""COMPUTED_VALUE"""),FALSE)</f>
        <v>0</v>
      </c>
      <c r="M82" s="49" t="b">
        <f>IFERROR(__xludf.DUMMYFUNCTION("""COMPUTED_VALUE"""),FALSE)</f>
        <v>0</v>
      </c>
      <c r="N82" s="49"/>
    </row>
    <row r="83">
      <c r="A83" s="49" t="str">
        <f>IFERROR(__xludf.DUMMYFUNCTION("""COMPUTED_VALUE"""),"Chaotic Shadow Breath")</f>
        <v>Chaotic Shadow Breath</v>
      </c>
      <c r="B83" s="126">
        <f>IFERROR(__xludf.DUMMYFUNCTION("""COMPUTED_VALUE"""),0.0)</f>
        <v>0</v>
      </c>
      <c r="C83" s="49">
        <f>IFERROR(__xludf.DUMMYFUNCTION("""COMPUTED_VALUE"""),0.0)</f>
        <v>0</v>
      </c>
      <c r="D83" s="49"/>
      <c r="E83" s="49" t="str">
        <f>IFERROR(__xludf.DUMMYFUNCTION("""COMPUTED_VALUE"""),"All enemies take X Dark and X Chaos damage where X is equal to the users accuracy.")</f>
        <v>All enemies take X Dark and X Chaos damage where X is equal to the users accuracy.</v>
      </c>
      <c r="F83" s="49" t="str">
        <f>IFERROR(__xludf.DUMMYFUNCTION("""COMPUTED_VALUE"""),"Natural/Cannot Avoid")</f>
        <v>Natural/Cannot Avoid</v>
      </c>
      <c r="G83" s="49" t="str">
        <f>IFERROR(__xludf.DUMMYFUNCTION("""COMPUTED_VALUE"""),"All")</f>
        <v>All</v>
      </c>
      <c r="H83" s="49" t="str">
        <f>IFERROR(__xludf.DUMMYFUNCTION("""COMPUTED_VALUE"""),"Chaos")</f>
        <v>Chaos</v>
      </c>
      <c r="I83" s="49" t="str">
        <f>IFERROR(__xludf.DUMMYFUNCTION("""COMPUTED_VALUE"""),"Mob")</f>
        <v>Mob</v>
      </c>
      <c r="J83" s="49" t="b">
        <f>IFERROR(__xludf.DUMMYFUNCTION("""COMPUTED_VALUE"""),TRUE)</f>
        <v>1</v>
      </c>
      <c r="K83" s="49" t="str">
        <f>IFERROR(__xludf.DUMMYFUNCTION("""COMPUTED_VALUE"""),"Players cannot obtain this power.")</f>
        <v>Players cannot obtain this power.</v>
      </c>
      <c r="L83" s="49" t="b">
        <f>IFERROR(__xludf.DUMMYFUNCTION("""COMPUTED_VALUE"""),FALSE)</f>
        <v>0</v>
      </c>
      <c r="M83" s="49" t="b">
        <f>IFERROR(__xludf.DUMMYFUNCTION("""COMPUTED_VALUE"""),FALSE)</f>
        <v>0</v>
      </c>
      <c r="N83" s="49"/>
    </row>
    <row r="84">
      <c r="A84" s="49" t="str">
        <f>IFERROR(__xludf.DUMMYFUNCTION("""COMPUTED_VALUE"""),"Chaotic Shadow Claws")</f>
        <v>Chaotic Shadow Claws</v>
      </c>
      <c r="B84" s="126">
        <f>IFERROR(__xludf.DUMMYFUNCTION("""COMPUTED_VALUE"""),0.0)</f>
        <v>0</v>
      </c>
      <c r="C84" s="49">
        <f>IFERROR(__xludf.DUMMYFUNCTION("""COMPUTED_VALUE"""),0.0)</f>
        <v>0</v>
      </c>
      <c r="D84" s="49"/>
      <c r="E84" s="49"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49" t="str">
        <f>IFERROR(__xludf.DUMMYFUNCTION("""COMPUTED_VALUE"""),"Natural/Hit or Miss")</f>
        <v>Natural/Hit or Miss</v>
      </c>
      <c r="G84" s="49">
        <f>IFERROR(__xludf.DUMMYFUNCTION("""COMPUTED_VALUE"""),1.0)</f>
        <v>1</v>
      </c>
      <c r="H84" s="49" t="str">
        <f>IFERROR(__xludf.DUMMYFUNCTION("""COMPUTED_VALUE"""),"Chaos")</f>
        <v>Chaos</v>
      </c>
      <c r="I84" s="49" t="str">
        <f>IFERROR(__xludf.DUMMYFUNCTION("""COMPUTED_VALUE"""),"Mob")</f>
        <v>Mob</v>
      </c>
      <c r="J84" s="49" t="b">
        <f>IFERROR(__xludf.DUMMYFUNCTION("""COMPUTED_VALUE"""),TRUE)</f>
        <v>1</v>
      </c>
      <c r="K84" s="49"/>
      <c r="L84" s="49" t="b">
        <f>IFERROR(__xludf.DUMMYFUNCTION("""COMPUTED_VALUE"""),FALSE)</f>
        <v>0</v>
      </c>
      <c r="M84" s="49" t="b">
        <f>IFERROR(__xludf.DUMMYFUNCTION("""COMPUTED_VALUE"""),FALSE)</f>
        <v>0</v>
      </c>
      <c r="N84" s="49"/>
    </row>
    <row r="85">
      <c r="A85" s="49" t="str">
        <f>IFERROR(__xludf.DUMMYFUNCTION("""COMPUTED_VALUE"""),"Chaotic Shadow Dragons War Call")</f>
        <v>Chaotic Shadow Dragons War Call</v>
      </c>
      <c r="B85" s="126">
        <f>IFERROR(__xludf.DUMMYFUNCTION("""COMPUTED_VALUE"""),0.0)</f>
        <v>0</v>
      </c>
      <c r="C85" s="49">
        <f>IFERROR(__xludf.DUMMYFUNCTION("""COMPUTED_VALUE"""),0.0)</f>
        <v>0</v>
      </c>
      <c r="D85" s="49"/>
      <c r="E85" s="49" t="str">
        <f>IFERROR(__xludf.DUMMYFUNCTION("""COMPUTED_VALUE"""),"Calls in 2 other Multi headed Chaotic Shadow Dragon’s to battle, 50% chance to call in 3.")</f>
        <v>Calls in 2 other Multi headed Chaotic Shadow Dragon’s to battle, 50% chance to call in 3.</v>
      </c>
      <c r="F85" s="49" t="str">
        <f>IFERROR(__xludf.DUMMYFUNCTION("""COMPUTED_VALUE"""),"Natural/Fail or Succeed")</f>
        <v>Natural/Fail or Succeed</v>
      </c>
      <c r="G85" s="49" t="str">
        <f>IFERROR(__xludf.DUMMYFUNCTION("""COMPUTED_VALUE"""),"Self")</f>
        <v>Self</v>
      </c>
      <c r="H85" s="49" t="str">
        <f>IFERROR(__xludf.DUMMYFUNCTION("""COMPUTED_VALUE"""),"Chaos")</f>
        <v>Chaos</v>
      </c>
      <c r="I85" s="49" t="str">
        <f>IFERROR(__xludf.DUMMYFUNCTION("""COMPUTED_VALUE"""),"Mob")</f>
        <v>Mob</v>
      </c>
      <c r="J85" s="49" t="b">
        <f>IFERROR(__xludf.DUMMYFUNCTION("""COMPUTED_VALUE"""),TRUE)</f>
        <v>1</v>
      </c>
      <c r="K85" s="49"/>
      <c r="L85" s="49" t="b">
        <f>IFERROR(__xludf.DUMMYFUNCTION("""COMPUTED_VALUE"""),FALSE)</f>
        <v>0</v>
      </c>
      <c r="M85" s="49" t="b">
        <f>IFERROR(__xludf.DUMMYFUNCTION("""COMPUTED_VALUE"""),FALSE)</f>
        <v>0</v>
      </c>
      <c r="N85" s="49"/>
    </row>
    <row r="86">
      <c r="A86" s="49" t="str">
        <f>IFERROR(__xludf.DUMMYFUNCTION("""COMPUTED_VALUE"""),"Chaotic Shadow Dragons Wrath")</f>
        <v>Chaotic Shadow Dragons Wrath</v>
      </c>
      <c r="B86" s="126">
        <f>IFERROR(__xludf.DUMMYFUNCTION("""COMPUTED_VALUE"""),0.0)</f>
        <v>0</v>
      </c>
      <c r="C86" s="49">
        <f>IFERROR(__xludf.DUMMYFUNCTION("""COMPUTED_VALUE"""),0.0)</f>
        <v>0</v>
      </c>
      <c r="D86" s="49"/>
      <c r="E86" s="49" t="str">
        <f>IFERROR(__xludf.DUMMYFUNCTION("""COMPUTED_VALUE"""),"X Dark, X Fire, and X Chaos damage to all enemies, where X is equal to the users accuracy.")</f>
        <v>X Dark, X Fire, and X Chaos damage to all enemies, where X is equal to the users accuracy.</v>
      </c>
      <c r="F86" s="49" t="str">
        <f>IFERROR(__xludf.DUMMYFUNCTION("""COMPUTED_VALUE"""),"Natural/Cannot Avoid")</f>
        <v>Natural/Cannot Avoid</v>
      </c>
      <c r="G86" s="49" t="str">
        <f>IFERROR(__xludf.DUMMYFUNCTION("""COMPUTED_VALUE"""),"All")</f>
        <v>All</v>
      </c>
      <c r="H86" s="49" t="str">
        <f>IFERROR(__xludf.DUMMYFUNCTION("""COMPUTED_VALUE"""),"Chaos")</f>
        <v>Chaos</v>
      </c>
      <c r="I86" s="49" t="str">
        <f>IFERROR(__xludf.DUMMYFUNCTION("""COMPUTED_VALUE"""),"Mob")</f>
        <v>Mob</v>
      </c>
      <c r="J86" s="49" t="b">
        <f>IFERROR(__xludf.DUMMYFUNCTION("""COMPUTED_VALUE"""),TRUE)</f>
        <v>1</v>
      </c>
      <c r="K86" s="49"/>
      <c r="L86" s="49" t="b">
        <f>IFERROR(__xludf.DUMMYFUNCTION("""COMPUTED_VALUE"""),FALSE)</f>
        <v>0</v>
      </c>
      <c r="M86" s="49" t="b">
        <f>IFERROR(__xludf.DUMMYFUNCTION("""COMPUTED_VALUE"""),FALSE)</f>
        <v>0</v>
      </c>
      <c r="N86" s="49"/>
    </row>
    <row r="87">
      <c r="A87" s="49" t="str">
        <f>IFERROR(__xludf.DUMMYFUNCTION("""COMPUTED_VALUE"""),"Chaotic Shadow Force")</f>
        <v>Chaotic Shadow Force</v>
      </c>
      <c r="B87" s="126">
        <f>IFERROR(__xludf.DUMMYFUNCTION("""COMPUTED_VALUE"""),0.0)</f>
        <v>0</v>
      </c>
      <c r="C87" s="49">
        <f>IFERROR(__xludf.DUMMYFUNCTION("""COMPUTED_VALUE"""),0.0)</f>
        <v>0</v>
      </c>
      <c r="D87" s="49"/>
      <c r="E87" s="49"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49" t="str">
        <f>IFERROR(__xludf.DUMMYFUNCTION("""COMPUTED_VALUE"""),"Natural/Fail Or Succeed")</f>
        <v>Natural/Fail Or Succeed</v>
      </c>
      <c r="G87" s="49">
        <f>IFERROR(__xludf.DUMMYFUNCTION("""COMPUTED_VALUE"""),1.0)</f>
        <v>1</v>
      </c>
      <c r="H87" s="49" t="str">
        <f>IFERROR(__xludf.DUMMYFUNCTION("""COMPUTED_VALUE"""),"Chaos")</f>
        <v>Chaos</v>
      </c>
      <c r="I87" s="49" t="str">
        <f>IFERROR(__xludf.DUMMYFUNCTION("""COMPUTED_VALUE"""),"Mob")</f>
        <v>Mob</v>
      </c>
      <c r="J87" s="49" t="b">
        <f>IFERROR(__xludf.DUMMYFUNCTION("""COMPUTED_VALUE"""),TRUE)</f>
        <v>1</v>
      </c>
      <c r="K87" s="49"/>
      <c r="L87" s="49" t="b">
        <f>IFERROR(__xludf.DUMMYFUNCTION("""COMPUTED_VALUE"""),FALSE)</f>
        <v>0</v>
      </c>
      <c r="M87" s="49" t="b">
        <f>IFERROR(__xludf.DUMMYFUNCTION("""COMPUTED_VALUE"""),FALSE)</f>
        <v>0</v>
      </c>
      <c r="N87" s="49"/>
    </row>
    <row r="88">
      <c r="A88" s="49" t="str">
        <f>IFERROR(__xludf.DUMMYFUNCTION("""COMPUTED_VALUE"""),"Chaotic Shadow Slam")</f>
        <v>Chaotic Shadow Slam</v>
      </c>
      <c r="B88" s="126">
        <f>IFERROR(__xludf.DUMMYFUNCTION("""COMPUTED_VALUE"""),0.0)</f>
        <v>0</v>
      </c>
      <c r="C88" s="49">
        <f>IFERROR(__xludf.DUMMYFUNCTION("""COMPUTED_VALUE"""),0.0)</f>
        <v>0</v>
      </c>
      <c r="D88" s="49"/>
      <c r="E88" s="49" t="str">
        <f>IFERROR(__xludf.DUMMYFUNCTION("""COMPUTED_VALUE"""),"Slams the target into the ground dealing X*2 Chaos and X*2 Dark damage where X is equal to attack.")</f>
        <v>Slams the target into the ground dealing X*2 Chaos and X*2 Dark damage where X is equal to attack.</v>
      </c>
      <c r="F88" s="49" t="str">
        <f>IFERROR(__xludf.DUMMYFUNCTION("""COMPUTED_VALUE"""),"Natural/Hit or Miss")</f>
        <v>Natural/Hit or Miss</v>
      </c>
      <c r="G88" s="49">
        <f>IFERROR(__xludf.DUMMYFUNCTION("""COMPUTED_VALUE"""),1.0)</f>
        <v>1</v>
      </c>
      <c r="H88" s="49" t="str">
        <f>IFERROR(__xludf.DUMMYFUNCTION("""COMPUTED_VALUE"""),"Chaos")</f>
        <v>Chaos</v>
      </c>
      <c r="I88" s="49" t="str">
        <f>IFERROR(__xludf.DUMMYFUNCTION("""COMPUTED_VALUE"""),"Mob")</f>
        <v>Mob</v>
      </c>
      <c r="J88" s="49" t="b">
        <f>IFERROR(__xludf.DUMMYFUNCTION("""COMPUTED_VALUE"""),TRUE)</f>
        <v>1</v>
      </c>
      <c r="K88" s="49"/>
      <c r="L88" s="49" t="b">
        <f>IFERROR(__xludf.DUMMYFUNCTION("""COMPUTED_VALUE"""),FALSE)</f>
        <v>0</v>
      </c>
      <c r="M88" s="49" t="b">
        <f>IFERROR(__xludf.DUMMYFUNCTION("""COMPUTED_VALUE"""),FALSE)</f>
        <v>0</v>
      </c>
      <c r="N88" s="49"/>
    </row>
    <row r="89">
      <c r="A89" s="49" t="str">
        <f>IFERROR(__xludf.DUMMYFUNCTION("""COMPUTED_VALUE"""),"Chaotic Shadow Spider Slam")</f>
        <v>Chaotic Shadow Spider Slam</v>
      </c>
      <c r="B89" s="126">
        <f>IFERROR(__xludf.DUMMYFUNCTION("""COMPUTED_VALUE"""),0.0)</f>
        <v>0</v>
      </c>
      <c r="C89" s="49">
        <f>IFERROR(__xludf.DUMMYFUNCTION("""COMPUTED_VALUE"""),0.0)</f>
        <v>0</v>
      </c>
      <c r="D89" s="49"/>
      <c r="E89" s="49" t="str">
        <f>IFERROR(__xludf.DUMMYFUNCTION("""COMPUTED_VALUE"""),"All targets take X Dark and X Chaos damage, where x is equal to the users attack.")</f>
        <v>All targets take X Dark and X Chaos damage, where x is equal to the users attack.</v>
      </c>
      <c r="F89" s="49" t="str">
        <f>IFERROR(__xludf.DUMMYFUNCTION("""COMPUTED_VALUE"""),"Natural/Cannot Avoid")</f>
        <v>Natural/Cannot Avoid</v>
      </c>
      <c r="G89" s="49" t="str">
        <f>IFERROR(__xludf.DUMMYFUNCTION("""COMPUTED_VALUE"""),"All")</f>
        <v>All</v>
      </c>
      <c r="H89" s="49" t="str">
        <f>IFERROR(__xludf.DUMMYFUNCTION("""COMPUTED_VALUE"""),"Chaos")</f>
        <v>Chaos</v>
      </c>
      <c r="I89" s="49" t="str">
        <f>IFERROR(__xludf.DUMMYFUNCTION("""COMPUTED_VALUE"""),"Mob")</f>
        <v>Mob</v>
      </c>
      <c r="J89" s="49" t="b">
        <f>IFERROR(__xludf.DUMMYFUNCTION("""COMPUTED_VALUE"""),TRUE)</f>
        <v>1</v>
      </c>
      <c r="K89" s="49"/>
      <c r="L89" s="49" t="b">
        <f>IFERROR(__xludf.DUMMYFUNCTION("""COMPUTED_VALUE"""),FALSE)</f>
        <v>0</v>
      </c>
      <c r="M89" s="49" t="b">
        <f>IFERROR(__xludf.DUMMYFUNCTION("""COMPUTED_VALUE"""),FALSE)</f>
        <v>0</v>
      </c>
      <c r="N89" s="49"/>
    </row>
    <row r="90">
      <c r="A90" s="49" t="str">
        <f>IFERROR(__xludf.DUMMYFUNCTION("""COMPUTED_VALUE"""),"Chaotic Shadow Stomp")</f>
        <v>Chaotic Shadow Stomp</v>
      </c>
      <c r="B90" s="126">
        <f>IFERROR(__xludf.DUMMYFUNCTION("""COMPUTED_VALUE"""),0.0)</f>
        <v>0</v>
      </c>
      <c r="C90" s="49">
        <f>IFERROR(__xludf.DUMMYFUNCTION("""COMPUTED_VALUE"""),0.0)</f>
        <v>0</v>
      </c>
      <c r="D90" s="49"/>
      <c r="E90" s="49" t="str">
        <f>IFERROR(__xludf.DUMMYFUNCTION("""COMPUTED_VALUE"""),"All enemies take X*4 Dark and X*4 Chaos damage, where x is equal to the users attack.")</f>
        <v>All enemies take X*4 Dark and X*4 Chaos damage, where x is equal to the users attack.</v>
      </c>
      <c r="F90" s="49" t="str">
        <f>IFERROR(__xludf.DUMMYFUNCTION("""COMPUTED_VALUE"""),"Natural/Cannot Avoid")</f>
        <v>Natural/Cannot Avoid</v>
      </c>
      <c r="G90" s="49" t="str">
        <f>IFERROR(__xludf.DUMMYFUNCTION("""COMPUTED_VALUE"""),"All")</f>
        <v>All</v>
      </c>
      <c r="H90" s="49" t="str">
        <f>IFERROR(__xludf.DUMMYFUNCTION("""COMPUTED_VALUE"""),"Chaos")</f>
        <v>Chaos</v>
      </c>
      <c r="I90" s="49" t="str">
        <f>IFERROR(__xludf.DUMMYFUNCTION("""COMPUTED_VALUE"""),"Mob")</f>
        <v>Mob</v>
      </c>
      <c r="J90" s="49" t="b">
        <f>IFERROR(__xludf.DUMMYFUNCTION("""COMPUTED_VALUE"""),TRUE)</f>
        <v>1</v>
      </c>
      <c r="K90" s="49"/>
      <c r="L90" s="49" t="b">
        <f>IFERROR(__xludf.DUMMYFUNCTION("""COMPUTED_VALUE"""),FALSE)</f>
        <v>0</v>
      </c>
      <c r="M90" s="49" t="b">
        <f>IFERROR(__xludf.DUMMYFUNCTION("""COMPUTED_VALUE"""),FALSE)</f>
        <v>0</v>
      </c>
      <c r="N90" s="49"/>
    </row>
    <row r="91">
      <c r="A91" s="49" t="str">
        <f>IFERROR(__xludf.DUMMYFUNCTION("""COMPUTED_VALUE"""),"Chaotic Spider Smarts")</f>
        <v>Chaotic Spider Smarts</v>
      </c>
      <c r="B91" s="126">
        <f>IFERROR(__xludf.DUMMYFUNCTION("""COMPUTED_VALUE"""),0.0)</f>
        <v>0</v>
      </c>
      <c r="C91" s="49">
        <f>IFERROR(__xludf.DUMMYFUNCTION("""COMPUTED_VALUE"""),0.0)</f>
        <v>0</v>
      </c>
      <c r="D91" s="49"/>
      <c r="E91" s="49" t="str">
        <f>IFERROR(__xludf.DUMMYFUNCTION("""COMPUTED_VALUE"""),"All base stats become x4 for 3 rounds, can only be used once per battle.")</f>
        <v>All base stats become x4 for 3 rounds, can only be used once per battle.</v>
      </c>
      <c r="F91" s="49" t="str">
        <f>IFERROR(__xludf.DUMMYFUNCTION("""COMPUTED_VALUE"""),"Natural/Fail or Succeed")</f>
        <v>Natural/Fail or Succeed</v>
      </c>
      <c r="G91" s="49" t="str">
        <f>IFERROR(__xludf.DUMMYFUNCTION("""COMPUTED_VALUE"""),"Self")</f>
        <v>Self</v>
      </c>
      <c r="H91" s="49" t="str">
        <f>IFERROR(__xludf.DUMMYFUNCTION("""COMPUTED_VALUE"""),"Chaos")</f>
        <v>Chaos</v>
      </c>
      <c r="I91" s="49" t="str">
        <f>IFERROR(__xludf.DUMMYFUNCTION("""COMPUTED_VALUE"""),"Mob")</f>
        <v>Mob</v>
      </c>
      <c r="J91" s="49" t="b">
        <f>IFERROR(__xludf.DUMMYFUNCTION("""COMPUTED_VALUE"""),TRUE)</f>
        <v>1</v>
      </c>
      <c r="K91" s="49"/>
      <c r="L91" s="49" t="b">
        <f>IFERROR(__xludf.DUMMYFUNCTION("""COMPUTED_VALUE"""),FALSE)</f>
        <v>0</v>
      </c>
      <c r="M91" s="49" t="b">
        <f>IFERROR(__xludf.DUMMYFUNCTION("""COMPUTED_VALUE"""),FALSE)</f>
        <v>0</v>
      </c>
      <c r="N91" s="49"/>
    </row>
    <row r="92">
      <c r="A92" s="49" t="str">
        <f>IFERROR(__xludf.DUMMYFUNCTION("""COMPUTED_VALUE"""),"Countdown")</f>
        <v>Countdown</v>
      </c>
      <c r="B92" s="126">
        <f>IFERROR(__xludf.DUMMYFUNCTION("""COMPUTED_VALUE"""),9.0)</f>
        <v>9</v>
      </c>
      <c r="C92" s="125">
        <f>IFERROR(__xludf.DUMMYFUNCTION("""COMPUTED_VALUE"""),10000.0)</f>
        <v>10000</v>
      </c>
      <c r="D92" s="49"/>
      <c r="E92" s="49" t="str">
        <f>IFERROR(__xludf.DUMMYFUNCTION("""COMPUTED_VALUE"""),"All enemies will instantly die after 3 rounds, cannot be canceled once begun, Cannot resist or be immune to.")</f>
        <v>All enemies will instantly die after 3 rounds, cannot be canceled once begun, Cannot resist or be immune to.</v>
      </c>
      <c r="F92" s="49" t="str">
        <f>IFERROR(__xludf.DUMMYFUNCTION("""COMPUTED_VALUE"""),"Fail/Succeed")</f>
        <v>Fail/Succeed</v>
      </c>
      <c r="G92" s="49" t="str">
        <f>IFERROR(__xludf.DUMMYFUNCTION("""COMPUTED_VALUE"""),"All")</f>
        <v>All</v>
      </c>
      <c r="H92" s="49" t="str">
        <f>IFERROR(__xludf.DUMMYFUNCTION("""COMPUTED_VALUE"""),"Chaos")</f>
        <v>Chaos</v>
      </c>
      <c r="I92" s="49" t="str">
        <f>IFERROR(__xludf.DUMMYFUNCTION("""COMPUTED_VALUE"""),"Player")</f>
        <v>Player</v>
      </c>
      <c r="J92" s="49" t="b">
        <f>IFERROR(__xludf.DUMMYFUNCTION("""COMPUTED_VALUE"""),TRUE)</f>
        <v>1</v>
      </c>
      <c r="K92" s="49" t="str">
        <f>IFERROR(__xludf.DUMMYFUNCTION("""COMPUTED_VALUE"""),"shop spell")</f>
        <v>shop spell</v>
      </c>
      <c r="L92" s="49" t="b">
        <f>IFERROR(__xludf.DUMMYFUNCTION("""COMPUTED_VALUE"""),FALSE)</f>
        <v>0</v>
      </c>
      <c r="M92" s="49" t="b">
        <f>IFERROR(__xludf.DUMMYFUNCTION("""COMPUTED_VALUE"""),TRUE)</f>
        <v>1</v>
      </c>
      <c r="N92" s="49"/>
    </row>
    <row r="93">
      <c r="A93" s="49" t="str">
        <f>IFERROR(__xludf.DUMMYFUNCTION("""COMPUTED_VALUE"""),"Curse of The Samurai")</f>
        <v>Curse of The Samurai</v>
      </c>
      <c r="B93" s="126">
        <f>IFERROR(__xludf.DUMMYFUNCTION("""COMPUTED_VALUE"""),9.0)</f>
        <v>9</v>
      </c>
      <c r="C93" s="125">
        <f>IFERROR(__xludf.DUMMYFUNCTION("""COMPUTED_VALUE"""),300.0)</f>
        <v>300</v>
      </c>
      <c r="D93" s="49"/>
      <c r="E93" s="49" t="str">
        <f>IFERROR(__xludf.DUMMYFUNCTION("""COMPUTED_VALUE"""),"Binds the target to the area they are in making it so they cannot leave it.")</f>
        <v>Binds the target to the area they are in making it so they cannot leave it.</v>
      </c>
      <c r="F93" s="49" t="str">
        <f>IFERROR(__xludf.DUMMYFUNCTION("""COMPUTED_VALUE"""),"Fail or Succeed")</f>
        <v>Fail or Succeed</v>
      </c>
      <c r="G93" s="49">
        <f>IFERROR(__xludf.DUMMYFUNCTION("""COMPUTED_VALUE"""),1.0)</f>
        <v>1</v>
      </c>
      <c r="H93" s="49" t="str">
        <f>IFERROR(__xludf.DUMMYFUNCTION("""COMPUTED_VALUE"""),"Chaos")</f>
        <v>Chaos</v>
      </c>
      <c r="I93" s="49" t="str">
        <f>IFERROR(__xludf.DUMMYFUNCTION("""COMPUTED_VALUE"""),"Mob")</f>
        <v>Mob</v>
      </c>
      <c r="J93" s="49" t="b">
        <f>IFERROR(__xludf.DUMMYFUNCTION("""COMPUTED_VALUE"""),TRUE)</f>
        <v>1</v>
      </c>
      <c r="K93" s="49"/>
      <c r="L93" s="49" t="b">
        <f>IFERROR(__xludf.DUMMYFUNCTION("""COMPUTED_VALUE"""),FALSE)</f>
        <v>0</v>
      </c>
      <c r="M93" s="49" t="b">
        <f>IFERROR(__xludf.DUMMYFUNCTION("""COMPUTED_VALUE"""),FALSE)</f>
        <v>0</v>
      </c>
      <c r="N93" s="49"/>
    </row>
    <row r="94">
      <c r="A94" s="49" t="str">
        <f>IFERROR(__xludf.DUMMYFUNCTION("""COMPUTED_VALUE"""),"Deflect (Random)")</f>
        <v>Deflect (Random)</v>
      </c>
      <c r="B94" s="126">
        <f>IFERROR(__xludf.DUMMYFUNCTION("""COMPUTED_VALUE"""),3.0)</f>
        <v>3</v>
      </c>
      <c r="C94" s="49">
        <f>IFERROR(__xludf.DUMMYFUNCTION("""COMPUTED_VALUE"""),30.0)</f>
        <v>30</v>
      </c>
      <c r="D94" s="49"/>
      <c r="E94" s="49" t="str">
        <f>IFERROR(__xludf.DUMMYFUNCTION("""COMPUTED_VALUE"""),"Deflects any damage you would have taken from the next attack and diverts to a random target.")</f>
        <v>Deflects any damage you would have taken from the next attack and diverts to a random target.</v>
      </c>
      <c r="F94" s="49" t="str">
        <f>IFERROR(__xludf.DUMMYFUNCTION("""COMPUTED_VALUE"""),"Fail/Succeed")</f>
        <v>Fail/Succeed</v>
      </c>
      <c r="G94" s="49"/>
      <c r="H94" s="49" t="str">
        <f>IFERROR(__xludf.DUMMYFUNCTION("""COMPUTED_VALUE"""),"Chaos")</f>
        <v>Chaos</v>
      </c>
      <c r="I94" s="49" t="str">
        <f>IFERROR(__xludf.DUMMYFUNCTION("""COMPUTED_VALUE"""),"Player")</f>
        <v>Player</v>
      </c>
      <c r="J94" s="49" t="b">
        <f>IFERROR(__xludf.DUMMYFUNCTION("""COMPUTED_VALUE"""),FALSE)</f>
        <v>0</v>
      </c>
      <c r="K94" s="49"/>
      <c r="L94" s="49" t="b">
        <f>IFERROR(__xludf.DUMMYFUNCTION("""COMPUTED_VALUE"""),FALSE)</f>
        <v>0</v>
      </c>
      <c r="M94" s="49" t="b">
        <f>IFERROR(__xludf.DUMMYFUNCTION("""COMPUTED_VALUE"""),FALSE)</f>
        <v>0</v>
      </c>
      <c r="N94" s="49"/>
    </row>
    <row r="95">
      <c r="A95" s="49" t="str">
        <f>IFERROR(__xludf.DUMMYFUNCTION("""COMPUTED_VALUE"""),"Dimension Portal")</f>
        <v>Dimension Portal</v>
      </c>
      <c r="B95" s="126">
        <f>IFERROR(__xludf.DUMMYFUNCTION("""COMPUTED_VALUE"""),9.0)</f>
        <v>9</v>
      </c>
      <c r="C95" s="49" t="str">
        <f>IFERROR(__xludf.DUMMYFUNCTION("""COMPUTED_VALUE"""),"200 or 400")</f>
        <v>200 or 400</v>
      </c>
      <c r="D95" s="49"/>
      <c r="E95" s="49"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49" t="str">
        <f>IFERROR(__xludf.DUMMYFUNCTION("""COMPUTED_VALUE"""),"Fail/Succeed")</f>
        <v>Fail/Succeed</v>
      </c>
      <c r="G95" s="49"/>
      <c r="H95" s="49" t="str">
        <f>IFERROR(__xludf.DUMMYFUNCTION("""COMPUTED_VALUE"""),"Chaos")</f>
        <v>Chaos</v>
      </c>
      <c r="I95" s="49" t="str">
        <f>IFERROR(__xludf.DUMMYFUNCTION("""COMPUTED_VALUE"""),"Player")</f>
        <v>Player</v>
      </c>
      <c r="J95" s="49" t="b">
        <f>IFERROR(__xludf.DUMMYFUNCTION("""COMPUTED_VALUE"""),FALSE)</f>
        <v>0</v>
      </c>
      <c r="K95" s="49"/>
      <c r="L95" s="49" t="b">
        <f>IFERROR(__xludf.DUMMYFUNCTION("""COMPUTED_VALUE"""),FALSE)</f>
        <v>0</v>
      </c>
      <c r="M95" s="49" t="b">
        <f>IFERROR(__xludf.DUMMYFUNCTION("""COMPUTED_VALUE"""),FALSE)</f>
        <v>0</v>
      </c>
      <c r="N95" s="49"/>
    </row>
    <row r="96">
      <c r="A96" s="49" t="str">
        <f>IFERROR(__xludf.DUMMYFUNCTION("""COMPUTED_VALUE"""),"Dimensional Quake")</f>
        <v>Dimensional Quake</v>
      </c>
      <c r="B96" s="126">
        <f>IFERROR(__xludf.DUMMYFUNCTION("""COMPUTED_VALUE"""),9.0)</f>
        <v>9</v>
      </c>
      <c r="C96" s="49">
        <f>IFERROR(__xludf.DUMMYFUNCTION("""COMPUTED_VALUE"""),400.0)</f>
        <v>400</v>
      </c>
      <c r="D96" s="49"/>
      <c r="E96" s="49"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49" t="str">
        <f>IFERROR(__xludf.DUMMYFUNCTION("""COMPUTED_VALUE"""),"Cannot Avoid")</f>
        <v>Cannot Avoid</v>
      </c>
      <c r="G96" s="49" t="str">
        <f>IFERROR(__xludf.DUMMYFUNCTION("""COMPUTED_VALUE"""),"All")</f>
        <v>All</v>
      </c>
      <c r="H96" s="49" t="str">
        <f>IFERROR(__xludf.DUMMYFUNCTION("""COMPUTED_VALUE"""),"Chaos")</f>
        <v>Chaos</v>
      </c>
      <c r="I96" s="49" t="str">
        <f>IFERROR(__xludf.DUMMYFUNCTION("""COMPUTED_VALUE"""),"Player")</f>
        <v>Player</v>
      </c>
      <c r="J96" s="49" t="b">
        <f>IFERROR(__xludf.DUMMYFUNCTION("""COMPUTED_VALUE"""),FALSE)</f>
        <v>0</v>
      </c>
      <c r="K96" s="49"/>
      <c r="L96" s="49" t="b">
        <f>IFERROR(__xludf.DUMMYFUNCTION("""COMPUTED_VALUE"""),FALSE)</f>
        <v>0</v>
      </c>
      <c r="M96" s="49" t="b">
        <f>IFERROR(__xludf.DUMMYFUNCTION("""COMPUTED_VALUE"""),FALSE)</f>
        <v>0</v>
      </c>
      <c r="N96" s="49"/>
    </row>
    <row r="97">
      <c r="A97" s="49" t="str">
        <f>IFERROR(__xludf.DUMMYFUNCTION("""COMPUTED_VALUE"""),"Disruption")</f>
        <v>Disruption</v>
      </c>
      <c r="B97" s="126">
        <f>IFERROR(__xludf.DUMMYFUNCTION("""COMPUTED_VALUE"""),9.0)</f>
        <v>9</v>
      </c>
      <c r="C97" s="49">
        <f>IFERROR(__xludf.DUMMYFUNCTION("""COMPUTED_VALUE"""),600.0)</f>
        <v>600</v>
      </c>
      <c r="D97" s="49"/>
      <c r="E97" s="49" t="str">
        <f>IFERROR(__xludf.DUMMYFUNCTION("""COMPUTED_VALUE"""),"Prevent all enemies from Spell Casting for 3 rounds.")</f>
        <v>Prevent all enemies from Spell Casting for 3 rounds.</v>
      </c>
      <c r="F97" s="49" t="str">
        <f>IFERROR(__xludf.DUMMYFUNCTION("""COMPUTED_VALUE"""),"Fail/Succeed")</f>
        <v>Fail/Succeed</v>
      </c>
      <c r="G97" s="49"/>
      <c r="H97" s="49" t="str">
        <f>IFERROR(__xludf.DUMMYFUNCTION("""COMPUTED_VALUE"""),"Chaos")</f>
        <v>Chaos</v>
      </c>
      <c r="I97" s="49" t="str">
        <f>IFERROR(__xludf.DUMMYFUNCTION("""COMPUTED_VALUE"""),"Player")</f>
        <v>Player</v>
      </c>
      <c r="J97" s="49" t="b">
        <f>IFERROR(__xludf.DUMMYFUNCTION("""COMPUTED_VALUE"""),FALSE)</f>
        <v>0</v>
      </c>
      <c r="K97" s="49"/>
      <c r="L97" s="49" t="b">
        <f>IFERROR(__xludf.DUMMYFUNCTION("""COMPUTED_VALUE"""),FALSE)</f>
        <v>0</v>
      </c>
      <c r="M97" s="49" t="b">
        <f>IFERROR(__xludf.DUMMYFUNCTION("""COMPUTED_VALUE"""),FALSE)</f>
        <v>0</v>
      </c>
      <c r="N97" s="49"/>
    </row>
    <row r="98">
      <c r="A98" s="49" t="str">
        <f>IFERROR(__xludf.DUMMYFUNCTION("""COMPUTED_VALUE"""),"Disturbance")</f>
        <v>Disturbance</v>
      </c>
      <c r="B98" s="126">
        <f>IFERROR(__xludf.DUMMYFUNCTION("""COMPUTED_VALUE"""),8.0)</f>
        <v>8</v>
      </c>
      <c r="C98" s="49">
        <f>IFERROR(__xludf.DUMMYFUNCTION("""COMPUTED_VALUE"""),300.0)</f>
        <v>300</v>
      </c>
      <c r="D98" s="49"/>
      <c r="E98" s="49" t="str">
        <f>IFERROR(__xludf.DUMMYFUNCTION("""COMPUTED_VALUE"""),"Prevent 1 target from Spell Casting for 3 rounds.")</f>
        <v>Prevent 1 target from Spell Casting for 3 rounds.</v>
      </c>
      <c r="F98" s="49" t="str">
        <f>IFERROR(__xludf.DUMMYFUNCTION("""COMPUTED_VALUE"""),"Fail/Succeed")</f>
        <v>Fail/Succeed</v>
      </c>
      <c r="G98" s="49"/>
      <c r="H98" s="49" t="str">
        <f>IFERROR(__xludf.DUMMYFUNCTION("""COMPUTED_VALUE"""),"Chaos")</f>
        <v>Chaos</v>
      </c>
      <c r="I98" s="49" t="str">
        <f>IFERROR(__xludf.DUMMYFUNCTION("""COMPUTED_VALUE"""),"Player")</f>
        <v>Player</v>
      </c>
      <c r="J98" s="49" t="b">
        <f>IFERROR(__xludf.DUMMYFUNCTION("""COMPUTED_VALUE"""),FALSE)</f>
        <v>0</v>
      </c>
      <c r="K98" s="49"/>
      <c r="L98" s="49" t="b">
        <f>IFERROR(__xludf.DUMMYFUNCTION("""COMPUTED_VALUE"""),FALSE)</f>
        <v>0</v>
      </c>
      <c r="M98" s="49" t="b">
        <f>IFERROR(__xludf.DUMMYFUNCTION("""COMPUTED_VALUE"""),FALSE)</f>
        <v>0</v>
      </c>
      <c r="N98" s="49"/>
    </row>
    <row r="99">
      <c r="A99" s="49" t="str">
        <f>IFERROR(__xludf.DUMMYFUNCTION("""COMPUTED_VALUE"""),"Doom Impulse")</f>
        <v>Doom Impulse</v>
      </c>
      <c r="B99" s="126">
        <f>IFERROR(__xludf.DUMMYFUNCTION("""COMPUTED_VALUE"""),9.0)</f>
        <v>9</v>
      </c>
      <c r="C99" s="125">
        <f>IFERROR(__xludf.DUMMYFUNCTION("""COMPUTED_VALUE"""),1000.0)</f>
        <v>1000</v>
      </c>
      <c r="D99" s="49"/>
      <c r="E99" s="49" t="str">
        <f>IFERROR(__xludf.DUMMYFUNCTION("""COMPUTED_VALUE"""),"20,000 chaos damage to all enemies, Ignores defense.")</f>
        <v>20,000 chaos damage to all enemies, Ignores defense.</v>
      </c>
      <c r="F99" s="49" t="str">
        <f>IFERROR(__xludf.DUMMYFUNCTION("""COMPUTED_VALUE"""),"Cannot Avoid")</f>
        <v>Cannot Avoid</v>
      </c>
      <c r="G99" s="49" t="str">
        <f>IFERROR(__xludf.DUMMYFUNCTION("""COMPUTED_VALUE"""),"All")</f>
        <v>All</v>
      </c>
      <c r="H99" s="49" t="str">
        <f>IFERROR(__xludf.DUMMYFUNCTION("""COMPUTED_VALUE"""),"Chaos")</f>
        <v>Chaos</v>
      </c>
      <c r="I99" s="49" t="str">
        <f>IFERROR(__xludf.DUMMYFUNCTION("""COMPUTED_VALUE"""),"Player")</f>
        <v>Player</v>
      </c>
      <c r="J99" s="49" t="b">
        <f>IFERROR(__xludf.DUMMYFUNCTION("""COMPUTED_VALUE"""),TRUE)</f>
        <v>1</v>
      </c>
      <c r="K99" s="49" t="str">
        <f>IFERROR(__xludf.DUMMYFUNCTION("""COMPUTED_VALUE"""),"shop spell")</f>
        <v>shop spell</v>
      </c>
      <c r="L99" s="49" t="b">
        <f>IFERROR(__xludf.DUMMYFUNCTION("""COMPUTED_VALUE"""),TRUE)</f>
        <v>1</v>
      </c>
      <c r="M99" s="49" t="b">
        <f>IFERROR(__xludf.DUMMYFUNCTION("""COMPUTED_VALUE"""),FALSE)</f>
        <v>0</v>
      </c>
      <c r="N99" s="49"/>
    </row>
    <row r="100">
      <c r="A100" s="49" t="str">
        <f>IFERROR(__xludf.DUMMYFUNCTION("""COMPUTED_VALUE"""),"Lucifer's Flames Of Damned Nation")</f>
        <v>Lucifer's Flames Of Damned Nation</v>
      </c>
      <c r="B100" s="126">
        <f>IFERROR(__xludf.DUMMYFUNCTION("""COMPUTED_VALUE"""),9.0)</f>
        <v>9</v>
      </c>
      <c r="C100" s="125">
        <f>IFERROR(__xludf.DUMMYFUNCTION("""COMPUTED_VALUE"""),300.0)</f>
        <v>300</v>
      </c>
      <c r="D100" s="49"/>
      <c r="E100" s="49" t="str">
        <f>IFERROR(__xludf.DUMMYFUNCTION("""COMPUTED_VALUE"""),"20,000 dark, chaos, and fire damage to all enemies, 25% chance to banish each enemy.")</f>
        <v>20,000 dark, chaos, and fire damage to all enemies, 25% chance to banish each enemy.</v>
      </c>
      <c r="F100" s="49" t="str">
        <f>IFERROR(__xludf.DUMMYFUNCTION("""COMPUTED_VALUE"""),"Cannot Avoid")</f>
        <v>Cannot Avoid</v>
      </c>
      <c r="G100" s="49"/>
      <c r="H100" s="49" t="str">
        <f>IFERROR(__xludf.DUMMYFUNCTION("""COMPUTED_VALUE"""),"Chaos")</f>
        <v>Chaos</v>
      </c>
      <c r="I100" s="49" t="str">
        <f>IFERROR(__xludf.DUMMYFUNCTION("""COMPUTED_VALUE"""),"Player")</f>
        <v>Player</v>
      </c>
      <c r="J100" s="49" t="b">
        <f>IFERROR(__xludf.DUMMYFUNCTION("""COMPUTED_VALUE"""),TRUE)</f>
        <v>1</v>
      </c>
      <c r="K100" s="49" t="str">
        <f>IFERROR(__xludf.DUMMYFUNCTION("""COMPUTED_VALUE"""),"Event spell")</f>
        <v>Event spell</v>
      </c>
      <c r="L100" s="49" t="b">
        <f>IFERROR(__xludf.DUMMYFUNCTION("""COMPUTED_VALUE"""),FALSE)</f>
        <v>0</v>
      </c>
      <c r="M100" s="49" t="b">
        <f>IFERROR(__xludf.DUMMYFUNCTION("""COMPUTED_VALUE"""),FALSE)</f>
        <v>0</v>
      </c>
      <c r="N100" s="49"/>
    </row>
    <row r="101">
      <c r="A101" s="49" t="str">
        <f>IFERROR(__xludf.DUMMYFUNCTION("""COMPUTED_VALUE"""),"Lucifer's Ward Of The Damned")</f>
        <v>Lucifer's Ward Of The Damned</v>
      </c>
      <c r="B101" s="126">
        <f>IFERROR(__xludf.DUMMYFUNCTION("""COMPUTED_VALUE"""),9.0)</f>
        <v>9</v>
      </c>
      <c r="C101" s="125">
        <f>IFERROR(__xludf.DUMMYFUNCTION("""COMPUTED_VALUE"""),300.0)</f>
        <v>300</v>
      </c>
      <c r="D101" s="49"/>
      <c r="E101" s="49"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49" t="str">
        <f>IFERROR(__xludf.DUMMYFUNCTION("""COMPUTED_VALUE"""),"Fail/Succeed")</f>
        <v>Fail/Succeed</v>
      </c>
      <c r="G101" s="49">
        <f>IFERROR(__xludf.DUMMYFUNCTION("""COMPUTED_VALUE"""),1.0)</f>
        <v>1</v>
      </c>
      <c r="H101" s="49" t="str">
        <f>IFERROR(__xludf.DUMMYFUNCTION("""COMPUTED_VALUE"""),"Chaos")</f>
        <v>Chaos</v>
      </c>
      <c r="I101" s="49" t="str">
        <f>IFERROR(__xludf.DUMMYFUNCTION("""COMPUTED_VALUE"""),"Player")</f>
        <v>Player</v>
      </c>
      <c r="J101" s="49" t="b">
        <f>IFERROR(__xludf.DUMMYFUNCTION("""COMPUTED_VALUE"""),TRUE)</f>
        <v>1</v>
      </c>
      <c r="K101" s="49" t="str">
        <f>IFERROR(__xludf.DUMMYFUNCTION("""COMPUTED_VALUE"""),"Event spell")</f>
        <v>Event spell</v>
      </c>
      <c r="L101" s="49" t="b">
        <f>IFERROR(__xludf.DUMMYFUNCTION("""COMPUTED_VALUE"""),FALSE)</f>
        <v>0</v>
      </c>
      <c r="M101" s="49" t="b">
        <f>IFERROR(__xludf.DUMMYFUNCTION("""COMPUTED_VALUE"""),FALSE)</f>
        <v>0</v>
      </c>
      <c r="N101" s="49"/>
    </row>
    <row r="102">
      <c r="A102" s="49" t="str">
        <f>IFERROR(__xludf.DUMMYFUNCTION("""COMPUTED_VALUE"""),"Mad shot")</f>
        <v>Mad shot</v>
      </c>
      <c r="B102" s="126">
        <f>IFERROR(__xludf.DUMMYFUNCTION("""COMPUTED_VALUE"""),1.0)</f>
        <v>1</v>
      </c>
      <c r="C102" s="49">
        <f>IFERROR(__xludf.DUMMYFUNCTION("""COMPUTED_VALUE"""),10.0)</f>
        <v>10</v>
      </c>
      <c r="D102" s="49"/>
      <c r="E102" s="49" t="str">
        <f>IFERROR(__xludf.DUMMYFUNCTION("""COMPUTED_VALUE"""),"1000 chaos damage and inflicts target with 5 Insanity.")</f>
        <v>1000 chaos damage and inflicts target with 5 Insanity.</v>
      </c>
      <c r="F102" s="49" t="str">
        <f>IFERROR(__xludf.DUMMYFUNCTION("""COMPUTED_VALUE"""),"Hit/Miss")</f>
        <v>Hit/Miss</v>
      </c>
      <c r="G102" s="49">
        <f>IFERROR(__xludf.DUMMYFUNCTION("""COMPUTED_VALUE"""),1.0)</f>
        <v>1</v>
      </c>
      <c r="H102" s="49" t="str">
        <f>IFERROR(__xludf.DUMMYFUNCTION("""COMPUTED_VALUE"""),"Chaos")</f>
        <v>Chaos</v>
      </c>
      <c r="I102" s="49" t="str">
        <f>IFERROR(__xludf.DUMMYFUNCTION("""COMPUTED_VALUE"""),"Player")</f>
        <v>Player</v>
      </c>
      <c r="J102" s="49" t="b">
        <f>IFERROR(__xludf.DUMMYFUNCTION("""COMPUTED_VALUE"""),FALSE)</f>
        <v>0</v>
      </c>
      <c r="K102" s="49"/>
      <c r="L102" s="49" t="b">
        <f>IFERROR(__xludf.DUMMYFUNCTION("""COMPUTED_VALUE"""),FALSE)</f>
        <v>0</v>
      </c>
      <c r="M102" s="49" t="b">
        <f>IFERROR(__xludf.DUMMYFUNCTION("""COMPUTED_VALUE"""),FALSE)</f>
        <v>0</v>
      </c>
      <c r="N102" s="49"/>
    </row>
    <row r="103">
      <c r="A103" s="49" t="str">
        <f>IFERROR(__xludf.DUMMYFUNCTION("""COMPUTED_VALUE"""),"Chaotic Shadow Storm")</f>
        <v>Chaotic Shadow Storm</v>
      </c>
      <c r="B103" s="126">
        <f>IFERROR(__xludf.DUMMYFUNCTION("""COMPUTED_VALUE"""),9.0)</f>
        <v>9</v>
      </c>
      <c r="C103" s="49" t="str">
        <f>IFERROR(__xludf.DUMMYFUNCTION("""COMPUTED_VALUE"""),"X")</f>
        <v>X</v>
      </c>
      <c r="D103" s="49"/>
      <c r="E103" s="49" t="str">
        <f>IFERROR(__xludf.DUMMYFUNCTION("""COMPUTED_VALUE"""),"X*9 Dark, X*9 Chaos, and X*9 Fire damage to all enemies Where X is equal to SP spent")</f>
        <v>X*9 Dark, X*9 Chaos, and X*9 Fire damage to all enemies Where X is equal to SP spent</v>
      </c>
      <c r="F103" s="49" t="str">
        <f>IFERROR(__xludf.DUMMYFUNCTION("""COMPUTED_VALUE"""),"Cannot Avoid")</f>
        <v>Cannot Avoid</v>
      </c>
      <c r="G103" s="49" t="str">
        <f>IFERROR(__xludf.DUMMYFUNCTION("""COMPUTED_VALUE"""),"All")</f>
        <v>All</v>
      </c>
      <c r="H103" s="49" t="str">
        <f>IFERROR(__xludf.DUMMYFUNCTION("""COMPUTED_VALUE"""),"Chaos")</f>
        <v>Chaos</v>
      </c>
      <c r="I103" s="49" t="str">
        <f>IFERROR(__xludf.DUMMYFUNCTION("""COMPUTED_VALUE"""),"Mob")</f>
        <v>Mob</v>
      </c>
      <c r="J103" s="49" t="b">
        <f>IFERROR(__xludf.DUMMYFUNCTION("""COMPUTED_VALUE"""),TRUE)</f>
        <v>1</v>
      </c>
      <c r="K103" s="49"/>
      <c r="L103" s="49" t="b">
        <f>IFERROR(__xludf.DUMMYFUNCTION("""COMPUTED_VALUE"""),FALSE)</f>
        <v>0</v>
      </c>
      <c r="M103" s="49" t="b">
        <f>IFERROR(__xludf.DUMMYFUNCTION("""COMPUTED_VALUE"""),FALSE)</f>
        <v>0</v>
      </c>
      <c r="N103" s="49"/>
    </row>
    <row r="104">
      <c r="A104" s="49" t="str">
        <f>IFERROR(__xludf.DUMMYFUNCTION("""COMPUTED_VALUE"""),"Shatter")</f>
        <v>Shatter</v>
      </c>
      <c r="B104" s="126">
        <f>IFERROR(__xludf.DUMMYFUNCTION("""COMPUTED_VALUE"""),6.0)</f>
        <v>6</v>
      </c>
      <c r="C104" s="49">
        <f>IFERROR(__xludf.DUMMYFUNCTION("""COMPUTED_VALUE"""),60.0)</f>
        <v>60</v>
      </c>
      <c r="D104" s="49"/>
      <c r="E104" s="49" t="str">
        <f>IFERROR(__xludf.DUMMYFUNCTION("""COMPUTED_VALUE"""),"Make a target enemies base Defense 0")</f>
        <v>Make a target enemies base Defense 0</v>
      </c>
      <c r="F104" s="49" t="str">
        <f>IFERROR(__xludf.DUMMYFUNCTION("""COMPUTED_VALUE"""),"Fail/Succeed")</f>
        <v>Fail/Succeed</v>
      </c>
      <c r="G104" s="49"/>
      <c r="H104" s="49" t="str">
        <f>IFERROR(__xludf.DUMMYFUNCTION("""COMPUTED_VALUE"""),"Chaos")</f>
        <v>Chaos</v>
      </c>
      <c r="I104" s="49" t="str">
        <f>IFERROR(__xludf.DUMMYFUNCTION("""COMPUTED_VALUE"""),"Player")</f>
        <v>Player</v>
      </c>
      <c r="J104" s="49" t="b">
        <f>IFERROR(__xludf.DUMMYFUNCTION("""COMPUTED_VALUE"""),FALSE)</f>
        <v>0</v>
      </c>
      <c r="K104" s="49"/>
      <c r="L104" s="49" t="b">
        <f>IFERROR(__xludf.DUMMYFUNCTION("""COMPUTED_VALUE"""),FALSE)</f>
        <v>0</v>
      </c>
      <c r="M104" s="49" t="b">
        <f>IFERROR(__xludf.DUMMYFUNCTION("""COMPUTED_VALUE"""),FALSE)</f>
        <v>0</v>
      </c>
      <c r="N104" s="49"/>
    </row>
    <row r="105">
      <c r="A105" s="49" t="str">
        <f>IFERROR(__xludf.DUMMYFUNCTION("""COMPUTED_VALUE"""),"Souls of Darkness and Chaos")</f>
        <v>Souls of Darkness and Chaos</v>
      </c>
      <c r="B105" s="126">
        <f>IFERROR(__xludf.DUMMYFUNCTION("""COMPUTED_VALUE"""),9.0)</f>
        <v>9</v>
      </c>
      <c r="C105" s="125">
        <f>IFERROR(__xludf.DUMMYFUNCTION("""COMPUTED_VALUE"""),50000.0)</f>
        <v>50000</v>
      </c>
      <c r="D105" s="49"/>
      <c r="E105" s="49" t="str">
        <f>IFERROR(__xludf.DUMMYFUNCTION("""COMPUTED_VALUE"""),"50,000 dark, chaos, and fire damage. X2 additional damage if a enemy has souls.")</f>
        <v>50,000 dark, chaos, and fire damage. X2 additional damage if a enemy has souls.</v>
      </c>
      <c r="F105" s="49" t="str">
        <f>IFERROR(__xludf.DUMMYFUNCTION("""COMPUTED_VALUE"""),"Cannot Avoid")</f>
        <v>Cannot Avoid</v>
      </c>
      <c r="G105" s="49" t="str">
        <f>IFERROR(__xludf.DUMMYFUNCTION("""COMPUTED_VALUE"""),"All")</f>
        <v>All</v>
      </c>
      <c r="H105" s="49" t="str">
        <f>IFERROR(__xludf.DUMMYFUNCTION("""COMPUTED_VALUE"""),"Chaos")</f>
        <v>Chaos</v>
      </c>
      <c r="I105" s="49" t="str">
        <f>IFERROR(__xludf.DUMMYFUNCTION("""COMPUTED_VALUE"""),"Mob")</f>
        <v>Mob</v>
      </c>
      <c r="J105" s="49" t="b">
        <f>IFERROR(__xludf.DUMMYFUNCTION("""COMPUTED_VALUE"""),TRUE)</f>
        <v>1</v>
      </c>
      <c r="K105" s="49" t="str">
        <f>IFERROR(__xludf.DUMMYFUNCTION("""COMPUTED_VALUE"""),"mob spell")</f>
        <v>mob spell</v>
      </c>
      <c r="L105" s="49" t="b">
        <f>IFERROR(__xludf.DUMMYFUNCTION("""COMPUTED_VALUE"""),FALSE)</f>
        <v>0</v>
      </c>
      <c r="M105" s="49" t="b">
        <f>IFERROR(__xludf.DUMMYFUNCTION("""COMPUTED_VALUE"""),FALSE)</f>
        <v>0</v>
      </c>
      <c r="N105" s="49"/>
    </row>
    <row r="106">
      <c r="A106" s="49" t="str">
        <f>IFERROR(__xludf.DUMMYFUNCTION("""COMPUTED_VALUE"""),"Spider War Call")</f>
        <v>Spider War Call</v>
      </c>
      <c r="B106" s="126">
        <f>IFERROR(__xludf.DUMMYFUNCTION("""COMPUTED_VALUE"""),1.0)</f>
        <v>1</v>
      </c>
      <c r="C106" s="49">
        <f>IFERROR(__xludf.DUMMYFUNCTION("""COMPUTED_VALUE"""),0.0)</f>
        <v>0</v>
      </c>
      <c r="D106" s="49"/>
      <c r="E106" s="49"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49" t="str">
        <f>IFERROR(__xludf.DUMMYFUNCTION("""COMPUTED_VALUE"""),"Natural/Fail Or Succeed")</f>
        <v>Natural/Fail Or Succeed</v>
      </c>
      <c r="G106" s="49" t="str">
        <f>IFERROR(__xludf.DUMMYFUNCTION("""COMPUTED_VALUE"""),"Self")</f>
        <v>Self</v>
      </c>
      <c r="H106" s="49" t="str">
        <f>IFERROR(__xludf.DUMMYFUNCTION("""COMPUTED_VALUE"""),"Chaos")</f>
        <v>Chaos</v>
      </c>
      <c r="I106" s="49" t="str">
        <f>IFERROR(__xludf.DUMMYFUNCTION("""COMPUTED_VALUE"""),"Mob")</f>
        <v>Mob</v>
      </c>
      <c r="J106" s="49" t="b">
        <f>IFERROR(__xludf.DUMMYFUNCTION("""COMPUTED_VALUE"""),TRUE)</f>
        <v>1</v>
      </c>
      <c r="K106" s="49"/>
      <c r="L106" s="49" t="b">
        <f>IFERROR(__xludf.DUMMYFUNCTION("""COMPUTED_VALUE"""),FALSE)</f>
        <v>0</v>
      </c>
      <c r="M106" s="49" t="b">
        <f>IFERROR(__xludf.DUMMYFUNCTION("""COMPUTED_VALUE"""),FALSE)</f>
        <v>0</v>
      </c>
      <c r="N106" s="49"/>
    </row>
    <row r="107">
      <c r="A107" s="49" t="str">
        <f>IFERROR(__xludf.DUMMYFUNCTION("""COMPUTED_VALUE"""),"The Cycle")</f>
        <v>The Cycle</v>
      </c>
      <c r="B107" s="126">
        <f>IFERROR(__xludf.DUMMYFUNCTION("""COMPUTED_VALUE"""),9.0)</f>
        <v>9</v>
      </c>
      <c r="C107" s="49" t="str">
        <f>IFERROR(__xludf.DUMMYFUNCTION("""COMPUTED_VALUE"""),"X")</f>
        <v>X</v>
      </c>
      <c r="D107" s="49"/>
      <c r="E107" s="49"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49" t="str">
        <f>IFERROR(__xludf.DUMMYFUNCTION("""COMPUTED_VALUE"""),"Fail/Succeed")</f>
        <v>Fail/Succeed</v>
      </c>
      <c r="G107" s="49" t="str">
        <f>IFERROR(__xludf.DUMMYFUNCTION("""COMPUTED_VALUE"""),"All")</f>
        <v>All</v>
      </c>
      <c r="H107" s="49" t="str">
        <f>IFERROR(__xludf.DUMMYFUNCTION("""COMPUTED_VALUE"""),"Chaos")</f>
        <v>Chaos</v>
      </c>
      <c r="I107" s="49" t="str">
        <f>IFERROR(__xludf.DUMMYFUNCTION("""COMPUTED_VALUE"""),"Mob")</f>
        <v>Mob</v>
      </c>
      <c r="J107" s="49" t="b">
        <f>IFERROR(__xludf.DUMMYFUNCTION("""COMPUTED_VALUE"""),TRUE)</f>
        <v>1</v>
      </c>
      <c r="K107" s="49"/>
      <c r="L107" s="49" t="b">
        <f>IFERROR(__xludf.DUMMYFUNCTION("""COMPUTED_VALUE"""),FALSE)</f>
        <v>0</v>
      </c>
      <c r="M107" s="49" t="b">
        <f>IFERROR(__xludf.DUMMYFUNCTION("""COMPUTED_VALUE"""),TRUE)</f>
        <v>1</v>
      </c>
      <c r="N107" s="49"/>
    </row>
    <row r="108">
      <c r="A108" s="49" t="str">
        <f>IFERROR(__xludf.DUMMYFUNCTION("""COMPUTED_VALUE"""),"Web Of Chaotic Shadows")</f>
        <v>Web Of Chaotic Shadows</v>
      </c>
      <c r="B108" s="126">
        <f>IFERROR(__xludf.DUMMYFUNCTION("""COMPUTED_VALUE"""),0.0)</f>
        <v>0</v>
      </c>
      <c r="C108" s="49">
        <f>IFERROR(__xludf.DUMMYFUNCTION("""COMPUTED_VALUE"""),0.0)</f>
        <v>0</v>
      </c>
      <c r="D108" s="49"/>
      <c r="E108" s="49" t="str">
        <f>IFERROR(__xludf.DUMMYFUNCTION("""COMPUTED_VALUE"""),"All targets are bound in chaos energy and are stunned for 3 rounds.")</f>
        <v>All targets are bound in chaos energy and are stunned for 3 rounds.</v>
      </c>
      <c r="F108" s="49" t="str">
        <f>IFERROR(__xludf.DUMMYFUNCTION("""COMPUTED_VALUE"""),"Natural/Fail Or Succeed")</f>
        <v>Natural/Fail Or Succeed</v>
      </c>
      <c r="G108" s="49" t="str">
        <f>IFERROR(__xludf.DUMMYFUNCTION("""COMPUTED_VALUE"""),"All")</f>
        <v>All</v>
      </c>
      <c r="H108" s="49" t="str">
        <f>IFERROR(__xludf.DUMMYFUNCTION("""COMPUTED_VALUE"""),"Chaos")</f>
        <v>Chaos</v>
      </c>
      <c r="I108" s="49" t="str">
        <f>IFERROR(__xludf.DUMMYFUNCTION("""COMPUTED_VALUE"""),"Mob")</f>
        <v>Mob</v>
      </c>
      <c r="J108" s="49" t="b">
        <f>IFERROR(__xludf.DUMMYFUNCTION("""COMPUTED_VALUE"""),TRUE)</f>
        <v>1</v>
      </c>
      <c r="K108" s="49" t="str">
        <f>IFERROR(__xludf.DUMMYFUNCTION("""COMPUTED_VALUE"""),"Cannot be obtained by players")</f>
        <v>Cannot be obtained by players</v>
      </c>
      <c r="L108" s="49" t="b">
        <f>IFERROR(__xludf.DUMMYFUNCTION("""COMPUTED_VALUE"""),FALSE)</f>
        <v>0</v>
      </c>
      <c r="M108" s="49" t="b">
        <f>IFERROR(__xludf.DUMMYFUNCTION("""COMPUTED_VALUE"""),FALSE)</f>
        <v>0</v>
      </c>
      <c r="N108" s="49"/>
    </row>
    <row r="109">
      <c r="A109" s="49" t="str">
        <f>IFERROR(__xludf.DUMMYFUNCTION("""COMPUTED_VALUE"""),"Chaos Beam")</f>
        <v>Chaos Beam</v>
      </c>
      <c r="B109" s="126">
        <f>IFERROR(__xludf.DUMMYFUNCTION("""COMPUTED_VALUE"""),1.0)</f>
        <v>1</v>
      </c>
      <c r="C109" s="49" t="str">
        <f>IFERROR(__xludf.DUMMYFUNCTION("""COMPUTED_VALUE"""),"X")</f>
        <v>X</v>
      </c>
      <c r="D109" s="49"/>
      <c r="E109" s="49" t="str">
        <f>IFERROR(__xludf.DUMMYFUNCTION("""COMPUTED_VALUE"""),"Deals X*100 Chaos damage to a single enemy where X is equal to SP spent.")</f>
        <v>Deals X*100 Chaos damage to a single enemy where X is equal to SP spent.</v>
      </c>
      <c r="F109" s="49" t="str">
        <f>IFERROR(__xludf.DUMMYFUNCTION("""COMPUTED_VALUE"""),"Hit/Miss")</f>
        <v>Hit/Miss</v>
      </c>
      <c r="G109" s="49">
        <f>IFERROR(__xludf.DUMMYFUNCTION("""COMPUTED_VALUE"""),1.0)</f>
        <v>1</v>
      </c>
      <c r="H109" s="49" t="str">
        <f>IFERROR(__xludf.DUMMYFUNCTION("""COMPUTED_VALUE"""),"Chaos")</f>
        <v>Chaos</v>
      </c>
      <c r="I109" s="49" t="str">
        <f>IFERROR(__xludf.DUMMYFUNCTION("""COMPUTED_VALUE"""),"Player")</f>
        <v>Player</v>
      </c>
      <c r="J109" s="49" t="b">
        <f>IFERROR(__xludf.DUMMYFUNCTION("""COMPUTED_VALUE"""),FALSE)</f>
        <v>0</v>
      </c>
      <c r="K109" s="49"/>
      <c r="L109" s="49" t="b">
        <f>IFERROR(__xludf.DUMMYFUNCTION("""COMPUTED_VALUE"""),FALSE)</f>
        <v>0</v>
      </c>
      <c r="M109" s="49" t="b">
        <f>IFERROR(__xludf.DUMMYFUNCTION("""COMPUTED_VALUE"""),FALSE)</f>
        <v>0</v>
      </c>
      <c r="N109" s="49"/>
    </row>
    <row r="110">
      <c r="A110" s="49" t="str">
        <f>IFERROR(__xludf.DUMMYFUNCTION("""COMPUTED_VALUE"""),"Chaotic Collapse")</f>
        <v>Chaotic Collapse</v>
      </c>
      <c r="B110" s="126">
        <f>IFERROR(__xludf.DUMMYFUNCTION("""COMPUTED_VALUE"""),5.0)</f>
        <v>5</v>
      </c>
      <c r="C110" s="49" t="str">
        <f>IFERROR(__xludf.DUMMYFUNCTION("""COMPUTED_VALUE"""),"X")</f>
        <v>X</v>
      </c>
      <c r="D110" s="49"/>
      <c r="E110" s="49" t="str">
        <f>IFERROR(__xludf.DUMMYFUNCTION("""COMPUTED_VALUE"""),"Deals X*50 Chaos damage per round for 3 rounds to a single target where X is equal to SP spent.")</f>
        <v>Deals X*50 Chaos damage per round for 3 rounds to a single target where X is equal to SP spent.</v>
      </c>
      <c r="F110" s="49" t="str">
        <f>IFERROR(__xludf.DUMMYFUNCTION("""COMPUTED_VALUE"""),"Hit/Miss")</f>
        <v>Hit/Miss</v>
      </c>
      <c r="G110" s="49">
        <f>IFERROR(__xludf.DUMMYFUNCTION("""COMPUTED_VALUE"""),1.0)</f>
        <v>1</v>
      </c>
      <c r="H110" s="49" t="str">
        <f>IFERROR(__xludf.DUMMYFUNCTION("""COMPUTED_VALUE"""),"Chaos")</f>
        <v>Chaos</v>
      </c>
      <c r="I110" s="49" t="str">
        <f>IFERROR(__xludf.DUMMYFUNCTION("""COMPUTED_VALUE"""),"Player")</f>
        <v>Player</v>
      </c>
      <c r="J110" s="49" t="b">
        <f>IFERROR(__xludf.DUMMYFUNCTION("""COMPUTED_VALUE"""),FALSE)</f>
        <v>0</v>
      </c>
      <c r="K110" s="49"/>
      <c r="L110" s="49" t="b">
        <f>IFERROR(__xludf.DUMMYFUNCTION("""COMPUTED_VALUE"""),FALSE)</f>
        <v>0</v>
      </c>
      <c r="M110" s="49" t="b">
        <f>IFERROR(__xludf.DUMMYFUNCTION("""COMPUTED_VALUE"""),FALSE)</f>
        <v>0</v>
      </c>
      <c r="N110" s="49"/>
    </row>
    <row r="111">
      <c r="A111" s="49" t="str">
        <f>IFERROR(__xludf.DUMMYFUNCTION("""COMPUTED_VALUE"""),"Chaotic Implosion")</f>
        <v>Chaotic Implosion</v>
      </c>
      <c r="B111" s="126">
        <f>IFERROR(__xludf.DUMMYFUNCTION("""COMPUTED_VALUE"""),5.0)</f>
        <v>5</v>
      </c>
      <c r="C111" s="49" t="str">
        <f>IFERROR(__xludf.DUMMYFUNCTION("""COMPUTED_VALUE"""),"X")</f>
        <v>X</v>
      </c>
      <c r="D111" s="49"/>
      <c r="E111" s="49" t="str">
        <f>IFERROR(__xludf.DUMMYFUNCTION("""COMPUTED_VALUE"""),"Deals X*25 Chaos damage to all enemies where X is equal to SP spent.")</f>
        <v>Deals X*25 Chaos damage to all enemies where X is equal to SP spent.</v>
      </c>
      <c r="F111" s="49" t="str">
        <f>IFERROR(__xludf.DUMMYFUNCTION("""COMPUTED_VALUE"""),"Cannot Avoid")</f>
        <v>Cannot Avoid</v>
      </c>
      <c r="G111" s="49" t="str">
        <f>IFERROR(__xludf.DUMMYFUNCTION("""COMPUTED_VALUE"""),"All")</f>
        <v>All</v>
      </c>
      <c r="H111" s="49" t="str">
        <f>IFERROR(__xludf.DUMMYFUNCTION("""COMPUTED_VALUE"""),"Chaos")</f>
        <v>Chaos</v>
      </c>
      <c r="I111" s="49" t="str">
        <f>IFERROR(__xludf.DUMMYFUNCTION("""COMPUTED_VALUE"""),"Player")</f>
        <v>Player</v>
      </c>
      <c r="J111" s="49" t="b">
        <f>IFERROR(__xludf.DUMMYFUNCTION("""COMPUTED_VALUE"""),FALSE)</f>
        <v>0</v>
      </c>
      <c r="K111" s="49"/>
      <c r="L111" s="49" t="b">
        <f>IFERROR(__xludf.DUMMYFUNCTION("""COMPUTED_VALUE"""),FALSE)</f>
        <v>0</v>
      </c>
      <c r="M111" s="49" t="b">
        <f>IFERROR(__xludf.DUMMYFUNCTION("""COMPUTED_VALUE"""),FALSE)</f>
        <v>0</v>
      </c>
      <c r="N111" s="49"/>
    </row>
    <row r="112">
      <c r="A112" s="49" t="str">
        <f>IFERROR(__xludf.DUMMYFUNCTION("""COMPUTED_VALUE"""),"Mass Chaotic Collapse")</f>
        <v>Mass Chaotic Collapse</v>
      </c>
      <c r="B112" s="126">
        <f>IFERROR(__xludf.DUMMYFUNCTION("""COMPUTED_VALUE"""),6.0)</f>
        <v>6</v>
      </c>
      <c r="C112" s="49" t="str">
        <f>IFERROR(__xludf.DUMMYFUNCTION("""COMPUTED_VALUE"""),"X")</f>
        <v>X</v>
      </c>
      <c r="D112" s="49"/>
      <c r="E112" s="49" t="str">
        <f>IFERROR(__xludf.DUMMYFUNCTION("""COMPUTED_VALUE"""),"Deals X*10 Chaos damage per round to all enemies for 3 rounds where X is equal to SP spent.")</f>
        <v>Deals X*10 Chaos damage per round to all enemies for 3 rounds where X is equal to SP spent.</v>
      </c>
      <c r="F112" s="49" t="str">
        <f>IFERROR(__xludf.DUMMYFUNCTION("""COMPUTED_VALUE"""),"Cannot Avoid")</f>
        <v>Cannot Avoid</v>
      </c>
      <c r="G112" s="49" t="str">
        <f>IFERROR(__xludf.DUMMYFUNCTION("""COMPUTED_VALUE"""),"All")</f>
        <v>All</v>
      </c>
      <c r="H112" s="49" t="str">
        <f>IFERROR(__xludf.DUMMYFUNCTION("""COMPUTED_VALUE"""),"Chaos")</f>
        <v>Chaos</v>
      </c>
      <c r="I112" s="49" t="str">
        <f>IFERROR(__xludf.DUMMYFUNCTION("""COMPUTED_VALUE"""),"Player")</f>
        <v>Player</v>
      </c>
      <c r="J112" s="49" t="b">
        <f>IFERROR(__xludf.DUMMYFUNCTION("""COMPUTED_VALUE"""),FALSE)</f>
        <v>0</v>
      </c>
      <c r="K112" s="49"/>
      <c r="L112" s="49" t="b">
        <f>IFERROR(__xludf.DUMMYFUNCTION("""COMPUTED_VALUE"""),FALSE)</f>
        <v>0</v>
      </c>
      <c r="M112" s="49" t="b">
        <f>IFERROR(__xludf.DUMMYFUNCTION("""COMPUTED_VALUE"""),FALSE)</f>
        <v>0</v>
      </c>
      <c r="N112" s="49"/>
    </row>
    <row r="113">
      <c r="A113" s="49" t="str">
        <f>IFERROR(__xludf.DUMMYFUNCTION("""COMPUTED_VALUE"""),"Draconic Scream")</f>
        <v>Draconic Scream</v>
      </c>
      <c r="B113" s="126">
        <f>IFERROR(__xludf.DUMMYFUNCTION("""COMPUTED_VALUE"""),9.0)</f>
        <v>9</v>
      </c>
      <c r="C113" s="125">
        <f>IFERROR(__xludf.DUMMYFUNCTION("""COMPUTED_VALUE"""),0.0)</f>
        <v>0</v>
      </c>
      <c r="D113" s="49"/>
      <c r="E113" s="49" t="str">
        <f>IFERROR(__xludf.DUMMYFUNCTION("""COMPUTED_VALUE"""),"All base stats are X2 for 3 rounds for the user.")</f>
        <v>All base stats are X2 for 3 rounds for the user.</v>
      </c>
      <c r="F113" s="49" t="str">
        <f>IFERROR(__xludf.DUMMYFUNCTION("""COMPUTED_VALUE"""),"Fail/Succeed")</f>
        <v>Fail/Succeed</v>
      </c>
      <c r="G113" s="49" t="str">
        <f>IFERROR(__xludf.DUMMYFUNCTION("""COMPUTED_VALUE"""),"Self")</f>
        <v>Self</v>
      </c>
      <c r="H113" s="49" t="str">
        <f>IFERROR(__xludf.DUMMYFUNCTION("""COMPUTED_VALUE"""),"Chaos ")</f>
        <v>Chaos </v>
      </c>
      <c r="I113" s="49" t="str">
        <f>IFERROR(__xludf.DUMMYFUNCTION("""COMPUTED_VALUE"""),"Player")</f>
        <v>Player</v>
      </c>
      <c r="J113" s="49" t="b">
        <f>IFERROR(__xludf.DUMMYFUNCTION("""COMPUTED_VALUE"""),TRUE)</f>
        <v>1</v>
      </c>
      <c r="K113" s="49" t="str">
        <f>IFERROR(__xludf.DUMMYFUNCTION("""COMPUTED_VALUE"""),"shop spell")</f>
        <v>shop spell</v>
      </c>
      <c r="L113" s="49" t="b">
        <f>IFERROR(__xludf.DUMMYFUNCTION("""COMPUTED_VALUE"""),FALSE)</f>
        <v>0</v>
      </c>
      <c r="M113" s="49" t="b">
        <f>IFERROR(__xludf.DUMMYFUNCTION("""COMPUTED_VALUE"""),FALSE)</f>
        <v>0</v>
      </c>
      <c r="N113" s="49"/>
    </row>
    <row r="114">
      <c r="A114" s="49" t="str">
        <f>IFERROR(__xludf.DUMMYFUNCTION("""COMPUTED_VALUE"""),"Chains of Shadow")</f>
        <v>Chains of Shadow</v>
      </c>
      <c r="B114" s="126">
        <f>IFERROR(__xludf.DUMMYFUNCTION("""COMPUTED_VALUE"""),4.0)</f>
        <v>4</v>
      </c>
      <c r="C114" s="49">
        <f>IFERROR(__xludf.DUMMYFUNCTION("""COMPUTED_VALUE"""),40.0)</f>
        <v>40</v>
      </c>
      <c r="D114" s="49"/>
      <c r="E114" s="49" t="str">
        <f>IFERROR(__xludf.DUMMYFUNCTION("""COMPUTED_VALUE"""),"Immobilizes 1 target Skipping there turn order for 3 rounds, 60% chance to immobilize another target.")</f>
        <v>Immobilizes 1 target Skipping there turn order for 3 rounds, 60% chance to immobilize another target.</v>
      </c>
      <c r="F114" s="49" t="str">
        <f>IFERROR(__xludf.DUMMYFUNCTION("""COMPUTED_VALUE"""),"Fail/Succeed")</f>
        <v>Fail/Succeed</v>
      </c>
      <c r="G114" s="49"/>
      <c r="H114" s="49" t="str">
        <f>IFERROR(__xludf.DUMMYFUNCTION("""COMPUTED_VALUE"""),"Dark")</f>
        <v>Dark</v>
      </c>
      <c r="I114" s="49" t="str">
        <f>IFERROR(__xludf.DUMMYFUNCTION("""COMPUTED_VALUE"""),"Player")</f>
        <v>Player</v>
      </c>
      <c r="J114" s="49" t="b">
        <f>IFERROR(__xludf.DUMMYFUNCTION("""COMPUTED_VALUE"""),FALSE)</f>
        <v>0</v>
      </c>
      <c r="K114" s="49"/>
      <c r="L114" s="49" t="b">
        <f>IFERROR(__xludf.DUMMYFUNCTION("""COMPUTED_VALUE"""),FALSE)</f>
        <v>0</v>
      </c>
      <c r="M114" s="49" t="b">
        <f>IFERROR(__xludf.DUMMYFUNCTION("""COMPUTED_VALUE"""),FALSE)</f>
        <v>0</v>
      </c>
      <c r="N114" s="49"/>
    </row>
    <row r="115">
      <c r="A115" s="49" t="str">
        <f>IFERROR(__xludf.DUMMYFUNCTION("""COMPUTED_VALUE"""),"Conceal")</f>
        <v>Conceal</v>
      </c>
      <c r="B115" s="126">
        <f>IFERROR(__xludf.DUMMYFUNCTION("""COMPUTED_VALUE"""),9.0)</f>
        <v>9</v>
      </c>
      <c r="C115" s="49">
        <f>IFERROR(__xludf.DUMMYFUNCTION("""COMPUTED_VALUE"""),300.0)</f>
        <v>300</v>
      </c>
      <c r="D115" s="49"/>
      <c r="E115" s="49"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49" t="str">
        <f>IFERROR(__xludf.DUMMYFUNCTION("""COMPUTED_VALUE"""),"Fail/Succeed")</f>
        <v>Fail/Succeed</v>
      </c>
      <c r="G115" s="49"/>
      <c r="H115" s="49" t="str">
        <f>IFERROR(__xludf.DUMMYFUNCTION("""COMPUTED_VALUE"""),"Dark")</f>
        <v>Dark</v>
      </c>
      <c r="I115" s="49" t="str">
        <f>IFERROR(__xludf.DUMMYFUNCTION("""COMPUTED_VALUE"""),"Player")</f>
        <v>Player</v>
      </c>
      <c r="J115" s="49" t="b">
        <f>IFERROR(__xludf.DUMMYFUNCTION("""COMPUTED_VALUE"""),FALSE)</f>
        <v>0</v>
      </c>
      <c r="K115" s="49"/>
      <c r="L115" s="49" t="b">
        <f>IFERROR(__xludf.DUMMYFUNCTION("""COMPUTED_VALUE"""),FALSE)</f>
        <v>0</v>
      </c>
      <c r="M115" s="49" t="b">
        <f>IFERROR(__xludf.DUMMYFUNCTION("""COMPUTED_VALUE"""),FALSE)</f>
        <v>0</v>
      </c>
      <c r="N115" s="49"/>
    </row>
    <row r="116">
      <c r="A116" s="49" t="str">
        <f>IFERROR(__xludf.DUMMYFUNCTION("""COMPUTED_VALUE"""),"Corrupt")</f>
        <v>Corrupt</v>
      </c>
      <c r="B116" s="126">
        <f>IFERROR(__xludf.DUMMYFUNCTION("""COMPUTED_VALUE"""),4.0)</f>
        <v>4</v>
      </c>
      <c r="C116" s="49" t="str">
        <f>IFERROR(__xludf.DUMMYFUNCTION("""COMPUTED_VALUE"""),"X")</f>
        <v>X</v>
      </c>
      <c r="D116" s="49"/>
      <c r="E116" s="49" t="str">
        <f>IFERROR(__xludf.DUMMYFUNCTION("""COMPUTED_VALUE"""),"Target gains X*4 Dark damage and X*4 Dark resistance, can’t be used on self")</f>
        <v>Target gains X*4 Dark damage and X*4 Dark resistance, can’t be used on self</v>
      </c>
      <c r="F116" s="49" t="str">
        <f>IFERROR(__xludf.DUMMYFUNCTION("""COMPUTED_VALUE"""),"Will Succeed")</f>
        <v>Will Succeed</v>
      </c>
      <c r="G116" s="49"/>
      <c r="H116" s="49" t="str">
        <f>IFERROR(__xludf.DUMMYFUNCTION("""COMPUTED_VALUE"""),"Dark")</f>
        <v>Dark</v>
      </c>
      <c r="I116" s="49" t="str">
        <f>IFERROR(__xludf.DUMMYFUNCTION("""COMPUTED_VALUE"""),"Player")</f>
        <v>Player</v>
      </c>
      <c r="J116" s="49" t="b">
        <f>IFERROR(__xludf.DUMMYFUNCTION("""COMPUTED_VALUE"""),FALSE)</f>
        <v>0</v>
      </c>
      <c r="K116" s="49"/>
      <c r="L116" s="49" t="b">
        <f>IFERROR(__xludf.DUMMYFUNCTION("""COMPUTED_VALUE"""),FALSE)</f>
        <v>0</v>
      </c>
      <c r="M116" s="49" t="b">
        <f>IFERROR(__xludf.DUMMYFUNCTION("""COMPUTED_VALUE"""),FALSE)</f>
        <v>0</v>
      </c>
      <c r="N116" s="49"/>
    </row>
    <row r="117">
      <c r="A117" s="49" t="str">
        <f>IFERROR(__xludf.DUMMYFUNCTION("""COMPUTED_VALUE"""),"Dark Boost")</f>
        <v>Dark Boost</v>
      </c>
      <c r="B117" s="126">
        <f>IFERROR(__xludf.DUMMYFUNCTION("""COMPUTED_VALUE"""),9.0)</f>
        <v>9</v>
      </c>
      <c r="C117" s="49">
        <f>IFERROR(__xludf.DUMMYFUNCTION("""COMPUTED_VALUE"""),1000.0)</f>
        <v>1000</v>
      </c>
      <c r="D117" s="49"/>
      <c r="E117" s="49" t="str">
        <f>IFERROR(__xludf.DUMMYFUNCTION("""COMPUTED_VALUE"""),"X2 dark damage for caster.")</f>
        <v>X2 dark damage for caster.</v>
      </c>
      <c r="F117" s="49" t="str">
        <f>IFERROR(__xludf.DUMMYFUNCTION("""COMPUTED_VALUE"""),"Will Succeed")</f>
        <v>Will Succeed</v>
      </c>
      <c r="G117" s="49" t="str">
        <f>IFERROR(__xludf.DUMMYFUNCTION("""COMPUTED_VALUE"""),"Self")</f>
        <v>Self</v>
      </c>
      <c r="H117" s="49" t="str">
        <f>IFERROR(__xludf.DUMMYFUNCTION("""COMPUTED_VALUE"""),"Dark")</f>
        <v>Dark</v>
      </c>
      <c r="I117" s="49" t="str">
        <f>IFERROR(__xludf.DUMMYFUNCTION("""COMPUTED_VALUE"""),"Mob")</f>
        <v>Mob</v>
      </c>
      <c r="J117" s="49" t="b">
        <f>IFERROR(__xludf.DUMMYFUNCTION("""COMPUTED_VALUE"""),TRUE)</f>
        <v>1</v>
      </c>
      <c r="K117" s="49"/>
      <c r="L117" s="49" t="b">
        <f>IFERROR(__xludf.DUMMYFUNCTION("""COMPUTED_VALUE"""),FALSE)</f>
        <v>0</v>
      </c>
      <c r="M117" s="49" t="b">
        <f>IFERROR(__xludf.DUMMYFUNCTION("""COMPUTED_VALUE"""),FALSE)</f>
        <v>0</v>
      </c>
      <c r="N117" s="49"/>
    </row>
    <row r="118">
      <c r="A118" s="49" t="str">
        <f>IFERROR(__xludf.DUMMYFUNCTION("""COMPUTED_VALUE"""),"Dark Curse")</f>
        <v>Dark Curse</v>
      </c>
      <c r="B118" s="126">
        <f>IFERROR(__xludf.DUMMYFUNCTION("""COMPUTED_VALUE"""),7.0)</f>
        <v>7</v>
      </c>
      <c r="C118" s="49">
        <f>IFERROR(__xludf.DUMMYFUNCTION("""COMPUTED_VALUE"""),70.0)</f>
        <v>70</v>
      </c>
      <c r="D118" s="49"/>
      <c r="E118" s="49"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49" t="str">
        <f>IFERROR(__xludf.DUMMYFUNCTION("""COMPUTED_VALUE"""),"Fail or Succeed")</f>
        <v>Fail or Succeed</v>
      </c>
      <c r="G118" s="49"/>
      <c r="H118" s="49" t="str">
        <f>IFERROR(__xludf.DUMMYFUNCTION("""COMPUTED_VALUE"""),"Dark")</f>
        <v>Dark</v>
      </c>
      <c r="I118" s="49" t="str">
        <f>IFERROR(__xludf.DUMMYFUNCTION("""COMPUTED_VALUE"""),"Player")</f>
        <v>Player</v>
      </c>
      <c r="J118" s="49" t="b">
        <f>IFERROR(__xludf.DUMMYFUNCTION("""COMPUTED_VALUE"""),FALSE)</f>
        <v>0</v>
      </c>
      <c r="K118" s="49"/>
      <c r="L118" s="49" t="b">
        <f>IFERROR(__xludf.DUMMYFUNCTION("""COMPUTED_VALUE"""),FALSE)</f>
        <v>0</v>
      </c>
      <c r="M118" s="49" t="b">
        <f>IFERROR(__xludf.DUMMYFUNCTION("""COMPUTED_VALUE"""),FALSE)</f>
        <v>0</v>
      </c>
      <c r="N118" s="49"/>
    </row>
    <row r="119">
      <c r="A119" s="49" t="str">
        <f>IFERROR(__xludf.DUMMYFUNCTION("""COMPUTED_VALUE"""),"Dark Force")</f>
        <v>Dark Force</v>
      </c>
      <c r="B119" s="126">
        <f>IFERROR(__xludf.DUMMYFUNCTION("""COMPUTED_VALUE"""),9.0)</f>
        <v>9</v>
      </c>
      <c r="C119" s="49">
        <f>IFERROR(__xludf.DUMMYFUNCTION("""COMPUTED_VALUE"""),1000.0)</f>
        <v>1000</v>
      </c>
      <c r="D119" s="49"/>
      <c r="E119" s="49" t="str">
        <f>IFERROR(__xludf.DUMMYFUNCTION("""COMPUTED_VALUE"""),"20,000 damage, and 20,000 dark damage to all enemies and causes the arena to be dark for 3 rounds.")</f>
        <v>20,000 damage, and 20,000 dark damage to all enemies and causes the arena to be dark for 3 rounds.</v>
      </c>
      <c r="F119" s="49" t="str">
        <f>IFERROR(__xludf.DUMMYFUNCTION("""COMPUTED_VALUE"""),"Cannot Avoid")</f>
        <v>Cannot Avoid</v>
      </c>
      <c r="G119" s="49" t="str">
        <f>IFERROR(__xludf.DUMMYFUNCTION("""COMPUTED_VALUE"""),"All")</f>
        <v>All</v>
      </c>
      <c r="H119" s="49" t="str">
        <f>IFERROR(__xludf.DUMMYFUNCTION("""COMPUTED_VALUE"""),"Dark")</f>
        <v>Dark</v>
      </c>
      <c r="I119" s="49" t="str">
        <f>IFERROR(__xludf.DUMMYFUNCTION("""COMPUTED_VALUE"""),"Mob")</f>
        <v>Mob</v>
      </c>
      <c r="J119" s="49" t="b">
        <f>IFERROR(__xludf.DUMMYFUNCTION("""COMPUTED_VALUE"""),TRUE)</f>
        <v>1</v>
      </c>
      <c r="K119" s="49"/>
      <c r="L119" s="49" t="b">
        <f>IFERROR(__xludf.DUMMYFUNCTION("""COMPUTED_VALUE"""),FALSE)</f>
        <v>0</v>
      </c>
      <c r="M119" s="49" t="b">
        <f>IFERROR(__xludf.DUMMYFUNCTION("""COMPUTED_VALUE"""),FALSE)</f>
        <v>0</v>
      </c>
      <c r="N119" s="49"/>
    </row>
    <row r="120">
      <c r="A120" s="49" t="str">
        <f>IFERROR(__xludf.DUMMYFUNCTION("""COMPUTED_VALUE"""),"Dark Sacrifice")</f>
        <v>Dark Sacrifice</v>
      </c>
      <c r="B120" s="126">
        <f>IFERROR(__xludf.DUMMYFUNCTION("""COMPUTED_VALUE"""),6.0)</f>
        <v>6</v>
      </c>
      <c r="C120" s="49">
        <f>IFERROR(__xludf.DUMMYFUNCTION("""COMPUTED_VALUE"""),60.0)</f>
        <v>60</v>
      </c>
      <c r="D120" s="49"/>
      <c r="E120" s="49" t="str">
        <f>IFERROR(__xludf.DUMMYFUNCTION("""COMPUTED_VALUE"""),"Caster takes damage equal to half their hp and selects 1 target to be revived.")</f>
        <v>Caster takes damage equal to half their hp and selects 1 target to be revived.</v>
      </c>
      <c r="F120" s="49" t="str">
        <f>IFERROR(__xludf.DUMMYFUNCTION("""COMPUTED_VALUE"""),"Will Succeed")</f>
        <v>Will Succeed</v>
      </c>
      <c r="G120" s="49"/>
      <c r="H120" s="49" t="str">
        <f>IFERROR(__xludf.DUMMYFUNCTION("""COMPUTED_VALUE"""),"Dark")</f>
        <v>Dark</v>
      </c>
      <c r="I120" s="49" t="str">
        <f>IFERROR(__xludf.DUMMYFUNCTION("""COMPUTED_VALUE"""),"Player")</f>
        <v>Player</v>
      </c>
      <c r="J120" s="49" t="b">
        <f>IFERROR(__xludf.DUMMYFUNCTION("""COMPUTED_VALUE"""),FALSE)</f>
        <v>0</v>
      </c>
      <c r="K120" s="49"/>
      <c r="L120" s="49" t="b">
        <f>IFERROR(__xludf.DUMMYFUNCTION("""COMPUTED_VALUE"""),FALSE)</f>
        <v>0</v>
      </c>
      <c r="M120" s="49" t="b">
        <f>IFERROR(__xludf.DUMMYFUNCTION("""COMPUTED_VALUE"""),FALSE)</f>
        <v>0</v>
      </c>
      <c r="N120" s="49"/>
    </row>
    <row r="121">
      <c r="A121" s="49" t="str">
        <f>IFERROR(__xludf.DUMMYFUNCTION("""COMPUTED_VALUE"""),"Darkest Abyss")</f>
        <v>Darkest Abyss</v>
      </c>
      <c r="B121" s="126">
        <f>IFERROR(__xludf.DUMMYFUNCTION("""COMPUTED_VALUE"""),9.0)</f>
        <v>9</v>
      </c>
      <c r="C121" s="49">
        <f>IFERROR(__xludf.DUMMYFUNCTION("""COMPUTED_VALUE"""),300.0)</f>
        <v>300</v>
      </c>
      <c r="D121" s="49"/>
      <c r="E121" s="49" t="str">
        <f>IFERROR(__xludf.DUMMYFUNCTION("""COMPUTED_VALUE"""),"50,000 dark damage to all enemies. 50% chance of instant death and causes the arena to be dark for 3 rounds..")</f>
        <v>50,000 dark damage to all enemies. 50% chance of instant death and causes the arena to be dark for 3 rounds..</v>
      </c>
      <c r="F121" s="49" t="str">
        <f>IFERROR(__xludf.DUMMYFUNCTION("""COMPUTED_VALUE"""),"Cannot be avoided")</f>
        <v>Cannot be avoided</v>
      </c>
      <c r="G121" s="49">
        <f>IFERROR(__xludf.DUMMYFUNCTION("""COMPUTED_VALUE"""),1.0)</f>
        <v>1</v>
      </c>
      <c r="H121" s="49" t="str">
        <f>IFERROR(__xludf.DUMMYFUNCTION("""COMPUTED_VALUE"""),"Dark")</f>
        <v>Dark</v>
      </c>
      <c r="I121" s="49" t="str">
        <f>IFERROR(__xludf.DUMMYFUNCTION("""COMPUTED_VALUE"""),"Player")</f>
        <v>Player</v>
      </c>
      <c r="J121" s="49" t="b">
        <f>IFERROR(__xludf.DUMMYFUNCTION("""COMPUTED_VALUE"""),FALSE)</f>
        <v>0</v>
      </c>
      <c r="K121" s="49"/>
      <c r="L121" s="49" t="b">
        <f>IFERROR(__xludf.DUMMYFUNCTION("""COMPUTED_VALUE"""),FALSE)</f>
        <v>0</v>
      </c>
      <c r="M121" s="49" t="b">
        <f>IFERROR(__xludf.DUMMYFUNCTION("""COMPUTED_VALUE"""),FALSE)</f>
        <v>0</v>
      </c>
      <c r="N121" s="49"/>
    </row>
    <row r="122">
      <c r="A122" s="49" t="str">
        <f>IFERROR(__xludf.DUMMYFUNCTION("""COMPUTED_VALUE"""),"Darkness Ablaze")</f>
        <v>Darkness Ablaze</v>
      </c>
      <c r="B122" s="126">
        <f>IFERROR(__xludf.DUMMYFUNCTION("""COMPUTED_VALUE"""),9.0)</f>
        <v>9</v>
      </c>
      <c r="C122" s="125">
        <f>IFERROR(__xludf.DUMMYFUNCTION("""COMPUTED_VALUE"""),10000.0)</f>
        <v>10000</v>
      </c>
      <c r="D122" s="49"/>
      <c r="E122" s="49"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49" t="str">
        <f>IFERROR(__xludf.DUMMYFUNCTION("""COMPUTED_VALUE"""),"Cannot Avoid")</f>
        <v>Cannot Avoid</v>
      </c>
      <c r="G122" s="49" t="str">
        <f>IFERROR(__xludf.DUMMYFUNCTION("""COMPUTED_VALUE"""),"All")</f>
        <v>All</v>
      </c>
      <c r="H122" s="49" t="str">
        <f>IFERROR(__xludf.DUMMYFUNCTION("""COMPUTED_VALUE"""),"Dark")</f>
        <v>Dark</v>
      </c>
      <c r="I122" s="49" t="str">
        <f>IFERROR(__xludf.DUMMYFUNCTION("""COMPUTED_VALUE"""),"Mob")</f>
        <v>Mob</v>
      </c>
      <c r="J122" s="49" t="b">
        <f>IFERROR(__xludf.DUMMYFUNCTION("""COMPUTED_VALUE"""),TRUE)</f>
        <v>1</v>
      </c>
      <c r="K122" s="49"/>
      <c r="L122" s="49" t="b">
        <f>IFERROR(__xludf.DUMMYFUNCTION("""COMPUTED_VALUE"""),FALSE)</f>
        <v>0</v>
      </c>
      <c r="M122" s="49" t="b">
        <f>IFERROR(__xludf.DUMMYFUNCTION("""COMPUTED_VALUE"""),FALSE)</f>
        <v>0</v>
      </c>
      <c r="N122" s="49"/>
    </row>
    <row r="123">
      <c r="A123" s="49" t="str">
        <f>IFERROR(__xludf.DUMMYFUNCTION("""COMPUTED_VALUE"""),"Devolve")</f>
        <v>Devolve</v>
      </c>
      <c r="B123" s="126">
        <f>IFERROR(__xludf.DUMMYFUNCTION("""COMPUTED_VALUE"""),8.0)</f>
        <v>8</v>
      </c>
      <c r="C123" s="49" t="str">
        <f>IFERROR(__xludf.DUMMYFUNCTION("""COMPUTED_VALUE"""),"X")</f>
        <v>X</v>
      </c>
      <c r="D123" s="49"/>
      <c r="E123" s="49" t="str">
        <f>IFERROR(__xludf.DUMMYFUNCTION("""COMPUTED_VALUE"""),"Decrease a targets base stats by X*100")</f>
        <v>Decrease a targets base stats by X*100</v>
      </c>
      <c r="F123" s="49" t="str">
        <f>IFERROR(__xludf.DUMMYFUNCTION("""COMPUTED_VALUE"""),"Fail/Succeed")</f>
        <v>Fail/Succeed</v>
      </c>
      <c r="G123" s="49"/>
      <c r="H123" s="49" t="str">
        <f>IFERROR(__xludf.DUMMYFUNCTION("""COMPUTED_VALUE"""),"Dark")</f>
        <v>Dark</v>
      </c>
      <c r="I123" s="49" t="str">
        <f>IFERROR(__xludf.DUMMYFUNCTION("""COMPUTED_VALUE"""),"Player")</f>
        <v>Player</v>
      </c>
      <c r="J123" s="49" t="b">
        <f>IFERROR(__xludf.DUMMYFUNCTION("""COMPUTED_VALUE"""),FALSE)</f>
        <v>0</v>
      </c>
      <c r="K123" s="49"/>
      <c r="L123" s="49" t="b">
        <f>IFERROR(__xludf.DUMMYFUNCTION("""COMPUTED_VALUE"""),FALSE)</f>
        <v>0</v>
      </c>
      <c r="M123" s="49" t="b">
        <f>IFERROR(__xludf.DUMMYFUNCTION("""COMPUTED_VALUE"""),FALSE)</f>
        <v>0</v>
      </c>
      <c r="N123" s="49"/>
    </row>
    <row r="124">
      <c r="A124" s="49" t="str">
        <f>IFERROR(__xludf.DUMMYFUNCTION("""COMPUTED_VALUE"""),"Multi Vanish")</f>
        <v>Multi Vanish</v>
      </c>
      <c r="B124" s="126">
        <f>IFERROR(__xludf.DUMMYFUNCTION("""COMPUTED_VALUE"""),9.0)</f>
        <v>9</v>
      </c>
      <c r="C124" s="49">
        <f>IFERROR(__xludf.DUMMYFUNCTION("""COMPUTED_VALUE"""),300.0)</f>
        <v>300</v>
      </c>
      <c r="D124" s="49"/>
      <c r="E124" s="49"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49" t="str">
        <f>IFERROR(__xludf.DUMMYFUNCTION("""COMPUTED_VALUE"""),"Fail/succeed")</f>
        <v>Fail/succeed</v>
      </c>
      <c r="G124" s="49"/>
      <c r="H124" s="49" t="str">
        <f>IFERROR(__xludf.DUMMYFUNCTION("""COMPUTED_VALUE"""),"Dark")</f>
        <v>Dark</v>
      </c>
      <c r="I124" s="49" t="str">
        <f>IFERROR(__xludf.DUMMYFUNCTION("""COMPUTED_VALUE"""),"Player")</f>
        <v>Player</v>
      </c>
      <c r="J124" s="49" t="b">
        <f>IFERROR(__xludf.DUMMYFUNCTION("""COMPUTED_VALUE"""),FALSE)</f>
        <v>0</v>
      </c>
      <c r="K124" s="49"/>
      <c r="L124" s="49" t="b">
        <f>IFERROR(__xludf.DUMMYFUNCTION("""COMPUTED_VALUE"""),FALSE)</f>
        <v>0</v>
      </c>
      <c r="M124" s="49" t="b">
        <f>IFERROR(__xludf.DUMMYFUNCTION("""COMPUTED_VALUE"""),FALSE)</f>
        <v>0</v>
      </c>
      <c r="N124" s="49"/>
    </row>
    <row r="125">
      <c r="A125" s="49" t="str">
        <f>IFERROR(__xludf.DUMMYFUNCTION("""COMPUTED_VALUE"""),"Nightmare")</f>
        <v>Nightmare</v>
      </c>
      <c r="B125" s="126">
        <f>IFERROR(__xludf.DUMMYFUNCTION("""COMPUTED_VALUE"""),9.0)</f>
        <v>9</v>
      </c>
      <c r="C125" s="49">
        <f>IFERROR(__xludf.DUMMYFUNCTION("""COMPUTED_VALUE"""),5000.0)</f>
        <v>5000</v>
      </c>
      <c r="D125" s="49"/>
      <c r="E125" s="49" t="str">
        <f>IFERROR(__xludf.DUMMYFUNCTION("""COMPUTED_VALUE"""),"Puts all enemies to sleep, Those targets take X2 more damage while asleep.")</f>
        <v>Puts all enemies to sleep, Those targets take X2 more damage while asleep.</v>
      </c>
      <c r="F125" s="49" t="str">
        <f>IFERROR(__xludf.DUMMYFUNCTION("""COMPUTED_VALUE"""),"Fail/Succeed")</f>
        <v>Fail/Succeed</v>
      </c>
      <c r="G125" s="49" t="str">
        <f>IFERROR(__xludf.DUMMYFUNCTION("""COMPUTED_VALUE"""),"All")</f>
        <v>All</v>
      </c>
      <c r="H125" s="49" t="str">
        <f>IFERROR(__xludf.DUMMYFUNCTION("""COMPUTED_VALUE"""),"Dark")</f>
        <v>Dark</v>
      </c>
      <c r="I125" s="49" t="str">
        <f>IFERROR(__xludf.DUMMYFUNCTION("""COMPUTED_VALUE"""),"Mob")</f>
        <v>Mob</v>
      </c>
      <c r="J125" s="49" t="b">
        <f>IFERROR(__xludf.DUMMYFUNCTION("""COMPUTED_VALUE"""),TRUE)</f>
        <v>1</v>
      </c>
      <c r="K125" s="49"/>
      <c r="L125" s="49" t="b">
        <f>IFERROR(__xludf.DUMMYFUNCTION("""COMPUTED_VALUE"""),FALSE)</f>
        <v>0</v>
      </c>
      <c r="M125" s="49" t="b">
        <f>IFERROR(__xludf.DUMMYFUNCTION("""COMPUTED_VALUE"""),TRUE)</f>
        <v>1</v>
      </c>
      <c r="N125" s="49"/>
    </row>
    <row r="126">
      <c r="A126" s="49" t="str">
        <f>IFERROR(__xludf.DUMMYFUNCTION("""COMPUTED_VALUE"""),"Pick Pocket")</f>
        <v>Pick Pocket</v>
      </c>
      <c r="B126" s="126">
        <f>IFERROR(__xludf.DUMMYFUNCTION("""COMPUTED_VALUE"""),1.0)</f>
        <v>1</v>
      </c>
      <c r="C126" s="49">
        <f>IFERROR(__xludf.DUMMYFUNCTION("""COMPUTED_VALUE"""),0.0)</f>
        <v>0</v>
      </c>
      <c r="D126" s="49"/>
      <c r="E126" s="49"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49" t="str">
        <f>IFERROR(__xludf.DUMMYFUNCTION("""COMPUTED_VALUE"""),"Natural/Fail or Succeed")</f>
        <v>Natural/Fail or Succeed</v>
      </c>
      <c r="G126" s="49"/>
      <c r="H126" s="49" t="str">
        <f>IFERROR(__xludf.DUMMYFUNCTION("""COMPUTED_VALUE"""),"Dark")</f>
        <v>Dark</v>
      </c>
      <c r="I126" s="49" t="str">
        <f>IFERROR(__xludf.DUMMYFUNCTION("""COMPUTED_VALUE"""),"Player")</f>
        <v>Player</v>
      </c>
      <c r="J126" s="49" t="b">
        <f>IFERROR(__xludf.DUMMYFUNCTION("""COMPUTED_VALUE"""),FALSE)</f>
        <v>0</v>
      </c>
      <c r="K126" s="49"/>
      <c r="L126" s="49" t="b">
        <f>IFERROR(__xludf.DUMMYFUNCTION("""COMPUTED_VALUE"""),FALSE)</f>
        <v>0</v>
      </c>
      <c r="M126" s="49" t="b">
        <f>IFERROR(__xludf.DUMMYFUNCTION("""COMPUTED_VALUE"""),FALSE)</f>
        <v>0</v>
      </c>
      <c r="N126" s="49"/>
    </row>
    <row r="127">
      <c r="A127" s="49" t="str">
        <f>IFERROR(__xludf.DUMMYFUNCTION("""COMPUTED_VALUE"""),"Raise Dead")</f>
        <v>Raise Dead</v>
      </c>
      <c r="B127" s="126">
        <f>IFERROR(__xludf.DUMMYFUNCTION("""COMPUTED_VALUE"""),9.0)</f>
        <v>9</v>
      </c>
      <c r="C127" s="49">
        <f>IFERROR(__xludf.DUMMYFUNCTION("""COMPUTED_VALUE"""),300.0)</f>
        <v>300</v>
      </c>
      <c r="D127" s="49"/>
      <c r="E127" s="49" t="str">
        <f>IFERROR(__xludf.DUMMYFUNCTION("""COMPUTED_VALUE"""),"Return a target from death with half their HP, must be done before they respawn")</f>
        <v>Return a target from death with half their HP, must be done before they respawn</v>
      </c>
      <c r="F127" s="49" t="str">
        <f>IFERROR(__xludf.DUMMYFUNCTION("""COMPUTED_VALUE"""),"Fail/succeed")</f>
        <v>Fail/succeed</v>
      </c>
      <c r="G127" s="49">
        <f>IFERROR(__xludf.DUMMYFUNCTION("""COMPUTED_VALUE"""),1.0)</f>
        <v>1</v>
      </c>
      <c r="H127" s="49" t="str">
        <f>IFERROR(__xludf.DUMMYFUNCTION("""COMPUTED_VALUE"""),"Dark")</f>
        <v>Dark</v>
      </c>
      <c r="I127" s="49" t="str">
        <f>IFERROR(__xludf.DUMMYFUNCTION("""COMPUTED_VALUE"""),"Player")</f>
        <v>Player</v>
      </c>
      <c r="J127" s="49" t="b">
        <f>IFERROR(__xludf.DUMMYFUNCTION("""COMPUTED_VALUE"""),FALSE)</f>
        <v>0</v>
      </c>
      <c r="K127" s="49"/>
      <c r="L127" s="49" t="b">
        <f>IFERROR(__xludf.DUMMYFUNCTION("""COMPUTED_VALUE"""),FALSE)</f>
        <v>0</v>
      </c>
      <c r="M127" s="49" t="b">
        <f>IFERROR(__xludf.DUMMYFUNCTION("""COMPUTED_VALUE"""),FALSE)</f>
        <v>0</v>
      </c>
      <c r="N127" s="49"/>
    </row>
    <row r="128">
      <c r="A128" s="49" t="str">
        <f>IFERROR(__xludf.DUMMYFUNCTION("""COMPUTED_VALUE"""),"Reapers Cradle")</f>
        <v>Reapers Cradle</v>
      </c>
      <c r="B128" s="126">
        <f>IFERROR(__xludf.DUMMYFUNCTION("""COMPUTED_VALUE"""),0.0)</f>
        <v>0</v>
      </c>
      <c r="C128" s="49">
        <f>IFERROR(__xludf.DUMMYFUNCTION("""COMPUTED_VALUE"""),0.0)</f>
        <v>0</v>
      </c>
      <c r="D128" s="49"/>
      <c r="E128" s="49" t="str">
        <f>IFERROR(__xludf.DUMMYFUNCTION("""COMPUTED_VALUE"""),"Puts all enemies to sleep for 3 rounds skipping their turn order.")</f>
        <v>Puts all enemies to sleep for 3 rounds skipping their turn order.</v>
      </c>
      <c r="F128" s="49" t="str">
        <f>IFERROR(__xludf.DUMMYFUNCTION("""COMPUTED_VALUE"""),"Natural/Fail or Succeed")</f>
        <v>Natural/Fail or Succeed</v>
      </c>
      <c r="G128" s="49" t="str">
        <f>IFERROR(__xludf.DUMMYFUNCTION("""COMPUTED_VALUE"""),"All")</f>
        <v>All</v>
      </c>
      <c r="H128" s="49" t="str">
        <f>IFERROR(__xludf.DUMMYFUNCTION("""COMPUTED_VALUE"""),"Dark")</f>
        <v>Dark</v>
      </c>
      <c r="I128" s="49" t="str">
        <f>IFERROR(__xludf.DUMMYFUNCTION("""COMPUTED_VALUE"""),"Mob")</f>
        <v>Mob</v>
      </c>
      <c r="J128" s="49" t="b">
        <f>IFERROR(__xludf.DUMMYFUNCTION("""COMPUTED_VALUE"""),TRUE)</f>
        <v>1</v>
      </c>
      <c r="K128" s="49" t="str">
        <f>IFERROR(__xludf.DUMMYFUNCTION("""COMPUTED_VALUE"""),"Cannot be obtained by players.")</f>
        <v>Cannot be obtained by players.</v>
      </c>
      <c r="L128" s="49" t="b">
        <f>IFERROR(__xludf.DUMMYFUNCTION("""COMPUTED_VALUE"""),FALSE)</f>
        <v>0</v>
      </c>
      <c r="M128" s="49" t="b">
        <f>IFERROR(__xludf.DUMMYFUNCTION("""COMPUTED_VALUE"""),FALSE)</f>
        <v>0</v>
      </c>
      <c r="N128" s="49"/>
    </row>
    <row r="129">
      <c r="A129" s="49" t="str">
        <f>IFERROR(__xludf.DUMMYFUNCTION("""COMPUTED_VALUE"""),"Regress")</f>
        <v>Regress</v>
      </c>
      <c r="B129" s="126">
        <f>IFERROR(__xludf.DUMMYFUNCTION("""COMPUTED_VALUE"""),3.0)</f>
        <v>3</v>
      </c>
      <c r="C129" s="49" t="str">
        <f>IFERROR(__xludf.DUMMYFUNCTION("""COMPUTED_VALUE"""),"X")</f>
        <v>X</v>
      </c>
      <c r="D129" s="49"/>
      <c r="E129" s="49" t="str">
        <f>IFERROR(__xludf.DUMMYFUNCTION("""COMPUTED_VALUE"""),"All target’s base stats are reduced by X*2 until the end of battle.")</f>
        <v>All target’s base stats are reduced by X*2 until the end of battle.</v>
      </c>
      <c r="F129" s="49" t="str">
        <f>IFERROR(__xludf.DUMMYFUNCTION("""COMPUTED_VALUE"""),"Fail/Succeed")</f>
        <v>Fail/Succeed</v>
      </c>
      <c r="G129" s="49"/>
      <c r="H129" s="49" t="str">
        <f>IFERROR(__xludf.DUMMYFUNCTION("""COMPUTED_VALUE"""),"Dark")</f>
        <v>Dark</v>
      </c>
      <c r="I129" s="49" t="str">
        <f>IFERROR(__xludf.DUMMYFUNCTION("""COMPUTED_VALUE"""),"Player")</f>
        <v>Player</v>
      </c>
      <c r="J129" s="49" t="b">
        <f>IFERROR(__xludf.DUMMYFUNCTION("""COMPUTED_VALUE"""),FALSE)</f>
        <v>0</v>
      </c>
      <c r="K129" s="49"/>
      <c r="L129" s="49" t="b">
        <f>IFERROR(__xludf.DUMMYFUNCTION("""COMPUTED_VALUE"""),FALSE)</f>
        <v>0</v>
      </c>
      <c r="M129" s="49" t="b">
        <f>IFERROR(__xludf.DUMMYFUNCTION("""COMPUTED_VALUE"""),FALSE)</f>
        <v>0</v>
      </c>
      <c r="N129" s="49"/>
    </row>
    <row r="130">
      <c r="A130" s="49"/>
      <c r="B130" s="49"/>
      <c r="C130" s="49"/>
      <c r="D130" s="49"/>
      <c r="E130" s="49"/>
      <c r="F130" s="49"/>
      <c r="G130" s="49"/>
      <c r="H130" s="49"/>
      <c r="I130" s="49"/>
      <c r="J130" s="49" t="b">
        <f>IFERROR(__xludf.DUMMYFUNCTION("""COMPUTED_VALUE"""),FALSE)</f>
        <v>0</v>
      </c>
      <c r="K130" s="49"/>
      <c r="L130" s="49" t="b">
        <f>IFERROR(__xludf.DUMMYFUNCTION("""COMPUTED_VALUE"""),FALSE)</f>
        <v>0</v>
      </c>
      <c r="M130" s="49" t="b">
        <f>IFERROR(__xludf.DUMMYFUNCTION("""COMPUTED_VALUE"""),FALSE)</f>
        <v>0</v>
      </c>
      <c r="N130" s="49"/>
    </row>
    <row r="131">
      <c r="A131" s="49" t="str">
        <f>IFERROR(__xludf.DUMMYFUNCTION("""COMPUTED_VALUE"""),"Shade")</f>
        <v>Shade</v>
      </c>
      <c r="B131" s="126">
        <f>IFERROR(__xludf.DUMMYFUNCTION("""COMPUTED_VALUE"""),1.0)</f>
        <v>1</v>
      </c>
      <c r="C131" s="49">
        <f>IFERROR(__xludf.DUMMYFUNCTION("""COMPUTED_VALUE"""),10.0)</f>
        <v>10</v>
      </c>
      <c r="D131" s="49"/>
      <c r="E131" s="49" t="str">
        <f>IFERROR(__xludf.DUMMYFUNCTION("""COMPUTED_VALUE"""),"1000 dark damage and causes the arena to be dark for 3 rounds.")</f>
        <v>1000 dark damage and causes the arena to be dark for 3 rounds.</v>
      </c>
      <c r="F131" s="49" t="str">
        <f>IFERROR(__xludf.DUMMYFUNCTION("""COMPUTED_VALUE"""),"Hit or Miss")</f>
        <v>Hit or Miss</v>
      </c>
      <c r="G131" s="49">
        <f>IFERROR(__xludf.DUMMYFUNCTION("""COMPUTED_VALUE"""),1.0)</f>
        <v>1</v>
      </c>
      <c r="H131" s="49" t="str">
        <f>IFERROR(__xludf.DUMMYFUNCTION("""COMPUTED_VALUE"""),"Dark")</f>
        <v>Dark</v>
      </c>
      <c r="I131" s="49" t="str">
        <f>IFERROR(__xludf.DUMMYFUNCTION("""COMPUTED_VALUE"""),"Player")</f>
        <v>Player</v>
      </c>
      <c r="J131" s="49" t="b">
        <f>IFERROR(__xludf.DUMMYFUNCTION("""COMPUTED_VALUE"""),FALSE)</f>
        <v>0</v>
      </c>
      <c r="K131" s="49"/>
      <c r="L131" s="49" t="b">
        <f>IFERROR(__xludf.DUMMYFUNCTION("""COMPUTED_VALUE"""),FALSE)</f>
        <v>0</v>
      </c>
      <c r="M131" s="49" t="b">
        <f>IFERROR(__xludf.DUMMYFUNCTION("""COMPUTED_VALUE"""),FALSE)</f>
        <v>0</v>
      </c>
      <c r="N131" s="49"/>
    </row>
    <row r="132">
      <c r="A132" s="49" t="str">
        <f>IFERROR(__xludf.DUMMYFUNCTION("""COMPUTED_VALUE"""),"Shadow")</f>
        <v>Shadow</v>
      </c>
      <c r="B132" s="126">
        <f>IFERROR(__xludf.DUMMYFUNCTION("""COMPUTED_VALUE"""),4.0)</f>
        <v>4</v>
      </c>
      <c r="C132" s="49">
        <f>IFERROR(__xludf.DUMMYFUNCTION("""COMPUTED_VALUE"""),40.0)</f>
        <v>40</v>
      </c>
      <c r="D132" s="49"/>
      <c r="E132" s="49" t="str">
        <f>IFERROR(__xludf.DUMMYFUNCTION("""COMPUTED_VALUE"""),"4000 Dark Damage, Stun 3 and causes the arena to be dark for 3 rounds.")</f>
        <v>4000 Dark Damage, Stun 3 and causes the arena to be dark for 3 rounds.</v>
      </c>
      <c r="F132" s="49" t="str">
        <f>IFERROR(__xludf.DUMMYFUNCTION("""COMPUTED_VALUE"""),"Hit or Miss")</f>
        <v>Hit or Miss</v>
      </c>
      <c r="G132" s="49">
        <f>IFERROR(__xludf.DUMMYFUNCTION("""COMPUTED_VALUE"""),1.0)</f>
        <v>1</v>
      </c>
      <c r="H132" s="49" t="str">
        <f>IFERROR(__xludf.DUMMYFUNCTION("""COMPUTED_VALUE"""),"Dark")</f>
        <v>Dark</v>
      </c>
      <c r="I132" s="49" t="str">
        <f>IFERROR(__xludf.DUMMYFUNCTION("""COMPUTED_VALUE"""),"Player")</f>
        <v>Player</v>
      </c>
      <c r="J132" s="49" t="b">
        <f>IFERROR(__xludf.DUMMYFUNCTION("""COMPUTED_VALUE"""),FALSE)</f>
        <v>0</v>
      </c>
      <c r="K132" s="49"/>
      <c r="L132" s="49" t="b">
        <f>IFERROR(__xludf.DUMMYFUNCTION("""COMPUTED_VALUE"""),FALSE)</f>
        <v>0</v>
      </c>
      <c r="M132" s="49" t="b">
        <f>IFERROR(__xludf.DUMMYFUNCTION("""COMPUTED_VALUE"""),FALSE)</f>
        <v>0</v>
      </c>
      <c r="N132" s="49"/>
    </row>
    <row r="133">
      <c r="A133" s="49" t="str">
        <f>IFERROR(__xludf.DUMMYFUNCTION("""COMPUTED_VALUE"""),"Shadow Curse")</f>
        <v>Shadow Curse</v>
      </c>
      <c r="B133" s="126">
        <f>IFERROR(__xludf.DUMMYFUNCTION("""COMPUTED_VALUE"""),9.0)</f>
        <v>9</v>
      </c>
      <c r="C133" s="49">
        <f>IFERROR(__xludf.DUMMYFUNCTION("""COMPUTED_VALUE"""),1000.0)</f>
        <v>1000</v>
      </c>
      <c r="D133" s="49"/>
      <c r="E133" s="49" t="str">
        <f>IFERROR(__xludf.DUMMYFUNCTION("""COMPUTED_VALUE"""),"A dark curse making the target take x2 dark damage until the curse is lifted.")</f>
        <v>A dark curse making the target take x2 dark damage until the curse is lifted.</v>
      </c>
      <c r="F133" s="49" t="str">
        <f>IFERROR(__xludf.DUMMYFUNCTION("""COMPUTED_VALUE"""),"Fail or Succeed")</f>
        <v>Fail or Succeed</v>
      </c>
      <c r="G133" s="49">
        <f>IFERROR(__xludf.DUMMYFUNCTION("""COMPUTED_VALUE"""),1.0)</f>
        <v>1</v>
      </c>
      <c r="H133" s="49" t="str">
        <f>IFERROR(__xludf.DUMMYFUNCTION("""COMPUTED_VALUE"""),"Dark")</f>
        <v>Dark</v>
      </c>
      <c r="I133" s="49" t="str">
        <f>IFERROR(__xludf.DUMMYFUNCTION("""COMPUTED_VALUE"""),"Mob")</f>
        <v>Mob</v>
      </c>
      <c r="J133" s="49" t="b">
        <f>IFERROR(__xludf.DUMMYFUNCTION("""COMPUTED_VALUE"""),TRUE)</f>
        <v>1</v>
      </c>
      <c r="K133" s="49"/>
      <c r="L133" s="49" t="b">
        <f>IFERROR(__xludf.DUMMYFUNCTION("""COMPUTED_VALUE"""),FALSE)</f>
        <v>0</v>
      </c>
      <c r="M133" s="49" t="b">
        <f>IFERROR(__xludf.DUMMYFUNCTION("""COMPUTED_VALUE"""),FALSE)</f>
        <v>0</v>
      </c>
      <c r="N133" s="49"/>
    </row>
    <row r="134">
      <c r="A134" s="49" t="str">
        <f>IFERROR(__xludf.DUMMYFUNCTION("""COMPUTED_VALUE"""),"Shadow Strike")</f>
        <v>Shadow Strike</v>
      </c>
      <c r="B134" s="126">
        <f>IFERROR(__xludf.DUMMYFUNCTION("""COMPUTED_VALUE"""),9.0)</f>
        <v>9</v>
      </c>
      <c r="C134" s="49">
        <f>IFERROR(__xludf.DUMMYFUNCTION("""COMPUTED_VALUE"""),300.0)</f>
        <v>300</v>
      </c>
      <c r="D134" s="49"/>
      <c r="E134" s="49"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49" t="str">
        <f>IFERROR(__xludf.DUMMYFUNCTION("""COMPUTED_VALUE"""),"Fail/succeed")</f>
        <v>Fail/succeed</v>
      </c>
      <c r="G134" s="49" t="str">
        <f>IFERROR(__xludf.DUMMYFUNCTION("""COMPUTED_VALUE"""),"Self")</f>
        <v>Self</v>
      </c>
      <c r="H134" s="49" t="str">
        <f>IFERROR(__xludf.DUMMYFUNCTION("""COMPUTED_VALUE"""),"Dark")</f>
        <v>Dark</v>
      </c>
      <c r="I134" s="49" t="str">
        <f>IFERROR(__xludf.DUMMYFUNCTION("""COMPUTED_VALUE"""),"Player")</f>
        <v>Player</v>
      </c>
      <c r="J134" s="49" t="b">
        <f>IFERROR(__xludf.DUMMYFUNCTION("""COMPUTED_VALUE"""),FALSE)</f>
        <v>0</v>
      </c>
      <c r="K134" s="49"/>
      <c r="L134" s="49" t="b">
        <f>IFERROR(__xludf.DUMMYFUNCTION("""COMPUTED_VALUE"""),FALSE)</f>
        <v>0</v>
      </c>
      <c r="M134" s="49" t="b">
        <f>IFERROR(__xludf.DUMMYFUNCTION("""COMPUTED_VALUE"""),FALSE)</f>
        <v>0</v>
      </c>
      <c r="N134" s="49"/>
    </row>
    <row r="135">
      <c r="A135" s="49" t="str">
        <f>IFERROR(__xludf.DUMMYFUNCTION("""COMPUTED_VALUE"""),"Shadow Vanish")</f>
        <v>Shadow Vanish</v>
      </c>
      <c r="B135" s="126">
        <f>IFERROR(__xludf.DUMMYFUNCTION("""COMPUTED_VALUE"""),9.0)</f>
        <v>9</v>
      </c>
      <c r="C135" s="49">
        <f>IFERROR(__xludf.DUMMYFUNCTION("""COMPUTED_VALUE"""),300.0)</f>
        <v>300</v>
      </c>
      <c r="D135" s="49"/>
      <c r="E135" s="49" t="str">
        <f>IFERROR(__xludf.DUMMYFUNCTION("""COMPUTED_VALUE"""),"Gain invulnerability for 3 rounds, you are unable to inflict any non-magic damage for 3 rounds")</f>
        <v>Gain invulnerability for 3 rounds, you are unable to inflict any non-magic damage for 3 rounds</v>
      </c>
      <c r="F135" s="49" t="str">
        <f>IFERROR(__xludf.DUMMYFUNCTION("""COMPUTED_VALUE"""),"Fail/succeed")</f>
        <v>Fail/succeed</v>
      </c>
      <c r="G135" s="49">
        <f>IFERROR(__xludf.DUMMYFUNCTION("""COMPUTED_VALUE"""),1.0)</f>
        <v>1</v>
      </c>
      <c r="H135" s="49" t="str">
        <f>IFERROR(__xludf.DUMMYFUNCTION("""COMPUTED_VALUE"""),"Dark")</f>
        <v>Dark</v>
      </c>
      <c r="I135" s="49" t="str">
        <f>IFERROR(__xludf.DUMMYFUNCTION("""COMPUTED_VALUE"""),"Player")</f>
        <v>Player</v>
      </c>
      <c r="J135" s="49" t="b">
        <f>IFERROR(__xludf.DUMMYFUNCTION("""COMPUTED_VALUE"""),FALSE)</f>
        <v>0</v>
      </c>
      <c r="K135" s="49"/>
      <c r="L135" s="49" t="b">
        <f>IFERROR(__xludf.DUMMYFUNCTION("""COMPUTED_VALUE"""),FALSE)</f>
        <v>0</v>
      </c>
      <c r="M135" s="49" t="b">
        <f>IFERROR(__xludf.DUMMYFUNCTION("""COMPUTED_VALUE"""),FALSE)</f>
        <v>0</v>
      </c>
      <c r="N135" s="49"/>
    </row>
    <row r="136">
      <c r="A136" s="49" t="str">
        <f>IFERROR(__xludf.DUMMYFUNCTION("""COMPUTED_VALUE"""),"Summon Haunted Scarecrow")</f>
        <v>Summon Haunted Scarecrow</v>
      </c>
      <c r="B136" s="126">
        <f>IFERROR(__xludf.DUMMYFUNCTION("""COMPUTED_VALUE"""),9.0)</f>
        <v>9</v>
      </c>
      <c r="C136" s="49">
        <f>IFERROR(__xludf.DUMMYFUNCTION("""COMPUTED_VALUE"""),1000.0)</f>
        <v>1000</v>
      </c>
      <c r="D136" s="49"/>
      <c r="E136" s="49" t="str">
        <f>IFERROR(__xludf.DUMMYFUNCTION("""COMPUTED_VALUE"""),"Summon a haunted scarecrow. 50% chance to summon 2.")</f>
        <v>Summon a haunted scarecrow. 50% chance to summon 2.</v>
      </c>
      <c r="F136" s="49" t="str">
        <f>IFERROR(__xludf.DUMMYFUNCTION("""COMPUTED_VALUE"""),"Fail/Succeed")</f>
        <v>Fail/Succeed</v>
      </c>
      <c r="G136" s="49" t="str">
        <f>IFERROR(__xludf.DUMMYFUNCTION("""COMPUTED_VALUE"""),"Self")</f>
        <v>Self</v>
      </c>
      <c r="H136" s="49" t="str">
        <f>IFERROR(__xludf.DUMMYFUNCTION("""COMPUTED_VALUE"""),"Dark")</f>
        <v>Dark</v>
      </c>
      <c r="I136" s="49" t="str">
        <f>IFERROR(__xludf.DUMMYFUNCTION("""COMPUTED_VALUE"""),"Mob")</f>
        <v>Mob</v>
      </c>
      <c r="J136" s="49" t="b">
        <f>IFERROR(__xludf.DUMMYFUNCTION("""COMPUTED_VALUE"""),TRUE)</f>
        <v>1</v>
      </c>
      <c r="K136" s="49"/>
      <c r="L136" s="49" t="b">
        <f>IFERROR(__xludf.DUMMYFUNCTION("""COMPUTED_VALUE"""),FALSE)</f>
        <v>0</v>
      </c>
      <c r="M136" s="49" t="b">
        <f>IFERROR(__xludf.DUMMYFUNCTION("""COMPUTED_VALUE"""),FALSE)</f>
        <v>0</v>
      </c>
      <c r="N136" s="49"/>
    </row>
    <row r="137">
      <c r="A137" s="49" t="str">
        <f>IFERROR(__xludf.DUMMYFUNCTION("""COMPUTED_VALUE"""),"Undead Bite")</f>
        <v>Undead Bite</v>
      </c>
      <c r="B137" s="126">
        <f>IFERROR(__xludf.DUMMYFUNCTION("""COMPUTED_VALUE"""),1.0)</f>
        <v>1</v>
      </c>
      <c r="C137" s="49">
        <f>IFERROR(__xludf.DUMMYFUNCTION("""COMPUTED_VALUE"""),0.0)</f>
        <v>0</v>
      </c>
      <c r="D137" s="49"/>
      <c r="E137" s="49"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49" t="str">
        <f>IFERROR(__xludf.DUMMYFUNCTION("""COMPUTED_VALUE"""),"Natural/Hit or Miss")</f>
        <v>Natural/Hit or Miss</v>
      </c>
      <c r="G137" s="49">
        <f>IFERROR(__xludf.DUMMYFUNCTION("""COMPUTED_VALUE"""),1.0)</f>
        <v>1</v>
      </c>
      <c r="H137" s="49" t="str">
        <f>IFERROR(__xludf.DUMMYFUNCTION("""COMPUTED_VALUE"""),"Dark")</f>
        <v>Dark</v>
      </c>
      <c r="I137" s="49" t="str">
        <f>IFERROR(__xludf.DUMMYFUNCTION("""COMPUTED_VALUE"""),"Mob")</f>
        <v>Mob</v>
      </c>
      <c r="J137" s="49" t="b">
        <f>IFERROR(__xludf.DUMMYFUNCTION("""COMPUTED_VALUE"""),TRUE)</f>
        <v>1</v>
      </c>
      <c r="K137" s="49"/>
      <c r="L137" s="49" t="b">
        <f>IFERROR(__xludf.DUMMYFUNCTION("""COMPUTED_VALUE"""),FALSE)</f>
        <v>0</v>
      </c>
      <c r="M137" s="49" t="b">
        <f>IFERROR(__xludf.DUMMYFUNCTION("""COMPUTED_VALUE"""),FALSE)</f>
        <v>0</v>
      </c>
      <c r="N137" s="49"/>
    </row>
    <row r="138">
      <c r="A138" s="49" t="str">
        <f>IFERROR(__xludf.DUMMYFUNCTION("""COMPUTED_VALUE"""),"Undead Energy")</f>
        <v>Undead Energy</v>
      </c>
      <c r="B138" s="126">
        <f>IFERROR(__xludf.DUMMYFUNCTION("""COMPUTED_VALUE"""),9.0)</f>
        <v>9</v>
      </c>
      <c r="C138" s="49">
        <f>IFERROR(__xludf.DUMMYFUNCTION("""COMPUTED_VALUE"""),5000.0)</f>
        <v>5000</v>
      </c>
      <c r="D138" s="49"/>
      <c r="E138" s="49" t="str">
        <f>IFERROR(__xludf.DUMMYFUNCTION("""COMPUTED_VALUE"""),"all stats are doubled for the rest of battle, excluding constitution.")</f>
        <v>all stats are doubled for the rest of battle, excluding constitution.</v>
      </c>
      <c r="F138" s="49" t="str">
        <f>IFERROR(__xludf.DUMMYFUNCTION("""COMPUTED_VALUE"""),"Fail/succeed")</f>
        <v>Fail/succeed</v>
      </c>
      <c r="G138" s="49" t="str">
        <f>IFERROR(__xludf.DUMMYFUNCTION("""COMPUTED_VALUE"""),"Self")</f>
        <v>Self</v>
      </c>
      <c r="H138" s="49" t="str">
        <f>IFERROR(__xludf.DUMMYFUNCTION("""COMPUTED_VALUE"""),"Dark")</f>
        <v>Dark</v>
      </c>
      <c r="I138" s="49" t="str">
        <f>IFERROR(__xludf.DUMMYFUNCTION("""COMPUTED_VALUE"""),"Mob")</f>
        <v>Mob</v>
      </c>
      <c r="J138" s="49" t="b">
        <f>IFERROR(__xludf.DUMMYFUNCTION("""COMPUTED_VALUE"""),TRUE)</f>
        <v>1</v>
      </c>
      <c r="K138" s="49" t="str">
        <f>IFERROR(__xludf.DUMMYFUNCTION("""COMPUTED_VALUE"""),"Cannot be obtained by players.")</f>
        <v>Cannot be obtained by players.</v>
      </c>
      <c r="L138" s="49" t="b">
        <f>IFERROR(__xludf.DUMMYFUNCTION("""COMPUTED_VALUE"""),FALSE)</f>
        <v>0</v>
      </c>
      <c r="M138" s="49" t="b">
        <f>IFERROR(__xludf.DUMMYFUNCTION("""COMPUTED_VALUE"""),FALSE)</f>
        <v>0</v>
      </c>
      <c r="N138" s="49"/>
    </row>
    <row r="139">
      <c r="A139" s="49" t="str">
        <f>IFERROR(__xludf.DUMMYFUNCTION("""COMPUTED_VALUE"""),"Master Inugima's Shadow Arts I: Throat Slasher")</f>
        <v>Master Inugima's Shadow Arts I: Throat Slasher</v>
      </c>
      <c r="B139" s="126">
        <f>IFERROR(__xludf.DUMMYFUNCTION("""COMPUTED_VALUE"""),9.0)</f>
        <v>9</v>
      </c>
      <c r="C139" s="49">
        <f>IFERROR(__xludf.DUMMYFUNCTION("""COMPUTED_VALUE"""),500.0)</f>
        <v>500</v>
      </c>
      <c r="D139" s="49"/>
      <c r="E139" s="49"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49" t="str">
        <f>IFERROR(__xludf.DUMMYFUNCTION("""COMPUTED_VALUE"""),"Natural/Hit or Miss")</f>
        <v>Natural/Hit or Miss</v>
      </c>
      <c r="G139" s="49">
        <f>IFERROR(__xludf.DUMMYFUNCTION("""COMPUTED_VALUE"""),1.0)</f>
        <v>1</v>
      </c>
      <c r="H139" s="49" t="str">
        <f>IFERROR(__xludf.DUMMYFUNCTION("""COMPUTED_VALUE"""),"Dark")</f>
        <v>Dark</v>
      </c>
      <c r="I139" s="49" t="str">
        <f>IFERROR(__xludf.DUMMYFUNCTION("""COMPUTED_VALUE"""),"Mob")</f>
        <v>Mob</v>
      </c>
      <c r="J139" s="49" t="b">
        <f>IFERROR(__xludf.DUMMYFUNCTION("""COMPUTED_VALUE"""),TRUE)</f>
        <v>1</v>
      </c>
      <c r="K139" s="49" t="str">
        <f>IFERROR(__xludf.DUMMYFUNCTION("""COMPUTED_VALUE"""),"Quest")</f>
        <v>Quest</v>
      </c>
      <c r="L139" s="49" t="b">
        <f>IFERROR(__xludf.DUMMYFUNCTION("""COMPUTED_VALUE"""),FALSE)</f>
        <v>0</v>
      </c>
      <c r="M139" s="49" t="b">
        <f>IFERROR(__xludf.DUMMYFUNCTION("""COMPUTED_VALUE"""),FALSE)</f>
        <v>0</v>
      </c>
      <c r="N139" s="49" t="str">
        <f>IFERROR(__xludf.DUMMYFUNCTION("""COMPUTED_VALUE"""),"Dragonscale Island")</f>
        <v>Dragonscale Island</v>
      </c>
    </row>
    <row r="140">
      <c r="A140" s="49" t="str">
        <f>IFERROR(__xludf.DUMMYFUNCTION("""COMPUTED_VALUE"""),"Master Inugima's Shadow Arts II: Shadow Step")</f>
        <v>Master Inugima's Shadow Arts II: Shadow Step</v>
      </c>
      <c r="B140" s="126">
        <f>IFERROR(__xludf.DUMMYFUNCTION("""COMPUTED_VALUE"""),5.0)</f>
        <v>5</v>
      </c>
      <c r="C140" s="49">
        <f>IFERROR(__xludf.DUMMYFUNCTION("""COMPUTED_VALUE"""),100.0)</f>
        <v>100</v>
      </c>
      <c r="D140" s="49"/>
      <c r="E140" s="49"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49" t="str">
        <f>IFERROR(__xludf.DUMMYFUNCTION("""COMPUTED_VALUE"""),"Natural/Fail or Succeed")</f>
        <v>Natural/Fail or Succeed</v>
      </c>
      <c r="G140" s="49" t="str">
        <f>IFERROR(__xludf.DUMMYFUNCTION("""COMPUTED_VALUE"""),"Self")</f>
        <v>Self</v>
      </c>
      <c r="H140" s="49" t="str">
        <f>IFERROR(__xludf.DUMMYFUNCTION("""COMPUTED_VALUE"""),"Dark")</f>
        <v>Dark</v>
      </c>
      <c r="I140" s="49" t="str">
        <f>IFERROR(__xludf.DUMMYFUNCTION("""COMPUTED_VALUE"""),"Mob")</f>
        <v>Mob</v>
      </c>
      <c r="J140" s="49" t="b">
        <f>IFERROR(__xludf.DUMMYFUNCTION("""COMPUTED_VALUE"""),TRUE)</f>
        <v>1</v>
      </c>
      <c r="K140" s="49" t="str">
        <f>IFERROR(__xludf.DUMMYFUNCTION("""COMPUTED_VALUE"""),"Quest")</f>
        <v>Quest</v>
      </c>
      <c r="L140" s="49" t="b">
        <f>IFERROR(__xludf.DUMMYFUNCTION("""COMPUTED_VALUE"""),FALSE)</f>
        <v>0</v>
      </c>
      <c r="M140" s="49" t="b">
        <f>IFERROR(__xludf.DUMMYFUNCTION("""COMPUTED_VALUE"""),FALSE)</f>
        <v>0</v>
      </c>
      <c r="N140" s="49" t="str">
        <f>IFERROR(__xludf.DUMMYFUNCTION("""COMPUTED_VALUE"""),"Dragonscale Island")</f>
        <v>Dragonscale Island</v>
      </c>
    </row>
    <row r="141">
      <c r="A141" s="49" t="str">
        <f>IFERROR(__xludf.DUMMYFUNCTION("""COMPUTED_VALUE"""),"Master Inugima's Shadow Arts III: Tendon Slash")</f>
        <v>Master Inugima's Shadow Arts III: Tendon Slash</v>
      </c>
      <c r="B141" s="126">
        <f>IFERROR(__xludf.DUMMYFUNCTION("""COMPUTED_VALUE"""),9.0)</f>
        <v>9</v>
      </c>
      <c r="C141" s="49">
        <f>IFERROR(__xludf.DUMMYFUNCTION("""COMPUTED_VALUE"""),300.0)</f>
        <v>300</v>
      </c>
      <c r="D141" s="49"/>
      <c r="E141" s="49"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49" t="str">
        <f>IFERROR(__xludf.DUMMYFUNCTION("""COMPUTED_VALUE"""),"Natural/Hit or Miss")</f>
        <v>Natural/Hit or Miss</v>
      </c>
      <c r="G141" s="49">
        <f>IFERROR(__xludf.DUMMYFUNCTION("""COMPUTED_VALUE"""),1.0)</f>
        <v>1</v>
      </c>
      <c r="H141" s="49" t="str">
        <f>IFERROR(__xludf.DUMMYFUNCTION("""COMPUTED_VALUE"""),"Dark")</f>
        <v>Dark</v>
      </c>
      <c r="I141" s="49" t="str">
        <f>IFERROR(__xludf.DUMMYFUNCTION("""COMPUTED_VALUE"""),"Mob")</f>
        <v>Mob</v>
      </c>
      <c r="J141" s="49" t="b">
        <f>IFERROR(__xludf.DUMMYFUNCTION("""COMPUTED_VALUE"""),TRUE)</f>
        <v>1</v>
      </c>
      <c r="K141" s="49" t="str">
        <f>IFERROR(__xludf.DUMMYFUNCTION("""COMPUTED_VALUE"""),"Quest")</f>
        <v>Quest</v>
      </c>
      <c r="L141" s="49" t="b">
        <f>IFERROR(__xludf.DUMMYFUNCTION("""COMPUTED_VALUE"""),FALSE)</f>
        <v>0</v>
      </c>
      <c r="M141" s="49" t="b">
        <f>IFERROR(__xludf.DUMMYFUNCTION("""COMPUTED_VALUE"""),FALSE)</f>
        <v>0</v>
      </c>
      <c r="N141" s="49" t="str">
        <f>IFERROR(__xludf.DUMMYFUNCTION("""COMPUTED_VALUE"""),"Dragonscale Island")</f>
        <v>Dragonscale Island</v>
      </c>
    </row>
    <row r="142">
      <c r="A142" s="49" t="str">
        <f>IFERROR(__xludf.DUMMYFUNCTION("""COMPUTED_VALUE"""),"Master Inugima's Shadow Arts IV: Chloroform")</f>
        <v>Master Inugima's Shadow Arts IV: Chloroform</v>
      </c>
      <c r="B142" s="126">
        <f>IFERROR(__xludf.DUMMYFUNCTION("""COMPUTED_VALUE"""),7.0)</f>
        <v>7</v>
      </c>
      <c r="C142" s="49">
        <f>IFERROR(__xludf.DUMMYFUNCTION("""COMPUTED_VALUE"""),200.0)</f>
        <v>200</v>
      </c>
      <c r="D142" s="49"/>
      <c r="E142" s="49" t="str">
        <f>IFERROR(__xludf.DUMMYFUNCTION("""COMPUTED_VALUE"""),"Appear behind an enemy and cover their mouth with a chemical soaked cloth inflicting them with sleep 5.")</f>
        <v>Appear behind an enemy and cover their mouth with a chemical soaked cloth inflicting them with sleep 5.</v>
      </c>
      <c r="F142" s="49" t="str">
        <f>IFERROR(__xludf.DUMMYFUNCTION("""COMPUTED_VALUE"""),"Natural/Fail or Succeed")</f>
        <v>Natural/Fail or Succeed</v>
      </c>
      <c r="G142" s="49">
        <f>IFERROR(__xludf.DUMMYFUNCTION("""COMPUTED_VALUE"""),1.0)</f>
        <v>1</v>
      </c>
      <c r="H142" s="49" t="str">
        <f>IFERROR(__xludf.DUMMYFUNCTION("""COMPUTED_VALUE"""),"Dark")</f>
        <v>Dark</v>
      </c>
      <c r="I142" s="49" t="str">
        <f>IFERROR(__xludf.DUMMYFUNCTION("""COMPUTED_VALUE"""),"Mob")</f>
        <v>Mob</v>
      </c>
      <c r="J142" s="49" t="b">
        <f>IFERROR(__xludf.DUMMYFUNCTION("""COMPUTED_VALUE"""),TRUE)</f>
        <v>1</v>
      </c>
      <c r="K142" s="49" t="str">
        <f>IFERROR(__xludf.DUMMYFUNCTION("""COMPUTED_VALUE"""),"Quest")</f>
        <v>Quest</v>
      </c>
      <c r="L142" s="49" t="b">
        <f>IFERROR(__xludf.DUMMYFUNCTION("""COMPUTED_VALUE"""),FALSE)</f>
        <v>0</v>
      </c>
      <c r="M142" s="49" t="b">
        <f>IFERROR(__xludf.DUMMYFUNCTION("""COMPUTED_VALUE"""),FALSE)</f>
        <v>0</v>
      </c>
      <c r="N142" s="49" t="str">
        <f>IFERROR(__xludf.DUMMYFUNCTION("""COMPUTED_VALUE"""),"Dragonscale Island")</f>
        <v>Dragonscale Island</v>
      </c>
    </row>
    <row r="143">
      <c r="A143" s="49" t="str">
        <f>IFERROR(__xludf.DUMMYFUNCTION("""COMPUTED_VALUE"""),"Army of The Dead")</f>
        <v>Army of The Dead</v>
      </c>
      <c r="B143" s="126">
        <f>IFERROR(__xludf.DUMMYFUNCTION("""COMPUTED_VALUE"""),9.0)</f>
        <v>9</v>
      </c>
      <c r="C143" s="49" t="str">
        <f>IFERROR(__xludf.DUMMYFUNCTION("""COMPUTED_VALUE"""),"X*100")</f>
        <v>X*100</v>
      </c>
      <c r="D143" s="49"/>
      <c r="E143" s="49"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49" t="str">
        <f>IFERROR(__xludf.DUMMYFUNCTION("""COMPUTED_VALUE"""),"Fail/Suceed")</f>
        <v>Fail/Suceed</v>
      </c>
      <c r="G143" s="49" t="str">
        <f>IFERROR(__xludf.DUMMYFUNCTION("""COMPUTED_VALUE"""),"d6")</f>
        <v>d6</v>
      </c>
      <c r="H143" s="49" t="str">
        <f>IFERROR(__xludf.DUMMYFUNCTION("""COMPUTED_VALUE"""),"Dark")</f>
        <v>Dark</v>
      </c>
      <c r="I143" s="49" t="str">
        <f>IFERROR(__xludf.DUMMYFUNCTION("""COMPUTED_VALUE"""),"Player")</f>
        <v>Player</v>
      </c>
      <c r="J143" s="49" t="b">
        <f>IFERROR(__xludf.DUMMYFUNCTION("""COMPUTED_VALUE"""),FALSE)</f>
        <v>0</v>
      </c>
      <c r="K143" s="49"/>
      <c r="L143" s="49" t="b">
        <f>IFERROR(__xludf.DUMMYFUNCTION("""COMPUTED_VALUE"""),FALSE)</f>
        <v>0</v>
      </c>
      <c r="M143" s="49" t="b">
        <f>IFERROR(__xludf.DUMMYFUNCTION("""COMPUTED_VALUE"""),FALSE)</f>
        <v>0</v>
      </c>
      <c r="N143" s="49"/>
    </row>
    <row r="144">
      <c r="A144" s="49" t="str">
        <f>IFERROR(__xludf.DUMMYFUNCTION("""COMPUTED_VALUE"""),"Dark Bolt")</f>
        <v>Dark Bolt</v>
      </c>
      <c r="B144" s="126">
        <f>IFERROR(__xludf.DUMMYFUNCTION("""COMPUTED_VALUE"""),1.0)</f>
        <v>1</v>
      </c>
      <c r="C144" s="49" t="str">
        <f>IFERROR(__xludf.DUMMYFUNCTION("""COMPUTED_VALUE"""),"X")</f>
        <v>X</v>
      </c>
      <c r="D144" s="49"/>
      <c r="E144" s="49" t="str">
        <f>IFERROR(__xludf.DUMMYFUNCTION("""COMPUTED_VALUE"""),"Deals X*100 Dark damage to a single enemy where X is equal to SP spent.")</f>
        <v>Deals X*100 Dark damage to a single enemy where X is equal to SP spent.</v>
      </c>
      <c r="F144" s="49" t="str">
        <f>IFERROR(__xludf.DUMMYFUNCTION("""COMPUTED_VALUE"""),"Hit/Miss")</f>
        <v>Hit/Miss</v>
      </c>
      <c r="G144" s="49">
        <f>IFERROR(__xludf.DUMMYFUNCTION("""COMPUTED_VALUE"""),1.0)</f>
        <v>1</v>
      </c>
      <c r="H144" s="49" t="str">
        <f>IFERROR(__xludf.DUMMYFUNCTION("""COMPUTED_VALUE"""),"Dark")</f>
        <v>Dark</v>
      </c>
      <c r="I144" s="49" t="str">
        <f>IFERROR(__xludf.DUMMYFUNCTION("""COMPUTED_VALUE"""),"Player")</f>
        <v>Player</v>
      </c>
      <c r="J144" s="49" t="b">
        <f>IFERROR(__xludf.DUMMYFUNCTION("""COMPUTED_VALUE"""),FALSE)</f>
        <v>0</v>
      </c>
      <c r="K144" s="49"/>
      <c r="L144" s="49" t="b">
        <f>IFERROR(__xludf.DUMMYFUNCTION("""COMPUTED_VALUE"""),FALSE)</f>
        <v>0</v>
      </c>
      <c r="M144" s="49" t="b">
        <f>IFERROR(__xludf.DUMMYFUNCTION("""COMPUTED_VALUE"""),FALSE)</f>
        <v>0</v>
      </c>
      <c r="N144" s="49"/>
    </row>
    <row r="145">
      <c r="A145" s="49" t="str">
        <f>IFERROR(__xludf.DUMMYFUNCTION("""COMPUTED_VALUE"""),"Curse of Wasting")</f>
        <v>Curse of Wasting</v>
      </c>
      <c r="B145" s="126">
        <f>IFERROR(__xludf.DUMMYFUNCTION("""COMPUTED_VALUE"""),5.0)</f>
        <v>5</v>
      </c>
      <c r="C145" s="49" t="str">
        <f>IFERROR(__xludf.DUMMYFUNCTION("""COMPUTED_VALUE"""),"X")</f>
        <v>X</v>
      </c>
      <c r="D145" s="49"/>
      <c r="E145" s="49" t="str">
        <f>IFERROR(__xludf.DUMMYFUNCTION("""COMPUTED_VALUE"""),"Deals X*50 Dark damage per round for 3 rounds to a single target where X is equal to SP spent.")</f>
        <v>Deals X*50 Dark damage per round for 3 rounds to a single target where X is equal to SP spent.</v>
      </c>
      <c r="F145" s="49" t="str">
        <f>IFERROR(__xludf.DUMMYFUNCTION("""COMPUTED_VALUE"""),"Hit/Miss")</f>
        <v>Hit/Miss</v>
      </c>
      <c r="G145" s="49">
        <f>IFERROR(__xludf.DUMMYFUNCTION("""COMPUTED_VALUE"""),1.0)</f>
        <v>1</v>
      </c>
      <c r="H145" s="49" t="str">
        <f>IFERROR(__xludf.DUMMYFUNCTION("""COMPUTED_VALUE"""),"Dark")</f>
        <v>Dark</v>
      </c>
      <c r="I145" s="49" t="str">
        <f>IFERROR(__xludf.DUMMYFUNCTION("""COMPUTED_VALUE"""),"Player")</f>
        <v>Player</v>
      </c>
      <c r="J145" s="49" t="b">
        <f>IFERROR(__xludf.DUMMYFUNCTION("""COMPUTED_VALUE"""),FALSE)</f>
        <v>0</v>
      </c>
      <c r="K145" s="49"/>
      <c r="L145" s="49" t="b">
        <f>IFERROR(__xludf.DUMMYFUNCTION("""COMPUTED_VALUE"""),FALSE)</f>
        <v>0</v>
      </c>
      <c r="M145" s="49" t="b">
        <f>IFERROR(__xludf.DUMMYFUNCTION("""COMPUTED_VALUE"""),FALSE)</f>
        <v>0</v>
      </c>
      <c r="N145" s="49"/>
    </row>
    <row r="146">
      <c r="A146" s="49" t="str">
        <f>IFERROR(__xludf.DUMMYFUNCTION("""COMPUTED_VALUE"""),"Creeping Darkness")</f>
        <v>Creeping Darkness</v>
      </c>
      <c r="B146" s="126">
        <f>IFERROR(__xludf.DUMMYFUNCTION("""COMPUTED_VALUE"""),5.0)</f>
        <v>5</v>
      </c>
      <c r="C146" s="49" t="str">
        <f>IFERROR(__xludf.DUMMYFUNCTION("""COMPUTED_VALUE"""),"X")</f>
        <v>X</v>
      </c>
      <c r="D146" s="49"/>
      <c r="E146" s="49" t="str">
        <f>IFERROR(__xludf.DUMMYFUNCTION("""COMPUTED_VALUE"""),"Deals X*25 Dark damage to all enemies where X is equal to SP spent.")</f>
        <v>Deals X*25 Dark damage to all enemies where X is equal to SP spent.</v>
      </c>
      <c r="F146" s="49" t="str">
        <f>IFERROR(__xludf.DUMMYFUNCTION("""COMPUTED_VALUE"""),"Cannot Avoid")</f>
        <v>Cannot Avoid</v>
      </c>
      <c r="G146" s="49" t="str">
        <f>IFERROR(__xludf.DUMMYFUNCTION("""COMPUTED_VALUE"""),"All")</f>
        <v>All</v>
      </c>
      <c r="H146" s="49" t="str">
        <f>IFERROR(__xludf.DUMMYFUNCTION("""COMPUTED_VALUE"""),"Dark")</f>
        <v>Dark</v>
      </c>
      <c r="I146" s="49" t="str">
        <f>IFERROR(__xludf.DUMMYFUNCTION("""COMPUTED_VALUE"""),"Player")</f>
        <v>Player</v>
      </c>
      <c r="J146" s="49" t="b">
        <f>IFERROR(__xludf.DUMMYFUNCTION("""COMPUTED_VALUE"""),FALSE)</f>
        <v>0</v>
      </c>
      <c r="K146" s="49"/>
      <c r="L146" s="49" t="b">
        <f>IFERROR(__xludf.DUMMYFUNCTION("""COMPUTED_VALUE"""),FALSE)</f>
        <v>0</v>
      </c>
      <c r="M146" s="49" t="b">
        <f>IFERROR(__xludf.DUMMYFUNCTION("""COMPUTED_VALUE"""),FALSE)</f>
        <v>0</v>
      </c>
      <c r="N146" s="49"/>
    </row>
    <row r="147">
      <c r="A147" s="49" t="str">
        <f>IFERROR(__xludf.DUMMYFUNCTION("""COMPUTED_VALUE"""),"Mass Curse of Wasting")</f>
        <v>Mass Curse of Wasting</v>
      </c>
      <c r="B147" s="126">
        <f>IFERROR(__xludf.DUMMYFUNCTION("""COMPUTED_VALUE"""),6.0)</f>
        <v>6</v>
      </c>
      <c r="C147" s="49" t="str">
        <f>IFERROR(__xludf.DUMMYFUNCTION("""COMPUTED_VALUE"""),"X")</f>
        <v>X</v>
      </c>
      <c r="D147" s="49"/>
      <c r="E147" s="49" t="str">
        <f>IFERROR(__xludf.DUMMYFUNCTION("""COMPUTED_VALUE"""),"Deals X*10 Dark damage per round to all enemies for 3 rounds where X is equal to SP spent.")</f>
        <v>Deals X*10 Dark damage per round to all enemies for 3 rounds where X is equal to SP spent.</v>
      </c>
      <c r="F147" s="49" t="str">
        <f>IFERROR(__xludf.DUMMYFUNCTION("""COMPUTED_VALUE"""),"Cannot Avoid")</f>
        <v>Cannot Avoid</v>
      </c>
      <c r="G147" s="49" t="str">
        <f>IFERROR(__xludf.DUMMYFUNCTION("""COMPUTED_VALUE"""),"All")</f>
        <v>All</v>
      </c>
      <c r="H147" s="49" t="str">
        <f>IFERROR(__xludf.DUMMYFUNCTION("""COMPUTED_VALUE"""),"Dark")</f>
        <v>Dark</v>
      </c>
      <c r="I147" s="49" t="str">
        <f>IFERROR(__xludf.DUMMYFUNCTION("""COMPUTED_VALUE"""),"Player")</f>
        <v>Player</v>
      </c>
      <c r="J147" s="49" t="b">
        <f>IFERROR(__xludf.DUMMYFUNCTION("""COMPUTED_VALUE"""),FALSE)</f>
        <v>0</v>
      </c>
      <c r="K147" s="49"/>
      <c r="L147" s="49" t="b">
        <f>IFERROR(__xludf.DUMMYFUNCTION("""COMPUTED_VALUE"""),FALSE)</f>
        <v>0</v>
      </c>
      <c r="M147" s="49" t="b">
        <f>IFERROR(__xludf.DUMMYFUNCTION("""COMPUTED_VALUE"""),FALSE)</f>
        <v>0</v>
      </c>
      <c r="N147" s="49"/>
    </row>
    <row r="148">
      <c r="A148" s="49" t="str">
        <f>IFERROR(__xludf.DUMMYFUNCTION("""COMPUTED_VALUE"""),"Chaincast")</f>
        <v>Chaincast</v>
      </c>
      <c r="B148" s="126">
        <f>IFERROR(__xludf.DUMMYFUNCTION("""COMPUTED_VALUE"""),9.0)</f>
        <v>9</v>
      </c>
      <c r="C148" s="49">
        <f>IFERROR(__xludf.DUMMYFUNCTION("""COMPUTED_VALUE"""),700.0)</f>
        <v>700</v>
      </c>
      <c r="D148" s="49"/>
      <c r="E148" s="49"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49" t="str">
        <f>IFERROR(__xludf.DUMMYFUNCTION("""COMPUTED_VALUE"""),"Will Succeed")</f>
        <v>Will Succeed</v>
      </c>
      <c r="G148" s="49"/>
      <c r="H148" s="49" t="str">
        <f>IFERROR(__xludf.DUMMYFUNCTION("""COMPUTED_VALUE"""),"Delta")</f>
        <v>Delta</v>
      </c>
      <c r="I148" s="49" t="str">
        <f>IFERROR(__xludf.DUMMYFUNCTION("""COMPUTED_VALUE"""),"Player")</f>
        <v>Player</v>
      </c>
      <c r="J148" s="49" t="b">
        <f>IFERROR(__xludf.DUMMYFUNCTION("""COMPUTED_VALUE"""),FALSE)</f>
        <v>0</v>
      </c>
      <c r="K148" s="49"/>
      <c r="L148" s="49" t="b">
        <f>IFERROR(__xludf.DUMMYFUNCTION("""COMPUTED_VALUE"""),FALSE)</f>
        <v>0</v>
      </c>
      <c r="M148" s="49" t="b">
        <f>IFERROR(__xludf.DUMMYFUNCTION("""COMPUTED_VALUE"""),FALSE)</f>
        <v>0</v>
      </c>
      <c r="N148" s="49"/>
    </row>
    <row r="149">
      <c r="A149" s="49" t="str">
        <f>IFERROR(__xludf.DUMMYFUNCTION("""COMPUTED_VALUE"""),"Delta Ball")</f>
        <v>Delta Ball</v>
      </c>
      <c r="B149" s="126">
        <f>IFERROR(__xludf.DUMMYFUNCTION("""COMPUTED_VALUE"""),4.0)</f>
        <v>4</v>
      </c>
      <c r="C149" s="49">
        <f>IFERROR(__xludf.DUMMYFUNCTION("""COMPUTED_VALUE"""),40.0)</f>
        <v>40</v>
      </c>
      <c r="D149" s="49"/>
      <c r="E149" s="49" t="str">
        <f>IFERROR(__xludf.DUMMYFUNCTION("""COMPUTED_VALUE"""),"Drains 4000 SP from the target.")</f>
        <v>Drains 4000 SP from the target.</v>
      </c>
      <c r="F149" s="49" t="str">
        <f>IFERROR(__xludf.DUMMYFUNCTION("""COMPUTED_VALUE"""),"Hit/Miss")</f>
        <v>Hit/Miss</v>
      </c>
      <c r="G149" s="49">
        <f>IFERROR(__xludf.DUMMYFUNCTION("""COMPUTED_VALUE"""),1.0)</f>
        <v>1</v>
      </c>
      <c r="H149" s="49" t="str">
        <f>IFERROR(__xludf.DUMMYFUNCTION("""COMPUTED_VALUE"""),"Delta")</f>
        <v>Delta</v>
      </c>
      <c r="I149" s="49" t="str">
        <f>IFERROR(__xludf.DUMMYFUNCTION("""COMPUTED_VALUE"""),"Player")</f>
        <v>Player</v>
      </c>
      <c r="J149" s="49" t="b">
        <f>IFERROR(__xludf.DUMMYFUNCTION("""COMPUTED_VALUE"""),FALSE)</f>
        <v>0</v>
      </c>
      <c r="K149" s="49"/>
      <c r="L149" s="49" t="b">
        <f>IFERROR(__xludf.DUMMYFUNCTION("""COMPUTED_VALUE"""),FALSE)</f>
        <v>0</v>
      </c>
      <c r="M149" s="49" t="b">
        <f>IFERROR(__xludf.DUMMYFUNCTION("""COMPUTED_VALUE"""),FALSE)</f>
        <v>0</v>
      </c>
      <c r="N149" s="49"/>
    </row>
    <row r="150">
      <c r="A150" s="49" t="str">
        <f>IFERROR(__xludf.DUMMYFUNCTION("""COMPUTED_VALUE"""),"Delta Beam")</f>
        <v>Delta Beam</v>
      </c>
      <c r="B150" s="126">
        <f>IFERROR(__xludf.DUMMYFUNCTION("""COMPUTED_VALUE"""),6.0)</f>
        <v>6</v>
      </c>
      <c r="C150" s="49">
        <f>IFERROR(__xludf.DUMMYFUNCTION("""COMPUTED_VALUE"""),120.0)</f>
        <v>120</v>
      </c>
      <c r="D150" s="49"/>
      <c r="E150" s="49" t="str">
        <f>IFERROR(__xludf.DUMMYFUNCTION("""COMPUTED_VALUE"""),"Deals 6000 delta damage and drains 6000 sp from the target.")</f>
        <v>Deals 6000 delta damage and drains 6000 sp from the target.</v>
      </c>
      <c r="F150" s="49" t="str">
        <f>IFERROR(__xludf.DUMMYFUNCTION("""COMPUTED_VALUE"""),"Hit/Miss")</f>
        <v>Hit/Miss</v>
      </c>
      <c r="G150" s="49">
        <f>IFERROR(__xludf.DUMMYFUNCTION("""COMPUTED_VALUE"""),1.0)</f>
        <v>1</v>
      </c>
      <c r="H150" s="49" t="str">
        <f>IFERROR(__xludf.DUMMYFUNCTION("""COMPUTED_VALUE"""),"Delta")</f>
        <v>Delta</v>
      </c>
      <c r="I150" s="49" t="str">
        <f>IFERROR(__xludf.DUMMYFUNCTION("""COMPUTED_VALUE"""),"Player")</f>
        <v>Player</v>
      </c>
      <c r="J150" s="49" t="b">
        <f>IFERROR(__xludf.DUMMYFUNCTION("""COMPUTED_VALUE"""),FALSE)</f>
        <v>0</v>
      </c>
      <c r="K150" s="49"/>
      <c r="L150" s="49" t="b">
        <f>IFERROR(__xludf.DUMMYFUNCTION("""COMPUTED_VALUE"""),FALSE)</f>
        <v>0</v>
      </c>
      <c r="M150" s="49" t="b">
        <f>IFERROR(__xludf.DUMMYFUNCTION("""COMPUTED_VALUE"""),FALSE)</f>
        <v>0</v>
      </c>
      <c r="N150" s="49"/>
    </row>
    <row r="151">
      <c r="A151" s="49" t="str">
        <f>IFERROR(__xludf.DUMMYFUNCTION("""COMPUTED_VALUE"""),"Delta Blast")</f>
        <v>Delta Blast</v>
      </c>
      <c r="B151" s="126">
        <f>IFERROR(__xludf.DUMMYFUNCTION("""COMPUTED_VALUE"""),6.0)</f>
        <v>6</v>
      </c>
      <c r="C151" s="49">
        <f>IFERROR(__xludf.DUMMYFUNCTION("""COMPUTED_VALUE"""),240.0)</f>
        <v>240</v>
      </c>
      <c r="D151" s="49"/>
      <c r="E151" s="49" t="str">
        <f>IFERROR(__xludf.DUMMYFUNCTION("""COMPUTED_VALUE"""),"6000 undefendable Delta damage to all enemies, when in a dungeon knocks back enemies 3 spaces.")</f>
        <v>6000 undefendable Delta damage to all enemies, when in a dungeon knocks back enemies 3 spaces.</v>
      </c>
      <c r="F151" s="49" t="str">
        <f>IFERROR(__xludf.DUMMYFUNCTION("""COMPUTED_VALUE"""),"Cannot Avoid")</f>
        <v>Cannot Avoid</v>
      </c>
      <c r="G151" s="49"/>
      <c r="H151" s="49" t="str">
        <f>IFERROR(__xludf.DUMMYFUNCTION("""COMPUTED_VALUE"""),"Delta")</f>
        <v>Delta</v>
      </c>
      <c r="I151" s="49" t="str">
        <f>IFERROR(__xludf.DUMMYFUNCTION("""COMPUTED_VALUE"""),"Player")</f>
        <v>Player</v>
      </c>
      <c r="J151" s="49" t="b">
        <f>IFERROR(__xludf.DUMMYFUNCTION("""COMPUTED_VALUE"""),FALSE)</f>
        <v>0</v>
      </c>
      <c r="K151" s="49"/>
      <c r="L151" s="49" t="b">
        <f>IFERROR(__xludf.DUMMYFUNCTION("""COMPUTED_VALUE"""),FALSE)</f>
        <v>0</v>
      </c>
      <c r="M151" s="49" t="b">
        <f>IFERROR(__xludf.DUMMYFUNCTION("""COMPUTED_VALUE"""),FALSE)</f>
        <v>0</v>
      </c>
      <c r="N151" s="49"/>
    </row>
    <row r="152">
      <c r="A152" s="49" t="str">
        <f>IFERROR(__xludf.DUMMYFUNCTION("""COMPUTED_VALUE"""),"Delta Obelisk")</f>
        <v>Delta Obelisk</v>
      </c>
      <c r="B152" s="126">
        <f>IFERROR(__xludf.DUMMYFUNCTION("""COMPUTED_VALUE"""),8.0)</f>
        <v>8</v>
      </c>
      <c r="C152" s="49">
        <f>IFERROR(__xludf.DUMMYFUNCTION("""COMPUTED_VALUE"""),600.0)</f>
        <v>600</v>
      </c>
      <c r="D152" s="49"/>
      <c r="E152" s="49"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49" t="str">
        <f>IFERROR(__xludf.DUMMYFUNCTION("""COMPUTED_VALUE"""),"Will Succeed")</f>
        <v>Will Succeed</v>
      </c>
      <c r="G152" s="49"/>
      <c r="H152" s="49" t="str">
        <f>IFERROR(__xludf.DUMMYFUNCTION("""COMPUTED_VALUE"""),"Delta")</f>
        <v>Delta</v>
      </c>
      <c r="I152" s="49" t="str">
        <f>IFERROR(__xludf.DUMMYFUNCTION("""COMPUTED_VALUE"""),"Player")</f>
        <v>Player</v>
      </c>
      <c r="J152" s="49" t="b">
        <f>IFERROR(__xludf.DUMMYFUNCTION("""COMPUTED_VALUE"""),FALSE)</f>
        <v>0</v>
      </c>
      <c r="K152" s="49"/>
      <c r="L152" s="49" t="b">
        <f>IFERROR(__xludf.DUMMYFUNCTION("""COMPUTED_VALUE"""),FALSE)</f>
        <v>0</v>
      </c>
      <c r="M152" s="49" t="b">
        <f>IFERROR(__xludf.DUMMYFUNCTION("""COMPUTED_VALUE"""),FALSE)</f>
        <v>0</v>
      </c>
      <c r="N152" s="49"/>
    </row>
    <row r="153">
      <c r="A153" s="49" t="str">
        <f>IFERROR(__xludf.DUMMYFUNCTION("""COMPUTED_VALUE"""),"Delta Rock")</f>
        <v>Delta Rock</v>
      </c>
      <c r="B153" s="126">
        <f>IFERROR(__xludf.DUMMYFUNCTION("""COMPUTED_VALUE"""),7.0)</f>
        <v>7</v>
      </c>
      <c r="C153" s="49">
        <f>IFERROR(__xludf.DUMMYFUNCTION("""COMPUTED_VALUE"""),500.0)</f>
        <v>500</v>
      </c>
      <c r="D153" s="49"/>
      <c r="E153" s="49" t="str">
        <f>IFERROR(__xludf.DUMMYFUNCTION("""COMPUTED_VALUE"""),"Unleashes a wave of sound. No spell can be casted for the rest of the round.")</f>
        <v>Unleashes a wave of sound. No spell can be casted for the rest of the round.</v>
      </c>
      <c r="F153" s="49" t="str">
        <f>IFERROR(__xludf.DUMMYFUNCTION("""COMPUTED_VALUE"""),"Fail/Succeed")</f>
        <v>Fail/Succeed</v>
      </c>
      <c r="G153" s="49"/>
      <c r="H153" s="49" t="str">
        <f>IFERROR(__xludf.DUMMYFUNCTION("""COMPUTED_VALUE"""),"Delta")</f>
        <v>Delta</v>
      </c>
      <c r="I153" s="49" t="str">
        <f>IFERROR(__xludf.DUMMYFUNCTION("""COMPUTED_VALUE"""),"Player")</f>
        <v>Player</v>
      </c>
      <c r="J153" s="49" t="b">
        <f>IFERROR(__xludf.DUMMYFUNCTION("""COMPUTED_VALUE"""),FALSE)</f>
        <v>0</v>
      </c>
      <c r="K153" s="49"/>
      <c r="L153" s="49" t="b">
        <f>IFERROR(__xludf.DUMMYFUNCTION("""COMPUTED_VALUE"""),FALSE)</f>
        <v>0</v>
      </c>
      <c r="M153" s="49" t="b">
        <f>IFERROR(__xludf.DUMMYFUNCTION("""COMPUTED_VALUE"""),FALSE)</f>
        <v>0</v>
      </c>
      <c r="N153" s="49"/>
    </row>
    <row r="154">
      <c r="A154" s="49" t="str">
        <f>IFERROR(__xludf.DUMMYFUNCTION("""COMPUTED_VALUE"""),"Delta Rock &amp; Roll")</f>
        <v>Delta Rock &amp; Roll</v>
      </c>
      <c r="B154" s="126">
        <f>IFERROR(__xludf.DUMMYFUNCTION("""COMPUTED_VALUE"""),8.0)</f>
        <v>8</v>
      </c>
      <c r="C154" s="49" t="str">
        <f>IFERROR(__xludf.DUMMYFUNCTION("""COMPUTED_VALUE"""),"X*600")</f>
        <v>X*600</v>
      </c>
      <c r="D154" s="49"/>
      <c r="E154" s="49" t="str">
        <f>IFERROR(__xludf.DUMMYFUNCTION("""COMPUTED_VALUE"""),"Target enemies are incapable of performing an action for 3 rounds. X=number of enemies.")</f>
        <v>Target enemies are incapable of performing an action for 3 rounds. X=number of enemies.</v>
      </c>
      <c r="F154" s="49" t="str">
        <f>IFERROR(__xludf.DUMMYFUNCTION("""COMPUTED_VALUE"""),"Fail/Succeed")</f>
        <v>Fail/Succeed</v>
      </c>
      <c r="G154" s="49"/>
      <c r="H154" s="49" t="str">
        <f>IFERROR(__xludf.DUMMYFUNCTION("""COMPUTED_VALUE"""),"Delta")</f>
        <v>Delta</v>
      </c>
      <c r="I154" s="49" t="str">
        <f>IFERROR(__xludf.DUMMYFUNCTION("""COMPUTED_VALUE"""),"Player")</f>
        <v>Player</v>
      </c>
      <c r="J154" s="49" t="b">
        <f>IFERROR(__xludf.DUMMYFUNCTION("""COMPUTED_VALUE"""),FALSE)</f>
        <v>0</v>
      </c>
      <c r="K154" s="49"/>
      <c r="L154" s="49" t="b">
        <f>IFERROR(__xludf.DUMMYFUNCTION("""COMPUTED_VALUE"""),FALSE)</f>
        <v>0</v>
      </c>
      <c r="M154" s="49" t="b">
        <f>IFERROR(__xludf.DUMMYFUNCTION("""COMPUTED_VALUE"""),FALSE)</f>
        <v>0</v>
      </c>
      <c r="N154" s="49"/>
    </row>
    <row r="155">
      <c r="A155" s="49" t="str">
        <f>IFERROR(__xludf.DUMMYFUNCTION("""COMPUTED_VALUE"""),"Delta Roll")</f>
        <v>Delta Roll</v>
      </c>
      <c r="B155" s="126">
        <f>IFERROR(__xludf.DUMMYFUNCTION("""COMPUTED_VALUE"""),7.0)</f>
        <v>7</v>
      </c>
      <c r="C155" s="49">
        <f>IFERROR(__xludf.DUMMYFUNCTION("""COMPUTED_VALUE"""),500.0)</f>
        <v>500</v>
      </c>
      <c r="D155" s="49"/>
      <c r="E155" s="49" t="str">
        <f>IFERROR(__xludf.DUMMYFUNCTION("""COMPUTED_VALUE"""),"Makes everyone incapable of attacking for the rest of the round.")</f>
        <v>Makes everyone incapable of attacking for the rest of the round.</v>
      </c>
      <c r="F155" s="49" t="str">
        <f>IFERROR(__xludf.DUMMYFUNCTION("""COMPUTED_VALUE"""),"FailSucceed")</f>
        <v>FailSucceed</v>
      </c>
      <c r="G155" s="49"/>
      <c r="H155" s="49" t="str">
        <f>IFERROR(__xludf.DUMMYFUNCTION("""COMPUTED_VALUE"""),"Delta")</f>
        <v>Delta</v>
      </c>
      <c r="I155" s="49" t="str">
        <f>IFERROR(__xludf.DUMMYFUNCTION("""COMPUTED_VALUE"""),"Player")</f>
        <v>Player</v>
      </c>
      <c r="J155" s="49" t="b">
        <f>IFERROR(__xludf.DUMMYFUNCTION("""COMPUTED_VALUE"""),FALSE)</f>
        <v>0</v>
      </c>
      <c r="K155" s="49"/>
      <c r="L155" s="49" t="b">
        <f>IFERROR(__xludf.DUMMYFUNCTION("""COMPUTED_VALUE"""),FALSE)</f>
        <v>0</v>
      </c>
      <c r="M155" s="49" t="b">
        <f>IFERROR(__xludf.DUMMYFUNCTION("""COMPUTED_VALUE"""),FALSE)</f>
        <v>0</v>
      </c>
      <c r="N155" s="49"/>
    </row>
    <row r="156">
      <c r="A156" s="49" t="str">
        <f>IFERROR(__xludf.DUMMYFUNCTION("""COMPUTED_VALUE"""),"Delta World")</f>
        <v>Delta World</v>
      </c>
      <c r="B156" s="126">
        <f>IFERROR(__xludf.DUMMYFUNCTION("""COMPUTED_VALUE"""),9.0)</f>
        <v>9</v>
      </c>
      <c r="C156" s="49">
        <f>IFERROR(__xludf.DUMMYFUNCTION("""COMPUTED_VALUE"""),1000.0)</f>
        <v>1000</v>
      </c>
      <c r="D156" s="49"/>
      <c r="E156" s="49"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49" t="str">
        <f>IFERROR(__xludf.DUMMYFUNCTION("""COMPUTED_VALUE"""),"Fail/Succeed")</f>
        <v>Fail/Succeed</v>
      </c>
      <c r="G156" s="49"/>
      <c r="H156" s="49" t="str">
        <f>IFERROR(__xludf.DUMMYFUNCTION("""COMPUTED_VALUE"""),"Delta")</f>
        <v>Delta</v>
      </c>
      <c r="I156" s="49" t="str">
        <f>IFERROR(__xludf.DUMMYFUNCTION("""COMPUTED_VALUE"""),"Player")</f>
        <v>Player</v>
      </c>
      <c r="J156" s="49" t="b">
        <f>IFERROR(__xludf.DUMMYFUNCTION("""COMPUTED_VALUE"""),FALSE)</f>
        <v>0</v>
      </c>
      <c r="K156" s="49"/>
      <c r="L156" s="49" t="b">
        <f>IFERROR(__xludf.DUMMYFUNCTION("""COMPUTED_VALUE"""),FALSE)</f>
        <v>0</v>
      </c>
      <c r="M156" s="49" t="b">
        <f>IFERROR(__xludf.DUMMYFUNCTION("""COMPUTED_VALUE"""),FALSE)</f>
        <v>0</v>
      </c>
      <c r="N156" s="49"/>
    </row>
    <row r="157">
      <c r="A157" s="49" t="str">
        <f>IFERROR(__xludf.DUMMYFUNCTION("""COMPUTED_VALUE"""),"False Tower")</f>
        <v>False Tower</v>
      </c>
      <c r="B157" s="126">
        <f>IFERROR(__xludf.DUMMYFUNCTION("""COMPUTED_VALUE"""),8.0)</f>
        <v>8</v>
      </c>
      <c r="C157" s="49">
        <f>IFERROR(__xludf.DUMMYFUNCTION("""COMPUTED_VALUE"""),600.0)</f>
        <v>600</v>
      </c>
      <c r="D157" s="49"/>
      <c r="E157" s="49"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49" t="str">
        <f>IFERROR(__xludf.DUMMYFUNCTION("""COMPUTED_VALUE"""),"Fail/Succeed")</f>
        <v>Fail/Succeed</v>
      </c>
      <c r="G157" s="49" t="str">
        <f>IFERROR(__xludf.DUMMYFUNCTION("""COMPUTED_VALUE"""),"All")</f>
        <v>All</v>
      </c>
      <c r="H157" s="49" t="str">
        <f>IFERROR(__xludf.DUMMYFUNCTION("""COMPUTED_VALUE"""),"Delta")</f>
        <v>Delta</v>
      </c>
      <c r="I157" s="49" t="str">
        <f>IFERROR(__xludf.DUMMYFUNCTION("""COMPUTED_VALUE"""),"Player")</f>
        <v>Player</v>
      </c>
      <c r="J157" s="49" t="b">
        <f>IFERROR(__xludf.DUMMYFUNCTION("""COMPUTED_VALUE"""),FALSE)</f>
        <v>0</v>
      </c>
      <c r="K157" s="49"/>
      <c r="L157" s="49" t="b">
        <f>IFERROR(__xludf.DUMMYFUNCTION("""COMPUTED_VALUE"""),FALSE)</f>
        <v>0</v>
      </c>
      <c r="M157" s="49" t="b">
        <f>IFERROR(__xludf.DUMMYFUNCTION("""COMPUTED_VALUE"""),FALSE)</f>
        <v>0</v>
      </c>
      <c r="N157" s="49"/>
    </row>
    <row r="158">
      <c r="A158" s="49" t="str">
        <f>IFERROR(__xludf.DUMMYFUNCTION("""COMPUTED_VALUE"""),"Magic Barrier")</f>
        <v>Magic Barrier</v>
      </c>
      <c r="B158" s="126">
        <f>IFERROR(__xludf.DUMMYFUNCTION("""COMPUTED_VALUE"""),9.0)</f>
        <v>9</v>
      </c>
      <c r="C158" s="125">
        <f>IFERROR(__xludf.DUMMYFUNCTION("""COMPUTED_VALUE"""),10000.0)</f>
        <v>10000</v>
      </c>
      <c r="D158" s="49"/>
      <c r="E158" s="49" t="str">
        <f>IFERROR(__xludf.DUMMYFUNCTION("""COMPUTED_VALUE"""),"All Enemies cannot use magic for the rest of battle")</f>
        <v>All Enemies cannot use magic for the rest of battle</v>
      </c>
      <c r="F158" s="49" t="str">
        <f>IFERROR(__xludf.DUMMYFUNCTION("""COMPUTED_VALUE"""),"Fail/Succeed")</f>
        <v>Fail/Succeed</v>
      </c>
      <c r="G158" s="49" t="str">
        <f>IFERROR(__xludf.DUMMYFUNCTION("""COMPUTED_VALUE"""),"All")</f>
        <v>All</v>
      </c>
      <c r="H158" s="49" t="str">
        <f>IFERROR(__xludf.DUMMYFUNCTION("""COMPUTED_VALUE"""),"Delta")</f>
        <v>Delta</v>
      </c>
      <c r="I158" s="49" t="str">
        <f>IFERROR(__xludf.DUMMYFUNCTION("""COMPUTED_VALUE"""),"Mob")</f>
        <v>Mob</v>
      </c>
      <c r="J158" s="49" t="b">
        <f>IFERROR(__xludf.DUMMYFUNCTION("""COMPUTED_VALUE"""),TRUE)</f>
        <v>1</v>
      </c>
      <c r="K158" s="49"/>
      <c r="L158" s="49" t="b">
        <f>IFERROR(__xludf.DUMMYFUNCTION("""COMPUTED_VALUE"""),FALSE)</f>
        <v>0</v>
      </c>
      <c r="M158" s="49" t="b">
        <f>IFERROR(__xludf.DUMMYFUNCTION("""COMPUTED_VALUE"""),FALSE)</f>
        <v>0</v>
      </c>
      <c r="N158" s="49"/>
    </row>
    <row r="159">
      <c r="A159" s="49" t="str">
        <f>IFERROR(__xludf.DUMMYFUNCTION("""COMPUTED_VALUE"""),"Magic Break")</f>
        <v>Magic Break</v>
      </c>
      <c r="B159" s="126">
        <f>IFERROR(__xludf.DUMMYFUNCTION("""COMPUTED_VALUE"""),2.0)</f>
        <v>2</v>
      </c>
      <c r="C159" s="49">
        <f>IFERROR(__xludf.DUMMYFUNCTION("""COMPUTED_VALUE"""),20.0)</f>
        <v>20</v>
      </c>
      <c r="D159" s="49"/>
      <c r="E159" s="49" t="str">
        <f>IFERROR(__xludf.DUMMYFUNCTION("""COMPUTED_VALUE"""),"2000 Delta damage, 25% chance to cancel an ongoing spell effect the target has casted upon themself.")</f>
        <v>2000 Delta damage, 25% chance to cancel an ongoing spell effect the target has casted upon themself.</v>
      </c>
      <c r="F159" s="49" t="str">
        <f>IFERROR(__xludf.DUMMYFUNCTION("""COMPUTED_VALUE"""),"Hit/Miss")</f>
        <v>Hit/Miss</v>
      </c>
      <c r="G159" s="49">
        <f>IFERROR(__xludf.DUMMYFUNCTION("""COMPUTED_VALUE"""),1.0)</f>
        <v>1</v>
      </c>
      <c r="H159" s="49" t="str">
        <f>IFERROR(__xludf.DUMMYFUNCTION("""COMPUTED_VALUE"""),"Delta")</f>
        <v>Delta</v>
      </c>
      <c r="I159" s="49" t="str">
        <f>IFERROR(__xludf.DUMMYFUNCTION("""COMPUTED_VALUE"""),"Player")</f>
        <v>Player</v>
      </c>
      <c r="J159" s="49" t="b">
        <f>IFERROR(__xludf.DUMMYFUNCTION("""COMPUTED_VALUE"""),FALSE)</f>
        <v>0</v>
      </c>
      <c r="K159" s="49"/>
      <c r="L159" s="49" t="b">
        <f>IFERROR(__xludf.DUMMYFUNCTION("""COMPUTED_VALUE"""),FALSE)</f>
        <v>0</v>
      </c>
      <c r="M159" s="49" t="b">
        <f>IFERROR(__xludf.DUMMYFUNCTION("""COMPUTED_VALUE"""),FALSE)</f>
        <v>0</v>
      </c>
      <c r="N159" s="49"/>
    </row>
    <row r="160">
      <c r="A160" s="49" t="str">
        <f>IFERROR(__xludf.DUMMYFUNCTION("""COMPUTED_VALUE"""),"Mind Blast")</f>
        <v>Mind Blast</v>
      </c>
      <c r="B160" s="126">
        <f>IFERROR(__xludf.DUMMYFUNCTION("""COMPUTED_VALUE"""),1.0)</f>
        <v>1</v>
      </c>
      <c r="C160" s="49">
        <f>IFERROR(__xludf.DUMMYFUNCTION("""COMPUTED_VALUE"""),100.0)</f>
        <v>100</v>
      </c>
      <c r="D160" s="49"/>
      <c r="E160" s="49" t="str">
        <f>IFERROR(__xludf.DUMMYFUNCTION("""COMPUTED_VALUE"""),"Deals 1000 dmg and pacifies an enemy for 3 rounds.")</f>
        <v>Deals 1000 dmg and pacifies an enemy for 3 rounds.</v>
      </c>
      <c r="F160" s="49" t="str">
        <f>IFERROR(__xludf.DUMMYFUNCTION("""COMPUTED_VALUE"""),"Hit/Miss")</f>
        <v>Hit/Miss</v>
      </c>
      <c r="G160" s="49">
        <f>IFERROR(__xludf.DUMMYFUNCTION("""COMPUTED_VALUE"""),1.0)</f>
        <v>1</v>
      </c>
      <c r="H160" s="49" t="str">
        <f>IFERROR(__xludf.DUMMYFUNCTION("""COMPUTED_VALUE"""),"Delta")</f>
        <v>Delta</v>
      </c>
      <c r="I160" s="49" t="str">
        <f>IFERROR(__xludf.DUMMYFUNCTION("""COMPUTED_VALUE"""),"Player")</f>
        <v>Player</v>
      </c>
      <c r="J160" s="49" t="b">
        <f>IFERROR(__xludf.DUMMYFUNCTION("""COMPUTED_VALUE"""),FALSE)</f>
        <v>0</v>
      </c>
      <c r="K160" s="49"/>
      <c r="L160" s="49" t="b">
        <f>IFERROR(__xludf.DUMMYFUNCTION("""COMPUTED_VALUE"""),FALSE)</f>
        <v>0</v>
      </c>
      <c r="M160" s="49" t="b">
        <f>IFERROR(__xludf.DUMMYFUNCTION("""COMPUTED_VALUE"""),FALSE)</f>
        <v>0</v>
      </c>
      <c r="N160" s="49"/>
    </row>
    <row r="161">
      <c r="A161" s="49" t="str">
        <f>IFERROR(__xludf.DUMMYFUNCTION("""COMPUTED_VALUE"""),"Rapid Delta Punch")</f>
        <v>Rapid Delta Punch</v>
      </c>
      <c r="B161" s="126">
        <f>IFERROR(__xludf.DUMMYFUNCTION("""COMPUTED_VALUE"""),9.0)</f>
        <v>9</v>
      </c>
      <c r="C161" s="49" t="str">
        <f>IFERROR(__xludf.DUMMYFUNCTION("""COMPUTED_VALUE"""),"X*420")</f>
        <v>X*420</v>
      </c>
      <c r="D161" s="49"/>
      <c r="E161" s="49" t="str">
        <f>IFERROR(__xludf.DUMMYFUNCTION("""COMPUTED_VALUE"""),"Drain 42,000 sp per Punch, X is equal to the amount of punches. X is equal to your attack roll.")</f>
        <v>Drain 42,000 sp per Punch, X is equal to the amount of punches. X is equal to your attack roll.</v>
      </c>
      <c r="F161" s="49" t="str">
        <f>IFERROR(__xludf.DUMMYFUNCTION("""COMPUTED_VALUE"""),"Hit/Miss")</f>
        <v>Hit/Miss</v>
      </c>
      <c r="G161" s="49">
        <f>IFERROR(__xludf.DUMMYFUNCTION("""COMPUTED_VALUE"""),1.0)</f>
        <v>1</v>
      </c>
      <c r="H161" s="49" t="str">
        <f>IFERROR(__xludf.DUMMYFUNCTION("""COMPUTED_VALUE"""),"Delta")</f>
        <v>Delta</v>
      </c>
      <c r="I161" s="49" t="str">
        <f>IFERROR(__xludf.DUMMYFUNCTION("""COMPUTED_VALUE"""),"Player")</f>
        <v>Player</v>
      </c>
      <c r="J161" s="49" t="b">
        <f>IFERROR(__xludf.DUMMYFUNCTION("""COMPUTED_VALUE"""),FALSE)</f>
        <v>0</v>
      </c>
      <c r="K161" s="49"/>
      <c r="L161" s="49" t="b">
        <f>IFERROR(__xludf.DUMMYFUNCTION("""COMPUTED_VALUE"""),FALSE)</f>
        <v>0</v>
      </c>
      <c r="M161" s="49" t="b">
        <f>IFERROR(__xludf.DUMMYFUNCTION("""COMPUTED_VALUE"""),FALSE)</f>
        <v>0</v>
      </c>
      <c r="N161" s="49"/>
    </row>
    <row r="162">
      <c r="A162" s="49" t="str">
        <f>IFERROR(__xludf.DUMMYFUNCTION("""COMPUTED_VALUE"""),"Beast In Black")</f>
        <v>Beast In Black</v>
      </c>
      <c r="B162" s="126">
        <f>IFERROR(__xludf.DUMMYFUNCTION("""COMPUTED_VALUE"""),9.0)</f>
        <v>9</v>
      </c>
      <c r="C162" s="49">
        <f>IFERROR(__xludf.DUMMYFUNCTION("""COMPUTED_VALUE"""),500.0)</f>
        <v>500</v>
      </c>
      <c r="D162" s="49"/>
      <c r="E162" s="49"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49" t="str">
        <f>IFERROR(__xludf.DUMMYFUNCTION("""COMPUTED_VALUE"""),"Fail/Succeed")</f>
        <v>Fail/Succeed</v>
      </c>
      <c r="G162" s="49" t="str">
        <f>IFERROR(__xludf.DUMMYFUNCTION("""COMPUTED_VALUE"""),"All")</f>
        <v>All</v>
      </c>
      <c r="H162" s="49" t="str">
        <f>IFERROR(__xludf.DUMMYFUNCTION("""COMPUTED_VALUE"""),"Delta")</f>
        <v>Delta</v>
      </c>
      <c r="I162" s="49" t="str">
        <f>IFERROR(__xludf.DUMMYFUNCTION("""COMPUTED_VALUE"""),"Mob")</f>
        <v>Mob</v>
      </c>
      <c r="J162" s="49" t="b">
        <f>IFERROR(__xludf.DUMMYFUNCTION("""COMPUTED_VALUE"""),TRUE)</f>
        <v>1</v>
      </c>
      <c r="K162" s="49" t="str">
        <f>IFERROR(__xludf.DUMMYFUNCTION("""COMPUTED_VALUE"""),"Mob Spell")</f>
        <v>Mob Spell</v>
      </c>
      <c r="L162" s="49" t="b">
        <f>IFERROR(__xludf.DUMMYFUNCTION("""COMPUTED_VALUE"""),FALSE)</f>
        <v>0</v>
      </c>
      <c r="M162" s="49" t="b">
        <f>IFERROR(__xludf.DUMMYFUNCTION("""COMPUTED_VALUE"""),FALSE)</f>
        <v>0</v>
      </c>
      <c r="N162" s="49"/>
    </row>
    <row r="163">
      <c r="A163" s="49" t="str">
        <f>IFERROR(__xludf.DUMMYFUNCTION("""COMPUTED_VALUE"""),"Domain Expansion")</f>
        <v>Domain Expansion</v>
      </c>
      <c r="B163" s="126">
        <f>IFERROR(__xludf.DUMMYFUNCTION("""COMPUTED_VALUE"""),9.0)</f>
        <v>9</v>
      </c>
      <c r="C163" s="49">
        <f>IFERROR(__xludf.DUMMYFUNCTION("""COMPUTED_VALUE"""),1000.0)</f>
        <v>1000</v>
      </c>
      <c r="D163" s="49"/>
      <c r="E163" s="49"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49" t="str">
        <f>IFERROR(__xludf.DUMMYFUNCTION("""COMPUTED_VALUE"""),"Will Succeed")</f>
        <v>Will Succeed</v>
      </c>
      <c r="G163" s="49" t="str">
        <f>IFERROR(__xludf.DUMMYFUNCTION("""COMPUTED_VALUE"""),"All")</f>
        <v>All</v>
      </c>
      <c r="H163" s="49" t="str">
        <f>IFERROR(__xludf.DUMMYFUNCTION("""COMPUTED_VALUE"""),"Delta")</f>
        <v>Delta</v>
      </c>
      <c r="I163" s="49" t="str">
        <f>IFERROR(__xludf.DUMMYFUNCTION("""COMPUTED_VALUE"""),"Mob")</f>
        <v>Mob</v>
      </c>
      <c r="J163" s="49" t="b">
        <f>IFERROR(__xludf.DUMMYFUNCTION("""COMPUTED_VALUE"""),TRUE)</f>
        <v>1</v>
      </c>
      <c r="K163" s="49" t="str">
        <f>IFERROR(__xludf.DUMMYFUNCTION("""COMPUTED_VALUE"""),"Mob Spell")</f>
        <v>Mob Spell</v>
      </c>
      <c r="L163" s="49" t="b">
        <f>IFERROR(__xludf.DUMMYFUNCTION("""COMPUTED_VALUE"""),FALSE)</f>
        <v>0</v>
      </c>
      <c r="M163" s="49" t="b">
        <f>IFERROR(__xludf.DUMMYFUNCTION("""COMPUTED_VALUE"""),FALSE)</f>
        <v>0</v>
      </c>
      <c r="N163" s="49"/>
    </row>
    <row r="164">
      <c r="A164" s="49" t="str">
        <f>IFERROR(__xludf.DUMMYFUNCTION("""COMPUTED_VALUE"""),"Delta Strike")</f>
        <v>Delta Strike</v>
      </c>
      <c r="B164" s="126">
        <f>IFERROR(__xludf.DUMMYFUNCTION("""COMPUTED_VALUE"""),1.0)</f>
        <v>1</v>
      </c>
      <c r="C164" s="49" t="str">
        <f>IFERROR(__xludf.DUMMYFUNCTION("""COMPUTED_VALUE"""),"X")</f>
        <v>X</v>
      </c>
      <c r="D164" s="49"/>
      <c r="E164" s="49" t="str">
        <f>IFERROR(__xludf.DUMMYFUNCTION("""COMPUTED_VALUE"""),"Deals X*100 Delta damage to a single enemy where X is equal to SP spent.")</f>
        <v>Deals X*100 Delta damage to a single enemy where X is equal to SP spent.</v>
      </c>
      <c r="F164" s="49" t="str">
        <f>IFERROR(__xludf.DUMMYFUNCTION("""COMPUTED_VALUE"""),"Hit/Miss")</f>
        <v>Hit/Miss</v>
      </c>
      <c r="G164" s="49">
        <f>IFERROR(__xludf.DUMMYFUNCTION("""COMPUTED_VALUE"""),1.0)</f>
        <v>1</v>
      </c>
      <c r="H164" s="49" t="str">
        <f>IFERROR(__xludf.DUMMYFUNCTION("""COMPUTED_VALUE"""),"Delta")</f>
        <v>Delta</v>
      </c>
      <c r="I164" s="49" t="str">
        <f>IFERROR(__xludf.DUMMYFUNCTION("""COMPUTED_VALUE"""),"Player")</f>
        <v>Player</v>
      </c>
      <c r="J164" s="49" t="b">
        <f>IFERROR(__xludf.DUMMYFUNCTION("""COMPUTED_VALUE"""),FALSE)</f>
        <v>0</v>
      </c>
      <c r="K164" s="49"/>
      <c r="L164" s="49" t="b">
        <f>IFERROR(__xludf.DUMMYFUNCTION("""COMPUTED_VALUE"""),FALSE)</f>
        <v>0</v>
      </c>
      <c r="M164" s="49" t="b">
        <f>IFERROR(__xludf.DUMMYFUNCTION("""COMPUTED_VALUE"""),FALSE)</f>
        <v>0</v>
      </c>
      <c r="N164" s="49"/>
    </row>
    <row r="165">
      <c r="A165" s="49" t="str">
        <f>IFERROR(__xludf.DUMMYFUNCTION("""COMPUTED_VALUE"""),"Magic Surge")</f>
        <v>Magic Surge</v>
      </c>
      <c r="B165" s="126">
        <f>IFERROR(__xludf.DUMMYFUNCTION("""COMPUTED_VALUE"""),5.0)</f>
        <v>5</v>
      </c>
      <c r="C165" s="49" t="str">
        <f>IFERROR(__xludf.DUMMYFUNCTION("""COMPUTED_VALUE"""),"X")</f>
        <v>X</v>
      </c>
      <c r="D165" s="49"/>
      <c r="E165" s="49" t="str">
        <f>IFERROR(__xludf.DUMMYFUNCTION("""COMPUTED_VALUE"""),"Deals X*50 Delta damage per round for 3 rounds to a single target where X is equal to SP spent.")</f>
        <v>Deals X*50 Delta damage per round for 3 rounds to a single target where X is equal to SP spent.</v>
      </c>
      <c r="F165" s="49" t="str">
        <f>IFERROR(__xludf.DUMMYFUNCTION("""COMPUTED_VALUE"""),"Hit/Miss")</f>
        <v>Hit/Miss</v>
      </c>
      <c r="G165" s="49">
        <f>IFERROR(__xludf.DUMMYFUNCTION("""COMPUTED_VALUE"""),1.0)</f>
        <v>1</v>
      </c>
      <c r="H165" s="49" t="str">
        <f>IFERROR(__xludf.DUMMYFUNCTION("""COMPUTED_VALUE"""),"Delta")</f>
        <v>Delta</v>
      </c>
      <c r="I165" s="49" t="str">
        <f>IFERROR(__xludf.DUMMYFUNCTION("""COMPUTED_VALUE"""),"Player")</f>
        <v>Player</v>
      </c>
      <c r="J165" s="49" t="b">
        <f>IFERROR(__xludf.DUMMYFUNCTION("""COMPUTED_VALUE"""),FALSE)</f>
        <v>0</v>
      </c>
      <c r="K165" s="49"/>
      <c r="L165" s="49" t="b">
        <f>IFERROR(__xludf.DUMMYFUNCTION("""COMPUTED_VALUE"""),FALSE)</f>
        <v>0</v>
      </c>
      <c r="M165" s="49" t="b">
        <f>IFERROR(__xludf.DUMMYFUNCTION("""COMPUTED_VALUE"""),FALSE)</f>
        <v>0</v>
      </c>
      <c r="N165" s="49"/>
    </row>
    <row r="166">
      <c r="A166" s="49" t="str">
        <f>IFERROR(__xludf.DUMMYFUNCTION("""COMPUTED_VALUE"""),"Delta Pulse")</f>
        <v>Delta Pulse</v>
      </c>
      <c r="B166" s="126">
        <f>IFERROR(__xludf.DUMMYFUNCTION("""COMPUTED_VALUE"""),5.0)</f>
        <v>5</v>
      </c>
      <c r="C166" s="49" t="str">
        <f>IFERROR(__xludf.DUMMYFUNCTION("""COMPUTED_VALUE"""),"X")</f>
        <v>X</v>
      </c>
      <c r="D166" s="49"/>
      <c r="E166" s="49" t="str">
        <f>IFERROR(__xludf.DUMMYFUNCTION("""COMPUTED_VALUE"""),"Deals X*25 Delta damage to all enemies where X is equal to SP spent.")</f>
        <v>Deals X*25 Delta damage to all enemies where X is equal to SP spent.</v>
      </c>
      <c r="F166" s="49" t="str">
        <f>IFERROR(__xludf.DUMMYFUNCTION("""COMPUTED_VALUE"""),"Cannot Avoid")</f>
        <v>Cannot Avoid</v>
      </c>
      <c r="G166" s="49" t="str">
        <f>IFERROR(__xludf.DUMMYFUNCTION("""COMPUTED_VALUE"""),"All")</f>
        <v>All</v>
      </c>
      <c r="H166" s="49" t="str">
        <f>IFERROR(__xludf.DUMMYFUNCTION("""COMPUTED_VALUE"""),"Delta")</f>
        <v>Delta</v>
      </c>
      <c r="I166" s="49" t="str">
        <f>IFERROR(__xludf.DUMMYFUNCTION("""COMPUTED_VALUE"""),"Player")</f>
        <v>Player</v>
      </c>
      <c r="J166" s="49" t="b">
        <f>IFERROR(__xludf.DUMMYFUNCTION("""COMPUTED_VALUE"""),FALSE)</f>
        <v>0</v>
      </c>
      <c r="K166" s="49"/>
      <c r="L166" s="49" t="b">
        <f>IFERROR(__xludf.DUMMYFUNCTION("""COMPUTED_VALUE"""),FALSE)</f>
        <v>0</v>
      </c>
      <c r="M166" s="49" t="b">
        <f>IFERROR(__xludf.DUMMYFUNCTION("""COMPUTED_VALUE"""),FALSE)</f>
        <v>0</v>
      </c>
      <c r="N166" s="49"/>
    </row>
    <row r="167">
      <c r="A167" s="49" t="str">
        <f>IFERROR(__xludf.DUMMYFUNCTION("""COMPUTED_VALUE"""),"Mass Magic Surge")</f>
        <v>Mass Magic Surge</v>
      </c>
      <c r="B167" s="126">
        <f>IFERROR(__xludf.DUMMYFUNCTION("""COMPUTED_VALUE"""),6.0)</f>
        <v>6</v>
      </c>
      <c r="C167" s="49" t="str">
        <f>IFERROR(__xludf.DUMMYFUNCTION("""COMPUTED_VALUE"""),"X")</f>
        <v>X</v>
      </c>
      <c r="D167" s="49"/>
      <c r="E167" s="49" t="str">
        <f>IFERROR(__xludf.DUMMYFUNCTION("""COMPUTED_VALUE"""),"Deals X*10 Delta damage per round to all enemies for 3 rounds where X is equal to SP spent.")</f>
        <v>Deals X*10 Delta damage per round to all enemies for 3 rounds where X is equal to SP spent.</v>
      </c>
      <c r="F167" s="49" t="str">
        <f>IFERROR(__xludf.DUMMYFUNCTION("""COMPUTED_VALUE"""),"Cannot Avoid")</f>
        <v>Cannot Avoid</v>
      </c>
      <c r="G167" s="49" t="str">
        <f>IFERROR(__xludf.DUMMYFUNCTION("""COMPUTED_VALUE"""),"All")</f>
        <v>All</v>
      </c>
      <c r="H167" s="49" t="str">
        <f>IFERROR(__xludf.DUMMYFUNCTION("""COMPUTED_VALUE"""),"Delta")</f>
        <v>Delta</v>
      </c>
      <c r="I167" s="49" t="str">
        <f>IFERROR(__xludf.DUMMYFUNCTION("""COMPUTED_VALUE"""),"Player")</f>
        <v>Player</v>
      </c>
      <c r="J167" s="49" t="b">
        <f>IFERROR(__xludf.DUMMYFUNCTION("""COMPUTED_VALUE"""),FALSE)</f>
        <v>0</v>
      </c>
      <c r="K167" s="49"/>
      <c r="L167" s="49" t="b">
        <f>IFERROR(__xludf.DUMMYFUNCTION("""COMPUTED_VALUE"""),FALSE)</f>
        <v>0</v>
      </c>
      <c r="M167" s="49" t="b">
        <f>IFERROR(__xludf.DUMMYFUNCTION("""COMPUTED_VALUE"""),FALSE)</f>
        <v>0</v>
      </c>
      <c r="N167" s="49"/>
    </row>
    <row r="168">
      <c r="A168" s="49" t="str">
        <f>IFERROR(__xludf.DUMMYFUNCTION("""COMPUTED_VALUE"""),"Ancient Monolith Of Earth")</f>
        <v>Ancient Monolith Of Earth</v>
      </c>
      <c r="B168" s="126">
        <f>IFERROR(__xludf.DUMMYFUNCTION("""COMPUTED_VALUE"""),9.0)</f>
        <v>9</v>
      </c>
      <c r="C168" s="49">
        <f>IFERROR(__xludf.DUMMYFUNCTION("""COMPUTED_VALUE"""),300.0)</f>
        <v>300</v>
      </c>
      <c r="D168" s="49"/>
      <c r="E168" s="49" t="str">
        <f>IFERROR(__xludf.DUMMYFUNCTION("""COMPUTED_VALUE"""),"X4 additional earth damage for caster and allies. Fire Immunity for caster only.")</f>
        <v>X4 additional earth damage for caster and allies. Fire Immunity for caster only.</v>
      </c>
      <c r="F168" s="49" t="str">
        <f>IFERROR(__xludf.DUMMYFUNCTION("""COMPUTED_VALUE"""),"Fail/Succeed")</f>
        <v>Fail/Succeed</v>
      </c>
      <c r="G168" s="49"/>
      <c r="H168" s="49" t="str">
        <f>IFERROR(__xludf.DUMMYFUNCTION("""COMPUTED_VALUE"""),"Earth")</f>
        <v>Earth</v>
      </c>
      <c r="I168" s="49" t="str">
        <f>IFERROR(__xludf.DUMMYFUNCTION("""COMPUTED_VALUE"""),"Player")</f>
        <v>Player</v>
      </c>
      <c r="J168" s="49" t="b">
        <f>IFERROR(__xludf.DUMMYFUNCTION("""COMPUTED_VALUE"""),FALSE)</f>
        <v>0</v>
      </c>
      <c r="K168" s="49"/>
      <c r="L168" s="49" t="b">
        <f>IFERROR(__xludf.DUMMYFUNCTION("""COMPUTED_VALUE"""),FALSE)</f>
        <v>0</v>
      </c>
      <c r="M168" s="49" t="b">
        <f>IFERROR(__xludf.DUMMYFUNCTION("""COMPUTED_VALUE"""),FALSE)</f>
        <v>0</v>
      </c>
      <c r="N168" s="49"/>
    </row>
    <row r="169">
      <c r="A169" s="49" t="str">
        <f>IFERROR(__xludf.DUMMYFUNCTION("""COMPUTED_VALUE"""),"Boulder Toss")</f>
        <v>Boulder Toss</v>
      </c>
      <c r="B169" s="126">
        <f>IFERROR(__xludf.DUMMYFUNCTION("""COMPUTED_VALUE"""),2.0)</f>
        <v>2</v>
      </c>
      <c r="C169" s="49">
        <f>IFERROR(__xludf.DUMMYFUNCTION("""COMPUTED_VALUE"""),20.0)</f>
        <v>20</v>
      </c>
      <c r="D169" s="49"/>
      <c r="E169" s="49" t="str">
        <f>IFERROR(__xludf.DUMMYFUNCTION("""COMPUTED_VALUE"""),"X Earth damage where X is equal to the users accuracy, and -2000 defense for the rest of battle.")</f>
        <v>X Earth damage where X is equal to the users accuracy, and -2000 defense for the rest of battle.</v>
      </c>
      <c r="F169" s="49" t="str">
        <f>IFERROR(__xludf.DUMMYFUNCTION("""COMPUTED_VALUE"""),"Hit/Miss")</f>
        <v>Hit/Miss</v>
      </c>
      <c r="G169" s="49">
        <f>IFERROR(__xludf.DUMMYFUNCTION("""COMPUTED_VALUE"""),1.0)</f>
        <v>1</v>
      </c>
      <c r="H169" s="49" t="str">
        <f>IFERROR(__xludf.DUMMYFUNCTION("""COMPUTED_VALUE"""),"Earth")</f>
        <v>Earth</v>
      </c>
      <c r="I169" s="49" t="str">
        <f>IFERROR(__xludf.DUMMYFUNCTION("""COMPUTED_VALUE"""),"Player")</f>
        <v>Player</v>
      </c>
      <c r="J169" s="49" t="b">
        <f>IFERROR(__xludf.DUMMYFUNCTION("""COMPUTED_VALUE"""),FALSE)</f>
        <v>0</v>
      </c>
      <c r="K169" s="49"/>
      <c r="L169" s="49" t="b">
        <f>IFERROR(__xludf.DUMMYFUNCTION("""COMPUTED_VALUE"""),FALSE)</f>
        <v>0</v>
      </c>
      <c r="M169" s="49" t="b">
        <f>IFERROR(__xludf.DUMMYFUNCTION("""COMPUTED_VALUE"""),FALSE)</f>
        <v>0</v>
      </c>
      <c r="N169" s="49"/>
    </row>
    <row r="170">
      <c r="A170" s="49" t="str">
        <f>IFERROR(__xludf.DUMMYFUNCTION("""COMPUTED_VALUE"""),"Calcife")</f>
        <v>Calcife</v>
      </c>
      <c r="B170" s="126">
        <f>IFERROR(__xludf.DUMMYFUNCTION("""COMPUTED_VALUE"""),4.0)</f>
        <v>4</v>
      </c>
      <c r="C170" s="49" t="str">
        <f>IFERROR(__xludf.DUMMYFUNCTION("""COMPUTED_VALUE"""),"X")</f>
        <v>X</v>
      </c>
      <c r="D170" s="49"/>
      <c r="E170" s="49" t="str">
        <f>IFERROR(__xludf.DUMMYFUNCTION("""COMPUTED_VALUE"""),"Target gains X*100 Earth damage and X*100 Earth resistance, can’t be used on self")</f>
        <v>Target gains X*100 Earth damage and X*100 Earth resistance, can’t be used on self</v>
      </c>
      <c r="F170" s="49" t="str">
        <f>IFERROR(__xludf.DUMMYFUNCTION("""COMPUTED_VALUE"""),"Fail/Succeed")</f>
        <v>Fail/Succeed</v>
      </c>
      <c r="G170" s="49"/>
      <c r="H170" s="49" t="str">
        <f>IFERROR(__xludf.DUMMYFUNCTION("""COMPUTED_VALUE"""),"Earth")</f>
        <v>Earth</v>
      </c>
      <c r="I170" s="49" t="str">
        <f>IFERROR(__xludf.DUMMYFUNCTION("""COMPUTED_VALUE"""),"Player")</f>
        <v>Player</v>
      </c>
      <c r="J170" s="49" t="b">
        <f>IFERROR(__xludf.DUMMYFUNCTION("""COMPUTED_VALUE"""),FALSE)</f>
        <v>0</v>
      </c>
      <c r="K170" s="49"/>
      <c r="L170" s="49" t="b">
        <f>IFERROR(__xludf.DUMMYFUNCTION("""COMPUTED_VALUE"""),FALSE)</f>
        <v>0</v>
      </c>
      <c r="M170" s="49" t="b">
        <f>IFERROR(__xludf.DUMMYFUNCTION("""COMPUTED_VALUE"""),FALSE)</f>
        <v>0</v>
      </c>
      <c r="N170" s="49"/>
    </row>
    <row r="171">
      <c r="A171" s="49" t="str">
        <f>IFERROR(__xludf.DUMMYFUNCTION("""COMPUTED_VALUE"""),"Calm Earth")</f>
        <v>Calm Earth</v>
      </c>
      <c r="B171" s="126">
        <f>IFERROR(__xludf.DUMMYFUNCTION("""COMPUTED_VALUE"""),7.0)</f>
        <v>7</v>
      </c>
      <c r="C171" s="49" t="str">
        <f>IFERROR(__xludf.DUMMYFUNCTION("""COMPUTED_VALUE"""),"X")</f>
        <v>X</v>
      </c>
      <c r="D171" s="49"/>
      <c r="E171" s="49"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49" t="str">
        <f>IFERROR(__xludf.DUMMYFUNCTION("""COMPUTED_VALUE"""),"Fail/Succeed")</f>
        <v>Fail/Succeed</v>
      </c>
      <c r="G171" s="49"/>
      <c r="H171" s="49" t="str">
        <f>IFERROR(__xludf.DUMMYFUNCTION("""COMPUTED_VALUE"""),"Earth")</f>
        <v>Earth</v>
      </c>
      <c r="I171" s="49" t="str">
        <f>IFERROR(__xludf.DUMMYFUNCTION("""COMPUTED_VALUE"""),"Player")</f>
        <v>Player</v>
      </c>
      <c r="J171" s="49" t="b">
        <f>IFERROR(__xludf.DUMMYFUNCTION("""COMPUTED_VALUE"""),FALSE)</f>
        <v>0</v>
      </c>
      <c r="K171" s="49"/>
      <c r="L171" s="49" t="b">
        <f>IFERROR(__xludf.DUMMYFUNCTION("""COMPUTED_VALUE"""),FALSE)</f>
        <v>0</v>
      </c>
      <c r="M171" s="49" t="b">
        <f>IFERROR(__xludf.DUMMYFUNCTION("""COMPUTED_VALUE"""),FALSE)</f>
        <v>0</v>
      </c>
      <c r="N171" s="49"/>
    </row>
    <row r="172">
      <c r="A172" s="49" t="str">
        <f>IFERROR(__xludf.DUMMYFUNCTION("""COMPUTED_VALUE"""),"Dawn of Diamonds")</f>
        <v>Dawn of Diamonds</v>
      </c>
      <c r="B172" s="126">
        <f>IFERROR(__xludf.DUMMYFUNCTION("""COMPUTED_VALUE"""),1.0)</f>
        <v>1</v>
      </c>
      <c r="C172" s="49">
        <f>IFERROR(__xludf.DUMMYFUNCTION("""COMPUTED_VALUE"""),0.0)</f>
        <v>0</v>
      </c>
      <c r="D172" s="49"/>
      <c r="E172" s="49"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49" t="str">
        <f>IFERROR(__xludf.DUMMYFUNCTION("""COMPUTED_VALUE"""),"Natural/Cannot Avoid")</f>
        <v>Natural/Cannot Avoid</v>
      </c>
      <c r="G172" s="49" t="str">
        <f>IFERROR(__xludf.DUMMYFUNCTION("""COMPUTED_VALUE"""),"All")</f>
        <v>All</v>
      </c>
      <c r="H172" s="49" t="str">
        <f>IFERROR(__xludf.DUMMYFUNCTION("""COMPUTED_VALUE"""),"Earth")</f>
        <v>Earth</v>
      </c>
      <c r="I172" s="49" t="str">
        <f>IFERROR(__xludf.DUMMYFUNCTION("""COMPUTED_VALUE"""),"Mob")</f>
        <v>Mob</v>
      </c>
      <c r="J172" s="49" t="b">
        <f>IFERROR(__xludf.DUMMYFUNCTION("""COMPUTED_VALUE"""),TRUE)</f>
        <v>1</v>
      </c>
      <c r="K172" s="49"/>
      <c r="L172" s="49" t="b">
        <f>IFERROR(__xludf.DUMMYFUNCTION("""COMPUTED_VALUE"""),FALSE)</f>
        <v>0</v>
      </c>
      <c r="M172" s="49" t="b">
        <f>IFERROR(__xludf.DUMMYFUNCTION("""COMPUTED_VALUE"""),FALSE)</f>
        <v>0</v>
      </c>
      <c r="N172" s="49"/>
    </row>
    <row r="173">
      <c r="A173" s="49" t="str">
        <f>IFERROR(__xludf.DUMMYFUNCTION("""COMPUTED_VALUE"""),"Dusk of Diamonds")</f>
        <v>Dusk of Diamonds</v>
      </c>
      <c r="B173" s="126">
        <f>IFERROR(__xludf.DUMMYFUNCTION("""COMPUTED_VALUE"""),1.0)</f>
        <v>1</v>
      </c>
      <c r="C173" s="49">
        <f>IFERROR(__xludf.DUMMYFUNCTION("""COMPUTED_VALUE"""),0.0)</f>
        <v>0</v>
      </c>
      <c r="D173" s="49"/>
      <c r="E173" s="49" t="str">
        <f>IFERROR(__xludf.DUMMYFUNCTION("""COMPUTED_VALUE"""),"10,000 Earth and 10,000 Dark damage to all enemies. 50% chance of Blidness 3, 50% Slowness 3")</f>
        <v>10,000 Earth and 10,000 Dark damage to all enemies. 50% chance of Blidness 3, 50% Slowness 3</v>
      </c>
      <c r="F173" s="49" t="str">
        <f>IFERROR(__xludf.DUMMYFUNCTION("""COMPUTED_VALUE"""),"Natural/Cannot Avoid")</f>
        <v>Natural/Cannot Avoid</v>
      </c>
      <c r="G173" s="49" t="str">
        <f>IFERROR(__xludf.DUMMYFUNCTION("""COMPUTED_VALUE"""),"All")</f>
        <v>All</v>
      </c>
      <c r="H173" s="49" t="str">
        <f>IFERROR(__xludf.DUMMYFUNCTION("""COMPUTED_VALUE"""),"Earth")</f>
        <v>Earth</v>
      </c>
      <c r="I173" s="49" t="str">
        <f>IFERROR(__xludf.DUMMYFUNCTION("""COMPUTED_VALUE"""),"Mob")</f>
        <v>Mob</v>
      </c>
      <c r="J173" s="49" t="b">
        <f>IFERROR(__xludf.DUMMYFUNCTION("""COMPUTED_VALUE"""),TRUE)</f>
        <v>1</v>
      </c>
      <c r="K173" s="49"/>
      <c r="L173" s="49" t="b">
        <f>IFERROR(__xludf.DUMMYFUNCTION("""COMPUTED_VALUE"""),FALSE)</f>
        <v>0</v>
      </c>
      <c r="M173" s="49" t="b">
        <f>IFERROR(__xludf.DUMMYFUNCTION("""COMPUTED_VALUE"""),FALSE)</f>
        <v>0</v>
      </c>
      <c r="N173" s="49"/>
    </row>
    <row r="174">
      <c r="A174" s="49" t="str">
        <f>IFERROR(__xludf.DUMMYFUNCTION("""COMPUTED_VALUE"""),"Earth Punch")</f>
        <v>Earth Punch</v>
      </c>
      <c r="B174" s="126">
        <f>IFERROR(__xludf.DUMMYFUNCTION("""COMPUTED_VALUE"""),1.0)</f>
        <v>1</v>
      </c>
      <c r="C174" s="49">
        <f>IFERROR(__xludf.DUMMYFUNCTION("""COMPUTED_VALUE"""),0.0)</f>
        <v>0</v>
      </c>
      <c r="D174" s="49"/>
      <c r="E174" s="49" t="str">
        <f>IFERROR(__xludf.DUMMYFUNCTION("""COMPUTED_VALUE"""),"X*4 Earth damage where X is equal to the users attack, 25% chance this attack hits again.")</f>
        <v>X*4 Earth damage where X is equal to the users attack, 25% chance this attack hits again.</v>
      </c>
      <c r="F174" s="49" t="str">
        <f>IFERROR(__xludf.DUMMYFUNCTION("""COMPUTED_VALUE"""),"Natural/Hit or Miss")</f>
        <v>Natural/Hit or Miss</v>
      </c>
      <c r="G174" s="49">
        <f>IFERROR(__xludf.DUMMYFUNCTION("""COMPUTED_VALUE"""),1.0)</f>
        <v>1</v>
      </c>
      <c r="H174" s="49" t="str">
        <f>IFERROR(__xludf.DUMMYFUNCTION("""COMPUTED_VALUE"""),"Earth")</f>
        <v>Earth</v>
      </c>
      <c r="I174" s="49" t="str">
        <f>IFERROR(__xludf.DUMMYFUNCTION("""COMPUTED_VALUE"""),"Mob")</f>
        <v>Mob</v>
      </c>
      <c r="J174" s="49" t="b">
        <f>IFERROR(__xludf.DUMMYFUNCTION("""COMPUTED_VALUE"""),TRUE)</f>
        <v>1</v>
      </c>
      <c r="K174" s="49"/>
      <c r="L174" s="49" t="b">
        <f>IFERROR(__xludf.DUMMYFUNCTION("""COMPUTED_VALUE"""),FALSE)</f>
        <v>0</v>
      </c>
      <c r="M174" s="49" t="b">
        <f>IFERROR(__xludf.DUMMYFUNCTION("""COMPUTED_VALUE"""),FALSE)</f>
        <v>0</v>
      </c>
      <c r="N174" s="49"/>
    </row>
    <row r="175">
      <c r="A175" s="49" t="str">
        <f>IFERROR(__xludf.DUMMYFUNCTION("""COMPUTED_VALUE"""),"Energizing Emerald Pulse")</f>
        <v>Energizing Emerald Pulse</v>
      </c>
      <c r="B175" s="126">
        <f>IFERROR(__xludf.DUMMYFUNCTION("""COMPUTED_VALUE"""),1.0)</f>
        <v>1</v>
      </c>
      <c r="C175" s="49">
        <f>IFERROR(__xludf.DUMMYFUNCTION("""COMPUTED_VALUE"""),0.0)</f>
        <v>0</v>
      </c>
      <c r="D175" s="49"/>
      <c r="E175" s="49"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49" t="str">
        <f>IFERROR(__xludf.DUMMYFUNCTION("""COMPUTED_VALUE"""),"Natural/Cannot Avoid")</f>
        <v>Natural/Cannot Avoid</v>
      </c>
      <c r="G175" s="49" t="str">
        <f>IFERROR(__xludf.DUMMYFUNCTION("""COMPUTED_VALUE"""),"All")</f>
        <v>All</v>
      </c>
      <c r="H175" s="49" t="str">
        <f>IFERROR(__xludf.DUMMYFUNCTION("""COMPUTED_VALUE"""),"Earth")</f>
        <v>Earth</v>
      </c>
      <c r="I175" s="49" t="str">
        <f>IFERROR(__xludf.DUMMYFUNCTION("""COMPUTED_VALUE"""),"Mob")</f>
        <v>Mob</v>
      </c>
      <c r="J175" s="49" t="b">
        <f>IFERROR(__xludf.DUMMYFUNCTION("""COMPUTED_VALUE"""),TRUE)</f>
        <v>1</v>
      </c>
      <c r="K175" s="49"/>
      <c r="L175" s="49" t="b">
        <f>IFERROR(__xludf.DUMMYFUNCTION("""COMPUTED_VALUE"""),FALSE)</f>
        <v>0</v>
      </c>
      <c r="M175" s="49" t="b">
        <f>IFERROR(__xludf.DUMMYFUNCTION("""COMPUTED_VALUE"""),FALSE)</f>
        <v>0</v>
      </c>
      <c r="N175" s="49"/>
    </row>
    <row r="176">
      <c r="A176" s="49" t="str">
        <f>IFERROR(__xludf.DUMMYFUNCTION("""COMPUTED_VALUE"""),"Landslide")</f>
        <v>Landslide</v>
      </c>
      <c r="B176" s="126">
        <f>IFERROR(__xludf.DUMMYFUNCTION("""COMPUTED_VALUE"""),9.0)</f>
        <v>9</v>
      </c>
      <c r="C176" s="49">
        <f>IFERROR(__xludf.DUMMYFUNCTION("""COMPUTED_VALUE"""),1500.0)</f>
        <v>1500</v>
      </c>
      <c r="D176" s="49"/>
      <c r="E176" s="49" t="str">
        <f>IFERROR(__xludf.DUMMYFUNCTION("""COMPUTED_VALUE"""),"20,000 Undefendable Earth damage. 50% chance of instant death.")</f>
        <v>20,000 Undefendable Earth damage. 50% chance of instant death.</v>
      </c>
      <c r="F176" s="49" t="str">
        <f>IFERROR(__xludf.DUMMYFUNCTION("""COMPUTED_VALUE"""),"Cannot Avoid")</f>
        <v>Cannot Avoid</v>
      </c>
      <c r="G176" s="49">
        <f>IFERROR(__xludf.DUMMYFUNCTION("""COMPUTED_VALUE"""),1.0)</f>
        <v>1</v>
      </c>
      <c r="H176" s="49" t="str">
        <f>IFERROR(__xludf.DUMMYFUNCTION("""COMPUTED_VALUE"""),"Earth")</f>
        <v>Earth</v>
      </c>
      <c r="I176" s="49" t="str">
        <f>IFERROR(__xludf.DUMMYFUNCTION("""COMPUTED_VALUE"""),"Player")</f>
        <v>Player</v>
      </c>
      <c r="J176" s="49" t="b">
        <f>IFERROR(__xludf.DUMMYFUNCTION("""COMPUTED_VALUE"""),FALSE)</f>
        <v>0</v>
      </c>
      <c r="K176" s="49"/>
      <c r="L176" s="49" t="b">
        <f>IFERROR(__xludf.DUMMYFUNCTION("""COMPUTED_VALUE"""),FALSE)</f>
        <v>0</v>
      </c>
      <c r="M176" s="49" t="b">
        <f>IFERROR(__xludf.DUMMYFUNCTION("""COMPUTED_VALUE"""),FALSE)</f>
        <v>0</v>
      </c>
      <c r="N176" s="49"/>
    </row>
    <row r="177">
      <c r="A177" s="49" t="str">
        <f>IFERROR(__xludf.DUMMYFUNCTION("""COMPUTED_VALUE"""),"Molten Bolder Toss")</f>
        <v>Molten Bolder Toss</v>
      </c>
      <c r="B177" s="126">
        <f>IFERROR(__xludf.DUMMYFUNCTION("""COMPUTED_VALUE"""),1.0)</f>
        <v>1</v>
      </c>
      <c r="C177" s="49">
        <f>IFERROR(__xludf.DUMMYFUNCTION("""COMPUTED_VALUE"""),0.0)</f>
        <v>0</v>
      </c>
      <c r="D177" s="49"/>
      <c r="E177" s="49" t="str">
        <f>IFERROR(__xludf.DUMMYFUNCTION("""COMPUTED_VALUE"""),"20,000 Earth and 20,000 Fire damage. Ignores Defense. Lowers an enemy's defense by half.")</f>
        <v>20,000 Earth and 20,000 Fire damage. Ignores Defense. Lowers an enemy's defense by half.</v>
      </c>
      <c r="F177" s="49" t="str">
        <f>IFERROR(__xludf.DUMMYFUNCTION("""COMPUTED_VALUE"""),"Natural/Hit or Miss")</f>
        <v>Natural/Hit or Miss</v>
      </c>
      <c r="G177" s="49">
        <f>IFERROR(__xludf.DUMMYFUNCTION("""COMPUTED_VALUE"""),1.0)</f>
        <v>1</v>
      </c>
      <c r="H177" s="49" t="str">
        <f>IFERROR(__xludf.DUMMYFUNCTION("""COMPUTED_VALUE"""),"Earth")</f>
        <v>Earth</v>
      </c>
      <c r="I177" s="49" t="str">
        <f>IFERROR(__xludf.DUMMYFUNCTION("""COMPUTED_VALUE"""),"Mob")</f>
        <v>Mob</v>
      </c>
      <c r="J177" s="49" t="b">
        <f>IFERROR(__xludf.DUMMYFUNCTION("""COMPUTED_VALUE"""),TRUE)</f>
        <v>1</v>
      </c>
      <c r="K177" s="49"/>
      <c r="L177" s="49" t="b">
        <f>IFERROR(__xludf.DUMMYFUNCTION("""COMPUTED_VALUE"""),FALSE)</f>
        <v>0</v>
      </c>
      <c r="M177" s="49" t="b">
        <f>IFERROR(__xludf.DUMMYFUNCTION("""COMPUTED_VALUE"""),FALSE)</f>
        <v>0</v>
      </c>
      <c r="N177" s="49"/>
    </row>
    <row r="178">
      <c r="A178" s="49" t="str">
        <f>IFERROR(__xludf.DUMMYFUNCTION("""COMPUTED_VALUE"""),"Molten Ruby Spikes")</f>
        <v>Molten Ruby Spikes</v>
      </c>
      <c r="B178" s="126">
        <f>IFERROR(__xludf.DUMMYFUNCTION("""COMPUTED_VALUE"""),1.0)</f>
        <v>1</v>
      </c>
      <c r="C178" s="49">
        <f>IFERROR(__xludf.DUMMYFUNCTION("""COMPUTED_VALUE"""),0.0)</f>
        <v>0</v>
      </c>
      <c r="D178" s="49"/>
      <c r="E178" s="49" t="str">
        <f>IFERROR(__xludf.DUMMYFUNCTION("""COMPUTED_VALUE"""),"10,000 Earth and 10,000 Fire damage to all enemies. 5,000 Fire damage p/r to those targets.")</f>
        <v>10,000 Earth and 10,000 Fire damage to all enemies. 5,000 Fire damage p/r to those targets.</v>
      </c>
      <c r="F178" s="49" t="str">
        <f>IFERROR(__xludf.DUMMYFUNCTION("""COMPUTED_VALUE"""),"Natural/Cannot Avoid")</f>
        <v>Natural/Cannot Avoid</v>
      </c>
      <c r="G178" s="49" t="str">
        <f>IFERROR(__xludf.DUMMYFUNCTION("""COMPUTED_VALUE"""),"All")</f>
        <v>All</v>
      </c>
      <c r="H178" s="49" t="str">
        <f>IFERROR(__xludf.DUMMYFUNCTION("""COMPUTED_VALUE"""),"Earth")</f>
        <v>Earth</v>
      </c>
      <c r="I178" s="49" t="str">
        <f>IFERROR(__xludf.DUMMYFUNCTION("""COMPUTED_VALUE"""),"Mob")</f>
        <v>Mob</v>
      </c>
      <c r="J178" s="49" t="b">
        <f>IFERROR(__xludf.DUMMYFUNCTION("""COMPUTED_VALUE"""),TRUE)</f>
        <v>1</v>
      </c>
      <c r="K178" s="49"/>
      <c r="L178" s="49" t="b">
        <f>IFERROR(__xludf.DUMMYFUNCTION("""COMPUTED_VALUE"""),FALSE)</f>
        <v>0</v>
      </c>
      <c r="M178" s="49" t="b">
        <f>IFERROR(__xludf.DUMMYFUNCTION("""COMPUTED_VALUE"""),FALSE)</f>
        <v>0</v>
      </c>
      <c r="N178" s="49"/>
    </row>
    <row r="179">
      <c r="A179" s="49" t="str">
        <f>IFERROR(__xludf.DUMMYFUNCTION("""COMPUTED_VALUE"""),"Mountain Formation")</f>
        <v>Mountain Formation</v>
      </c>
      <c r="B179" s="126">
        <f>IFERROR(__xludf.DUMMYFUNCTION("""COMPUTED_VALUE"""),5.0)</f>
        <v>5</v>
      </c>
      <c r="C179" s="49">
        <f>IFERROR(__xludf.DUMMYFUNCTION("""COMPUTED_VALUE"""),50.0)</f>
        <v>50</v>
      </c>
      <c r="D179" s="49"/>
      <c r="E179" s="49" t="str">
        <f>IFERROR(__xludf.DUMMYFUNCTION("""COMPUTED_VALUE"""),"X2 additional earth damage and X4 defense for self and allies.")</f>
        <v>X2 additional earth damage and X4 defense for self and allies.</v>
      </c>
      <c r="F179" s="49" t="str">
        <f>IFERROR(__xludf.DUMMYFUNCTION("""COMPUTED_VALUE"""),"Will Succeed")</f>
        <v>Will Succeed</v>
      </c>
      <c r="G179" s="49"/>
      <c r="H179" s="49" t="str">
        <f>IFERROR(__xludf.DUMMYFUNCTION("""COMPUTED_VALUE"""),"Earth")</f>
        <v>Earth</v>
      </c>
      <c r="I179" s="49" t="str">
        <f>IFERROR(__xludf.DUMMYFUNCTION("""COMPUTED_VALUE"""),"Player")</f>
        <v>Player</v>
      </c>
      <c r="J179" s="49" t="b">
        <f>IFERROR(__xludf.DUMMYFUNCTION("""COMPUTED_VALUE"""),FALSE)</f>
        <v>0</v>
      </c>
      <c r="K179" s="49"/>
      <c r="L179" s="49" t="b">
        <f>IFERROR(__xludf.DUMMYFUNCTION("""COMPUTED_VALUE"""),FALSE)</f>
        <v>0</v>
      </c>
      <c r="M179" s="49" t="b">
        <f>IFERROR(__xludf.DUMMYFUNCTION("""COMPUTED_VALUE"""),FALSE)</f>
        <v>0</v>
      </c>
      <c r="N179" s="49"/>
    </row>
    <row r="180">
      <c r="A180" s="49" t="str">
        <f>IFERROR(__xludf.DUMMYFUNCTION("""COMPUTED_VALUE"""),"Mud Sling")</f>
        <v>Mud Sling</v>
      </c>
      <c r="B180" s="126">
        <f>IFERROR(__xludf.DUMMYFUNCTION("""COMPUTED_VALUE"""),1.0)</f>
        <v>1</v>
      </c>
      <c r="C180" s="49">
        <f>IFERROR(__xludf.DUMMYFUNCTION("""COMPUTED_VALUE"""),10.0)</f>
        <v>10</v>
      </c>
      <c r="D180" s="49"/>
      <c r="E180" s="49" t="str">
        <f>IFERROR(__xludf.DUMMYFUNCTION("""COMPUTED_VALUE"""),"50% chance target skips next turn and inflicts them with slowness 3.")</f>
        <v>50% chance target skips next turn and inflicts them with slowness 3.</v>
      </c>
      <c r="F180" s="49" t="str">
        <f>IFERROR(__xludf.DUMMYFUNCTION("""COMPUTED_VALUE"""),"Fail/Succeed")</f>
        <v>Fail/Succeed</v>
      </c>
      <c r="G180" s="49"/>
      <c r="H180" s="49" t="str">
        <f>IFERROR(__xludf.DUMMYFUNCTION("""COMPUTED_VALUE"""),"Earth")</f>
        <v>Earth</v>
      </c>
      <c r="I180" s="49" t="str">
        <f>IFERROR(__xludf.DUMMYFUNCTION("""COMPUTED_VALUE"""),"Player")</f>
        <v>Player</v>
      </c>
      <c r="J180" s="49" t="b">
        <f>IFERROR(__xludf.DUMMYFUNCTION("""COMPUTED_VALUE"""),FALSE)</f>
        <v>0</v>
      </c>
      <c r="K180" s="49"/>
      <c r="L180" s="49" t="b">
        <f>IFERROR(__xludf.DUMMYFUNCTION("""COMPUTED_VALUE"""),FALSE)</f>
        <v>0</v>
      </c>
      <c r="M180" s="49" t="b">
        <f>IFERROR(__xludf.DUMMYFUNCTION("""COMPUTED_VALUE"""),FALSE)</f>
        <v>0</v>
      </c>
      <c r="N180" s="49"/>
    </row>
    <row r="181">
      <c r="A181" s="49" t="str">
        <f>IFERROR(__xludf.DUMMYFUNCTION("""COMPUTED_VALUE"""),"Mud Wave")</f>
        <v>Mud Wave</v>
      </c>
      <c r="B181" s="126">
        <f>IFERROR(__xludf.DUMMYFUNCTION("""COMPUTED_VALUE"""),9.0)</f>
        <v>9</v>
      </c>
      <c r="C181" s="49">
        <f>IFERROR(__xludf.DUMMYFUNCTION("""COMPUTED_VALUE"""),400.0)</f>
        <v>400</v>
      </c>
      <c r="D181" s="49"/>
      <c r="E181" s="49"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49" t="str">
        <f>IFERROR(__xludf.DUMMYFUNCTION("""COMPUTED_VALUE"""),"Fail/Succeed")</f>
        <v>Fail/Succeed</v>
      </c>
      <c r="G181" s="49" t="str">
        <f>IFERROR(__xludf.DUMMYFUNCTION("""COMPUTED_VALUE"""),"All")</f>
        <v>All</v>
      </c>
      <c r="H181" s="49" t="str">
        <f>IFERROR(__xludf.DUMMYFUNCTION("""COMPUTED_VALUE"""),"Earth")</f>
        <v>Earth</v>
      </c>
      <c r="I181" s="49" t="str">
        <f>IFERROR(__xludf.DUMMYFUNCTION("""COMPUTED_VALUE"""),"Player")</f>
        <v>Player</v>
      </c>
      <c r="J181" s="49" t="b">
        <f>IFERROR(__xludf.DUMMYFUNCTION("""COMPUTED_VALUE"""),FALSE)</f>
        <v>0</v>
      </c>
      <c r="K181" s="49"/>
      <c r="L181" s="49" t="b">
        <f>IFERROR(__xludf.DUMMYFUNCTION("""COMPUTED_VALUE"""),FALSE)</f>
        <v>0</v>
      </c>
      <c r="M181" s="49" t="b">
        <f>IFERROR(__xludf.DUMMYFUNCTION("""COMPUTED_VALUE"""),FALSE)</f>
        <v>0</v>
      </c>
      <c r="N181" s="49"/>
    </row>
    <row r="182">
      <c r="A182" s="49" t="str">
        <f>IFERROR(__xludf.DUMMYFUNCTION("""COMPUTED_VALUE"""),"Quicksand")</f>
        <v>Quicksand</v>
      </c>
      <c r="B182" s="126">
        <f>IFERROR(__xludf.DUMMYFUNCTION("""COMPUTED_VALUE"""),8.0)</f>
        <v>8</v>
      </c>
      <c r="C182" s="49" t="str">
        <f>IFERROR(__xludf.DUMMYFUNCTION("""COMPUTED_VALUE"""),"X*10")</f>
        <v>X*10</v>
      </c>
      <c r="D182" s="49"/>
      <c r="E182" s="49" t="str">
        <f>IFERROR(__xludf.DUMMYFUNCTION("""COMPUTED_VALUE"""),"Instantly kills all enemies. The % chance of instant death is XSP.")</f>
        <v>Instantly kills all enemies. The % chance of instant death is XSP.</v>
      </c>
      <c r="F182" s="49" t="str">
        <f>IFERROR(__xludf.DUMMYFUNCTION("""COMPUTED_VALUE"""),"Fail/Succeed")</f>
        <v>Fail/Succeed</v>
      </c>
      <c r="G182" s="49"/>
      <c r="H182" s="49" t="str">
        <f>IFERROR(__xludf.DUMMYFUNCTION("""COMPUTED_VALUE"""),"Earth")</f>
        <v>Earth</v>
      </c>
      <c r="I182" s="49" t="str">
        <f>IFERROR(__xludf.DUMMYFUNCTION("""COMPUTED_VALUE"""),"Player")</f>
        <v>Player</v>
      </c>
      <c r="J182" s="49" t="b">
        <f>IFERROR(__xludf.DUMMYFUNCTION("""COMPUTED_VALUE"""),FALSE)</f>
        <v>0</v>
      </c>
      <c r="K182" s="49"/>
      <c r="L182" s="49" t="b">
        <f>IFERROR(__xludf.DUMMYFUNCTION("""COMPUTED_VALUE"""),FALSE)</f>
        <v>0</v>
      </c>
      <c r="M182" s="49" t="b">
        <f>IFERROR(__xludf.DUMMYFUNCTION("""COMPUTED_VALUE"""),FALSE)</f>
        <v>0</v>
      </c>
      <c r="N182" s="49"/>
    </row>
    <row r="183">
      <c r="A183" s="49" t="str">
        <f>IFERROR(__xludf.DUMMYFUNCTION("""COMPUTED_VALUE"""),"Rock Cycle")</f>
        <v>Rock Cycle</v>
      </c>
      <c r="B183" s="126">
        <f>IFERROR(__xludf.DUMMYFUNCTION("""COMPUTED_VALUE"""),9.0)</f>
        <v>9</v>
      </c>
      <c r="C183" s="49">
        <f>IFERROR(__xludf.DUMMYFUNCTION("""COMPUTED_VALUE"""),300.0)</f>
        <v>300</v>
      </c>
      <c r="D183" s="49"/>
      <c r="E183" s="49" t="str">
        <f>IFERROR(__xludf.DUMMYFUNCTION("""COMPUTED_VALUE"""),"Become unaffected by status effects, spells and weapons for 3 rounds.")</f>
        <v>Become unaffected by status effects, spells and weapons for 3 rounds.</v>
      </c>
      <c r="F183" s="49" t="str">
        <f>IFERROR(__xludf.DUMMYFUNCTION("""COMPUTED_VALUE"""),"Fail/Succeed")</f>
        <v>Fail/Succeed</v>
      </c>
      <c r="G183" s="49"/>
      <c r="H183" s="49" t="str">
        <f>IFERROR(__xludf.DUMMYFUNCTION("""COMPUTED_VALUE"""),"Earth")</f>
        <v>Earth</v>
      </c>
      <c r="I183" s="49" t="str">
        <f>IFERROR(__xludf.DUMMYFUNCTION("""COMPUTED_VALUE"""),"Player")</f>
        <v>Player</v>
      </c>
      <c r="J183" s="49" t="b">
        <f>IFERROR(__xludf.DUMMYFUNCTION("""COMPUTED_VALUE"""),FALSE)</f>
        <v>0</v>
      </c>
      <c r="K183" s="49"/>
      <c r="L183" s="49" t="b">
        <f>IFERROR(__xludf.DUMMYFUNCTION("""COMPUTED_VALUE"""),FALSE)</f>
        <v>0</v>
      </c>
      <c r="M183" s="49" t="b">
        <f>IFERROR(__xludf.DUMMYFUNCTION("""COMPUTED_VALUE"""),FALSE)</f>
        <v>0</v>
      </c>
      <c r="N183" s="49"/>
    </row>
    <row r="184">
      <c r="A184" s="49" t="str">
        <f>IFERROR(__xludf.DUMMYFUNCTION("""COMPUTED_VALUE"""),"Rock Missiles")</f>
        <v>Rock Missiles</v>
      </c>
      <c r="B184" s="126">
        <f>IFERROR(__xludf.DUMMYFUNCTION("""COMPUTED_VALUE"""),9.0)</f>
        <v>9</v>
      </c>
      <c r="C184" s="49">
        <f>IFERROR(__xludf.DUMMYFUNCTION("""COMPUTED_VALUE"""),5000.0)</f>
        <v>5000</v>
      </c>
      <c r="D184" s="49"/>
      <c r="E184" s="49" t="str">
        <f>IFERROR(__xludf.DUMMYFUNCTION("""COMPUTED_VALUE"""),"10,000 earth damage to all enemies lowering their defense by 50,000.")</f>
        <v>10,000 earth damage to all enemies lowering their defense by 50,000.</v>
      </c>
      <c r="F184" s="49" t="str">
        <f>IFERROR(__xludf.DUMMYFUNCTION("""COMPUTED_VALUE"""),"Cannot Avoid")</f>
        <v>Cannot Avoid</v>
      </c>
      <c r="G184" s="49" t="str">
        <f>IFERROR(__xludf.DUMMYFUNCTION("""COMPUTED_VALUE"""),"All")</f>
        <v>All</v>
      </c>
      <c r="H184" s="49" t="str">
        <f>IFERROR(__xludf.DUMMYFUNCTION("""COMPUTED_VALUE"""),"Earth")</f>
        <v>Earth</v>
      </c>
      <c r="I184" s="49" t="str">
        <f>IFERROR(__xludf.DUMMYFUNCTION("""COMPUTED_VALUE"""),"Mob")</f>
        <v>Mob</v>
      </c>
      <c r="J184" s="49" t="b">
        <f>IFERROR(__xludf.DUMMYFUNCTION("""COMPUTED_VALUE"""),TRUE)</f>
        <v>1</v>
      </c>
      <c r="K184" s="49"/>
      <c r="L184" s="49" t="b">
        <f>IFERROR(__xludf.DUMMYFUNCTION("""COMPUTED_VALUE"""),FALSE)</f>
        <v>0</v>
      </c>
      <c r="M184" s="49" t="b">
        <f>IFERROR(__xludf.DUMMYFUNCTION("""COMPUTED_VALUE"""),FALSE)</f>
        <v>0</v>
      </c>
      <c r="N184" s="49"/>
    </row>
    <row r="185">
      <c r="A185" s="49" t="str">
        <f>IFERROR(__xludf.DUMMYFUNCTION("""COMPUTED_VALUE"""),"Sand Hole")</f>
        <v>Sand Hole</v>
      </c>
      <c r="B185" s="126">
        <f>IFERROR(__xludf.DUMMYFUNCTION("""COMPUTED_VALUE"""),7.0)</f>
        <v>7</v>
      </c>
      <c r="C185" s="49">
        <f>IFERROR(__xludf.DUMMYFUNCTION("""COMPUTED_VALUE"""),5000.0)</f>
        <v>5000</v>
      </c>
      <c r="D185" s="49"/>
      <c r="E185" s="49" t="str">
        <f>IFERROR(__xludf.DUMMYFUNCTION("""COMPUTED_VALUE"""),"50% chance of instant death to all enemies.")</f>
        <v>50% chance of instant death to all enemies.</v>
      </c>
      <c r="F185" s="49" t="str">
        <f>IFERROR(__xludf.DUMMYFUNCTION("""COMPUTED_VALUE"""),"Fail/Succeed")</f>
        <v>Fail/Succeed</v>
      </c>
      <c r="G185" s="49" t="str">
        <f>IFERROR(__xludf.DUMMYFUNCTION("""COMPUTED_VALUE"""),"All")</f>
        <v>All</v>
      </c>
      <c r="H185" s="49" t="str">
        <f>IFERROR(__xludf.DUMMYFUNCTION("""COMPUTED_VALUE"""),"Earth")</f>
        <v>Earth</v>
      </c>
      <c r="I185" s="49" t="str">
        <f>IFERROR(__xludf.DUMMYFUNCTION("""COMPUTED_VALUE"""),"Mob")</f>
        <v>Mob</v>
      </c>
      <c r="J185" s="49" t="b">
        <f>IFERROR(__xludf.DUMMYFUNCTION("""COMPUTED_VALUE"""),TRUE)</f>
        <v>1</v>
      </c>
      <c r="K185" s="49"/>
      <c r="L185" s="49" t="b">
        <f>IFERROR(__xludf.DUMMYFUNCTION("""COMPUTED_VALUE"""),FALSE)</f>
        <v>0</v>
      </c>
      <c r="M185" s="49" t="b">
        <f>IFERROR(__xludf.DUMMYFUNCTION("""COMPUTED_VALUE"""),FALSE)</f>
        <v>0</v>
      </c>
      <c r="N185" s="49"/>
    </row>
    <row r="186">
      <c r="A186" s="49" t="str">
        <f>IFERROR(__xludf.DUMMYFUNCTION("""COMPUTED_VALUE"""),"Sandstorm")</f>
        <v>Sandstorm</v>
      </c>
      <c r="B186" s="126">
        <f>IFERROR(__xludf.DUMMYFUNCTION("""COMPUTED_VALUE"""),9.0)</f>
        <v>9</v>
      </c>
      <c r="C186" s="49">
        <f>IFERROR(__xludf.DUMMYFUNCTION("""COMPUTED_VALUE"""),300.0)</f>
        <v>300</v>
      </c>
      <c r="D186" s="49"/>
      <c r="E186" s="49" t="str">
        <f>IFERROR(__xludf.DUMMYFUNCTION("""COMPUTED_VALUE"""),"20,000 Earth damage to all enemies, 25% chance of Blindness 3, and Slowness 3.")</f>
        <v>20,000 Earth damage to all enemies, 25% chance of Blindness 3, and Slowness 3.</v>
      </c>
      <c r="F186" s="49" t="str">
        <f>IFERROR(__xludf.DUMMYFUNCTION("""COMPUTED_VALUE"""),"Cannot Avoid")</f>
        <v>Cannot Avoid</v>
      </c>
      <c r="G186" s="49" t="str">
        <f>IFERROR(__xludf.DUMMYFUNCTION("""COMPUTED_VALUE"""),"All")</f>
        <v>All</v>
      </c>
      <c r="H186" s="49" t="str">
        <f>IFERROR(__xludf.DUMMYFUNCTION("""COMPUTED_VALUE"""),"Earth")</f>
        <v>Earth</v>
      </c>
      <c r="I186" s="49" t="str">
        <f>IFERROR(__xludf.DUMMYFUNCTION("""COMPUTED_VALUE"""),"Player")</f>
        <v>Player</v>
      </c>
      <c r="J186" s="49" t="b">
        <f>IFERROR(__xludf.DUMMYFUNCTION("""COMPUTED_VALUE"""),FALSE)</f>
        <v>0</v>
      </c>
      <c r="K186" s="49"/>
      <c r="L186" s="49" t="b">
        <f>IFERROR(__xludf.DUMMYFUNCTION("""COMPUTED_VALUE"""),FALSE)</f>
        <v>0</v>
      </c>
      <c r="M186" s="49" t="b">
        <f>IFERROR(__xludf.DUMMYFUNCTION("""COMPUTED_VALUE"""),FALSE)</f>
        <v>0</v>
      </c>
      <c r="N186" s="49"/>
    </row>
    <row r="187">
      <c r="A187" s="49" t="str">
        <f>IFERROR(__xludf.DUMMYFUNCTION("""COMPUTED_VALUE"""),"Searing Saphire Strike")</f>
        <v>Searing Saphire Strike</v>
      </c>
      <c r="B187" s="126">
        <f>IFERROR(__xludf.DUMMYFUNCTION("""COMPUTED_VALUE"""),0.0)</f>
        <v>0</v>
      </c>
      <c r="C187" s="49">
        <f>IFERROR(__xludf.DUMMYFUNCTION("""COMPUTED_VALUE"""),0.0)</f>
        <v>0</v>
      </c>
      <c r="D187" s="49"/>
      <c r="E187" s="49"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49" t="str">
        <f>IFERROR(__xludf.DUMMYFUNCTION("""COMPUTED_VALUE"""),"Natural/Cannot Avoid")</f>
        <v>Natural/Cannot Avoid</v>
      </c>
      <c r="G187" s="49" t="str">
        <f>IFERROR(__xludf.DUMMYFUNCTION("""COMPUTED_VALUE"""),"All")</f>
        <v>All</v>
      </c>
      <c r="H187" s="49" t="str">
        <f>IFERROR(__xludf.DUMMYFUNCTION("""COMPUTED_VALUE"""),"Earth")</f>
        <v>Earth</v>
      </c>
      <c r="I187" s="49" t="str">
        <f>IFERROR(__xludf.DUMMYFUNCTION("""COMPUTED_VALUE"""),"Mob")</f>
        <v>Mob</v>
      </c>
      <c r="J187" s="49" t="b">
        <f>IFERROR(__xludf.DUMMYFUNCTION("""COMPUTED_VALUE"""),TRUE)</f>
        <v>1</v>
      </c>
      <c r="K187" s="49"/>
      <c r="L187" s="49" t="b">
        <f>IFERROR(__xludf.DUMMYFUNCTION("""COMPUTED_VALUE"""),FALSE)</f>
        <v>0</v>
      </c>
      <c r="M187" s="49" t="b">
        <f>IFERROR(__xludf.DUMMYFUNCTION("""COMPUTED_VALUE"""),FALSE)</f>
        <v>0</v>
      </c>
      <c r="N187" s="49"/>
    </row>
    <row r="188">
      <c r="A188" s="49" t="str">
        <f>IFERROR(__xludf.DUMMYFUNCTION("""COMPUTED_VALUE"""),"Sling Stone")</f>
        <v>Sling Stone</v>
      </c>
      <c r="B188" s="126">
        <f>IFERROR(__xludf.DUMMYFUNCTION("""COMPUTED_VALUE"""),0.0)</f>
        <v>0</v>
      </c>
      <c r="C188" s="49">
        <f>IFERROR(__xludf.DUMMYFUNCTION("""COMPUTED_VALUE"""),0.0)</f>
        <v>0</v>
      </c>
      <c r="D188" s="49"/>
      <c r="E188" s="49" t="str">
        <f>IFERROR(__xludf.DUMMYFUNCTION("""COMPUTED_VALUE"""),"6000 earth damage. Stun 3.")</f>
        <v>6000 earth damage. Stun 3.</v>
      </c>
      <c r="F188" s="49" t="str">
        <f>IFERROR(__xludf.DUMMYFUNCTION("""COMPUTED_VALUE"""),"Natural/Hit Or Miss")</f>
        <v>Natural/Hit Or Miss</v>
      </c>
      <c r="G188" s="49">
        <f>IFERROR(__xludf.DUMMYFUNCTION("""COMPUTED_VALUE"""),1.0)</f>
        <v>1</v>
      </c>
      <c r="H188" s="49" t="str">
        <f>IFERROR(__xludf.DUMMYFUNCTION("""COMPUTED_VALUE"""),"Earth")</f>
        <v>Earth</v>
      </c>
      <c r="I188" s="49" t="str">
        <f>IFERROR(__xludf.DUMMYFUNCTION("""COMPUTED_VALUE"""),"Mob")</f>
        <v>Mob</v>
      </c>
      <c r="J188" s="49" t="b">
        <f>IFERROR(__xludf.DUMMYFUNCTION("""COMPUTED_VALUE"""),TRUE)</f>
        <v>1</v>
      </c>
      <c r="K188" s="49" t="str">
        <f>IFERROR(__xludf.DUMMYFUNCTION("""COMPUTED_VALUE"""),"Event Power")</f>
        <v>Event Power</v>
      </c>
      <c r="L188" s="49" t="b">
        <f>IFERROR(__xludf.DUMMYFUNCTION("""COMPUTED_VALUE"""),TRUE)</f>
        <v>1</v>
      </c>
      <c r="M188" s="49" t="b">
        <f>IFERROR(__xludf.DUMMYFUNCTION("""COMPUTED_VALUE"""),TRUE)</f>
        <v>1</v>
      </c>
      <c r="N188" s="49"/>
    </row>
    <row r="189">
      <c r="A189" s="49" t="str">
        <f>IFERROR(__xludf.DUMMYFUNCTION("""COMPUTED_VALUE"""),"Tremor")</f>
        <v>Tremor</v>
      </c>
      <c r="B189" s="126">
        <f>IFERROR(__xludf.DUMMYFUNCTION("""COMPUTED_VALUE"""),3.0)</f>
        <v>3</v>
      </c>
      <c r="C189" s="49" t="str">
        <f>IFERROR(__xludf.DUMMYFUNCTION("""COMPUTED_VALUE"""),"d12*20")</f>
        <v>d12*20</v>
      </c>
      <c r="D189" s="49"/>
      <c r="E189" s="49"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49" t="str">
        <f>IFERROR(__xludf.DUMMYFUNCTION("""COMPUTED_VALUE"""),"Cannot Avoid")</f>
        <v>Cannot Avoid</v>
      </c>
      <c r="G189" s="49"/>
      <c r="H189" s="49" t="str">
        <f>IFERROR(__xludf.DUMMYFUNCTION("""COMPUTED_VALUE"""),"Earth")</f>
        <v>Earth</v>
      </c>
      <c r="I189" s="49" t="str">
        <f>IFERROR(__xludf.DUMMYFUNCTION("""COMPUTED_VALUE"""),"Player")</f>
        <v>Player</v>
      </c>
      <c r="J189" s="49" t="b">
        <f>IFERROR(__xludf.DUMMYFUNCTION("""COMPUTED_VALUE"""),FALSE)</f>
        <v>0</v>
      </c>
      <c r="K189" s="49"/>
      <c r="L189" s="49" t="b">
        <f>IFERROR(__xludf.DUMMYFUNCTION("""COMPUTED_VALUE"""),FALSE)</f>
        <v>0</v>
      </c>
      <c r="M189" s="49" t="b">
        <f>IFERROR(__xludf.DUMMYFUNCTION("""COMPUTED_VALUE"""),FALSE)</f>
        <v>0</v>
      </c>
      <c r="N189" s="49"/>
    </row>
    <row r="190">
      <c r="A190" s="49" t="str">
        <f>IFERROR(__xludf.DUMMYFUNCTION("""COMPUTED_VALUE"""),"Call of Gaia")</f>
        <v>Call of Gaia</v>
      </c>
      <c r="B190" s="126">
        <f>IFERROR(__xludf.DUMMYFUNCTION("""COMPUTED_VALUE"""),1.0)</f>
        <v>1</v>
      </c>
      <c r="C190" s="49">
        <f>IFERROR(__xludf.DUMMYFUNCTION("""COMPUTED_VALUE"""),0.0)</f>
        <v>0</v>
      </c>
      <c r="D190" s="49"/>
      <c r="E190" s="49" t="str">
        <f>IFERROR(__xludf.DUMMYFUNCTION("""COMPUTED_VALUE"""),"Summon a d4 of Gaia's Paladins.")</f>
        <v>Summon a d4 of Gaia's Paladins.</v>
      </c>
      <c r="F190" s="49" t="str">
        <f>IFERROR(__xludf.DUMMYFUNCTION("""COMPUTED_VALUE"""),"Natural/Fail or Succeed")</f>
        <v>Natural/Fail or Succeed</v>
      </c>
      <c r="G190" s="49" t="str">
        <f>IFERROR(__xludf.DUMMYFUNCTION("""COMPUTED_VALUE"""),"Self")</f>
        <v>Self</v>
      </c>
      <c r="H190" s="49" t="str">
        <f>IFERROR(__xludf.DUMMYFUNCTION("""COMPUTED_VALUE"""),"Earth")</f>
        <v>Earth</v>
      </c>
      <c r="I190" s="49" t="str">
        <f>IFERROR(__xludf.DUMMYFUNCTION("""COMPUTED_VALUE"""),"Mob")</f>
        <v>Mob</v>
      </c>
      <c r="J190" s="49" t="b">
        <f>IFERROR(__xludf.DUMMYFUNCTION("""COMPUTED_VALUE"""),TRUE)</f>
        <v>1</v>
      </c>
      <c r="K190" s="49" t="str">
        <f>IFERROR(__xludf.DUMMYFUNCTION("""COMPUTED_VALUE"""),"mob power")</f>
        <v>mob power</v>
      </c>
      <c r="L190" s="49" t="b">
        <f>IFERROR(__xludf.DUMMYFUNCTION("""COMPUTED_VALUE"""),FALSE)</f>
        <v>0</v>
      </c>
      <c r="M190" s="49" t="b">
        <f>IFERROR(__xludf.DUMMYFUNCTION("""COMPUTED_VALUE"""),FALSE)</f>
        <v>0</v>
      </c>
      <c r="N190" s="49"/>
    </row>
    <row r="191">
      <c r="A191" s="49" t="str">
        <f>IFERROR(__xludf.DUMMYFUNCTION("""COMPUTED_VALUE"""),"Rock Shot")</f>
        <v>Rock Shot</v>
      </c>
      <c r="B191" s="126">
        <f>IFERROR(__xludf.DUMMYFUNCTION("""COMPUTED_VALUE"""),1.0)</f>
        <v>1</v>
      </c>
      <c r="C191" s="49" t="str">
        <f>IFERROR(__xludf.DUMMYFUNCTION("""COMPUTED_VALUE"""),"X")</f>
        <v>X</v>
      </c>
      <c r="D191" s="49"/>
      <c r="E191" s="49" t="str">
        <f>IFERROR(__xludf.DUMMYFUNCTION("""COMPUTED_VALUE"""),"Deals X*100 Earth damage to a single enemy where X is equal to SP spent.")</f>
        <v>Deals X*100 Earth damage to a single enemy where X is equal to SP spent.</v>
      </c>
      <c r="F191" s="49" t="str">
        <f>IFERROR(__xludf.DUMMYFUNCTION("""COMPUTED_VALUE"""),"Hit/Miss")</f>
        <v>Hit/Miss</v>
      </c>
      <c r="G191" s="49">
        <f>IFERROR(__xludf.DUMMYFUNCTION("""COMPUTED_VALUE"""),1.0)</f>
        <v>1</v>
      </c>
      <c r="H191" s="49" t="str">
        <f>IFERROR(__xludf.DUMMYFUNCTION("""COMPUTED_VALUE"""),"Earth")</f>
        <v>Earth</v>
      </c>
      <c r="I191" s="49" t="str">
        <f>IFERROR(__xludf.DUMMYFUNCTION("""COMPUTED_VALUE"""),"Player")</f>
        <v>Player</v>
      </c>
      <c r="J191" s="49" t="b">
        <f>IFERROR(__xludf.DUMMYFUNCTION("""COMPUTED_VALUE"""),FALSE)</f>
        <v>0</v>
      </c>
      <c r="K191" s="49"/>
      <c r="L191" s="49" t="b">
        <f>IFERROR(__xludf.DUMMYFUNCTION("""COMPUTED_VALUE"""),FALSE)</f>
        <v>0</v>
      </c>
      <c r="M191" s="49" t="b">
        <f>IFERROR(__xludf.DUMMYFUNCTION("""COMPUTED_VALUE"""),FALSE)</f>
        <v>0</v>
      </c>
      <c r="N191" s="49"/>
    </row>
    <row r="192">
      <c r="A192" s="49" t="str">
        <f>IFERROR(__xludf.DUMMYFUNCTION("""COMPUTED_VALUE"""),"Petrification")</f>
        <v>Petrification</v>
      </c>
      <c r="B192" s="126">
        <f>IFERROR(__xludf.DUMMYFUNCTION("""COMPUTED_VALUE"""),5.0)</f>
        <v>5</v>
      </c>
      <c r="C192" s="49" t="str">
        <f>IFERROR(__xludf.DUMMYFUNCTION("""COMPUTED_VALUE"""),"X")</f>
        <v>X</v>
      </c>
      <c r="D192" s="49"/>
      <c r="E192" s="49" t="str">
        <f>IFERROR(__xludf.DUMMYFUNCTION("""COMPUTED_VALUE"""),"Deals X*50 Earth damage per round for 3 rounds to a single target where X is equal to SP spent.")</f>
        <v>Deals X*50 Earth damage per round for 3 rounds to a single target where X is equal to SP spent.</v>
      </c>
      <c r="F192" s="49" t="str">
        <f>IFERROR(__xludf.DUMMYFUNCTION("""COMPUTED_VALUE"""),"Hit/Miss")</f>
        <v>Hit/Miss</v>
      </c>
      <c r="G192" s="49">
        <f>IFERROR(__xludf.DUMMYFUNCTION("""COMPUTED_VALUE"""),1.0)</f>
        <v>1</v>
      </c>
      <c r="H192" s="49" t="str">
        <f>IFERROR(__xludf.DUMMYFUNCTION("""COMPUTED_VALUE"""),"Earth")</f>
        <v>Earth</v>
      </c>
      <c r="I192" s="49" t="str">
        <f>IFERROR(__xludf.DUMMYFUNCTION("""COMPUTED_VALUE"""),"Player")</f>
        <v>Player</v>
      </c>
      <c r="J192" s="49" t="b">
        <f>IFERROR(__xludf.DUMMYFUNCTION("""COMPUTED_VALUE"""),FALSE)</f>
        <v>0</v>
      </c>
      <c r="K192" s="49"/>
      <c r="L192" s="49" t="b">
        <f>IFERROR(__xludf.DUMMYFUNCTION("""COMPUTED_VALUE"""),FALSE)</f>
        <v>0</v>
      </c>
      <c r="M192" s="49" t="b">
        <f>IFERROR(__xludf.DUMMYFUNCTION("""COMPUTED_VALUE"""),FALSE)</f>
        <v>0</v>
      </c>
      <c r="N192" s="49"/>
    </row>
    <row r="193">
      <c r="A193" s="49" t="str">
        <f>IFERROR(__xludf.DUMMYFUNCTION("""COMPUTED_VALUE"""),"Earthquake")</f>
        <v>Earthquake</v>
      </c>
      <c r="B193" s="126">
        <f>IFERROR(__xludf.DUMMYFUNCTION("""COMPUTED_VALUE"""),5.0)</f>
        <v>5</v>
      </c>
      <c r="C193" s="49" t="str">
        <f>IFERROR(__xludf.DUMMYFUNCTION("""COMPUTED_VALUE"""),"d20*40")</f>
        <v>d20*40</v>
      </c>
      <c r="D193" s="49"/>
      <c r="E193" s="49"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49" t="str">
        <f>IFERROR(__xludf.DUMMYFUNCTION("""COMPUTED_VALUE"""),"Cannot Avoid")</f>
        <v>Cannot Avoid</v>
      </c>
      <c r="G193" s="49" t="str">
        <f>IFERROR(__xludf.DUMMYFUNCTION("""COMPUTED_VALUE"""),"All")</f>
        <v>All</v>
      </c>
      <c r="H193" s="49" t="str">
        <f>IFERROR(__xludf.DUMMYFUNCTION("""COMPUTED_VALUE"""),"Earth")</f>
        <v>Earth</v>
      </c>
      <c r="I193" s="49" t="str">
        <f>IFERROR(__xludf.DUMMYFUNCTION("""COMPUTED_VALUE"""),"Player")</f>
        <v>Player</v>
      </c>
      <c r="J193" s="49" t="b">
        <f>IFERROR(__xludf.DUMMYFUNCTION("""COMPUTED_VALUE"""),FALSE)</f>
        <v>0</v>
      </c>
      <c r="K193" s="49"/>
      <c r="L193" s="49" t="b">
        <f>IFERROR(__xludf.DUMMYFUNCTION("""COMPUTED_VALUE"""),FALSE)</f>
        <v>0</v>
      </c>
      <c r="M193" s="49" t="b">
        <f>IFERROR(__xludf.DUMMYFUNCTION("""COMPUTED_VALUE"""),FALSE)</f>
        <v>0</v>
      </c>
      <c r="N193" s="49"/>
    </row>
    <row r="194">
      <c r="A194" s="49" t="str">
        <f>IFERROR(__xludf.DUMMYFUNCTION("""COMPUTED_VALUE"""),"Mass Petrification")</f>
        <v>Mass Petrification</v>
      </c>
      <c r="B194" s="126">
        <f>IFERROR(__xludf.DUMMYFUNCTION("""COMPUTED_VALUE"""),6.0)</f>
        <v>6</v>
      </c>
      <c r="C194" s="49" t="str">
        <f>IFERROR(__xludf.DUMMYFUNCTION("""COMPUTED_VALUE"""),"X")</f>
        <v>X</v>
      </c>
      <c r="D194" s="49"/>
      <c r="E194" s="49" t="str">
        <f>IFERROR(__xludf.DUMMYFUNCTION("""COMPUTED_VALUE"""),"Deals X*10 Earth damage per round to all enemies for 3 rounds where X is equal to SP spent.")</f>
        <v>Deals X*10 Earth damage per round to all enemies for 3 rounds where X is equal to SP spent.</v>
      </c>
      <c r="F194" s="49" t="str">
        <f>IFERROR(__xludf.DUMMYFUNCTION("""COMPUTED_VALUE"""),"Cannot Avoid")</f>
        <v>Cannot Avoid</v>
      </c>
      <c r="G194" s="49" t="str">
        <f>IFERROR(__xludf.DUMMYFUNCTION("""COMPUTED_VALUE"""),"All")</f>
        <v>All</v>
      </c>
      <c r="H194" s="49" t="str">
        <f>IFERROR(__xludf.DUMMYFUNCTION("""COMPUTED_VALUE"""),"Earth")</f>
        <v>Earth</v>
      </c>
      <c r="I194" s="49" t="str">
        <f>IFERROR(__xludf.DUMMYFUNCTION("""COMPUTED_VALUE"""),"Player")</f>
        <v>Player</v>
      </c>
      <c r="J194" s="49" t="b">
        <f>IFERROR(__xludf.DUMMYFUNCTION("""COMPUTED_VALUE"""),FALSE)</f>
        <v>0</v>
      </c>
      <c r="K194" s="49"/>
      <c r="L194" s="49" t="b">
        <f>IFERROR(__xludf.DUMMYFUNCTION("""COMPUTED_VALUE"""),FALSE)</f>
        <v>0</v>
      </c>
      <c r="M194" s="49" t="b">
        <f>IFERROR(__xludf.DUMMYFUNCTION("""COMPUTED_VALUE"""),FALSE)</f>
        <v>0</v>
      </c>
      <c r="N194" s="49"/>
    </row>
    <row r="195">
      <c r="A195" s="49" t="str">
        <f>IFERROR(__xludf.DUMMYFUNCTION("""COMPUTED_VALUE"""),"Breaking Earth")</f>
        <v>Breaking Earth</v>
      </c>
      <c r="B195" s="126">
        <f>IFERROR(__xludf.DUMMYFUNCTION("""COMPUTED_VALUE"""),6.0)</f>
        <v>6</v>
      </c>
      <c r="C195" s="49" t="str">
        <f>IFERROR(__xludf.DUMMYFUNCTION("""COMPUTED_VALUE"""),"X")</f>
        <v>X</v>
      </c>
      <c r="D195" s="49"/>
      <c r="E195" s="49" t="str">
        <f>IFERROR(__xludf.DUMMYFUNCTION("""COMPUTED_VALUE"""),"Deals X*25 Earth damage to all enemies where X is equal to SP spent.")</f>
        <v>Deals X*25 Earth damage to all enemies where X is equal to SP spent.</v>
      </c>
      <c r="F195" s="49" t="str">
        <f>IFERROR(__xludf.DUMMYFUNCTION("""COMPUTED_VALUE"""),"Cannot Avoid")</f>
        <v>Cannot Avoid</v>
      </c>
      <c r="G195" s="49" t="str">
        <f>IFERROR(__xludf.DUMMYFUNCTION("""COMPUTED_VALUE"""),"All")</f>
        <v>All</v>
      </c>
      <c r="H195" s="49" t="str">
        <f>IFERROR(__xludf.DUMMYFUNCTION("""COMPUTED_VALUE"""),"Earth")</f>
        <v>Earth</v>
      </c>
      <c r="I195" s="49" t="str">
        <f>IFERROR(__xludf.DUMMYFUNCTION("""COMPUTED_VALUE"""),"Player")</f>
        <v>Player</v>
      </c>
      <c r="J195" s="49" t="b">
        <f>IFERROR(__xludf.DUMMYFUNCTION("""COMPUTED_VALUE"""),FALSE)</f>
        <v>0</v>
      </c>
      <c r="K195" s="49"/>
      <c r="L195" s="49" t="b">
        <f>IFERROR(__xludf.DUMMYFUNCTION("""COMPUTED_VALUE"""),FALSE)</f>
        <v>0</v>
      </c>
      <c r="M195" s="49" t="b">
        <f>IFERROR(__xludf.DUMMYFUNCTION("""COMPUTED_VALUE"""),FALSE)</f>
        <v>0</v>
      </c>
      <c r="N195" s="49"/>
    </row>
    <row r="196">
      <c r="A196" s="49" t="str">
        <f>IFERROR(__xludf.DUMMYFUNCTION("""COMPUTED_VALUE"""),"Blazing Scratch")</f>
        <v>Blazing Scratch</v>
      </c>
      <c r="B196" s="126">
        <f>IFERROR(__xludf.DUMMYFUNCTION("""COMPUTED_VALUE"""),0.0)</f>
        <v>0</v>
      </c>
      <c r="C196" s="125">
        <f>IFERROR(__xludf.DUMMYFUNCTION("""COMPUTED_VALUE"""),0.0)</f>
        <v>0</v>
      </c>
      <c r="D196" s="49"/>
      <c r="E196" s="49" t="str">
        <f>IFERROR(__xludf.DUMMYFUNCTION("""COMPUTED_VALUE"""),"5000 fire damage to all enemies, -5 evasion to all enemies for 3 rounds.")</f>
        <v>5000 fire damage to all enemies, -5 evasion to all enemies for 3 rounds.</v>
      </c>
      <c r="F196" s="49" t="str">
        <f>IFERROR(__xludf.DUMMYFUNCTION("""COMPUTED_VALUE"""),"Natural/Cannot Avoid")</f>
        <v>Natural/Cannot Avoid</v>
      </c>
      <c r="G196" s="49" t="str">
        <f>IFERROR(__xludf.DUMMYFUNCTION("""COMPUTED_VALUE"""),"All")</f>
        <v>All</v>
      </c>
      <c r="H196" s="49" t="str">
        <f>IFERROR(__xludf.DUMMYFUNCTION("""COMPUTED_VALUE"""),"Fire")</f>
        <v>Fire</v>
      </c>
      <c r="I196" s="49" t="str">
        <f>IFERROR(__xludf.DUMMYFUNCTION("""COMPUTED_VALUE"""),"Mob")</f>
        <v>Mob</v>
      </c>
      <c r="J196" s="49" t="b">
        <f>IFERROR(__xludf.DUMMYFUNCTION("""COMPUTED_VALUE"""),TRUE)</f>
        <v>1</v>
      </c>
      <c r="K196" s="49"/>
      <c r="L196" s="49" t="b">
        <f>IFERROR(__xludf.DUMMYFUNCTION("""COMPUTED_VALUE"""),FALSE)</f>
        <v>0</v>
      </c>
      <c r="M196" s="49" t="b">
        <f>IFERROR(__xludf.DUMMYFUNCTION("""COMPUTED_VALUE"""),FALSE)</f>
        <v>0</v>
      </c>
      <c r="N196" s="49"/>
    </row>
    <row r="197">
      <c r="A197" s="49" t="str">
        <f>IFERROR(__xludf.DUMMYFUNCTION("""COMPUTED_VALUE"""),"Calm Fire")</f>
        <v>Calm Fire</v>
      </c>
      <c r="B197" s="126">
        <f>IFERROR(__xludf.DUMMYFUNCTION("""COMPUTED_VALUE"""),7.0)</f>
        <v>7</v>
      </c>
      <c r="C197" s="49">
        <f>IFERROR(__xludf.DUMMYFUNCTION("""COMPUTED_VALUE"""),100.0)</f>
        <v>100</v>
      </c>
      <c r="D197" s="49"/>
      <c r="E197" s="49" t="str">
        <f>IFERROR(__xludf.DUMMYFUNCTION("""COMPUTED_VALUE"""),"Negate X points of fire damage")</f>
        <v>Negate X points of fire damage</v>
      </c>
      <c r="F197" s="49" t="str">
        <f>IFERROR(__xludf.DUMMYFUNCTION("""COMPUTED_VALUE"""),"Fail/Succeed")</f>
        <v>Fail/Succeed</v>
      </c>
      <c r="G197" s="49"/>
      <c r="H197" s="49" t="str">
        <f>IFERROR(__xludf.DUMMYFUNCTION("""COMPUTED_VALUE"""),"Fire")</f>
        <v>Fire</v>
      </c>
      <c r="I197" s="49" t="str">
        <f>IFERROR(__xludf.DUMMYFUNCTION("""COMPUTED_VALUE"""),"Player")</f>
        <v>Player</v>
      </c>
      <c r="J197" s="49" t="b">
        <f>IFERROR(__xludf.DUMMYFUNCTION("""COMPUTED_VALUE"""),FALSE)</f>
        <v>0</v>
      </c>
      <c r="K197" s="49"/>
      <c r="L197" s="49" t="b">
        <f>IFERROR(__xludf.DUMMYFUNCTION("""COMPUTED_VALUE"""),FALSE)</f>
        <v>0</v>
      </c>
      <c r="M197" s="49" t="b">
        <f>IFERROR(__xludf.DUMMYFUNCTION("""COMPUTED_VALUE"""),FALSE)</f>
        <v>0</v>
      </c>
      <c r="N197" s="49"/>
    </row>
    <row r="198">
      <c r="A198" s="49" t="str">
        <f>IFERROR(__xludf.DUMMYFUNCTION("""COMPUTED_VALUE"""),"Curse Of Heatmore")</f>
        <v>Curse Of Heatmore</v>
      </c>
      <c r="B198" s="126">
        <f>IFERROR(__xludf.DUMMYFUNCTION("""COMPUTED_VALUE"""),0.0)</f>
        <v>0</v>
      </c>
      <c r="C198" s="125">
        <f>IFERROR(__xludf.DUMMYFUNCTION("""COMPUTED_VALUE"""),0.0)</f>
        <v>0</v>
      </c>
      <c r="D198" s="49"/>
      <c r="E198" s="49"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49" t="str">
        <f>IFERROR(__xludf.DUMMYFUNCTION("""COMPUTED_VALUE"""),"Fail or Succeed")</f>
        <v>Fail or Succeed</v>
      </c>
      <c r="G198" s="49">
        <f>IFERROR(__xludf.DUMMYFUNCTION("""COMPUTED_VALUE"""),1.0)</f>
        <v>1</v>
      </c>
      <c r="H198" s="49" t="str">
        <f>IFERROR(__xludf.DUMMYFUNCTION("""COMPUTED_VALUE"""),"Fire")</f>
        <v>Fire</v>
      </c>
      <c r="I198" s="49" t="str">
        <f>IFERROR(__xludf.DUMMYFUNCTION("""COMPUTED_VALUE"""),"Mob")</f>
        <v>Mob</v>
      </c>
      <c r="J198" s="49" t="b">
        <f>IFERROR(__xludf.DUMMYFUNCTION("""COMPUTED_VALUE"""),TRUE)</f>
        <v>1</v>
      </c>
      <c r="K198" s="49"/>
      <c r="L198" s="49" t="b">
        <f>IFERROR(__xludf.DUMMYFUNCTION("""COMPUTED_VALUE"""),FALSE)</f>
        <v>0</v>
      </c>
      <c r="M198" s="49" t="b">
        <f>IFERROR(__xludf.DUMMYFUNCTION("""COMPUTED_VALUE"""),FALSE)</f>
        <v>0</v>
      </c>
      <c r="N198" s="49"/>
    </row>
    <row r="199">
      <c r="A199" s="49" t="str">
        <f>IFERROR(__xludf.DUMMYFUNCTION("""COMPUTED_VALUE"""),"Divine Flame Cloak")</f>
        <v>Divine Flame Cloak</v>
      </c>
      <c r="B199" s="126">
        <f>IFERROR(__xludf.DUMMYFUNCTION("""COMPUTED_VALUE"""),9.0)</f>
        <v>9</v>
      </c>
      <c r="C199" s="125">
        <f>IFERROR(__xludf.DUMMYFUNCTION("""COMPUTED_VALUE"""),10000.0)</f>
        <v>10000</v>
      </c>
      <c r="D199" s="49"/>
      <c r="E199" s="49" t="str">
        <f>IFERROR(__xludf.DUMMYFUNCTION("""COMPUTED_VALUE"""),"Caster is protected from all spells for 3 rounds.")</f>
        <v>Caster is protected from all spells for 3 rounds.</v>
      </c>
      <c r="F199" s="49" t="str">
        <f>IFERROR(__xludf.DUMMYFUNCTION("""COMPUTED_VALUE"""),"Fail/Succeed")</f>
        <v>Fail/Succeed</v>
      </c>
      <c r="G199" s="49" t="str">
        <f>IFERROR(__xludf.DUMMYFUNCTION("""COMPUTED_VALUE"""),"Self")</f>
        <v>Self</v>
      </c>
      <c r="H199" s="49" t="str">
        <f>IFERROR(__xludf.DUMMYFUNCTION("""COMPUTED_VALUE"""),"Fire")</f>
        <v>Fire</v>
      </c>
      <c r="I199" s="49" t="str">
        <f>IFERROR(__xludf.DUMMYFUNCTION("""COMPUTED_VALUE"""),"Mob")</f>
        <v>Mob</v>
      </c>
      <c r="J199" s="49" t="b">
        <f>IFERROR(__xludf.DUMMYFUNCTION("""COMPUTED_VALUE"""),TRUE)</f>
        <v>1</v>
      </c>
      <c r="K199" s="49"/>
      <c r="L199" s="49" t="b">
        <f>IFERROR(__xludf.DUMMYFUNCTION("""COMPUTED_VALUE"""),FALSE)</f>
        <v>0</v>
      </c>
      <c r="M199" s="49" t="b">
        <f>IFERROR(__xludf.DUMMYFUNCTION("""COMPUTED_VALUE"""),FALSE)</f>
        <v>0</v>
      </c>
      <c r="N199" s="49"/>
    </row>
    <row r="200">
      <c r="A200" s="49" t="str">
        <f>IFERROR(__xludf.DUMMYFUNCTION("""COMPUTED_VALUE"""),"Fiery Acidic Spit")</f>
        <v>Fiery Acidic Spit</v>
      </c>
      <c r="B200" s="126">
        <f>IFERROR(__xludf.DUMMYFUNCTION("""COMPUTED_VALUE"""),1.0)</f>
        <v>1</v>
      </c>
      <c r="C200" s="125">
        <f>IFERROR(__xludf.DUMMYFUNCTION("""COMPUTED_VALUE"""),0.0)</f>
        <v>0</v>
      </c>
      <c r="D200" s="49"/>
      <c r="E200" s="49" t="str">
        <f>IFERROR(__xludf.DUMMYFUNCTION("""COMPUTED_VALUE"""),"20,000 Fire damage to all enemies, Poison and Burn 10,000 for 3 rounds to all enemies.")</f>
        <v>20,000 Fire damage to all enemies, Poison and Burn 10,000 for 3 rounds to all enemies.</v>
      </c>
      <c r="F200" s="49" t="str">
        <f>IFERROR(__xludf.DUMMYFUNCTION("""COMPUTED_VALUE"""),"Natural/Cannot Avoid")</f>
        <v>Natural/Cannot Avoid</v>
      </c>
      <c r="G200" s="49" t="str">
        <f>IFERROR(__xludf.DUMMYFUNCTION("""COMPUTED_VALUE"""),"All")</f>
        <v>All</v>
      </c>
      <c r="H200" s="49" t="str">
        <f>IFERROR(__xludf.DUMMYFUNCTION("""COMPUTED_VALUE"""),"Fire")</f>
        <v>Fire</v>
      </c>
      <c r="I200" s="49" t="str">
        <f>IFERROR(__xludf.DUMMYFUNCTION("""COMPUTED_VALUE"""),"Mob")</f>
        <v>Mob</v>
      </c>
      <c r="J200" s="49" t="b">
        <f>IFERROR(__xludf.DUMMYFUNCTION("""COMPUTED_VALUE"""),TRUE)</f>
        <v>1</v>
      </c>
      <c r="K200" s="49"/>
      <c r="L200" s="49" t="b">
        <f>IFERROR(__xludf.DUMMYFUNCTION("""COMPUTED_VALUE"""),FALSE)</f>
        <v>0</v>
      </c>
      <c r="M200" s="49" t="b">
        <f>IFERROR(__xludf.DUMMYFUNCTION("""COMPUTED_VALUE"""),FALSE)</f>
        <v>0</v>
      </c>
      <c r="N200" s="49"/>
    </row>
    <row r="201">
      <c r="A201" s="49" t="str">
        <f>IFERROR(__xludf.DUMMYFUNCTION("""COMPUTED_VALUE"""),"Flame Sanctuary")</f>
        <v>Flame Sanctuary</v>
      </c>
      <c r="B201" s="126">
        <f>IFERROR(__xludf.DUMMYFUNCTION("""COMPUTED_VALUE"""),9.0)</f>
        <v>9</v>
      </c>
      <c r="C201" s="49">
        <f>IFERROR(__xludf.DUMMYFUNCTION("""COMPUTED_VALUE"""),300.0)</f>
        <v>300</v>
      </c>
      <c r="D201" s="49"/>
      <c r="E201" s="49"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49" t="str">
        <f>IFERROR(__xludf.DUMMYFUNCTION("""COMPUTED_VALUE"""),"Fail/Succeed")</f>
        <v>Fail/Succeed</v>
      </c>
      <c r="G201" s="49"/>
      <c r="H201" s="49" t="str">
        <f>IFERROR(__xludf.DUMMYFUNCTION("""COMPUTED_VALUE"""),"Fire")</f>
        <v>Fire</v>
      </c>
      <c r="I201" s="49" t="str">
        <f>IFERROR(__xludf.DUMMYFUNCTION("""COMPUTED_VALUE"""),"Player")</f>
        <v>Player</v>
      </c>
      <c r="J201" s="49" t="b">
        <f>IFERROR(__xludf.DUMMYFUNCTION("""COMPUTED_VALUE"""),FALSE)</f>
        <v>0</v>
      </c>
      <c r="K201" s="49"/>
      <c r="L201" s="49" t="b">
        <f>IFERROR(__xludf.DUMMYFUNCTION("""COMPUTED_VALUE"""),FALSE)</f>
        <v>0</v>
      </c>
      <c r="M201" s="49" t="b">
        <f>IFERROR(__xludf.DUMMYFUNCTION("""COMPUTED_VALUE"""),FALSE)</f>
        <v>0</v>
      </c>
      <c r="N201" s="49"/>
    </row>
    <row r="202">
      <c r="A202" s="49" t="str">
        <f>IFERROR(__xludf.DUMMYFUNCTION("""COMPUTED_VALUE"""),"Flaming Bite")</f>
        <v>Flaming Bite</v>
      </c>
      <c r="B202" s="126">
        <f>IFERROR(__xludf.DUMMYFUNCTION("""COMPUTED_VALUE"""),1.0)</f>
        <v>1</v>
      </c>
      <c r="C202" s="49">
        <f>IFERROR(__xludf.DUMMYFUNCTION("""COMPUTED_VALUE"""),0.0)</f>
        <v>0</v>
      </c>
      <c r="D202" s="49"/>
      <c r="E202" s="49" t="str">
        <f>IFERROR(__xludf.DUMMYFUNCTION("""COMPUTED_VALUE"""),"Deal X*2 fire damage equal to the users attack, 50% chance to hit twice.")</f>
        <v>Deal X*2 fire damage equal to the users attack, 50% chance to hit twice.</v>
      </c>
      <c r="F202" s="49" t="str">
        <f>IFERROR(__xludf.DUMMYFUNCTION("""COMPUTED_VALUE"""),"Natural/Hit Or Miss")</f>
        <v>Natural/Hit Or Miss</v>
      </c>
      <c r="G202" s="49">
        <f>IFERROR(__xludf.DUMMYFUNCTION("""COMPUTED_VALUE"""),1.0)</f>
        <v>1</v>
      </c>
      <c r="H202" s="49" t="str">
        <f>IFERROR(__xludf.DUMMYFUNCTION("""COMPUTED_VALUE"""),"Fire")</f>
        <v>Fire</v>
      </c>
      <c r="I202" s="49" t="str">
        <f>IFERROR(__xludf.DUMMYFUNCTION("""COMPUTED_VALUE"""),"Mob")</f>
        <v>Mob</v>
      </c>
      <c r="J202" s="49" t="b">
        <f>IFERROR(__xludf.DUMMYFUNCTION("""COMPUTED_VALUE"""),TRUE)</f>
        <v>1</v>
      </c>
      <c r="K202" s="49"/>
      <c r="L202" s="49" t="b">
        <f>IFERROR(__xludf.DUMMYFUNCTION("""COMPUTED_VALUE"""),FALSE)</f>
        <v>0</v>
      </c>
      <c r="M202" s="49" t="b">
        <f>IFERROR(__xludf.DUMMYFUNCTION("""COMPUTED_VALUE"""),FALSE)</f>
        <v>0</v>
      </c>
      <c r="N202" s="49"/>
    </row>
    <row r="203">
      <c r="A203" s="49" t="str">
        <f>IFERROR(__xludf.DUMMYFUNCTION("""COMPUTED_VALUE"""),"Flaming Golem Smash")</f>
        <v>Flaming Golem Smash</v>
      </c>
      <c r="B203" s="126">
        <f>IFERROR(__xludf.DUMMYFUNCTION("""COMPUTED_VALUE"""),1.0)</f>
        <v>1</v>
      </c>
      <c r="C203" s="49">
        <f>IFERROR(__xludf.DUMMYFUNCTION("""COMPUTED_VALUE"""),0.0)</f>
        <v>0</v>
      </c>
      <c r="D203" s="49"/>
      <c r="E203" s="49" t="str">
        <f>IFERROR(__xludf.DUMMYFUNCTION("""COMPUTED_VALUE"""),"All enemies take 10000 damage and 10000 fire damage, 50% chance to hit twice.")</f>
        <v>All enemies take 10000 damage and 10000 fire damage, 50% chance to hit twice.</v>
      </c>
      <c r="F203" s="49" t="str">
        <f>IFERROR(__xludf.DUMMYFUNCTION("""COMPUTED_VALUE"""),"Natural/Cannot Avoid")</f>
        <v>Natural/Cannot Avoid</v>
      </c>
      <c r="G203" s="49" t="str">
        <f>IFERROR(__xludf.DUMMYFUNCTION("""COMPUTED_VALUE"""),"All")</f>
        <v>All</v>
      </c>
      <c r="H203" s="49" t="str">
        <f>IFERROR(__xludf.DUMMYFUNCTION("""COMPUTED_VALUE"""),"Fire")</f>
        <v>Fire</v>
      </c>
      <c r="I203" s="49" t="str">
        <f>IFERROR(__xludf.DUMMYFUNCTION("""COMPUTED_VALUE"""),"Mob")</f>
        <v>Mob</v>
      </c>
      <c r="J203" s="49" t="b">
        <f>IFERROR(__xludf.DUMMYFUNCTION("""COMPUTED_VALUE"""),TRUE)</f>
        <v>1</v>
      </c>
      <c r="K203" s="49"/>
      <c r="L203" s="49" t="b">
        <f>IFERROR(__xludf.DUMMYFUNCTION("""COMPUTED_VALUE"""),FALSE)</f>
        <v>0</v>
      </c>
      <c r="M203" s="49" t="b">
        <f>IFERROR(__xludf.DUMMYFUNCTION("""COMPUTED_VALUE"""),FALSE)</f>
        <v>0</v>
      </c>
      <c r="N203" s="49"/>
    </row>
    <row r="204">
      <c r="A204" s="49" t="str">
        <f>IFERROR(__xludf.DUMMYFUNCTION("""COMPUTED_VALUE"""),"Flaming Horns")</f>
        <v>Flaming Horns</v>
      </c>
      <c r="B204" s="126">
        <f>IFERROR(__xludf.DUMMYFUNCTION("""COMPUTED_VALUE"""),1.0)</f>
        <v>1</v>
      </c>
      <c r="C204" s="125">
        <f>IFERROR(__xludf.DUMMYFUNCTION("""COMPUTED_VALUE"""),0.0)</f>
        <v>0</v>
      </c>
      <c r="D204" s="49"/>
      <c r="E204" s="49" t="str">
        <f>IFERROR(__xludf.DUMMYFUNCTION("""COMPUTED_VALUE"""),"X damage and X Fire damage to 2 targets, where X is equal to the users attack.")</f>
        <v>X damage and X Fire damage to 2 targets, where X is equal to the users attack.</v>
      </c>
      <c r="F204" s="49" t="str">
        <f>IFERROR(__xludf.DUMMYFUNCTION("""COMPUTED_VALUE"""),"Natural/Hit or Miss")</f>
        <v>Natural/Hit or Miss</v>
      </c>
      <c r="G204" s="49">
        <f>IFERROR(__xludf.DUMMYFUNCTION("""COMPUTED_VALUE"""),2.0)</f>
        <v>2</v>
      </c>
      <c r="H204" s="49" t="str">
        <f>IFERROR(__xludf.DUMMYFUNCTION("""COMPUTED_VALUE"""),"Fire")</f>
        <v>Fire</v>
      </c>
      <c r="I204" s="49" t="str">
        <f>IFERROR(__xludf.DUMMYFUNCTION("""COMPUTED_VALUE"""),"Mob")</f>
        <v>Mob</v>
      </c>
      <c r="J204" s="49" t="b">
        <f>IFERROR(__xludf.DUMMYFUNCTION("""COMPUTED_VALUE"""),TRUE)</f>
        <v>1</v>
      </c>
      <c r="K204" s="49" t="str">
        <f>IFERROR(__xludf.DUMMYFUNCTION("""COMPUTED_VALUE"""),"Mob power")</f>
        <v>Mob power</v>
      </c>
      <c r="L204" s="49" t="b">
        <f>IFERROR(__xludf.DUMMYFUNCTION("""COMPUTED_VALUE"""),FALSE)</f>
        <v>0</v>
      </c>
      <c r="M204" s="49" t="b">
        <f>IFERROR(__xludf.DUMMYFUNCTION("""COMPUTED_VALUE"""),FALSE)</f>
        <v>0</v>
      </c>
      <c r="N204" s="49"/>
    </row>
    <row r="205">
      <c r="A205" s="49" t="str">
        <f>IFERROR(__xludf.DUMMYFUNCTION("""COMPUTED_VALUE"""),"Flaming Spider Senses")</f>
        <v>Flaming Spider Senses</v>
      </c>
      <c r="B205" s="126">
        <f>IFERROR(__xludf.DUMMYFUNCTION("""COMPUTED_VALUE"""),1.0)</f>
        <v>1</v>
      </c>
      <c r="C205" s="125">
        <f>IFERROR(__xludf.DUMMYFUNCTION("""COMPUTED_VALUE"""),0.0)</f>
        <v>0</v>
      </c>
      <c r="D205" s="49"/>
      <c r="E205" s="49" t="str">
        <f>IFERROR(__xludf.DUMMYFUNCTION("""COMPUTED_VALUE"""),"Doubles the users next attack roll. Doubles fire damage for user.")</f>
        <v>Doubles the users next attack roll. Doubles fire damage for user.</v>
      </c>
      <c r="F205" s="49" t="str">
        <f>IFERROR(__xludf.DUMMYFUNCTION("""COMPUTED_VALUE"""),"Natural/Fail Or Succeed")</f>
        <v>Natural/Fail Or Succeed</v>
      </c>
      <c r="G205" s="49" t="str">
        <f>IFERROR(__xludf.DUMMYFUNCTION("""COMPUTED_VALUE"""),"Self")</f>
        <v>Self</v>
      </c>
      <c r="H205" s="49" t="str">
        <f>IFERROR(__xludf.DUMMYFUNCTION("""COMPUTED_VALUE"""),"Fire")</f>
        <v>Fire</v>
      </c>
      <c r="I205" s="49" t="str">
        <f>IFERROR(__xludf.DUMMYFUNCTION("""COMPUTED_VALUE"""),"Mob")</f>
        <v>Mob</v>
      </c>
      <c r="J205" s="49" t="b">
        <f>IFERROR(__xludf.DUMMYFUNCTION("""COMPUTED_VALUE"""),TRUE)</f>
        <v>1</v>
      </c>
      <c r="K205" s="49"/>
      <c r="L205" s="49" t="b">
        <f>IFERROR(__xludf.DUMMYFUNCTION("""COMPUTED_VALUE"""),FALSE)</f>
        <v>0</v>
      </c>
      <c r="M205" s="49" t="b">
        <f>IFERROR(__xludf.DUMMYFUNCTION("""COMPUTED_VALUE"""),FALSE)</f>
        <v>0</v>
      </c>
      <c r="N205" s="49"/>
    </row>
    <row r="206">
      <c r="A206" s="49" t="str">
        <f>IFERROR(__xludf.DUMMYFUNCTION("""COMPUTED_VALUE"""),"Flaming Tail Smash")</f>
        <v>Flaming Tail Smash</v>
      </c>
      <c r="B206" s="126">
        <f>IFERROR(__xludf.DUMMYFUNCTION("""COMPUTED_VALUE"""),1.0)</f>
        <v>1</v>
      </c>
      <c r="C206" s="125">
        <f>IFERROR(__xludf.DUMMYFUNCTION("""COMPUTED_VALUE"""),0.0)</f>
        <v>0</v>
      </c>
      <c r="D206" s="49"/>
      <c r="E206" s="49" t="str">
        <f>IFERROR(__xludf.DUMMYFUNCTION("""COMPUTED_VALUE"""),"10,000 fire damage to one target, 75% chance to deal 20,000 more fire damage to another target.")</f>
        <v>10,000 fire damage to one target, 75% chance to deal 20,000 more fire damage to another target.</v>
      </c>
      <c r="F206" s="49" t="str">
        <f>IFERROR(__xludf.DUMMYFUNCTION("""COMPUTED_VALUE"""),"Natural/Hit or Miss")</f>
        <v>Natural/Hit or Miss</v>
      </c>
      <c r="G206" s="49" t="str">
        <f>IFERROR(__xludf.DUMMYFUNCTION("""COMPUTED_VALUE"""),"1 or 2")</f>
        <v>1 or 2</v>
      </c>
      <c r="H206" s="49" t="str">
        <f>IFERROR(__xludf.DUMMYFUNCTION("""COMPUTED_VALUE"""),"Fire")</f>
        <v>Fire</v>
      </c>
      <c r="I206" s="49" t="str">
        <f>IFERROR(__xludf.DUMMYFUNCTION("""COMPUTED_VALUE"""),"Mob")</f>
        <v>Mob</v>
      </c>
      <c r="J206" s="49" t="b">
        <f>IFERROR(__xludf.DUMMYFUNCTION("""COMPUTED_VALUE"""),TRUE)</f>
        <v>1</v>
      </c>
      <c r="K206" s="49"/>
      <c r="L206" s="49" t="b">
        <f>IFERROR(__xludf.DUMMYFUNCTION("""COMPUTED_VALUE"""),FALSE)</f>
        <v>0</v>
      </c>
      <c r="M206" s="49" t="b">
        <f>IFERROR(__xludf.DUMMYFUNCTION("""COMPUTED_VALUE"""),FALSE)</f>
        <v>0</v>
      </c>
      <c r="N206" s="49"/>
    </row>
    <row r="207">
      <c r="A207" s="49" t="str">
        <f>IFERROR(__xludf.DUMMYFUNCTION("""COMPUTED_VALUE"""),"Forgotten Fire")</f>
        <v>Forgotten Fire</v>
      </c>
      <c r="B207" s="126">
        <f>IFERROR(__xludf.DUMMYFUNCTION("""COMPUTED_VALUE"""),8.0)</f>
        <v>8</v>
      </c>
      <c r="C207" s="49">
        <f>IFERROR(__xludf.DUMMYFUNCTION("""COMPUTED_VALUE"""),200.0)</f>
        <v>200</v>
      </c>
      <c r="D207" s="49"/>
      <c r="E207" s="49" t="str">
        <f>IFERROR(__xludf.DUMMYFUNCTION("""COMPUTED_VALUE"""),"Any damage you take from the next attack is doubled. Any fire damage you deal from your next attack is X4.")</f>
        <v>Any damage you take from the next attack is doubled. Any fire damage you deal from your next attack is X4.</v>
      </c>
      <c r="F207" s="49" t="str">
        <f>IFERROR(__xludf.DUMMYFUNCTION("""COMPUTED_VALUE"""),"Will Succeed")</f>
        <v>Will Succeed</v>
      </c>
      <c r="G207" s="49"/>
      <c r="H207" s="49" t="str">
        <f>IFERROR(__xludf.DUMMYFUNCTION("""COMPUTED_VALUE"""),"Fire")</f>
        <v>Fire</v>
      </c>
      <c r="I207" s="49" t="str">
        <f>IFERROR(__xludf.DUMMYFUNCTION("""COMPUTED_VALUE"""),"Player")</f>
        <v>Player</v>
      </c>
      <c r="J207" s="49" t="b">
        <f>IFERROR(__xludf.DUMMYFUNCTION("""COMPUTED_VALUE"""),FALSE)</f>
        <v>0</v>
      </c>
      <c r="K207" s="49"/>
      <c r="L207" s="49" t="b">
        <f>IFERROR(__xludf.DUMMYFUNCTION("""COMPUTED_VALUE"""),FALSE)</f>
        <v>0</v>
      </c>
      <c r="M207" s="49" t="b">
        <f>IFERROR(__xludf.DUMMYFUNCTION("""COMPUTED_VALUE"""),FALSE)</f>
        <v>0</v>
      </c>
      <c r="N207" s="49"/>
    </row>
    <row r="208">
      <c r="A208" s="49" t="str">
        <f>IFERROR(__xludf.DUMMYFUNCTION("""COMPUTED_VALUE"""),"Ignite")</f>
        <v>Ignite</v>
      </c>
      <c r="B208" s="126">
        <f>IFERROR(__xludf.DUMMYFUNCTION("""COMPUTED_VALUE"""),4.0)</f>
        <v>4</v>
      </c>
      <c r="C208" s="49" t="str">
        <f>IFERROR(__xludf.DUMMYFUNCTION("""COMPUTED_VALUE"""),"X")</f>
        <v>X</v>
      </c>
      <c r="D208" s="49"/>
      <c r="E208" s="49" t="str">
        <f>IFERROR(__xludf.DUMMYFUNCTION("""COMPUTED_VALUE"""),"Target gains X*4 Fire damage and X*4 Fire resistance, can’t be used on self")</f>
        <v>Target gains X*4 Fire damage and X*4 Fire resistance, can’t be used on self</v>
      </c>
      <c r="F208" s="49" t="str">
        <f>IFERROR(__xludf.DUMMYFUNCTION("""COMPUTED_VALUE"""),"Will Succeed")</f>
        <v>Will Succeed</v>
      </c>
      <c r="G208" s="49"/>
      <c r="H208" s="49" t="str">
        <f>IFERROR(__xludf.DUMMYFUNCTION("""COMPUTED_VALUE"""),"Fire")</f>
        <v>Fire</v>
      </c>
      <c r="I208" s="49" t="str">
        <f>IFERROR(__xludf.DUMMYFUNCTION("""COMPUTED_VALUE"""),"Player")</f>
        <v>Player</v>
      </c>
      <c r="J208" s="49" t="b">
        <f>IFERROR(__xludf.DUMMYFUNCTION("""COMPUTED_VALUE"""),FALSE)</f>
        <v>0</v>
      </c>
      <c r="K208" s="49"/>
      <c r="L208" s="49" t="b">
        <f>IFERROR(__xludf.DUMMYFUNCTION("""COMPUTED_VALUE"""),FALSE)</f>
        <v>0</v>
      </c>
      <c r="M208" s="49" t="b">
        <f>IFERROR(__xludf.DUMMYFUNCTION("""COMPUTED_VALUE"""),FALSE)</f>
        <v>0</v>
      </c>
      <c r="N208" s="49"/>
    </row>
    <row r="209">
      <c r="A209" s="49" t="str">
        <f>IFERROR(__xludf.DUMMYFUNCTION("""COMPUTED_VALUE"""),"Last Resort")</f>
        <v>Last Resort</v>
      </c>
      <c r="B209" s="126">
        <f>IFERROR(__xludf.DUMMYFUNCTION("""COMPUTED_VALUE"""),8.0)</f>
        <v>8</v>
      </c>
      <c r="C209" s="49"/>
      <c r="D209" s="49" t="str">
        <f>IFERROR(__xludf.DUMMYFUNCTION("""COMPUTED_VALUE"""),"X")</f>
        <v>X</v>
      </c>
      <c r="E209" s="49" t="str">
        <f>IFERROR(__xludf.DUMMYFUNCTION("""COMPUTED_VALUE"""),"You die and every enemy takes X*4 Fire Damage. X is equal to your current HP.")</f>
        <v>You die and every enemy takes X*4 Fire Damage. X is equal to your current HP.</v>
      </c>
      <c r="F209" s="49" t="str">
        <f>IFERROR(__xludf.DUMMYFUNCTION("""COMPUTED_VALUE"""),"Will Succeed")</f>
        <v>Will Succeed</v>
      </c>
      <c r="G209" s="49"/>
      <c r="H209" s="49" t="str">
        <f>IFERROR(__xludf.DUMMYFUNCTION("""COMPUTED_VALUE"""),"Fire")</f>
        <v>Fire</v>
      </c>
      <c r="I209" s="49" t="str">
        <f>IFERROR(__xludf.DUMMYFUNCTION("""COMPUTED_VALUE"""),"Player")</f>
        <v>Player</v>
      </c>
      <c r="J209" s="49" t="b">
        <f>IFERROR(__xludf.DUMMYFUNCTION("""COMPUTED_VALUE"""),FALSE)</f>
        <v>0</v>
      </c>
      <c r="K209" s="49"/>
      <c r="L209" s="49" t="b">
        <f>IFERROR(__xludf.DUMMYFUNCTION("""COMPUTED_VALUE"""),FALSE)</f>
        <v>0</v>
      </c>
      <c r="M209" s="49" t="b">
        <f>IFERROR(__xludf.DUMMYFUNCTION("""COMPUTED_VALUE"""),FALSE)</f>
        <v>0</v>
      </c>
      <c r="N209" s="49"/>
    </row>
    <row r="210">
      <c r="A210" s="49" t="str">
        <f>IFERROR(__xludf.DUMMYFUNCTION("""COMPUTED_VALUE"""),"Lesser Nova")</f>
        <v>Lesser Nova</v>
      </c>
      <c r="B210" s="126">
        <f>IFERROR(__xludf.DUMMYFUNCTION("""COMPUTED_VALUE"""),3.0)</f>
        <v>3</v>
      </c>
      <c r="C210" s="49" t="str">
        <f>IFERROR(__xludf.DUMMYFUNCTION("""COMPUTED_VALUE"""),"X")</f>
        <v>X</v>
      </c>
      <c r="D210" s="49"/>
      <c r="E210" s="49" t="str">
        <f>IFERROR(__xludf.DUMMYFUNCTION("""COMPUTED_VALUE"""),"X*25 Fire damage where X equals sp spent.")</f>
        <v>X*25 Fire damage where X equals sp spent.</v>
      </c>
      <c r="F210" s="49" t="str">
        <f>IFERROR(__xludf.DUMMYFUNCTION("""COMPUTED_VALUE"""),"Fail/Succeed")</f>
        <v>Fail/Succeed</v>
      </c>
      <c r="G210" s="49"/>
      <c r="H210" s="49" t="str">
        <f>IFERROR(__xludf.DUMMYFUNCTION("""COMPUTED_VALUE"""),"Fire")</f>
        <v>Fire</v>
      </c>
      <c r="I210" s="49" t="str">
        <f>IFERROR(__xludf.DUMMYFUNCTION("""COMPUTED_VALUE"""),"Player")</f>
        <v>Player</v>
      </c>
      <c r="J210" s="49" t="b">
        <f>IFERROR(__xludf.DUMMYFUNCTION("""COMPUTED_VALUE"""),FALSE)</f>
        <v>0</v>
      </c>
      <c r="K210" s="49"/>
      <c r="L210" s="49" t="b">
        <f>IFERROR(__xludf.DUMMYFUNCTION("""COMPUTED_VALUE"""),FALSE)</f>
        <v>0</v>
      </c>
      <c r="M210" s="49" t="b">
        <f>IFERROR(__xludf.DUMMYFUNCTION("""COMPUTED_VALUE"""),FALSE)</f>
        <v>0</v>
      </c>
      <c r="N210" s="49"/>
    </row>
    <row r="211">
      <c r="A211" s="49" t="str">
        <f>IFERROR(__xludf.DUMMYFUNCTION("""COMPUTED_VALUE"""),"Roar Of Heatmore")</f>
        <v>Roar Of Heatmore</v>
      </c>
      <c r="B211" s="126">
        <f>IFERROR(__xludf.DUMMYFUNCTION("""COMPUTED_VALUE"""),1.0)</f>
        <v>1</v>
      </c>
      <c r="C211" s="125">
        <f>IFERROR(__xludf.DUMMYFUNCTION("""COMPUTED_VALUE"""),0.0)</f>
        <v>0</v>
      </c>
      <c r="D211" s="49"/>
      <c r="E211" s="49" t="str">
        <f>IFERROR(__xludf.DUMMYFUNCTION("""COMPUTED_VALUE"""),"Lowers all enemies' evasion and mobility by 5, and causes Stun 3.")</f>
        <v>Lowers all enemies' evasion and mobility by 5, and causes Stun 3.</v>
      </c>
      <c r="F211" s="49" t="str">
        <f>IFERROR(__xludf.DUMMYFUNCTION("""COMPUTED_VALUE"""),"Natural/Fail Or Succeed")</f>
        <v>Natural/Fail Or Succeed</v>
      </c>
      <c r="G211" s="49" t="str">
        <f>IFERROR(__xludf.DUMMYFUNCTION("""COMPUTED_VALUE"""),"All")</f>
        <v>All</v>
      </c>
      <c r="H211" s="49" t="str">
        <f>IFERROR(__xludf.DUMMYFUNCTION("""COMPUTED_VALUE"""),"Fire")</f>
        <v>Fire</v>
      </c>
      <c r="I211" s="49" t="str">
        <f>IFERROR(__xludf.DUMMYFUNCTION("""COMPUTED_VALUE"""),"Mob")</f>
        <v>Mob</v>
      </c>
      <c r="J211" s="49" t="b">
        <f>IFERROR(__xludf.DUMMYFUNCTION("""COMPUTED_VALUE"""),TRUE)</f>
        <v>1</v>
      </c>
      <c r="K211" s="49" t="str">
        <f>IFERROR(__xludf.DUMMYFUNCTION("""COMPUTED_VALUE"""),"Cannot be obtained by players.")</f>
        <v>Cannot be obtained by players.</v>
      </c>
      <c r="L211" s="49" t="b">
        <f>IFERROR(__xludf.DUMMYFUNCTION("""COMPUTED_VALUE"""),FALSE)</f>
        <v>0</v>
      </c>
      <c r="M211" s="49" t="b">
        <f>IFERROR(__xludf.DUMMYFUNCTION("""COMPUTED_VALUE"""),FALSE)</f>
        <v>0</v>
      </c>
      <c r="N211" s="49"/>
    </row>
    <row r="212">
      <c r="A212" s="49" t="str">
        <f>IFERROR(__xludf.DUMMYFUNCTION("""COMPUTED_VALUE"""),"Royal Golem Flamequake")</f>
        <v>Royal Golem Flamequake</v>
      </c>
      <c r="B212" s="126">
        <f>IFERROR(__xludf.DUMMYFUNCTION("""COMPUTED_VALUE"""),9.0)</f>
        <v>9</v>
      </c>
      <c r="C212" s="125">
        <f>IFERROR(__xludf.DUMMYFUNCTION("""COMPUTED_VALUE"""),10000.0)</f>
        <v>10000</v>
      </c>
      <c r="D212" s="49"/>
      <c r="E212" s="49" t="str">
        <f>IFERROR(__xludf.DUMMYFUNCTION("""COMPUTED_VALUE"""),"20,000 fire damage to all enemies. X4 defense for self until the end of your next turn.")</f>
        <v>20,000 fire damage to all enemies. X4 defense for self until the end of your next turn.</v>
      </c>
      <c r="F212" s="49" t="str">
        <f>IFERROR(__xludf.DUMMYFUNCTION("""COMPUTED_VALUE"""),"Cannot Avoid")</f>
        <v>Cannot Avoid</v>
      </c>
      <c r="G212" s="49" t="str">
        <f>IFERROR(__xludf.DUMMYFUNCTION("""COMPUTED_VALUE"""),"All")</f>
        <v>All</v>
      </c>
      <c r="H212" s="49" t="str">
        <f>IFERROR(__xludf.DUMMYFUNCTION("""COMPUTED_VALUE"""),"Fire")</f>
        <v>Fire</v>
      </c>
      <c r="I212" s="49" t="str">
        <f>IFERROR(__xludf.DUMMYFUNCTION("""COMPUTED_VALUE"""),"Mob")</f>
        <v>Mob</v>
      </c>
      <c r="J212" s="49" t="b">
        <f>IFERROR(__xludf.DUMMYFUNCTION("""COMPUTED_VALUE"""),TRUE)</f>
        <v>1</v>
      </c>
      <c r="K212" s="49"/>
      <c r="L212" s="49" t="b">
        <f>IFERROR(__xludf.DUMMYFUNCTION("""COMPUTED_VALUE"""),FALSE)</f>
        <v>0</v>
      </c>
      <c r="M212" s="49" t="b">
        <f>IFERROR(__xludf.DUMMYFUNCTION("""COMPUTED_VALUE"""),FALSE)</f>
        <v>0</v>
      </c>
      <c r="N212" s="49"/>
    </row>
    <row r="213">
      <c r="A213" s="49" t="str">
        <f>IFERROR(__xludf.DUMMYFUNCTION("""COMPUTED_VALUE"""),"Sacred Flame Peck")</f>
        <v>Sacred Flame Peck</v>
      </c>
      <c r="B213" s="126">
        <f>IFERROR(__xludf.DUMMYFUNCTION("""COMPUTED_VALUE"""),1.0)</f>
        <v>1</v>
      </c>
      <c r="C213" s="125">
        <f>IFERROR(__xludf.DUMMYFUNCTION("""COMPUTED_VALUE"""),0.0)</f>
        <v>0</v>
      </c>
      <c r="D213" s="49"/>
      <c r="E213" s="49" t="str">
        <f>IFERROR(__xludf.DUMMYFUNCTION("""COMPUTED_VALUE"""),"10000 damage +10000 fire damage.")</f>
        <v>10000 damage +10000 fire damage.</v>
      </c>
      <c r="F213" s="49" t="str">
        <f>IFERROR(__xludf.DUMMYFUNCTION("""COMPUTED_VALUE"""),"Natural/Hit Or Miss")</f>
        <v>Natural/Hit Or Miss</v>
      </c>
      <c r="G213" s="49">
        <f>IFERROR(__xludf.DUMMYFUNCTION("""COMPUTED_VALUE"""),1.0)</f>
        <v>1</v>
      </c>
      <c r="H213" s="49" t="str">
        <f>IFERROR(__xludf.DUMMYFUNCTION("""COMPUTED_VALUE"""),"Fire")</f>
        <v>Fire</v>
      </c>
      <c r="I213" s="49" t="str">
        <f>IFERROR(__xludf.DUMMYFUNCTION("""COMPUTED_VALUE"""),"Mob")</f>
        <v>Mob</v>
      </c>
      <c r="J213" s="49" t="b">
        <f>IFERROR(__xludf.DUMMYFUNCTION("""COMPUTED_VALUE"""),TRUE)</f>
        <v>1</v>
      </c>
      <c r="K213" s="49"/>
      <c r="L213" s="49" t="b">
        <f>IFERROR(__xludf.DUMMYFUNCTION("""COMPUTED_VALUE"""),FALSE)</f>
        <v>0</v>
      </c>
      <c r="M213" s="49" t="b">
        <f>IFERROR(__xludf.DUMMYFUNCTION("""COMPUTED_VALUE"""),FALSE)</f>
        <v>0</v>
      </c>
      <c r="N213" s="49"/>
    </row>
    <row r="214">
      <c r="A214" s="49" t="str">
        <f>IFERROR(__xludf.DUMMYFUNCTION("""COMPUTED_VALUE"""),"Screech of the Ostrich")</f>
        <v>Screech of the Ostrich</v>
      </c>
      <c r="B214" s="126">
        <f>IFERROR(__xludf.DUMMYFUNCTION("""COMPUTED_VALUE"""),1.0)</f>
        <v>1</v>
      </c>
      <c r="C214" s="125">
        <f>IFERROR(__xludf.DUMMYFUNCTION("""COMPUTED_VALUE"""),0.0)</f>
        <v>0</v>
      </c>
      <c r="D214" s="49"/>
      <c r="E214" s="49" t="str">
        <f>IFERROR(__xludf.DUMMYFUNCTION("""COMPUTED_VALUE"""),"Calls 1 Ancient Flame Ostrich to battle. Has a 50% Chance to call 2 of them.")</f>
        <v>Calls 1 Ancient Flame Ostrich to battle. Has a 50% Chance to call 2 of them.</v>
      </c>
      <c r="F214" s="49" t="str">
        <f>IFERROR(__xludf.DUMMYFUNCTION("""COMPUTED_VALUE"""),"Natural/Fail Or Succeed")</f>
        <v>Natural/Fail Or Succeed</v>
      </c>
      <c r="G214" s="49" t="str">
        <f>IFERROR(__xludf.DUMMYFUNCTION("""COMPUTED_VALUE"""),"Self")</f>
        <v>Self</v>
      </c>
      <c r="H214" s="49" t="str">
        <f>IFERROR(__xludf.DUMMYFUNCTION("""COMPUTED_VALUE"""),"Fire")</f>
        <v>Fire</v>
      </c>
      <c r="I214" s="49" t="str">
        <f>IFERROR(__xludf.DUMMYFUNCTION("""COMPUTED_VALUE"""),"Mob")</f>
        <v>Mob</v>
      </c>
      <c r="J214" s="49" t="b">
        <f>IFERROR(__xludf.DUMMYFUNCTION("""COMPUTED_VALUE"""),TRUE)</f>
        <v>1</v>
      </c>
      <c r="K214" s="49"/>
      <c r="L214" s="49" t="b">
        <f>IFERROR(__xludf.DUMMYFUNCTION("""COMPUTED_VALUE"""),FALSE)</f>
        <v>0</v>
      </c>
      <c r="M214" s="49" t="b">
        <f>IFERROR(__xludf.DUMMYFUNCTION("""COMPUTED_VALUE"""),FALSE)</f>
        <v>0</v>
      </c>
      <c r="N214" s="49"/>
    </row>
    <row r="215">
      <c r="A215" s="49" t="str">
        <f>IFERROR(__xludf.DUMMYFUNCTION("""COMPUTED_VALUE"""),"Solar Storm")</f>
        <v>Solar Storm</v>
      </c>
      <c r="B215" s="126">
        <f>IFERROR(__xludf.DUMMYFUNCTION("""COMPUTED_VALUE"""),9.0)</f>
        <v>9</v>
      </c>
      <c r="C215" s="49">
        <f>IFERROR(__xludf.DUMMYFUNCTION("""COMPUTED_VALUE"""),2000.0)</f>
        <v>2000</v>
      </c>
      <c r="D215" s="49"/>
      <c r="E215" s="49" t="str">
        <f>IFERROR(__xludf.DUMMYFUNCTION("""COMPUTED_VALUE"""),"20,000 burn to all enemies for 3 rounds. X2 fire damage for self and allies for 3 rounds.")</f>
        <v>20,000 burn to all enemies for 3 rounds. X2 fire damage for self and allies for 3 rounds.</v>
      </c>
      <c r="F215" s="49" t="str">
        <f>IFERROR(__xludf.DUMMYFUNCTION("""COMPUTED_VALUE"""),"Cannot Avoid")</f>
        <v>Cannot Avoid</v>
      </c>
      <c r="G215" s="49"/>
      <c r="H215" s="49" t="str">
        <f>IFERROR(__xludf.DUMMYFUNCTION("""COMPUTED_VALUE"""),"Fire")</f>
        <v>Fire</v>
      </c>
      <c r="I215" s="49" t="str">
        <f>IFERROR(__xludf.DUMMYFUNCTION("""COMPUTED_VALUE"""),"Player")</f>
        <v>Player</v>
      </c>
      <c r="J215" s="49" t="b">
        <f>IFERROR(__xludf.DUMMYFUNCTION("""COMPUTED_VALUE"""),FALSE)</f>
        <v>0</v>
      </c>
      <c r="K215" s="49"/>
      <c r="L215" s="49" t="b">
        <f>IFERROR(__xludf.DUMMYFUNCTION("""COMPUTED_VALUE"""),FALSE)</f>
        <v>0</v>
      </c>
      <c r="M215" s="49" t="b">
        <f>IFERROR(__xludf.DUMMYFUNCTION("""COMPUTED_VALUE"""),FALSE)</f>
        <v>0</v>
      </c>
      <c r="N215" s="49"/>
    </row>
    <row r="216">
      <c r="A216" s="49" t="str">
        <f>IFERROR(__xludf.DUMMYFUNCTION("""COMPUTED_VALUE"""),"Underling Stampede")</f>
        <v>Underling Stampede</v>
      </c>
      <c r="B216" s="126">
        <f>IFERROR(__xludf.DUMMYFUNCTION("""COMPUTED_VALUE"""),1.0)</f>
        <v>1</v>
      </c>
      <c r="C216" s="125">
        <f>IFERROR(__xludf.DUMMYFUNCTION("""COMPUTED_VALUE"""),0.0)</f>
        <v>0</v>
      </c>
      <c r="D216" s="49"/>
      <c r="E216" s="49" t="str">
        <f>IFERROR(__xludf.DUMMYFUNCTION("""COMPUTED_VALUE"""),"50% chance to call in 1 Heatmore Underling to battle.")</f>
        <v>50% chance to call in 1 Heatmore Underling to battle.</v>
      </c>
      <c r="F216" s="49" t="str">
        <f>IFERROR(__xludf.DUMMYFUNCTION("""COMPUTED_VALUE"""),"Natural/Fail Or Succeed")</f>
        <v>Natural/Fail Or Succeed</v>
      </c>
      <c r="G216" s="49" t="str">
        <f>IFERROR(__xludf.DUMMYFUNCTION("""COMPUTED_VALUE"""),"Self")</f>
        <v>Self</v>
      </c>
      <c r="H216" s="49" t="str">
        <f>IFERROR(__xludf.DUMMYFUNCTION("""COMPUTED_VALUE"""),"Fire")</f>
        <v>Fire</v>
      </c>
      <c r="I216" s="49" t="str">
        <f>IFERROR(__xludf.DUMMYFUNCTION("""COMPUTED_VALUE"""),"Mob")</f>
        <v>Mob</v>
      </c>
      <c r="J216" s="49" t="b">
        <f>IFERROR(__xludf.DUMMYFUNCTION("""COMPUTED_VALUE"""),TRUE)</f>
        <v>1</v>
      </c>
      <c r="K216" s="49"/>
      <c r="L216" s="49" t="b">
        <f>IFERROR(__xludf.DUMMYFUNCTION("""COMPUTED_VALUE"""),FALSE)</f>
        <v>0</v>
      </c>
      <c r="M216" s="49" t="b">
        <f>IFERROR(__xludf.DUMMYFUNCTION("""COMPUTED_VALUE"""),FALSE)</f>
        <v>0</v>
      </c>
      <c r="N216" s="49"/>
    </row>
    <row r="217">
      <c r="A217" s="49" t="str">
        <f>IFERROR(__xludf.DUMMYFUNCTION("""COMPUTED_VALUE"""),"Volcanic Claws")</f>
        <v>Volcanic Claws</v>
      </c>
      <c r="B217" s="126">
        <f>IFERROR(__xludf.DUMMYFUNCTION("""COMPUTED_VALUE"""),1.0)</f>
        <v>1</v>
      </c>
      <c r="C217" s="125">
        <f>IFERROR(__xludf.DUMMYFUNCTION("""COMPUTED_VALUE"""),0.0)</f>
        <v>0</v>
      </c>
      <c r="D217" s="49"/>
      <c r="E217" s="49" t="str">
        <f>IFERROR(__xludf.DUMMYFUNCTION("""COMPUTED_VALUE"""),"10,000 fire damage, Burn 5,000. cannot resist or be immune to.")</f>
        <v>10,000 fire damage, Burn 5,000. cannot resist or be immune to.</v>
      </c>
      <c r="F217" s="49" t="str">
        <f>IFERROR(__xludf.DUMMYFUNCTION("""COMPUTED_VALUE"""),"Natural/Hit Or Miss")</f>
        <v>Natural/Hit Or Miss</v>
      </c>
      <c r="G217" s="49">
        <f>IFERROR(__xludf.DUMMYFUNCTION("""COMPUTED_VALUE"""),1.0)</f>
        <v>1</v>
      </c>
      <c r="H217" s="49" t="str">
        <f>IFERROR(__xludf.DUMMYFUNCTION("""COMPUTED_VALUE"""),"Fire")</f>
        <v>Fire</v>
      </c>
      <c r="I217" s="49" t="str">
        <f>IFERROR(__xludf.DUMMYFUNCTION("""COMPUTED_VALUE"""),"Mob")</f>
        <v>Mob</v>
      </c>
      <c r="J217" s="49" t="b">
        <f>IFERROR(__xludf.DUMMYFUNCTION("""COMPUTED_VALUE"""),TRUE)</f>
        <v>1</v>
      </c>
      <c r="K217" s="49"/>
      <c r="L217" s="49" t="b">
        <f>IFERROR(__xludf.DUMMYFUNCTION("""COMPUTED_VALUE"""),FALSE)</f>
        <v>0</v>
      </c>
      <c r="M217" s="49" t="b">
        <f>IFERROR(__xludf.DUMMYFUNCTION("""COMPUTED_VALUE"""),FALSE)</f>
        <v>0</v>
      </c>
      <c r="N217" s="49"/>
    </row>
    <row r="218">
      <c r="A218" s="49" t="str">
        <f>IFERROR(__xludf.DUMMYFUNCTION("""COMPUTED_VALUE"""),"Volcanic Rain")</f>
        <v>Volcanic Rain</v>
      </c>
      <c r="B218" s="126">
        <f>IFERROR(__xludf.DUMMYFUNCTION("""COMPUTED_VALUE"""),9.0)</f>
        <v>9</v>
      </c>
      <c r="C218" s="125">
        <f>IFERROR(__xludf.DUMMYFUNCTION("""COMPUTED_VALUE"""),25000.0)</f>
        <v>25000</v>
      </c>
      <c r="D218" s="49"/>
      <c r="E218" s="49"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49" t="str">
        <f>IFERROR(__xludf.DUMMYFUNCTION("""COMPUTED_VALUE"""),"Cannot Avoid")</f>
        <v>Cannot Avoid</v>
      </c>
      <c r="G218" s="49"/>
      <c r="H218" s="49" t="str">
        <f>IFERROR(__xludf.DUMMYFUNCTION("""COMPUTED_VALUE"""),"Fire")</f>
        <v>Fire</v>
      </c>
      <c r="I218" s="49" t="str">
        <f>IFERROR(__xludf.DUMMYFUNCTION("""COMPUTED_VALUE"""),"Player")</f>
        <v>Player</v>
      </c>
      <c r="J218" s="49" t="b">
        <f>IFERROR(__xludf.DUMMYFUNCTION("""COMPUTED_VALUE"""),FALSE)</f>
        <v>0</v>
      </c>
      <c r="K218" s="49"/>
      <c r="L218" s="49" t="b">
        <f>IFERROR(__xludf.DUMMYFUNCTION("""COMPUTED_VALUE"""),TRUE)</f>
        <v>1</v>
      </c>
      <c r="M218" s="49" t="b">
        <f>IFERROR(__xludf.DUMMYFUNCTION("""COMPUTED_VALUE"""),FALSE)</f>
        <v>0</v>
      </c>
      <c r="N218" s="49"/>
    </row>
    <row r="219">
      <c r="A219" s="49" t="str">
        <f>IFERROR(__xludf.DUMMYFUNCTION("""COMPUTED_VALUE"""),"Volcanic Wall")</f>
        <v>Volcanic Wall</v>
      </c>
      <c r="B219" s="126">
        <f>IFERROR(__xludf.DUMMYFUNCTION("""COMPUTED_VALUE"""),9.0)</f>
        <v>9</v>
      </c>
      <c r="C219" s="49">
        <f>IFERROR(__xludf.DUMMYFUNCTION("""COMPUTED_VALUE"""),300.0)</f>
        <v>300</v>
      </c>
      <c r="D219" s="49"/>
      <c r="E219" s="49"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49" t="str">
        <f>IFERROR(__xludf.DUMMYFUNCTION("""COMPUTED_VALUE"""),"Fail/Succeed")</f>
        <v>Fail/Succeed</v>
      </c>
      <c r="G219" s="49"/>
      <c r="H219" s="49" t="str">
        <f>IFERROR(__xludf.DUMMYFUNCTION("""COMPUTED_VALUE"""),"Fire")</f>
        <v>Fire</v>
      </c>
      <c r="I219" s="49" t="str">
        <f>IFERROR(__xludf.DUMMYFUNCTION("""COMPUTED_VALUE"""),"Player")</f>
        <v>Player</v>
      </c>
      <c r="J219" s="49" t="b">
        <f>IFERROR(__xludf.DUMMYFUNCTION("""COMPUTED_VALUE"""),FALSE)</f>
        <v>0</v>
      </c>
      <c r="K219" s="49"/>
      <c r="L219" s="49" t="b">
        <f>IFERROR(__xludf.DUMMYFUNCTION("""COMPUTED_VALUE"""),FALSE)</f>
        <v>0</v>
      </c>
      <c r="M219" s="49" t="b">
        <f>IFERROR(__xludf.DUMMYFUNCTION("""COMPUTED_VALUE"""),FALSE)</f>
        <v>0</v>
      </c>
      <c r="N219" s="49"/>
    </row>
    <row r="220">
      <c r="A220" s="49" t="str">
        <f>IFERROR(__xludf.DUMMYFUNCTION("""COMPUTED_VALUE"""),"Webs Of Inferno")</f>
        <v>Webs Of Inferno</v>
      </c>
      <c r="B220" s="126">
        <f>IFERROR(__xludf.DUMMYFUNCTION("""COMPUTED_VALUE"""),1.0)</f>
        <v>1</v>
      </c>
      <c r="C220" s="125">
        <f>IFERROR(__xludf.DUMMYFUNCTION("""COMPUTED_VALUE"""),0.0)</f>
        <v>0</v>
      </c>
      <c r="D220" s="49"/>
      <c r="E220" s="49" t="str">
        <f>IFERROR(__xludf.DUMMYFUNCTION("""COMPUTED_VALUE"""),"All targets are bound in flaming webs causing Stun 3, and dealing 500 fire damage p/r for 3 rounds.")</f>
        <v>All targets are bound in flaming webs causing Stun 3, and dealing 500 fire damage p/r for 3 rounds.</v>
      </c>
      <c r="F220" s="49" t="str">
        <f>IFERROR(__xludf.DUMMYFUNCTION("""COMPUTED_VALUE"""),"Natural/Fail Or Succeed")</f>
        <v>Natural/Fail Or Succeed</v>
      </c>
      <c r="G220" s="49" t="str">
        <f>IFERROR(__xludf.DUMMYFUNCTION("""COMPUTED_VALUE"""),"All")</f>
        <v>All</v>
      </c>
      <c r="H220" s="49" t="str">
        <f>IFERROR(__xludf.DUMMYFUNCTION("""COMPUTED_VALUE"""),"Fire")</f>
        <v>Fire</v>
      </c>
      <c r="I220" s="49" t="str">
        <f>IFERROR(__xludf.DUMMYFUNCTION("""COMPUTED_VALUE"""),"Mob")</f>
        <v>Mob</v>
      </c>
      <c r="J220" s="49" t="b">
        <f>IFERROR(__xludf.DUMMYFUNCTION("""COMPUTED_VALUE"""),TRUE)</f>
        <v>1</v>
      </c>
      <c r="K220" s="49" t="str">
        <f>IFERROR(__xludf.DUMMYFUNCTION("""COMPUTED_VALUE"""),"Cannot be obtained by players.")</f>
        <v>Cannot be obtained by players.</v>
      </c>
      <c r="L220" s="49" t="b">
        <f>IFERROR(__xludf.DUMMYFUNCTION("""COMPUTED_VALUE"""),FALSE)</f>
        <v>0</v>
      </c>
      <c r="M220" s="49" t="b">
        <f>IFERROR(__xludf.DUMMYFUNCTION("""COMPUTED_VALUE"""),FALSE)</f>
        <v>0</v>
      </c>
      <c r="N220" s="49"/>
    </row>
    <row r="221">
      <c r="A221" s="49" t="str">
        <f>IFERROR(__xludf.DUMMYFUNCTION("""COMPUTED_VALUE"""),"Wrath of Heatmore")</f>
        <v>Wrath of Heatmore</v>
      </c>
      <c r="B221" s="126">
        <f>IFERROR(__xludf.DUMMYFUNCTION("""COMPUTED_VALUE"""),9.0)</f>
        <v>9</v>
      </c>
      <c r="C221" s="125">
        <f>IFERROR(__xludf.DUMMYFUNCTION("""COMPUTED_VALUE"""),10000.0)</f>
        <v>10000</v>
      </c>
      <c r="D221" s="49"/>
      <c r="E221" s="49" t="str">
        <f>IFERROR(__xludf.DUMMYFUNCTION("""COMPUTED_VALUE"""),"100,000 fire damage to all enemies. Cannot resist or be immune to.")</f>
        <v>100,000 fire damage to all enemies. Cannot resist or be immune to.</v>
      </c>
      <c r="F221" s="49" t="str">
        <f>IFERROR(__xludf.DUMMYFUNCTION("""COMPUTED_VALUE"""),"Cannot Avoid")</f>
        <v>Cannot Avoid</v>
      </c>
      <c r="G221" s="49" t="str">
        <f>IFERROR(__xludf.DUMMYFUNCTION("""COMPUTED_VALUE"""),"All")</f>
        <v>All</v>
      </c>
      <c r="H221" s="49" t="str">
        <f>IFERROR(__xludf.DUMMYFUNCTION("""COMPUTED_VALUE"""),"Fire")</f>
        <v>Fire</v>
      </c>
      <c r="I221" s="49" t="str">
        <f>IFERROR(__xludf.DUMMYFUNCTION("""COMPUTED_VALUE"""),"Mob")</f>
        <v>Mob</v>
      </c>
      <c r="J221" s="49" t="b">
        <f>IFERROR(__xludf.DUMMYFUNCTION("""COMPUTED_VALUE"""),TRUE)</f>
        <v>1</v>
      </c>
      <c r="K221" s="49"/>
      <c r="L221" s="49" t="b">
        <f>IFERROR(__xludf.DUMMYFUNCTION("""COMPUTED_VALUE"""),FALSE)</f>
        <v>0</v>
      </c>
      <c r="M221" s="49" t="b">
        <f>IFERROR(__xludf.DUMMYFUNCTION("""COMPUTED_VALUE"""),FALSE)</f>
        <v>0</v>
      </c>
      <c r="N221" s="49"/>
    </row>
    <row r="222">
      <c r="A222" s="49" t="str">
        <f>IFERROR(__xludf.DUMMYFUNCTION("""COMPUTED_VALUE"""),"Wrath Of The Fire Dragon")</f>
        <v>Wrath Of The Fire Dragon</v>
      </c>
      <c r="B222" s="126">
        <f>IFERROR(__xludf.DUMMYFUNCTION("""COMPUTED_VALUE"""),1.0)</f>
        <v>1</v>
      </c>
      <c r="C222" s="125">
        <f>IFERROR(__xludf.DUMMYFUNCTION("""COMPUTED_VALUE"""),0.0)</f>
        <v>0</v>
      </c>
      <c r="D222" s="49"/>
      <c r="E222" s="49" t="str">
        <f>IFERROR(__xludf.DUMMYFUNCTION("""COMPUTED_VALUE"""),"10,000 fire damage to all enemies. Cannot resist or be immune to.")</f>
        <v>10,000 fire damage to all enemies. Cannot resist or be immune to.</v>
      </c>
      <c r="F222" s="49" t="str">
        <f>IFERROR(__xludf.DUMMYFUNCTION("""COMPUTED_VALUE"""),"Natural/Cannot Avoid")</f>
        <v>Natural/Cannot Avoid</v>
      </c>
      <c r="G222" s="49" t="str">
        <f>IFERROR(__xludf.DUMMYFUNCTION("""COMPUTED_VALUE"""),"All")</f>
        <v>All</v>
      </c>
      <c r="H222" s="49" t="str">
        <f>IFERROR(__xludf.DUMMYFUNCTION("""COMPUTED_VALUE"""),"Fire")</f>
        <v>Fire</v>
      </c>
      <c r="I222" s="49" t="str">
        <f>IFERROR(__xludf.DUMMYFUNCTION("""COMPUTED_VALUE"""),"Mob")</f>
        <v>Mob</v>
      </c>
      <c r="J222" s="49" t="b">
        <f>IFERROR(__xludf.DUMMYFUNCTION("""COMPUTED_VALUE"""),TRUE)</f>
        <v>1</v>
      </c>
      <c r="K222" s="49"/>
      <c r="L222" s="49" t="b">
        <f>IFERROR(__xludf.DUMMYFUNCTION("""COMPUTED_VALUE"""),FALSE)</f>
        <v>0</v>
      </c>
      <c r="M222" s="49" t="b">
        <f>IFERROR(__xludf.DUMMYFUNCTION("""COMPUTED_VALUE"""),FALSE)</f>
        <v>0</v>
      </c>
      <c r="N222" s="49"/>
    </row>
    <row r="223">
      <c r="A223" s="49" t="str">
        <f>IFERROR(__xludf.DUMMYFUNCTION("""COMPUTED_VALUE"""),"Forged in Fire")</f>
        <v>Forged in Fire</v>
      </c>
      <c r="B223" s="126">
        <f>IFERROR(__xludf.DUMMYFUNCTION("""COMPUTED_VALUE"""),9.0)</f>
        <v>9</v>
      </c>
      <c r="C223" s="49" t="str">
        <f>IFERROR(__xludf.DUMMYFUNCTION("""COMPUTED_VALUE"""),"X")</f>
        <v>X</v>
      </c>
      <c r="D223" s="49"/>
      <c r="E223" s="49" t="str">
        <f>IFERROR(__xludf.DUMMYFUNCTION("""COMPUTED_VALUE"""),"Take X Fire damage but any enemy that deals weapon damage to you takes X*2 Burn for 3 rounds.")</f>
        <v>Take X Fire damage but any enemy that deals weapon damage to you takes X*2 Burn for 3 rounds.</v>
      </c>
      <c r="F223" s="49" t="str">
        <f>IFERROR(__xludf.DUMMYFUNCTION("""COMPUTED_VALUE"""),"Fail/Succeed")</f>
        <v>Fail/Succeed</v>
      </c>
      <c r="G223" s="49" t="str">
        <f>IFERROR(__xludf.DUMMYFUNCTION("""COMPUTED_VALUE"""),"Self")</f>
        <v>Self</v>
      </c>
      <c r="H223" s="49" t="str">
        <f>IFERROR(__xludf.DUMMYFUNCTION("""COMPUTED_VALUE"""),"Fire")</f>
        <v>Fire</v>
      </c>
      <c r="I223" s="49" t="str">
        <f>IFERROR(__xludf.DUMMYFUNCTION("""COMPUTED_VALUE"""),"Mob")</f>
        <v>Mob</v>
      </c>
      <c r="J223" s="49" t="b">
        <f>IFERROR(__xludf.DUMMYFUNCTION("""COMPUTED_VALUE"""),TRUE)</f>
        <v>1</v>
      </c>
      <c r="K223" s="49"/>
      <c r="L223" s="49" t="b">
        <f>IFERROR(__xludf.DUMMYFUNCTION("""COMPUTED_VALUE"""),FALSE)</f>
        <v>0</v>
      </c>
      <c r="M223" s="49" t="b">
        <f>IFERROR(__xludf.DUMMYFUNCTION("""COMPUTED_VALUE"""),FALSE)</f>
        <v>0</v>
      </c>
      <c r="N223" s="49"/>
    </row>
    <row r="224">
      <c r="A224" s="49" t="str">
        <f>IFERROR(__xludf.DUMMYFUNCTION("""COMPUTED_VALUE"""),"Overcharge")</f>
        <v>Overcharge</v>
      </c>
      <c r="B224" s="126">
        <f>IFERROR(__xludf.DUMMYFUNCTION("""COMPUTED_VALUE"""),5.0)</f>
        <v>5</v>
      </c>
      <c r="C224" s="49">
        <f>IFERROR(__xludf.DUMMYFUNCTION("""COMPUTED_VALUE"""),0.0)</f>
        <v>0</v>
      </c>
      <c r="D224" s="49"/>
      <c r="E224" s="49"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49" t="str">
        <f>IFERROR(__xludf.DUMMYFUNCTION("""COMPUTED_VALUE"""),"Natural/Fail or Succeed")</f>
        <v>Natural/Fail or Succeed</v>
      </c>
      <c r="G224" s="49" t="str">
        <f>IFERROR(__xludf.DUMMYFUNCTION("""COMPUTED_VALUE"""),"Self")</f>
        <v>Self</v>
      </c>
      <c r="H224" s="49" t="str">
        <f>IFERROR(__xludf.DUMMYFUNCTION("""COMPUTED_VALUE"""),"Fire")</f>
        <v>Fire</v>
      </c>
      <c r="I224" s="49" t="str">
        <f>IFERROR(__xludf.DUMMYFUNCTION("""COMPUTED_VALUE"""),"Player")</f>
        <v>Player</v>
      </c>
      <c r="J224" s="49" t="b">
        <f>IFERROR(__xludf.DUMMYFUNCTION("""COMPUTED_VALUE"""),TRUE)</f>
        <v>1</v>
      </c>
      <c r="K224" s="49" t="str">
        <f>IFERROR(__xludf.DUMMYFUNCTION("""COMPUTED_VALUE"""),"Mekanian")</f>
        <v>Mekanian</v>
      </c>
      <c r="L224" s="49" t="b">
        <f>IFERROR(__xludf.DUMMYFUNCTION("""COMPUTED_VALUE"""),FALSE)</f>
        <v>0</v>
      </c>
      <c r="M224" s="49" t="b">
        <f>IFERROR(__xludf.DUMMYFUNCTION("""COMPUTED_VALUE"""),FALSE)</f>
        <v>0</v>
      </c>
      <c r="N224" s="49"/>
    </row>
    <row r="225">
      <c r="A225" s="49" t="str">
        <f>IFERROR(__xludf.DUMMYFUNCTION("""COMPUTED_VALUE"""),"Cooldown")</f>
        <v>Cooldown</v>
      </c>
      <c r="B225" s="126">
        <f>IFERROR(__xludf.DUMMYFUNCTION("""COMPUTED_VALUE"""),3.0)</f>
        <v>3</v>
      </c>
      <c r="C225" s="49">
        <f>IFERROR(__xludf.DUMMYFUNCTION("""COMPUTED_VALUE"""),0.0)</f>
        <v>0</v>
      </c>
      <c r="D225" s="49"/>
      <c r="E225" s="49"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49" t="str">
        <f>IFERROR(__xludf.DUMMYFUNCTION("""COMPUTED_VALUE"""),"Natural/Fail or Succeed")</f>
        <v>Natural/Fail or Succeed</v>
      </c>
      <c r="G225" s="49" t="str">
        <f>IFERROR(__xludf.DUMMYFUNCTION("""COMPUTED_VALUE"""),"Self")</f>
        <v>Self</v>
      </c>
      <c r="H225" s="49" t="str">
        <f>IFERROR(__xludf.DUMMYFUNCTION("""COMPUTED_VALUE"""),"Fire")</f>
        <v>Fire</v>
      </c>
      <c r="I225" s="49" t="str">
        <f>IFERROR(__xludf.DUMMYFUNCTION("""COMPUTED_VALUE"""),"Player")</f>
        <v>Player</v>
      </c>
      <c r="J225" s="49" t="b">
        <f>IFERROR(__xludf.DUMMYFUNCTION("""COMPUTED_VALUE"""),TRUE)</f>
        <v>1</v>
      </c>
      <c r="K225" s="49" t="str">
        <f>IFERROR(__xludf.DUMMYFUNCTION("""COMPUTED_VALUE"""),"Mekanian")</f>
        <v>Mekanian</v>
      </c>
      <c r="L225" s="49" t="b">
        <f>IFERROR(__xludf.DUMMYFUNCTION("""COMPUTED_VALUE"""),FALSE)</f>
        <v>0</v>
      </c>
      <c r="M225" s="49" t="b">
        <f>IFERROR(__xludf.DUMMYFUNCTION("""COMPUTED_VALUE"""),FALSE)</f>
        <v>0</v>
      </c>
      <c r="N225" s="49"/>
    </row>
    <row r="226">
      <c r="A226" s="49" t="str">
        <f>IFERROR(__xludf.DUMMYFUNCTION("""COMPUTED_VALUE"""),"Recharge")</f>
        <v>Recharge</v>
      </c>
      <c r="B226" s="126">
        <f>IFERROR(__xludf.DUMMYFUNCTION("""COMPUTED_VALUE"""),9.0)</f>
        <v>9</v>
      </c>
      <c r="C226" s="49">
        <f>IFERROR(__xludf.DUMMYFUNCTION("""COMPUTED_VALUE"""),0.0)</f>
        <v>0</v>
      </c>
      <c r="D226" s="49"/>
      <c r="E226" s="49" t="str">
        <f>IFERROR(__xludf.DUMMYFUNCTION("""COMPUTED_VALUE"""),"If you are a construct heal 500 hp and gain the effects of Invigorated 3 and Haste 2.")</f>
        <v>If you are a construct heal 500 hp and gain the effects of Invigorated 3 and Haste 2.</v>
      </c>
      <c r="F226" s="49" t="str">
        <f>IFERROR(__xludf.DUMMYFUNCTION("""COMPUTED_VALUE"""),"Natural/Fail or Succeed")</f>
        <v>Natural/Fail or Succeed</v>
      </c>
      <c r="G226" s="49" t="str">
        <f>IFERROR(__xludf.DUMMYFUNCTION("""COMPUTED_VALUE"""),"Self")</f>
        <v>Self</v>
      </c>
      <c r="H226" s="49" t="str">
        <f>IFERROR(__xludf.DUMMYFUNCTION("""COMPUTED_VALUE"""),"Fire")</f>
        <v>Fire</v>
      </c>
      <c r="I226" s="49" t="str">
        <f>IFERROR(__xludf.DUMMYFUNCTION("""COMPUTED_VALUE"""),"Player")</f>
        <v>Player</v>
      </c>
      <c r="J226" s="49" t="b">
        <f>IFERROR(__xludf.DUMMYFUNCTION("""COMPUTED_VALUE"""),TRUE)</f>
        <v>1</v>
      </c>
      <c r="K226" s="49" t="str">
        <f>IFERROR(__xludf.DUMMYFUNCTION("""COMPUTED_VALUE"""),"Mekanian")</f>
        <v>Mekanian</v>
      </c>
      <c r="L226" s="49" t="b">
        <f>IFERROR(__xludf.DUMMYFUNCTION("""COMPUTED_VALUE"""),FALSE)</f>
        <v>0</v>
      </c>
      <c r="M226" s="49" t="b">
        <f>IFERROR(__xludf.DUMMYFUNCTION("""COMPUTED_VALUE"""),FALSE)</f>
        <v>0</v>
      </c>
      <c r="N226" s="49"/>
    </row>
    <row r="227">
      <c r="A227" s="49" t="str">
        <f>IFERROR(__xludf.DUMMYFUNCTION("""COMPUTED_VALUE"""),"Fire Bolt")</f>
        <v>Fire Bolt</v>
      </c>
      <c r="B227" s="126">
        <f>IFERROR(__xludf.DUMMYFUNCTION("""COMPUTED_VALUE"""),1.0)</f>
        <v>1</v>
      </c>
      <c r="C227" s="49" t="str">
        <f>IFERROR(__xludf.DUMMYFUNCTION("""COMPUTED_VALUE"""),"X")</f>
        <v>X</v>
      </c>
      <c r="D227" s="49"/>
      <c r="E227" s="49" t="str">
        <f>IFERROR(__xludf.DUMMYFUNCTION("""COMPUTED_VALUE"""),"Deals X*100 Fire damage to a single enemy where X is equal to SP spent.")</f>
        <v>Deals X*100 Fire damage to a single enemy where X is equal to SP spent.</v>
      </c>
      <c r="F227" s="49" t="str">
        <f>IFERROR(__xludf.DUMMYFUNCTION("""COMPUTED_VALUE"""),"Hit/Miss")</f>
        <v>Hit/Miss</v>
      </c>
      <c r="G227" s="49">
        <f>IFERROR(__xludf.DUMMYFUNCTION("""COMPUTED_VALUE"""),1.0)</f>
        <v>1</v>
      </c>
      <c r="H227" s="49" t="str">
        <f>IFERROR(__xludf.DUMMYFUNCTION("""COMPUTED_VALUE"""),"Fire")</f>
        <v>Fire</v>
      </c>
      <c r="I227" s="49" t="str">
        <f>IFERROR(__xludf.DUMMYFUNCTION("""COMPUTED_VALUE"""),"Player")</f>
        <v>Player</v>
      </c>
      <c r="J227" s="49" t="b">
        <f>IFERROR(__xludf.DUMMYFUNCTION("""COMPUTED_VALUE"""),FALSE)</f>
        <v>0</v>
      </c>
      <c r="K227" s="49"/>
      <c r="L227" s="49" t="b">
        <f>IFERROR(__xludf.DUMMYFUNCTION("""COMPUTED_VALUE"""),FALSE)</f>
        <v>0</v>
      </c>
      <c r="M227" s="49" t="b">
        <f>IFERROR(__xludf.DUMMYFUNCTION("""COMPUTED_VALUE"""),FALSE)</f>
        <v>0</v>
      </c>
      <c r="N227" s="49"/>
    </row>
    <row r="228">
      <c r="A228" s="49" t="str">
        <f>IFERROR(__xludf.DUMMYFUNCTION("""COMPUTED_VALUE"""),"Flame Thrower")</f>
        <v>Flame Thrower</v>
      </c>
      <c r="B228" s="126">
        <f>IFERROR(__xludf.DUMMYFUNCTION("""COMPUTED_VALUE"""),5.0)</f>
        <v>5</v>
      </c>
      <c r="C228" s="49" t="str">
        <f>IFERROR(__xludf.DUMMYFUNCTION("""COMPUTED_VALUE"""),"X")</f>
        <v>X</v>
      </c>
      <c r="D228" s="49"/>
      <c r="E228" s="49" t="str">
        <f>IFERROR(__xludf.DUMMYFUNCTION("""COMPUTED_VALUE"""),"Deals X*50 Burn for 3 rounds to a single target where X is equal to SP spent.")</f>
        <v>Deals X*50 Burn for 3 rounds to a single target where X is equal to SP spent.</v>
      </c>
      <c r="F228" s="49" t="str">
        <f>IFERROR(__xludf.DUMMYFUNCTION("""COMPUTED_VALUE"""),"Hit/Miss")</f>
        <v>Hit/Miss</v>
      </c>
      <c r="G228" s="49">
        <f>IFERROR(__xludf.DUMMYFUNCTION("""COMPUTED_VALUE"""),1.0)</f>
        <v>1</v>
      </c>
      <c r="H228" s="49" t="str">
        <f>IFERROR(__xludf.DUMMYFUNCTION("""COMPUTED_VALUE"""),"Fire")</f>
        <v>Fire</v>
      </c>
      <c r="I228" s="49" t="str">
        <f>IFERROR(__xludf.DUMMYFUNCTION("""COMPUTED_VALUE"""),"Player")</f>
        <v>Player</v>
      </c>
      <c r="J228" s="49" t="b">
        <f>IFERROR(__xludf.DUMMYFUNCTION("""COMPUTED_VALUE"""),FALSE)</f>
        <v>0</v>
      </c>
      <c r="K228" s="49"/>
      <c r="L228" s="49" t="b">
        <f>IFERROR(__xludf.DUMMYFUNCTION("""COMPUTED_VALUE"""),FALSE)</f>
        <v>0</v>
      </c>
      <c r="M228" s="49" t="b">
        <f>IFERROR(__xludf.DUMMYFUNCTION("""COMPUTED_VALUE"""),FALSE)</f>
        <v>0</v>
      </c>
      <c r="N228" s="49"/>
    </row>
    <row r="229">
      <c r="A229" s="49" t="str">
        <f>IFERROR(__xludf.DUMMYFUNCTION("""COMPUTED_VALUE"""),"Meteor Shower")</f>
        <v>Meteor Shower</v>
      </c>
      <c r="B229" s="126">
        <f>IFERROR(__xludf.DUMMYFUNCTION("""COMPUTED_VALUE"""),5.0)</f>
        <v>5</v>
      </c>
      <c r="C229" s="49" t="str">
        <f>IFERROR(__xludf.DUMMYFUNCTION("""COMPUTED_VALUE"""),"X")</f>
        <v>X</v>
      </c>
      <c r="D229" s="49"/>
      <c r="E229" s="49" t="str">
        <f>IFERROR(__xludf.DUMMYFUNCTION("""COMPUTED_VALUE"""),"Deals X*25 Fire damage to all enemies where X is equal to SP spent.")</f>
        <v>Deals X*25 Fire damage to all enemies where X is equal to SP spent.</v>
      </c>
      <c r="F229" s="49" t="str">
        <f>IFERROR(__xludf.DUMMYFUNCTION("""COMPUTED_VALUE"""),"Cannot Avoid")</f>
        <v>Cannot Avoid</v>
      </c>
      <c r="G229" s="49" t="str">
        <f>IFERROR(__xludf.DUMMYFUNCTION("""COMPUTED_VALUE"""),"All")</f>
        <v>All</v>
      </c>
      <c r="H229" s="49" t="str">
        <f>IFERROR(__xludf.DUMMYFUNCTION("""COMPUTED_VALUE"""),"Fire")</f>
        <v>Fire</v>
      </c>
      <c r="I229" s="49" t="str">
        <f>IFERROR(__xludf.DUMMYFUNCTION("""COMPUTED_VALUE"""),"Player")</f>
        <v>Player</v>
      </c>
      <c r="J229" s="49" t="b">
        <f>IFERROR(__xludf.DUMMYFUNCTION("""COMPUTED_VALUE"""),FALSE)</f>
        <v>0</v>
      </c>
      <c r="K229" s="49"/>
      <c r="L229" s="49" t="b">
        <f>IFERROR(__xludf.DUMMYFUNCTION("""COMPUTED_VALUE"""),FALSE)</f>
        <v>0</v>
      </c>
      <c r="M229" s="49" t="b">
        <f>IFERROR(__xludf.DUMMYFUNCTION("""COMPUTED_VALUE"""),FALSE)</f>
        <v>0</v>
      </c>
      <c r="N229" s="49"/>
    </row>
    <row r="230">
      <c r="A230" s="49" t="str">
        <f>IFERROR(__xludf.DUMMYFUNCTION("""COMPUTED_VALUE"""),"Mass Ignition")</f>
        <v>Mass Ignition</v>
      </c>
      <c r="B230" s="126">
        <f>IFERROR(__xludf.DUMMYFUNCTION("""COMPUTED_VALUE"""),6.0)</f>
        <v>6</v>
      </c>
      <c r="C230" s="49" t="str">
        <f>IFERROR(__xludf.DUMMYFUNCTION("""COMPUTED_VALUE"""),"X")</f>
        <v>X</v>
      </c>
      <c r="D230" s="49"/>
      <c r="E230" s="49" t="str">
        <f>IFERROR(__xludf.DUMMYFUNCTION("""COMPUTED_VALUE"""),"Deals X*10 Burn to all enemies for 3 rounds where X is equal to SP spent.")</f>
        <v>Deals X*10 Burn to all enemies for 3 rounds where X is equal to SP spent.</v>
      </c>
      <c r="F230" s="49" t="str">
        <f>IFERROR(__xludf.DUMMYFUNCTION("""COMPUTED_VALUE"""),"Cannot Avoid")</f>
        <v>Cannot Avoid</v>
      </c>
      <c r="G230" s="49" t="str">
        <f>IFERROR(__xludf.DUMMYFUNCTION("""COMPUTED_VALUE"""),"All")</f>
        <v>All</v>
      </c>
      <c r="H230" s="49" t="str">
        <f>IFERROR(__xludf.DUMMYFUNCTION("""COMPUTED_VALUE"""),"Fire")</f>
        <v>Fire</v>
      </c>
      <c r="I230" s="49" t="str">
        <f>IFERROR(__xludf.DUMMYFUNCTION("""COMPUTED_VALUE"""),"Player")</f>
        <v>Player</v>
      </c>
      <c r="J230" s="49" t="b">
        <f>IFERROR(__xludf.DUMMYFUNCTION("""COMPUTED_VALUE"""),FALSE)</f>
        <v>0</v>
      </c>
      <c r="K230" s="49"/>
      <c r="L230" s="49" t="b">
        <f>IFERROR(__xludf.DUMMYFUNCTION("""COMPUTED_VALUE"""),FALSE)</f>
        <v>0</v>
      </c>
      <c r="M230" s="49" t="b">
        <f>IFERROR(__xludf.DUMMYFUNCTION("""COMPUTED_VALUE"""),FALSE)</f>
        <v>0</v>
      </c>
      <c r="N230" s="49"/>
    </row>
    <row r="231">
      <c r="A231" s="49" t="str">
        <f>IFERROR(__xludf.DUMMYFUNCTION("""COMPUTED_VALUE"""),"Wall of Flames")</f>
        <v>Wall of Flames</v>
      </c>
      <c r="B231" s="126">
        <f>IFERROR(__xludf.DUMMYFUNCTION("""COMPUTED_VALUE"""),9.0)</f>
        <v>9</v>
      </c>
      <c r="C231" s="49">
        <f>IFERROR(__xludf.DUMMYFUNCTION("""COMPUTED_VALUE"""),2000.0)</f>
        <v>2000</v>
      </c>
      <c r="D231" s="49"/>
      <c r="E231" s="49" t="str">
        <f>IFERROR(__xludf.DUMMYFUNCTION("""COMPUTED_VALUE"""),"Deals 20,000 fire damage per round to all enemies that doubles each round for 3 rounds.")</f>
        <v>Deals 20,000 fire damage per round to all enemies that doubles each round for 3 rounds.</v>
      </c>
      <c r="F231" s="49" t="str">
        <f>IFERROR(__xludf.DUMMYFUNCTION("""COMPUTED_VALUE"""),"Fail/Succeed")</f>
        <v>Fail/Succeed</v>
      </c>
      <c r="G231" s="49" t="str">
        <f>IFERROR(__xludf.DUMMYFUNCTION("""COMPUTED_VALUE"""),"All")</f>
        <v>All</v>
      </c>
      <c r="H231" s="49" t="str">
        <f>IFERROR(__xludf.DUMMYFUNCTION("""COMPUTED_VALUE"""),"Fire")</f>
        <v>Fire</v>
      </c>
      <c r="I231" s="49" t="str">
        <f>IFERROR(__xludf.DUMMYFUNCTION("""COMPUTED_VALUE"""),"Player")</f>
        <v>Player</v>
      </c>
      <c r="J231" s="49" t="b">
        <f>IFERROR(__xludf.DUMMYFUNCTION("""COMPUTED_VALUE"""),FALSE)</f>
        <v>0</v>
      </c>
      <c r="K231" s="49"/>
      <c r="L231" s="49" t="b">
        <f>IFERROR(__xludf.DUMMYFUNCTION("""COMPUTED_VALUE"""),FALSE)</f>
        <v>0</v>
      </c>
      <c r="M231" s="49" t="b">
        <f>IFERROR(__xludf.DUMMYFUNCTION("""COMPUTED_VALUE"""),FALSE)</f>
        <v>0</v>
      </c>
      <c r="N231" s="49"/>
    </row>
    <row r="232">
      <c r="A232" s="49" t="str">
        <f>IFERROR(__xludf.DUMMYFUNCTION("""COMPUTED_VALUE"""),"Meltdown")</f>
        <v>Meltdown</v>
      </c>
      <c r="B232" s="126">
        <f>IFERROR(__xludf.DUMMYFUNCTION("""COMPUTED_VALUE"""),9.0)</f>
        <v>9</v>
      </c>
      <c r="C232" s="49"/>
      <c r="D232" s="49" t="str">
        <f>IFERROR(__xludf.DUMMYFUNCTION("""COMPUTED_VALUE"""),"X")</f>
        <v>X</v>
      </c>
      <c r="E232" s="49"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49" t="str">
        <f>IFERROR(__xludf.DUMMYFUNCTION("""COMPUTED_VALUE"""),"Fail/Succeed")</f>
        <v>Fail/Succeed</v>
      </c>
      <c r="G232" s="49" t="str">
        <f>IFERROR(__xludf.DUMMYFUNCTION("""COMPUTED_VALUE"""),"All")</f>
        <v>All</v>
      </c>
      <c r="H232" s="49" t="str">
        <f>IFERROR(__xludf.DUMMYFUNCTION("""COMPUTED_VALUE"""),"Fire")</f>
        <v>Fire</v>
      </c>
      <c r="I232" s="49" t="str">
        <f>IFERROR(__xludf.DUMMYFUNCTION("""COMPUTED_VALUE"""),"Player")</f>
        <v>Player</v>
      </c>
      <c r="J232" s="49" t="b">
        <f>IFERROR(__xludf.DUMMYFUNCTION("""COMPUTED_VALUE"""),TRUE)</f>
        <v>1</v>
      </c>
      <c r="K232" s="49"/>
      <c r="L232" s="49" t="b">
        <f>IFERROR(__xludf.DUMMYFUNCTION("""COMPUTED_VALUE"""),FALSE)</f>
        <v>0</v>
      </c>
      <c r="M232" s="49" t="b">
        <f>IFERROR(__xludf.DUMMYFUNCTION("""COMPUTED_VALUE"""),FALSE)</f>
        <v>0</v>
      </c>
      <c r="N232" s="49"/>
    </row>
    <row r="233">
      <c r="A233" s="49" t="str">
        <f>IFERROR(__xludf.DUMMYFUNCTION("""COMPUTED_VALUE"""),"Radiant Aura")</f>
        <v>Radiant Aura</v>
      </c>
      <c r="B233" s="126">
        <f>IFERROR(__xludf.DUMMYFUNCTION("""COMPUTED_VALUE"""),7.0)</f>
        <v>7</v>
      </c>
      <c r="C233" s="49" t="str">
        <f>IFERROR(__xludf.DUMMYFUNCTION("""COMPUTED_VALUE"""),"X")</f>
        <v>X</v>
      </c>
      <c r="D233" s="49"/>
      <c r="E233" s="49" t="str">
        <f>IFERROR(__xludf.DUMMYFUNCTION("""COMPUTED_VALUE"""),"X*10 Light damage per round for 3 rounds to all enemies where X is equal to SP spent.")</f>
        <v>X*10 Light damage per round for 3 rounds to all enemies where X is equal to SP spent.</v>
      </c>
      <c r="F233" s="49" t="str">
        <f>IFERROR(__xludf.DUMMYFUNCTION("""COMPUTED_VALUE"""),"Cannot Avoid")</f>
        <v>Cannot Avoid</v>
      </c>
      <c r="G233" s="49"/>
      <c r="H233" s="49" t="str">
        <f>IFERROR(__xludf.DUMMYFUNCTION("""COMPUTED_VALUE"""),"Light")</f>
        <v>Light</v>
      </c>
      <c r="I233" s="49" t="str">
        <f>IFERROR(__xludf.DUMMYFUNCTION("""COMPUTED_VALUE"""),"Player")</f>
        <v>Player</v>
      </c>
      <c r="J233" s="49" t="b">
        <f>IFERROR(__xludf.DUMMYFUNCTION("""COMPUTED_VALUE"""),TRUE)</f>
        <v>1</v>
      </c>
      <c r="K233" s="49"/>
      <c r="L233" s="49" t="b">
        <f>IFERROR(__xludf.DUMMYFUNCTION("""COMPUTED_VALUE"""),FALSE)</f>
        <v>0</v>
      </c>
      <c r="M233" s="49" t="b">
        <f>IFERROR(__xludf.DUMMYFUNCTION("""COMPUTED_VALUE"""),FALSE)</f>
        <v>0</v>
      </c>
      <c r="N233" s="49"/>
    </row>
    <row r="234">
      <c r="A234" s="49" t="str">
        <f>IFERROR(__xludf.DUMMYFUNCTION("""COMPUTED_VALUE"""),"Baptize")</f>
        <v>Baptize</v>
      </c>
      <c r="B234" s="126">
        <f>IFERROR(__xludf.DUMMYFUNCTION("""COMPUTED_VALUE"""),4.0)</f>
        <v>4</v>
      </c>
      <c r="C234" s="49">
        <f>IFERROR(__xludf.DUMMYFUNCTION("""COMPUTED_VALUE"""),40.0)</f>
        <v>40</v>
      </c>
      <c r="D234" s="49"/>
      <c r="E234" s="49" t="str">
        <f>IFERROR(__xludf.DUMMYFUNCTION("""COMPUTED_VALUE"""),"Target becomes immune to light and dark until the end of Battle. Cannot be casted on self.")</f>
        <v>Target becomes immune to light and dark until the end of Battle. Cannot be casted on self.</v>
      </c>
      <c r="F234" s="49" t="str">
        <f>IFERROR(__xludf.DUMMYFUNCTION("""COMPUTED_VALUE"""),"Fail/Succeed")</f>
        <v>Fail/Succeed</v>
      </c>
      <c r="G234" s="49"/>
      <c r="H234" s="49" t="str">
        <f>IFERROR(__xludf.DUMMYFUNCTION("""COMPUTED_VALUE"""),"Light")</f>
        <v>Light</v>
      </c>
      <c r="I234" s="49" t="str">
        <f>IFERROR(__xludf.DUMMYFUNCTION("""COMPUTED_VALUE"""),"Player")</f>
        <v>Player</v>
      </c>
      <c r="J234" s="49" t="b">
        <f>IFERROR(__xludf.DUMMYFUNCTION("""COMPUTED_VALUE"""),FALSE)</f>
        <v>0</v>
      </c>
      <c r="K234" s="49"/>
      <c r="L234" s="49" t="b">
        <f>IFERROR(__xludf.DUMMYFUNCTION("""COMPUTED_VALUE"""),FALSE)</f>
        <v>0</v>
      </c>
      <c r="M234" s="49" t="b">
        <f>IFERROR(__xludf.DUMMYFUNCTION("""COMPUTED_VALUE"""),FALSE)</f>
        <v>0</v>
      </c>
      <c r="N234" s="49"/>
    </row>
    <row r="235">
      <c r="A235" s="49" t="str">
        <f>IFERROR(__xludf.DUMMYFUNCTION("""COMPUTED_VALUE"""),"Bless")</f>
        <v>Bless</v>
      </c>
      <c r="B235" s="126">
        <f>IFERROR(__xludf.DUMMYFUNCTION("""COMPUTED_VALUE"""),4.0)</f>
        <v>4</v>
      </c>
      <c r="C235" s="49" t="str">
        <f>IFERROR(__xludf.DUMMYFUNCTION("""COMPUTED_VALUE"""),"X")</f>
        <v>X</v>
      </c>
      <c r="D235" s="49"/>
      <c r="E235" s="49" t="str">
        <f>IFERROR(__xludf.DUMMYFUNCTION("""COMPUTED_VALUE"""),"Target gains X*4 Light damage and X*4 Light resistance, can’t be used on self")</f>
        <v>Target gains X*4 Light damage and X*4 Light resistance, can’t be used on self</v>
      </c>
      <c r="F235" s="49" t="str">
        <f>IFERROR(__xludf.DUMMYFUNCTION("""COMPUTED_VALUE"""),"Will Succeed")</f>
        <v>Will Succeed</v>
      </c>
      <c r="G235" s="49"/>
      <c r="H235" s="49" t="str">
        <f>IFERROR(__xludf.DUMMYFUNCTION("""COMPUTED_VALUE"""),"Light")</f>
        <v>Light</v>
      </c>
      <c r="I235" s="49" t="str">
        <f>IFERROR(__xludf.DUMMYFUNCTION("""COMPUTED_VALUE"""),"Player")</f>
        <v>Player</v>
      </c>
      <c r="J235" s="49" t="b">
        <f>IFERROR(__xludf.DUMMYFUNCTION("""COMPUTED_VALUE"""),FALSE)</f>
        <v>0</v>
      </c>
      <c r="K235" s="49"/>
      <c r="L235" s="49" t="b">
        <f>IFERROR(__xludf.DUMMYFUNCTION("""COMPUTED_VALUE"""),FALSE)</f>
        <v>0</v>
      </c>
      <c r="M235" s="49" t="b">
        <f>IFERROR(__xludf.DUMMYFUNCTION("""COMPUTED_VALUE"""),FALSE)</f>
        <v>0</v>
      </c>
      <c r="N235" s="49"/>
    </row>
    <row r="236">
      <c r="A236" s="49" t="str">
        <f>IFERROR(__xludf.DUMMYFUNCTION("""COMPUTED_VALUE"""),"Bright Light")</f>
        <v>Bright Light</v>
      </c>
      <c r="B236" s="126">
        <f>IFERROR(__xludf.DUMMYFUNCTION("""COMPUTED_VALUE"""),2.0)</f>
        <v>2</v>
      </c>
      <c r="C236" s="49" t="str">
        <f>IFERROR(__xludf.DUMMYFUNCTION("""COMPUTED_VALUE"""),"X")</f>
        <v>X</v>
      </c>
      <c r="D236" s="49"/>
      <c r="E236" s="49" t="str">
        <f>IFERROR(__xludf.DUMMYFUNCTION("""COMPUTED_VALUE"""),"X*25 Light damage to all enemies where X is equal to the users SP spent, sheds light for 3 rounds.")</f>
        <v>X*25 Light damage to all enemies where X is equal to the users SP spent, sheds light for 3 rounds.</v>
      </c>
      <c r="F236" s="49" t="str">
        <f>IFERROR(__xludf.DUMMYFUNCTION("""COMPUTED_VALUE"""),"Cannot Avoid")</f>
        <v>Cannot Avoid</v>
      </c>
      <c r="G236" s="49" t="str">
        <f>IFERROR(__xludf.DUMMYFUNCTION("""COMPUTED_VALUE"""),"All")</f>
        <v>All</v>
      </c>
      <c r="H236" s="49" t="str">
        <f>IFERROR(__xludf.DUMMYFUNCTION("""COMPUTED_VALUE"""),"Light")</f>
        <v>Light</v>
      </c>
      <c r="I236" s="49" t="str">
        <f>IFERROR(__xludf.DUMMYFUNCTION("""COMPUTED_VALUE"""),"Player")</f>
        <v>Player</v>
      </c>
      <c r="J236" s="49" t="b">
        <f>IFERROR(__xludf.DUMMYFUNCTION("""COMPUTED_VALUE"""),FALSE)</f>
        <v>0</v>
      </c>
      <c r="K236" s="49"/>
      <c r="L236" s="49" t="b">
        <f>IFERROR(__xludf.DUMMYFUNCTION("""COMPUTED_VALUE"""),FALSE)</f>
        <v>0</v>
      </c>
      <c r="M236" s="49" t="b">
        <f>IFERROR(__xludf.DUMMYFUNCTION("""COMPUTED_VALUE"""),FALSE)</f>
        <v>0</v>
      </c>
      <c r="N236" s="49"/>
    </row>
    <row r="237">
      <c r="A237" s="49" t="str">
        <f>IFERROR(__xludf.DUMMYFUNCTION("""COMPUTED_VALUE"""),"Disease Control")</f>
        <v>Disease Control</v>
      </c>
      <c r="B237" s="126">
        <f>IFERROR(__xludf.DUMMYFUNCTION("""COMPUTED_VALUE"""),9.0)</f>
        <v>9</v>
      </c>
      <c r="C237" s="49">
        <f>IFERROR(__xludf.DUMMYFUNCTION("""COMPUTED_VALUE"""),300.0)</f>
        <v>300</v>
      </c>
      <c r="D237" s="49"/>
      <c r="E237" s="49"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49" t="str">
        <f>IFERROR(__xludf.DUMMYFUNCTION("""COMPUTED_VALUE"""),"Fail/succeed")</f>
        <v>Fail/succeed</v>
      </c>
      <c r="G237" s="49">
        <f>IFERROR(__xludf.DUMMYFUNCTION("""COMPUTED_VALUE"""),1.0)</f>
        <v>1</v>
      </c>
      <c r="H237" s="49" t="str">
        <f>IFERROR(__xludf.DUMMYFUNCTION("""COMPUTED_VALUE"""),"Light")</f>
        <v>Light</v>
      </c>
      <c r="I237" s="49" t="str">
        <f>IFERROR(__xludf.DUMMYFUNCTION("""COMPUTED_VALUE"""),"Player")</f>
        <v>Player</v>
      </c>
      <c r="J237" s="49" t="b">
        <f>IFERROR(__xludf.DUMMYFUNCTION("""COMPUTED_VALUE"""),FALSE)</f>
        <v>0</v>
      </c>
      <c r="K237" s="49"/>
      <c r="L237" s="49" t="b">
        <f>IFERROR(__xludf.DUMMYFUNCTION("""COMPUTED_VALUE"""),FALSE)</f>
        <v>0</v>
      </c>
      <c r="M237" s="49" t="b">
        <f>IFERROR(__xludf.DUMMYFUNCTION("""COMPUTED_VALUE"""),FALSE)</f>
        <v>0</v>
      </c>
      <c r="N237" s="49"/>
    </row>
    <row r="238">
      <c r="A238" s="49" t="str">
        <f>IFERROR(__xludf.DUMMYFUNCTION("""COMPUTED_VALUE"""),"Flare")</f>
        <v>Flare</v>
      </c>
      <c r="B238" s="126">
        <f>IFERROR(__xludf.DUMMYFUNCTION("""COMPUTED_VALUE"""),1.0)</f>
        <v>1</v>
      </c>
      <c r="C238" s="49" t="str">
        <f>IFERROR(__xludf.DUMMYFUNCTION("""COMPUTED_VALUE"""),"X")</f>
        <v>X</v>
      </c>
      <c r="D238" s="49"/>
      <c r="E238" s="49" t="str">
        <f>IFERROR(__xludf.DUMMYFUNCTION("""COMPUTED_VALUE"""),"X*100 Light damage to one target where X is equal to sp spent, sheds light for 3 rounds")</f>
        <v>X*100 Light damage to one target where X is equal to sp spent, sheds light for 3 rounds</v>
      </c>
      <c r="F238" s="49" t="str">
        <f>IFERROR(__xludf.DUMMYFUNCTION("""COMPUTED_VALUE"""),"Hit/Miss")</f>
        <v>Hit/Miss</v>
      </c>
      <c r="G238" s="49">
        <f>IFERROR(__xludf.DUMMYFUNCTION("""COMPUTED_VALUE"""),1.0)</f>
        <v>1</v>
      </c>
      <c r="H238" s="49" t="str">
        <f>IFERROR(__xludf.DUMMYFUNCTION("""COMPUTED_VALUE"""),"Light")</f>
        <v>Light</v>
      </c>
      <c r="I238" s="49" t="str">
        <f>IFERROR(__xludf.DUMMYFUNCTION("""COMPUTED_VALUE"""),"Player")</f>
        <v>Player</v>
      </c>
      <c r="J238" s="49" t="b">
        <f>IFERROR(__xludf.DUMMYFUNCTION("""COMPUTED_VALUE"""),FALSE)</f>
        <v>0</v>
      </c>
      <c r="K238" s="49"/>
      <c r="L238" s="49" t="b">
        <f>IFERROR(__xludf.DUMMYFUNCTION("""COMPUTED_VALUE"""),FALSE)</f>
        <v>0</v>
      </c>
      <c r="M238" s="49" t="b">
        <f>IFERROR(__xludf.DUMMYFUNCTION("""COMPUTED_VALUE"""),FALSE)</f>
        <v>0</v>
      </c>
      <c r="N238" s="49"/>
    </row>
    <row r="239">
      <c r="A239" s="49" t="str">
        <f>IFERROR(__xludf.DUMMYFUNCTION("""COMPUTED_VALUE"""),"Focused Light")</f>
        <v>Focused Light</v>
      </c>
      <c r="B239" s="126">
        <f>IFERROR(__xludf.DUMMYFUNCTION("""COMPUTED_VALUE"""),5.0)</f>
        <v>5</v>
      </c>
      <c r="C239" s="49" t="str">
        <f>IFERROR(__xludf.DUMMYFUNCTION("""COMPUTED_VALUE"""),"X")</f>
        <v>X</v>
      </c>
      <c r="D239" s="49"/>
      <c r="E239" s="49" t="str">
        <f>IFERROR(__xludf.DUMMYFUNCTION("""COMPUTED_VALUE"""),"X*50 Light damage and X*50 Fire damage to one target where X is equal to Sp spent. Sheds light for 3 rounds.")</f>
        <v>X*50 Light damage and X*50 Fire damage to one target where X is equal to Sp spent. Sheds light for 3 rounds.</v>
      </c>
      <c r="F239" s="49" t="str">
        <f>IFERROR(__xludf.DUMMYFUNCTION("""COMPUTED_VALUE"""),"Hit/Miss")</f>
        <v>Hit/Miss</v>
      </c>
      <c r="G239" s="49">
        <f>IFERROR(__xludf.DUMMYFUNCTION("""COMPUTED_VALUE"""),1.0)</f>
        <v>1</v>
      </c>
      <c r="H239" s="49" t="str">
        <f>IFERROR(__xludf.DUMMYFUNCTION("""COMPUTED_VALUE"""),"Light")</f>
        <v>Light</v>
      </c>
      <c r="I239" s="49" t="str">
        <f>IFERROR(__xludf.DUMMYFUNCTION("""COMPUTED_VALUE"""),"Player")</f>
        <v>Player</v>
      </c>
      <c r="J239" s="49" t="b">
        <f>IFERROR(__xludf.DUMMYFUNCTION("""COMPUTED_VALUE"""),FALSE)</f>
        <v>0</v>
      </c>
      <c r="K239" s="49"/>
      <c r="L239" s="49" t="b">
        <f>IFERROR(__xludf.DUMMYFUNCTION("""COMPUTED_VALUE"""),FALSE)</f>
        <v>0</v>
      </c>
      <c r="M239" s="49" t="b">
        <f>IFERROR(__xludf.DUMMYFUNCTION("""COMPUTED_VALUE"""),FALSE)</f>
        <v>0</v>
      </c>
      <c r="N239" s="49"/>
    </row>
    <row r="240">
      <c r="A240" s="49" t="str">
        <f>IFERROR(__xludf.DUMMYFUNCTION("""COMPUTED_VALUE"""),"Full Revive")</f>
        <v>Full Revive</v>
      </c>
      <c r="B240" s="126">
        <f>IFERROR(__xludf.DUMMYFUNCTION("""COMPUTED_VALUE"""),9.0)</f>
        <v>9</v>
      </c>
      <c r="C240" s="49">
        <f>IFERROR(__xludf.DUMMYFUNCTION("""COMPUTED_VALUE"""),300.0)</f>
        <v>300</v>
      </c>
      <c r="D240" s="49"/>
      <c r="E240" s="49" t="str">
        <f>IFERROR(__xludf.DUMMYFUNCTION("""COMPUTED_VALUE"""),"Return all allies from death with full HP, must be done before they respawn.")</f>
        <v>Return all allies from death with full HP, must be done before they respawn.</v>
      </c>
      <c r="F240" s="49" t="str">
        <f>IFERROR(__xludf.DUMMYFUNCTION("""COMPUTED_VALUE"""),"Fail/succeed")</f>
        <v>Fail/succeed</v>
      </c>
      <c r="G240" s="49"/>
      <c r="H240" s="49" t="str">
        <f>IFERROR(__xludf.DUMMYFUNCTION("""COMPUTED_VALUE"""),"Light")</f>
        <v>Light</v>
      </c>
      <c r="I240" s="49" t="str">
        <f>IFERROR(__xludf.DUMMYFUNCTION("""COMPUTED_VALUE"""),"Player")</f>
        <v>Player</v>
      </c>
      <c r="J240" s="49" t="b">
        <f>IFERROR(__xludf.DUMMYFUNCTION("""COMPUTED_VALUE"""),FALSE)</f>
        <v>0</v>
      </c>
      <c r="K240" s="49"/>
      <c r="L240" s="49" t="b">
        <f>IFERROR(__xludf.DUMMYFUNCTION("""COMPUTED_VALUE"""),FALSE)</f>
        <v>0</v>
      </c>
      <c r="M240" s="49" t="b">
        <f>IFERROR(__xludf.DUMMYFUNCTION("""COMPUTED_VALUE"""),FALSE)</f>
        <v>0</v>
      </c>
      <c r="N240" s="49"/>
    </row>
    <row r="241">
      <c r="A241" s="49" t="str">
        <f>IFERROR(__xludf.DUMMYFUNCTION("""COMPUTED_VALUE"""),"Heal")</f>
        <v>Heal</v>
      </c>
      <c r="B241" s="126">
        <f>IFERROR(__xludf.DUMMYFUNCTION("""COMPUTED_VALUE"""),1.0)</f>
        <v>1</v>
      </c>
      <c r="C241" s="49" t="str">
        <f>IFERROR(__xludf.DUMMYFUNCTION("""COMPUTED_VALUE"""),"X")</f>
        <v>X</v>
      </c>
      <c r="D241" s="49"/>
      <c r="E241" s="49" t="str">
        <f>IFERROR(__xludf.DUMMYFUNCTION("""COMPUTED_VALUE"""),"+x*100 HP healed to all allies where X is equal to SP spent.")</f>
        <v>+x*100 HP healed to all allies where X is equal to SP spent.</v>
      </c>
      <c r="F241" s="49" t="str">
        <f>IFERROR(__xludf.DUMMYFUNCTION("""COMPUTED_VALUE"""),"Will Succeed")</f>
        <v>Will Succeed</v>
      </c>
      <c r="G241" s="49">
        <f>IFERROR(__xludf.DUMMYFUNCTION("""COMPUTED_VALUE"""),1.0)</f>
        <v>1</v>
      </c>
      <c r="H241" s="49" t="str">
        <f>IFERROR(__xludf.DUMMYFUNCTION("""COMPUTED_VALUE"""),"Light")</f>
        <v>Light</v>
      </c>
      <c r="I241" s="49" t="str">
        <f>IFERROR(__xludf.DUMMYFUNCTION("""COMPUTED_VALUE"""),"Player")</f>
        <v>Player</v>
      </c>
      <c r="J241" s="49" t="b">
        <f>IFERROR(__xludf.DUMMYFUNCTION("""COMPUTED_VALUE"""),FALSE)</f>
        <v>0</v>
      </c>
      <c r="K241" s="49"/>
      <c r="L241" s="49" t="b">
        <f>IFERROR(__xludf.DUMMYFUNCTION("""COMPUTED_VALUE"""),FALSE)</f>
        <v>0</v>
      </c>
      <c r="M241" s="49" t="b">
        <f>IFERROR(__xludf.DUMMYFUNCTION("""COMPUTED_VALUE"""),FALSE)</f>
        <v>0</v>
      </c>
      <c r="N241" s="49"/>
    </row>
    <row r="242">
      <c r="A242" s="49" t="str">
        <f>IFERROR(__xludf.DUMMYFUNCTION("""COMPUTED_VALUE"""),"Healing Alliance")</f>
        <v>Healing Alliance</v>
      </c>
      <c r="B242" s="126">
        <f>IFERROR(__xludf.DUMMYFUNCTION("""COMPUTED_VALUE"""),5.0)</f>
        <v>5</v>
      </c>
      <c r="C242" s="49" t="str">
        <f>IFERROR(__xludf.DUMMYFUNCTION("""COMPUTED_VALUE"""),"X")</f>
        <v>X</v>
      </c>
      <c r="D242" s="49"/>
      <c r="E242" s="49" t="str">
        <f>IFERROR(__xludf.DUMMYFUNCTION("""COMPUTED_VALUE"""),"+X*25 HP healed to all allies where X is equal to SP spent.")</f>
        <v>+X*25 HP healed to all allies where X is equal to SP spent.</v>
      </c>
      <c r="F242" s="49" t="str">
        <f>IFERROR(__xludf.DUMMYFUNCTION("""COMPUTED_VALUE"""),"Will Succeed")</f>
        <v>Will Succeed</v>
      </c>
      <c r="G242" s="49"/>
      <c r="H242" s="49" t="str">
        <f>IFERROR(__xludf.DUMMYFUNCTION("""COMPUTED_VALUE"""),"Light")</f>
        <v>Light</v>
      </c>
      <c r="I242" s="49" t="str">
        <f>IFERROR(__xludf.DUMMYFUNCTION("""COMPUTED_VALUE"""),"Player")</f>
        <v>Player</v>
      </c>
      <c r="J242" s="49" t="b">
        <f>IFERROR(__xludf.DUMMYFUNCTION("""COMPUTED_VALUE"""),FALSE)</f>
        <v>0</v>
      </c>
      <c r="K242" s="49"/>
      <c r="L242" s="49" t="b">
        <f>IFERROR(__xludf.DUMMYFUNCTION("""COMPUTED_VALUE"""),FALSE)</f>
        <v>0</v>
      </c>
      <c r="M242" s="49" t="b">
        <f>IFERROR(__xludf.DUMMYFUNCTION("""COMPUTED_VALUE"""),FALSE)</f>
        <v>0</v>
      </c>
      <c r="N242" s="49"/>
    </row>
    <row r="243">
      <c r="A243" s="49" t="str">
        <f>IFERROR(__xludf.DUMMYFUNCTION("""COMPUTED_VALUE"""),"Hygiene")</f>
        <v>Hygiene</v>
      </c>
      <c r="B243" s="126">
        <f>IFERROR(__xludf.DUMMYFUNCTION("""COMPUTED_VALUE"""),7.0)</f>
        <v>7</v>
      </c>
      <c r="C243" s="49">
        <f>IFERROR(__xludf.DUMMYFUNCTION("""COMPUTED_VALUE"""),100.0)</f>
        <v>100</v>
      </c>
      <c r="D243" s="49"/>
      <c r="E243" s="49" t="str">
        <f>IFERROR(__xludf.DUMMYFUNCTION("""COMPUTED_VALUE"""),"Caster becomes immune to all status effects.")</f>
        <v>Caster becomes immune to all status effects.</v>
      </c>
      <c r="F243" s="49" t="str">
        <f>IFERROR(__xludf.DUMMYFUNCTION("""COMPUTED_VALUE"""),"Will Succeed")</f>
        <v>Will Succeed</v>
      </c>
      <c r="G243" s="49"/>
      <c r="H243" s="49" t="str">
        <f>IFERROR(__xludf.DUMMYFUNCTION("""COMPUTED_VALUE"""),"Light")</f>
        <v>Light</v>
      </c>
      <c r="I243" s="49" t="str">
        <f>IFERROR(__xludf.DUMMYFUNCTION("""COMPUTED_VALUE"""),"Player")</f>
        <v>Player</v>
      </c>
      <c r="J243" s="49" t="b">
        <f>IFERROR(__xludf.DUMMYFUNCTION("""COMPUTED_VALUE"""),FALSE)</f>
        <v>0</v>
      </c>
      <c r="K243" s="49"/>
      <c r="L243" s="49" t="b">
        <f>IFERROR(__xludf.DUMMYFUNCTION("""COMPUTED_VALUE"""),FALSE)</f>
        <v>0</v>
      </c>
      <c r="M243" s="49" t="b">
        <f>IFERROR(__xludf.DUMMYFUNCTION("""COMPUTED_VALUE"""),FALSE)</f>
        <v>0</v>
      </c>
      <c r="N243" s="49"/>
    </row>
    <row r="244">
      <c r="A244" s="49" t="str">
        <f>IFERROR(__xludf.DUMMYFUNCTION("""COMPUTED_VALUE"""),"Instant Regeneration")</f>
        <v>Instant Regeneration</v>
      </c>
      <c r="B244" s="126">
        <f>IFERROR(__xludf.DUMMYFUNCTION("""COMPUTED_VALUE"""),8.0)</f>
        <v>8</v>
      </c>
      <c r="C244" s="49">
        <f>IFERROR(__xludf.DUMMYFUNCTION("""COMPUTED_VALUE"""),200.0)</f>
        <v>200</v>
      </c>
      <c r="D244" s="49"/>
      <c r="E244" s="49"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49" t="str">
        <f>IFERROR(__xludf.DUMMYFUNCTION("""COMPUTED_VALUE"""),"Fail/succeed")</f>
        <v>Fail/succeed</v>
      </c>
      <c r="G244" s="49"/>
      <c r="H244" s="49" t="str">
        <f>IFERROR(__xludf.DUMMYFUNCTION("""COMPUTED_VALUE"""),"Light")</f>
        <v>Light</v>
      </c>
      <c r="I244" s="49" t="str">
        <f>IFERROR(__xludf.DUMMYFUNCTION("""COMPUTED_VALUE"""),"Player")</f>
        <v>Player</v>
      </c>
      <c r="J244" s="49" t="b">
        <f>IFERROR(__xludf.DUMMYFUNCTION("""COMPUTED_VALUE"""),FALSE)</f>
        <v>0</v>
      </c>
      <c r="K244" s="49"/>
      <c r="L244" s="49" t="b">
        <f>IFERROR(__xludf.DUMMYFUNCTION("""COMPUTED_VALUE"""),FALSE)</f>
        <v>0</v>
      </c>
      <c r="M244" s="49" t="b">
        <f>IFERROR(__xludf.DUMMYFUNCTION("""COMPUTED_VALUE"""),FALSE)</f>
        <v>0</v>
      </c>
      <c r="N244" s="49"/>
    </row>
    <row r="245">
      <c r="A245" s="49" t="str">
        <f>IFERROR(__xludf.DUMMYFUNCTION("""COMPUTED_VALUE"""),"Light Ray")</f>
        <v>Light Ray</v>
      </c>
      <c r="B245" s="126">
        <f>IFERROR(__xludf.DUMMYFUNCTION("""COMPUTED_VALUE"""),2.0)</f>
        <v>2</v>
      </c>
      <c r="C245" s="49">
        <f>IFERROR(__xludf.DUMMYFUNCTION("""COMPUTED_VALUE"""),20.0)</f>
        <v>20</v>
      </c>
      <c r="D245" s="49"/>
      <c r="E245" s="49" t="str">
        <f>IFERROR(__xludf.DUMMYFUNCTION("""COMPUTED_VALUE"""),"Blindness 3 to a single target and sheds light for 3 rounds.")</f>
        <v>Blindness 3 to a single target and sheds light for 3 rounds.</v>
      </c>
      <c r="F245" s="49" t="str">
        <f>IFERROR(__xludf.DUMMYFUNCTION("""COMPUTED_VALUE"""),"Hit/Miss")</f>
        <v>Hit/Miss</v>
      </c>
      <c r="G245" s="49">
        <f>IFERROR(__xludf.DUMMYFUNCTION("""COMPUTED_VALUE"""),1.0)</f>
        <v>1</v>
      </c>
      <c r="H245" s="49" t="str">
        <f>IFERROR(__xludf.DUMMYFUNCTION("""COMPUTED_VALUE"""),"Light")</f>
        <v>Light</v>
      </c>
      <c r="I245" s="49" t="str">
        <f>IFERROR(__xludf.DUMMYFUNCTION("""COMPUTED_VALUE"""),"Player")</f>
        <v>Player</v>
      </c>
      <c r="J245" s="49" t="b">
        <f>IFERROR(__xludf.DUMMYFUNCTION("""COMPUTED_VALUE"""),FALSE)</f>
        <v>0</v>
      </c>
      <c r="K245" s="49"/>
      <c r="L245" s="49" t="b">
        <f>IFERROR(__xludf.DUMMYFUNCTION("""COMPUTED_VALUE"""),FALSE)</f>
        <v>0</v>
      </c>
      <c r="M245" s="49" t="b">
        <f>IFERROR(__xludf.DUMMYFUNCTION("""COMPUTED_VALUE"""),FALSE)</f>
        <v>0</v>
      </c>
      <c r="N245" s="49"/>
    </row>
    <row r="246">
      <c r="A246" s="49" t="str">
        <f>IFERROR(__xludf.DUMMYFUNCTION("""COMPUTED_VALUE"""),"Obliterating Light of Blindness")</f>
        <v>Obliterating Light of Blindness</v>
      </c>
      <c r="B246" s="126">
        <f>IFERROR(__xludf.DUMMYFUNCTION("""COMPUTED_VALUE"""),9.0)</f>
        <v>9</v>
      </c>
      <c r="C246" s="127" t="str">
        <f>IFERROR(__xludf.DUMMYFUNCTION("""COMPUTED_VALUE"""),"300")</f>
        <v>300</v>
      </c>
      <c r="D246" s="49"/>
      <c r="E246" s="49" t="str">
        <f>IFERROR(__xludf.DUMMYFUNCTION("""COMPUTED_VALUE"""),"20,000 Light damage to all enemies, 25% chance of Blidness 3. and sheds light for 3 rounds.")</f>
        <v>20,000 Light damage to all enemies, 25% chance of Blidness 3. and sheds light for 3 rounds.</v>
      </c>
      <c r="F246" s="49" t="str">
        <f>IFERROR(__xludf.DUMMYFUNCTION("""COMPUTED_VALUE"""),"Cannot Avoid")</f>
        <v>Cannot Avoid</v>
      </c>
      <c r="G246" s="49" t="str">
        <f>IFERROR(__xludf.DUMMYFUNCTION("""COMPUTED_VALUE"""),"All")</f>
        <v>All</v>
      </c>
      <c r="H246" s="49" t="str">
        <f>IFERROR(__xludf.DUMMYFUNCTION("""COMPUTED_VALUE"""),"Light")</f>
        <v>Light</v>
      </c>
      <c r="I246" s="49" t="str">
        <f>IFERROR(__xludf.DUMMYFUNCTION("""COMPUTED_VALUE"""),"Player")</f>
        <v>Player</v>
      </c>
      <c r="J246" s="49" t="b">
        <f>IFERROR(__xludf.DUMMYFUNCTION("""COMPUTED_VALUE"""),FALSE)</f>
        <v>0</v>
      </c>
      <c r="K246" s="49"/>
      <c r="L246" s="49" t="b">
        <f>IFERROR(__xludf.DUMMYFUNCTION("""COMPUTED_VALUE"""),FALSE)</f>
        <v>0</v>
      </c>
      <c r="M246" s="49" t="b">
        <f>IFERROR(__xludf.DUMMYFUNCTION("""COMPUTED_VALUE"""),FALSE)</f>
        <v>0</v>
      </c>
      <c r="N246" s="49"/>
    </row>
    <row r="247">
      <c r="A247" s="49" t="str">
        <f>IFERROR(__xludf.DUMMYFUNCTION("""COMPUTED_VALUE"""),"Regeneration")</f>
        <v>Regeneration</v>
      </c>
      <c r="B247" s="126">
        <f>IFERROR(__xludf.DUMMYFUNCTION("""COMPUTED_VALUE"""),6.0)</f>
        <v>6</v>
      </c>
      <c r="C247" s="49" t="str">
        <f>IFERROR(__xludf.DUMMYFUNCTION("""COMPUTED_VALUE"""),"X")</f>
        <v>X</v>
      </c>
      <c r="D247" s="49"/>
      <c r="E247" s="49" t="str">
        <f>IFERROR(__xludf.DUMMYFUNCTION("""COMPUTED_VALUE"""),"+X*50 HP healed per round for 3 rounds to a single ally.")</f>
        <v>+X*50 HP healed per round for 3 rounds to a single ally.</v>
      </c>
      <c r="F247" s="49" t="str">
        <f>IFERROR(__xludf.DUMMYFUNCTION("""COMPUTED_VALUE"""),"Fail/Succeed")</f>
        <v>Fail/Succeed</v>
      </c>
      <c r="G247" s="49"/>
      <c r="H247" s="49" t="str">
        <f>IFERROR(__xludf.DUMMYFUNCTION("""COMPUTED_VALUE"""),"Light")</f>
        <v>Light</v>
      </c>
      <c r="I247" s="49" t="str">
        <f>IFERROR(__xludf.DUMMYFUNCTION("""COMPUTED_VALUE"""),"Player")</f>
        <v>Player</v>
      </c>
      <c r="J247" s="49" t="b">
        <f>IFERROR(__xludf.DUMMYFUNCTION("""COMPUTED_VALUE"""),FALSE)</f>
        <v>0</v>
      </c>
      <c r="K247" s="49"/>
      <c r="L247" s="49" t="b">
        <f>IFERROR(__xludf.DUMMYFUNCTION("""COMPUTED_VALUE"""),FALSE)</f>
        <v>0</v>
      </c>
      <c r="M247" s="49" t="b">
        <f>IFERROR(__xludf.DUMMYFUNCTION("""COMPUTED_VALUE"""),FALSE)</f>
        <v>0</v>
      </c>
      <c r="N247" s="49"/>
    </row>
    <row r="248">
      <c r="A248" s="49" t="str">
        <f>IFERROR(__xludf.DUMMYFUNCTION("""COMPUTED_VALUE"""),"Revive")</f>
        <v>Revive</v>
      </c>
      <c r="B248" s="126">
        <f>IFERROR(__xludf.DUMMYFUNCTION("""COMPUTED_VALUE"""),6.0)</f>
        <v>6</v>
      </c>
      <c r="C248" s="49">
        <f>IFERROR(__xludf.DUMMYFUNCTION("""COMPUTED_VALUE"""),60.0)</f>
        <v>60</v>
      </c>
      <c r="D248" s="49"/>
      <c r="E248" s="49" t="str">
        <f>IFERROR(__xludf.DUMMYFUNCTION("""COMPUTED_VALUE"""),"Return a target from death with half their max HP, must be done before they respawn")</f>
        <v>Return a target from death with half their max HP, must be done before they respawn</v>
      </c>
      <c r="F248" s="49" t="str">
        <f>IFERROR(__xludf.DUMMYFUNCTION("""COMPUTED_VALUE"""),"Fail/Succeed")</f>
        <v>Fail/Succeed</v>
      </c>
      <c r="G248" s="49">
        <f>IFERROR(__xludf.DUMMYFUNCTION("""COMPUTED_VALUE"""),1.0)</f>
        <v>1</v>
      </c>
      <c r="H248" s="49" t="str">
        <f>IFERROR(__xludf.DUMMYFUNCTION("""COMPUTED_VALUE"""),"Light")</f>
        <v>Light</v>
      </c>
      <c r="I248" s="49" t="str">
        <f>IFERROR(__xludf.DUMMYFUNCTION("""COMPUTED_VALUE"""),"Player")</f>
        <v>Player</v>
      </c>
      <c r="J248" s="49" t="b">
        <f>IFERROR(__xludf.DUMMYFUNCTION("""COMPUTED_VALUE"""),FALSE)</f>
        <v>0</v>
      </c>
      <c r="K248" s="49"/>
      <c r="L248" s="49" t="b">
        <f>IFERROR(__xludf.DUMMYFUNCTION("""COMPUTED_VALUE"""),FALSE)</f>
        <v>0</v>
      </c>
      <c r="M248" s="49" t="b">
        <f>IFERROR(__xludf.DUMMYFUNCTION("""COMPUTED_VALUE"""),FALSE)</f>
        <v>0</v>
      </c>
      <c r="N248" s="49"/>
    </row>
    <row r="249">
      <c r="A249" s="49" t="str">
        <f>IFERROR(__xludf.DUMMYFUNCTION("""COMPUTED_VALUE"""),"Teleport")</f>
        <v>Teleport</v>
      </c>
      <c r="B249" s="126">
        <f>IFERROR(__xludf.DUMMYFUNCTION("""COMPUTED_VALUE"""),9.0)</f>
        <v>9</v>
      </c>
      <c r="C249" s="49">
        <f>IFERROR(__xludf.DUMMYFUNCTION("""COMPUTED_VALUE"""),300.0)</f>
        <v>300</v>
      </c>
      <c r="D249" s="49"/>
      <c r="E249" s="49"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49" t="str">
        <f>IFERROR(__xludf.DUMMYFUNCTION("""COMPUTED_VALUE"""),"Fail/succeed")</f>
        <v>Fail/succeed</v>
      </c>
      <c r="G249" s="49"/>
      <c r="H249" s="49" t="str">
        <f>IFERROR(__xludf.DUMMYFUNCTION("""COMPUTED_VALUE"""),"Light")</f>
        <v>Light</v>
      </c>
      <c r="I249" s="49" t="str">
        <f>IFERROR(__xludf.DUMMYFUNCTION("""COMPUTED_VALUE"""),"Player")</f>
        <v>Player</v>
      </c>
      <c r="J249" s="49" t="b">
        <f>IFERROR(__xludf.DUMMYFUNCTION("""COMPUTED_VALUE"""),FALSE)</f>
        <v>0</v>
      </c>
      <c r="K249" s="49"/>
      <c r="L249" s="49" t="b">
        <f>IFERROR(__xludf.DUMMYFUNCTION("""COMPUTED_VALUE"""),FALSE)</f>
        <v>0</v>
      </c>
      <c r="M249" s="49" t="b">
        <f>IFERROR(__xludf.DUMMYFUNCTION("""COMPUTED_VALUE"""),FALSE)</f>
        <v>0</v>
      </c>
      <c r="N249" s="49"/>
    </row>
    <row r="250">
      <c r="A250" s="49" t="str">
        <f>IFERROR(__xludf.DUMMYFUNCTION("""COMPUTED_VALUE"""),"Continuous Light")</f>
        <v>Continuous Light</v>
      </c>
      <c r="B250" s="126">
        <f>IFERROR(__xludf.DUMMYFUNCTION("""COMPUTED_VALUE"""),3.0)</f>
        <v>3</v>
      </c>
      <c r="C250" s="49" t="str">
        <f>IFERROR(__xludf.DUMMYFUNCTION("""COMPUTED_VALUE"""),"X")</f>
        <v>X</v>
      </c>
      <c r="D250" s="49"/>
      <c r="E250" s="49" t="str">
        <f>IFERROR(__xludf.DUMMYFUNCTION("""COMPUTED_VALUE"""),"X*50 Light damage per round for 3 rounds to a single target where X is equal to SP spent.")</f>
        <v>X*50 Light damage per round for 3 rounds to a single target where X is equal to SP spent.</v>
      </c>
      <c r="F250" s="49" t="str">
        <f>IFERROR(__xludf.DUMMYFUNCTION("""COMPUTED_VALUE"""),"Hit/Miss")</f>
        <v>Hit/Miss</v>
      </c>
      <c r="G250" s="49"/>
      <c r="H250" s="49" t="str">
        <f>IFERROR(__xludf.DUMMYFUNCTION("""COMPUTED_VALUE"""),"Light")</f>
        <v>Light</v>
      </c>
      <c r="I250" s="49" t="str">
        <f>IFERROR(__xludf.DUMMYFUNCTION("""COMPUTED_VALUE"""),"Player")</f>
        <v>Player</v>
      </c>
      <c r="J250" s="49" t="b">
        <f>IFERROR(__xludf.DUMMYFUNCTION("""COMPUTED_VALUE"""),FALSE)</f>
        <v>0</v>
      </c>
      <c r="K250" s="49"/>
      <c r="L250" s="49" t="b">
        <f>IFERROR(__xludf.DUMMYFUNCTION("""COMPUTED_VALUE"""),FALSE)</f>
        <v>0</v>
      </c>
      <c r="M250" s="49" t="b">
        <f>IFERROR(__xludf.DUMMYFUNCTION("""COMPUTED_VALUE"""),FALSE)</f>
        <v>0</v>
      </c>
      <c r="N250" s="49"/>
    </row>
    <row r="251">
      <c r="A251" s="49" t="str">
        <f>IFERROR(__xludf.DUMMYFUNCTION("""COMPUTED_VALUE"""),"[Element] Swing")</f>
        <v>[Element] Swing</v>
      </c>
      <c r="B251" s="126">
        <f>IFERROR(__xludf.DUMMYFUNCTION("""COMPUTED_VALUE"""),4.0)</f>
        <v>4</v>
      </c>
      <c r="C251" s="49">
        <f>IFERROR(__xludf.DUMMYFUNCTION("""COMPUTED_VALUE"""),40.0)</f>
        <v>40</v>
      </c>
      <c r="D251" s="49"/>
      <c r="E251" s="49"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49" t="str">
        <f>IFERROR(__xludf.DUMMYFUNCTION("""COMPUTED_VALUE"""),"Fail/Succeed")</f>
        <v>Fail/Succeed</v>
      </c>
      <c r="G251" s="49"/>
      <c r="H251" s="49" t="str">
        <f>IFERROR(__xludf.DUMMYFUNCTION("""COMPUTED_VALUE"""),"Melee")</f>
        <v>Melee</v>
      </c>
      <c r="I251" s="49" t="str">
        <f>IFERROR(__xludf.DUMMYFUNCTION("""COMPUTED_VALUE"""),"Player")</f>
        <v>Player</v>
      </c>
      <c r="J251" s="49" t="b">
        <f>IFERROR(__xludf.DUMMYFUNCTION("""COMPUTED_VALUE"""),FALSE)</f>
        <v>0</v>
      </c>
      <c r="K251" s="49"/>
      <c r="L251" s="49" t="b">
        <f>IFERROR(__xludf.DUMMYFUNCTION("""COMPUTED_VALUE"""),FALSE)</f>
        <v>0</v>
      </c>
      <c r="M251" s="49" t="b">
        <f>IFERROR(__xludf.DUMMYFUNCTION("""COMPUTED_VALUE"""),TRUE)</f>
        <v>1</v>
      </c>
      <c r="N251" s="49"/>
    </row>
    <row r="252">
      <c r="A252" s="49" t="str">
        <f>IFERROR(__xludf.DUMMYFUNCTION("""COMPUTED_VALUE"""),"Berserk")</f>
        <v>Berserk</v>
      </c>
      <c r="B252" s="126">
        <f>IFERROR(__xludf.DUMMYFUNCTION("""COMPUTED_VALUE"""),8.0)</f>
        <v>8</v>
      </c>
      <c r="C252" s="49">
        <f>IFERROR(__xludf.DUMMYFUNCTION("""COMPUTED_VALUE"""),200.0)</f>
        <v>200</v>
      </c>
      <c r="D252" s="49"/>
      <c r="E252" s="49" t="str">
        <f>IFERROR(__xludf.DUMMYFUNCTION("""COMPUTED_VALUE"""),"Double your attack roll and damage dealt during your next attack.")</f>
        <v>Double your attack roll and damage dealt during your next attack.</v>
      </c>
      <c r="F252" s="49" t="str">
        <f>IFERROR(__xludf.DUMMYFUNCTION("""COMPUTED_VALUE"""),"Will Succeed")</f>
        <v>Will Succeed</v>
      </c>
      <c r="G252" s="49"/>
      <c r="H252" s="49" t="str">
        <f>IFERROR(__xludf.DUMMYFUNCTION("""COMPUTED_VALUE"""),"Melee")</f>
        <v>Melee</v>
      </c>
      <c r="I252" s="49" t="str">
        <f>IFERROR(__xludf.DUMMYFUNCTION("""COMPUTED_VALUE"""),"Player")</f>
        <v>Player</v>
      </c>
      <c r="J252" s="49" t="b">
        <f>IFERROR(__xludf.DUMMYFUNCTION("""COMPUTED_VALUE"""),FALSE)</f>
        <v>0</v>
      </c>
      <c r="K252" s="49"/>
      <c r="L252" s="49" t="b">
        <f>IFERROR(__xludf.DUMMYFUNCTION("""COMPUTED_VALUE"""),FALSE)</f>
        <v>0</v>
      </c>
      <c r="M252" s="49" t="b">
        <f>IFERROR(__xludf.DUMMYFUNCTION("""COMPUTED_VALUE"""),TRUE)</f>
        <v>1</v>
      </c>
      <c r="N252" s="49"/>
    </row>
    <row r="253">
      <c r="A253" s="49" t="str">
        <f>IFERROR(__xludf.DUMMYFUNCTION("""COMPUTED_VALUE"""),"Blade Barrier")</f>
        <v>Blade Barrier</v>
      </c>
      <c r="B253" s="126">
        <f>IFERROR(__xludf.DUMMYFUNCTION("""COMPUTED_VALUE"""),6.0)</f>
        <v>6</v>
      </c>
      <c r="C253" s="49">
        <f>IFERROR(__xludf.DUMMYFUNCTION("""COMPUTED_VALUE"""),60.0)</f>
        <v>60</v>
      </c>
      <c r="D253" s="49"/>
      <c r="E253" s="49"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49" t="str">
        <f>IFERROR(__xludf.DUMMYFUNCTION("""COMPUTED_VALUE"""),"Fail/Succeed")</f>
        <v>Fail/Succeed</v>
      </c>
      <c r="G253" s="49"/>
      <c r="H253" s="49" t="str">
        <f>IFERROR(__xludf.DUMMYFUNCTION("""COMPUTED_VALUE"""),"Melee")</f>
        <v>Melee</v>
      </c>
      <c r="I253" s="49" t="str">
        <f>IFERROR(__xludf.DUMMYFUNCTION("""COMPUTED_VALUE"""),"Player")</f>
        <v>Player</v>
      </c>
      <c r="J253" s="49" t="b">
        <f>IFERROR(__xludf.DUMMYFUNCTION("""COMPUTED_VALUE"""),FALSE)</f>
        <v>0</v>
      </c>
      <c r="K253" s="49"/>
      <c r="L253" s="49" t="b">
        <f>IFERROR(__xludf.DUMMYFUNCTION("""COMPUTED_VALUE"""),FALSE)</f>
        <v>0</v>
      </c>
      <c r="M253" s="49" t="b">
        <f>IFERROR(__xludf.DUMMYFUNCTION("""COMPUTED_VALUE"""),TRUE)</f>
        <v>1</v>
      </c>
      <c r="N253" s="49"/>
    </row>
    <row r="254">
      <c r="A254" s="49" t="str">
        <f>IFERROR(__xludf.DUMMYFUNCTION("""COMPUTED_VALUE"""),"Double Strike")</f>
        <v>Double Strike</v>
      </c>
      <c r="B254" s="126">
        <f>IFERROR(__xludf.DUMMYFUNCTION("""COMPUTED_VALUE"""),9.0)</f>
        <v>9</v>
      </c>
      <c r="C254" s="49">
        <f>IFERROR(__xludf.DUMMYFUNCTION("""COMPUTED_VALUE"""),300.0)</f>
        <v>300</v>
      </c>
      <c r="D254" s="49"/>
      <c r="E254" s="49" t="str">
        <f>IFERROR(__xludf.DUMMYFUNCTION("""COMPUTED_VALUE"""),"Allows you to attack an additional time during your next attack with a weapon or natural attack.")</f>
        <v>Allows you to attack an additional time during your next attack with a weapon or natural attack.</v>
      </c>
      <c r="F254" s="49" t="str">
        <f>IFERROR(__xludf.DUMMYFUNCTION("""COMPUTED_VALUE"""),"Will Succeed")</f>
        <v>Will Succeed</v>
      </c>
      <c r="G254" s="49" t="str">
        <f>IFERROR(__xludf.DUMMYFUNCTION("""COMPUTED_VALUE"""),"Self")</f>
        <v>Self</v>
      </c>
      <c r="H254" s="49" t="str">
        <f>IFERROR(__xludf.DUMMYFUNCTION("""COMPUTED_VALUE"""),"Melee")</f>
        <v>Melee</v>
      </c>
      <c r="I254" s="49" t="str">
        <f>IFERROR(__xludf.DUMMYFUNCTION("""COMPUTED_VALUE"""),"Player")</f>
        <v>Player</v>
      </c>
      <c r="J254" s="49" t="b">
        <f>IFERROR(__xludf.DUMMYFUNCTION("""COMPUTED_VALUE"""),FALSE)</f>
        <v>0</v>
      </c>
      <c r="K254" s="49"/>
      <c r="L254" s="49" t="b">
        <f>IFERROR(__xludf.DUMMYFUNCTION("""COMPUTED_VALUE"""),FALSE)</f>
        <v>0</v>
      </c>
      <c r="M254" s="49" t="b">
        <f>IFERROR(__xludf.DUMMYFUNCTION("""COMPUTED_VALUE"""),TRUE)</f>
        <v>1</v>
      </c>
      <c r="N254" s="49"/>
    </row>
    <row r="255">
      <c r="A255" s="49" t="str">
        <f>IFERROR(__xludf.DUMMYFUNCTION("""COMPUTED_VALUE"""),"Energy Charge")</f>
        <v>Energy Charge</v>
      </c>
      <c r="B255" s="126">
        <f>IFERROR(__xludf.DUMMYFUNCTION("""COMPUTED_VALUE"""),7.0)</f>
        <v>7</v>
      </c>
      <c r="C255" s="49" t="str">
        <f>IFERROR(__xludf.DUMMYFUNCTION("""COMPUTED_VALUE"""),"X")</f>
        <v>X</v>
      </c>
      <c r="D255" s="49"/>
      <c r="E255" s="49" t="str">
        <f>IFERROR(__xludf.DUMMYFUNCTION("""COMPUTED_VALUE"""),"Raises attack and accuracy by X*2 SP")</f>
        <v>Raises attack and accuracy by X*2 SP</v>
      </c>
      <c r="F255" s="49" t="str">
        <f>IFERROR(__xludf.DUMMYFUNCTION("""COMPUTED_VALUE"""),"Will Succeed")</f>
        <v>Will Succeed</v>
      </c>
      <c r="G255" s="49"/>
      <c r="H255" s="49" t="str">
        <f>IFERROR(__xludf.DUMMYFUNCTION("""COMPUTED_VALUE"""),"Melee")</f>
        <v>Melee</v>
      </c>
      <c r="I255" s="49" t="str">
        <f>IFERROR(__xludf.DUMMYFUNCTION("""COMPUTED_VALUE"""),"Player")</f>
        <v>Player</v>
      </c>
      <c r="J255" s="49" t="b">
        <f>IFERROR(__xludf.DUMMYFUNCTION("""COMPUTED_VALUE"""),FALSE)</f>
        <v>0</v>
      </c>
      <c r="K255" s="49"/>
      <c r="L255" s="49" t="b">
        <f>IFERROR(__xludf.DUMMYFUNCTION("""COMPUTED_VALUE"""),FALSE)</f>
        <v>0</v>
      </c>
      <c r="M255" s="49" t="b">
        <f>IFERROR(__xludf.DUMMYFUNCTION("""COMPUTED_VALUE"""),TRUE)</f>
        <v>1</v>
      </c>
      <c r="N255" s="49"/>
    </row>
    <row r="256">
      <c r="A256" s="49" t="str">
        <f>IFERROR(__xludf.DUMMYFUNCTION("""COMPUTED_VALUE"""),"Go For The Vitals")</f>
        <v>Go For The Vitals</v>
      </c>
      <c r="B256" s="126">
        <f>IFERROR(__xludf.DUMMYFUNCTION("""COMPUTED_VALUE"""),2.0)</f>
        <v>2</v>
      </c>
      <c r="C256" s="49">
        <f>IFERROR(__xludf.DUMMYFUNCTION("""COMPUTED_VALUE"""),20.0)</f>
        <v>20</v>
      </c>
      <c r="D256" s="49"/>
      <c r="E256" s="49" t="str">
        <f>IFERROR(__xludf.DUMMYFUNCTION("""COMPUTED_VALUE"""),"Treat your next attack roll as double.")</f>
        <v>Treat your next attack roll as double.</v>
      </c>
      <c r="F256" s="49" t="str">
        <f>IFERROR(__xludf.DUMMYFUNCTION("""COMPUTED_VALUE"""),"Fail/Succeed")</f>
        <v>Fail/Succeed</v>
      </c>
      <c r="G256" s="49"/>
      <c r="H256" s="49" t="str">
        <f>IFERROR(__xludf.DUMMYFUNCTION("""COMPUTED_VALUE"""),"Melee")</f>
        <v>Melee</v>
      </c>
      <c r="I256" s="49" t="str">
        <f>IFERROR(__xludf.DUMMYFUNCTION("""COMPUTED_VALUE"""),"Player")</f>
        <v>Player</v>
      </c>
      <c r="J256" s="49" t="b">
        <f>IFERROR(__xludf.DUMMYFUNCTION("""COMPUTED_VALUE"""),FALSE)</f>
        <v>0</v>
      </c>
      <c r="K256" s="49"/>
      <c r="L256" s="49" t="b">
        <f>IFERROR(__xludf.DUMMYFUNCTION("""COMPUTED_VALUE"""),FALSE)</f>
        <v>0</v>
      </c>
      <c r="M256" s="49" t="b">
        <f>IFERROR(__xludf.DUMMYFUNCTION("""COMPUTED_VALUE"""),TRUE)</f>
        <v>1</v>
      </c>
      <c r="N256" s="49"/>
    </row>
    <row r="257">
      <c r="A257" s="49" t="str">
        <f>IFERROR(__xludf.DUMMYFUNCTION("""COMPUTED_VALUE"""),"Hard swing")</f>
        <v>Hard swing</v>
      </c>
      <c r="B257" s="126">
        <f>IFERROR(__xludf.DUMMYFUNCTION("""COMPUTED_VALUE"""),1.0)</f>
        <v>1</v>
      </c>
      <c r="C257" s="49">
        <f>IFERROR(__xludf.DUMMYFUNCTION("""COMPUTED_VALUE"""),10.0)</f>
        <v>10</v>
      </c>
      <c r="D257" s="49"/>
      <c r="E257" s="49" t="str">
        <f>IFERROR(__xludf.DUMMYFUNCTION("""COMPUTED_VALUE"""),"During your next attack while attacking with a weapon; Roll for the attack twice and take the higher number.")</f>
        <v>During your next attack while attacking with a weapon; Roll for the attack twice and take the higher number.</v>
      </c>
      <c r="F257" s="49" t="str">
        <f>IFERROR(__xludf.DUMMYFUNCTION("""COMPUTED_VALUE"""),"Fail/Succeed")</f>
        <v>Fail/Succeed</v>
      </c>
      <c r="G257" s="49"/>
      <c r="H257" s="49" t="str">
        <f>IFERROR(__xludf.DUMMYFUNCTION("""COMPUTED_VALUE"""),"Melee")</f>
        <v>Melee</v>
      </c>
      <c r="I257" s="49" t="str">
        <f>IFERROR(__xludf.DUMMYFUNCTION("""COMPUTED_VALUE"""),"Player")</f>
        <v>Player</v>
      </c>
      <c r="J257" s="49" t="b">
        <f>IFERROR(__xludf.DUMMYFUNCTION("""COMPUTED_VALUE"""),FALSE)</f>
        <v>0</v>
      </c>
      <c r="K257" s="49"/>
      <c r="L257" s="49" t="b">
        <f>IFERROR(__xludf.DUMMYFUNCTION("""COMPUTED_VALUE"""),FALSE)</f>
        <v>0</v>
      </c>
      <c r="M257" s="49" t="b">
        <f>IFERROR(__xludf.DUMMYFUNCTION("""COMPUTED_VALUE"""),TRUE)</f>
        <v>1</v>
      </c>
      <c r="N257" s="49"/>
    </row>
    <row r="258">
      <c r="A258" s="49" t="str">
        <f>IFERROR(__xludf.DUMMYFUNCTION("""COMPUTED_VALUE"""),"Melee Barrier")</f>
        <v>Melee Barrier</v>
      </c>
      <c r="B258" s="126">
        <f>IFERROR(__xludf.DUMMYFUNCTION("""COMPUTED_VALUE"""),3.0)</f>
        <v>3</v>
      </c>
      <c r="C258" s="49">
        <f>IFERROR(__xludf.DUMMYFUNCTION("""COMPUTED_VALUE"""),30.0)</f>
        <v>30</v>
      </c>
      <c r="D258" s="49"/>
      <c r="E258" s="49" t="str">
        <f>IFERROR(__xludf.DUMMYFUNCTION("""COMPUTED_VALUE"""),"Take half damage from the next attack.")</f>
        <v>Take half damage from the next attack.</v>
      </c>
      <c r="F258" s="49" t="str">
        <f>IFERROR(__xludf.DUMMYFUNCTION("""COMPUTED_VALUE"""),"Fail/Succeed")</f>
        <v>Fail/Succeed</v>
      </c>
      <c r="G258" s="49"/>
      <c r="H258" s="49" t="str">
        <f>IFERROR(__xludf.DUMMYFUNCTION("""COMPUTED_VALUE"""),"Melee")</f>
        <v>Melee</v>
      </c>
      <c r="I258" s="49" t="str">
        <f>IFERROR(__xludf.DUMMYFUNCTION("""COMPUTED_VALUE"""),"Player")</f>
        <v>Player</v>
      </c>
      <c r="J258" s="49" t="b">
        <f>IFERROR(__xludf.DUMMYFUNCTION("""COMPUTED_VALUE"""),FALSE)</f>
        <v>0</v>
      </c>
      <c r="K258" s="49"/>
      <c r="L258" s="49" t="b">
        <f>IFERROR(__xludf.DUMMYFUNCTION("""COMPUTED_VALUE"""),FALSE)</f>
        <v>0</v>
      </c>
      <c r="M258" s="49" t="b">
        <f>IFERROR(__xludf.DUMMYFUNCTION("""COMPUTED_VALUE"""),TRUE)</f>
        <v>1</v>
      </c>
      <c r="N258" s="49"/>
    </row>
    <row r="259">
      <c r="A259" s="49" t="str">
        <f>IFERROR(__xludf.DUMMYFUNCTION("""COMPUTED_VALUE"""),"Melee Boost")</f>
        <v>Melee Boost</v>
      </c>
      <c r="B259" s="126">
        <f>IFERROR(__xludf.DUMMYFUNCTION("""COMPUTED_VALUE"""),8.0)</f>
        <v>8</v>
      </c>
      <c r="C259" s="49">
        <f>IFERROR(__xludf.DUMMYFUNCTION("""COMPUTED_VALUE"""),200.0)</f>
        <v>200</v>
      </c>
      <c r="D259" s="49"/>
      <c r="E259" s="49" t="str">
        <f>IFERROR(__xludf.DUMMYFUNCTION("""COMPUTED_VALUE"""),"X2 attack for caster only.")</f>
        <v>X2 attack for caster only.</v>
      </c>
      <c r="F259" s="49" t="str">
        <f>IFERROR(__xludf.DUMMYFUNCTION("""COMPUTED_VALUE"""),"Will Succeed")</f>
        <v>Will Succeed</v>
      </c>
      <c r="G259" s="49"/>
      <c r="H259" s="49" t="str">
        <f>IFERROR(__xludf.DUMMYFUNCTION("""COMPUTED_VALUE"""),"Melee")</f>
        <v>Melee</v>
      </c>
      <c r="I259" s="49" t="str">
        <f>IFERROR(__xludf.DUMMYFUNCTION("""COMPUTED_VALUE"""),"Player")</f>
        <v>Player</v>
      </c>
      <c r="J259" s="49" t="b">
        <f>IFERROR(__xludf.DUMMYFUNCTION("""COMPUTED_VALUE"""),FALSE)</f>
        <v>0</v>
      </c>
      <c r="K259" s="49"/>
      <c r="L259" s="49" t="b">
        <f>IFERROR(__xludf.DUMMYFUNCTION("""COMPUTED_VALUE"""),FALSE)</f>
        <v>0</v>
      </c>
      <c r="M259" s="49" t="b">
        <f>IFERROR(__xludf.DUMMYFUNCTION("""COMPUTED_VALUE"""),TRUE)</f>
        <v>1</v>
      </c>
      <c r="N259" s="49"/>
    </row>
    <row r="260">
      <c r="A260" s="49" t="str">
        <f>IFERROR(__xludf.DUMMYFUNCTION("""COMPUTED_VALUE"""),"Melee Shield")</f>
        <v>Melee Shield</v>
      </c>
      <c r="B260" s="126">
        <f>IFERROR(__xludf.DUMMYFUNCTION("""COMPUTED_VALUE"""),5.0)</f>
        <v>5</v>
      </c>
      <c r="C260" s="49">
        <f>IFERROR(__xludf.DUMMYFUNCTION("""COMPUTED_VALUE"""),50.0)</f>
        <v>50</v>
      </c>
      <c r="D260" s="49"/>
      <c r="E260" s="49" t="str">
        <f>IFERROR(__xludf.DUMMYFUNCTION("""COMPUTED_VALUE"""),"You take no damage from the next weapon attack targeting you.")</f>
        <v>You take no damage from the next weapon attack targeting you.</v>
      </c>
      <c r="F260" s="49" t="str">
        <f>IFERROR(__xludf.DUMMYFUNCTION("""COMPUTED_VALUE"""),"Fail/Succeed")</f>
        <v>Fail/Succeed</v>
      </c>
      <c r="G260" s="49"/>
      <c r="H260" s="49" t="str">
        <f>IFERROR(__xludf.DUMMYFUNCTION("""COMPUTED_VALUE"""),"Melee")</f>
        <v>Melee</v>
      </c>
      <c r="I260" s="49" t="str">
        <f>IFERROR(__xludf.DUMMYFUNCTION("""COMPUTED_VALUE"""),"Player")</f>
        <v>Player</v>
      </c>
      <c r="J260" s="49" t="b">
        <f>IFERROR(__xludf.DUMMYFUNCTION("""COMPUTED_VALUE"""),FALSE)</f>
        <v>0</v>
      </c>
      <c r="K260" s="49"/>
      <c r="L260" s="49" t="b">
        <f>IFERROR(__xludf.DUMMYFUNCTION("""COMPUTED_VALUE"""),FALSE)</f>
        <v>0</v>
      </c>
      <c r="M260" s="49" t="b">
        <f>IFERROR(__xludf.DUMMYFUNCTION("""COMPUTED_VALUE"""),TRUE)</f>
        <v>1</v>
      </c>
      <c r="N260" s="49"/>
    </row>
    <row r="261">
      <c r="A261" s="49" t="str">
        <f>IFERROR(__xludf.DUMMYFUNCTION("""COMPUTED_VALUE"""),"Tower Of Balance II")</f>
        <v>Tower Of Balance II</v>
      </c>
      <c r="B261" s="126">
        <f>IFERROR(__xludf.DUMMYFUNCTION("""COMPUTED_VALUE"""),8.0)</f>
        <v>8</v>
      </c>
      <c r="C261" s="49">
        <f>IFERROR(__xludf.DUMMYFUNCTION("""COMPUTED_VALUE"""),200.0)</f>
        <v>200</v>
      </c>
      <c r="D261" s="49"/>
      <c r="E261" s="49"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49" t="str">
        <f>IFERROR(__xludf.DUMMYFUNCTION("""COMPUTED_VALUE"""),"Will Succeed")</f>
        <v>Will Succeed</v>
      </c>
      <c r="G261" s="49"/>
      <c r="H261" s="49" t="str">
        <f>IFERROR(__xludf.DUMMYFUNCTION("""COMPUTED_VALUE"""),"Melee")</f>
        <v>Melee</v>
      </c>
      <c r="I261" s="49" t="str">
        <f>IFERROR(__xludf.DUMMYFUNCTION("""COMPUTED_VALUE"""),"Player")</f>
        <v>Player</v>
      </c>
      <c r="J261" s="49" t="b">
        <f>IFERROR(__xludf.DUMMYFUNCTION("""COMPUTED_VALUE"""),FALSE)</f>
        <v>0</v>
      </c>
      <c r="K261" s="49"/>
      <c r="L261" s="49" t="b">
        <f>IFERROR(__xludf.DUMMYFUNCTION("""COMPUTED_VALUE"""),FALSE)</f>
        <v>0</v>
      </c>
      <c r="M261" s="49" t="b">
        <f>IFERROR(__xludf.DUMMYFUNCTION("""COMPUTED_VALUE"""),TRUE)</f>
        <v>1</v>
      </c>
      <c r="N261" s="49"/>
    </row>
    <row r="262">
      <c r="A262" s="49" t="str">
        <f>IFERROR(__xludf.DUMMYFUNCTION("""COMPUTED_VALUE"""),"Ancient Forest Colossus form")</f>
        <v>Ancient Forest Colossus form</v>
      </c>
      <c r="B262" s="126">
        <f>IFERROR(__xludf.DUMMYFUNCTION("""COMPUTED_VALUE"""),9.0)</f>
        <v>9</v>
      </c>
      <c r="C262" s="49">
        <f>IFERROR(__xludf.DUMMYFUNCTION("""COMPUTED_VALUE"""),300.0)</f>
        <v>300</v>
      </c>
      <c r="D262" s="49"/>
      <c r="E262" s="49"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49" t="str">
        <f>IFERROR(__xludf.DUMMYFUNCTION("""COMPUTED_VALUE"""),"Fail/succeed")</f>
        <v>Fail/succeed</v>
      </c>
      <c r="G262" s="49"/>
      <c r="H262" s="49" t="str">
        <f>IFERROR(__xludf.DUMMYFUNCTION("""COMPUTED_VALUE"""),"Nature")</f>
        <v>Nature</v>
      </c>
      <c r="I262" s="49" t="str">
        <f>IFERROR(__xludf.DUMMYFUNCTION("""COMPUTED_VALUE"""),"Player")</f>
        <v>Player</v>
      </c>
      <c r="J262" s="49" t="b">
        <f>IFERROR(__xludf.DUMMYFUNCTION("""COMPUTED_VALUE"""),FALSE)</f>
        <v>0</v>
      </c>
      <c r="K262" s="49"/>
      <c r="L262" s="49" t="b">
        <f>IFERROR(__xludf.DUMMYFUNCTION("""COMPUTED_VALUE"""),FALSE)</f>
        <v>0</v>
      </c>
      <c r="M262" s="49" t="b">
        <f>IFERROR(__xludf.DUMMYFUNCTION("""COMPUTED_VALUE"""),FALSE)</f>
        <v>0</v>
      </c>
      <c r="N262" s="49"/>
    </row>
    <row r="263">
      <c r="A263" s="49" t="str">
        <f>IFERROR(__xludf.DUMMYFUNCTION("""COMPUTED_VALUE"""),"Beast Form")</f>
        <v>Beast Form</v>
      </c>
      <c r="B263" s="126">
        <f>IFERROR(__xludf.DUMMYFUNCTION("""COMPUTED_VALUE"""),5.0)</f>
        <v>5</v>
      </c>
      <c r="C263" s="49">
        <f>IFERROR(__xludf.DUMMYFUNCTION("""COMPUTED_VALUE"""),50.0)</f>
        <v>50</v>
      </c>
      <c r="D263" s="49"/>
      <c r="E263" s="49" t="str">
        <f>IFERROR(__xludf.DUMMYFUNCTION("""COMPUTED_VALUE"""),"You become a beast that is equal or lower level than you.")</f>
        <v>You become a beast that is equal or lower level than you.</v>
      </c>
      <c r="F263" s="49" t="str">
        <f>IFERROR(__xludf.DUMMYFUNCTION("""COMPUTED_VALUE"""),"Fail/succeed")</f>
        <v>Fail/succeed</v>
      </c>
      <c r="G263" s="49"/>
      <c r="H263" s="49" t="str">
        <f>IFERROR(__xludf.DUMMYFUNCTION("""COMPUTED_VALUE"""),"Nature")</f>
        <v>Nature</v>
      </c>
      <c r="I263" s="49" t="str">
        <f>IFERROR(__xludf.DUMMYFUNCTION("""COMPUTED_VALUE"""),"Player")</f>
        <v>Player</v>
      </c>
      <c r="J263" s="49" t="b">
        <f>IFERROR(__xludf.DUMMYFUNCTION("""COMPUTED_VALUE"""),FALSE)</f>
        <v>0</v>
      </c>
      <c r="K263" s="49"/>
      <c r="L263" s="49" t="b">
        <f>IFERROR(__xludf.DUMMYFUNCTION("""COMPUTED_VALUE"""),FALSE)</f>
        <v>0</v>
      </c>
      <c r="M263" s="49" t="b">
        <f>IFERROR(__xludf.DUMMYFUNCTION("""COMPUTED_VALUE"""),FALSE)</f>
        <v>0</v>
      </c>
      <c r="N263" s="49"/>
    </row>
    <row r="264">
      <c r="A264" s="49" t="str">
        <f>IFERROR(__xludf.DUMMYFUNCTION("""COMPUTED_VALUE"""),"Call of the Ancient Forest")</f>
        <v>Call of the Ancient Forest</v>
      </c>
      <c r="B264" s="126">
        <f>IFERROR(__xludf.DUMMYFUNCTION("""COMPUTED_VALUE"""),9.0)</f>
        <v>9</v>
      </c>
      <c r="C264" s="125">
        <f>IFERROR(__xludf.DUMMYFUNCTION("""COMPUTED_VALUE"""),5000.0)</f>
        <v>5000</v>
      </c>
      <c r="D264" s="49"/>
      <c r="E264" s="49" t="str">
        <f>IFERROR(__xludf.DUMMYFUNCTION("""COMPUTED_VALUE"""),"(1 use): Summons a Ancient Forest Colossus")</f>
        <v>(1 use): Summons a Ancient Forest Colossus</v>
      </c>
      <c r="F264" s="49" t="str">
        <f>IFERROR(__xludf.DUMMYFUNCTION("""COMPUTED_VALUE"""),"Fail/Succeed")</f>
        <v>Fail/Succeed</v>
      </c>
      <c r="G264" s="49" t="str">
        <f>IFERROR(__xludf.DUMMYFUNCTION("""COMPUTED_VALUE"""),"Self")</f>
        <v>Self</v>
      </c>
      <c r="H264" s="49" t="str">
        <f>IFERROR(__xludf.DUMMYFUNCTION("""COMPUTED_VALUE"""),"Nature")</f>
        <v>Nature</v>
      </c>
      <c r="I264" s="49" t="str">
        <f>IFERROR(__xludf.DUMMYFUNCTION("""COMPUTED_VALUE"""),"Mob")</f>
        <v>Mob</v>
      </c>
      <c r="J264" s="49" t="b">
        <f>IFERROR(__xludf.DUMMYFUNCTION("""COMPUTED_VALUE"""),TRUE)</f>
        <v>1</v>
      </c>
      <c r="K264" s="49"/>
      <c r="L264" s="49" t="b">
        <f>IFERROR(__xludf.DUMMYFUNCTION("""COMPUTED_VALUE"""),FALSE)</f>
        <v>0</v>
      </c>
      <c r="M264" s="49" t="b">
        <f>IFERROR(__xludf.DUMMYFUNCTION("""COMPUTED_VALUE"""),FALSE)</f>
        <v>0</v>
      </c>
      <c r="N264" s="49"/>
    </row>
    <row r="265">
      <c r="A265" s="49" t="str">
        <f>IFERROR(__xludf.DUMMYFUNCTION("""COMPUTED_VALUE"""),"Class 3 Poison")</f>
        <v>Class 3 Poison</v>
      </c>
      <c r="B265" s="126">
        <f>IFERROR(__xludf.DUMMYFUNCTION("""COMPUTED_VALUE"""),9.0)</f>
        <v>9</v>
      </c>
      <c r="C265" s="125">
        <f>IFERROR(__xludf.DUMMYFUNCTION("""COMPUTED_VALUE"""),5000.0)</f>
        <v>5000</v>
      </c>
      <c r="D265" s="49"/>
      <c r="E265" s="49" t="str">
        <f>IFERROR(__xludf.DUMMYFUNCTION("""COMPUTED_VALUE"""),"When attacked, the attacker will take Poison 10,000 for 3 rounds.")</f>
        <v>When attacked, the attacker will take Poison 10,000 for 3 rounds.</v>
      </c>
      <c r="F265" s="49" t="str">
        <f>IFERROR(__xludf.DUMMYFUNCTION("""COMPUTED_VALUE"""),"Fail/Succeed")</f>
        <v>Fail/Succeed</v>
      </c>
      <c r="G265" s="49" t="str">
        <f>IFERROR(__xludf.DUMMYFUNCTION("""COMPUTED_VALUE"""),"Self")</f>
        <v>Self</v>
      </c>
      <c r="H265" s="49" t="str">
        <f>IFERROR(__xludf.DUMMYFUNCTION("""COMPUTED_VALUE"""),"Nature")</f>
        <v>Nature</v>
      </c>
      <c r="I265" s="49" t="str">
        <f>IFERROR(__xludf.DUMMYFUNCTION("""COMPUTED_VALUE"""),"Mob")</f>
        <v>Mob</v>
      </c>
      <c r="J265" s="49" t="b">
        <f>IFERROR(__xludf.DUMMYFUNCTION("""COMPUTED_VALUE"""),TRUE)</f>
        <v>1</v>
      </c>
      <c r="K265" s="49"/>
      <c r="L265" s="49" t="b">
        <f>IFERROR(__xludf.DUMMYFUNCTION("""COMPUTED_VALUE"""),FALSE)</f>
        <v>0</v>
      </c>
      <c r="M265" s="49" t="b">
        <f>IFERROR(__xludf.DUMMYFUNCTION("""COMPUTED_VALUE"""),FALSE)</f>
        <v>0</v>
      </c>
      <c r="N265" s="49"/>
    </row>
    <row r="266">
      <c r="A266" s="49" t="str">
        <f>IFERROR(__xludf.DUMMYFUNCTION("""COMPUTED_VALUE"""),"Creature Control")</f>
        <v>Creature Control</v>
      </c>
      <c r="B266" s="126">
        <f>IFERROR(__xludf.DUMMYFUNCTION("""COMPUTED_VALUE"""),3.0)</f>
        <v>3</v>
      </c>
      <c r="C266" s="49">
        <f>IFERROR(__xludf.DUMMYFUNCTION("""COMPUTED_VALUE"""),30.0)</f>
        <v>30</v>
      </c>
      <c r="D266" s="49"/>
      <c r="E266" s="49"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49" t="str">
        <f>IFERROR(__xludf.DUMMYFUNCTION("""COMPUTED_VALUE"""),"Fail/succeed")</f>
        <v>Fail/succeed</v>
      </c>
      <c r="G266" s="49"/>
      <c r="H266" s="49" t="str">
        <f>IFERROR(__xludf.DUMMYFUNCTION("""COMPUTED_VALUE"""),"Nature")</f>
        <v>Nature</v>
      </c>
      <c r="I266" s="49" t="str">
        <f>IFERROR(__xludf.DUMMYFUNCTION("""COMPUTED_VALUE"""),"Player")</f>
        <v>Player</v>
      </c>
      <c r="J266" s="49" t="b">
        <f>IFERROR(__xludf.DUMMYFUNCTION("""COMPUTED_VALUE"""),FALSE)</f>
        <v>0</v>
      </c>
      <c r="K266" s="49"/>
      <c r="L266" s="49" t="b">
        <f>IFERROR(__xludf.DUMMYFUNCTION("""COMPUTED_VALUE"""),FALSE)</f>
        <v>0</v>
      </c>
      <c r="M266" s="49" t="b">
        <f>IFERROR(__xludf.DUMMYFUNCTION("""COMPUTED_VALUE"""),FALSE)</f>
        <v>0</v>
      </c>
      <c r="N266" s="49"/>
    </row>
    <row r="267">
      <c r="A267" s="49" t="str">
        <f>IFERROR(__xludf.DUMMYFUNCTION("""COMPUTED_VALUE"""),"Grounds")</f>
        <v>Grounds</v>
      </c>
      <c r="B267" s="126">
        <f>IFERROR(__xludf.DUMMYFUNCTION("""COMPUTED_VALUE"""),9.0)</f>
        <v>9</v>
      </c>
      <c r="C267" s="49" t="str">
        <f>IFERROR(__xludf.DUMMYFUNCTION("""COMPUTED_VALUE"""),"X")</f>
        <v>X</v>
      </c>
      <c r="D267" s="49"/>
      <c r="E267" s="49"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49" t="str">
        <f>IFERROR(__xludf.DUMMYFUNCTION("""COMPUTED_VALUE"""),"Will Succeed")</f>
        <v>Will Succeed</v>
      </c>
      <c r="G267" s="49"/>
      <c r="H267" s="49" t="str">
        <f>IFERROR(__xludf.DUMMYFUNCTION("""COMPUTED_VALUE"""),"Nature")</f>
        <v>Nature</v>
      </c>
      <c r="I267" s="49" t="str">
        <f>IFERROR(__xludf.DUMMYFUNCTION("""COMPUTED_VALUE"""),"Player")</f>
        <v>Player</v>
      </c>
      <c r="J267" s="49" t="b">
        <f>IFERROR(__xludf.DUMMYFUNCTION("""COMPUTED_VALUE"""),FALSE)</f>
        <v>0</v>
      </c>
      <c r="K267" s="49"/>
      <c r="L267" s="49" t="b">
        <f>IFERROR(__xludf.DUMMYFUNCTION("""COMPUTED_VALUE"""),FALSE)</f>
        <v>0</v>
      </c>
      <c r="M267" s="49" t="b">
        <f>IFERROR(__xludf.DUMMYFUNCTION("""COMPUTED_VALUE"""),FALSE)</f>
        <v>0</v>
      </c>
      <c r="N267" s="49"/>
    </row>
    <row r="268">
      <c r="A268" s="49" t="str">
        <f>IFERROR(__xludf.DUMMYFUNCTION("""COMPUTED_VALUE"""),"Nature Ward")</f>
        <v>Nature Ward</v>
      </c>
      <c r="B268" s="126">
        <f>IFERROR(__xludf.DUMMYFUNCTION("""COMPUTED_VALUE"""),9.0)</f>
        <v>9</v>
      </c>
      <c r="C268" s="49">
        <f>IFERROR(__xludf.DUMMYFUNCTION("""COMPUTED_VALUE"""),300.0)</f>
        <v>300</v>
      </c>
      <c r="D268" s="49"/>
      <c r="E268" s="49"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49" t="str">
        <f>IFERROR(__xludf.DUMMYFUNCTION("""COMPUTED_VALUE"""),"Fail/Succeed")</f>
        <v>Fail/Succeed</v>
      </c>
      <c r="G268" s="49">
        <f>IFERROR(__xludf.DUMMYFUNCTION("""COMPUTED_VALUE"""),1.0)</f>
        <v>1</v>
      </c>
      <c r="H268" s="49" t="str">
        <f>IFERROR(__xludf.DUMMYFUNCTION("""COMPUTED_VALUE"""),"Nature")</f>
        <v>Nature</v>
      </c>
      <c r="I268" s="49" t="str">
        <f>IFERROR(__xludf.DUMMYFUNCTION("""COMPUTED_VALUE"""),"Player")</f>
        <v>Player</v>
      </c>
      <c r="J268" s="49" t="b">
        <f>IFERROR(__xludf.DUMMYFUNCTION("""COMPUTED_VALUE"""),FALSE)</f>
        <v>0</v>
      </c>
      <c r="K268" s="49"/>
      <c r="L268" s="49" t="b">
        <f>IFERROR(__xludf.DUMMYFUNCTION("""COMPUTED_VALUE"""),FALSE)</f>
        <v>0</v>
      </c>
      <c r="M268" s="49" t="b">
        <f>IFERROR(__xludf.DUMMYFUNCTION("""COMPUTED_VALUE"""),FALSE)</f>
        <v>0</v>
      </c>
      <c r="N268" s="49"/>
    </row>
    <row r="269">
      <c r="A269" s="49" t="str">
        <f>IFERROR(__xludf.DUMMYFUNCTION("""COMPUTED_VALUE"""),"Poison Fang")</f>
        <v>Poison Fang</v>
      </c>
      <c r="B269" s="126">
        <f>IFERROR(__xludf.DUMMYFUNCTION("""COMPUTED_VALUE"""),1.0)</f>
        <v>1</v>
      </c>
      <c r="C269" s="49">
        <f>IFERROR(__xludf.DUMMYFUNCTION("""COMPUTED_VALUE"""),0.0)</f>
        <v>0</v>
      </c>
      <c r="D269" s="49"/>
      <c r="E269" s="49" t="str">
        <f>IFERROR(__xludf.DUMMYFUNCTION("""COMPUTED_VALUE"""),"Poison 1000")</f>
        <v>Poison 1000</v>
      </c>
      <c r="F269" s="49" t="str">
        <f>IFERROR(__xludf.DUMMYFUNCTION("""COMPUTED_VALUE"""),"Natural/Hit or Miss")</f>
        <v>Natural/Hit or Miss</v>
      </c>
      <c r="G269" s="49">
        <f>IFERROR(__xludf.DUMMYFUNCTION("""COMPUTED_VALUE"""),1.0)</f>
        <v>1</v>
      </c>
      <c r="H269" s="49" t="str">
        <f>IFERROR(__xludf.DUMMYFUNCTION("""COMPUTED_VALUE"""),"Nature")</f>
        <v>Nature</v>
      </c>
      <c r="I269" s="49" t="str">
        <f>IFERROR(__xludf.DUMMYFUNCTION("""COMPUTED_VALUE"""),"Mob")</f>
        <v>Mob</v>
      </c>
      <c r="J269" s="49" t="b">
        <f>IFERROR(__xludf.DUMMYFUNCTION("""COMPUTED_VALUE"""),TRUE)</f>
        <v>1</v>
      </c>
      <c r="K269" s="49"/>
      <c r="L269" s="49" t="b">
        <f>IFERROR(__xludf.DUMMYFUNCTION("""COMPUTED_VALUE"""),FALSE)</f>
        <v>0</v>
      </c>
      <c r="M269" s="49" t="b">
        <f>IFERROR(__xludf.DUMMYFUNCTION("""COMPUTED_VALUE"""),FALSE)</f>
        <v>0</v>
      </c>
      <c r="N269" s="49"/>
    </row>
    <row r="270">
      <c r="A270" s="49"/>
      <c r="B270" s="49"/>
      <c r="C270" s="49"/>
      <c r="D270" s="49"/>
      <c r="E270" s="49"/>
      <c r="F270" s="49"/>
      <c r="G270" s="49"/>
      <c r="H270" s="49"/>
      <c r="I270" s="49"/>
      <c r="J270" s="49" t="b">
        <f>IFERROR(__xludf.DUMMYFUNCTION("""COMPUTED_VALUE"""),FALSE)</f>
        <v>0</v>
      </c>
      <c r="K270" s="49"/>
      <c r="L270" s="49" t="b">
        <f>IFERROR(__xludf.DUMMYFUNCTION("""COMPUTED_VALUE"""),FALSE)</f>
        <v>0</v>
      </c>
      <c r="M270" s="49" t="b">
        <f>IFERROR(__xludf.DUMMYFUNCTION("""COMPUTED_VALUE"""),FALSE)</f>
        <v>0</v>
      </c>
      <c r="N270" s="49"/>
    </row>
    <row r="271">
      <c r="A271" s="49" t="str">
        <f>IFERROR(__xludf.DUMMYFUNCTION("""COMPUTED_VALUE"""),"Poison Stomp")</f>
        <v>Poison Stomp</v>
      </c>
      <c r="B271" s="126">
        <f>IFERROR(__xludf.DUMMYFUNCTION("""COMPUTED_VALUE"""),1.0)</f>
        <v>1</v>
      </c>
      <c r="C271" s="49">
        <f>IFERROR(__xludf.DUMMYFUNCTION("""COMPUTED_VALUE"""),0.0)</f>
        <v>0</v>
      </c>
      <c r="D271" s="49"/>
      <c r="E271" s="49" t="str">
        <f>IFERROR(__xludf.DUMMYFUNCTION("""COMPUTED_VALUE"""),"1000 damage, poison 500 for 3 rounds.")</f>
        <v>1000 damage, poison 500 for 3 rounds.</v>
      </c>
      <c r="F271" s="49" t="str">
        <f>IFERROR(__xludf.DUMMYFUNCTION("""COMPUTED_VALUE"""),"Natural/Hit or Miss")</f>
        <v>Natural/Hit or Miss</v>
      </c>
      <c r="G271" s="49">
        <f>IFERROR(__xludf.DUMMYFUNCTION("""COMPUTED_VALUE"""),1.0)</f>
        <v>1</v>
      </c>
      <c r="H271" s="49" t="str">
        <f>IFERROR(__xludf.DUMMYFUNCTION("""COMPUTED_VALUE"""),"Nature")</f>
        <v>Nature</v>
      </c>
      <c r="I271" s="49" t="str">
        <f>IFERROR(__xludf.DUMMYFUNCTION("""COMPUTED_VALUE"""),"Mob")</f>
        <v>Mob</v>
      </c>
      <c r="J271" s="49" t="b">
        <f>IFERROR(__xludf.DUMMYFUNCTION("""COMPUTED_VALUE"""),TRUE)</f>
        <v>1</v>
      </c>
      <c r="K271" s="49"/>
      <c r="L271" s="49" t="b">
        <f>IFERROR(__xludf.DUMMYFUNCTION("""COMPUTED_VALUE"""),FALSE)</f>
        <v>0</v>
      </c>
      <c r="M271" s="49" t="b">
        <f>IFERROR(__xludf.DUMMYFUNCTION("""COMPUTED_VALUE"""),FALSE)</f>
        <v>0</v>
      </c>
      <c r="N271" s="49"/>
    </row>
    <row r="272">
      <c r="A272" s="49" t="str">
        <f>IFERROR(__xludf.DUMMYFUNCTION("""COMPUTED_VALUE"""),"Cocoon")</f>
        <v>Cocoon</v>
      </c>
      <c r="B272" s="126">
        <f>IFERROR(__xludf.DUMMYFUNCTION("""COMPUTED_VALUE"""),9.0)</f>
        <v>9</v>
      </c>
      <c r="C272" s="125">
        <f>IFERROR(__xludf.DUMMYFUNCTION("""COMPUTED_VALUE"""),1000.0)</f>
        <v>1000</v>
      </c>
      <c r="D272" s="49"/>
      <c r="E272" s="49"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49" t="str">
        <f>IFERROR(__xludf.DUMMYFUNCTION("""COMPUTED_VALUE"""),"Fail/Succeed")</f>
        <v>Fail/Succeed</v>
      </c>
      <c r="G272" s="49" t="str">
        <f>IFERROR(__xludf.DUMMYFUNCTION("""COMPUTED_VALUE"""),"Self")</f>
        <v>Self</v>
      </c>
      <c r="H272" s="49" t="str">
        <f>IFERROR(__xludf.DUMMYFUNCTION("""COMPUTED_VALUE"""),"Nature")</f>
        <v>Nature</v>
      </c>
      <c r="I272" s="49" t="str">
        <f>IFERROR(__xludf.DUMMYFUNCTION("""COMPUTED_VALUE"""),"Mob")</f>
        <v>Mob</v>
      </c>
      <c r="J272" s="49" t="b">
        <f>IFERROR(__xludf.DUMMYFUNCTION("""COMPUTED_VALUE"""),TRUE)</f>
        <v>1</v>
      </c>
      <c r="K272" s="49"/>
      <c r="L272" s="49" t="b">
        <f>IFERROR(__xludf.DUMMYFUNCTION("""COMPUTED_VALUE"""),FALSE)</f>
        <v>0</v>
      </c>
      <c r="M272" s="49" t="b">
        <f>IFERROR(__xludf.DUMMYFUNCTION("""COMPUTED_VALUE"""),FALSE)</f>
        <v>0</v>
      </c>
      <c r="N272" s="49"/>
    </row>
    <row r="273">
      <c r="A273" s="49" t="str">
        <f>IFERROR(__xludf.DUMMYFUNCTION("""COMPUTED_VALUE"""),"Poisonous Fumes")</f>
        <v>Poisonous Fumes</v>
      </c>
      <c r="B273" s="126">
        <f>IFERROR(__xludf.DUMMYFUNCTION("""COMPUTED_VALUE"""),8.0)</f>
        <v>8</v>
      </c>
      <c r="C273" s="49">
        <f>IFERROR(__xludf.DUMMYFUNCTION("""COMPUTED_VALUE"""),1400.0)</f>
        <v>1400</v>
      </c>
      <c r="D273" s="49"/>
      <c r="E273" s="49"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49" t="str">
        <f>IFERROR(__xludf.DUMMYFUNCTION("""COMPUTED_VALUE"""),"Fail/Succeed")</f>
        <v>Fail/Succeed</v>
      </c>
      <c r="G273" s="49"/>
      <c r="H273" s="49" t="str">
        <f>IFERROR(__xludf.DUMMYFUNCTION("""COMPUTED_VALUE"""),"Nature")</f>
        <v>Nature</v>
      </c>
      <c r="I273" s="49" t="str">
        <f>IFERROR(__xludf.DUMMYFUNCTION("""COMPUTED_VALUE"""),"Player")</f>
        <v>Player</v>
      </c>
      <c r="J273" s="49" t="b">
        <f>IFERROR(__xludf.DUMMYFUNCTION("""COMPUTED_VALUE"""),FALSE)</f>
        <v>0</v>
      </c>
      <c r="K273" s="49"/>
      <c r="L273" s="49" t="b">
        <f>IFERROR(__xludf.DUMMYFUNCTION("""COMPUTED_VALUE"""),FALSE)</f>
        <v>0</v>
      </c>
      <c r="M273" s="49" t="b">
        <f>IFERROR(__xludf.DUMMYFUNCTION("""COMPUTED_VALUE"""),FALSE)</f>
        <v>0</v>
      </c>
      <c r="N273" s="49"/>
    </row>
    <row r="274">
      <c r="A274" s="49" t="str">
        <f>IFERROR(__xludf.DUMMYFUNCTION("""COMPUTED_VALUE"""),"The World Tree")</f>
        <v>The World Tree</v>
      </c>
      <c r="B274" s="126">
        <f>IFERROR(__xludf.DUMMYFUNCTION("""COMPUTED_VALUE"""),9.0)</f>
        <v>9</v>
      </c>
      <c r="C274" s="49">
        <f>IFERROR(__xludf.DUMMYFUNCTION("""COMPUTED_VALUE"""),500.0)</f>
        <v>500</v>
      </c>
      <c r="D274" s="49"/>
      <c r="E274" s="49"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49" t="str">
        <f>IFERROR(__xludf.DUMMYFUNCTION("""COMPUTED_VALUE"""),"Fail/Succeed")</f>
        <v>Fail/Succeed</v>
      </c>
      <c r="G274" s="49"/>
      <c r="H274" s="49" t="str">
        <f>IFERROR(__xludf.DUMMYFUNCTION("""COMPUTED_VALUE"""),"Nature")</f>
        <v>Nature</v>
      </c>
      <c r="I274" s="49" t="str">
        <f>IFERROR(__xludf.DUMMYFUNCTION("""COMPUTED_VALUE"""),"Player")</f>
        <v>Player</v>
      </c>
      <c r="J274" s="49" t="b">
        <f>IFERROR(__xludf.DUMMYFUNCTION("""COMPUTED_VALUE"""),FALSE)</f>
        <v>0</v>
      </c>
      <c r="K274" s="49"/>
      <c r="L274" s="49" t="b">
        <f>IFERROR(__xludf.DUMMYFUNCTION("""COMPUTED_VALUE"""),FALSE)</f>
        <v>0</v>
      </c>
      <c r="M274" s="49" t="b">
        <f>IFERROR(__xludf.DUMMYFUNCTION("""COMPUTED_VALUE"""),FALSE)</f>
        <v>0</v>
      </c>
      <c r="N274" s="49"/>
    </row>
    <row r="275">
      <c r="A275" s="49" t="str">
        <f>IFERROR(__xludf.DUMMYFUNCTION("""COMPUTED_VALUE"""),"Tower Of The Forest")</f>
        <v>Tower Of The Forest</v>
      </c>
      <c r="B275" s="126">
        <f>IFERROR(__xludf.DUMMYFUNCTION("""COMPUTED_VALUE"""),8.0)</f>
        <v>8</v>
      </c>
      <c r="C275" s="49">
        <f>IFERROR(__xludf.DUMMYFUNCTION("""COMPUTED_VALUE"""),200.0)</f>
        <v>200</v>
      </c>
      <c r="D275" s="49"/>
      <c r="E275" s="49"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49" t="str">
        <f>IFERROR(__xludf.DUMMYFUNCTION("""COMPUTED_VALUE"""),"Fail/Succeed")</f>
        <v>Fail/Succeed</v>
      </c>
      <c r="G275" s="49">
        <f>IFERROR(__xludf.DUMMYFUNCTION("""COMPUTED_VALUE"""),1.0)</f>
        <v>1</v>
      </c>
      <c r="H275" s="49" t="str">
        <f>IFERROR(__xludf.DUMMYFUNCTION("""COMPUTED_VALUE"""),"Nature")</f>
        <v>Nature</v>
      </c>
      <c r="I275" s="49" t="str">
        <f>IFERROR(__xludf.DUMMYFUNCTION("""COMPUTED_VALUE"""),"Player")</f>
        <v>Player</v>
      </c>
      <c r="J275" s="49" t="b">
        <f>IFERROR(__xludf.DUMMYFUNCTION("""COMPUTED_VALUE"""),FALSE)</f>
        <v>0</v>
      </c>
      <c r="K275" s="49"/>
      <c r="L275" s="49" t="b">
        <f>IFERROR(__xludf.DUMMYFUNCTION("""COMPUTED_VALUE"""),FALSE)</f>
        <v>0</v>
      </c>
      <c r="M275" s="49" t="b">
        <f>IFERROR(__xludf.DUMMYFUNCTION("""COMPUTED_VALUE"""),FALSE)</f>
        <v>0</v>
      </c>
      <c r="N275" s="49"/>
    </row>
    <row r="276">
      <c r="A276" s="49" t="str">
        <f>IFERROR(__xludf.DUMMYFUNCTION("""COMPUTED_VALUE"""),"Tree Stance")</f>
        <v>Tree Stance</v>
      </c>
      <c r="B276" s="126">
        <f>IFERROR(__xludf.DUMMYFUNCTION("""COMPUTED_VALUE"""),9.0)</f>
        <v>9</v>
      </c>
      <c r="C276" s="49">
        <f>IFERROR(__xludf.DUMMYFUNCTION("""COMPUTED_VALUE"""),300.0)</f>
        <v>300</v>
      </c>
      <c r="D276" s="49"/>
      <c r="E276" s="49"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49" t="str">
        <f>IFERROR(__xludf.DUMMYFUNCTION("""COMPUTED_VALUE"""),"Will Succeed")</f>
        <v>Will Succeed</v>
      </c>
      <c r="G276" s="49" t="str">
        <f>IFERROR(__xludf.DUMMYFUNCTION("""COMPUTED_VALUE"""),"Self ")</f>
        <v>Self </v>
      </c>
      <c r="H276" s="49" t="str">
        <f>IFERROR(__xludf.DUMMYFUNCTION("""COMPUTED_VALUE"""),"Nature")</f>
        <v>Nature</v>
      </c>
      <c r="I276" s="49" t="str">
        <f>IFERROR(__xludf.DUMMYFUNCTION("""COMPUTED_VALUE"""),"Player")</f>
        <v>Player</v>
      </c>
      <c r="J276" s="49" t="b">
        <f>IFERROR(__xludf.DUMMYFUNCTION("""COMPUTED_VALUE"""),TRUE)</f>
        <v>1</v>
      </c>
      <c r="K276" s="49" t="str">
        <f>IFERROR(__xludf.DUMMYFUNCTION("""COMPUTED_VALUE"""),"shop spell")</f>
        <v>shop spell</v>
      </c>
      <c r="L276" s="49" t="b">
        <f>IFERROR(__xludf.DUMMYFUNCTION("""COMPUTED_VALUE"""),FALSE)</f>
        <v>0</v>
      </c>
      <c r="M276" s="49" t="b">
        <f>IFERROR(__xludf.DUMMYFUNCTION("""COMPUTED_VALUE"""),FALSE)</f>
        <v>0</v>
      </c>
      <c r="N276" s="49"/>
    </row>
    <row r="277">
      <c r="A277" s="49" t="str">
        <f>IFERROR(__xludf.DUMMYFUNCTION("""COMPUTED_VALUE"""),"Tree Throw")</f>
        <v>Tree Throw</v>
      </c>
      <c r="B277" s="126">
        <f>IFERROR(__xludf.DUMMYFUNCTION("""COMPUTED_VALUE"""),1.0)</f>
        <v>1</v>
      </c>
      <c r="C277" s="125">
        <f>IFERROR(__xludf.DUMMYFUNCTION("""COMPUTED_VALUE"""),0.0)</f>
        <v>0</v>
      </c>
      <c r="D277" s="49"/>
      <c r="E277" s="49" t="str">
        <f>IFERROR(__xludf.DUMMYFUNCTION("""COMPUTED_VALUE"""),"10,000 nature damage.")</f>
        <v>10,000 nature damage.</v>
      </c>
      <c r="F277" s="49" t="str">
        <f>IFERROR(__xludf.DUMMYFUNCTION("""COMPUTED_VALUE"""),"Hit/Miss")</f>
        <v>Hit/Miss</v>
      </c>
      <c r="G277" s="49">
        <f>IFERROR(__xludf.DUMMYFUNCTION("""COMPUTED_VALUE"""),1.0)</f>
        <v>1</v>
      </c>
      <c r="H277" s="49" t="str">
        <f>IFERROR(__xludf.DUMMYFUNCTION("""COMPUTED_VALUE"""),"Nature")</f>
        <v>Nature</v>
      </c>
      <c r="I277" s="49" t="str">
        <f>IFERROR(__xludf.DUMMYFUNCTION("""COMPUTED_VALUE"""),"Mob")</f>
        <v>Mob</v>
      </c>
      <c r="J277" s="49" t="b">
        <f>IFERROR(__xludf.DUMMYFUNCTION("""COMPUTED_VALUE"""),TRUE)</f>
        <v>1</v>
      </c>
      <c r="K277" s="49"/>
      <c r="L277" s="49" t="b">
        <f>IFERROR(__xludf.DUMMYFUNCTION("""COMPUTED_VALUE"""),FALSE)</f>
        <v>0</v>
      </c>
      <c r="M277" s="49" t="b">
        <f>IFERROR(__xludf.DUMMYFUNCTION("""COMPUTED_VALUE"""),FALSE)</f>
        <v>0</v>
      </c>
      <c r="N277" s="49"/>
    </row>
    <row r="278">
      <c r="A278" s="49" t="str">
        <f>IFERROR(__xludf.DUMMYFUNCTION("""COMPUTED_VALUE"""),"Vine Hold")</f>
        <v>Vine Hold</v>
      </c>
      <c r="B278" s="126">
        <f>IFERROR(__xludf.DUMMYFUNCTION("""COMPUTED_VALUE"""),6.0)</f>
        <v>6</v>
      </c>
      <c r="C278" s="49">
        <f>IFERROR(__xludf.DUMMYFUNCTION("""COMPUTED_VALUE"""),60.0)</f>
        <v>60</v>
      </c>
      <c r="D278" s="49"/>
      <c r="E278" s="49" t="str">
        <f>IFERROR(__xludf.DUMMYFUNCTION("""COMPUTED_VALUE"""),"6000 poison for 3 rounds, Stun 3")</f>
        <v>6000 poison for 3 rounds, Stun 3</v>
      </c>
      <c r="F278" s="49" t="str">
        <f>IFERROR(__xludf.DUMMYFUNCTION("""COMPUTED_VALUE"""),"Fail/succeed")</f>
        <v>Fail/succeed</v>
      </c>
      <c r="G278" s="49"/>
      <c r="H278" s="49" t="str">
        <f>IFERROR(__xludf.DUMMYFUNCTION("""COMPUTED_VALUE"""),"Nature")</f>
        <v>Nature</v>
      </c>
      <c r="I278" s="49" t="str">
        <f>IFERROR(__xludf.DUMMYFUNCTION("""COMPUTED_VALUE"""),"Player")</f>
        <v>Player</v>
      </c>
      <c r="J278" s="49" t="b">
        <f>IFERROR(__xludf.DUMMYFUNCTION("""COMPUTED_VALUE"""),FALSE)</f>
        <v>0</v>
      </c>
      <c r="K278" s="49"/>
      <c r="L278" s="49" t="b">
        <f>IFERROR(__xludf.DUMMYFUNCTION("""COMPUTED_VALUE"""),FALSE)</f>
        <v>0</v>
      </c>
      <c r="M278" s="49" t="b">
        <f>IFERROR(__xludf.DUMMYFUNCTION("""COMPUTED_VALUE"""),FALSE)</f>
        <v>0</v>
      </c>
      <c r="N278" s="49"/>
    </row>
    <row r="279">
      <c r="A279" s="49" t="str">
        <f>IFERROR(__xludf.DUMMYFUNCTION("""COMPUTED_VALUE"""),"Grace of the Forest")</f>
        <v>Grace of the Forest</v>
      </c>
      <c r="B279" s="126">
        <f>IFERROR(__xludf.DUMMYFUNCTION("""COMPUTED_VALUE"""),9.0)</f>
        <v>9</v>
      </c>
      <c r="C279" s="49">
        <f>IFERROR(__xludf.DUMMYFUNCTION("""COMPUTED_VALUE"""),5000.0)</f>
        <v>5000</v>
      </c>
      <c r="D279" s="49"/>
      <c r="E279" s="49" t="str">
        <f>IFERROR(__xludf.DUMMYFUNCTION("""COMPUTED_VALUE"""),"Grants Haste 3 and Truesight 3 to self and all allies.")</f>
        <v>Grants Haste 3 and Truesight 3 to self and all allies.</v>
      </c>
      <c r="F279" s="49" t="str">
        <f>IFERROR(__xludf.DUMMYFUNCTION("""COMPUTED_VALUE"""),"Fail/Succeed")</f>
        <v>Fail/Succeed</v>
      </c>
      <c r="G279" s="49" t="str">
        <f>IFERROR(__xludf.DUMMYFUNCTION("""COMPUTED_VALUE"""),"All")</f>
        <v>All</v>
      </c>
      <c r="H279" s="49" t="str">
        <f>IFERROR(__xludf.DUMMYFUNCTION("""COMPUTED_VALUE"""),"Nature")</f>
        <v>Nature</v>
      </c>
      <c r="I279" s="49" t="str">
        <f>IFERROR(__xludf.DUMMYFUNCTION("""COMPUTED_VALUE"""),"Mob")</f>
        <v>Mob</v>
      </c>
      <c r="J279" s="49" t="b">
        <f>IFERROR(__xludf.DUMMYFUNCTION("""COMPUTED_VALUE"""),TRUE)</f>
        <v>1</v>
      </c>
      <c r="K279" s="49"/>
      <c r="L279" s="49" t="b">
        <f>IFERROR(__xludf.DUMMYFUNCTION("""COMPUTED_VALUE"""),FALSE)</f>
        <v>0</v>
      </c>
      <c r="M279" s="49" t="b">
        <f>IFERROR(__xludf.DUMMYFUNCTION("""COMPUTED_VALUE"""),FALSE)</f>
        <v>0</v>
      </c>
      <c r="N279" s="49"/>
    </row>
    <row r="280">
      <c r="A280" s="49" t="str">
        <f>IFERROR(__xludf.DUMMYFUNCTION("""COMPUTED_VALUE"""),"Nature's Light")</f>
        <v>Nature's Light</v>
      </c>
      <c r="B280" s="126">
        <f>IFERROR(__xludf.DUMMYFUNCTION("""COMPUTED_VALUE"""),9.0)</f>
        <v>9</v>
      </c>
      <c r="C280" s="49" t="str">
        <f>IFERROR(__xludf.DUMMYFUNCTION("""COMPUTED_VALUE"""),"X")</f>
        <v>X</v>
      </c>
      <c r="D280" s="49"/>
      <c r="E280" s="49" t="str">
        <f>IFERROR(__xludf.DUMMYFUNCTION("""COMPUTED_VALUE"""),"A gentle glow emanates from the caster healing all allies by X HP every round and dealing X2 Nature damage.")</f>
        <v>A gentle glow emanates from the caster healing all allies by X HP every round and dealing X2 Nature damage.</v>
      </c>
      <c r="F280" s="49" t="str">
        <f>IFERROR(__xludf.DUMMYFUNCTION("""COMPUTED_VALUE"""),"Fail/Succeed")</f>
        <v>Fail/Succeed</v>
      </c>
      <c r="G280" s="49" t="str">
        <f>IFERROR(__xludf.DUMMYFUNCTION("""COMPUTED_VALUE"""),"All")</f>
        <v>All</v>
      </c>
      <c r="H280" s="49" t="str">
        <f>IFERROR(__xludf.DUMMYFUNCTION("""COMPUTED_VALUE"""),"Nature")</f>
        <v>Nature</v>
      </c>
      <c r="I280" s="49" t="str">
        <f>IFERROR(__xludf.DUMMYFUNCTION("""COMPUTED_VALUE"""),"Player")</f>
        <v>Player</v>
      </c>
      <c r="J280" s="49" t="b">
        <f>IFERROR(__xludf.DUMMYFUNCTION("""COMPUTED_VALUE"""),FALSE)</f>
        <v>0</v>
      </c>
      <c r="K280" s="49"/>
      <c r="L280" s="49" t="b">
        <f>IFERROR(__xludf.DUMMYFUNCTION("""COMPUTED_VALUE"""),FALSE)</f>
        <v>0</v>
      </c>
      <c r="M280" s="49" t="b">
        <f>IFERROR(__xludf.DUMMYFUNCTION("""COMPUTED_VALUE"""),FALSE)</f>
        <v>0</v>
      </c>
      <c r="N280" s="49"/>
    </row>
    <row r="281">
      <c r="A281" s="49" t="str">
        <f>IFERROR(__xludf.DUMMYFUNCTION("""COMPUTED_VALUE"""),"Nature's Embrace")</f>
        <v>Nature's Embrace</v>
      </c>
      <c r="B281" s="126">
        <f>IFERROR(__xludf.DUMMYFUNCTION("""COMPUTED_VALUE"""),7.0)</f>
        <v>7</v>
      </c>
      <c r="C281" s="49">
        <f>IFERROR(__xludf.DUMMYFUNCTION("""COMPUTED_VALUE"""),200.0)</f>
        <v>200</v>
      </c>
      <c r="D281" s="49"/>
      <c r="E281" s="49" t="str">
        <f>IFERROR(__xludf.DUMMYFUNCTION("""COMPUTED_VALUE"""),"Has a 40% chance to inflict Pacified 3 on a single target. (once per battle)")</f>
        <v>Has a 40% chance to inflict Pacified 3 on a single target. (once per battle)</v>
      </c>
      <c r="F281" s="49" t="str">
        <f>IFERROR(__xludf.DUMMYFUNCTION("""COMPUTED_VALUE"""),"Fail/Succeed")</f>
        <v>Fail/Succeed</v>
      </c>
      <c r="G281" s="49">
        <f>IFERROR(__xludf.DUMMYFUNCTION("""COMPUTED_VALUE"""),1.0)</f>
        <v>1</v>
      </c>
      <c r="H281" s="49" t="str">
        <f>IFERROR(__xludf.DUMMYFUNCTION("""COMPUTED_VALUE"""),"Nature")</f>
        <v>Nature</v>
      </c>
      <c r="I281" s="49" t="str">
        <f>IFERROR(__xludf.DUMMYFUNCTION("""COMPUTED_VALUE"""),"Player")</f>
        <v>Player</v>
      </c>
      <c r="J281" s="49" t="b">
        <f>IFERROR(__xludf.DUMMYFUNCTION("""COMPUTED_VALUE"""),FALSE)</f>
        <v>0</v>
      </c>
      <c r="K281" s="49"/>
      <c r="L281" s="49" t="b">
        <f>IFERROR(__xludf.DUMMYFUNCTION("""COMPUTED_VALUE"""),FALSE)</f>
        <v>0</v>
      </c>
      <c r="M281" s="49" t="b">
        <f>IFERROR(__xludf.DUMMYFUNCTION("""COMPUTED_VALUE"""),FALSE)</f>
        <v>0</v>
      </c>
      <c r="N281" s="49"/>
    </row>
    <row r="282">
      <c r="A282" s="49" t="str">
        <f>IFERROR(__xludf.DUMMYFUNCTION("""COMPUTED_VALUE"""),"Nature's Wrath")</f>
        <v>Nature's Wrath</v>
      </c>
      <c r="B282" s="126">
        <f>IFERROR(__xludf.DUMMYFUNCTION("""COMPUTED_VALUE"""),9.0)</f>
        <v>9</v>
      </c>
      <c r="C282" s="49">
        <f>IFERROR(__xludf.DUMMYFUNCTION("""COMPUTED_VALUE"""),4000.0)</f>
        <v>4000</v>
      </c>
      <c r="D282" s="49"/>
      <c r="E282" s="49" t="str">
        <f>IFERROR(__xludf.DUMMYFUNCTION("""COMPUTED_VALUE"""),"Deals 20,000 undefendable damage to all enemies with a 5% chance to inflict the effect of entagle.")</f>
        <v>Deals 20,000 undefendable damage to all enemies with a 5% chance to inflict the effect of entagle.</v>
      </c>
      <c r="F282" s="49" t="str">
        <f>IFERROR(__xludf.DUMMYFUNCTION("""COMPUTED_VALUE"""),"Cannot Avoid")</f>
        <v>Cannot Avoid</v>
      </c>
      <c r="G282" s="49" t="str">
        <f>IFERROR(__xludf.DUMMYFUNCTION("""COMPUTED_VALUE"""),"All")</f>
        <v>All</v>
      </c>
      <c r="H282" s="49" t="str">
        <f>IFERROR(__xludf.DUMMYFUNCTION("""COMPUTED_VALUE"""),"Nature")</f>
        <v>Nature</v>
      </c>
      <c r="I282" s="49" t="str">
        <f>IFERROR(__xludf.DUMMYFUNCTION("""COMPUTED_VALUE"""),"Player")</f>
        <v>Player</v>
      </c>
      <c r="J282" s="49" t="b">
        <f>IFERROR(__xludf.DUMMYFUNCTION("""COMPUTED_VALUE"""),FALSE)</f>
        <v>0</v>
      </c>
      <c r="K282" s="49"/>
      <c r="L282" s="49" t="b">
        <f>IFERROR(__xludf.DUMMYFUNCTION("""COMPUTED_VALUE"""),FALSE)</f>
        <v>0</v>
      </c>
      <c r="M282" s="49" t="b">
        <f>IFERROR(__xludf.DUMMYFUNCTION("""COMPUTED_VALUE"""),FALSE)</f>
        <v>0</v>
      </c>
      <c r="N282" s="49"/>
    </row>
    <row r="283">
      <c r="A283" s="49" t="str">
        <f>IFERROR(__xludf.DUMMYFUNCTION("""COMPUTED_VALUE"""),"Entangle")</f>
        <v>Entangle</v>
      </c>
      <c r="B283" s="126">
        <f>IFERROR(__xludf.DUMMYFUNCTION("""COMPUTED_VALUE"""),9.0)</f>
        <v>9</v>
      </c>
      <c r="C283" s="49">
        <f>IFERROR(__xludf.DUMMYFUNCTION("""COMPUTED_VALUE"""),2000.0)</f>
        <v>2000</v>
      </c>
      <c r="D283" s="49"/>
      <c r="E283" s="49"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49" t="str">
        <f>IFERROR(__xludf.DUMMYFUNCTION("""COMPUTED_VALUE"""),"Fail/Succeed")</f>
        <v>Fail/Succeed</v>
      </c>
      <c r="G283" s="49" t="str">
        <f>IFERROR(__xludf.DUMMYFUNCTION("""COMPUTED_VALUE"""),"All")</f>
        <v>All</v>
      </c>
      <c r="H283" s="49" t="str">
        <f>IFERROR(__xludf.DUMMYFUNCTION("""COMPUTED_VALUE"""),"Nature")</f>
        <v>Nature</v>
      </c>
      <c r="I283" s="49" t="str">
        <f>IFERROR(__xludf.DUMMYFUNCTION("""COMPUTED_VALUE"""),"Player")</f>
        <v>Player</v>
      </c>
      <c r="J283" s="49" t="b">
        <f>IFERROR(__xludf.DUMMYFUNCTION("""COMPUTED_VALUE"""),TRUE)</f>
        <v>1</v>
      </c>
      <c r="K283" s="49" t="str">
        <f>IFERROR(__xludf.DUMMYFUNCTION("""COMPUTED_VALUE"""),"Quest Spell")</f>
        <v>Quest Spell</v>
      </c>
      <c r="L283" s="49" t="b">
        <f>IFERROR(__xludf.DUMMYFUNCTION("""COMPUTED_VALUE"""),FALSE)</f>
        <v>0</v>
      </c>
      <c r="M283" s="49" t="b">
        <f>IFERROR(__xludf.DUMMYFUNCTION("""COMPUTED_VALUE"""),FALSE)</f>
        <v>0</v>
      </c>
      <c r="N283" s="49"/>
    </row>
    <row r="284">
      <c r="A284" s="49" t="str">
        <f>IFERROR(__xludf.DUMMYFUNCTION("""COMPUTED_VALUE"""),"Barkskin")</f>
        <v>Barkskin</v>
      </c>
      <c r="B284" s="126">
        <f>IFERROR(__xludf.DUMMYFUNCTION("""COMPUTED_VALUE"""),3.0)</f>
        <v>3</v>
      </c>
      <c r="C284" s="49">
        <f>IFERROR(__xludf.DUMMYFUNCTION("""COMPUTED_VALUE"""),30.0)</f>
        <v>30</v>
      </c>
      <c r="D284" s="49"/>
      <c r="E284" s="49" t="str">
        <f>IFERROR(__xludf.DUMMYFUNCTION("""COMPUTED_VALUE"""),"X2 defense for target.")</f>
        <v>X2 defense for target.</v>
      </c>
      <c r="F284" s="49" t="str">
        <f>IFERROR(__xludf.DUMMYFUNCTION("""COMPUTED_VALUE"""),"Fail/Succeed")</f>
        <v>Fail/Succeed</v>
      </c>
      <c r="G284" s="49">
        <f>IFERROR(__xludf.DUMMYFUNCTION("""COMPUTED_VALUE"""),1.0)</f>
        <v>1</v>
      </c>
      <c r="H284" s="49" t="str">
        <f>IFERROR(__xludf.DUMMYFUNCTION("""COMPUTED_VALUE"""),"Nature")</f>
        <v>Nature</v>
      </c>
      <c r="I284" s="49" t="str">
        <f>IFERROR(__xludf.DUMMYFUNCTION("""COMPUTED_VALUE"""),"Player")</f>
        <v>Player</v>
      </c>
      <c r="J284" s="49" t="b">
        <f>IFERROR(__xludf.DUMMYFUNCTION("""COMPUTED_VALUE"""),FALSE)</f>
        <v>0</v>
      </c>
      <c r="K284" s="49"/>
      <c r="L284" s="49" t="b">
        <f>IFERROR(__xludf.DUMMYFUNCTION("""COMPUTED_VALUE"""),FALSE)</f>
        <v>0</v>
      </c>
      <c r="M284" s="49" t="b">
        <f>IFERROR(__xludf.DUMMYFUNCTION("""COMPUTED_VALUE"""),FALSE)</f>
        <v>0</v>
      </c>
      <c r="N284" s="49"/>
    </row>
    <row r="285">
      <c r="A285" s="49" t="str">
        <f>IFERROR(__xludf.DUMMYFUNCTION("""COMPUTED_VALUE"""),"Regrowth")</f>
        <v>Regrowth</v>
      </c>
      <c r="B285" s="126">
        <f>IFERROR(__xludf.DUMMYFUNCTION("""COMPUTED_VALUE"""),6.0)</f>
        <v>6</v>
      </c>
      <c r="C285" s="49">
        <f>IFERROR(__xludf.DUMMYFUNCTION("""COMPUTED_VALUE"""),75.0)</f>
        <v>75</v>
      </c>
      <c r="D285" s="49"/>
      <c r="E285" s="49" t="str">
        <f>IFERROR(__xludf.DUMMYFUNCTION("""COMPUTED_VALUE"""),"Heals target by 5000 and grants them Invigorated 5.")</f>
        <v>Heals target by 5000 and grants them Invigorated 5.</v>
      </c>
      <c r="F285" s="49" t="str">
        <f>IFERROR(__xludf.DUMMYFUNCTION("""COMPUTED_VALUE"""),"Fail/Succeed")</f>
        <v>Fail/Succeed</v>
      </c>
      <c r="G285" s="49">
        <f>IFERROR(__xludf.DUMMYFUNCTION("""COMPUTED_VALUE"""),1.0)</f>
        <v>1</v>
      </c>
      <c r="H285" s="49" t="str">
        <f>IFERROR(__xludf.DUMMYFUNCTION("""COMPUTED_VALUE"""),"Nature")</f>
        <v>Nature</v>
      </c>
      <c r="I285" s="49" t="str">
        <f>IFERROR(__xludf.DUMMYFUNCTION("""COMPUTED_VALUE"""),"Player")</f>
        <v>Player</v>
      </c>
      <c r="J285" s="49" t="b">
        <f>IFERROR(__xludf.DUMMYFUNCTION("""COMPUTED_VALUE"""),FALSE)</f>
        <v>0</v>
      </c>
      <c r="K285" s="49"/>
      <c r="L285" s="49" t="b">
        <f>IFERROR(__xludf.DUMMYFUNCTION("""COMPUTED_VALUE"""),FALSE)</f>
        <v>0</v>
      </c>
      <c r="M285" s="49" t="b">
        <f>IFERROR(__xludf.DUMMYFUNCTION("""COMPUTED_VALUE"""),FALSE)</f>
        <v>0</v>
      </c>
      <c r="N285" s="49"/>
    </row>
    <row r="286">
      <c r="A286" s="49" t="str">
        <f>IFERROR(__xludf.DUMMYFUNCTION("""COMPUTED_VALUE"""),"The Orb of Life")</f>
        <v>The Orb of Life</v>
      </c>
      <c r="B286" s="126">
        <f>IFERROR(__xludf.DUMMYFUNCTION("""COMPUTED_VALUE"""),9.0)</f>
        <v>9</v>
      </c>
      <c r="C286" s="49">
        <f>IFERROR(__xludf.DUMMYFUNCTION("""COMPUTED_VALUE"""),300.0)</f>
        <v>300</v>
      </c>
      <c r="D286" s="49"/>
      <c r="E286" s="49" t="str">
        <f>IFERROR(__xludf.DUMMYFUNCTION("""COMPUTED_VALUE"""),"Summons a life orb that revives 1 target.")</f>
        <v>Summons a life orb that revives 1 target.</v>
      </c>
      <c r="F286" s="49" t="str">
        <f>IFERROR(__xludf.DUMMYFUNCTION("""COMPUTED_VALUE"""),"Fail/Succeed")</f>
        <v>Fail/Succeed</v>
      </c>
      <c r="G286" s="49">
        <f>IFERROR(__xludf.DUMMYFUNCTION("""COMPUTED_VALUE"""),1.0)</f>
        <v>1</v>
      </c>
      <c r="H286" s="49" t="str">
        <f>IFERROR(__xludf.DUMMYFUNCTION("""COMPUTED_VALUE"""),"Nature")</f>
        <v>Nature</v>
      </c>
      <c r="I286" s="49" t="str">
        <f>IFERROR(__xludf.DUMMYFUNCTION("""COMPUTED_VALUE"""),"Player")</f>
        <v>Player</v>
      </c>
      <c r="J286" s="49" t="b">
        <f>IFERROR(__xludf.DUMMYFUNCTION("""COMPUTED_VALUE"""),FALSE)</f>
        <v>0</v>
      </c>
      <c r="K286" s="49"/>
      <c r="L286" s="49" t="b">
        <f>IFERROR(__xludf.DUMMYFUNCTION("""COMPUTED_VALUE"""),FALSE)</f>
        <v>0</v>
      </c>
      <c r="M286" s="49" t="b">
        <f>IFERROR(__xludf.DUMMYFUNCTION("""COMPUTED_VALUE"""),FALSE)</f>
        <v>0</v>
      </c>
      <c r="N286" s="49"/>
    </row>
    <row r="287">
      <c r="A287" s="49" t="str">
        <f>IFERROR(__xludf.DUMMYFUNCTION("""COMPUTED_VALUE"""),"Artemis' Wave")</f>
        <v>Artemis' Wave</v>
      </c>
      <c r="B287" s="126">
        <f>IFERROR(__xludf.DUMMYFUNCTION("""COMPUTED_VALUE"""),9.0)</f>
        <v>9</v>
      </c>
      <c r="C287" s="49">
        <f>IFERROR(__xludf.DUMMYFUNCTION("""COMPUTED_VALUE"""),8000.0)</f>
        <v>8000</v>
      </c>
      <c r="D287" s="49"/>
      <c r="E287" s="49" t="str">
        <f>IFERROR(__xludf.DUMMYFUNCTION("""COMPUTED_VALUE"""),"Creates a vibrant blast that deals 20,000 Nature damage to all enemies; Cannot resist or be Immune to.")</f>
        <v>Creates a vibrant blast that deals 20,000 Nature damage to all enemies; Cannot resist or be Immune to.</v>
      </c>
      <c r="F287" s="49" t="str">
        <f>IFERROR(__xludf.DUMMYFUNCTION("""COMPUTED_VALUE"""),"Cannot Avoid")</f>
        <v>Cannot Avoid</v>
      </c>
      <c r="G287" s="49" t="str">
        <f>IFERROR(__xludf.DUMMYFUNCTION("""COMPUTED_VALUE"""),"All")</f>
        <v>All</v>
      </c>
      <c r="H287" s="49" t="str">
        <f>IFERROR(__xludf.DUMMYFUNCTION("""COMPUTED_VALUE"""),"Nature")</f>
        <v>Nature</v>
      </c>
      <c r="I287" s="49" t="str">
        <f>IFERROR(__xludf.DUMMYFUNCTION("""COMPUTED_VALUE"""),"Mob")</f>
        <v>Mob</v>
      </c>
      <c r="J287" s="49" t="b">
        <f>IFERROR(__xludf.DUMMYFUNCTION("""COMPUTED_VALUE"""),TRUE)</f>
        <v>1</v>
      </c>
      <c r="K287" s="49" t="str">
        <f>IFERROR(__xludf.DUMMYFUNCTION("""COMPUTED_VALUE"""),"Artemis")</f>
        <v>Artemis</v>
      </c>
      <c r="L287" s="49" t="b">
        <f>IFERROR(__xludf.DUMMYFUNCTION("""COMPUTED_VALUE"""),FALSE)</f>
        <v>0</v>
      </c>
      <c r="M287" s="49" t="b">
        <f>IFERROR(__xludf.DUMMYFUNCTION("""COMPUTED_VALUE"""),TRUE)</f>
        <v>1</v>
      </c>
      <c r="N287" s="49"/>
    </row>
    <row r="288">
      <c r="A288" s="49" t="str">
        <f>IFERROR(__xludf.DUMMYFUNCTION("""COMPUTED_VALUE"""),"Artemis' Godly Grace")</f>
        <v>Artemis' Godly Grace</v>
      </c>
      <c r="B288" s="126">
        <f>IFERROR(__xludf.DUMMYFUNCTION("""COMPUTED_VALUE"""),9.0)</f>
        <v>9</v>
      </c>
      <c r="C288" s="49">
        <f>IFERROR(__xludf.DUMMYFUNCTION("""COMPUTED_VALUE"""),10000.0)</f>
        <v>10000</v>
      </c>
      <c r="D288" s="49"/>
      <c r="E288" s="49"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49" t="str">
        <f>IFERROR(__xludf.DUMMYFUNCTION("""COMPUTED_VALUE"""),"Will Succeed")</f>
        <v>Will Succeed</v>
      </c>
      <c r="G288" s="49" t="str">
        <f>IFERROR(__xludf.DUMMYFUNCTION("""COMPUTED_VALUE"""),"All")</f>
        <v>All</v>
      </c>
      <c r="H288" s="49" t="str">
        <f>IFERROR(__xludf.DUMMYFUNCTION("""COMPUTED_VALUE"""),"Nature")</f>
        <v>Nature</v>
      </c>
      <c r="I288" s="49" t="str">
        <f>IFERROR(__xludf.DUMMYFUNCTION("""COMPUTED_VALUE"""),"Mob")</f>
        <v>Mob</v>
      </c>
      <c r="J288" s="49" t="b">
        <f>IFERROR(__xludf.DUMMYFUNCTION("""COMPUTED_VALUE"""),TRUE)</f>
        <v>1</v>
      </c>
      <c r="K288" s="49" t="str">
        <f>IFERROR(__xludf.DUMMYFUNCTION("""COMPUTED_VALUE"""),"Artemis")</f>
        <v>Artemis</v>
      </c>
      <c r="L288" s="49" t="b">
        <f>IFERROR(__xludf.DUMMYFUNCTION("""COMPUTED_VALUE"""),FALSE)</f>
        <v>0</v>
      </c>
      <c r="M288" s="49" t="b">
        <f>IFERROR(__xludf.DUMMYFUNCTION("""COMPUTED_VALUE"""),FALSE)</f>
        <v>0</v>
      </c>
      <c r="N288" s="49"/>
    </row>
    <row r="289">
      <c r="A289" s="49" t="str">
        <f>IFERROR(__xludf.DUMMYFUNCTION("""COMPUTED_VALUE"""),"Artemis'  Force of Nature")</f>
        <v>Artemis'  Force of Nature</v>
      </c>
      <c r="B289" s="126">
        <f>IFERROR(__xludf.DUMMYFUNCTION("""COMPUTED_VALUE"""),1.0)</f>
        <v>1</v>
      </c>
      <c r="C289" s="125">
        <f>IFERROR(__xludf.DUMMYFUNCTION("""COMPUTED_VALUE"""),40000.0)</f>
        <v>40000</v>
      </c>
      <c r="D289" s="49"/>
      <c r="E289" s="49"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49" t="str">
        <f>IFERROR(__xludf.DUMMYFUNCTION("""COMPUTED_VALUE"""),"Cannot Avoid")</f>
        <v>Cannot Avoid</v>
      </c>
      <c r="G289" s="49" t="str">
        <f>IFERROR(__xludf.DUMMYFUNCTION("""COMPUTED_VALUE"""),"All")</f>
        <v>All</v>
      </c>
      <c r="H289" s="49" t="str">
        <f>IFERROR(__xludf.DUMMYFUNCTION("""COMPUTED_VALUE"""),"Nature")</f>
        <v>Nature</v>
      </c>
      <c r="I289" s="49" t="str">
        <f>IFERROR(__xludf.DUMMYFUNCTION("""COMPUTED_VALUE"""),"Mob")</f>
        <v>Mob</v>
      </c>
      <c r="J289" s="49" t="b">
        <f>IFERROR(__xludf.DUMMYFUNCTION("""COMPUTED_VALUE"""),TRUE)</f>
        <v>1</v>
      </c>
      <c r="K289" s="49" t="str">
        <f>IFERROR(__xludf.DUMMYFUNCTION("""COMPUTED_VALUE"""),"Artemis")</f>
        <v>Artemis</v>
      </c>
      <c r="L289" s="49" t="b">
        <f>IFERROR(__xludf.DUMMYFUNCTION("""COMPUTED_VALUE"""),FALSE)</f>
        <v>0</v>
      </c>
      <c r="M289" s="49" t="b">
        <f>IFERROR(__xludf.DUMMYFUNCTION("""COMPUTED_VALUE"""),TRUE)</f>
        <v>1</v>
      </c>
      <c r="N289" s="49"/>
    </row>
    <row r="290">
      <c r="A290" s="49" t="str">
        <f>IFERROR(__xludf.DUMMYFUNCTION("""COMPUTED_VALUE"""),"World Tree's Unbridled Rage")</f>
        <v>World Tree's Unbridled Rage</v>
      </c>
      <c r="B290" s="126">
        <f>IFERROR(__xludf.DUMMYFUNCTION("""COMPUTED_VALUE"""),9.0)</f>
        <v>9</v>
      </c>
      <c r="C290" s="125">
        <f>IFERROR(__xludf.DUMMYFUNCTION("""COMPUTED_VALUE"""),80000.0)</f>
        <v>80000</v>
      </c>
      <c r="D290" s="49"/>
      <c r="E290" s="49"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49" t="str">
        <f>IFERROR(__xludf.DUMMYFUNCTION("""COMPUTED_VALUE"""),"Cannot Avoid")</f>
        <v>Cannot Avoid</v>
      </c>
      <c r="G290" s="49" t="str">
        <f>IFERROR(__xludf.DUMMYFUNCTION("""COMPUTED_VALUE"""),"All")</f>
        <v>All</v>
      </c>
      <c r="H290" s="49" t="str">
        <f>IFERROR(__xludf.DUMMYFUNCTION("""COMPUTED_VALUE"""),"Nature")</f>
        <v>Nature</v>
      </c>
      <c r="I290" s="49" t="str">
        <f>IFERROR(__xludf.DUMMYFUNCTION("""COMPUTED_VALUE"""),"Mob")</f>
        <v>Mob</v>
      </c>
      <c r="J290" s="49" t="b">
        <f>IFERROR(__xludf.DUMMYFUNCTION("""COMPUTED_VALUE"""),TRUE)</f>
        <v>1</v>
      </c>
      <c r="K290" s="49" t="str">
        <f>IFERROR(__xludf.DUMMYFUNCTION("""COMPUTED_VALUE"""),"Artemis")</f>
        <v>Artemis</v>
      </c>
      <c r="L290" s="49" t="b">
        <f>IFERROR(__xludf.DUMMYFUNCTION("""COMPUTED_VALUE"""),FALSE)</f>
        <v>0</v>
      </c>
      <c r="M290" s="49" t="b">
        <f>IFERROR(__xludf.DUMMYFUNCTION("""COMPUTED_VALUE"""),TRUE)</f>
        <v>1</v>
      </c>
      <c r="N290" s="49"/>
    </row>
    <row r="291">
      <c r="A291" s="49" t="str">
        <f>IFERROR(__xludf.DUMMYFUNCTION("""COMPUTED_VALUE"""),"Oberon's Birthright")</f>
        <v>Oberon's Birthright</v>
      </c>
      <c r="B291" s="126">
        <f>IFERROR(__xludf.DUMMYFUNCTION("""COMPUTED_VALUE"""),1.0)</f>
        <v>1</v>
      </c>
      <c r="C291" s="49">
        <f>IFERROR(__xludf.DUMMYFUNCTION("""COMPUTED_VALUE"""),0.0)</f>
        <v>0</v>
      </c>
      <c r="D291" s="49"/>
      <c r="E291" s="49" t="str">
        <f>IFERROR(__xludf.DUMMYFUNCTION("""COMPUTED_VALUE"""),"Transform into Oberon The Faery King.")</f>
        <v>Transform into Oberon The Faery King.</v>
      </c>
      <c r="F291" s="49" t="str">
        <f>IFERROR(__xludf.DUMMYFUNCTION("""COMPUTED_VALUE"""),"Natural/Fail or Succeed")</f>
        <v>Natural/Fail or Succeed</v>
      </c>
      <c r="G291" s="49" t="str">
        <f>IFERROR(__xludf.DUMMYFUNCTION("""COMPUTED_VALUE"""),"Self")</f>
        <v>Self</v>
      </c>
      <c r="H291" s="49" t="str">
        <f>IFERROR(__xludf.DUMMYFUNCTION("""COMPUTED_VALUE"""),"Nature")</f>
        <v>Nature</v>
      </c>
      <c r="I291" s="49" t="str">
        <f>IFERROR(__xludf.DUMMYFUNCTION("""COMPUTED_VALUE"""),"Mob")</f>
        <v>Mob</v>
      </c>
      <c r="J291" s="49" t="b">
        <f>IFERROR(__xludf.DUMMYFUNCTION("""COMPUTED_VALUE"""),TRUE)</f>
        <v>1</v>
      </c>
      <c r="K291" s="49" t="str">
        <f>IFERROR(__xludf.DUMMYFUNCTION("""COMPUTED_VALUE"""),"Event Mob Only")</f>
        <v>Event Mob Only</v>
      </c>
      <c r="L291" s="49" t="b">
        <f>IFERROR(__xludf.DUMMYFUNCTION("""COMPUTED_VALUE"""),FALSE)</f>
        <v>0</v>
      </c>
      <c r="M291" s="49" t="b">
        <f>IFERROR(__xludf.DUMMYFUNCTION("""COMPUTED_VALUE"""),FALSE)</f>
        <v>0</v>
      </c>
      <c r="N291" s="49" t="str">
        <f>IFERROR(__xludf.DUMMYFUNCTION("""COMPUTED_VALUE"""),"Event Hub")</f>
        <v>Event Hub</v>
      </c>
    </row>
    <row r="292">
      <c r="A292" s="49" t="str">
        <f>IFERROR(__xludf.DUMMYFUNCTION("""COMPUTED_VALUE"""),"Vine Whip")</f>
        <v>Vine Whip</v>
      </c>
      <c r="B292" s="126">
        <f>IFERROR(__xludf.DUMMYFUNCTION("""COMPUTED_VALUE"""),1.0)</f>
        <v>1</v>
      </c>
      <c r="C292" s="49" t="str">
        <f>IFERROR(__xludf.DUMMYFUNCTION("""COMPUTED_VALUE"""),"X")</f>
        <v>X</v>
      </c>
      <c r="D292" s="49"/>
      <c r="E292" s="49" t="str">
        <f>IFERROR(__xludf.DUMMYFUNCTION("""COMPUTED_VALUE"""),"Deals X*100 Nature damage to a single enemy where X is equal to SP spent.")</f>
        <v>Deals X*100 Nature damage to a single enemy where X is equal to SP spent.</v>
      </c>
      <c r="F292" s="49" t="str">
        <f>IFERROR(__xludf.DUMMYFUNCTION("""COMPUTED_VALUE"""),"Hit/Miss")</f>
        <v>Hit/Miss</v>
      </c>
      <c r="G292" s="49">
        <f>IFERROR(__xludf.DUMMYFUNCTION("""COMPUTED_VALUE"""),1.0)</f>
        <v>1</v>
      </c>
      <c r="H292" s="49" t="str">
        <f>IFERROR(__xludf.DUMMYFUNCTION("""COMPUTED_VALUE"""),"Nature")</f>
        <v>Nature</v>
      </c>
      <c r="I292" s="49" t="str">
        <f>IFERROR(__xludf.DUMMYFUNCTION("""COMPUTED_VALUE"""),"Player")</f>
        <v>Player</v>
      </c>
      <c r="J292" s="49" t="b">
        <f>IFERROR(__xludf.DUMMYFUNCTION("""COMPUTED_VALUE"""),FALSE)</f>
        <v>0</v>
      </c>
      <c r="K292" s="49"/>
      <c r="L292" s="49" t="b">
        <f>IFERROR(__xludf.DUMMYFUNCTION("""COMPUTED_VALUE"""),FALSE)</f>
        <v>0</v>
      </c>
      <c r="M292" s="49" t="b">
        <f>IFERROR(__xludf.DUMMYFUNCTION("""COMPUTED_VALUE"""),FALSE)</f>
        <v>0</v>
      </c>
      <c r="N292" s="49"/>
    </row>
    <row r="293">
      <c r="A293" s="49" t="str">
        <f>IFERROR(__xludf.DUMMYFUNCTION("""COMPUTED_VALUE"""),"Poison Ivy")</f>
        <v>Poison Ivy</v>
      </c>
      <c r="B293" s="126">
        <f>IFERROR(__xludf.DUMMYFUNCTION("""COMPUTED_VALUE"""),5.0)</f>
        <v>5</v>
      </c>
      <c r="C293" s="49" t="str">
        <f>IFERROR(__xludf.DUMMYFUNCTION("""COMPUTED_VALUE"""),"X")</f>
        <v>X</v>
      </c>
      <c r="D293" s="49"/>
      <c r="E293" s="49" t="str">
        <f>IFERROR(__xludf.DUMMYFUNCTION("""COMPUTED_VALUE"""),"Deals X*50 Poison for 3 rounds to a single target where X is equal to SP spent.")</f>
        <v>Deals X*50 Poison for 3 rounds to a single target where X is equal to SP spent.</v>
      </c>
      <c r="F293" s="49" t="str">
        <f>IFERROR(__xludf.DUMMYFUNCTION("""COMPUTED_VALUE"""),"Hit/Miss")</f>
        <v>Hit/Miss</v>
      </c>
      <c r="G293" s="49">
        <f>IFERROR(__xludf.DUMMYFUNCTION("""COMPUTED_VALUE"""),1.0)</f>
        <v>1</v>
      </c>
      <c r="H293" s="49" t="str">
        <f>IFERROR(__xludf.DUMMYFUNCTION("""COMPUTED_VALUE"""),"Nature")</f>
        <v>Nature</v>
      </c>
      <c r="I293" s="49" t="str">
        <f>IFERROR(__xludf.DUMMYFUNCTION("""COMPUTED_VALUE"""),"Player")</f>
        <v>Player</v>
      </c>
      <c r="J293" s="49" t="b">
        <f>IFERROR(__xludf.DUMMYFUNCTION("""COMPUTED_VALUE"""),FALSE)</f>
        <v>0</v>
      </c>
      <c r="K293" s="49"/>
      <c r="L293" s="49" t="b">
        <f>IFERROR(__xludf.DUMMYFUNCTION("""COMPUTED_VALUE"""),FALSE)</f>
        <v>0</v>
      </c>
      <c r="M293" s="49" t="b">
        <f>IFERROR(__xludf.DUMMYFUNCTION("""COMPUTED_VALUE"""),FALSE)</f>
        <v>0</v>
      </c>
      <c r="N293" s="49"/>
    </row>
    <row r="294">
      <c r="A294" s="49" t="str">
        <f>IFERROR(__xludf.DUMMYFUNCTION("""COMPUTED_VALUE"""),"Razor Leaves")</f>
        <v>Razor Leaves</v>
      </c>
      <c r="B294" s="126">
        <f>IFERROR(__xludf.DUMMYFUNCTION("""COMPUTED_VALUE"""),5.0)</f>
        <v>5</v>
      </c>
      <c r="C294" s="49" t="str">
        <f>IFERROR(__xludf.DUMMYFUNCTION("""COMPUTED_VALUE"""),"X")</f>
        <v>X</v>
      </c>
      <c r="D294" s="49"/>
      <c r="E294" s="49" t="str">
        <f>IFERROR(__xludf.DUMMYFUNCTION("""COMPUTED_VALUE"""),"Deals X*25 Nature damage to all enemies where X is equal to SP spent.")</f>
        <v>Deals X*25 Nature damage to all enemies where X is equal to SP spent.</v>
      </c>
      <c r="F294" s="49" t="str">
        <f>IFERROR(__xludf.DUMMYFUNCTION("""COMPUTED_VALUE"""),"Cannot Avoid")</f>
        <v>Cannot Avoid</v>
      </c>
      <c r="G294" s="49" t="str">
        <f>IFERROR(__xludf.DUMMYFUNCTION("""COMPUTED_VALUE"""),"All")</f>
        <v>All</v>
      </c>
      <c r="H294" s="49" t="str">
        <f>IFERROR(__xludf.DUMMYFUNCTION("""COMPUTED_VALUE"""),"Nature")</f>
        <v>Nature</v>
      </c>
      <c r="I294" s="49" t="str">
        <f>IFERROR(__xludf.DUMMYFUNCTION("""COMPUTED_VALUE"""),"Player")</f>
        <v>Player</v>
      </c>
      <c r="J294" s="49" t="b">
        <f>IFERROR(__xludf.DUMMYFUNCTION("""COMPUTED_VALUE"""),FALSE)</f>
        <v>0</v>
      </c>
      <c r="K294" s="49"/>
      <c r="L294" s="49" t="b">
        <f>IFERROR(__xludf.DUMMYFUNCTION("""COMPUTED_VALUE"""),FALSE)</f>
        <v>0</v>
      </c>
      <c r="M294" s="49" t="b">
        <f>IFERROR(__xludf.DUMMYFUNCTION("""COMPUTED_VALUE"""),FALSE)</f>
        <v>0</v>
      </c>
      <c r="N294" s="49"/>
    </row>
    <row r="295">
      <c r="A295" s="49" t="str">
        <f>IFERROR(__xludf.DUMMYFUNCTION("""COMPUTED_VALUE"""),"Thorn Bush")</f>
        <v>Thorn Bush</v>
      </c>
      <c r="B295" s="126">
        <f>IFERROR(__xludf.DUMMYFUNCTION("""COMPUTED_VALUE"""),6.0)</f>
        <v>6</v>
      </c>
      <c r="C295" s="49" t="str">
        <f>IFERROR(__xludf.DUMMYFUNCTION("""COMPUTED_VALUE"""),"X")</f>
        <v>X</v>
      </c>
      <c r="D295" s="49"/>
      <c r="E295" s="49" t="str">
        <f>IFERROR(__xludf.DUMMYFUNCTION("""COMPUTED_VALUE"""),"Deals X*10 Poison to all enemies for 3 rounds where X is equal to SP spent.")</f>
        <v>Deals X*10 Poison to all enemies for 3 rounds where X is equal to SP spent.</v>
      </c>
      <c r="F295" s="49" t="str">
        <f>IFERROR(__xludf.DUMMYFUNCTION("""COMPUTED_VALUE"""),"Cannot Avoid")</f>
        <v>Cannot Avoid</v>
      </c>
      <c r="G295" s="49" t="str">
        <f>IFERROR(__xludf.DUMMYFUNCTION("""COMPUTED_VALUE"""),"All")</f>
        <v>All</v>
      </c>
      <c r="H295" s="49" t="str">
        <f>IFERROR(__xludf.DUMMYFUNCTION("""COMPUTED_VALUE"""),"Nature")</f>
        <v>Nature</v>
      </c>
      <c r="I295" s="49" t="str">
        <f>IFERROR(__xludf.DUMMYFUNCTION("""COMPUTED_VALUE"""),"Player")</f>
        <v>Player</v>
      </c>
      <c r="J295" s="49" t="b">
        <f>IFERROR(__xludf.DUMMYFUNCTION("""COMPUTED_VALUE"""),FALSE)</f>
        <v>0</v>
      </c>
      <c r="K295" s="49"/>
      <c r="L295" s="49" t="b">
        <f>IFERROR(__xludf.DUMMYFUNCTION("""COMPUTED_VALUE"""),FALSE)</f>
        <v>0</v>
      </c>
      <c r="M295" s="49" t="b">
        <f>IFERROR(__xludf.DUMMYFUNCTION("""COMPUTED_VALUE"""),FALSE)</f>
        <v>0</v>
      </c>
      <c r="N295" s="49"/>
    </row>
    <row r="296">
      <c r="A296" s="49" t="str">
        <f>IFERROR(__xludf.DUMMYFUNCTION("""COMPUTED_VALUE"""),"Call of the Paladin")</f>
        <v>Call of the Paladin</v>
      </c>
      <c r="B296" s="126">
        <f>IFERROR(__xludf.DUMMYFUNCTION("""COMPUTED_VALUE"""),1.0)</f>
        <v>1</v>
      </c>
      <c r="C296" s="49">
        <f>IFERROR(__xludf.DUMMYFUNCTION("""COMPUTED_VALUE"""),0.0)</f>
        <v>0</v>
      </c>
      <c r="D296" s="49"/>
      <c r="E296" s="49" t="str">
        <f>IFERROR(__xludf.DUMMYFUNCTION("""COMPUTED_VALUE"""),"Summons 1d4 paladins of the summoner's order.")</f>
        <v>Summons 1d4 paladins of the summoner's order.</v>
      </c>
      <c r="F296" s="49" t="str">
        <f>IFERROR(__xludf.DUMMYFUNCTION("""COMPUTED_VALUE"""),"Natural/Fail or Succeed")</f>
        <v>Natural/Fail or Succeed</v>
      </c>
      <c r="G296" s="49" t="str">
        <f>IFERROR(__xludf.DUMMYFUNCTION("""COMPUTED_VALUE"""),"Self")</f>
        <v>Self</v>
      </c>
      <c r="H296" s="49" t="str">
        <f>IFERROR(__xludf.DUMMYFUNCTION("""COMPUTED_VALUE"""),"Order")</f>
        <v>Order</v>
      </c>
      <c r="I296" s="49" t="str">
        <f>IFERROR(__xludf.DUMMYFUNCTION("""COMPUTED_VALUE"""),"Mob")</f>
        <v>Mob</v>
      </c>
      <c r="J296" s="49" t="b">
        <f>IFERROR(__xludf.DUMMYFUNCTION("""COMPUTED_VALUE"""),TRUE)</f>
        <v>1</v>
      </c>
      <c r="K296" s="49" t="str">
        <f>IFERROR(__xludf.DUMMYFUNCTION("""COMPUTED_VALUE"""),"mob exclusive")</f>
        <v>mob exclusive</v>
      </c>
      <c r="L296" s="49" t="b">
        <f>IFERROR(__xludf.DUMMYFUNCTION("""COMPUTED_VALUE"""),FALSE)</f>
        <v>0</v>
      </c>
      <c r="M296" s="49" t="b">
        <f>IFERROR(__xludf.DUMMYFUNCTION("""COMPUTED_VALUE"""),FALSE)</f>
        <v>0</v>
      </c>
      <c r="N296" s="49"/>
    </row>
    <row r="297">
      <c r="A297" s="49" t="str">
        <f>IFERROR(__xludf.DUMMYFUNCTION("""COMPUTED_VALUE"""),"Alliance Guard")</f>
        <v>Alliance Guard</v>
      </c>
      <c r="B297" s="126">
        <f>IFERROR(__xludf.DUMMYFUNCTION("""COMPUTED_VALUE"""),8.0)</f>
        <v>8</v>
      </c>
      <c r="C297" s="49">
        <f>IFERROR(__xludf.DUMMYFUNCTION("""COMPUTED_VALUE"""),80.0)</f>
        <v>80</v>
      </c>
      <c r="D297" s="49"/>
      <c r="E297" s="49" t="str">
        <f>IFERROR(__xludf.DUMMYFUNCTION("""COMPUTED_VALUE"""),"X4 defense to self and all allies until end of battle. 
(1 use)")</f>
        <v>X4 defense to self and all allies until end of battle. 
(1 use)</v>
      </c>
      <c r="F297" s="49" t="str">
        <f>IFERROR(__xludf.DUMMYFUNCTION("""COMPUTED_VALUE"""),"Will succeed")</f>
        <v>Will succeed</v>
      </c>
      <c r="G297" s="49"/>
      <c r="H297" s="49" t="str">
        <f>IFERROR(__xludf.DUMMYFUNCTION("""COMPUTED_VALUE"""),"Order")</f>
        <v>Order</v>
      </c>
      <c r="I297" s="49" t="str">
        <f>IFERROR(__xludf.DUMMYFUNCTION("""COMPUTED_VALUE"""),"Player")</f>
        <v>Player</v>
      </c>
      <c r="J297" s="49" t="b">
        <f>IFERROR(__xludf.DUMMYFUNCTION("""COMPUTED_VALUE"""),FALSE)</f>
        <v>0</v>
      </c>
      <c r="K297" s="49"/>
      <c r="L297" s="49" t="b">
        <f>IFERROR(__xludf.DUMMYFUNCTION("""COMPUTED_VALUE"""),FALSE)</f>
        <v>0</v>
      </c>
      <c r="M297" s="49" t="b">
        <f>IFERROR(__xludf.DUMMYFUNCTION("""COMPUTED_VALUE"""),FALSE)</f>
        <v>0</v>
      </c>
      <c r="N297" s="49"/>
    </row>
    <row r="298">
      <c r="A298" s="49" t="str">
        <f>IFERROR(__xludf.DUMMYFUNCTION("""COMPUTED_VALUE"""),"Cancel")</f>
        <v>Cancel</v>
      </c>
      <c r="B298" s="126">
        <f>IFERROR(__xludf.DUMMYFUNCTION("""COMPUTED_VALUE"""),9.0)</f>
        <v>9</v>
      </c>
      <c r="C298" s="49" t="str">
        <f>IFERROR(__xludf.DUMMYFUNCTION("""COMPUTED_VALUE"""),"X*1000")</f>
        <v>X*1000</v>
      </c>
      <c r="D298" s="49"/>
      <c r="E298" s="49" t="str">
        <f>IFERROR(__xludf.DUMMYFUNCTION("""COMPUTED_VALUE"""),"Choose an X amount of target's, those target's Ongoing Spell Effects immediately end.")</f>
        <v>Choose an X amount of target's, those target's Ongoing Spell Effects immediately end.</v>
      </c>
      <c r="F298" s="49" t="str">
        <f>IFERROR(__xludf.DUMMYFUNCTION("""COMPUTED_VALUE"""),"Fail/Succeed")</f>
        <v>Fail/Succeed</v>
      </c>
      <c r="G298" s="49" t="str">
        <f>IFERROR(__xludf.DUMMYFUNCTION("""COMPUTED_VALUE"""),"X")</f>
        <v>X</v>
      </c>
      <c r="H298" s="49" t="str">
        <f>IFERROR(__xludf.DUMMYFUNCTION("""COMPUTED_VALUE"""),"Order")</f>
        <v>Order</v>
      </c>
      <c r="I298" s="49" t="str">
        <f>IFERROR(__xludf.DUMMYFUNCTION("""COMPUTED_VALUE"""),"Player")</f>
        <v>Player</v>
      </c>
      <c r="J298" s="49" t="b">
        <f>IFERROR(__xludf.DUMMYFUNCTION("""COMPUTED_VALUE"""),FALSE)</f>
        <v>0</v>
      </c>
      <c r="K298" s="49"/>
      <c r="L298" s="49" t="b">
        <f>IFERROR(__xludf.DUMMYFUNCTION("""COMPUTED_VALUE"""),FALSE)</f>
        <v>0</v>
      </c>
      <c r="M298" s="49" t="b">
        <f>IFERROR(__xludf.DUMMYFUNCTION("""COMPUTED_VALUE"""),FALSE)</f>
        <v>0</v>
      </c>
      <c r="N298" s="49"/>
    </row>
    <row r="299">
      <c r="A299" s="49" t="str">
        <f>IFERROR(__xludf.DUMMYFUNCTION("""COMPUTED_VALUE"""),"Continue")</f>
        <v>Continue</v>
      </c>
      <c r="B299" s="126">
        <f>IFERROR(__xludf.DUMMYFUNCTION("""COMPUTED_VALUE"""),5.0)</f>
        <v>5</v>
      </c>
      <c r="C299" s="49">
        <f>IFERROR(__xludf.DUMMYFUNCTION("""COMPUTED_VALUE"""),50.0)</f>
        <v>50</v>
      </c>
      <c r="D299" s="49"/>
      <c r="E299" s="49"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49" t="str">
        <f>IFERROR(__xludf.DUMMYFUNCTION("""COMPUTED_VALUE"""),"Fail/Succeed")</f>
        <v>Fail/Succeed</v>
      </c>
      <c r="G299" s="49"/>
      <c r="H299" s="49" t="str">
        <f>IFERROR(__xludf.DUMMYFUNCTION("""COMPUTED_VALUE"""),"Order")</f>
        <v>Order</v>
      </c>
      <c r="I299" s="49" t="str">
        <f>IFERROR(__xludf.DUMMYFUNCTION("""COMPUTED_VALUE"""),"Player")</f>
        <v>Player</v>
      </c>
      <c r="J299" s="49" t="b">
        <f>IFERROR(__xludf.DUMMYFUNCTION("""COMPUTED_VALUE"""),FALSE)</f>
        <v>0</v>
      </c>
      <c r="K299" s="49"/>
      <c r="L299" s="49" t="b">
        <f>IFERROR(__xludf.DUMMYFUNCTION("""COMPUTED_VALUE"""),FALSE)</f>
        <v>0</v>
      </c>
      <c r="M299" s="49" t="b">
        <f>IFERROR(__xludf.DUMMYFUNCTION("""COMPUTED_VALUE"""),FALSE)</f>
        <v>0</v>
      </c>
      <c r="N299" s="49"/>
    </row>
    <row r="300">
      <c r="A300" s="49" t="str">
        <f>IFERROR(__xludf.DUMMYFUNCTION("""COMPUTED_VALUE"""),"Deflect")</f>
        <v>Deflect</v>
      </c>
      <c r="B300" s="126">
        <f>IFERROR(__xludf.DUMMYFUNCTION("""COMPUTED_VALUE"""),4.0)</f>
        <v>4</v>
      </c>
      <c r="C300" s="125">
        <f>IFERROR(__xludf.DUMMYFUNCTION("""COMPUTED_VALUE"""),40.0)</f>
        <v>40</v>
      </c>
      <c r="D300" s="49"/>
      <c r="E300" s="49" t="str">
        <f>IFERROR(__xludf.DUMMYFUNCTION("""COMPUTED_VALUE"""),"The next incoming natural attack is deflected back at the target that used it.")</f>
        <v>The next incoming natural attack is deflected back at the target that used it.</v>
      </c>
      <c r="F300" s="49" t="str">
        <f>IFERROR(__xludf.DUMMYFUNCTION("""COMPUTED_VALUE"""),"Fail/Succeed")</f>
        <v>Fail/Succeed</v>
      </c>
      <c r="G300" s="49" t="str">
        <f>IFERROR(__xludf.DUMMYFUNCTION("""COMPUTED_VALUE"""),"All")</f>
        <v>All</v>
      </c>
      <c r="H300" s="49" t="str">
        <f>IFERROR(__xludf.DUMMYFUNCTION("""COMPUTED_VALUE"""),"Order")</f>
        <v>Order</v>
      </c>
      <c r="I300" s="49" t="str">
        <f>IFERROR(__xludf.DUMMYFUNCTION("""COMPUTED_VALUE"""),"Player")</f>
        <v>Player</v>
      </c>
      <c r="J300" s="49" t="b">
        <f>IFERROR(__xludf.DUMMYFUNCTION("""COMPUTED_VALUE"""),TRUE)</f>
        <v>1</v>
      </c>
      <c r="K300" s="49" t="str">
        <f>IFERROR(__xludf.DUMMYFUNCTION("""COMPUTED_VALUE"""),"shop spell")</f>
        <v>shop spell</v>
      </c>
      <c r="L300" s="49" t="b">
        <f>IFERROR(__xludf.DUMMYFUNCTION("""COMPUTED_VALUE"""),FALSE)</f>
        <v>0</v>
      </c>
      <c r="M300" s="49" t="b">
        <f>IFERROR(__xludf.DUMMYFUNCTION("""COMPUTED_VALUE"""),FALSE)</f>
        <v>0</v>
      </c>
      <c r="N300" s="49"/>
    </row>
    <row r="301">
      <c r="A301" s="49" t="str">
        <f>IFERROR(__xludf.DUMMYFUNCTION("""COMPUTED_VALUE"""),"Downgrade")</f>
        <v>Downgrade</v>
      </c>
      <c r="B301" s="126">
        <f>IFERROR(__xludf.DUMMYFUNCTION("""COMPUTED_VALUE"""),6.0)</f>
        <v>6</v>
      </c>
      <c r="C301" s="49">
        <f>IFERROR(__xludf.DUMMYFUNCTION("""COMPUTED_VALUE"""),60.0)</f>
        <v>60</v>
      </c>
      <c r="D301" s="49"/>
      <c r="E301" s="49" t="str">
        <f>IFERROR(__xludf.DUMMYFUNCTION("""COMPUTED_VALUE"""),"Decrease an ongoing spell's round/and or turn count by 2.")</f>
        <v>Decrease an ongoing spell's round/and or turn count by 2.</v>
      </c>
      <c r="F301" s="49" t="str">
        <f>IFERROR(__xludf.DUMMYFUNCTION("""COMPUTED_VALUE"""),"Fail/Succeed")</f>
        <v>Fail/Succeed</v>
      </c>
      <c r="G301" s="49"/>
      <c r="H301" s="49" t="str">
        <f>IFERROR(__xludf.DUMMYFUNCTION("""COMPUTED_VALUE"""),"Order")</f>
        <v>Order</v>
      </c>
      <c r="I301" s="49" t="str">
        <f>IFERROR(__xludf.DUMMYFUNCTION("""COMPUTED_VALUE"""),"Player")</f>
        <v>Player</v>
      </c>
      <c r="J301" s="49" t="b">
        <f>IFERROR(__xludf.DUMMYFUNCTION("""COMPUTED_VALUE"""),FALSE)</f>
        <v>0</v>
      </c>
      <c r="K301" s="49"/>
      <c r="L301" s="49" t="b">
        <f>IFERROR(__xludf.DUMMYFUNCTION("""COMPUTED_VALUE"""),FALSE)</f>
        <v>0</v>
      </c>
      <c r="M301" s="49" t="b">
        <f>IFERROR(__xludf.DUMMYFUNCTION("""COMPUTED_VALUE"""),FALSE)</f>
        <v>0</v>
      </c>
      <c r="N301" s="49"/>
    </row>
    <row r="302">
      <c r="A302" s="49" t="str">
        <f>IFERROR(__xludf.DUMMYFUNCTION("""COMPUTED_VALUE"""),"Medium Ward")</f>
        <v>Medium Ward</v>
      </c>
      <c r="B302" s="126">
        <f>IFERROR(__xludf.DUMMYFUNCTION("""COMPUTED_VALUE"""),6.0)</f>
        <v>6</v>
      </c>
      <c r="C302" s="49">
        <f>IFERROR(__xludf.DUMMYFUNCTION("""COMPUTED_VALUE"""),60.0)</f>
        <v>60</v>
      </c>
      <c r="D302" s="49"/>
      <c r="E302" s="49"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49" t="str">
        <f>IFERROR(__xludf.DUMMYFUNCTION("""COMPUTED_VALUE"""),"Fail/succeed")</f>
        <v>Fail/succeed</v>
      </c>
      <c r="G302" s="49"/>
      <c r="H302" s="49" t="str">
        <f>IFERROR(__xludf.DUMMYFUNCTION("""COMPUTED_VALUE"""),"Order")</f>
        <v>Order</v>
      </c>
      <c r="I302" s="49" t="str">
        <f>IFERROR(__xludf.DUMMYFUNCTION("""COMPUTED_VALUE"""),"Player")</f>
        <v>Player</v>
      </c>
      <c r="J302" s="49" t="b">
        <f>IFERROR(__xludf.DUMMYFUNCTION("""COMPUTED_VALUE"""),FALSE)</f>
        <v>0</v>
      </c>
      <c r="K302" s="49"/>
      <c r="L302" s="49" t="b">
        <f>IFERROR(__xludf.DUMMYFUNCTION("""COMPUTED_VALUE"""),FALSE)</f>
        <v>0</v>
      </c>
      <c r="M302" s="49" t="b">
        <f>IFERROR(__xludf.DUMMYFUNCTION("""COMPUTED_VALUE"""),FALSE)</f>
        <v>0</v>
      </c>
      <c r="N302" s="49"/>
    </row>
    <row r="303">
      <c r="A303" s="49" t="str">
        <f>IFERROR(__xludf.DUMMYFUNCTION("""COMPUTED_VALUE"""),"Multi Ward")</f>
        <v>Multi Ward</v>
      </c>
      <c r="B303" s="126">
        <f>IFERROR(__xludf.DUMMYFUNCTION("""COMPUTED_VALUE"""),9.0)</f>
        <v>9</v>
      </c>
      <c r="C303" s="49">
        <f>IFERROR(__xludf.DUMMYFUNCTION("""COMPUTED_VALUE"""),300.0)</f>
        <v>300</v>
      </c>
      <c r="D303" s="49"/>
      <c r="E303" s="49"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49" t="str">
        <f>IFERROR(__xludf.DUMMYFUNCTION("""COMPUTED_VALUE"""),"Fail/Succeed")</f>
        <v>Fail/Succeed</v>
      </c>
      <c r="G303" s="49"/>
      <c r="H303" s="49" t="str">
        <f>IFERROR(__xludf.DUMMYFUNCTION("""COMPUTED_VALUE"""),"Order")</f>
        <v>Order</v>
      </c>
      <c r="I303" s="49" t="str">
        <f>IFERROR(__xludf.DUMMYFUNCTION("""COMPUTED_VALUE"""),"Player")</f>
        <v>Player</v>
      </c>
      <c r="J303" s="49" t="b">
        <f>IFERROR(__xludf.DUMMYFUNCTION("""COMPUTED_VALUE"""),FALSE)</f>
        <v>0</v>
      </c>
      <c r="K303" s="49"/>
      <c r="L303" s="49" t="b">
        <f>IFERROR(__xludf.DUMMYFUNCTION("""COMPUTED_VALUE"""),FALSE)</f>
        <v>0</v>
      </c>
      <c r="M303" s="49" t="b">
        <f>IFERROR(__xludf.DUMMYFUNCTION("""COMPUTED_VALUE"""),FALSE)</f>
        <v>0</v>
      </c>
      <c r="N303" s="49"/>
    </row>
    <row r="304">
      <c r="A304" s="49" t="str">
        <f>IFERROR(__xludf.DUMMYFUNCTION("""COMPUTED_VALUE"""),"Neutralize")</f>
        <v>Neutralize</v>
      </c>
      <c r="B304" s="126">
        <f>IFERROR(__xludf.DUMMYFUNCTION("""COMPUTED_VALUE"""),9.0)</f>
        <v>9</v>
      </c>
      <c r="C304" s="49">
        <f>IFERROR(__xludf.DUMMYFUNCTION("""COMPUTED_VALUE"""),300.0)</f>
        <v>300</v>
      </c>
      <c r="D304" s="49"/>
      <c r="E304" s="49"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49" t="str">
        <f>IFERROR(__xludf.DUMMYFUNCTION("""COMPUTED_VALUE"""),"Fail/Succeed")</f>
        <v>Fail/Succeed</v>
      </c>
      <c r="G304" s="49"/>
      <c r="H304" s="49" t="str">
        <f>IFERROR(__xludf.DUMMYFUNCTION("""COMPUTED_VALUE"""),"Order")</f>
        <v>Order</v>
      </c>
      <c r="I304" s="49" t="str">
        <f>IFERROR(__xludf.DUMMYFUNCTION("""COMPUTED_VALUE"""),"Player")</f>
        <v>Player</v>
      </c>
      <c r="J304" s="49" t="b">
        <f>IFERROR(__xludf.DUMMYFUNCTION("""COMPUTED_VALUE"""),FALSE)</f>
        <v>0</v>
      </c>
      <c r="K304" s="49"/>
      <c r="L304" s="49" t="b">
        <f>IFERROR(__xludf.DUMMYFUNCTION("""COMPUTED_VALUE"""),FALSE)</f>
        <v>0</v>
      </c>
      <c r="M304" s="49" t="b">
        <f>IFERROR(__xludf.DUMMYFUNCTION("""COMPUTED_VALUE"""),FALSE)</f>
        <v>0</v>
      </c>
      <c r="N304" s="49"/>
    </row>
    <row r="305">
      <c r="A305" s="49" t="str">
        <f>IFERROR(__xludf.DUMMYFUNCTION("""COMPUTED_VALUE"""),"Protection")</f>
        <v>Protection</v>
      </c>
      <c r="B305" s="126">
        <f>IFERROR(__xludf.DUMMYFUNCTION("""COMPUTED_VALUE"""),2.0)</f>
        <v>2</v>
      </c>
      <c r="C305" s="49">
        <f>IFERROR(__xludf.DUMMYFUNCTION("""COMPUTED_VALUE"""),20.0)</f>
        <v>20</v>
      </c>
      <c r="D305" s="49"/>
      <c r="E305" s="49" t="str">
        <f>IFERROR(__xludf.DUMMYFUNCTION("""COMPUTED_VALUE"""),"X2 Defense to self and allies.")</f>
        <v>X2 Defense to self and allies.</v>
      </c>
      <c r="F305" s="49" t="str">
        <f>IFERROR(__xludf.DUMMYFUNCTION("""COMPUTED_VALUE"""),"Will Succeed")</f>
        <v>Will Succeed</v>
      </c>
      <c r="G305" s="49"/>
      <c r="H305" s="49" t="str">
        <f>IFERROR(__xludf.DUMMYFUNCTION("""COMPUTED_VALUE"""),"Order")</f>
        <v>Order</v>
      </c>
      <c r="I305" s="49" t="str">
        <f>IFERROR(__xludf.DUMMYFUNCTION("""COMPUTED_VALUE"""),"Player")</f>
        <v>Player</v>
      </c>
      <c r="J305" s="49" t="b">
        <f>IFERROR(__xludf.DUMMYFUNCTION("""COMPUTED_VALUE"""),FALSE)</f>
        <v>0</v>
      </c>
      <c r="K305" s="49"/>
      <c r="L305" s="49" t="b">
        <f>IFERROR(__xludf.DUMMYFUNCTION("""COMPUTED_VALUE"""),FALSE)</f>
        <v>0</v>
      </c>
      <c r="M305" s="49" t="b">
        <f>IFERROR(__xludf.DUMMYFUNCTION("""COMPUTED_VALUE"""),FALSE)</f>
        <v>0</v>
      </c>
      <c r="N305" s="49"/>
    </row>
    <row r="306">
      <c r="A306" s="49" t="str">
        <f>IFERROR(__xludf.DUMMYFUNCTION("""COMPUTED_VALUE"""),"Reflect")</f>
        <v>Reflect</v>
      </c>
      <c r="B306" s="126">
        <f>IFERROR(__xludf.DUMMYFUNCTION("""COMPUTED_VALUE"""),2.0)</f>
        <v>2</v>
      </c>
      <c r="C306" s="49">
        <f>IFERROR(__xludf.DUMMYFUNCTION("""COMPUTED_VALUE"""),20.0)</f>
        <v>20</v>
      </c>
      <c r="D306" s="49"/>
      <c r="E306" s="49" t="str">
        <f>IFERROR(__xludf.DUMMYFUNCTION("""COMPUTED_VALUE"""),"Inflict Half the damage you take from the next attack on the attacker")</f>
        <v>Inflict Half the damage you take from the next attack on the attacker</v>
      </c>
      <c r="F306" s="49" t="str">
        <f>IFERROR(__xludf.DUMMYFUNCTION("""COMPUTED_VALUE"""),"Fail/succeed")</f>
        <v>Fail/succeed</v>
      </c>
      <c r="G306" s="49"/>
      <c r="H306" s="49" t="str">
        <f>IFERROR(__xludf.DUMMYFUNCTION("""COMPUTED_VALUE"""),"Order")</f>
        <v>Order</v>
      </c>
      <c r="I306" s="49" t="str">
        <f>IFERROR(__xludf.DUMMYFUNCTION("""COMPUTED_VALUE"""),"Player")</f>
        <v>Player</v>
      </c>
      <c r="J306" s="49" t="b">
        <f>IFERROR(__xludf.DUMMYFUNCTION("""COMPUTED_VALUE"""),FALSE)</f>
        <v>0</v>
      </c>
      <c r="K306" s="49"/>
      <c r="L306" s="49" t="b">
        <f>IFERROR(__xludf.DUMMYFUNCTION("""COMPUTED_VALUE"""),FALSE)</f>
        <v>0</v>
      </c>
      <c r="M306" s="49" t="b">
        <f>IFERROR(__xludf.DUMMYFUNCTION("""COMPUTED_VALUE"""),FALSE)</f>
        <v>0</v>
      </c>
      <c r="N306" s="49"/>
    </row>
    <row r="307">
      <c r="A307" s="49" t="str">
        <f>IFERROR(__xludf.DUMMYFUNCTION("""COMPUTED_VALUE"""),"Stat Swap")</f>
        <v>Stat Swap</v>
      </c>
      <c r="B307" s="126">
        <f>IFERROR(__xludf.DUMMYFUNCTION("""COMPUTED_VALUE"""),9.0)</f>
        <v>9</v>
      </c>
      <c r="C307" s="125">
        <f>IFERROR(__xludf.DUMMYFUNCTION("""COMPUTED_VALUE"""),300.0)</f>
        <v>300</v>
      </c>
      <c r="D307" s="49"/>
      <c r="E307" s="49" t="str">
        <f>IFERROR(__xludf.DUMMYFUNCTION("""COMPUTED_VALUE"""),"Swap your attack and defense with 1 other targets attack and defense.")</f>
        <v>Swap your attack and defense with 1 other targets attack and defense.</v>
      </c>
      <c r="F307" s="49" t="str">
        <f>IFERROR(__xludf.DUMMYFUNCTION("""COMPUTED_VALUE"""),"Fail/Succeed")</f>
        <v>Fail/Succeed</v>
      </c>
      <c r="G307" s="49">
        <f>IFERROR(__xludf.DUMMYFUNCTION("""COMPUTED_VALUE"""),1.0)</f>
        <v>1</v>
      </c>
      <c r="H307" s="49" t="str">
        <f>IFERROR(__xludf.DUMMYFUNCTION("""COMPUTED_VALUE"""),"Order")</f>
        <v>Order</v>
      </c>
      <c r="I307" s="49" t="str">
        <f>IFERROR(__xludf.DUMMYFUNCTION("""COMPUTED_VALUE"""),"Player")</f>
        <v>Player</v>
      </c>
      <c r="J307" s="49" t="b">
        <f>IFERROR(__xludf.DUMMYFUNCTION("""COMPUTED_VALUE"""),TRUE)</f>
        <v>1</v>
      </c>
      <c r="K307" s="49" t="str">
        <f>IFERROR(__xludf.DUMMYFUNCTION("""COMPUTED_VALUE"""),"shop spell")</f>
        <v>shop spell</v>
      </c>
      <c r="L307" s="49" t="b">
        <f>IFERROR(__xludf.DUMMYFUNCTION("""COMPUTED_VALUE"""),FALSE)</f>
        <v>0</v>
      </c>
      <c r="M307" s="49" t="b">
        <f>IFERROR(__xludf.DUMMYFUNCTION("""COMPUTED_VALUE"""),FALSE)</f>
        <v>0</v>
      </c>
      <c r="N307" s="49"/>
    </row>
    <row r="308">
      <c r="A308" s="49" t="str">
        <f>IFERROR(__xludf.DUMMYFUNCTION("""COMPUTED_VALUE"""),"Strong Ward")</f>
        <v>Strong Ward</v>
      </c>
      <c r="B308" s="126">
        <f>IFERROR(__xludf.DUMMYFUNCTION("""COMPUTED_VALUE"""),9.0)</f>
        <v>9</v>
      </c>
      <c r="C308" s="49">
        <f>IFERROR(__xludf.DUMMYFUNCTION("""COMPUTED_VALUE"""),300.0)</f>
        <v>300</v>
      </c>
      <c r="D308" s="49"/>
      <c r="E308" s="49"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49" t="str">
        <f>IFERROR(__xludf.DUMMYFUNCTION("""COMPUTED_VALUE"""),"Fail/succeed")</f>
        <v>Fail/succeed</v>
      </c>
      <c r="G308" s="49"/>
      <c r="H308" s="49" t="str">
        <f>IFERROR(__xludf.DUMMYFUNCTION("""COMPUTED_VALUE"""),"Order")</f>
        <v>Order</v>
      </c>
      <c r="I308" s="49" t="str">
        <f>IFERROR(__xludf.DUMMYFUNCTION("""COMPUTED_VALUE"""),"Player")</f>
        <v>Player</v>
      </c>
      <c r="J308" s="49" t="b">
        <f>IFERROR(__xludf.DUMMYFUNCTION("""COMPUTED_VALUE"""),FALSE)</f>
        <v>0</v>
      </c>
      <c r="K308" s="49"/>
      <c r="L308" s="49" t="b">
        <f>IFERROR(__xludf.DUMMYFUNCTION("""COMPUTED_VALUE"""),FALSE)</f>
        <v>0</v>
      </c>
      <c r="M308" s="49" t="b">
        <f>IFERROR(__xludf.DUMMYFUNCTION("""COMPUTED_VALUE"""),FALSE)</f>
        <v>0</v>
      </c>
      <c r="N308" s="49"/>
    </row>
    <row r="309">
      <c r="A309" s="49" t="str">
        <f>IFERROR(__xludf.DUMMYFUNCTION("""COMPUTED_VALUE"""),"Tower Of Truth")</f>
        <v>Tower Of Truth</v>
      </c>
      <c r="B309" s="126">
        <f>IFERROR(__xludf.DUMMYFUNCTION("""COMPUTED_VALUE"""),8.0)</f>
        <v>8</v>
      </c>
      <c r="C309" s="49">
        <f>IFERROR(__xludf.DUMMYFUNCTION("""COMPUTED_VALUE"""),200.0)</f>
        <v>200</v>
      </c>
      <c r="D309" s="49"/>
      <c r="E309" s="49"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49" t="str">
        <f>IFERROR(__xludf.DUMMYFUNCTION("""COMPUTED_VALUE"""),"Fail/succeed")</f>
        <v>Fail/succeed</v>
      </c>
      <c r="G309" s="49">
        <f>IFERROR(__xludf.DUMMYFUNCTION("""COMPUTED_VALUE"""),1.0)</f>
        <v>1</v>
      </c>
      <c r="H309" s="49" t="str">
        <f>IFERROR(__xludf.DUMMYFUNCTION("""COMPUTED_VALUE"""),"Order")</f>
        <v>Order</v>
      </c>
      <c r="I309" s="49" t="str">
        <f>IFERROR(__xludf.DUMMYFUNCTION("""COMPUTED_VALUE"""),"Player")</f>
        <v>Player</v>
      </c>
      <c r="J309" s="49" t="b">
        <f>IFERROR(__xludf.DUMMYFUNCTION("""COMPUTED_VALUE"""),FALSE)</f>
        <v>0</v>
      </c>
      <c r="K309" s="49"/>
      <c r="L309" s="49" t="b">
        <f>IFERROR(__xludf.DUMMYFUNCTION("""COMPUTED_VALUE"""),FALSE)</f>
        <v>0</v>
      </c>
      <c r="M309" s="49" t="b">
        <f>IFERROR(__xludf.DUMMYFUNCTION("""COMPUTED_VALUE"""),FALSE)</f>
        <v>0</v>
      </c>
      <c r="N309" s="49"/>
    </row>
    <row r="310">
      <c r="A310" s="49" t="str">
        <f>IFERROR(__xludf.DUMMYFUNCTION("""COMPUTED_VALUE"""),"Ward")</f>
        <v>Ward</v>
      </c>
      <c r="B310" s="126">
        <f>IFERROR(__xludf.DUMMYFUNCTION("""COMPUTED_VALUE"""),6.0)</f>
        <v>6</v>
      </c>
      <c r="C310" s="49">
        <f>IFERROR(__xludf.DUMMYFUNCTION("""COMPUTED_VALUE"""),60.0)</f>
        <v>60</v>
      </c>
      <c r="D310" s="49"/>
      <c r="E310" s="49"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49" t="str">
        <f>IFERROR(__xludf.DUMMYFUNCTION("""COMPUTED_VALUE"""),"Fail/succeed")</f>
        <v>Fail/succeed</v>
      </c>
      <c r="G310" s="49"/>
      <c r="H310" s="49" t="str">
        <f>IFERROR(__xludf.DUMMYFUNCTION("""COMPUTED_VALUE"""),"Order")</f>
        <v>Order</v>
      </c>
      <c r="I310" s="49" t="str">
        <f>IFERROR(__xludf.DUMMYFUNCTION("""COMPUTED_VALUE"""),"Player")</f>
        <v>Player</v>
      </c>
      <c r="J310" s="49" t="b">
        <f>IFERROR(__xludf.DUMMYFUNCTION("""COMPUTED_VALUE"""),FALSE)</f>
        <v>0</v>
      </c>
      <c r="K310" s="49"/>
      <c r="L310" s="49" t="b">
        <f>IFERROR(__xludf.DUMMYFUNCTION("""COMPUTED_VALUE"""),FALSE)</f>
        <v>0</v>
      </c>
      <c r="M310" s="49" t="b">
        <f>IFERROR(__xludf.DUMMYFUNCTION("""COMPUTED_VALUE"""),FALSE)</f>
        <v>0</v>
      </c>
      <c r="N310" s="49"/>
    </row>
    <row r="311">
      <c r="A311" s="49" t="str">
        <f>IFERROR(__xludf.DUMMYFUNCTION("""COMPUTED_VALUE"""),"Call of the Paladin (Player)")</f>
        <v>Call of the Paladin (Player)</v>
      </c>
      <c r="B311" s="126">
        <f>IFERROR(__xludf.DUMMYFUNCTION("""COMPUTED_VALUE"""),1.0)</f>
        <v>1</v>
      </c>
      <c r="C311" s="49">
        <f>IFERROR(__xludf.DUMMYFUNCTION("""COMPUTED_VALUE"""),0.0)</f>
        <v>0</v>
      </c>
      <c r="D311" s="49"/>
      <c r="E311" s="49" t="str">
        <f>IFERROR(__xludf.DUMMYFUNCTION("""COMPUTED_VALUE"""),"Summons a single paladin from the same order as you who's level is the same as yours.")</f>
        <v>Summons a single paladin from the same order as you who's level is the same as yours.</v>
      </c>
      <c r="F311" s="49" t="str">
        <f>IFERROR(__xludf.DUMMYFUNCTION("""COMPUTED_VALUE"""),"Natural/Fail or Succeed")</f>
        <v>Natural/Fail or Succeed</v>
      </c>
      <c r="G311" s="49" t="str">
        <f>IFERROR(__xludf.DUMMYFUNCTION("""COMPUTED_VALUE"""),"Self")</f>
        <v>Self</v>
      </c>
      <c r="H311" s="49" t="str">
        <f>IFERROR(__xludf.DUMMYFUNCTION("""COMPUTED_VALUE"""),"Order")</f>
        <v>Order</v>
      </c>
      <c r="I311" s="49" t="str">
        <f>IFERROR(__xludf.DUMMYFUNCTION("""COMPUTED_VALUE"""),"Player")</f>
        <v>Player</v>
      </c>
      <c r="J311" s="49" t="b">
        <f>IFERROR(__xludf.DUMMYFUNCTION("""COMPUTED_VALUE"""),TRUE)</f>
        <v>1</v>
      </c>
      <c r="K311" s="49" t="str">
        <f>IFERROR(__xludf.DUMMYFUNCTION("""COMPUTED_VALUE"""),"Paladin exclusive")</f>
        <v>Paladin exclusive</v>
      </c>
      <c r="L311" s="49" t="b">
        <f>IFERROR(__xludf.DUMMYFUNCTION("""COMPUTED_VALUE"""),FALSE)</f>
        <v>0</v>
      </c>
      <c r="M311" s="49" t="b">
        <f>IFERROR(__xludf.DUMMYFUNCTION("""COMPUTED_VALUE"""),FALSE)</f>
        <v>0</v>
      </c>
      <c r="N311" s="49"/>
    </row>
    <row r="312">
      <c r="A312" s="49" t="str">
        <f>IFERROR(__xludf.DUMMYFUNCTION("""COMPUTED_VALUE"""),"Aura Shot")</f>
        <v>Aura Shot</v>
      </c>
      <c r="B312" s="126">
        <f>IFERROR(__xludf.DUMMYFUNCTION("""COMPUTED_VALUE"""),1.0)</f>
        <v>1</v>
      </c>
      <c r="C312" s="49" t="str">
        <f>IFERROR(__xludf.DUMMYFUNCTION("""COMPUTED_VALUE"""),"X")</f>
        <v>X</v>
      </c>
      <c r="D312" s="49"/>
      <c r="E312" s="49" t="str">
        <f>IFERROR(__xludf.DUMMYFUNCTION("""COMPUTED_VALUE"""),"Deals X*100 Order damage to a single enemy where X is equal to SP spent.")</f>
        <v>Deals X*100 Order damage to a single enemy where X is equal to SP spent.</v>
      </c>
      <c r="F312" s="49" t="str">
        <f>IFERROR(__xludf.DUMMYFUNCTION("""COMPUTED_VALUE"""),"Hit/Miss")</f>
        <v>Hit/Miss</v>
      </c>
      <c r="G312" s="49">
        <f>IFERROR(__xludf.DUMMYFUNCTION("""COMPUTED_VALUE"""),1.0)</f>
        <v>1</v>
      </c>
      <c r="H312" s="49" t="str">
        <f>IFERROR(__xludf.DUMMYFUNCTION("""COMPUTED_VALUE"""),"Order")</f>
        <v>Order</v>
      </c>
      <c r="I312" s="49" t="str">
        <f>IFERROR(__xludf.DUMMYFUNCTION("""COMPUTED_VALUE"""),"Player")</f>
        <v>Player</v>
      </c>
      <c r="J312" s="49" t="b">
        <f>IFERROR(__xludf.DUMMYFUNCTION("""COMPUTED_VALUE"""),FALSE)</f>
        <v>0</v>
      </c>
      <c r="K312" s="49"/>
      <c r="L312" s="49" t="b">
        <f>IFERROR(__xludf.DUMMYFUNCTION("""COMPUTED_VALUE"""),FALSE)</f>
        <v>0</v>
      </c>
      <c r="M312" s="49" t="b">
        <f>IFERROR(__xludf.DUMMYFUNCTION("""COMPUTED_VALUE"""),FALSE)</f>
        <v>0</v>
      </c>
      <c r="N312" s="49"/>
    </row>
    <row r="313">
      <c r="A313" s="49" t="str">
        <f>IFERROR(__xludf.DUMMYFUNCTION("""COMPUTED_VALUE"""),"Judgement")</f>
        <v>Judgement</v>
      </c>
      <c r="B313" s="126">
        <f>IFERROR(__xludf.DUMMYFUNCTION("""COMPUTED_VALUE"""),5.0)</f>
        <v>5</v>
      </c>
      <c r="C313" s="49" t="str">
        <f>IFERROR(__xludf.DUMMYFUNCTION("""COMPUTED_VALUE"""),"X")</f>
        <v>X</v>
      </c>
      <c r="D313" s="49"/>
      <c r="E313" s="49" t="str">
        <f>IFERROR(__xludf.DUMMYFUNCTION("""COMPUTED_VALUE"""),"Deals X*50 Order damage per round for 3 rounds to a single target where X is equal to SP spent.")</f>
        <v>Deals X*50 Order damage per round for 3 rounds to a single target where X is equal to SP spent.</v>
      </c>
      <c r="F313" s="49" t="str">
        <f>IFERROR(__xludf.DUMMYFUNCTION("""COMPUTED_VALUE"""),"Hit/Miss")</f>
        <v>Hit/Miss</v>
      </c>
      <c r="G313" s="49">
        <f>IFERROR(__xludf.DUMMYFUNCTION("""COMPUTED_VALUE"""),1.0)</f>
        <v>1</v>
      </c>
      <c r="H313" s="49" t="str">
        <f>IFERROR(__xludf.DUMMYFUNCTION("""COMPUTED_VALUE"""),"Order")</f>
        <v>Order</v>
      </c>
      <c r="I313" s="49" t="str">
        <f>IFERROR(__xludf.DUMMYFUNCTION("""COMPUTED_VALUE"""),"Player")</f>
        <v>Player</v>
      </c>
      <c r="J313" s="49" t="b">
        <f>IFERROR(__xludf.DUMMYFUNCTION("""COMPUTED_VALUE"""),FALSE)</f>
        <v>0</v>
      </c>
      <c r="K313" s="49"/>
      <c r="L313" s="49" t="b">
        <f>IFERROR(__xludf.DUMMYFUNCTION("""COMPUTED_VALUE"""),FALSE)</f>
        <v>0</v>
      </c>
      <c r="M313" s="49" t="b">
        <f>IFERROR(__xludf.DUMMYFUNCTION("""COMPUTED_VALUE"""),FALSE)</f>
        <v>0</v>
      </c>
      <c r="N313" s="49"/>
    </row>
    <row r="314">
      <c r="A314" s="49" t="str">
        <f>IFERROR(__xludf.DUMMYFUNCTION("""COMPUTED_VALUE"""),"Aura of Order")</f>
        <v>Aura of Order</v>
      </c>
      <c r="B314" s="126">
        <f>IFERROR(__xludf.DUMMYFUNCTION("""COMPUTED_VALUE"""),5.0)</f>
        <v>5</v>
      </c>
      <c r="C314" s="49" t="str">
        <f>IFERROR(__xludf.DUMMYFUNCTION("""COMPUTED_VALUE"""),"X")</f>
        <v>X</v>
      </c>
      <c r="D314" s="49"/>
      <c r="E314" s="49" t="str">
        <f>IFERROR(__xludf.DUMMYFUNCTION("""COMPUTED_VALUE"""),"Deals X*25 Order damage to all enemies where X is equal to SP spent.")</f>
        <v>Deals X*25 Order damage to all enemies where X is equal to SP spent.</v>
      </c>
      <c r="F314" s="49" t="str">
        <f>IFERROR(__xludf.DUMMYFUNCTION("""COMPUTED_VALUE"""),"Cannot Avoid")</f>
        <v>Cannot Avoid</v>
      </c>
      <c r="G314" s="49" t="str">
        <f>IFERROR(__xludf.DUMMYFUNCTION("""COMPUTED_VALUE"""),"All")</f>
        <v>All</v>
      </c>
      <c r="H314" s="49" t="str">
        <f>IFERROR(__xludf.DUMMYFUNCTION("""COMPUTED_VALUE"""),"Order")</f>
        <v>Order</v>
      </c>
      <c r="I314" s="49" t="str">
        <f>IFERROR(__xludf.DUMMYFUNCTION("""COMPUTED_VALUE"""),"Player")</f>
        <v>Player</v>
      </c>
      <c r="J314" s="49" t="b">
        <f>IFERROR(__xludf.DUMMYFUNCTION("""COMPUTED_VALUE"""),FALSE)</f>
        <v>0</v>
      </c>
      <c r="K314" s="49"/>
      <c r="L314" s="49" t="b">
        <f>IFERROR(__xludf.DUMMYFUNCTION("""COMPUTED_VALUE"""),FALSE)</f>
        <v>0</v>
      </c>
      <c r="M314" s="49" t="b">
        <f>IFERROR(__xludf.DUMMYFUNCTION("""COMPUTED_VALUE"""),FALSE)</f>
        <v>0</v>
      </c>
      <c r="N314" s="49"/>
    </row>
    <row r="315">
      <c r="A315" s="49" t="str">
        <f>IFERROR(__xludf.DUMMYFUNCTION("""COMPUTED_VALUE"""),"Mass Judgement")</f>
        <v>Mass Judgement</v>
      </c>
      <c r="B315" s="126">
        <f>IFERROR(__xludf.DUMMYFUNCTION("""COMPUTED_VALUE"""),6.0)</f>
        <v>6</v>
      </c>
      <c r="C315" s="49" t="str">
        <f>IFERROR(__xludf.DUMMYFUNCTION("""COMPUTED_VALUE"""),"X")</f>
        <v>X</v>
      </c>
      <c r="D315" s="49"/>
      <c r="E315" s="49" t="str">
        <f>IFERROR(__xludf.DUMMYFUNCTION("""COMPUTED_VALUE"""),"Deals X*10 Order damage per round to all enemies for 3 rounds where X is equal to SP spent.")</f>
        <v>Deals X*10 Order damage per round to all enemies for 3 rounds where X is equal to SP spent.</v>
      </c>
      <c r="F315" s="49" t="str">
        <f>IFERROR(__xludf.DUMMYFUNCTION("""COMPUTED_VALUE"""),"Cannot Avoid")</f>
        <v>Cannot Avoid</v>
      </c>
      <c r="G315" s="49" t="str">
        <f>IFERROR(__xludf.DUMMYFUNCTION("""COMPUTED_VALUE"""),"All")</f>
        <v>All</v>
      </c>
      <c r="H315" s="49" t="str">
        <f>IFERROR(__xludf.DUMMYFUNCTION("""COMPUTED_VALUE"""),"Order")</f>
        <v>Order</v>
      </c>
      <c r="I315" s="49" t="str">
        <f>IFERROR(__xludf.DUMMYFUNCTION("""COMPUTED_VALUE"""),"Player")</f>
        <v>Player</v>
      </c>
      <c r="J315" s="49" t="b">
        <f>IFERROR(__xludf.DUMMYFUNCTION("""COMPUTED_VALUE"""),FALSE)</f>
        <v>0</v>
      </c>
      <c r="K315" s="49"/>
      <c r="L315" s="49" t="b">
        <f>IFERROR(__xludf.DUMMYFUNCTION("""COMPUTED_VALUE"""),FALSE)</f>
        <v>0</v>
      </c>
      <c r="M315" s="49" t="b">
        <f>IFERROR(__xludf.DUMMYFUNCTION("""COMPUTED_VALUE"""),FALSE)</f>
        <v>0</v>
      </c>
      <c r="N315" s="49"/>
    </row>
    <row r="316">
      <c r="A316" s="49" t="str">
        <f>IFERROR(__xludf.DUMMYFUNCTION("""COMPUTED_VALUE"""),"[Element] Strike")</f>
        <v>[Element] Strike</v>
      </c>
      <c r="B316" s="126">
        <f>IFERROR(__xludf.DUMMYFUNCTION("""COMPUTED_VALUE"""),4.0)</f>
        <v>4</v>
      </c>
      <c r="C316" s="49">
        <f>IFERROR(__xludf.DUMMYFUNCTION("""COMPUTED_VALUE"""),40.0)</f>
        <v>40</v>
      </c>
      <c r="D316" s="49"/>
      <c r="E316" s="49"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49" t="str">
        <f>IFERROR(__xludf.DUMMYFUNCTION("""COMPUTED_VALUE"""),"Fail/succeed")</f>
        <v>Fail/succeed</v>
      </c>
      <c r="G316" s="49"/>
      <c r="H316" s="49" t="str">
        <f>IFERROR(__xludf.DUMMYFUNCTION("""COMPUTED_VALUE"""),"Physical")</f>
        <v>Physical</v>
      </c>
      <c r="I316" s="49" t="str">
        <f>IFERROR(__xludf.DUMMYFUNCTION("""COMPUTED_VALUE"""),"Player")</f>
        <v>Player</v>
      </c>
      <c r="J316" s="49" t="b">
        <f>IFERROR(__xludf.DUMMYFUNCTION("""COMPUTED_VALUE"""),FALSE)</f>
        <v>0</v>
      </c>
      <c r="K316" s="49"/>
      <c r="L316" s="49" t="b">
        <f>IFERROR(__xludf.DUMMYFUNCTION("""COMPUTED_VALUE"""),FALSE)</f>
        <v>0</v>
      </c>
      <c r="M316" s="49" t="b">
        <f>IFERROR(__xludf.DUMMYFUNCTION("""COMPUTED_VALUE"""),TRUE)</f>
        <v>1</v>
      </c>
      <c r="N316" s="49"/>
    </row>
    <row r="317">
      <c r="A317" s="49" t="str">
        <f>IFERROR(__xludf.DUMMYFUNCTION("""COMPUTED_VALUE"""),"Absorb")</f>
        <v>Absorb</v>
      </c>
      <c r="B317" s="126">
        <f>IFERROR(__xludf.DUMMYFUNCTION("""COMPUTED_VALUE"""),1.0)</f>
        <v>1</v>
      </c>
      <c r="C317" s="125">
        <f>IFERROR(__xludf.DUMMYFUNCTION("""COMPUTED_VALUE"""),0.0)</f>
        <v>0</v>
      </c>
      <c r="D317" s="49"/>
      <c r="E317" s="49" t="str">
        <f>IFERROR(__xludf.DUMMYFUNCTION("""COMPUTED_VALUE"""),"Absorb an item of choice.")</f>
        <v>Absorb an item of choice.</v>
      </c>
      <c r="F317" s="49" t="str">
        <f>IFERROR(__xludf.DUMMYFUNCTION("""COMPUTED_VALUE"""),"Natural/Fail or Succeed")</f>
        <v>Natural/Fail or Succeed</v>
      </c>
      <c r="G317" s="49">
        <f>IFERROR(__xludf.DUMMYFUNCTION("""COMPUTED_VALUE"""),1.0)</f>
        <v>1</v>
      </c>
      <c r="H317" s="49" t="str">
        <f>IFERROR(__xludf.DUMMYFUNCTION("""COMPUTED_VALUE"""),"Physical")</f>
        <v>Physical</v>
      </c>
      <c r="I317" s="49" t="str">
        <f>IFERROR(__xludf.DUMMYFUNCTION("""COMPUTED_VALUE"""),"Mob")</f>
        <v>Mob</v>
      </c>
      <c r="J317" s="49" t="b">
        <f>IFERROR(__xludf.DUMMYFUNCTION("""COMPUTED_VALUE"""),TRUE)</f>
        <v>1</v>
      </c>
      <c r="K317" s="49"/>
      <c r="L317" s="49" t="b">
        <f>IFERROR(__xludf.DUMMYFUNCTION("""COMPUTED_VALUE"""),FALSE)</f>
        <v>0</v>
      </c>
      <c r="M317" s="49" t="b">
        <f>IFERROR(__xludf.DUMMYFUNCTION("""COMPUTED_VALUE"""),FALSE)</f>
        <v>0</v>
      </c>
      <c r="N317" s="49"/>
    </row>
    <row r="318">
      <c r="A318" s="49" t="str">
        <f>IFERROR(__xludf.DUMMYFUNCTION("""COMPUTED_VALUE"""),"Absorb Enemy ")</f>
        <v>Absorb Enemy </v>
      </c>
      <c r="B318" s="126">
        <f>IFERROR(__xludf.DUMMYFUNCTION("""COMPUTED_VALUE"""),1.0)</f>
        <v>1</v>
      </c>
      <c r="C318" s="125">
        <f>IFERROR(__xludf.DUMMYFUNCTION("""COMPUTED_VALUE"""),0.0)</f>
        <v>0</v>
      </c>
      <c r="D318" s="49"/>
      <c r="E318" s="49" t="str">
        <f>IFERROR(__xludf.DUMMYFUNCTION("""COMPUTED_VALUE"""),"Absorb a targeted enemy of choice, The target cannot perform its turn orders while absorbed.")</f>
        <v>Absorb a targeted enemy of choice, The target cannot perform its turn orders while absorbed.</v>
      </c>
      <c r="F318" s="49" t="str">
        <f>IFERROR(__xludf.DUMMYFUNCTION("""COMPUTED_VALUE"""),"Natural/Hit or Miss")</f>
        <v>Natural/Hit or Miss</v>
      </c>
      <c r="G318" s="49">
        <f>IFERROR(__xludf.DUMMYFUNCTION("""COMPUTED_VALUE"""),1.0)</f>
        <v>1</v>
      </c>
      <c r="H318" s="49" t="str">
        <f>IFERROR(__xludf.DUMMYFUNCTION("""COMPUTED_VALUE"""),"Physical")</f>
        <v>Physical</v>
      </c>
      <c r="I318" s="49" t="str">
        <f>IFERROR(__xludf.DUMMYFUNCTION("""COMPUTED_VALUE"""),"Mob")</f>
        <v>Mob</v>
      </c>
      <c r="J318" s="49" t="b">
        <f>IFERROR(__xludf.DUMMYFUNCTION("""COMPUTED_VALUE"""),TRUE)</f>
        <v>1</v>
      </c>
      <c r="K318" s="49"/>
      <c r="L318" s="49" t="b">
        <f>IFERROR(__xludf.DUMMYFUNCTION("""COMPUTED_VALUE"""),FALSE)</f>
        <v>0</v>
      </c>
      <c r="M318" s="49" t="b">
        <f>IFERROR(__xludf.DUMMYFUNCTION("""COMPUTED_VALUE"""),FALSE)</f>
        <v>0</v>
      </c>
      <c r="N318" s="49"/>
    </row>
    <row r="319">
      <c r="A319" s="49" t="str">
        <f>IFERROR(__xludf.DUMMYFUNCTION("""COMPUTED_VALUE"""),"Aggressive Chomp")</f>
        <v>Aggressive Chomp</v>
      </c>
      <c r="B319" s="126">
        <f>IFERROR(__xludf.DUMMYFUNCTION("""COMPUTED_VALUE"""),1.0)</f>
        <v>1</v>
      </c>
      <c r="C319" s="125">
        <f>IFERROR(__xludf.DUMMYFUNCTION("""COMPUTED_VALUE"""),0.0)</f>
        <v>0</v>
      </c>
      <c r="D319" s="49"/>
      <c r="E319" s="49" t="str">
        <f>IFERROR(__xludf.DUMMYFUNCTION("""COMPUTED_VALUE"""),"20000 damage, 20000 water damage to all enemies")</f>
        <v>20000 damage, 20000 water damage to all enemies</v>
      </c>
      <c r="F319" s="49" t="str">
        <f>IFERROR(__xludf.DUMMYFUNCTION("""COMPUTED_VALUE"""),"Natural/Cannot Avoid")</f>
        <v>Natural/Cannot Avoid</v>
      </c>
      <c r="G319" s="49">
        <f>IFERROR(__xludf.DUMMYFUNCTION("""COMPUTED_VALUE"""),1.0)</f>
        <v>1</v>
      </c>
      <c r="H319" s="49" t="str">
        <f>IFERROR(__xludf.DUMMYFUNCTION("""COMPUTED_VALUE"""),"Physical")</f>
        <v>Physical</v>
      </c>
      <c r="I319" s="49" t="str">
        <f>IFERROR(__xludf.DUMMYFUNCTION("""COMPUTED_VALUE"""),"Mob")</f>
        <v>Mob</v>
      </c>
      <c r="J319" s="49" t="b">
        <f>IFERROR(__xludf.DUMMYFUNCTION("""COMPUTED_VALUE"""),TRUE)</f>
        <v>1</v>
      </c>
      <c r="K319" s="49"/>
      <c r="L319" s="49" t="b">
        <f>IFERROR(__xludf.DUMMYFUNCTION("""COMPUTED_VALUE"""),FALSE)</f>
        <v>0</v>
      </c>
      <c r="M319" s="49" t="b">
        <f>IFERROR(__xludf.DUMMYFUNCTION("""COMPUTED_VALUE"""),FALSE)</f>
        <v>0</v>
      </c>
      <c r="N319" s="49"/>
    </row>
    <row r="320">
      <c r="A320" s="49" t="str">
        <f>IFERROR(__xludf.DUMMYFUNCTION("""COMPUTED_VALUE"""),"Arrest")</f>
        <v>Arrest</v>
      </c>
      <c r="B320" s="126">
        <f>IFERROR(__xludf.DUMMYFUNCTION("""COMPUTED_VALUE"""),1.0)</f>
        <v>1</v>
      </c>
      <c r="C320" s="125">
        <f>IFERROR(__xludf.DUMMYFUNCTION("""COMPUTED_VALUE"""),0.0)</f>
        <v>0</v>
      </c>
      <c r="D320" s="49"/>
      <c r="E320" s="49"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49" t="str">
        <f>IFERROR(__xludf.DUMMYFUNCTION("""COMPUTED_VALUE"""),"Natural/Hit or Miss.")</f>
        <v>Natural/Hit or Miss.</v>
      </c>
      <c r="G320" s="49">
        <f>IFERROR(__xludf.DUMMYFUNCTION("""COMPUTED_VALUE"""),1.0)</f>
        <v>1</v>
      </c>
      <c r="H320" s="49" t="str">
        <f>IFERROR(__xludf.DUMMYFUNCTION("""COMPUTED_VALUE"""),"Physical")</f>
        <v>Physical</v>
      </c>
      <c r="I320" s="49" t="str">
        <f>IFERROR(__xludf.DUMMYFUNCTION("""COMPUTED_VALUE"""),"Mob")</f>
        <v>Mob</v>
      </c>
      <c r="J320" s="49" t="b">
        <f>IFERROR(__xludf.DUMMYFUNCTION("""COMPUTED_VALUE"""),TRUE)</f>
        <v>1</v>
      </c>
      <c r="K320" s="49" t="str">
        <f>IFERROR(__xludf.DUMMYFUNCTION("""COMPUTED_VALUE"""),"Can only be optained by the Spira Guard ability")</f>
        <v>Can only be optained by the Spira Guard ability</v>
      </c>
      <c r="L320" s="49" t="b">
        <f>IFERROR(__xludf.DUMMYFUNCTION("""COMPUTED_VALUE"""),TRUE)</f>
        <v>1</v>
      </c>
      <c r="M320" s="49" t="b">
        <f>IFERROR(__xludf.DUMMYFUNCTION("""COMPUTED_VALUE"""),TRUE)</f>
        <v>1</v>
      </c>
      <c r="N320" s="49"/>
    </row>
    <row r="321">
      <c r="A321" s="49" t="str">
        <f>IFERROR(__xludf.DUMMYFUNCTION("""COMPUTED_VALUE"""),"Bite")</f>
        <v>Bite</v>
      </c>
      <c r="B321" s="126">
        <f>IFERROR(__xludf.DUMMYFUNCTION("""COMPUTED_VALUE"""),1.0)</f>
        <v>1</v>
      </c>
      <c r="C321" s="49">
        <f>IFERROR(__xludf.DUMMYFUNCTION("""COMPUTED_VALUE"""),0.0)</f>
        <v>0</v>
      </c>
      <c r="D321" s="49"/>
      <c r="E321" s="49" t="str">
        <f>IFERROR(__xludf.DUMMYFUNCTION("""COMPUTED_VALUE"""),"X*2 damage of your primary element where X is equal to your attack. 50% chance to hit twice")</f>
        <v>X*2 damage of your primary element where X is equal to your attack. 50% chance to hit twice</v>
      </c>
      <c r="F321" s="49" t="str">
        <f>IFERROR(__xludf.DUMMYFUNCTION("""COMPUTED_VALUE"""),"Natural/Hit or Miss")</f>
        <v>Natural/Hit or Miss</v>
      </c>
      <c r="G321" s="49">
        <f>IFERROR(__xludf.DUMMYFUNCTION("""COMPUTED_VALUE"""),1.0)</f>
        <v>1</v>
      </c>
      <c r="H321" s="49" t="str">
        <f>IFERROR(__xludf.DUMMYFUNCTION("""COMPUTED_VALUE"""),"Physical")</f>
        <v>Physical</v>
      </c>
      <c r="I321" s="49" t="str">
        <f>IFERROR(__xludf.DUMMYFUNCTION("""COMPUTED_VALUE"""),"Player")</f>
        <v>Player</v>
      </c>
      <c r="J321" s="49" t="b">
        <f>IFERROR(__xludf.DUMMYFUNCTION("""COMPUTED_VALUE"""),FALSE)</f>
        <v>0</v>
      </c>
      <c r="K321" s="49"/>
      <c r="L321" s="49" t="b">
        <f>IFERROR(__xludf.DUMMYFUNCTION("""COMPUTED_VALUE"""),FALSE)</f>
        <v>0</v>
      </c>
      <c r="M321" s="49" t="b">
        <f>IFERROR(__xludf.DUMMYFUNCTION("""COMPUTED_VALUE"""),FALSE)</f>
        <v>0</v>
      </c>
      <c r="N321" s="49"/>
    </row>
    <row r="322">
      <c r="A322" s="49" t="str">
        <f>IFERROR(__xludf.DUMMYFUNCTION("""COMPUTED_VALUE"""),"Body armor")</f>
        <v>Body armor</v>
      </c>
      <c r="B322" s="126">
        <f>IFERROR(__xludf.DUMMYFUNCTION("""COMPUTED_VALUE"""),1.0)</f>
        <v>1</v>
      </c>
      <c r="C322" s="49">
        <f>IFERROR(__xludf.DUMMYFUNCTION("""COMPUTED_VALUE"""),10.0)</f>
        <v>10</v>
      </c>
      <c r="D322" s="49"/>
      <c r="E322" s="49" t="str">
        <f>IFERROR(__xludf.DUMMYFUNCTION("""COMPUTED_VALUE"""),"100 defense until the end of the round")</f>
        <v>100 defense until the end of the round</v>
      </c>
      <c r="F322" s="49" t="str">
        <f>IFERROR(__xludf.DUMMYFUNCTION("""COMPUTED_VALUE"""),"Will Succeed")</f>
        <v>Will Succeed</v>
      </c>
      <c r="G322" s="49"/>
      <c r="H322" s="49" t="str">
        <f>IFERROR(__xludf.DUMMYFUNCTION("""COMPUTED_VALUE"""),"Physical")</f>
        <v>Physical</v>
      </c>
      <c r="I322" s="49" t="str">
        <f>IFERROR(__xludf.DUMMYFUNCTION("""COMPUTED_VALUE"""),"Player")</f>
        <v>Player</v>
      </c>
      <c r="J322" s="49" t="b">
        <f>IFERROR(__xludf.DUMMYFUNCTION("""COMPUTED_VALUE"""),FALSE)</f>
        <v>0</v>
      </c>
      <c r="K322" s="49"/>
      <c r="L322" s="49" t="b">
        <f>IFERROR(__xludf.DUMMYFUNCTION("""COMPUTED_VALUE"""),FALSE)</f>
        <v>0</v>
      </c>
      <c r="M322" s="49" t="b">
        <f>IFERROR(__xludf.DUMMYFUNCTION("""COMPUTED_VALUE"""),TRUE)</f>
        <v>1</v>
      </c>
      <c r="N322" s="49"/>
    </row>
    <row r="323">
      <c r="A323" s="49" t="str">
        <f>IFERROR(__xludf.DUMMYFUNCTION("""COMPUTED_VALUE"""),"Call of The Sharks")</f>
        <v>Call of The Sharks</v>
      </c>
      <c r="B323" s="126">
        <f>IFERROR(__xludf.DUMMYFUNCTION("""COMPUTED_VALUE"""),1.0)</f>
        <v>1</v>
      </c>
      <c r="C323" s="125">
        <f>IFERROR(__xludf.DUMMYFUNCTION("""COMPUTED_VALUE"""),0.0)</f>
        <v>0</v>
      </c>
      <c r="D323" s="49"/>
      <c r="E323" s="49" t="str">
        <f>IFERROR(__xludf.DUMMYFUNCTION("""COMPUTED_VALUE"""),"85% chance to call 2  sharks to battle")</f>
        <v>85% chance to call 2  sharks to battle</v>
      </c>
      <c r="F323" s="49" t="str">
        <f>IFERROR(__xludf.DUMMYFUNCTION("""COMPUTED_VALUE"""),"Natural/Fail Or Succeed")</f>
        <v>Natural/Fail Or Succeed</v>
      </c>
      <c r="G323" s="49" t="str">
        <f>IFERROR(__xludf.DUMMYFUNCTION("""COMPUTED_VALUE"""),"Self")</f>
        <v>Self</v>
      </c>
      <c r="H323" s="49" t="str">
        <f>IFERROR(__xludf.DUMMYFUNCTION("""COMPUTED_VALUE"""),"Physical")</f>
        <v>Physical</v>
      </c>
      <c r="I323" s="49" t="str">
        <f>IFERROR(__xludf.DUMMYFUNCTION("""COMPUTED_VALUE"""),"Mob")</f>
        <v>Mob</v>
      </c>
      <c r="J323" s="49" t="b">
        <f>IFERROR(__xludf.DUMMYFUNCTION("""COMPUTED_VALUE"""),TRUE)</f>
        <v>1</v>
      </c>
      <c r="K323" s="49"/>
      <c r="L323" s="49" t="b">
        <f>IFERROR(__xludf.DUMMYFUNCTION("""COMPUTED_VALUE"""),FALSE)</f>
        <v>0</v>
      </c>
      <c r="M323" s="49" t="b">
        <f>IFERROR(__xludf.DUMMYFUNCTION("""COMPUTED_VALUE"""),FALSE)</f>
        <v>0</v>
      </c>
      <c r="N323" s="49"/>
    </row>
    <row r="324">
      <c r="A324" s="49" t="str">
        <f>IFERROR(__xludf.DUMMYFUNCTION("""COMPUTED_VALUE"""),"Charge")</f>
        <v>Charge</v>
      </c>
      <c r="B324" s="126">
        <f>IFERROR(__xludf.DUMMYFUNCTION("""COMPUTED_VALUE"""),2.0)</f>
        <v>2</v>
      </c>
      <c r="C324" s="49">
        <f>IFERROR(__xludf.DUMMYFUNCTION("""COMPUTED_VALUE"""),20.0)</f>
        <v>20</v>
      </c>
      <c r="D324" s="49"/>
      <c r="E324" s="49" t="str">
        <f>IFERROR(__xludf.DUMMYFUNCTION("""COMPUTED_VALUE"""),"X2 additional damage for the Caster for 3 rounds.")</f>
        <v>X2 additional damage for the Caster for 3 rounds.</v>
      </c>
      <c r="F324" s="49" t="str">
        <f>IFERROR(__xludf.DUMMYFUNCTION("""COMPUTED_VALUE"""),"Will Succeed")</f>
        <v>Will Succeed</v>
      </c>
      <c r="G324" s="49"/>
      <c r="H324" s="49" t="str">
        <f>IFERROR(__xludf.DUMMYFUNCTION("""COMPUTED_VALUE"""),"Physical")</f>
        <v>Physical</v>
      </c>
      <c r="I324" s="49" t="str">
        <f>IFERROR(__xludf.DUMMYFUNCTION("""COMPUTED_VALUE"""),"Player")</f>
        <v>Player</v>
      </c>
      <c r="J324" s="49" t="b">
        <f>IFERROR(__xludf.DUMMYFUNCTION("""COMPUTED_VALUE"""),FALSE)</f>
        <v>0</v>
      </c>
      <c r="K324" s="49"/>
      <c r="L324" s="49" t="b">
        <f>IFERROR(__xludf.DUMMYFUNCTION("""COMPUTED_VALUE"""),FALSE)</f>
        <v>0</v>
      </c>
      <c r="M324" s="49" t="b">
        <f>IFERROR(__xludf.DUMMYFUNCTION("""COMPUTED_VALUE"""),TRUE)</f>
        <v>1</v>
      </c>
      <c r="N324" s="49"/>
    </row>
    <row r="325">
      <c r="A325" s="49" t="str">
        <f>IFERROR(__xludf.DUMMYFUNCTION("""COMPUTED_VALUE"""),"Claws")</f>
        <v>Claws</v>
      </c>
      <c r="B325" s="126">
        <f>IFERROR(__xludf.DUMMYFUNCTION("""COMPUTED_VALUE"""),1.0)</f>
        <v>1</v>
      </c>
      <c r="C325" s="49">
        <f>IFERROR(__xludf.DUMMYFUNCTION("""COMPUTED_VALUE"""),0.0)</f>
        <v>0</v>
      </c>
      <c r="D325" s="49"/>
      <c r="E325" s="49"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49" t="str">
        <f>IFERROR(__xludf.DUMMYFUNCTION("""COMPUTED_VALUE"""),"Natural/Hit or Miss")</f>
        <v>Natural/Hit or Miss</v>
      </c>
      <c r="G325" s="49">
        <f>IFERROR(__xludf.DUMMYFUNCTION("""COMPUTED_VALUE"""),1.0)</f>
        <v>1</v>
      </c>
      <c r="H325" s="49" t="str">
        <f>IFERROR(__xludf.DUMMYFUNCTION("""COMPUTED_VALUE"""),"Physical")</f>
        <v>Physical</v>
      </c>
      <c r="I325" s="49" t="str">
        <f>IFERROR(__xludf.DUMMYFUNCTION("""COMPUTED_VALUE"""),"Mob")</f>
        <v>Mob</v>
      </c>
      <c r="J325" s="49" t="b">
        <f>IFERROR(__xludf.DUMMYFUNCTION("""COMPUTED_VALUE"""),TRUE)</f>
        <v>1</v>
      </c>
      <c r="K325" s="49"/>
      <c r="L325" s="49" t="b">
        <f>IFERROR(__xludf.DUMMYFUNCTION("""COMPUTED_VALUE"""),FALSE)</f>
        <v>0</v>
      </c>
      <c r="M325" s="49" t="b">
        <f>IFERROR(__xludf.DUMMYFUNCTION("""COMPUTED_VALUE"""),FALSE)</f>
        <v>0</v>
      </c>
      <c r="N325" s="49"/>
    </row>
    <row r="326">
      <c r="A326" s="49" t="str">
        <f>IFERROR(__xludf.DUMMYFUNCTION("""COMPUTED_VALUE"""),"Confiscate")</f>
        <v>Confiscate</v>
      </c>
      <c r="B326" s="126">
        <f>IFERROR(__xludf.DUMMYFUNCTION("""COMPUTED_VALUE"""),1.0)</f>
        <v>1</v>
      </c>
      <c r="C326" s="49">
        <f>IFERROR(__xludf.DUMMYFUNCTION("""COMPUTED_VALUE"""),0.0)</f>
        <v>0</v>
      </c>
      <c r="D326" s="49"/>
      <c r="E326" s="49"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49" t="str">
        <f>IFERROR(__xludf.DUMMYFUNCTION("""COMPUTED_VALUE"""),"Natural/Fail or Succeed")</f>
        <v>Natural/Fail or Succeed</v>
      </c>
      <c r="G326" s="49">
        <f>IFERROR(__xludf.DUMMYFUNCTION("""COMPUTED_VALUE"""),1.0)</f>
        <v>1</v>
      </c>
      <c r="H326" s="49" t="str">
        <f>IFERROR(__xludf.DUMMYFUNCTION("""COMPUTED_VALUE"""),"Physical")</f>
        <v>Physical</v>
      </c>
      <c r="I326" s="49" t="str">
        <f>IFERROR(__xludf.DUMMYFUNCTION("""COMPUTED_VALUE"""),"Player")</f>
        <v>Player</v>
      </c>
      <c r="J326" s="49" t="b">
        <f>IFERROR(__xludf.DUMMYFUNCTION("""COMPUTED_VALUE"""),FALSE)</f>
        <v>0</v>
      </c>
      <c r="K326" s="49"/>
      <c r="L326" s="49" t="b">
        <f>IFERROR(__xludf.DUMMYFUNCTION("""COMPUTED_VALUE"""),FALSE)</f>
        <v>0</v>
      </c>
      <c r="M326" s="49" t="b">
        <f>IFERROR(__xludf.DUMMYFUNCTION("""COMPUTED_VALUE"""),TRUE)</f>
        <v>1</v>
      </c>
      <c r="N326" s="49"/>
    </row>
    <row r="327">
      <c r="A327" s="49" t="str">
        <f>IFERROR(__xludf.DUMMYFUNCTION("""COMPUTED_VALUE"""),"Confiscate (Enhanced)")</f>
        <v>Confiscate (Enhanced)</v>
      </c>
      <c r="B327" s="126">
        <f>IFERROR(__xludf.DUMMYFUNCTION("""COMPUTED_VALUE"""),1.0)</f>
        <v>1</v>
      </c>
      <c r="C327" s="125">
        <f>IFERROR(__xludf.DUMMYFUNCTION("""COMPUTED_VALUE"""),0.0)</f>
        <v>0</v>
      </c>
      <c r="D327" s="49"/>
      <c r="E327" s="49" t="str">
        <f>IFERROR(__xludf.DUMMYFUNCTION("""COMPUTED_VALUE"""),"Take 2 target’s items in their equipment slot, loot table or backpack.  The item is the caster's choice.")</f>
        <v>Take 2 target’s items in their equipment slot, loot table or backpack.  The item is the caster's choice.</v>
      </c>
      <c r="F327" s="49" t="str">
        <f>IFERROR(__xludf.DUMMYFUNCTION("""COMPUTED_VALUE"""),"Natural/Fail or Succeed")</f>
        <v>Natural/Fail or Succeed</v>
      </c>
      <c r="G327" s="49">
        <f>IFERROR(__xludf.DUMMYFUNCTION("""COMPUTED_VALUE"""),2.0)</f>
        <v>2</v>
      </c>
      <c r="H327" s="49" t="str">
        <f>IFERROR(__xludf.DUMMYFUNCTION("""COMPUTED_VALUE"""),"Physical")</f>
        <v>Physical</v>
      </c>
      <c r="I327" s="49" t="str">
        <f>IFERROR(__xludf.DUMMYFUNCTION("""COMPUTED_VALUE"""),"Mob")</f>
        <v>Mob</v>
      </c>
      <c r="J327" s="49" t="b">
        <f>IFERROR(__xludf.DUMMYFUNCTION("""COMPUTED_VALUE"""),TRUE)</f>
        <v>1</v>
      </c>
      <c r="K327" s="49"/>
      <c r="L327" s="49" t="b">
        <f>IFERROR(__xludf.DUMMYFUNCTION("""COMPUTED_VALUE"""),FALSE)</f>
        <v>0</v>
      </c>
      <c r="M327" s="49" t="b">
        <f>IFERROR(__xludf.DUMMYFUNCTION("""COMPUTED_VALUE"""),FALSE)</f>
        <v>0</v>
      </c>
      <c r="N327" s="49"/>
    </row>
    <row r="328">
      <c r="A328" s="49" t="str">
        <f>IFERROR(__xludf.DUMMYFUNCTION("""COMPUTED_VALUE"""),"Decrease")</f>
        <v>Decrease</v>
      </c>
      <c r="B328" s="126">
        <f>IFERROR(__xludf.DUMMYFUNCTION("""COMPUTED_VALUE"""),7.0)</f>
        <v>7</v>
      </c>
      <c r="C328" s="49">
        <f>IFERROR(__xludf.DUMMYFUNCTION("""COMPUTED_VALUE"""),100.0)</f>
        <v>100</v>
      </c>
      <c r="D328" s="49"/>
      <c r="E328" s="49" t="str">
        <f>IFERROR(__xludf.DUMMYFUNCTION("""COMPUTED_VALUE"""),"Decrease targets attack, defense, and accuracy permanently by 7000.")</f>
        <v>Decrease targets attack, defense, and accuracy permanently by 7000.</v>
      </c>
      <c r="F328" s="49" t="str">
        <f>IFERROR(__xludf.DUMMYFUNCTION("""COMPUTED_VALUE"""),"Fail/succeed")</f>
        <v>Fail/succeed</v>
      </c>
      <c r="G328" s="49"/>
      <c r="H328" s="49" t="str">
        <f>IFERROR(__xludf.DUMMYFUNCTION("""COMPUTED_VALUE"""),"Physical")</f>
        <v>Physical</v>
      </c>
      <c r="I328" s="49" t="str">
        <f>IFERROR(__xludf.DUMMYFUNCTION("""COMPUTED_VALUE"""),"Player")</f>
        <v>Player</v>
      </c>
      <c r="J328" s="49" t="b">
        <f>IFERROR(__xludf.DUMMYFUNCTION("""COMPUTED_VALUE"""),FALSE)</f>
        <v>0</v>
      </c>
      <c r="K328" s="49"/>
      <c r="L328" s="49" t="b">
        <f>IFERROR(__xludf.DUMMYFUNCTION("""COMPUTED_VALUE"""),FALSE)</f>
        <v>0</v>
      </c>
      <c r="M328" s="49" t="b">
        <f>IFERROR(__xludf.DUMMYFUNCTION("""COMPUTED_VALUE"""),TRUE)</f>
        <v>1</v>
      </c>
      <c r="N328" s="49"/>
    </row>
    <row r="329">
      <c r="A329" s="49" t="str">
        <f>IFERROR(__xludf.DUMMYFUNCTION("""COMPUTED_VALUE"""),"Enrage")</f>
        <v>Enrage</v>
      </c>
      <c r="B329" s="126">
        <f>IFERROR(__xludf.DUMMYFUNCTION("""COMPUTED_VALUE"""),1.0)</f>
        <v>1</v>
      </c>
      <c r="C329" s="125">
        <f>IFERROR(__xludf.DUMMYFUNCTION("""COMPUTED_VALUE"""),0.0)</f>
        <v>0</v>
      </c>
      <c r="D329" s="49"/>
      <c r="E329" s="49" t="str">
        <f>IFERROR(__xludf.DUMMYFUNCTION("""COMPUTED_VALUE"""),"Target is forced to attack the enemy this turn. Cannot be used on self.")</f>
        <v>Target is forced to attack the enemy this turn. Cannot be used on self.</v>
      </c>
      <c r="F329" s="49" t="str">
        <f>IFERROR(__xludf.DUMMYFUNCTION("""COMPUTED_VALUE"""),"Natural/Fail or Succeed")</f>
        <v>Natural/Fail or Succeed</v>
      </c>
      <c r="G329" s="49">
        <f>IFERROR(__xludf.DUMMYFUNCTION("""COMPUTED_VALUE"""),1.0)</f>
        <v>1</v>
      </c>
      <c r="H329" s="49" t="str">
        <f>IFERROR(__xludf.DUMMYFUNCTION("""COMPUTED_VALUE"""),"Physical")</f>
        <v>Physical</v>
      </c>
      <c r="I329" s="49" t="str">
        <f>IFERROR(__xludf.DUMMYFUNCTION("""COMPUTED_VALUE"""),"Mob")</f>
        <v>Mob</v>
      </c>
      <c r="J329" s="49" t="b">
        <f>IFERROR(__xludf.DUMMYFUNCTION("""COMPUTED_VALUE"""),TRUE)</f>
        <v>1</v>
      </c>
      <c r="K329" s="49" t="str">
        <f>IFERROR(__xludf.DUMMYFUNCTION("""COMPUTED_VALUE"""),"Mob Power")</f>
        <v>Mob Power</v>
      </c>
      <c r="L329" s="49" t="b">
        <f>IFERROR(__xludf.DUMMYFUNCTION("""COMPUTED_VALUE"""),FALSE)</f>
        <v>0</v>
      </c>
      <c r="M329" s="49" t="b">
        <f>IFERROR(__xludf.DUMMYFUNCTION("""COMPUTED_VALUE"""),FALSE)</f>
        <v>0</v>
      </c>
      <c r="N329" s="49"/>
    </row>
    <row r="330">
      <c r="A330" s="49" t="str">
        <f>IFERROR(__xludf.DUMMYFUNCTION("""COMPUTED_VALUE"""),"Evil touch")</f>
        <v>Evil touch</v>
      </c>
      <c r="B330" s="126">
        <f>IFERROR(__xludf.DUMMYFUNCTION("""COMPUTED_VALUE"""),1.0)</f>
        <v>1</v>
      </c>
      <c r="C330" s="49">
        <f>IFERROR(__xludf.DUMMYFUNCTION("""COMPUTED_VALUE"""),10.0)</f>
        <v>10</v>
      </c>
      <c r="D330" s="49"/>
      <c r="E330" s="49" t="str">
        <f>IFERROR(__xludf.DUMMYFUNCTION("""COMPUTED_VALUE"""),"50% chance of poison 100")</f>
        <v>50% chance of poison 100</v>
      </c>
      <c r="F330" s="49" t="str">
        <f>IFERROR(__xludf.DUMMYFUNCTION("""COMPUTED_VALUE"""),"Will Succeed")</f>
        <v>Will Succeed</v>
      </c>
      <c r="G330" s="49"/>
      <c r="H330" s="49" t="str">
        <f>IFERROR(__xludf.DUMMYFUNCTION("""COMPUTED_VALUE"""),"Physical")</f>
        <v>Physical</v>
      </c>
      <c r="I330" s="49" t="str">
        <f>IFERROR(__xludf.DUMMYFUNCTION("""COMPUTED_VALUE"""),"Player")</f>
        <v>Player</v>
      </c>
      <c r="J330" s="49" t="b">
        <f>IFERROR(__xludf.DUMMYFUNCTION("""COMPUTED_VALUE"""),FALSE)</f>
        <v>0</v>
      </c>
      <c r="K330" s="49"/>
      <c r="L330" s="49" t="b">
        <f>IFERROR(__xludf.DUMMYFUNCTION("""COMPUTED_VALUE"""),FALSE)</f>
        <v>0</v>
      </c>
      <c r="M330" s="49" t="b">
        <f>IFERROR(__xludf.DUMMYFUNCTION("""COMPUTED_VALUE"""),TRUE)</f>
        <v>1</v>
      </c>
      <c r="N330" s="49"/>
    </row>
    <row r="331">
      <c r="A331" s="49" t="str">
        <f>IFERROR(__xludf.DUMMYFUNCTION("""COMPUTED_VALUE"""),"Full Impact")</f>
        <v>Full Impact</v>
      </c>
      <c r="B331" s="126">
        <f>IFERROR(__xludf.DUMMYFUNCTION("""COMPUTED_VALUE"""),1.0)</f>
        <v>1</v>
      </c>
      <c r="C331" s="125">
        <f>IFERROR(__xludf.DUMMYFUNCTION("""COMPUTED_VALUE"""),0.0)</f>
        <v>0</v>
      </c>
      <c r="D331" s="49"/>
      <c r="E331" s="49"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49" t="str">
        <f>IFERROR(__xludf.DUMMYFUNCTION("""COMPUTED_VALUE"""),"Natural/Cannot Avoid")</f>
        <v>Natural/Cannot Avoid</v>
      </c>
      <c r="G331" s="49" t="str">
        <f>IFERROR(__xludf.DUMMYFUNCTION("""COMPUTED_VALUE"""),"All")</f>
        <v>All</v>
      </c>
      <c r="H331" s="49" t="str">
        <f>IFERROR(__xludf.DUMMYFUNCTION("""COMPUTED_VALUE"""),"Physical")</f>
        <v>Physical</v>
      </c>
      <c r="I331" s="49" t="str">
        <f>IFERROR(__xludf.DUMMYFUNCTION("""COMPUTED_VALUE"""),"Mob")</f>
        <v>Mob</v>
      </c>
      <c r="J331" s="49" t="b">
        <f>IFERROR(__xludf.DUMMYFUNCTION("""COMPUTED_VALUE"""),TRUE)</f>
        <v>1</v>
      </c>
      <c r="K331" s="49"/>
      <c r="L331" s="49" t="b">
        <f>IFERROR(__xludf.DUMMYFUNCTION("""COMPUTED_VALUE"""),FALSE)</f>
        <v>0</v>
      </c>
      <c r="M331" s="49" t="b">
        <f>IFERROR(__xludf.DUMMYFUNCTION("""COMPUTED_VALUE"""),FALSE)</f>
        <v>0</v>
      </c>
      <c r="N331" s="49"/>
    </row>
    <row r="332">
      <c r="A332" s="49" t="str">
        <f>IFERROR(__xludf.DUMMYFUNCTION("""COMPUTED_VALUE"""),"Guard Call (Player)")</f>
        <v>Guard Call (Player)</v>
      </c>
      <c r="B332" s="126">
        <f>IFERROR(__xludf.DUMMYFUNCTION("""COMPUTED_VALUE"""),1.0)</f>
        <v>1</v>
      </c>
      <c r="C332" s="125">
        <f>IFERROR(__xludf.DUMMYFUNCTION("""COMPUTED_VALUE"""),0.0)</f>
        <v>0</v>
      </c>
      <c r="D332" s="49"/>
      <c r="E332" s="49" t="str">
        <f>IFERROR(__xludf.DUMMYFUNCTION("""COMPUTED_VALUE"""),"Call 1 guard to battle. The guard is 1 rank lower then you. Can only be used once per battle.")</f>
        <v>Call 1 guard to battle. The guard is 1 rank lower then you. Can only be used once per battle.</v>
      </c>
      <c r="F332" s="49" t="str">
        <f>IFERROR(__xludf.DUMMYFUNCTION("""COMPUTED_VALUE"""),"Natural/Fail or Succeed")</f>
        <v>Natural/Fail or Succeed</v>
      </c>
      <c r="G332" s="49" t="str">
        <f>IFERROR(__xludf.DUMMYFUNCTION("""COMPUTED_VALUE"""),"Self")</f>
        <v>Self</v>
      </c>
      <c r="H332" s="49" t="str">
        <f>IFERROR(__xludf.DUMMYFUNCTION("""COMPUTED_VALUE"""),"Physical")</f>
        <v>Physical</v>
      </c>
      <c r="I332" s="49" t="str">
        <f>IFERROR(__xludf.DUMMYFUNCTION("""COMPUTED_VALUE"""),"Player")</f>
        <v>Player</v>
      </c>
      <c r="J332" s="49" t="b">
        <f>IFERROR(__xludf.DUMMYFUNCTION("""COMPUTED_VALUE"""),TRUE)</f>
        <v>1</v>
      </c>
      <c r="K332" s="49" t="str">
        <f>IFERROR(__xludf.DUMMYFUNCTION("""COMPUTED_VALUE"""),"Can only be optained by the Spira Guard ability")</f>
        <v>Can only be optained by the Spira Guard ability</v>
      </c>
      <c r="L332" s="49" t="b">
        <f>IFERROR(__xludf.DUMMYFUNCTION("""COMPUTED_VALUE"""),FALSE)</f>
        <v>0</v>
      </c>
      <c r="M332" s="49" t="b">
        <f>IFERROR(__xludf.DUMMYFUNCTION("""COMPUTED_VALUE"""),FALSE)</f>
        <v>0</v>
      </c>
      <c r="N332" s="49"/>
    </row>
    <row r="333">
      <c r="A333" s="49" t="str">
        <f>IFERROR(__xludf.DUMMYFUNCTION("""COMPUTED_VALUE"""),"Hard Punch")</f>
        <v>Hard Punch</v>
      </c>
      <c r="B333" s="126">
        <f>IFERROR(__xludf.DUMMYFUNCTION("""COMPUTED_VALUE"""),1.0)</f>
        <v>1</v>
      </c>
      <c r="C333" s="49">
        <f>IFERROR(__xludf.DUMMYFUNCTION("""COMPUTED_VALUE"""),10.0)</f>
        <v>10</v>
      </c>
      <c r="D333" s="49"/>
      <c r="E333" s="49" t="str">
        <f>IFERROR(__xludf.DUMMYFUNCTION("""COMPUTED_VALUE"""),"Roll for an attack twice and take the higher number.")</f>
        <v>Roll for an attack twice and take the higher number.</v>
      </c>
      <c r="F333" s="49" t="str">
        <f>IFERROR(__xludf.DUMMYFUNCTION("""COMPUTED_VALUE"""),"Will Succeed")</f>
        <v>Will Succeed</v>
      </c>
      <c r="G333" s="49"/>
      <c r="H333" s="49" t="str">
        <f>IFERROR(__xludf.DUMMYFUNCTION("""COMPUTED_VALUE"""),"Physical")</f>
        <v>Physical</v>
      </c>
      <c r="I333" s="49" t="str">
        <f>IFERROR(__xludf.DUMMYFUNCTION("""COMPUTED_VALUE"""),"Player")</f>
        <v>Player</v>
      </c>
      <c r="J333" s="49" t="b">
        <f>IFERROR(__xludf.DUMMYFUNCTION("""COMPUTED_VALUE"""),FALSE)</f>
        <v>0</v>
      </c>
      <c r="K333" s="49"/>
      <c r="L333" s="49" t="b">
        <f>IFERROR(__xludf.DUMMYFUNCTION("""COMPUTED_VALUE"""),FALSE)</f>
        <v>0</v>
      </c>
      <c r="M333" s="49" t="b">
        <f>IFERROR(__xludf.DUMMYFUNCTION("""COMPUTED_VALUE"""),TRUE)</f>
        <v>1</v>
      </c>
      <c r="N333" s="49"/>
    </row>
    <row r="334">
      <c r="A334" s="49" t="str">
        <f>IFERROR(__xludf.DUMMYFUNCTION("""COMPUTED_VALUE"""),"Heighten Reflexes")</f>
        <v>Heighten Reflexes</v>
      </c>
      <c r="B334" s="126">
        <f>IFERROR(__xludf.DUMMYFUNCTION("""COMPUTED_VALUE"""),3.0)</f>
        <v>3</v>
      </c>
      <c r="C334" s="49">
        <f>IFERROR(__xludf.DUMMYFUNCTION("""COMPUTED_VALUE"""),30.0)</f>
        <v>30</v>
      </c>
      <c r="D334" s="49"/>
      <c r="E334" s="49" t="str">
        <f>IFERROR(__xludf.DUMMYFUNCTION("""COMPUTED_VALUE"""),"Double your own evasion until the end of your next turn.")</f>
        <v>Double your own evasion until the end of your next turn.</v>
      </c>
      <c r="F334" s="49" t="str">
        <f>IFERROR(__xludf.DUMMYFUNCTION("""COMPUTED_VALUE"""),"Will Succeed")</f>
        <v>Will Succeed</v>
      </c>
      <c r="G334" s="49"/>
      <c r="H334" s="49" t="str">
        <f>IFERROR(__xludf.DUMMYFUNCTION("""COMPUTED_VALUE"""),"Physical")</f>
        <v>Physical</v>
      </c>
      <c r="I334" s="49" t="str">
        <f>IFERROR(__xludf.DUMMYFUNCTION("""COMPUTED_VALUE"""),"Player")</f>
        <v>Player</v>
      </c>
      <c r="J334" s="49" t="b">
        <f>IFERROR(__xludf.DUMMYFUNCTION("""COMPUTED_VALUE"""),FALSE)</f>
        <v>0</v>
      </c>
      <c r="K334" s="49"/>
      <c r="L334" s="49" t="b">
        <f>IFERROR(__xludf.DUMMYFUNCTION("""COMPUTED_VALUE"""),FALSE)</f>
        <v>0</v>
      </c>
      <c r="M334" s="49" t="b">
        <f>IFERROR(__xludf.DUMMYFUNCTION("""COMPUTED_VALUE"""),TRUE)</f>
        <v>1</v>
      </c>
      <c r="N334" s="49"/>
    </row>
    <row r="335">
      <c r="A335" s="49" t="str">
        <f>IFERROR(__xludf.DUMMYFUNCTION("""COMPUTED_VALUE"""),"Honk")</f>
        <v>Honk</v>
      </c>
      <c r="B335" s="126">
        <f>IFERROR(__xludf.DUMMYFUNCTION("""COMPUTED_VALUE"""),1.0)</f>
        <v>1</v>
      </c>
      <c r="C335" s="125">
        <f>IFERROR(__xludf.DUMMYFUNCTION("""COMPUTED_VALUE"""),0.0)</f>
        <v>0</v>
      </c>
      <c r="D335" s="49"/>
      <c r="E335" s="49" t="str">
        <f>IFERROR(__xludf.DUMMYFUNCTION("""COMPUTED_VALUE"""),"Reduces target's defense by half and stuns them for 3 rounds")</f>
        <v>Reduces target's defense by half and stuns them for 3 rounds</v>
      </c>
      <c r="F335" s="49" t="str">
        <f>IFERROR(__xludf.DUMMYFUNCTION("""COMPUTED_VALUE"""),"Natural/Fail Or Succeed")</f>
        <v>Natural/Fail Or Succeed</v>
      </c>
      <c r="G335" s="49">
        <f>IFERROR(__xludf.DUMMYFUNCTION("""COMPUTED_VALUE"""),1.0)</f>
        <v>1</v>
      </c>
      <c r="H335" s="49" t="str">
        <f>IFERROR(__xludf.DUMMYFUNCTION("""COMPUTED_VALUE"""),"Physical")</f>
        <v>Physical</v>
      </c>
      <c r="I335" s="49" t="str">
        <f>IFERROR(__xludf.DUMMYFUNCTION("""COMPUTED_VALUE"""),"Mob")</f>
        <v>Mob</v>
      </c>
      <c r="J335" s="49" t="b">
        <f>IFERROR(__xludf.DUMMYFUNCTION("""COMPUTED_VALUE"""),TRUE)</f>
        <v>1</v>
      </c>
      <c r="K335" s="49"/>
      <c r="L335" s="49" t="b">
        <f>IFERROR(__xludf.DUMMYFUNCTION("""COMPUTED_VALUE"""),FALSE)</f>
        <v>0</v>
      </c>
      <c r="M335" s="49" t="b">
        <f>IFERROR(__xludf.DUMMYFUNCTION("""COMPUTED_VALUE"""),FALSE)</f>
        <v>0</v>
      </c>
      <c r="N335" s="49"/>
    </row>
    <row r="336">
      <c r="A336" s="49" t="str">
        <f>IFERROR(__xludf.DUMMYFUNCTION("""COMPUTED_VALUE"""),"Horns")</f>
        <v>Horns</v>
      </c>
      <c r="B336" s="126">
        <f>IFERROR(__xludf.DUMMYFUNCTION("""COMPUTED_VALUE"""),1.0)</f>
        <v>1</v>
      </c>
      <c r="C336" s="49">
        <f>IFERROR(__xludf.DUMMYFUNCTION("""COMPUTED_VALUE"""),0.0)</f>
        <v>0</v>
      </c>
      <c r="D336" s="49"/>
      <c r="E336" s="49" t="str">
        <f>IFERROR(__xludf.DUMMYFUNCTION("""COMPUTED_VALUE"""),"10,000 damage to 2 targets. Add mobility to your roll.")</f>
        <v>10,000 damage to 2 targets. Add mobility to your roll.</v>
      </c>
      <c r="F336" s="49" t="str">
        <f>IFERROR(__xludf.DUMMYFUNCTION("""COMPUTED_VALUE"""),"Natural/Hit or Miss")</f>
        <v>Natural/Hit or Miss</v>
      </c>
      <c r="G336" s="49">
        <f>IFERROR(__xludf.DUMMYFUNCTION("""COMPUTED_VALUE"""),2.0)</f>
        <v>2</v>
      </c>
      <c r="H336" s="49" t="str">
        <f>IFERROR(__xludf.DUMMYFUNCTION("""COMPUTED_VALUE"""),"Physical")</f>
        <v>Physical</v>
      </c>
      <c r="I336" s="49" t="str">
        <f>IFERROR(__xludf.DUMMYFUNCTION("""COMPUTED_VALUE"""),"Mob")</f>
        <v>Mob</v>
      </c>
      <c r="J336" s="49" t="b">
        <f>IFERROR(__xludf.DUMMYFUNCTION("""COMPUTED_VALUE"""),TRUE)</f>
        <v>1</v>
      </c>
      <c r="K336" s="49"/>
      <c r="L336" s="49" t="b">
        <f>IFERROR(__xludf.DUMMYFUNCTION("""COMPUTED_VALUE"""),FALSE)</f>
        <v>0</v>
      </c>
      <c r="M336" s="49" t="b">
        <f>IFERROR(__xludf.DUMMYFUNCTION("""COMPUTED_VALUE"""),FALSE)</f>
        <v>0</v>
      </c>
      <c r="N336" s="49"/>
    </row>
    <row r="337">
      <c r="A337" s="49" t="str">
        <f>IFERROR(__xludf.DUMMYFUNCTION("""COMPUTED_VALUE"""),"Increase")</f>
        <v>Increase</v>
      </c>
      <c r="B337" s="126">
        <f>IFERROR(__xludf.DUMMYFUNCTION("""COMPUTED_VALUE"""),5.0)</f>
        <v>5</v>
      </c>
      <c r="C337" s="49">
        <f>IFERROR(__xludf.DUMMYFUNCTION("""COMPUTED_VALUE"""),50.0)</f>
        <v>50</v>
      </c>
      <c r="D337" s="49"/>
      <c r="E337" s="49" t="str">
        <f>IFERROR(__xludf.DUMMYFUNCTION("""COMPUTED_VALUE"""),"X4 additional damage for the Caster for 3 rounds.")</f>
        <v>X4 additional damage for the Caster for 3 rounds.</v>
      </c>
      <c r="F337" s="49" t="str">
        <f>IFERROR(__xludf.DUMMYFUNCTION("""COMPUTED_VALUE"""),"Will Succeed")</f>
        <v>Will Succeed</v>
      </c>
      <c r="G337" s="49"/>
      <c r="H337" s="49" t="str">
        <f>IFERROR(__xludf.DUMMYFUNCTION("""COMPUTED_VALUE"""),"Physical")</f>
        <v>Physical</v>
      </c>
      <c r="I337" s="49" t="str">
        <f>IFERROR(__xludf.DUMMYFUNCTION("""COMPUTED_VALUE"""),"Player")</f>
        <v>Player</v>
      </c>
      <c r="J337" s="49" t="b">
        <f>IFERROR(__xludf.DUMMYFUNCTION("""COMPUTED_VALUE"""),FALSE)</f>
        <v>0</v>
      </c>
      <c r="K337" s="49"/>
      <c r="L337" s="49" t="b">
        <f>IFERROR(__xludf.DUMMYFUNCTION("""COMPUTED_VALUE"""),FALSE)</f>
        <v>0</v>
      </c>
      <c r="M337" s="49" t="b">
        <f>IFERROR(__xludf.DUMMYFUNCTION("""COMPUTED_VALUE"""),TRUE)</f>
        <v>1</v>
      </c>
      <c r="N337" s="49"/>
    </row>
    <row r="338">
      <c r="A338" s="49" t="str">
        <f>IFERROR(__xludf.DUMMYFUNCTION("""COMPUTED_VALUE"""),"Ink Shot ")</f>
        <v>Ink Shot </v>
      </c>
      <c r="B338" s="126">
        <f>IFERROR(__xludf.DUMMYFUNCTION("""COMPUTED_VALUE"""),1.0)</f>
        <v>1</v>
      </c>
      <c r="C338" s="125">
        <f>IFERROR(__xludf.DUMMYFUNCTION("""COMPUTED_VALUE"""),0.0)</f>
        <v>0</v>
      </c>
      <c r="D338" s="49"/>
      <c r="E338" s="49" t="str">
        <f>IFERROR(__xludf.DUMMYFUNCTION("""COMPUTED_VALUE"""),"Blindness 6")</f>
        <v>Blindness 6</v>
      </c>
      <c r="F338" s="49" t="str">
        <f>IFERROR(__xludf.DUMMYFUNCTION("""COMPUTED_VALUE"""),"Hit/Miss")</f>
        <v>Hit/Miss</v>
      </c>
      <c r="G338" s="49">
        <f>IFERROR(__xludf.DUMMYFUNCTION("""COMPUTED_VALUE"""),1.0)</f>
        <v>1</v>
      </c>
      <c r="H338" s="49" t="str">
        <f>IFERROR(__xludf.DUMMYFUNCTION("""COMPUTED_VALUE"""),"Physical")</f>
        <v>Physical</v>
      </c>
      <c r="I338" s="49" t="str">
        <f>IFERROR(__xludf.DUMMYFUNCTION("""COMPUTED_VALUE"""),"Mob")</f>
        <v>Mob</v>
      </c>
      <c r="J338" s="49" t="b">
        <f>IFERROR(__xludf.DUMMYFUNCTION("""COMPUTED_VALUE"""),TRUE)</f>
        <v>1</v>
      </c>
      <c r="K338" s="49"/>
      <c r="L338" s="49" t="b">
        <f>IFERROR(__xludf.DUMMYFUNCTION("""COMPUTED_VALUE"""),FALSE)</f>
        <v>0</v>
      </c>
      <c r="M338" s="49" t="b">
        <f>IFERROR(__xludf.DUMMYFUNCTION("""COMPUTED_VALUE"""),FALSE)</f>
        <v>0</v>
      </c>
      <c r="N338" s="49"/>
    </row>
    <row r="339">
      <c r="A339" s="49" t="str">
        <f>IFERROR(__xludf.DUMMYFUNCTION("""COMPUTED_VALUE"""),"Kraken Smarts")</f>
        <v>Kraken Smarts</v>
      </c>
      <c r="B339" s="126">
        <f>IFERROR(__xludf.DUMMYFUNCTION("""COMPUTED_VALUE"""),1.0)</f>
        <v>1</v>
      </c>
      <c r="C339" s="49">
        <f>IFERROR(__xludf.DUMMYFUNCTION("""COMPUTED_VALUE"""),0.0)</f>
        <v>0</v>
      </c>
      <c r="D339" s="49"/>
      <c r="E339" s="49" t="str">
        <f>IFERROR(__xludf.DUMMYFUNCTION("""COMPUTED_VALUE"""),"doubles accuracy, defense and attack.")</f>
        <v>doubles accuracy, defense and attack.</v>
      </c>
      <c r="F339" s="49" t="str">
        <f>IFERROR(__xludf.DUMMYFUNCTION("""COMPUTED_VALUE"""),"Natural/Will Succeed")</f>
        <v>Natural/Will Succeed</v>
      </c>
      <c r="G339" s="49" t="str">
        <f>IFERROR(__xludf.DUMMYFUNCTION("""COMPUTED_VALUE"""),"Self")</f>
        <v>Self</v>
      </c>
      <c r="H339" s="49" t="str">
        <f>IFERROR(__xludf.DUMMYFUNCTION("""COMPUTED_VALUE"""),"Physical")</f>
        <v>Physical</v>
      </c>
      <c r="I339" s="49" t="str">
        <f>IFERROR(__xludf.DUMMYFUNCTION("""COMPUTED_VALUE"""),"Mob")</f>
        <v>Mob</v>
      </c>
      <c r="J339" s="49" t="b">
        <f>IFERROR(__xludf.DUMMYFUNCTION("""COMPUTED_VALUE"""),TRUE)</f>
        <v>1</v>
      </c>
      <c r="K339" s="49"/>
      <c r="L339" s="49" t="b">
        <f>IFERROR(__xludf.DUMMYFUNCTION("""COMPUTED_VALUE"""),FALSE)</f>
        <v>0</v>
      </c>
      <c r="M339" s="49" t="b">
        <f>IFERROR(__xludf.DUMMYFUNCTION("""COMPUTED_VALUE"""),FALSE)</f>
        <v>0</v>
      </c>
      <c r="N339" s="49"/>
    </row>
    <row r="340">
      <c r="A340" s="49" t="str">
        <f>IFERROR(__xludf.DUMMYFUNCTION("""COMPUTED_VALUE"""),"Krakens Roar")</f>
        <v>Krakens Roar</v>
      </c>
      <c r="B340" s="126">
        <f>IFERROR(__xludf.DUMMYFUNCTION("""COMPUTED_VALUE"""),1.0)</f>
        <v>1</v>
      </c>
      <c r="C340" s="49">
        <f>IFERROR(__xludf.DUMMYFUNCTION("""COMPUTED_VALUE"""),0.0)</f>
        <v>0</v>
      </c>
      <c r="D340" s="49"/>
      <c r="E340" s="49" t="str">
        <f>IFERROR(__xludf.DUMMYFUNCTION("""COMPUTED_VALUE"""),"Stun 3 to all enemies.")</f>
        <v>Stun 3 to all enemies.</v>
      </c>
      <c r="F340" s="49" t="str">
        <f>IFERROR(__xludf.DUMMYFUNCTION("""COMPUTED_VALUE"""),"Natural/Fail Or Succeed")</f>
        <v>Natural/Fail Or Succeed</v>
      </c>
      <c r="G340" s="49" t="str">
        <f>IFERROR(__xludf.DUMMYFUNCTION("""COMPUTED_VALUE"""),"All")</f>
        <v>All</v>
      </c>
      <c r="H340" s="49" t="str">
        <f>IFERROR(__xludf.DUMMYFUNCTION("""COMPUTED_VALUE"""),"Physical")</f>
        <v>Physical</v>
      </c>
      <c r="I340" s="49" t="str">
        <f>IFERROR(__xludf.DUMMYFUNCTION("""COMPUTED_VALUE"""),"Mob")</f>
        <v>Mob</v>
      </c>
      <c r="J340" s="49" t="b">
        <f>IFERROR(__xludf.DUMMYFUNCTION("""COMPUTED_VALUE"""),TRUE)</f>
        <v>1</v>
      </c>
      <c r="K340" s="49"/>
      <c r="L340" s="49" t="b">
        <f>IFERROR(__xludf.DUMMYFUNCTION("""COMPUTED_VALUE"""),FALSE)</f>
        <v>0</v>
      </c>
      <c r="M340" s="49" t="b">
        <f>IFERROR(__xludf.DUMMYFUNCTION("""COMPUTED_VALUE"""),FALSE)</f>
        <v>0</v>
      </c>
      <c r="N340" s="49"/>
    </row>
    <row r="341">
      <c r="A341" s="49" t="str">
        <f>IFERROR(__xludf.DUMMYFUNCTION("""COMPUTED_VALUE"""),"Krakoken")</f>
        <v>Krakoken</v>
      </c>
      <c r="B341" s="126">
        <f>IFERROR(__xludf.DUMMYFUNCTION("""COMPUTED_VALUE"""),1.0)</f>
        <v>1</v>
      </c>
      <c r="C341" s="125">
        <f>IFERROR(__xludf.DUMMYFUNCTION("""COMPUTED_VALUE"""),0.0)</f>
        <v>0</v>
      </c>
      <c r="D341" s="49"/>
      <c r="E341" s="49" t="str">
        <f>IFERROR(__xludf.DUMMYFUNCTION("""COMPUTED_VALUE"""),"X8 attack, defense, and accuracy.")</f>
        <v>X8 attack, defense, and accuracy.</v>
      </c>
      <c r="F341" s="49" t="str">
        <f>IFERROR(__xludf.DUMMYFUNCTION("""COMPUTED_VALUE"""),"Natural/Will Succeed")</f>
        <v>Natural/Will Succeed</v>
      </c>
      <c r="G341" s="49" t="str">
        <f>IFERROR(__xludf.DUMMYFUNCTION("""COMPUTED_VALUE"""),"Self")</f>
        <v>Self</v>
      </c>
      <c r="H341" s="49" t="str">
        <f>IFERROR(__xludf.DUMMYFUNCTION("""COMPUTED_VALUE"""),"Physical")</f>
        <v>Physical</v>
      </c>
      <c r="I341" s="49" t="str">
        <f>IFERROR(__xludf.DUMMYFUNCTION("""COMPUTED_VALUE"""),"Mob")</f>
        <v>Mob</v>
      </c>
      <c r="J341" s="49" t="b">
        <f>IFERROR(__xludf.DUMMYFUNCTION("""COMPUTED_VALUE"""),TRUE)</f>
        <v>1</v>
      </c>
      <c r="K341" s="49"/>
      <c r="L341" s="49" t="b">
        <f>IFERROR(__xludf.DUMMYFUNCTION("""COMPUTED_VALUE"""),FALSE)</f>
        <v>0</v>
      </c>
      <c r="M341" s="49" t="b">
        <f>IFERROR(__xludf.DUMMYFUNCTION("""COMPUTED_VALUE"""),FALSE)</f>
        <v>0</v>
      </c>
      <c r="N341" s="49"/>
    </row>
    <row r="342">
      <c r="A342" s="49" t="str">
        <f>IFERROR(__xludf.DUMMYFUNCTION("""COMPUTED_VALUE"""),"Latch on")</f>
        <v>Latch on</v>
      </c>
      <c r="B342" s="126">
        <f>IFERROR(__xludf.DUMMYFUNCTION("""COMPUTED_VALUE"""),1.0)</f>
        <v>1</v>
      </c>
      <c r="C342" s="125">
        <f>IFERROR(__xludf.DUMMYFUNCTION("""COMPUTED_VALUE"""),0.0)</f>
        <v>0</v>
      </c>
      <c r="D342" s="49"/>
      <c r="E342" s="49" t="str">
        <f>IFERROR(__xludf.DUMMYFUNCTION("""COMPUTED_VALUE"""),"the target is grappled, target must attack this enemy only. They cannot flee from battle.")</f>
        <v>the target is grappled, target must attack this enemy only. They cannot flee from battle.</v>
      </c>
      <c r="F342" s="49" t="str">
        <f>IFERROR(__xludf.DUMMYFUNCTION("""COMPUTED_VALUE"""),"Natural/Hit or Miss")</f>
        <v>Natural/Hit or Miss</v>
      </c>
      <c r="G342" s="49">
        <f>IFERROR(__xludf.DUMMYFUNCTION("""COMPUTED_VALUE"""),1.0)</f>
        <v>1</v>
      </c>
      <c r="H342" s="49" t="str">
        <f>IFERROR(__xludf.DUMMYFUNCTION("""COMPUTED_VALUE"""),"Physical")</f>
        <v>Physical</v>
      </c>
      <c r="I342" s="49" t="str">
        <f>IFERROR(__xludf.DUMMYFUNCTION("""COMPUTED_VALUE"""),"Mob")</f>
        <v>Mob</v>
      </c>
      <c r="J342" s="49" t="b">
        <f>IFERROR(__xludf.DUMMYFUNCTION("""COMPUTED_VALUE"""),TRUE)</f>
        <v>1</v>
      </c>
      <c r="K342" s="49"/>
      <c r="L342" s="49" t="b">
        <f>IFERROR(__xludf.DUMMYFUNCTION("""COMPUTED_VALUE"""),FALSE)</f>
        <v>0</v>
      </c>
      <c r="M342" s="49" t="b">
        <f>IFERROR(__xludf.DUMMYFUNCTION("""COMPUTED_VALUE"""),FALSE)</f>
        <v>0</v>
      </c>
      <c r="N342" s="49"/>
    </row>
    <row r="343">
      <c r="A343" s="49" t="str">
        <f>IFERROR(__xludf.DUMMYFUNCTION("""COMPUTED_VALUE"""),"Lunge")</f>
        <v>Lunge</v>
      </c>
      <c r="B343" s="126">
        <f>IFERROR(__xludf.DUMMYFUNCTION("""COMPUTED_VALUE"""),1.0)</f>
        <v>1</v>
      </c>
      <c r="C343" s="125">
        <f>IFERROR(__xludf.DUMMYFUNCTION("""COMPUTED_VALUE"""),0.0)</f>
        <v>0</v>
      </c>
      <c r="D343" s="49"/>
      <c r="E343" s="49" t="str">
        <f>IFERROR(__xludf.DUMMYFUNCTION("""COMPUTED_VALUE"""),"Evade the next incoming Hit or Miss attack without fail.")</f>
        <v>Evade the next incoming Hit or Miss attack without fail.</v>
      </c>
      <c r="F343" s="49" t="str">
        <f>IFERROR(__xludf.DUMMYFUNCTION("""COMPUTED_VALUE"""),"Natural/Fail Or Succeed")</f>
        <v>Natural/Fail Or Succeed</v>
      </c>
      <c r="G343" s="49"/>
      <c r="H343" s="49" t="str">
        <f>IFERROR(__xludf.DUMMYFUNCTION("""COMPUTED_VALUE"""),"Physical")</f>
        <v>Physical</v>
      </c>
      <c r="I343" s="49" t="str">
        <f>IFERROR(__xludf.DUMMYFUNCTION("""COMPUTED_VALUE"""),"Mob")</f>
        <v>Mob</v>
      </c>
      <c r="J343" s="49" t="b">
        <f>IFERROR(__xludf.DUMMYFUNCTION("""COMPUTED_VALUE"""),TRUE)</f>
        <v>1</v>
      </c>
      <c r="K343" s="49"/>
      <c r="L343" s="49" t="b">
        <f>IFERROR(__xludf.DUMMYFUNCTION("""COMPUTED_VALUE"""),FALSE)</f>
        <v>0</v>
      </c>
      <c r="M343" s="49" t="b">
        <f>IFERROR(__xludf.DUMMYFUNCTION("""COMPUTED_VALUE"""),FALSE)</f>
        <v>0</v>
      </c>
      <c r="N343" s="49"/>
    </row>
    <row r="344">
      <c r="A344" s="49" t="str">
        <f>IFERROR(__xludf.DUMMYFUNCTION("""COMPUTED_VALUE"""),"Meditate")</f>
        <v>Meditate</v>
      </c>
      <c r="B344" s="126">
        <f>IFERROR(__xludf.DUMMYFUNCTION("""COMPUTED_VALUE"""),6.0)</f>
        <v>6</v>
      </c>
      <c r="C344" s="49" t="str">
        <f>IFERROR(__xludf.DUMMYFUNCTION("""COMPUTED_VALUE"""),"X")</f>
        <v>X</v>
      </c>
      <c r="D344" s="49"/>
      <c r="E344" s="49" t="str">
        <f>IFERROR(__xludf.DUMMYFUNCTION("""COMPUTED_VALUE"""),"Regain X*100 HP")</f>
        <v>Regain X*100 HP</v>
      </c>
      <c r="F344" s="49" t="str">
        <f>IFERROR(__xludf.DUMMYFUNCTION("""COMPUTED_VALUE"""),"Will succeed")</f>
        <v>Will succeed</v>
      </c>
      <c r="G344" s="49"/>
      <c r="H344" s="49" t="str">
        <f>IFERROR(__xludf.DUMMYFUNCTION("""COMPUTED_VALUE"""),"Physical")</f>
        <v>Physical</v>
      </c>
      <c r="I344" s="49" t="str">
        <f>IFERROR(__xludf.DUMMYFUNCTION("""COMPUTED_VALUE"""),"Player")</f>
        <v>Player</v>
      </c>
      <c r="J344" s="49" t="b">
        <f>IFERROR(__xludf.DUMMYFUNCTION("""COMPUTED_VALUE"""),FALSE)</f>
        <v>0</v>
      </c>
      <c r="K344" s="49"/>
      <c r="L344" s="49" t="b">
        <f>IFERROR(__xludf.DUMMYFUNCTION("""COMPUTED_VALUE"""),FALSE)</f>
        <v>0</v>
      </c>
      <c r="M344" s="49" t="b">
        <f>IFERROR(__xludf.DUMMYFUNCTION("""COMPUTED_VALUE"""),TRUE)</f>
        <v>1</v>
      </c>
      <c r="N344" s="49"/>
    </row>
    <row r="345">
      <c r="A345" s="49" t="str">
        <f>IFERROR(__xludf.DUMMYFUNCTION("""COMPUTED_VALUE"""),"Pay Back")</f>
        <v>Pay Back</v>
      </c>
      <c r="B345" s="126">
        <f>IFERROR(__xludf.DUMMYFUNCTION("""COMPUTED_VALUE"""),9.0)</f>
        <v>9</v>
      </c>
      <c r="C345" s="125">
        <f>IFERROR(__xludf.DUMMYFUNCTION("""COMPUTED_VALUE"""),300.0)</f>
        <v>300</v>
      </c>
      <c r="D345" s="49"/>
      <c r="E345" s="49"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49" t="str">
        <f>IFERROR(__xludf.DUMMYFUNCTION("""COMPUTED_VALUE"""),"Fail/Succeed")</f>
        <v>Fail/Succeed</v>
      </c>
      <c r="G345" s="49">
        <f>IFERROR(__xludf.DUMMYFUNCTION("""COMPUTED_VALUE"""),1.0)</f>
        <v>1</v>
      </c>
      <c r="H345" s="49" t="str">
        <f>IFERROR(__xludf.DUMMYFUNCTION("""COMPUTED_VALUE"""),"Physical")</f>
        <v>Physical</v>
      </c>
      <c r="I345" s="49" t="str">
        <f>IFERROR(__xludf.DUMMYFUNCTION("""COMPUTED_VALUE"""),"Player")</f>
        <v>Player</v>
      </c>
      <c r="J345" s="49" t="b">
        <f>IFERROR(__xludf.DUMMYFUNCTION("""COMPUTED_VALUE"""),FALSE)</f>
        <v>0</v>
      </c>
      <c r="K345" s="49"/>
      <c r="L345" s="49" t="b">
        <f>IFERROR(__xludf.DUMMYFUNCTION("""COMPUTED_VALUE"""),FALSE)</f>
        <v>0</v>
      </c>
      <c r="M345" s="49" t="b">
        <f>IFERROR(__xludf.DUMMYFUNCTION("""COMPUTED_VALUE"""),FALSE)</f>
        <v>0</v>
      </c>
      <c r="N345" s="49"/>
    </row>
    <row r="346">
      <c r="A346" s="49" t="str">
        <f>IFERROR(__xludf.DUMMYFUNCTION("""COMPUTED_VALUE"""),"Power Increase")</f>
        <v>Power Increase</v>
      </c>
      <c r="B346" s="126">
        <f>IFERROR(__xludf.DUMMYFUNCTION("""COMPUTED_VALUE"""),9.0)</f>
        <v>9</v>
      </c>
      <c r="C346" s="49">
        <f>IFERROR(__xludf.DUMMYFUNCTION("""COMPUTED_VALUE"""),300.0)</f>
        <v>300</v>
      </c>
      <c r="D346" s="49"/>
      <c r="E346" s="49" t="str">
        <f>IFERROR(__xludf.DUMMYFUNCTION("""COMPUTED_VALUE"""),"Gain 20000 attack and accuracy for 3 rounds.")</f>
        <v>Gain 20000 attack and accuracy for 3 rounds.</v>
      </c>
      <c r="F346" s="49" t="str">
        <f>IFERROR(__xludf.DUMMYFUNCTION("""COMPUTED_VALUE"""),"Will Succeed")</f>
        <v>Will Succeed</v>
      </c>
      <c r="G346" s="49"/>
      <c r="H346" s="49" t="str">
        <f>IFERROR(__xludf.DUMMYFUNCTION("""COMPUTED_VALUE"""),"Physical")</f>
        <v>Physical</v>
      </c>
      <c r="I346" s="49" t="str">
        <f>IFERROR(__xludf.DUMMYFUNCTION("""COMPUTED_VALUE"""),"Player")</f>
        <v>Player</v>
      </c>
      <c r="J346" s="49" t="b">
        <f>IFERROR(__xludf.DUMMYFUNCTION("""COMPUTED_VALUE"""),FALSE)</f>
        <v>0</v>
      </c>
      <c r="K346" s="49"/>
      <c r="L346" s="49" t="b">
        <f>IFERROR(__xludf.DUMMYFUNCTION("""COMPUTED_VALUE"""),FALSE)</f>
        <v>0</v>
      </c>
      <c r="M346" s="49" t="b">
        <f>IFERROR(__xludf.DUMMYFUNCTION("""COMPUTED_VALUE"""),TRUE)</f>
        <v>1</v>
      </c>
      <c r="N346" s="49"/>
    </row>
    <row r="347">
      <c r="A347" s="49" t="str">
        <f>IFERROR(__xludf.DUMMYFUNCTION("""COMPUTED_VALUE"""),"Punch")</f>
        <v>Punch</v>
      </c>
      <c r="B347" s="126">
        <f>IFERROR(__xludf.DUMMYFUNCTION("""COMPUTED_VALUE"""),1.0)</f>
        <v>1</v>
      </c>
      <c r="C347" s="49">
        <f>IFERROR(__xludf.DUMMYFUNCTION("""COMPUTED_VALUE"""),0.0)</f>
        <v>0</v>
      </c>
      <c r="D347" s="49"/>
      <c r="E347" s="49" t="str">
        <f>IFERROR(__xludf.DUMMYFUNCTION("""COMPUTED_VALUE"""),"X*2 Damage of your primary element Where X is equal to your attack.")</f>
        <v>X*2 Damage of your primary element Where X is equal to your attack.</v>
      </c>
      <c r="F347" s="49" t="str">
        <f>IFERROR(__xludf.DUMMYFUNCTION("""COMPUTED_VALUE"""),"Natural/Hit or Miss")</f>
        <v>Natural/Hit or Miss</v>
      </c>
      <c r="G347" s="49">
        <f>IFERROR(__xludf.DUMMYFUNCTION("""COMPUTED_VALUE"""),1.0)</f>
        <v>1</v>
      </c>
      <c r="H347" s="49" t="str">
        <f>IFERROR(__xludf.DUMMYFUNCTION("""COMPUTED_VALUE"""),"Physical")</f>
        <v>Physical</v>
      </c>
      <c r="I347" s="49" t="str">
        <f>IFERROR(__xludf.DUMMYFUNCTION("""COMPUTED_VALUE"""),"Player")</f>
        <v>Player</v>
      </c>
      <c r="J347" s="49" t="b">
        <f>IFERROR(__xludf.DUMMYFUNCTION("""COMPUTED_VALUE"""),FALSE)</f>
        <v>0</v>
      </c>
      <c r="K347" s="49"/>
      <c r="L347" s="49" t="b">
        <f>IFERROR(__xludf.DUMMYFUNCTION("""COMPUTED_VALUE"""),FALSE)</f>
        <v>0</v>
      </c>
      <c r="M347" s="49" t="b">
        <f>IFERROR(__xludf.DUMMYFUNCTION("""COMPUTED_VALUE"""),FALSE)</f>
        <v>0</v>
      </c>
      <c r="N347" s="49"/>
    </row>
    <row r="348">
      <c r="A348" s="49" t="str">
        <f>IFERROR(__xludf.DUMMYFUNCTION("""COMPUTED_VALUE"""),"Shark Bite")</f>
        <v>Shark Bite</v>
      </c>
      <c r="B348" s="126">
        <f>IFERROR(__xludf.DUMMYFUNCTION("""COMPUTED_VALUE"""),1.0)</f>
        <v>1</v>
      </c>
      <c r="C348" s="125">
        <f>IFERROR(__xludf.DUMMYFUNCTION("""COMPUTED_VALUE"""),0.0)</f>
        <v>0</v>
      </c>
      <c r="D348" s="49"/>
      <c r="E348" s="49" t="str">
        <f>IFERROR(__xludf.DUMMYFUNCTION("""COMPUTED_VALUE"""),"1500 damage +1000 bleeding damage p/r for 3 rounds.")</f>
        <v>1500 damage +1000 bleeding damage p/r for 3 rounds.</v>
      </c>
      <c r="F348" s="49" t="str">
        <f>IFERROR(__xludf.DUMMYFUNCTION("""COMPUTED_VALUE"""),"Natural/ Hit Or Miss")</f>
        <v>Natural/ Hit Or Miss</v>
      </c>
      <c r="G348" s="49">
        <f>IFERROR(__xludf.DUMMYFUNCTION("""COMPUTED_VALUE"""),1.0)</f>
        <v>1</v>
      </c>
      <c r="H348" s="49" t="str">
        <f>IFERROR(__xludf.DUMMYFUNCTION("""COMPUTED_VALUE"""),"Physical")</f>
        <v>Physical</v>
      </c>
      <c r="I348" s="49" t="str">
        <f>IFERROR(__xludf.DUMMYFUNCTION("""COMPUTED_VALUE"""),"Mob")</f>
        <v>Mob</v>
      </c>
      <c r="J348" s="49" t="b">
        <f>IFERROR(__xludf.DUMMYFUNCTION("""COMPUTED_VALUE"""),TRUE)</f>
        <v>1</v>
      </c>
      <c r="K348" s="49"/>
      <c r="L348" s="49" t="b">
        <f>IFERROR(__xludf.DUMMYFUNCTION("""COMPUTED_VALUE"""),FALSE)</f>
        <v>0</v>
      </c>
      <c r="M348" s="49" t="b">
        <f>IFERROR(__xludf.DUMMYFUNCTION("""COMPUTED_VALUE"""),FALSE)</f>
        <v>0</v>
      </c>
      <c r="N348" s="49"/>
    </row>
    <row r="349">
      <c r="A349" s="49" t="str">
        <f>IFERROR(__xludf.DUMMYFUNCTION("""COMPUTED_VALUE"""),"Stinger ")</f>
        <v>Stinger </v>
      </c>
      <c r="B349" s="126">
        <f>IFERROR(__xludf.DUMMYFUNCTION("""COMPUTED_VALUE"""),1.0)</f>
        <v>1</v>
      </c>
      <c r="C349" s="125">
        <f>IFERROR(__xludf.DUMMYFUNCTION("""COMPUTED_VALUE"""),0.0)</f>
        <v>0</v>
      </c>
      <c r="D349" s="49"/>
      <c r="E349" s="49" t="str">
        <f>IFERROR(__xludf.DUMMYFUNCTION("""COMPUTED_VALUE"""),"Stun 3")</f>
        <v>Stun 3</v>
      </c>
      <c r="F349" s="49" t="str">
        <f>IFERROR(__xludf.DUMMYFUNCTION("""COMPUTED_VALUE"""),"Natural/Hit or Miss.")</f>
        <v>Natural/Hit or Miss.</v>
      </c>
      <c r="G349" s="49">
        <f>IFERROR(__xludf.DUMMYFUNCTION("""COMPUTED_VALUE"""),1.0)</f>
        <v>1</v>
      </c>
      <c r="H349" s="49" t="str">
        <f>IFERROR(__xludf.DUMMYFUNCTION("""COMPUTED_VALUE"""),"Physical")</f>
        <v>Physical</v>
      </c>
      <c r="I349" s="49" t="str">
        <f>IFERROR(__xludf.DUMMYFUNCTION("""COMPUTED_VALUE"""),"Mob")</f>
        <v>Mob</v>
      </c>
      <c r="J349" s="49" t="b">
        <f>IFERROR(__xludf.DUMMYFUNCTION("""COMPUTED_VALUE"""),TRUE)</f>
        <v>1</v>
      </c>
      <c r="K349" s="49"/>
      <c r="L349" s="49" t="b">
        <f>IFERROR(__xludf.DUMMYFUNCTION("""COMPUTED_VALUE"""),FALSE)</f>
        <v>0</v>
      </c>
      <c r="M349" s="49" t="b">
        <f>IFERROR(__xludf.DUMMYFUNCTION("""COMPUTED_VALUE"""),FALSE)</f>
        <v>0</v>
      </c>
      <c r="N349" s="49"/>
    </row>
    <row r="350">
      <c r="A350" s="49" t="str">
        <f>IFERROR(__xludf.DUMMYFUNCTION("""COMPUTED_VALUE"""),"Stinger (Bee)")</f>
        <v>Stinger (Bee)</v>
      </c>
      <c r="B350" s="126">
        <f>IFERROR(__xludf.DUMMYFUNCTION("""COMPUTED_VALUE"""),1.0)</f>
        <v>1</v>
      </c>
      <c r="C350" s="125">
        <f>IFERROR(__xludf.DUMMYFUNCTION("""COMPUTED_VALUE"""),0.0)</f>
        <v>0</v>
      </c>
      <c r="D350" s="49"/>
      <c r="E350" s="49" t="str">
        <f>IFERROR(__xludf.DUMMYFUNCTION("""COMPUTED_VALUE"""),"X*4 damage where X is equal to attack, poison 100")</f>
        <v>X*4 damage where X is equal to attack, poison 100</v>
      </c>
      <c r="F350" s="49" t="str">
        <f>IFERROR(__xludf.DUMMYFUNCTION("""COMPUTED_VALUE"""),"Natural/Hit Or Miss")</f>
        <v>Natural/Hit Or Miss</v>
      </c>
      <c r="G350" s="49">
        <f>IFERROR(__xludf.DUMMYFUNCTION("""COMPUTED_VALUE"""),1.0)</f>
        <v>1</v>
      </c>
      <c r="H350" s="49" t="str">
        <f>IFERROR(__xludf.DUMMYFUNCTION("""COMPUTED_VALUE"""),"Physical")</f>
        <v>Physical</v>
      </c>
      <c r="I350" s="49" t="str">
        <f>IFERROR(__xludf.DUMMYFUNCTION("""COMPUTED_VALUE"""),"Mob")</f>
        <v>Mob</v>
      </c>
      <c r="J350" s="49" t="b">
        <f>IFERROR(__xludf.DUMMYFUNCTION("""COMPUTED_VALUE"""),TRUE)</f>
        <v>1</v>
      </c>
      <c r="K350" s="49"/>
      <c r="L350" s="49" t="b">
        <f>IFERROR(__xludf.DUMMYFUNCTION("""COMPUTED_VALUE"""),FALSE)</f>
        <v>0</v>
      </c>
      <c r="M350" s="49" t="b">
        <f>IFERROR(__xludf.DUMMYFUNCTION("""COMPUTED_VALUE"""),FALSE)</f>
        <v>0</v>
      </c>
      <c r="N350" s="49"/>
    </row>
    <row r="351">
      <c r="A351" s="49" t="str">
        <f>IFERROR(__xludf.DUMMYFUNCTION("""COMPUTED_VALUE"""),"Strangle")</f>
        <v>Strangle</v>
      </c>
      <c r="B351" s="126">
        <f>IFERROR(__xludf.DUMMYFUNCTION("""COMPUTED_VALUE"""),1.0)</f>
        <v>1</v>
      </c>
      <c r="C351" s="125">
        <f>IFERROR(__xludf.DUMMYFUNCTION("""COMPUTED_VALUE"""),0.0)</f>
        <v>0</v>
      </c>
      <c r="D351" s="49"/>
      <c r="E351" s="49" t="str">
        <f>IFERROR(__xludf.DUMMYFUNCTION("""COMPUTED_VALUE"""),"Grabs all enemies, targets are unable to perform there turn order for 3 rounds")</f>
        <v>Grabs all enemies, targets are unable to perform there turn order for 3 rounds</v>
      </c>
      <c r="F351" s="49" t="str">
        <f>IFERROR(__xludf.DUMMYFUNCTION("""COMPUTED_VALUE"""),"Natural/Hit or Miss")</f>
        <v>Natural/Hit or Miss</v>
      </c>
      <c r="G351" s="49" t="str">
        <f>IFERROR(__xludf.DUMMYFUNCTION("""COMPUTED_VALUE"""),"All")</f>
        <v>All</v>
      </c>
      <c r="H351" s="49" t="str">
        <f>IFERROR(__xludf.DUMMYFUNCTION("""COMPUTED_VALUE"""),"Physical")</f>
        <v>Physical</v>
      </c>
      <c r="I351" s="49" t="str">
        <f>IFERROR(__xludf.DUMMYFUNCTION("""COMPUTED_VALUE"""),"Mob")</f>
        <v>Mob</v>
      </c>
      <c r="J351" s="49" t="b">
        <f>IFERROR(__xludf.DUMMYFUNCTION("""COMPUTED_VALUE"""),TRUE)</f>
        <v>1</v>
      </c>
      <c r="K351" s="49"/>
      <c r="L351" s="49" t="b">
        <f>IFERROR(__xludf.DUMMYFUNCTION("""COMPUTED_VALUE"""),FALSE)</f>
        <v>0</v>
      </c>
      <c r="M351" s="49" t="b">
        <f>IFERROR(__xludf.DUMMYFUNCTION("""COMPUTED_VALUE"""),FALSE)</f>
        <v>0</v>
      </c>
      <c r="N351" s="49"/>
    </row>
    <row r="352">
      <c r="A352" s="49" t="str">
        <f>IFERROR(__xludf.DUMMYFUNCTION("""COMPUTED_VALUE"""),"Swarm")</f>
        <v>Swarm</v>
      </c>
      <c r="B352" s="126">
        <f>IFERROR(__xludf.DUMMYFUNCTION("""COMPUTED_VALUE"""),1.0)</f>
        <v>1</v>
      </c>
      <c r="C352" s="125">
        <f>IFERROR(__xludf.DUMMYFUNCTION("""COMPUTED_VALUE"""),0.0)</f>
        <v>0</v>
      </c>
      <c r="D352" s="49"/>
      <c r="E352" s="49"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49" t="str">
        <f>IFERROR(__xludf.DUMMYFUNCTION("""COMPUTED_VALUE"""),"Natural/Fail Or Succeed")</f>
        <v>Natural/Fail Or Succeed</v>
      </c>
      <c r="G352" s="49">
        <f>IFERROR(__xludf.DUMMYFUNCTION("""COMPUTED_VALUE"""),1.0)</f>
        <v>1</v>
      </c>
      <c r="H352" s="49" t="str">
        <f>IFERROR(__xludf.DUMMYFUNCTION("""COMPUTED_VALUE"""),"Physical")</f>
        <v>Physical</v>
      </c>
      <c r="I352" s="49" t="str">
        <f>IFERROR(__xludf.DUMMYFUNCTION("""COMPUTED_VALUE"""),"Mob")</f>
        <v>Mob</v>
      </c>
      <c r="J352" s="49" t="b">
        <f>IFERROR(__xludf.DUMMYFUNCTION("""COMPUTED_VALUE"""),TRUE)</f>
        <v>1</v>
      </c>
      <c r="K352" s="49"/>
      <c r="L352" s="49" t="b">
        <f>IFERROR(__xludf.DUMMYFUNCTION("""COMPUTED_VALUE"""),FALSE)</f>
        <v>0</v>
      </c>
      <c r="M352" s="49" t="b">
        <f>IFERROR(__xludf.DUMMYFUNCTION("""COMPUTED_VALUE"""),FALSE)</f>
        <v>0</v>
      </c>
      <c r="N352" s="49"/>
    </row>
    <row r="353">
      <c r="A353" s="49" t="str">
        <f>IFERROR(__xludf.DUMMYFUNCTION("""COMPUTED_VALUE"""),"Tail Smash")</f>
        <v>Tail Smash</v>
      </c>
      <c r="B353" s="126">
        <f>IFERROR(__xludf.DUMMYFUNCTION("""COMPUTED_VALUE"""),1.0)</f>
        <v>1</v>
      </c>
      <c r="C353" s="125">
        <f>IFERROR(__xludf.DUMMYFUNCTION("""COMPUTED_VALUE"""),0.0)</f>
        <v>0</v>
      </c>
      <c r="D353" s="49"/>
      <c r="E353" s="49" t="str">
        <f>IFERROR(__xludf.DUMMYFUNCTION("""COMPUTED_VALUE"""),"10,000 damage to one target, 50% chance to deal another 10,000 damage to another target.")</f>
        <v>10,000 damage to one target, 50% chance to deal another 10,000 damage to another target.</v>
      </c>
      <c r="F353" s="49" t="str">
        <f>IFERROR(__xludf.DUMMYFUNCTION("""COMPUTED_VALUE"""),"Natural/Hit or Miss.")</f>
        <v>Natural/Hit or Miss.</v>
      </c>
      <c r="G353" s="49" t="str">
        <f>IFERROR(__xludf.DUMMYFUNCTION("""COMPUTED_VALUE"""),"1 or 2")</f>
        <v>1 or 2</v>
      </c>
      <c r="H353" s="49" t="str">
        <f>IFERROR(__xludf.DUMMYFUNCTION("""COMPUTED_VALUE"""),"Physical")</f>
        <v>Physical</v>
      </c>
      <c r="I353" s="49" t="str">
        <f>IFERROR(__xludf.DUMMYFUNCTION("""COMPUTED_VALUE"""),"Mob")</f>
        <v>Mob</v>
      </c>
      <c r="J353" s="49" t="b">
        <f>IFERROR(__xludf.DUMMYFUNCTION("""COMPUTED_VALUE"""),TRUE)</f>
        <v>1</v>
      </c>
      <c r="K353" s="49"/>
      <c r="L353" s="49" t="b">
        <f>IFERROR(__xludf.DUMMYFUNCTION("""COMPUTED_VALUE"""),FALSE)</f>
        <v>0</v>
      </c>
      <c r="M353" s="49" t="b">
        <f>IFERROR(__xludf.DUMMYFUNCTION("""COMPUTED_VALUE"""),FALSE)</f>
        <v>0</v>
      </c>
      <c r="N353" s="49"/>
    </row>
    <row r="354">
      <c r="A354" s="49" t="str">
        <f>IFERROR(__xludf.DUMMYFUNCTION("""COMPUTED_VALUE"""),"Take")</f>
        <v>Take</v>
      </c>
      <c r="B354" s="126">
        <f>IFERROR(__xludf.DUMMYFUNCTION("""COMPUTED_VALUE"""),1.0)</f>
        <v>1</v>
      </c>
      <c r="C354" s="49">
        <f>IFERROR(__xludf.DUMMYFUNCTION("""COMPUTED_VALUE"""),0.0)</f>
        <v>0</v>
      </c>
      <c r="D354" s="49"/>
      <c r="E354" s="49"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49" t="str">
        <f>IFERROR(__xludf.DUMMYFUNCTION("""COMPUTED_VALUE"""),"Natural/Fail or Succeed")</f>
        <v>Natural/Fail or Succeed</v>
      </c>
      <c r="G354" s="49">
        <f>IFERROR(__xludf.DUMMYFUNCTION("""COMPUTED_VALUE"""),1.0)</f>
        <v>1</v>
      </c>
      <c r="H354" s="49" t="str">
        <f>IFERROR(__xludf.DUMMYFUNCTION("""COMPUTED_VALUE"""),"Physical")</f>
        <v>Physical</v>
      </c>
      <c r="I354" s="49" t="str">
        <f>IFERROR(__xludf.DUMMYFUNCTION("""COMPUTED_VALUE"""),"Player")</f>
        <v>Player</v>
      </c>
      <c r="J354" s="49" t="b">
        <f>IFERROR(__xludf.DUMMYFUNCTION("""COMPUTED_VALUE"""),FALSE)</f>
        <v>0</v>
      </c>
      <c r="K354" s="49"/>
      <c r="L354" s="49" t="b">
        <f>IFERROR(__xludf.DUMMYFUNCTION("""COMPUTED_VALUE"""),FALSE)</f>
        <v>0</v>
      </c>
      <c r="M354" s="49" t="b">
        <f>IFERROR(__xludf.DUMMYFUNCTION("""COMPUTED_VALUE"""),TRUE)</f>
        <v>1</v>
      </c>
      <c r="N354" s="49"/>
    </row>
    <row r="355">
      <c r="A355" s="49" t="str">
        <f>IFERROR(__xludf.DUMMYFUNCTION("""COMPUTED_VALUE"""),"Tentacle Wack ")</f>
        <v>Tentacle Wack </v>
      </c>
      <c r="B355" s="126">
        <f>IFERROR(__xludf.DUMMYFUNCTION("""COMPUTED_VALUE"""),1.0)</f>
        <v>1</v>
      </c>
      <c r="C355" s="125">
        <f>IFERROR(__xludf.DUMMYFUNCTION("""COMPUTED_VALUE"""),0.0)</f>
        <v>0</v>
      </c>
      <c r="D355" s="49"/>
      <c r="E355" s="49" t="str">
        <f>IFERROR(__xludf.DUMMYFUNCTION("""COMPUTED_VALUE"""),"The damage of this attack is equal to the users attack bonus.")</f>
        <v>The damage of this attack is equal to the users attack bonus.</v>
      </c>
      <c r="F355" s="49" t="str">
        <f>IFERROR(__xludf.DUMMYFUNCTION("""COMPUTED_VALUE"""),"Hit/Miss")</f>
        <v>Hit/Miss</v>
      </c>
      <c r="G355" s="49">
        <f>IFERROR(__xludf.DUMMYFUNCTION("""COMPUTED_VALUE"""),2.0)</f>
        <v>2</v>
      </c>
      <c r="H355" s="49" t="str">
        <f>IFERROR(__xludf.DUMMYFUNCTION("""COMPUTED_VALUE"""),"Physical")</f>
        <v>Physical</v>
      </c>
      <c r="I355" s="49" t="str">
        <f>IFERROR(__xludf.DUMMYFUNCTION("""COMPUTED_VALUE"""),"Mob")</f>
        <v>Mob</v>
      </c>
      <c r="J355" s="49" t="b">
        <f>IFERROR(__xludf.DUMMYFUNCTION("""COMPUTED_VALUE"""),TRUE)</f>
        <v>1</v>
      </c>
      <c r="K355" s="49"/>
      <c r="L355" s="49" t="b">
        <f>IFERROR(__xludf.DUMMYFUNCTION("""COMPUTED_VALUE"""),FALSE)</f>
        <v>0</v>
      </c>
      <c r="M355" s="49" t="b">
        <f>IFERROR(__xludf.DUMMYFUNCTION("""COMPUTED_VALUE"""),FALSE)</f>
        <v>0</v>
      </c>
      <c r="N355" s="49"/>
    </row>
    <row r="356">
      <c r="A356" s="49" t="str">
        <f>IFERROR(__xludf.DUMMYFUNCTION("""COMPUTED_VALUE"""),"Tower Of Balance I")</f>
        <v>Tower Of Balance I</v>
      </c>
      <c r="B356" s="126">
        <f>IFERROR(__xludf.DUMMYFUNCTION("""COMPUTED_VALUE"""),8.0)</f>
        <v>8</v>
      </c>
      <c r="C356" s="49">
        <f>IFERROR(__xludf.DUMMYFUNCTION("""COMPUTED_VALUE"""),200.0)</f>
        <v>200</v>
      </c>
      <c r="D356" s="49"/>
      <c r="E356" s="49"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49" t="str">
        <f>IFERROR(__xludf.DUMMYFUNCTION("""COMPUTED_VALUE"""),"Fail/Succeed")</f>
        <v>Fail/Succeed</v>
      </c>
      <c r="G356" s="49"/>
      <c r="H356" s="49" t="str">
        <f>IFERROR(__xludf.DUMMYFUNCTION("""COMPUTED_VALUE"""),"Physical")</f>
        <v>Physical</v>
      </c>
      <c r="I356" s="49" t="str">
        <f>IFERROR(__xludf.DUMMYFUNCTION("""COMPUTED_VALUE"""),"Player")</f>
        <v>Player</v>
      </c>
      <c r="J356" s="49" t="b">
        <f>IFERROR(__xludf.DUMMYFUNCTION("""COMPUTED_VALUE"""),FALSE)</f>
        <v>0</v>
      </c>
      <c r="K356" s="49"/>
      <c r="L356" s="49" t="b">
        <f>IFERROR(__xludf.DUMMYFUNCTION("""COMPUTED_VALUE"""),FALSE)</f>
        <v>0</v>
      </c>
      <c r="M356" s="49" t="b">
        <f>IFERROR(__xludf.DUMMYFUNCTION("""COMPUTED_VALUE"""),TRUE)</f>
        <v>1</v>
      </c>
      <c r="N356" s="49"/>
    </row>
    <row r="357">
      <c r="A357" s="49" t="str">
        <f>IFERROR(__xludf.DUMMYFUNCTION("""COMPUTED_VALUE"""),"Werewolf Bite")</f>
        <v>Werewolf Bite</v>
      </c>
      <c r="B357" s="126">
        <f>IFERROR(__xludf.DUMMYFUNCTION("""COMPUTED_VALUE"""),1.0)</f>
        <v>1</v>
      </c>
      <c r="C357" s="125">
        <f>IFERROR(__xludf.DUMMYFUNCTION("""COMPUTED_VALUE"""),0.0)</f>
        <v>0</v>
      </c>
      <c r="D357" s="49"/>
      <c r="E357" s="49" t="str">
        <f>IFERROR(__xludf.DUMMYFUNCTION("""COMPUTED_VALUE"""),"1000 damage, 50% chance to turn the bit player into a werewolf.")</f>
        <v>1000 damage, 50% chance to turn the bit player into a werewolf.</v>
      </c>
      <c r="F357" s="49" t="str">
        <f>IFERROR(__xludf.DUMMYFUNCTION("""COMPUTED_VALUE"""),"Hit/Miss")</f>
        <v>Hit/Miss</v>
      </c>
      <c r="G357" s="49">
        <f>IFERROR(__xludf.DUMMYFUNCTION("""COMPUTED_VALUE"""),1.0)</f>
        <v>1</v>
      </c>
      <c r="H357" s="49" t="str">
        <f>IFERROR(__xludf.DUMMYFUNCTION("""COMPUTED_VALUE"""),"Physical")</f>
        <v>Physical</v>
      </c>
      <c r="I357" s="49" t="str">
        <f>IFERROR(__xludf.DUMMYFUNCTION("""COMPUTED_VALUE"""),"Mob")</f>
        <v>Mob</v>
      </c>
      <c r="J357" s="49" t="b">
        <f>IFERROR(__xludf.DUMMYFUNCTION("""COMPUTED_VALUE"""),TRUE)</f>
        <v>1</v>
      </c>
      <c r="K357" s="49"/>
      <c r="L357" s="49" t="b">
        <f>IFERROR(__xludf.DUMMYFUNCTION("""COMPUTED_VALUE"""),FALSE)</f>
        <v>0</v>
      </c>
      <c r="M357" s="49" t="b">
        <f>IFERROR(__xludf.DUMMYFUNCTION("""COMPUTED_VALUE"""),FALSE)</f>
        <v>0</v>
      </c>
      <c r="N357" s="49"/>
    </row>
    <row r="358">
      <c r="A358" s="49" t="str">
        <f>IFERROR(__xludf.DUMMYFUNCTION("""COMPUTED_VALUE"""),"Reckless Chomp ")</f>
        <v>Reckless Chomp </v>
      </c>
      <c r="B358" s="126">
        <f>IFERROR(__xludf.DUMMYFUNCTION("""COMPUTED_VALUE"""),1.0)</f>
        <v>1</v>
      </c>
      <c r="C358" s="125">
        <f>IFERROR(__xludf.DUMMYFUNCTION("""COMPUTED_VALUE"""),0.0)</f>
        <v>0</v>
      </c>
      <c r="D358" s="49"/>
      <c r="E358" s="49" t="str">
        <f>IFERROR(__xludf.DUMMYFUNCTION("""COMPUTED_VALUE"""),"10,000 damage to all enemies, 50% chance to deal another 20,000 to all enemies.")</f>
        <v>10,000 damage to all enemies, 50% chance to deal another 20,000 to all enemies.</v>
      </c>
      <c r="F358" s="49" t="str">
        <f>IFERROR(__xludf.DUMMYFUNCTION("""COMPUTED_VALUE"""),"Natural/Cannot Avoid")</f>
        <v>Natural/Cannot Avoid</v>
      </c>
      <c r="G358" s="49" t="str">
        <f>IFERROR(__xludf.DUMMYFUNCTION("""COMPUTED_VALUE"""),"All")</f>
        <v>All</v>
      </c>
      <c r="H358" s="49" t="str">
        <f>IFERROR(__xludf.DUMMYFUNCTION("""COMPUTED_VALUE"""),"Physical")</f>
        <v>Physical</v>
      </c>
      <c r="I358" s="49" t="str">
        <f>IFERROR(__xludf.DUMMYFUNCTION("""COMPUTED_VALUE"""),"Mob")</f>
        <v>Mob</v>
      </c>
      <c r="J358" s="49" t="b">
        <f>IFERROR(__xludf.DUMMYFUNCTION("""COMPUTED_VALUE"""),TRUE)</f>
        <v>1</v>
      </c>
      <c r="K358" s="49"/>
      <c r="L358" s="49" t="b">
        <f>IFERROR(__xludf.DUMMYFUNCTION("""COMPUTED_VALUE"""),FALSE)</f>
        <v>0</v>
      </c>
      <c r="M358" s="49" t="b">
        <f>IFERROR(__xludf.DUMMYFUNCTION("""COMPUTED_VALUE"""),FALSE)</f>
        <v>0</v>
      </c>
      <c r="N358" s="49"/>
    </row>
    <row r="359">
      <c r="A359" s="49" t="str">
        <f>IFERROR(__xludf.DUMMYFUNCTION("""COMPUTED_VALUE"""),"Guard Call (Mob)")</f>
        <v>Guard Call (Mob)</v>
      </c>
      <c r="B359" s="126">
        <f>IFERROR(__xludf.DUMMYFUNCTION("""COMPUTED_VALUE"""),1.0)</f>
        <v>1</v>
      </c>
      <c r="C359" s="49">
        <f>IFERROR(__xludf.DUMMYFUNCTION("""COMPUTED_VALUE"""),0.0)</f>
        <v>0</v>
      </c>
      <c r="D359" s="49"/>
      <c r="E359" s="49" t="str">
        <f>IFERROR(__xludf.DUMMYFUNCTION("""COMPUTED_VALUE"""),"Call a d4 of guards to battle. Roll a d3 for the type of guard.")</f>
        <v>Call a d4 of guards to battle. Roll a d3 for the type of guard.</v>
      </c>
      <c r="F359" s="49" t="str">
        <f>IFERROR(__xludf.DUMMYFUNCTION("""COMPUTED_VALUE"""),"Natural/Fail or Succeed")</f>
        <v>Natural/Fail or Succeed</v>
      </c>
      <c r="G359" s="49" t="str">
        <f>IFERROR(__xludf.DUMMYFUNCTION("""COMPUTED_VALUE"""),"Self")</f>
        <v>Self</v>
      </c>
      <c r="H359" s="49" t="str">
        <f>IFERROR(__xludf.DUMMYFUNCTION("""COMPUTED_VALUE"""),"Physical")</f>
        <v>Physical</v>
      </c>
      <c r="I359" s="49" t="str">
        <f>IFERROR(__xludf.DUMMYFUNCTION("""COMPUTED_VALUE"""),"Mob")</f>
        <v>Mob</v>
      </c>
      <c r="J359" s="49" t="b">
        <f>IFERROR(__xludf.DUMMYFUNCTION("""COMPUTED_VALUE"""),TRUE)</f>
        <v>1</v>
      </c>
      <c r="K359" s="49" t="str">
        <f>IFERROR(__xludf.DUMMYFUNCTION("""COMPUTED_VALUE"""),"Cannot be obtained by players.")</f>
        <v>Cannot be obtained by players.</v>
      </c>
      <c r="L359" s="49" t="b">
        <f>IFERROR(__xludf.DUMMYFUNCTION("""COMPUTED_VALUE"""),FALSE)</f>
        <v>0</v>
      </c>
      <c r="M359" s="49" t="b">
        <f>IFERROR(__xludf.DUMMYFUNCTION("""COMPUTED_VALUE"""),FALSE)</f>
        <v>0</v>
      </c>
      <c r="N359" s="49"/>
    </row>
    <row r="360">
      <c r="A360" s="49" t="str">
        <f>IFERROR(__xludf.DUMMYFUNCTION("""COMPUTED_VALUE"""),"Arrest II")</f>
        <v>Arrest II</v>
      </c>
      <c r="B360" s="126">
        <f>IFERROR(__xludf.DUMMYFUNCTION("""COMPUTED_VALUE"""),1.0)</f>
        <v>1</v>
      </c>
      <c r="C360" s="49">
        <f>IFERROR(__xludf.DUMMYFUNCTION("""COMPUTED_VALUE"""),0.0)</f>
        <v>0</v>
      </c>
      <c r="D360" s="49"/>
      <c r="E360" s="49"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49" t="str">
        <f>IFERROR(__xludf.DUMMYFUNCTION("""COMPUTED_VALUE"""),"Natural/Hit or Miss")</f>
        <v>Natural/Hit or Miss</v>
      </c>
      <c r="G360" s="49" t="str">
        <f>IFERROR(__xludf.DUMMYFUNCTION("""COMPUTED_VALUE"""),"1 or 2")</f>
        <v>1 or 2</v>
      </c>
      <c r="H360" s="49" t="str">
        <f>IFERROR(__xludf.DUMMYFUNCTION("""COMPUTED_VALUE"""),"Physical")</f>
        <v>Physical</v>
      </c>
      <c r="I360" s="49" t="str">
        <f>IFERROR(__xludf.DUMMYFUNCTION("""COMPUTED_VALUE"""),"Mob")</f>
        <v>Mob</v>
      </c>
      <c r="J360" s="49" t="b">
        <f>IFERROR(__xludf.DUMMYFUNCTION("""COMPUTED_VALUE"""),TRUE)</f>
        <v>1</v>
      </c>
      <c r="K360" s="49" t="str">
        <f>IFERROR(__xludf.DUMMYFUNCTION("""COMPUTED_VALUE"""),"Mob Power")</f>
        <v>Mob Power</v>
      </c>
      <c r="L360" s="49" t="b">
        <f>IFERROR(__xludf.DUMMYFUNCTION("""COMPUTED_VALUE"""),FALSE)</f>
        <v>0</v>
      </c>
      <c r="M360" s="49" t="b">
        <f>IFERROR(__xludf.DUMMYFUNCTION("""COMPUTED_VALUE"""),FALSE)</f>
        <v>0</v>
      </c>
      <c r="N360" s="49" t="str">
        <f>IFERROR(__xludf.DUMMYFUNCTION("""COMPUTED_VALUE"""),"Abstara")</f>
        <v>Abstara</v>
      </c>
    </row>
    <row r="361">
      <c r="A361" s="49" t="str">
        <f>IFERROR(__xludf.DUMMYFUNCTION("""COMPUTED_VALUE"""),"Hit and Run")</f>
        <v>Hit and Run</v>
      </c>
      <c r="B361" s="126">
        <f>IFERROR(__xludf.DUMMYFUNCTION("""COMPUTED_VALUE"""),1.0)</f>
        <v>1</v>
      </c>
      <c r="C361" s="125">
        <f>IFERROR(__xludf.DUMMYFUNCTION("""COMPUTED_VALUE"""),0.0)</f>
        <v>0</v>
      </c>
      <c r="D361" s="49"/>
      <c r="E361" s="49" t="str">
        <f>IFERROR(__xludf.DUMMYFUNCTION("""COMPUTED_VALUE"""),"Ram or drive over a target. X damage, X= Vehicles attack stat.")</f>
        <v>Ram or drive over a target. X damage, X= Vehicles attack stat.</v>
      </c>
      <c r="F361" s="49" t="str">
        <f>IFERROR(__xludf.DUMMYFUNCTION("""COMPUTED_VALUE"""),"Natural/Hit or Miss")</f>
        <v>Natural/Hit or Miss</v>
      </c>
      <c r="G361" s="49">
        <f>IFERROR(__xludf.DUMMYFUNCTION("""COMPUTED_VALUE"""),1.0)</f>
        <v>1</v>
      </c>
      <c r="H361" s="49" t="str">
        <f>IFERROR(__xludf.DUMMYFUNCTION("""COMPUTED_VALUE"""),"Physical")</f>
        <v>Physical</v>
      </c>
      <c r="I361" s="49" t="str">
        <f>IFERROR(__xludf.DUMMYFUNCTION("""COMPUTED_VALUE"""),"Mob")</f>
        <v>Mob</v>
      </c>
      <c r="J361" s="49" t="b">
        <f>IFERROR(__xludf.DUMMYFUNCTION("""COMPUTED_VALUE"""),TRUE)</f>
        <v>1</v>
      </c>
      <c r="K361" s="49" t="str">
        <f>IFERROR(__xludf.DUMMYFUNCTION("""COMPUTED_VALUE"""),"Vehicle Power")</f>
        <v>Vehicle Power</v>
      </c>
      <c r="L361" s="49" t="b">
        <f>IFERROR(__xludf.DUMMYFUNCTION("""COMPUTED_VALUE"""),FALSE)</f>
        <v>0</v>
      </c>
      <c r="M361" s="49" t="b">
        <f>IFERROR(__xludf.DUMMYFUNCTION("""COMPUTED_VALUE"""),FALSE)</f>
        <v>0</v>
      </c>
      <c r="N361" s="49"/>
    </row>
    <row r="362">
      <c r="A362" s="49" t="str">
        <f>IFERROR(__xludf.DUMMYFUNCTION("""COMPUTED_VALUE"""),"Radar")</f>
        <v>Radar</v>
      </c>
      <c r="B362" s="126">
        <f>IFERROR(__xludf.DUMMYFUNCTION("""COMPUTED_VALUE"""),1.0)</f>
        <v>1</v>
      </c>
      <c r="C362" s="125">
        <f>IFERROR(__xludf.DUMMYFUNCTION("""COMPUTED_VALUE"""),0.0)</f>
        <v>0</v>
      </c>
      <c r="D362" s="49"/>
      <c r="E362" s="49" t="str">
        <f>IFERROR(__xludf.DUMMYFUNCTION("""COMPUTED_VALUE"""),"Allows you to see hidden vehicles above the ocean or on land.")</f>
        <v>Allows you to see hidden vehicles above the ocean or on land.</v>
      </c>
      <c r="F362" s="49" t="str">
        <f>IFERROR(__xludf.DUMMYFUNCTION("""COMPUTED_VALUE"""),"Natural/Fail or Succeed")</f>
        <v>Natural/Fail or Succeed</v>
      </c>
      <c r="G362" s="49" t="str">
        <f>IFERROR(__xludf.DUMMYFUNCTION("""COMPUTED_VALUE"""),"Self")</f>
        <v>Self</v>
      </c>
      <c r="H362" s="49" t="str">
        <f>IFERROR(__xludf.DUMMYFUNCTION("""COMPUTED_VALUE"""),"Physical")</f>
        <v>Physical</v>
      </c>
      <c r="I362" s="49" t="str">
        <f>IFERROR(__xludf.DUMMYFUNCTION("""COMPUTED_VALUE"""),"Mob")</f>
        <v>Mob</v>
      </c>
      <c r="J362" s="49" t="b">
        <f>IFERROR(__xludf.DUMMYFUNCTION("""COMPUTED_VALUE"""),TRUE)</f>
        <v>1</v>
      </c>
      <c r="K362" s="49" t="str">
        <f>IFERROR(__xludf.DUMMYFUNCTION("""COMPUTED_VALUE"""),"Vehicle Power")</f>
        <v>Vehicle Power</v>
      </c>
      <c r="L362" s="49" t="b">
        <f>IFERROR(__xludf.DUMMYFUNCTION("""COMPUTED_VALUE"""),FALSE)</f>
        <v>0</v>
      </c>
      <c r="M362" s="49" t="b">
        <f>IFERROR(__xludf.DUMMYFUNCTION("""COMPUTED_VALUE"""),FALSE)</f>
        <v>0</v>
      </c>
      <c r="N362" s="49"/>
    </row>
    <row r="363">
      <c r="A363" s="49" t="str">
        <f>IFERROR(__xludf.DUMMYFUNCTION("""COMPUTED_VALUE"""),"Sonar")</f>
        <v>Sonar</v>
      </c>
      <c r="B363" s="126">
        <f>IFERROR(__xludf.DUMMYFUNCTION("""COMPUTED_VALUE"""),1.0)</f>
        <v>1</v>
      </c>
      <c r="C363" s="125">
        <f>IFERROR(__xludf.DUMMYFUNCTION("""COMPUTED_VALUE"""),0.0)</f>
        <v>0</v>
      </c>
      <c r="D363" s="49"/>
      <c r="E363" s="49"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49" t="str">
        <f>IFERROR(__xludf.DUMMYFUNCTION("""COMPUTED_VALUE"""),"Natural/Fail or Succeed")</f>
        <v>Natural/Fail or Succeed</v>
      </c>
      <c r="G363" s="49" t="str">
        <f>IFERROR(__xludf.DUMMYFUNCTION("""COMPUTED_VALUE"""),"Self")</f>
        <v>Self</v>
      </c>
      <c r="H363" s="49" t="str">
        <f>IFERROR(__xludf.DUMMYFUNCTION("""COMPUTED_VALUE"""),"Physical")</f>
        <v>Physical</v>
      </c>
      <c r="I363" s="49" t="str">
        <f>IFERROR(__xludf.DUMMYFUNCTION("""COMPUTED_VALUE"""),"Mob")</f>
        <v>Mob</v>
      </c>
      <c r="J363" s="49" t="b">
        <f>IFERROR(__xludf.DUMMYFUNCTION("""COMPUTED_VALUE"""),TRUE)</f>
        <v>1</v>
      </c>
      <c r="K363" s="49" t="str">
        <f>IFERROR(__xludf.DUMMYFUNCTION("""COMPUTED_VALUE"""),"Vehicle Power")</f>
        <v>Vehicle Power</v>
      </c>
      <c r="L363" s="49" t="b">
        <f>IFERROR(__xludf.DUMMYFUNCTION("""COMPUTED_VALUE"""),FALSE)</f>
        <v>0</v>
      </c>
      <c r="M363" s="49" t="b">
        <f>IFERROR(__xludf.DUMMYFUNCTION("""COMPUTED_VALUE"""),FALSE)</f>
        <v>0</v>
      </c>
      <c r="N363" s="49"/>
    </row>
    <row r="364">
      <c r="A364" s="49" t="str">
        <f>IFERROR(__xludf.DUMMYFUNCTION("""COMPUTED_VALUE"""),"Vehicular Cloak")</f>
        <v>Vehicular Cloak</v>
      </c>
      <c r="B364" s="126">
        <f>IFERROR(__xludf.DUMMYFUNCTION("""COMPUTED_VALUE"""),9.0)</f>
        <v>9</v>
      </c>
      <c r="C364" s="125">
        <f>IFERROR(__xludf.DUMMYFUNCTION("""COMPUTED_VALUE"""),10000.0)</f>
        <v>10000</v>
      </c>
      <c r="D364" s="49"/>
      <c r="E364" s="49" t="str">
        <f>IFERROR(__xludf.DUMMYFUNCTION("""COMPUTED_VALUE"""),"Invisible from other vehicles, players, and mobs not in the vehicle.")</f>
        <v>Invisible from other vehicles, players, and mobs not in the vehicle.</v>
      </c>
      <c r="F364" s="49" t="str">
        <f>IFERROR(__xludf.DUMMYFUNCTION("""COMPUTED_VALUE"""),"Natural/Fail or Succeed")</f>
        <v>Natural/Fail or Succeed</v>
      </c>
      <c r="G364" s="49" t="str">
        <f>IFERROR(__xludf.DUMMYFUNCTION("""COMPUTED_VALUE"""),"Self")</f>
        <v>Self</v>
      </c>
      <c r="H364" s="49" t="str">
        <f>IFERROR(__xludf.DUMMYFUNCTION("""COMPUTED_VALUE"""),"Physical")</f>
        <v>Physical</v>
      </c>
      <c r="I364" s="49" t="str">
        <f>IFERROR(__xludf.DUMMYFUNCTION("""COMPUTED_VALUE"""),"Mob")</f>
        <v>Mob</v>
      </c>
      <c r="J364" s="49" t="b">
        <f>IFERROR(__xludf.DUMMYFUNCTION("""COMPUTED_VALUE"""),TRUE)</f>
        <v>1</v>
      </c>
      <c r="K364" s="49" t="str">
        <f>IFERROR(__xludf.DUMMYFUNCTION("""COMPUTED_VALUE"""),"Vehicle Power")</f>
        <v>Vehicle Power</v>
      </c>
      <c r="L364" s="49" t="b">
        <f>IFERROR(__xludf.DUMMYFUNCTION("""COMPUTED_VALUE"""),FALSE)</f>
        <v>0</v>
      </c>
      <c r="M364" s="49" t="b">
        <f>IFERROR(__xludf.DUMMYFUNCTION("""COMPUTED_VALUE"""),FALSE)</f>
        <v>0</v>
      </c>
      <c r="N364" s="49"/>
    </row>
    <row r="365">
      <c r="A365" s="49" t="str">
        <f>IFERROR(__xludf.DUMMYFUNCTION("""COMPUTED_VALUE"""),"Vehicular Ward")</f>
        <v>Vehicular Ward</v>
      </c>
      <c r="B365" s="126">
        <f>IFERROR(__xludf.DUMMYFUNCTION("""COMPUTED_VALUE"""),9.0)</f>
        <v>9</v>
      </c>
      <c r="C365" s="125">
        <f>IFERROR(__xludf.DUMMYFUNCTION("""COMPUTED_VALUE"""),10000.0)</f>
        <v>10000</v>
      </c>
      <c r="D365" s="49"/>
      <c r="E365" s="49"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49" t="str">
        <f>IFERROR(__xludf.DUMMYFUNCTION("""COMPUTED_VALUE"""),"Natural/Fail or Succeed")</f>
        <v>Natural/Fail or Succeed</v>
      </c>
      <c r="G365" s="49" t="str">
        <f>IFERROR(__xludf.DUMMYFUNCTION("""COMPUTED_VALUE"""),"Self")</f>
        <v>Self</v>
      </c>
      <c r="H365" s="49" t="str">
        <f>IFERROR(__xludf.DUMMYFUNCTION("""COMPUTED_VALUE"""),"Physical")</f>
        <v>Physical</v>
      </c>
      <c r="I365" s="49" t="str">
        <f>IFERROR(__xludf.DUMMYFUNCTION("""COMPUTED_VALUE"""),"Mob")</f>
        <v>Mob</v>
      </c>
      <c r="J365" s="49" t="b">
        <f>IFERROR(__xludf.DUMMYFUNCTION("""COMPUTED_VALUE"""),TRUE)</f>
        <v>1</v>
      </c>
      <c r="K365" s="49" t="str">
        <f>IFERROR(__xludf.DUMMYFUNCTION("""COMPUTED_VALUE"""),"Vehicle Power")</f>
        <v>Vehicle Power</v>
      </c>
      <c r="L365" s="49" t="b">
        <f>IFERROR(__xludf.DUMMYFUNCTION("""COMPUTED_VALUE"""),FALSE)</f>
        <v>0</v>
      </c>
      <c r="M365" s="49" t="b">
        <f>IFERROR(__xludf.DUMMYFUNCTION("""COMPUTED_VALUE"""),FALSE)</f>
        <v>0</v>
      </c>
      <c r="N365" s="49"/>
    </row>
    <row r="366">
      <c r="A366" s="49" t="str">
        <f>IFERROR(__xludf.DUMMYFUNCTION("""COMPUTED_VALUE"""),"Dragon's Breath")</f>
        <v>Dragon's Breath</v>
      </c>
      <c r="B366" s="126">
        <f>IFERROR(__xludf.DUMMYFUNCTION("""COMPUTED_VALUE"""),1.0)</f>
        <v>1</v>
      </c>
      <c r="C366" s="49">
        <f>IFERROR(__xludf.DUMMYFUNCTION("""COMPUTED_VALUE"""),0.0)</f>
        <v>0</v>
      </c>
      <c r="D366" s="49"/>
      <c r="E366" s="49"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49" t="str">
        <f>IFERROR(__xludf.DUMMYFUNCTION("""COMPUTED_VALUE"""),"Natural/Cannot Avoid")</f>
        <v>Natural/Cannot Avoid</v>
      </c>
      <c r="G366" s="49" t="str">
        <f>IFERROR(__xludf.DUMMYFUNCTION("""COMPUTED_VALUE"""),"All")</f>
        <v>All</v>
      </c>
      <c r="H366" s="49" t="str">
        <f>IFERROR(__xludf.DUMMYFUNCTION("""COMPUTED_VALUE"""),"Physical")</f>
        <v>Physical</v>
      </c>
      <c r="I366" s="49" t="str">
        <f>IFERROR(__xludf.DUMMYFUNCTION("""COMPUTED_VALUE"""),"Mob")</f>
        <v>Mob</v>
      </c>
      <c r="J366" s="49" t="b">
        <f>IFERROR(__xludf.DUMMYFUNCTION("""COMPUTED_VALUE"""),TRUE)</f>
        <v>1</v>
      </c>
      <c r="K366" s="49" t="str">
        <f>IFERROR(__xludf.DUMMYFUNCTION("""COMPUTED_VALUE"""),"mob power")</f>
        <v>mob power</v>
      </c>
      <c r="L366" s="49" t="b">
        <f>IFERROR(__xludf.DUMMYFUNCTION("""COMPUTED_VALUE"""),FALSE)</f>
        <v>0</v>
      </c>
      <c r="M366" s="49" t="b">
        <f>IFERROR(__xludf.DUMMYFUNCTION("""COMPUTED_VALUE"""),FALSE)</f>
        <v>0</v>
      </c>
      <c r="N366" s="49"/>
    </row>
    <row r="367">
      <c r="A367" s="49" t="str">
        <f>IFERROR(__xludf.DUMMYFUNCTION("""COMPUTED_VALUE"""),"Tackle")</f>
        <v>Tackle</v>
      </c>
      <c r="B367" s="126">
        <f>IFERROR(__xludf.DUMMYFUNCTION("""COMPUTED_VALUE"""),1.0)</f>
        <v>1</v>
      </c>
      <c r="C367" s="49">
        <f>IFERROR(__xludf.DUMMYFUNCTION("""COMPUTED_VALUE"""),0.0)</f>
        <v>0</v>
      </c>
      <c r="D367" s="49"/>
      <c r="E367" s="49" t="str">
        <f>IFERROR(__xludf.DUMMYFUNCTION("""COMPUTED_VALUE"""),"Stuns yourself and a single target for 1d4 rounds")</f>
        <v>Stuns yourself and a single target for 1d4 rounds</v>
      </c>
      <c r="F367" s="49" t="str">
        <f>IFERROR(__xludf.DUMMYFUNCTION("""COMPUTED_VALUE"""),"Natural/Hit or Miss")</f>
        <v>Natural/Hit or Miss</v>
      </c>
      <c r="G367" s="49">
        <f>IFERROR(__xludf.DUMMYFUNCTION("""COMPUTED_VALUE"""),1.0)</f>
        <v>1</v>
      </c>
      <c r="H367" s="49" t="str">
        <f>IFERROR(__xludf.DUMMYFUNCTION("""COMPUTED_VALUE"""),"Physical")</f>
        <v>Physical</v>
      </c>
      <c r="I367" s="49" t="str">
        <f>IFERROR(__xludf.DUMMYFUNCTION("""COMPUTED_VALUE"""),"Mob")</f>
        <v>Mob</v>
      </c>
      <c r="J367" s="49" t="b">
        <f>IFERROR(__xludf.DUMMYFUNCTION("""COMPUTED_VALUE"""),TRUE)</f>
        <v>1</v>
      </c>
      <c r="K367" s="49" t="str">
        <f>IFERROR(__xludf.DUMMYFUNCTION("""COMPUTED_VALUE"""),"mob power")</f>
        <v>mob power</v>
      </c>
      <c r="L367" s="49" t="b">
        <f>IFERROR(__xludf.DUMMYFUNCTION("""COMPUTED_VALUE"""),FALSE)</f>
        <v>0</v>
      </c>
      <c r="M367" s="49" t="b">
        <f>IFERROR(__xludf.DUMMYFUNCTION("""COMPUTED_VALUE"""),FALSE)</f>
        <v>0</v>
      </c>
      <c r="N367" s="49"/>
    </row>
    <row r="368">
      <c r="A368" s="49" t="str">
        <f>IFERROR(__xludf.DUMMYFUNCTION("""COMPUTED_VALUE"""),"Guard")</f>
        <v>Guard</v>
      </c>
      <c r="B368" s="126">
        <f>IFERROR(__xludf.DUMMYFUNCTION("""COMPUTED_VALUE"""),1.0)</f>
        <v>1</v>
      </c>
      <c r="C368" s="49">
        <f>IFERROR(__xludf.DUMMYFUNCTION("""COMPUTED_VALUE"""),0.0)</f>
        <v>0</v>
      </c>
      <c r="D368" s="49"/>
      <c r="E368" s="49" t="str">
        <f>IFERROR(__xludf.DUMMYFUNCTION("""COMPUTED_VALUE"""),"X2 defense for the user only.")</f>
        <v>X2 defense for the user only.</v>
      </c>
      <c r="F368" s="49" t="str">
        <f>IFERROR(__xludf.DUMMYFUNCTION("""COMPUTED_VALUE"""),"Natural/Fail or Succeed")</f>
        <v>Natural/Fail or Succeed</v>
      </c>
      <c r="G368" s="49" t="str">
        <f>IFERROR(__xludf.DUMMYFUNCTION("""COMPUTED_VALUE"""),"Self")</f>
        <v>Self</v>
      </c>
      <c r="H368" s="49" t="str">
        <f>IFERROR(__xludf.DUMMYFUNCTION("""COMPUTED_VALUE"""),"Physical")</f>
        <v>Physical</v>
      </c>
      <c r="I368" s="49" t="str">
        <f>IFERROR(__xludf.DUMMYFUNCTION("""COMPUTED_VALUE"""),"Player")</f>
        <v>Player</v>
      </c>
      <c r="J368" s="49" t="b">
        <f>IFERROR(__xludf.DUMMYFUNCTION("""COMPUTED_VALUE"""),FALSE)</f>
        <v>0</v>
      </c>
      <c r="K368" s="49"/>
      <c r="L368" s="49" t="b">
        <f>IFERROR(__xludf.DUMMYFUNCTION("""COMPUTED_VALUE"""),FALSE)</f>
        <v>0</v>
      </c>
      <c r="M368" s="49" t="b">
        <f>IFERROR(__xludf.DUMMYFUNCTION("""COMPUTED_VALUE"""),FALSE)</f>
        <v>0</v>
      </c>
      <c r="N368" s="49"/>
    </row>
    <row r="369">
      <c r="A369" s="49" t="str">
        <f>IFERROR(__xludf.DUMMYFUNCTION("""COMPUTED_VALUE"""),"Aggresive Tear")</f>
        <v>Aggresive Tear</v>
      </c>
      <c r="B369" s="126">
        <f>IFERROR(__xludf.DUMMYFUNCTION("""COMPUTED_VALUE"""),1.0)</f>
        <v>1</v>
      </c>
      <c r="C369" s="49">
        <f>IFERROR(__xludf.DUMMYFUNCTION("""COMPUTED_VALUE"""),0.0)</f>
        <v>0</v>
      </c>
      <c r="D369" s="49"/>
      <c r="E369" s="49" t="str">
        <f>IFERROR(__xludf.DUMMYFUNCTION("""COMPUTED_VALUE"""),"15% chance to lower a targets defense by half")</f>
        <v>15% chance to lower a targets defense by half</v>
      </c>
      <c r="F369" s="49" t="str">
        <f>IFERROR(__xludf.DUMMYFUNCTION("""COMPUTED_VALUE"""),"Natural/Fail or Succeed")</f>
        <v>Natural/Fail or Succeed</v>
      </c>
      <c r="G369" s="49">
        <f>IFERROR(__xludf.DUMMYFUNCTION("""COMPUTED_VALUE"""),1.0)</f>
        <v>1</v>
      </c>
      <c r="H369" s="49" t="str">
        <f>IFERROR(__xludf.DUMMYFUNCTION("""COMPUTED_VALUE"""),"Physical")</f>
        <v>Physical</v>
      </c>
      <c r="I369" s="49" t="str">
        <f>IFERROR(__xludf.DUMMYFUNCTION("""COMPUTED_VALUE"""),"Player")</f>
        <v>Player</v>
      </c>
      <c r="J369" s="49" t="b">
        <f>IFERROR(__xludf.DUMMYFUNCTION("""COMPUTED_VALUE"""),TRUE)</f>
        <v>1</v>
      </c>
      <c r="K369" s="49" t="str">
        <f>IFERROR(__xludf.DUMMYFUNCTION("""COMPUTED_VALUE"""),"mob power")</f>
        <v>mob power</v>
      </c>
      <c r="L369" s="49" t="b">
        <f>IFERROR(__xludf.DUMMYFUNCTION("""COMPUTED_VALUE"""),FALSE)</f>
        <v>0</v>
      </c>
      <c r="M369" s="49" t="b">
        <f>IFERROR(__xludf.DUMMYFUNCTION("""COMPUTED_VALUE"""),FALSE)</f>
        <v>0</v>
      </c>
      <c r="N369" s="49"/>
    </row>
    <row r="370">
      <c r="A370" s="49" t="str">
        <f>IFERROR(__xludf.DUMMYFUNCTION("""COMPUTED_VALUE"""),"Taunt (Mob)")</f>
        <v>Taunt (Mob)</v>
      </c>
      <c r="B370" s="126">
        <f>IFERROR(__xludf.DUMMYFUNCTION("""COMPUTED_VALUE"""),1.0)</f>
        <v>1</v>
      </c>
      <c r="C370" s="49">
        <f>IFERROR(__xludf.DUMMYFUNCTION("""COMPUTED_VALUE"""),0.0)</f>
        <v>0</v>
      </c>
      <c r="D370" s="49"/>
      <c r="E370" s="49"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49" t="str">
        <f>IFERROR(__xludf.DUMMYFUNCTION("""COMPUTED_VALUE"""),"Natural/Fail or Succeed")</f>
        <v>Natural/Fail or Succeed</v>
      </c>
      <c r="G370" s="49" t="str">
        <f>IFERROR(__xludf.DUMMYFUNCTION("""COMPUTED_VALUE"""),"All")</f>
        <v>All</v>
      </c>
      <c r="H370" s="49" t="str">
        <f>IFERROR(__xludf.DUMMYFUNCTION("""COMPUTED_VALUE"""),"Physical")</f>
        <v>Physical</v>
      </c>
      <c r="I370" s="49" t="str">
        <f>IFERROR(__xludf.DUMMYFUNCTION("""COMPUTED_VALUE"""),"Mob")</f>
        <v>Mob</v>
      </c>
      <c r="J370" s="49" t="b">
        <f>IFERROR(__xludf.DUMMYFUNCTION("""COMPUTED_VALUE"""),TRUE)</f>
        <v>1</v>
      </c>
      <c r="K370" s="49"/>
      <c r="L370" s="49" t="b">
        <f>IFERROR(__xludf.DUMMYFUNCTION("""COMPUTED_VALUE"""),FALSE)</f>
        <v>0</v>
      </c>
      <c r="M370" s="49" t="b">
        <f>IFERROR(__xludf.DUMMYFUNCTION("""COMPUTED_VALUE"""),FALSE)</f>
        <v>0</v>
      </c>
      <c r="N370" s="49"/>
    </row>
    <row r="371">
      <c r="A371" s="49" t="str">
        <f>IFERROR(__xludf.DUMMYFUNCTION("""COMPUTED_VALUE"""),"Distracting Blow")</f>
        <v>Distracting Blow</v>
      </c>
      <c r="B371" s="126">
        <f>IFERROR(__xludf.DUMMYFUNCTION("""COMPUTED_VALUE"""),1.0)</f>
        <v>1</v>
      </c>
      <c r="C371" s="49">
        <f>IFERROR(__xludf.DUMMYFUNCTION("""COMPUTED_VALUE"""),0.0)</f>
        <v>0</v>
      </c>
      <c r="D371" s="49"/>
      <c r="E371" s="49"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49" t="str">
        <f>IFERROR(__xludf.DUMMYFUNCTION("""COMPUTED_VALUE"""),"Natural/Hit or Miss")</f>
        <v>Natural/Hit or Miss</v>
      </c>
      <c r="G371" s="49">
        <f>IFERROR(__xludf.DUMMYFUNCTION("""COMPUTED_VALUE"""),1.0)</f>
        <v>1</v>
      </c>
      <c r="H371" s="49" t="str">
        <f>IFERROR(__xludf.DUMMYFUNCTION("""COMPUTED_VALUE"""),"Physical")</f>
        <v>Physical</v>
      </c>
      <c r="I371" s="49" t="str">
        <f>IFERROR(__xludf.DUMMYFUNCTION("""COMPUTED_VALUE"""),"Mob")</f>
        <v>Mob</v>
      </c>
      <c r="J371" s="49" t="b">
        <f>IFERROR(__xludf.DUMMYFUNCTION("""COMPUTED_VALUE"""),TRUE)</f>
        <v>1</v>
      </c>
      <c r="K371" s="49" t="str">
        <f>IFERROR(__xludf.DUMMYFUNCTION("""COMPUTED_VALUE"""),"mob power")</f>
        <v>mob power</v>
      </c>
      <c r="L371" s="49" t="b">
        <f>IFERROR(__xludf.DUMMYFUNCTION("""COMPUTED_VALUE"""),TRUE)</f>
        <v>1</v>
      </c>
      <c r="M371" s="49" t="b">
        <f>IFERROR(__xludf.DUMMYFUNCTION("""COMPUTED_VALUE"""),TRUE)</f>
        <v>1</v>
      </c>
      <c r="N371" s="49"/>
    </row>
    <row r="372">
      <c r="A372" s="49" t="str">
        <f>IFERROR(__xludf.DUMMYFUNCTION("""COMPUTED_VALUE"""),"Gore")</f>
        <v>Gore</v>
      </c>
      <c r="B372" s="126">
        <f>IFERROR(__xludf.DUMMYFUNCTION("""COMPUTED_VALUE"""),1.0)</f>
        <v>1</v>
      </c>
      <c r="C372" s="49">
        <f>IFERROR(__xludf.DUMMYFUNCTION("""COMPUTED_VALUE"""),0.0)</f>
        <v>0</v>
      </c>
      <c r="D372" s="49"/>
      <c r="E372" s="49" t="str">
        <f>IFERROR(__xludf.DUMMYFUNCTION("""COMPUTED_VALUE"""),"Deal X4 your attack bonus as damage to each enemy, 25% chance to use this action again in the same turn.")</f>
        <v>Deal X4 your attack bonus as damage to each enemy, 25% chance to use this action again in the same turn.</v>
      </c>
      <c r="F372" s="49" t="str">
        <f>IFERROR(__xludf.DUMMYFUNCTION("""COMPUTED_VALUE"""),"Natural/Cannot Avoid")</f>
        <v>Natural/Cannot Avoid</v>
      </c>
      <c r="G372" s="49" t="str">
        <f>IFERROR(__xludf.DUMMYFUNCTION("""COMPUTED_VALUE"""),"All")</f>
        <v>All</v>
      </c>
      <c r="H372" s="49" t="str">
        <f>IFERROR(__xludf.DUMMYFUNCTION("""COMPUTED_VALUE"""),"Physical")</f>
        <v>Physical</v>
      </c>
      <c r="I372" s="49" t="str">
        <f>IFERROR(__xludf.DUMMYFUNCTION("""COMPUTED_VALUE"""),"Mob")</f>
        <v>Mob</v>
      </c>
      <c r="J372" s="49" t="b">
        <f>IFERROR(__xludf.DUMMYFUNCTION("""COMPUTED_VALUE"""),TRUE)</f>
        <v>1</v>
      </c>
      <c r="K372" s="49" t="str">
        <f>IFERROR(__xludf.DUMMYFUNCTION("""COMPUTED_VALUE"""),"mob power")</f>
        <v>mob power</v>
      </c>
      <c r="L372" s="49" t="b">
        <f>IFERROR(__xludf.DUMMYFUNCTION("""COMPUTED_VALUE"""),FALSE)</f>
        <v>0</v>
      </c>
      <c r="M372" s="49" t="b">
        <f>IFERROR(__xludf.DUMMYFUNCTION("""COMPUTED_VALUE"""),FALSE)</f>
        <v>0</v>
      </c>
      <c r="N372" s="49"/>
    </row>
    <row r="373">
      <c r="A373" s="49" t="str">
        <f>IFERROR(__xludf.DUMMYFUNCTION("""COMPUTED_VALUE"""),"Parry")</f>
        <v>Parry</v>
      </c>
      <c r="B373" s="126">
        <f>IFERROR(__xludf.DUMMYFUNCTION("""COMPUTED_VALUE"""),1.0)</f>
        <v>1</v>
      </c>
      <c r="C373" s="49">
        <f>IFERROR(__xludf.DUMMYFUNCTION("""COMPUTED_VALUE"""),0.0)</f>
        <v>0</v>
      </c>
      <c r="D373" s="49"/>
      <c r="E373" s="49" t="str">
        <f>IFERROR(__xludf.DUMMYFUNCTION("""COMPUTED_VALUE"""),"(requires a weapon be equipped) parry the next weapon attack as per the handbook ability: Parry")</f>
        <v>(requires a weapon be equipped) parry the next weapon attack as per the handbook ability: Parry</v>
      </c>
      <c r="F373" s="49" t="str">
        <f>IFERROR(__xludf.DUMMYFUNCTION("""COMPUTED_VALUE"""),"Natural/Fail or Succeed")</f>
        <v>Natural/Fail or Succeed</v>
      </c>
      <c r="G373" s="49" t="str">
        <f>IFERROR(__xludf.DUMMYFUNCTION("""COMPUTED_VALUE"""),"Self")</f>
        <v>Self</v>
      </c>
      <c r="H373" s="49" t="str">
        <f>IFERROR(__xludf.DUMMYFUNCTION("""COMPUTED_VALUE"""),"Physical")</f>
        <v>Physical</v>
      </c>
      <c r="I373" s="49" t="str">
        <f>IFERROR(__xludf.DUMMYFUNCTION("""COMPUTED_VALUE"""),"Player")</f>
        <v>Player</v>
      </c>
      <c r="J373" s="49" t="b">
        <f>IFERROR(__xludf.DUMMYFUNCTION("""COMPUTED_VALUE"""),FALSE)</f>
        <v>0</v>
      </c>
      <c r="K373" s="49"/>
      <c r="L373" s="49" t="b">
        <f>IFERROR(__xludf.DUMMYFUNCTION("""COMPUTED_VALUE"""),FALSE)</f>
        <v>0</v>
      </c>
      <c r="M373" s="49" t="b">
        <f>IFERROR(__xludf.DUMMYFUNCTION("""COMPUTED_VALUE"""),FALSE)</f>
        <v>0</v>
      </c>
      <c r="N373" s="49"/>
    </row>
    <row r="374">
      <c r="A374" s="49" t="str">
        <f>IFERROR(__xludf.DUMMYFUNCTION("""COMPUTED_VALUE"""),"Dive Bomb")</f>
        <v>Dive Bomb</v>
      </c>
      <c r="B374" s="126">
        <f>IFERROR(__xludf.DUMMYFUNCTION("""COMPUTED_VALUE"""),9.0)</f>
        <v>9</v>
      </c>
      <c r="C374" s="49"/>
      <c r="D374" s="49" t="str">
        <f>IFERROR(__xludf.DUMMYFUNCTION("""COMPUTED_VALUE"""),"X")</f>
        <v>X</v>
      </c>
      <c r="E374" s="49"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49" t="str">
        <f>IFERROR(__xludf.DUMMYFUNCTION("""COMPUTED_VALUE"""),"Cannot Avoid")</f>
        <v>Cannot Avoid</v>
      </c>
      <c r="G374" s="49" t="str">
        <f>IFERROR(__xludf.DUMMYFUNCTION("""COMPUTED_VALUE"""),"All")</f>
        <v>All</v>
      </c>
      <c r="H374" s="49" t="str">
        <f>IFERROR(__xludf.DUMMYFUNCTION("""COMPUTED_VALUE"""),"Physical")</f>
        <v>Physical</v>
      </c>
      <c r="I374" s="49" t="str">
        <f>IFERROR(__xludf.DUMMYFUNCTION("""COMPUTED_VALUE"""),"Mob")</f>
        <v>Mob</v>
      </c>
      <c r="J374" s="49" t="b">
        <f>IFERROR(__xludf.DUMMYFUNCTION("""COMPUTED_VALUE"""),TRUE)</f>
        <v>1</v>
      </c>
      <c r="K374" s="49" t="str">
        <f>IFERROR(__xludf.DUMMYFUNCTION("""COMPUTED_VALUE"""),"mob power")</f>
        <v>mob power</v>
      </c>
      <c r="L374" s="49" t="b">
        <f>IFERROR(__xludf.DUMMYFUNCTION("""COMPUTED_VALUE"""),FALSE)</f>
        <v>0</v>
      </c>
      <c r="M374" s="49" t="b">
        <f>IFERROR(__xludf.DUMMYFUNCTION("""COMPUTED_VALUE"""),FALSE)</f>
        <v>0</v>
      </c>
      <c r="N374" s="49"/>
    </row>
    <row r="375">
      <c r="A375" s="49" t="str">
        <f>IFERROR(__xludf.DUMMYFUNCTION("""COMPUTED_VALUE"""),"Taunt")</f>
        <v>Taunt</v>
      </c>
      <c r="B375" s="126">
        <f>IFERROR(__xludf.DUMMYFUNCTION("""COMPUTED_VALUE"""),1.0)</f>
        <v>1</v>
      </c>
      <c r="C375" s="49">
        <f>IFERROR(__xludf.DUMMYFUNCTION("""COMPUTED_VALUE"""),0.0)</f>
        <v>0</v>
      </c>
      <c r="D375" s="49"/>
      <c r="E375" s="49"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49" t="str">
        <f>IFERROR(__xludf.DUMMYFUNCTION("""COMPUTED_VALUE"""),"Natural/Fail or succeed")</f>
        <v>Natural/Fail or succeed</v>
      </c>
      <c r="G375" s="49">
        <f>IFERROR(__xludf.DUMMYFUNCTION("""COMPUTED_VALUE"""),1.0)</f>
        <v>1</v>
      </c>
      <c r="H375" s="49" t="str">
        <f>IFERROR(__xludf.DUMMYFUNCTION("""COMPUTED_VALUE"""),"Physical")</f>
        <v>Physical</v>
      </c>
      <c r="I375" s="49" t="str">
        <f>IFERROR(__xludf.DUMMYFUNCTION("""COMPUTED_VALUE"""),"Player")</f>
        <v>Player</v>
      </c>
      <c r="J375" s="49" t="b">
        <f>IFERROR(__xludf.DUMMYFUNCTION("""COMPUTED_VALUE"""),FALSE)</f>
        <v>0</v>
      </c>
      <c r="K375" s="49"/>
      <c r="L375" s="49" t="b">
        <f>IFERROR(__xludf.DUMMYFUNCTION("""COMPUTED_VALUE"""),FALSE)</f>
        <v>0</v>
      </c>
      <c r="M375" s="49" t="b">
        <f>IFERROR(__xludf.DUMMYFUNCTION("""COMPUTED_VALUE"""),FALSE)</f>
        <v>0</v>
      </c>
      <c r="N375" s="49"/>
    </row>
    <row r="376">
      <c r="A376" s="49" t="str">
        <f>IFERROR(__xludf.DUMMYFUNCTION("""COMPUTED_VALUE"""),"Lasso")</f>
        <v>Lasso</v>
      </c>
      <c r="B376" s="126">
        <f>IFERROR(__xludf.DUMMYFUNCTION("""COMPUTED_VALUE"""),1.0)</f>
        <v>1</v>
      </c>
      <c r="C376" s="49">
        <f>IFERROR(__xludf.DUMMYFUNCTION("""COMPUTED_VALUE"""),0.0)</f>
        <v>0</v>
      </c>
      <c r="D376" s="49"/>
      <c r="E376" s="49"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49" t="str">
        <f>IFERROR(__xludf.DUMMYFUNCTION("""COMPUTED_VALUE"""),"Natural/Hit or Miss")</f>
        <v>Natural/Hit or Miss</v>
      </c>
      <c r="G376" s="49">
        <f>IFERROR(__xludf.DUMMYFUNCTION("""COMPUTED_VALUE"""),1.0)</f>
        <v>1</v>
      </c>
      <c r="H376" s="49" t="str">
        <f>IFERROR(__xludf.DUMMYFUNCTION("""COMPUTED_VALUE"""),"Physical")</f>
        <v>Physical</v>
      </c>
      <c r="I376" s="49" t="str">
        <f>IFERROR(__xludf.DUMMYFUNCTION("""COMPUTED_VALUE"""),"Player")</f>
        <v>Player</v>
      </c>
      <c r="J376" s="49" t="b">
        <f>IFERROR(__xludf.DUMMYFUNCTION("""COMPUTED_VALUE"""),TRUE)</f>
        <v>1</v>
      </c>
      <c r="K376" s="49" t="str">
        <f>IFERROR(__xludf.DUMMYFUNCTION("""COMPUTED_VALUE"""),"mob and class exclusive.")</f>
        <v>mob and class exclusive.</v>
      </c>
      <c r="L376" s="49" t="b">
        <f>IFERROR(__xludf.DUMMYFUNCTION("""COMPUTED_VALUE"""),TRUE)</f>
        <v>1</v>
      </c>
      <c r="M376" s="49" t="b">
        <f>IFERROR(__xludf.DUMMYFUNCTION("""COMPUTED_VALUE"""),FALSE)</f>
        <v>0</v>
      </c>
      <c r="N376" s="49"/>
    </row>
    <row r="377">
      <c r="A377" s="49" t="str">
        <f>IFERROR(__xludf.DUMMYFUNCTION("""COMPUTED_VALUE"""),"Captivating Wobble")</f>
        <v>Captivating Wobble</v>
      </c>
      <c r="B377" s="126">
        <f>IFERROR(__xludf.DUMMYFUNCTION("""COMPUTED_VALUE"""),9.0)</f>
        <v>9</v>
      </c>
      <c r="C377" s="125">
        <f>IFERROR(__xludf.DUMMYFUNCTION("""COMPUTED_VALUE"""),50000.0)</f>
        <v>50000</v>
      </c>
      <c r="D377" s="49"/>
      <c r="E377" s="49" t="str">
        <f>IFERROR(__xludf.DUMMYFUNCTION("""COMPUTED_VALUE"""),"Stun all enemies for three rounds.")</f>
        <v>Stun all enemies for three rounds.</v>
      </c>
      <c r="F377" s="49" t="str">
        <f>IFERROR(__xludf.DUMMYFUNCTION("""COMPUTED_VALUE"""),"Fail/Succeed")</f>
        <v>Fail/Succeed</v>
      </c>
      <c r="G377" s="49" t="str">
        <f>IFERROR(__xludf.DUMMYFUNCTION("""COMPUTED_VALUE"""),"All")</f>
        <v>All</v>
      </c>
      <c r="H377" s="49" t="str">
        <f>IFERROR(__xludf.DUMMYFUNCTION("""COMPUTED_VALUE"""),"Physical")</f>
        <v>Physical</v>
      </c>
      <c r="I377" s="49" t="str">
        <f>IFERROR(__xludf.DUMMYFUNCTION("""COMPUTED_VALUE"""),"Mob")</f>
        <v>Mob</v>
      </c>
      <c r="J377" s="49" t="b">
        <f>IFERROR(__xludf.DUMMYFUNCTION("""COMPUTED_VALUE"""),TRUE)</f>
        <v>1</v>
      </c>
      <c r="K377" s="49" t="str">
        <f>IFERROR(__xludf.DUMMYFUNCTION("""COMPUTED_VALUE"""),"Event ")</f>
        <v>Event </v>
      </c>
      <c r="L377" s="49" t="b">
        <f>IFERROR(__xludf.DUMMYFUNCTION("""COMPUTED_VALUE"""),FALSE)</f>
        <v>0</v>
      </c>
      <c r="M377" s="49" t="b">
        <f>IFERROR(__xludf.DUMMYFUNCTION("""COMPUTED_VALUE"""),FALSE)</f>
        <v>0</v>
      </c>
      <c r="N377" s="49" t="str">
        <f>IFERROR(__xludf.DUMMYFUNCTION("""COMPUTED_VALUE"""),"Event Hub")</f>
        <v>Event Hub</v>
      </c>
    </row>
    <row r="378">
      <c r="A378" s="49" t="str">
        <f>IFERROR(__xludf.DUMMYFUNCTION("""COMPUTED_VALUE"""),"Grash's Smashing Success")</f>
        <v>Grash's Smashing Success</v>
      </c>
      <c r="B378" s="126">
        <f>IFERROR(__xludf.DUMMYFUNCTION("""COMPUTED_VALUE"""),1.0)</f>
        <v>1</v>
      </c>
      <c r="C378" s="49">
        <f>IFERROR(__xludf.DUMMYFUNCTION("""COMPUTED_VALUE"""),0.0)</f>
        <v>0</v>
      </c>
      <c r="D378" s="49"/>
      <c r="E378" s="49" t="str">
        <f>IFERROR(__xludf.DUMMYFUNCTION("""COMPUTED_VALUE"""),"Slam your weapon into the Ground disarming you and all opponents for 3 rounds.")</f>
        <v>Slam your weapon into the Ground disarming you and all opponents for 3 rounds.</v>
      </c>
      <c r="F378" s="49" t="str">
        <f>IFERROR(__xludf.DUMMYFUNCTION("""COMPUTED_VALUE"""),"Natural/Fail or Succeed")</f>
        <v>Natural/Fail or Succeed</v>
      </c>
      <c r="G378" s="49" t="str">
        <f>IFERROR(__xludf.DUMMYFUNCTION("""COMPUTED_VALUE"""),"All")</f>
        <v>All</v>
      </c>
      <c r="H378" s="49" t="str">
        <f>IFERROR(__xludf.DUMMYFUNCTION("""COMPUTED_VALUE"""),"Physical")</f>
        <v>Physical</v>
      </c>
      <c r="I378" s="49" t="str">
        <f>IFERROR(__xludf.DUMMYFUNCTION("""COMPUTED_VALUE"""),"Mob")</f>
        <v>Mob</v>
      </c>
      <c r="J378" s="49" t="b">
        <f>IFERROR(__xludf.DUMMYFUNCTION("""COMPUTED_VALUE"""),TRUE)</f>
        <v>1</v>
      </c>
      <c r="K378" s="49"/>
      <c r="L378" s="49" t="b">
        <f>IFERROR(__xludf.DUMMYFUNCTION("""COMPUTED_VALUE"""),FALSE)</f>
        <v>0</v>
      </c>
      <c r="M378" s="49" t="b">
        <f>IFERROR(__xludf.DUMMYFUNCTION("""COMPUTED_VALUE"""),FALSE)</f>
        <v>0</v>
      </c>
      <c r="N378" s="49"/>
    </row>
    <row r="379">
      <c r="A379" s="49" t="str">
        <f>IFERROR(__xludf.DUMMYFUNCTION("""COMPUTED_VALUE"""),"Greater Dragon's Breath")</f>
        <v>Greater Dragon's Breath</v>
      </c>
      <c r="B379" s="126">
        <f>IFERROR(__xludf.DUMMYFUNCTION("""COMPUTED_VALUE"""),9.0)</f>
        <v>9</v>
      </c>
      <c r="C379" s="49">
        <f>IFERROR(__xludf.DUMMYFUNCTION("""COMPUTED_VALUE"""),0.0)</f>
        <v>0</v>
      </c>
      <c r="D379" s="49"/>
      <c r="E379" s="49"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49" t="str">
        <f>IFERROR(__xludf.DUMMYFUNCTION("""COMPUTED_VALUE"""),"Natural/Cannot Avoid")</f>
        <v>Natural/Cannot Avoid</v>
      </c>
      <c r="G379" s="49" t="str">
        <f>IFERROR(__xludf.DUMMYFUNCTION("""COMPUTED_VALUE"""),"All")</f>
        <v>All</v>
      </c>
      <c r="H379" s="49" t="str">
        <f>IFERROR(__xludf.DUMMYFUNCTION("""COMPUTED_VALUE"""),"Physical")</f>
        <v>Physical</v>
      </c>
      <c r="I379" s="49" t="str">
        <f>IFERROR(__xludf.DUMMYFUNCTION("""COMPUTED_VALUE"""),"Mob")</f>
        <v>Mob</v>
      </c>
      <c r="J379" s="49" t="b">
        <f>IFERROR(__xludf.DUMMYFUNCTION("""COMPUTED_VALUE"""),TRUE)</f>
        <v>1</v>
      </c>
      <c r="K379" s="49"/>
      <c r="L379" s="49" t="b">
        <f>IFERROR(__xludf.DUMMYFUNCTION("""COMPUTED_VALUE"""),FALSE)</f>
        <v>0</v>
      </c>
      <c r="M379" s="49" t="b">
        <f>IFERROR(__xludf.DUMMYFUNCTION("""COMPUTED_VALUE"""),FALSE)</f>
        <v>0</v>
      </c>
      <c r="N379" s="49"/>
    </row>
    <row r="380">
      <c r="A380" s="49" t="str">
        <f>IFERROR(__xludf.DUMMYFUNCTION("""COMPUTED_VALUE"""),"Divine Dragon's Breath")</f>
        <v>Divine Dragon's Breath</v>
      </c>
      <c r="B380" s="126">
        <f>IFERROR(__xludf.DUMMYFUNCTION("""COMPUTED_VALUE"""),9.0)</f>
        <v>9</v>
      </c>
      <c r="C380" s="49">
        <f>IFERROR(__xludf.DUMMYFUNCTION("""COMPUTED_VALUE"""),0.0)</f>
        <v>0</v>
      </c>
      <c r="D380" s="49"/>
      <c r="E380" s="49"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49" t="str">
        <f>IFERROR(__xludf.DUMMYFUNCTION("""COMPUTED_VALUE"""),"Natural/Cannot Avoid")</f>
        <v>Natural/Cannot Avoid</v>
      </c>
      <c r="G380" s="49" t="str">
        <f>IFERROR(__xludf.DUMMYFUNCTION("""COMPUTED_VALUE"""),"All")</f>
        <v>All</v>
      </c>
      <c r="H380" s="49" t="str">
        <f>IFERROR(__xludf.DUMMYFUNCTION("""COMPUTED_VALUE"""),"Physical")</f>
        <v>Physical</v>
      </c>
      <c r="I380" s="49" t="str">
        <f>IFERROR(__xludf.DUMMYFUNCTION("""COMPUTED_VALUE"""),"Mob")</f>
        <v>Mob</v>
      </c>
      <c r="J380" s="49" t="b">
        <f>IFERROR(__xludf.DUMMYFUNCTION("""COMPUTED_VALUE"""),TRUE)</f>
        <v>1</v>
      </c>
      <c r="K380" s="49"/>
      <c r="L380" s="49" t="b">
        <f>IFERROR(__xludf.DUMMYFUNCTION("""COMPUTED_VALUE"""),FALSE)</f>
        <v>0</v>
      </c>
      <c r="M380" s="49" t="b">
        <f>IFERROR(__xludf.DUMMYFUNCTION("""COMPUTED_VALUE"""),FALSE)</f>
        <v>0</v>
      </c>
      <c r="N380" s="49"/>
    </row>
    <row r="381">
      <c r="A381" s="49" t="str">
        <f>IFERROR(__xludf.DUMMYFUNCTION("""COMPUTED_VALUE"""),"Trample")</f>
        <v>Trample</v>
      </c>
      <c r="B381" s="126">
        <f>IFERROR(__xludf.DUMMYFUNCTION("""COMPUTED_VALUE"""),1.0)</f>
        <v>1</v>
      </c>
      <c r="C381" s="49">
        <f>IFERROR(__xludf.DUMMYFUNCTION("""COMPUTED_VALUE"""),0.0)</f>
        <v>0</v>
      </c>
      <c r="D381" s="49"/>
      <c r="E381" s="49" t="str">
        <f>IFERROR(__xludf.DUMMYFUNCTION("""COMPUTED_VALUE"""),"Deal damage equal to your attack.")</f>
        <v>Deal damage equal to your attack.</v>
      </c>
      <c r="F381" s="49" t="str">
        <f>IFERROR(__xludf.DUMMYFUNCTION("""COMPUTED_VALUE"""),"Natural/Hit or Miss")</f>
        <v>Natural/Hit or Miss</v>
      </c>
      <c r="G381" s="49">
        <f>IFERROR(__xludf.DUMMYFUNCTION("""COMPUTED_VALUE"""),1.0)</f>
        <v>1</v>
      </c>
      <c r="H381" s="49" t="str">
        <f>IFERROR(__xludf.DUMMYFUNCTION("""COMPUTED_VALUE"""),"Physical")</f>
        <v>Physical</v>
      </c>
      <c r="I381" s="49" t="str">
        <f>IFERROR(__xludf.DUMMYFUNCTION("""COMPUTED_VALUE"""),"Mob")</f>
        <v>Mob</v>
      </c>
      <c r="J381" s="49" t="b">
        <f>IFERROR(__xludf.DUMMYFUNCTION("""COMPUTED_VALUE"""),TRUE)</f>
        <v>1</v>
      </c>
      <c r="K381" s="49"/>
      <c r="L381" s="49" t="b">
        <f>IFERROR(__xludf.DUMMYFUNCTION("""COMPUTED_VALUE"""),FALSE)</f>
        <v>0</v>
      </c>
      <c r="M381" s="49" t="b">
        <f>IFERROR(__xludf.DUMMYFUNCTION("""COMPUTED_VALUE"""),FALSE)</f>
        <v>0</v>
      </c>
      <c r="N381" s="49"/>
    </row>
    <row r="382">
      <c r="A382" s="49" t="str">
        <f>IFERROR(__xludf.DUMMYFUNCTION("""COMPUTED_VALUE"""),"Antler Stab")</f>
        <v>Antler Stab</v>
      </c>
      <c r="B382" s="126">
        <f>IFERROR(__xludf.DUMMYFUNCTION("""COMPUTED_VALUE"""),1.0)</f>
        <v>1</v>
      </c>
      <c r="C382" s="49">
        <f>IFERROR(__xludf.DUMMYFUNCTION("""COMPUTED_VALUE"""),0.0)</f>
        <v>0</v>
      </c>
      <c r="D382" s="49"/>
      <c r="E382" s="49" t="str">
        <f>IFERROR(__xludf.DUMMYFUNCTION("""COMPUTED_VALUE"""),"Deal damage equal to your attack.")</f>
        <v>Deal damage equal to your attack.</v>
      </c>
      <c r="F382" s="49" t="str">
        <f>IFERROR(__xludf.DUMMYFUNCTION("""COMPUTED_VALUE"""),"Natural/Hit or Miss")</f>
        <v>Natural/Hit or Miss</v>
      </c>
      <c r="G382" s="49">
        <f>IFERROR(__xludf.DUMMYFUNCTION("""COMPUTED_VALUE"""),1.0)</f>
        <v>1</v>
      </c>
      <c r="H382" s="49" t="str">
        <f>IFERROR(__xludf.DUMMYFUNCTION("""COMPUTED_VALUE"""),"Physical")</f>
        <v>Physical</v>
      </c>
      <c r="I382" s="49" t="str">
        <f>IFERROR(__xludf.DUMMYFUNCTION("""COMPUTED_VALUE"""),"Mob")</f>
        <v>Mob</v>
      </c>
      <c r="J382" s="49" t="b">
        <f>IFERROR(__xludf.DUMMYFUNCTION("""COMPUTED_VALUE"""),TRUE)</f>
        <v>1</v>
      </c>
      <c r="K382" s="49"/>
      <c r="L382" s="49" t="b">
        <f>IFERROR(__xludf.DUMMYFUNCTION("""COMPUTED_VALUE"""),FALSE)</f>
        <v>0</v>
      </c>
      <c r="M382" s="49" t="b">
        <f>IFERROR(__xludf.DUMMYFUNCTION("""COMPUTED_VALUE"""),FALSE)</f>
        <v>0</v>
      </c>
      <c r="N382" s="49"/>
    </row>
    <row r="383">
      <c r="A383" s="49" t="str">
        <f>IFERROR(__xludf.DUMMYFUNCTION("""COMPUTED_VALUE"""),"Acidic Claws")</f>
        <v>Acidic Claws</v>
      </c>
      <c r="B383" s="126">
        <f>IFERROR(__xludf.DUMMYFUNCTION("""COMPUTED_VALUE"""),1.0)</f>
        <v>1</v>
      </c>
      <c r="C383" s="49">
        <f>IFERROR(__xludf.DUMMYFUNCTION("""COMPUTED_VALUE"""),0.0)</f>
        <v>0</v>
      </c>
      <c r="D383" s="49"/>
      <c r="E383" s="49" t="str">
        <f>IFERROR(__xludf.DUMMYFUNCTION("""COMPUTED_VALUE"""),"Poison X and Bleed X per round to 1 target, where X is equal to your attack.")</f>
        <v>Poison X and Bleed X per round to 1 target, where X is equal to your attack.</v>
      </c>
      <c r="F383" s="49" t="str">
        <f>IFERROR(__xludf.DUMMYFUNCTION("""COMPUTED_VALUE"""),"Natural/Hit or Miss")</f>
        <v>Natural/Hit or Miss</v>
      </c>
      <c r="G383" s="49">
        <f>IFERROR(__xludf.DUMMYFUNCTION("""COMPUTED_VALUE"""),1.0)</f>
        <v>1</v>
      </c>
      <c r="H383" s="49" t="str">
        <f>IFERROR(__xludf.DUMMYFUNCTION("""COMPUTED_VALUE"""),"Physical")</f>
        <v>Physical</v>
      </c>
      <c r="I383" s="49" t="str">
        <f>IFERROR(__xludf.DUMMYFUNCTION("""COMPUTED_VALUE"""),"Mob")</f>
        <v>Mob</v>
      </c>
      <c r="J383" s="49" t="b">
        <f>IFERROR(__xludf.DUMMYFUNCTION("""COMPUTED_VALUE"""),TRUE)</f>
        <v>1</v>
      </c>
      <c r="K383" s="49"/>
      <c r="L383" s="49" t="b">
        <f>IFERROR(__xludf.DUMMYFUNCTION("""COMPUTED_VALUE"""),FALSE)</f>
        <v>0</v>
      </c>
      <c r="M383" s="49" t="b">
        <f>IFERROR(__xludf.DUMMYFUNCTION("""COMPUTED_VALUE"""),FALSE)</f>
        <v>0</v>
      </c>
      <c r="N383" s="49"/>
    </row>
    <row r="384">
      <c r="A384" s="49" t="str">
        <f>IFERROR(__xludf.DUMMYFUNCTION("""COMPUTED_VALUE"""),"Acidic Jaws")</f>
        <v>Acidic Jaws</v>
      </c>
      <c r="B384" s="126">
        <f>IFERROR(__xludf.DUMMYFUNCTION("""COMPUTED_VALUE"""),1.0)</f>
        <v>1</v>
      </c>
      <c r="C384" s="49">
        <f>IFERROR(__xludf.DUMMYFUNCTION("""COMPUTED_VALUE"""),0.0)</f>
        <v>0</v>
      </c>
      <c r="D384" s="49"/>
      <c r="E384" s="49" t="str">
        <f>IFERROR(__xludf.DUMMYFUNCTION("""COMPUTED_VALUE"""),"Poison X*2 per round to 1 target, where X is equal to your attack. 25% chance this action activates again.")</f>
        <v>Poison X*2 per round to 1 target, where X is equal to your attack. 25% chance this action activates again.</v>
      </c>
      <c r="F384" s="49" t="str">
        <f>IFERROR(__xludf.DUMMYFUNCTION("""COMPUTED_VALUE"""),"Natural/Hit or Miss")</f>
        <v>Natural/Hit or Miss</v>
      </c>
      <c r="G384" s="49">
        <f>IFERROR(__xludf.DUMMYFUNCTION("""COMPUTED_VALUE"""),1.0)</f>
        <v>1</v>
      </c>
      <c r="H384" s="49" t="str">
        <f>IFERROR(__xludf.DUMMYFUNCTION("""COMPUTED_VALUE"""),"Physical")</f>
        <v>Physical</v>
      </c>
      <c r="I384" s="49" t="str">
        <f>IFERROR(__xludf.DUMMYFUNCTION("""COMPUTED_VALUE"""),"Mob")</f>
        <v>Mob</v>
      </c>
      <c r="J384" s="49" t="b">
        <f>IFERROR(__xludf.DUMMYFUNCTION("""COMPUTED_VALUE"""),TRUE)</f>
        <v>1</v>
      </c>
      <c r="K384" s="49"/>
      <c r="L384" s="49" t="b">
        <f>IFERROR(__xludf.DUMMYFUNCTION("""COMPUTED_VALUE"""),FALSE)</f>
        <v>0</v>
      </c>
      <c r="M384" s="49" t="b">
        <f>IFERROR(__xludf.DUMMYFUNCTION("""COMPUTED_VALUE"""),FALSE)</f>
        <v>0</v>
      </c>
      <c r="N384" s="49"/>
    </row>
    <row r="385">
      <c r="A385" s="49" t="str">
        <f>IFERROR(__xludf.DUMMYFUNCTION("""COMPUTED_VALUE"""),"Camouflage")</f>
        <v>Camouflage</v>
      </c>
      <c r="B385" s="126">
        <f>IFERROR(__xludf.DUMMYFUNCTION("""COMPUTED_VALUE"""),1.0)</f>
        <v>1</v>
      </c>
      <c r="C385" s="49">
        <f>IFERROR(__xludf.DUMMYFUNCTION("""COMPUTED_VALUE"""),0.0)</f>
        <v>0</v>
      </c>
      <c r="D385" s="49"/>
      <c r="E385" s="49"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49" t="str">
        <f>IFERROR(__xludf.DUMMYFUNCTION("""COMPUTED_VALUE"""),"Natural/Fail or Succeed")</f>
        <v>Natural/Fail or Succeed</v>
      </c>
      <c r="G385" s="49" t="str">
        <f>IFERROR(__xludf.DUMMYFUNCTION("""COMPUTED_VALUE"""),"Self")</f>
        <v>Self</v>
      </c>
      <c r="H385" s="49" t="str">
        <f>IFERROR(__xludf.DUMMYFUNCTION("""COMPUTED_VALUE"""),"Physical")</f>
        <v>Physical</v>
      </c>
      <c r="I385" s="49" t="str">
        <f>IFERROR(__xludf.DUMMYFUNCTION("""COMPUTED_VALUE"""),"Mob")</f>
        <v>Mob</v>
      </c>
      <c r="J385" s="49" t="b">
        <f>IFERROR(__xludf.DUMMYFUNCTION("""COMPUTED_VALUE"""),TRUE)</f>
        <v>1</v>
      </c>
      <c r="K385" s="49"/>
      <c r="L385" s="49" t="b">
        <f>IFERROR(__xludf.DUMMYFUNCTION("""COMPUTED_VALUE"""),FALSE)</f>
        <v>0</v>
      </c>
      <c r="M385" s="49" t="b">
        <f>IFERROR(__xludf.DUMMYFUNCTION("""COMPUTED_VALUE"""),FALSE)</f>
        <v>0</v>
      </c>
      <c r="N385" s="49"/>
    </row>
    <row r="386">
      <c r="A386" s="49" t="str">
        <f>IFERROR(__xludf.DUMMYFUNCTION("""COMPUTED_VALUE"""),"[Element] Shot")</f>
        <v>[Element] Shot</v>
      </c>
      <c r="B386" s="126">
        <f>IFERROR(__xludf.DUMMYFUNCTION("""COMPUTED_VALUE"""),4.0)</f>
        <v>4</v>
      </c>
      <c r="C386" s="49">
        <f>IFERROR(__xludf.DUMMYFUNCTION("""COMPUTED_VALUE"""),40.0)</f>
        <v>40</v>
      </c>
      <c r="D386" s="49"/>
      <c r="E386" s="49"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49" t="str">
        <f>IFERROR(__xludf.DUMMYFUNCTION("""COMPUTED_VALUE"""),"Fail/succeed")</f>
        <v>Fail/succeed</v>
      </c>
      <c r="G386" s="49"/>
      <c r="H386" s="49" t="str">
        <f>IFERROR(__xludf.DUMMYFUNCTION("""COMPUTED_VALUE"""),"Ranged")</f>
        <v>Ranged</v>
      </c>
      <c r="I386" s="49" t="str">
        <f>IFERROR(__xludf.DUMMYFUNCTION("""COMPUTED_VALUE"""),"Player")</f>
        <v>Player</v>
      </c>
      <c r="J386" s="49" t="b">
        <f>IFERROR(__xludf.DUMMYFUNCTION("""COMPUTED_VALUE"""),FALSE)</f>
        <v>0</v>
      </c>
      <c r="K386" s="49"/>
      <c r="L386" s="49" t="b">
        <f>IFERROR(__xludf.DUMMYFUNCTION("""COMPUTED_VALUE"""),FALSE)</f>
        <v>0</v>
      </c>
      <c r="M386" s="49" t="b">
        <f>IFERROR(__xludf.DUMMYFUNCTION("""COMPUTED_VALUE"""),TRUE)</f>
        <v>1</v>
      </c>
      <c r="N386" s="49"/>
    </row>
    <row r="387">
      <c r="A387" s="49" t="str">
        <f>IFERROR(__xludf.DUMMYFUNCTION("""COMPUTED_VALUE"""),"Accuracy Boost")</f>
        <v>Accuracy Boost</v>
      </c>
      <c r="B387" s="126">
        <f>IFERROR(__xludf.DUMMYFUNCTION("""COMPUTED_VALUE"""),6.0)</f>
        <v>6</v>
      </c>
      <c r="C387" s="49">
        <f>IFERROR(__xludf.DUMMYFUNCTION("""COMPUTED_VALUE"""),60.0)</f>
        <v>60</v>
      </c>
      <c r="D387" s="49"/>
      <c r="E387" s="49" t="str">
        <f>IFERROR(__xludf.DUMMYFUNCTION("""COMPUTED_VALUE"""),"Raise accuracy by X2 for 3 rounds (1 use)")</f>
        <v>Raise accuracy by X2 for 3 rounds (1 use)</v>
      </c>
      <c r="F387" s="49" t="str">
        <f>IFERROR(__xludf.DUMMYFUNCTION("""COMPUTED_VALUE"""),"Will Succeed")</f>
        <v>Will Succeed</v>
      </c>
      <c r="G387" s="49"/>
      <c r="H387" s="49" t="str">
        <f>IFERROR(__xludf.DUMMYFUNCTION("""COMPUTED_VALUE"""),"Ranged")</f>
        <v>Ranged</v>
      </c>
      <c r="I387" s="49" t="str">
        <f>IFERROR(__xludf.DUMMYFUNCTION("""COMPUTED_VALUE"""),"Player")</f>
        <v>Player</v>
      </c>
      <c r="J387" s="49" t="b">
        <f>IFERROR(__xludf.DUMMYFUNCTION("""COMPUTED_VALUE"""),FALSE)</f>
        <v>0</v>
      </c>
      <c r="K387" s="49"/>
      <c r="L387" s="49" t="b">
        <f>IFERROR(__xludf.DUMMYFUNCTION("""COMPUTED_VALUE"""),FALSE)</f>
        <v>0</v>
      </c>
      <c r="M387" s="49" t="b">
        <f>IFERROR(__xludf.DUMMYFUNCTION("""COMPUTED_VALUE"""),TRUE)</f>
        <v>1</v>
      </c>
      <c r="N387" s="49"/>
    </row>
    <row r="388">
      <c r="A388" s="49" t="str">
        <f>IFERROR(__xludf.DUMMYFUNCTION("""COMPUTED_VALUE"""),"Archer’s Wrath")</f>
        <v>Archer’s Wrath</v>
      </c>
      <c r="B388" s="126">
        <f>IFERROR(__xludf.DUMMYFUNCTION("""COMPUTED_VALUE"""),5.0)</f>
        <v>5</v>
      </c>
      <c r="C388" s="49" t="str">
        <f>IFERROR(__xludf.DUMMYFUNCTION("""COMPUTED_VALUE"""),"X")</f>
        <v>X</v>
      </c>
      <c r="D388" s="49"/>
      <c r="E388" s="49" t="str">
        <f>IFERROR(__xludf.DUMMYFUNCTION("""COMPUTED_VALUE"""),"Roll a D20 for additional accuracy, times it by the amount of mana you pay.")</f>
        <v>Roll a D20 for additional accuracy, times it by the amount of mana you pay.</v>
      </c>
      <c r="F388" s="49" t="str">
        <f>IFERROR(__xludf.DUMMYFUNCTION("""COMPUTED_VALUE"""),"Will Succeed")</f>
        <v>Will Succeed</v>
      </c>
      <c r="G388" s="49"/>
      <c r="H388" s="49" t="str">
        <f>IFERROR(__xludf.DUMMYFUNCTION("""COMPUTED_VALUE"""),"Ranged")</f>
        <v>Ranged</v>
      </c>
      <c r="I388" s="49" t="str">
        <f>IFERROR(__xludf.DUMMYFUNCTION("""COMPUTED_VALUE"""),"Player")</f>
        <v>Player</v>
      </c>
      <c r="J388" s="49" t="b">
        <f>IFERROR(__xludf.DUMMYFUNCTION("""COMPUTED_VALUE"""),FALSE)</f>
        <v>0</v>
      </c>
      <c r="K388" s="49"/>
      <c r="L388" s="49" t="b">
        <f>IFERROR(__xludf.DUMMYFUNCTION("""COMPUTED_VALUE"""),FALSE)</f>
        <v>0</v>
      </c>
      <c r="M388" s="49" t="b">
        <f>IFERROR(__xludf.DUMMYFUNCTION("""COMPUTED_VALUE"""),TRUE)</f>
        <v>1</v>
      </c>
      <c r="N388" s="49"/>
    </row>
    <row r="389">
      <c r="A389" s="49" t="str">
        <f>IFERROR(__xludf.DUMMYFUNCTION("""COMPUTED_VALUE"""),"Bullseye")</f>
        <v>Bullseye</v>
      </c>
      <c r="B389" s="126">
        <f>IFERROR(__xludf.DUMMYFUNCTION("""COMPUTED_VALUE"""),9.0)</f>
        <v>9</v>
      </c>
      <c r="C389" s="49">
        <f>IFERROR(__xludf.DUMMYFUNCTION("""COMPUTED_VALUE"""),300.0)</f>
        <v>300</v>
      </c>
      <c r="D389" s="49"/>
      <c r="E389" s="49"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49" t="str">
        <f>IFERROR(__xludf.DUMMYFUNCTION("""COMPUTED_VALUE"""),"Fail/succeed")</f>
        <v>Fail/succeed</v>
      </c>
      <c r="G389" s="49"/>
      <c r="H389" s="49" t="str">
        <f>IFERROR(__xludf.DUMMYFUNCTION("""COMPUTED_VALUE"""),"Ranged")</f>
        <v>Ranged</v>
      </c>
      <c r="I389" s="49" t="str">
        <f>IFERROR(__xludf.DUMMYFUNCTION("""COMPUTED_VALUE"""),"Player")</f>
        <v>Player</v>
      </c>
      <c r="J389" s="49" t="b">
        <f>IFERROR(__xludf.DUMMYFUNCTION("""COMPUTED_VALUE"""),FALSE)</f>
        <v>0</v>
      </c>
      <c r="K389" s="49"/>
      <c r="L389" s="49" t="b">
        <f>IFERROR(__xludf.DUMMYFUNCTION("""COMPUTED_VALUE"""),FALSE)</f>
        <v>0</v>
      </c>
      <c r="M389" s="49" t="b">
        <f>IFERROR(__xludf.DUMMYFUNCTION("""COMPUTED_VALUE"""),TRUE)</f>
        <v>1</v>
      </c>
      <c r="N389" s="49"/>
    </row>
    <row r="390">
      <c r="A390" s="49" t="str">
        <f>IFERROR(__xludf.DUMMYFUNCTION("""COMPUTED_VALUE"""),"Good shot")</f>
        <v>Good shot</v>
      </c>
      <c r="B390" s="126">
        <f>IFERROR(__xludf.DUMMYFUNCTION("""COMPUTED_VALUE"""),1.0)</f>
        <v>1</v>
      </c>
      <c r="C390" s="49">
        <f>IFERROR(__xludf.DUMMYFUNCTION("""COMPUTED_VALUE"""),10.0)</f>
        <v>10</v>
      </c>
      <c r="D390" s="49"/>
      <c r="E390" s="49" t="str">
        <f>IFERROR(__xludf.DUMMYFUNCTION("""COMPUTED_VALUE"""),"Roll for a ranged attack twice take the higher")</f>
        <v>Roll for a ranged attack twice take the higher</v>
      </c>
      <c r="F390" s="49" t="str">
        <f>IFERROR(__xludf.DUMMYFUNCTION("""COMPUTED_VALUE"""),"Will Succeed")</f>
        <v>Will Succeed</v>
      </c>
      <c r="G390" s="49" t="str">
        <f>IFERROR(__xludf.DUMMYFUNCTION("""COMPUTED_VALUE"""),"Self")</f>
        <v>Self</v>
      </c>
      <c r="H390" s="49" t="str">
        <f>IFERROR(__xludf.DUMMYFUNCTION("""COMPUTED_VALUE"""),"Ranged")</f>
        <v>Ranged</v>
      </c>
      <c r="I390" s="49" t="str">
        <f>IFERROR(__xludf.DUMMYFUNCTION("""COMPUTED_VALUE"""),"Player")</f>
        <v>Player</v>
      </c>
      <c r="J390" s="49" t="b">
        <f>IFERROR(__xludf.DUMMYFUNCTION("""COMPUTED_VALUE"""),FALSE)</f>
        <v>0</v>
      </c>
      <c r="K390" s="49"/>
      <c r="L390" s="49" t="b">
        <f>IFERROR(__xludf.DUMMYFUNCTION("""COMPUTED_VALUE"""),FALSE)</f>
        <v>0</v>
      </c>
      <c r="M390" s="49" t="b">
        <f>IFERROR(__xludf.DUMMYFUNCTION("""COMPUTED_VALUE"""),TRUE)</f>
        <v>1</v>
      </c>
      <c r="N390" s="49"/>
    </row>
    <row r="391">
      <c r="A391" s="49" t="str">
        <f>IFERROR(__xludf.DUMMYFUNCTION("""COMPUTED_VALUE"""),"Lock On")</f>
        <v>Lock On</v>
      </c>
      <c r="B391" s="126">
        <f>IFERROR(__xludf.DUMMYFUNCTION("""COMPUTED_VALUE"""),7.0)</f>
        <v>7</v>
      </c>
      <c r="C391" s="49">
        <f>IFERROR(__xludf.DUMMYFUNCTION("""COMPUTED_VALUE"""),100.0)</f>
        <v>100</v>
      </c>
      <c r="D391" s="49"/>
      <c r="E391" s="49" t="str">
        <f>IFERROR(__xludf.DUMMYFUNCTION("""COMPUTED_VALUE"""),"Target cannot evade for 3 rounds.")</f>
        <v>Target cannot evade for 3 rounds.</v>
      </c>
      <c r="F391" s="49" t="str">
        <f>IFERROR(__xludf.DUMMYFUNCTION("""COMPUTED_VALUE"""),"Fail/succeed")</f>
        <v>Fail/succeed</v>
      </c>
      <c r="G391" s="49"/>
      <c r="H391" s="49" t="str">
        <f>IFERROR(__xludf.DUMMYFUNCTION("""COMPUTED_VALUE"""),"Ranged")</f>
        <v>Ranged</v>
      </c>
      <c r="I391" s="49" t="str">
        <f>IFERROR(__xludf.DUMMYFUNCTION("""COMPUTED_VALUE"""),"Player")</f>
        <v>Player</v>
      </c>
      <c r="J391" s="49" t="b">
        <f>IFERROR(__xludf.DUMMYFUNCTION("""COMPUTED_VALUE"""),FALSE)</f>
        <v>0</v>
      </c>
      <c r="K391" s="49"/>
      <c r="L391" s="49" t="b">
        <f>IFERROR(__xludf.DUMMYFUNCTION("""COMPUTED_VALUE"""),FALSE)</f>
        <v>0</v>
      </c>
      <c r="M391" s="49" t="b">
        <f>IFERROR(__xludf.DUMMYFUNCTION("""COMPUTED_VALUE"""),TRUE)</f>
        <v>1</v>
      </c>
      <c r="N391" s="49"/>
    </row>
    <row r="392">
      <c r="A392" s="49" t="str">
        <f>IFERROR(__xludf.DUMMYFUNCTION("""COMPUTED_VALUE"""),"Multishot")</f>
        <v>Multishot</v>
      </c>
      <c r="B392" s="126">
        <f>IFERROR(__xludf.DUMMYFUNCTION("""COMPUTED_VALUE"""),9.0)</f>
        <v>9</v>
      </c>
      <c r="C392" s="49" t="str">
        <f>IFERROR(__xludf.DUMMYFUNCTION("""COMPUTED_VALUE"""),"X*300")</f>
        <v>X*300</v>
      </c>
      <c r="D392" s="49"/>
      <c r="E392" s="49" t="str">
        <f>IFERROR(__xludf.DUMMYFUNCTION("""COMPUTED_VALUE"""),"Multiples the damage of the next attack by X. X= SP you pay for X Cost.")</f>
        <v>Multiples the damage of the next attack by X. X= SP you pay for X Cost.</v>
      </c>
      <c r="F392" s="49" t="str">
        <f>IFERROR(__xludf.DUMMYFUNCTION("""COMPUTED_VALUE"""),"Fail/succeed")</f>
        <v>Fail/succeed</v>
      </c>
      <c r="G392" s="49"/>
      <c r="H392" s="49" t="str">
        <f>IFERROR(__xludf.DUMMYFUNCTION("""COMPUTED_VALUE"""),"Ranged")</f>
        <v>Ranged</v>
      </c>
      <c r="I392" s="49" t="str">
        <f>IFERROR(__xludf.DUMMYFUNCTION("""COMPUTED_VALUE"""),"Player")</f>
        <v>Player</v>
      </c>
      <c r="J392" s="49" t="b">
        <f>IFERROR(__xludf.DUMMYFUNCTION("""COMPUTED_VALUE"""),FALSE)</f>
        <v>0</v>
      </c>
      <c r="K392" s="49"/>
      <c r="L392" s="49" t="b">
        <f>IFERROR(__xludf.DUMMYFUNCTION("""COMPUTED_VALUE"""),FALSE)</f>
        <v>0</v>
      </c>
      <c r="M392" s="49" t="b">
        <f>IFERROR(__xludf.DUMMYFUNCTION("""COMPUTED_VALUE"""),TRUE)</f>
        <v>1</v>
      </c>
      <c r="N392" s="49"/>
    </row>
    <row r="393">
      <c r="A393" s="49" t="str">
        <f>IFERROR(__xludf.DUMMYFUNCTION("""COMPUTED_VALUE"""),"Pinning shot")</f>
        <v>Pinning shot</v>
      </c>
      <c r="B393" s="126">
        <f>IFERROR(__xludf.DUMMYFUNCTION("""COMPUTED_VALUE"""),3.0)</f>
        <v>3</v>
      </c>
      <c r="C393" s="49">
        <f>IFERROR(__xludf.DUMMYFUNCTION("""COMPUTED_VALUE"""),30.0)</f>
        <v>30</v>
      </c>
      <c r="D393" s="49"/>
      <c r="E393" s="49" t="str">
        <f>IFERROR(__xludf.DUMMYFUNCTION("""COMPUTED_VALUE"""),"The target is immobilized until the end of its next turn.")</f>
        <v>The target is immobilized until the end of its next turn.</v>
      </c>
      <c r="F393" s="49" t="str">
        <f>IFERROR(__xludf.DUMMYFUNCTION("""COMPUTED_VALUE"""),"Fail/succeed")</f>
        <v>Fail/succeed</v>
      </c>
      <c r="G393" s="49"/>
      <c r="H393" s="49" t="str">
        <f>IFERROR(__xludf.DUMMYFUNCTION("""COMPUTED_VALUE"""),"Ranged")</f>
        <v>Ranged</v>
      </c>
      <c r="I393" s="49" t="str">
        <f>IFERROR(__xludf.DUMMYFUNCTION("""COMPUTED_VALUE"""),"Player")</f>
        <v>Player</v>
      </c>
      <c r="J393" s="49" t="b">
        <f>IFERROR(__xludf.DUMMYFUNCTION("""COMPUTED_VALUE"""),FALSE)</f>
        <v>0</v>
      </c>
      <c r="K393" s="49"/>
      <c r="L393" s="49" t="b">
        <f>IFERROR(__xludf.DUMMYFUNCTION("""COMPUTED_VALUE"""),FALSE)</f>
        <v>0</v>
      </c>
      <c r="M393" s="49" t="b">
        <f>IFERROR(__xludf.DUMMYFUNCTION("""COMPUTED_VALUE"""),TRUE)</f>
        <v>1</v>
      </c>
      <c r="N393" s="49"/>
    </row>
    <row r="394">
      <c r="A394" s="49" t="str">
        <f>IFERROR(__xludf.DUMMYFUNCTION("""COMPUTED_VALUE"""),"Rapid Swoop")</f>
        <v>Rapid Swoop</v>
      </c>
      <c r="B394" s="126">
        <f>IFERROR(__xludf.DUMMYFUNCTION("""COMPUTED_VALUE"""),1.0)</f>
        <v>1</v>
      </c>
      <c r="C394" s="49">
        <f>IFERROR(__xludf.DUMMYFUNCTION("""COMPUTED_VALUE"""),0.0)</f>
        <v>0</v>
      </c>
      <c r="D394" s="49"/>
      <c r="E394" s="49" t="str">
        <f>IFERROR(__xludf.DUMMYFUNCTION("""COMPUTED_VALUE"""),"D20x1000 damage.")</f>
        <v>D20x1000 damage.</v>
      </c>
      <c r="F394" s="49" t="str">
        <f>IFERROR(__xludf.DUMMYFUNCTION("""COMPUTED_VALUE"""),"Natural/Hit or Miss")</f>
        <v>Natural/Hit or Miss</v>
      </c>
      <c r="G394" s="49">
        <f>IFERROR(__xludf.DUMMYFUNCTION("""COMPUTED_VALUE"""),1.0)</f>
        <v>1</v>
      </c>
      <c r="H394" s="49" t="str">
        <f>IFERROR(__xludf.DUMMYFUNCTION("""COMPUTED_VALUE"""),"Ranged")</f>
        <v>Ranged</v>
      </c>
      <c r="I394" s="49" t="str">
        <f>IFERROR(__xludf.DUMMYFUNCTION("""COMPUTED_VALUE"""),"Mob")</f>
        <v>Mob</v>
      </c>
      <c r="J394" s="49" t="b">
        <f>IFERROR(__xludf.DUMMYFUNCTION("""COMPUTED_VALUE"""),TRUE)</f>
        <v>1</v>
      </c>
      <c r="K394" s="49"/>
      <c r="L394" s="49" t="b">
        <f>IFERROR(__xludf.DUMMYFUNCTION("""COMPUTED_VALUE"""),FALSE)</f>
        <v>0</v>
      </c>
      <c r="M394" s="49" t="b">
        <f>IFERROR(__xludf.DUMMYFUNCTION("""COMPUTED_VALUE"""),TRUE)</f>
        <v>1</v>
      </c>
      <c r="N394" s="49"/>
    </row>
    <row r="395">
      <c r="A395" s="49" t="str">
        <f>IFERROR(__xludf.DUMMYFUNCTION("""COMPUTED_VALUE"""),"Skydive")</f>
        <v>Skydive</v>
      </c>
      <c r="B395" s="126">
        <f>IFERROR(__xludf.DUMMYFUNCTION("""COMPUTED_VALUE"""),1.0)</f>
        <v>1</v>
      </c>
      <c r="C395" s="49">
        <f>IFERROR(__xludf.DUMMYFUNCTION("""COMPUTED_VALUE"""),0.0)</f>
        <v>0</v>
      </c>
      <c r="D395" s="49"/>
      <c r="E395" s="49" t="str">
        <f>IFERROR(__xludf.DUMMYFUNCTION("""COMPUTED_VALUE"""),"5000 damage")</f>
        <v>5000 damage</v>
      </c>
      <c r="F395" s="49" t="str">
        <f>IFERROR(__xludf.DUMMYFUNCTION("""COMPUTED_VALUE"""),"Natural/Hit or Miss")</f>
        <v>Natural/Hit or Miss</v>
      </c>
      <c r="G395" s="49">
        <f>IFERROR(__xludf.DUMMYFUNCTION("""COMPUTED_VALUE"""),1.0)</f>
        <v>1</v>
      </c>
      <c r="H395" s="49" t="str">
        <f>IFERROR(__xludf.DUMMYFUNCTION("""COMPUTED_VALUE"""),"Ranged")</f>
        <v>Ranged</v>
      </c>
      <c r="I395" s="49" t="str">
        <f>IFERROR(__xludf.DUMMYFUNCTION("""COMPUTED_VALUE"""),"Mob")</f>
        <v>Mob</v>
      </c>
      <c r="J395" s="49" t="b">
        <f>IFERROR(__xludf.DUMMYFUNCTION("""COMPUTED_VALUE"""),TRUE)</f>
        <v>1</v>
      </c>
      <c r="K395" s="49"/>
      <c r="L395" s="49" t="b">
        <f>IFERROR(__xludf.DUMMYFUNCTION("""COMPUTED_VALUE"""),FALSE)</f>
        <v>0</v>
      </c>
      <c r="M395" s="49" t="b">
        <f>IFERROR(__xludf.DUMMYFUNCTION("""COMPUTED_VALUE"""),FALSE)</f>
        <v>0</v>
      </c>
      <c r="N395" s="49"/>
    </row>
    <row r="396">
      <c r="A396" s="49" t="str">
        <f>IFERROR(__xludf.DUMMYFUNCTION("""COMPUTED_VALUE"""),"Thousand Arrows")</f>
        <v>Thousand Arrows</v>
      </c>
      <c r="B396" s="126">
        <f>IFERROR(__xludf.DUMMYFUNCTION("""COMPUTED_VALUE"""),9.0)</f>
        <v>9</v>
      </c>
      <c r="C396" s="49">
        <f>IFERROR(__xludf.DUMMYFUNCTION("""COMPUTED_VALUE"""),300.0)</f>
        <v>300</v>
      </c>
      <c r="D396" s="49"/>
      <c r="E396" s="49"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49" t="str">
        <f>IFERROR(__xludf.DUMMYFUNCTION("""COMPUTED_VALUE"""),"Cannot Avoid")</f>
        <v>Cannot Avoid</v>
      </c>
      <c r="G396" s="49" t="str">
        <f>IFERROR(__xludf.DUMMYFUNCTION("""COMPUTED_VALUE"""),"All")</f>
        <v>All</v>
      </c>
      <c r="H396" s="49" t="str">
        <f>IFERROR(__xludf.DUMMYFUNCTION("""COMPUTED_VALUE"""),"Ranged")</f>
        <v>Ranged</v>
      </c>
      <c r="I396" s="49" t="str">
        <f>IFERROR(__xludf.DUMMYFUNCTION("""COMPUTED_VALUE"""),"Player")</f>
        <v>Player</v>
      </c>
      <c r="J396" s="49" t="b">
        <f>IFERROR(__xludf.DUMMYFUNCTION("""COMPUTED_VALUE"""),TRUE)</f>
        <v>1</v>
      </c>
      <c r="K396" s="49" t="str">
        <f>IFERROR(__xludf.DUMMYFUNCTION("""COMPUTED_VALUE"""),"shop spell")</f>
        <v>shop spell</v>
      </c>
      <c r="L396" s="49" t="b">
        <f>IFERROR(__xludf.DUMMYFUNCTION("""COMPUTED_VALUE"""),FALSE)</f>
        <v>0</v>
      </c>
      <c r="M396" s="49" t="b">
        <f>IFERROR(__xludf.DUMMYFUNCTION("""COMPUTED_VALUE"""),FALSE)</f>
        <v>0</v>
      </c>
      <c r="N396" s="49"/>
    </row>
    <row r="397">
      <c r="A397" s="49" t="str">
        <f>IFERROR(__xludf.DUMMYFUNCTION("""COMPUTED_VALUE"""),"Torpedo")</f>
        <v>Torpedo</v>
      </c>
      <c r="B397" s="126">
        <f>IFERROR(__xludf.DUMMYFUNCTION("""COMPUTED_VALUE"""),1.0)</f>
        <v>1</v>
      </c>
      <c r="C397" s="125">
        <f>IFERROR(__xludf.DUMMYFUNCTION("""COMPUTED_VALUE"""),0.0)</f>
        <v>0</v>
      </c>
      <c r="D397" s="49"/>
      <c r="E397" s="49" t="str">
        <f>IFERROR(__xludf.DUMMYFUNCTION("""COMPUTED_VALUE"""),"10,000 times d20 damage.")</f>
        <v>10,000 times d20 damage.</v>
      </c>
      <c r="F397" s="49" t="str">
        <f>IFERROR(__xludf.DUMMYFUNCTION("""COMPUTED_VALUE"""),"Natural/ Hit or Miss")</f>
        <v>Natural/ Hit or Miss</v>
      </c>
      <c r="G397" s="49">
        <f>IFERROR(__xludf.DUMMYFUNCTION("""COMPUTED_VALUE"""),1.0)</f>
        <v>1</v>
      </c>
      <c r="H397" s="49" t="str">
        <f>IFERROR(__xludf.DUMMYFUNCTION("""COMPUTED_VALUE"""),"Ranged")</f>
        <v>Ranged</v>
      </c>
      <c r="I397" s="49" t="str">
        <f>IFERROR(__xludf.DUMMYFUNCTION("""COMPUTED_VALUE"""),"Mob")</f>
        <v>Mob</v>
      </c>
      <c r="J397" s="49" t="b">
        <f>IFERROR(__xludf.DUMMYFUNCTION("""COMPUTED_VALUE"""),TRUE)</f>
        <v>1</v>
      </c>
      <c r="K397" s="49" t="str">
        <f>IFERROR(__xludf.DUMMYFUNCTION("""COMPUTED_VALUE"""),"Vehicle Power")</f>
        <v>Vehicle Power</v>
      </c>
      <c r="L397" s="49" t="b">
        <f>IFERROR(__xludf.DUMMYFUNCTION("""COMPUTED_VALUE"""),FALSE)</f>
        <v>0</v>
      </c>
      <c r="M397" s="49" t="b">
        <f>IFERROR(__xludf.DUMMYFUNCTION("""COMPUTED_VALUE"""),FALSE)</f>
        <v>0</v>
      </c>
      <c r="N397" s="49"/>
    </row>
    <row r="398">
      <c r="A398" s="49" t="str">
        <f>IFERROR(__xludf.DUMMYFUNCTION("""COMPUTED_VALUE"""),"Tower Of Balance III")</f>
        <v>Tower Of Balance III</v>
      </c>
      <c r="B398" s="126">
        <f>IFERROR(__xludf.DUMMYFUNCTION("""COMPUTED_VALUE"""),8.0)</f>
        <v>8</v>
      </c>
      <c r="C398" s="49">
        <f>IFERROR(__xludf.DUMMYFUNCTION("""COMPUTED_VALUE"""),200.0)</f>
        <v>200</v>
      </c>
      <c r="D398" s="49"/>
      <c r="E398" s="49"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49" t="str">
        <f>IFERROR(__xludf.DUMMYFUNCTION("""COMPUTED_VALUE"""),"Will Succeed")</f>
        <v>Will Succeed</v>
      </c>
      <c r="G398" s="49"/>
      <c r="H398" s="49" t="str">
        <f>IFERROR(__xludf.DUMMYFUNCTION("""COMPUTED_VALUE"""),"Ranged")</f>
        <v>Ranged</v>
      </c>
      <c r="I398" s="49" t="str">
        <f>IFERROR(__xludf.DUMMYFUNCTION("""COMPUTED_VALUE"""),"Player")</f>
        <v>Player</v>
      </c>
      <c r="J398" s="49" t="b">
        <f>IFERROR(__xludf.DUMMYFUNCTION("""COMPUTED_VALUE"""),FALSE)</f>
        <v>0</v>
      </c>
      <c r="K398" s="49"/>
      <c r="L398" s="49" t="b">
        <f>IFERROR(__xludf.DUMMYFUNCTION("""COMPUTED_VALUE"""),FALSE)</f>
        <v>0</v>
      </c>
      <c r="M398" s="49" t="b">
        <f>IFERROR(__xludf.DUMMYFUNCTION("""COMPUTED_VALUE"""),TRUE)</f>
        <v>1</v>
      </c>
      <c r="N398" s="49"/>
    </row>
    <row r="399">
      <c r="A399" s="49" t="str">
        <f>IFERROR(__xludf.DUMMYFUNCTION("""COMPUTED_VALUE"""),"Web Shot")</f>
        <v>Web Shot</v>
      </c>
      <c r="B399" s="126">
        <f>IFERROR(__xludf.DUMMYFUNCTION("""COMPUTED_VALUE"""),1.0)</f>
        <v>1</v>
      </c>
      <c r="C399" s="49">
        <f>IFERROR(__xludf.DUMMYFUNCTION("""COMPUTED_VALUE"""),0.0)</f>
        <v>0</v>
      </c>
      <c r="D399" s="49"/>
      <c r="E399" s="49" t="str">
        <f>IFERROR(__xludf.DUMMYFUNCTION("""COMPUTED_VALUE"""),"5000 damage, target cannot flee from battle for the rest of battle.")</f>
        <v>5000 damage, target cannot flee from battle for the rest of battle.</v>
      </c>
      <c r="F399" s="49" t="str">
        <f>IFERROR(__xludf.DUMMYFUNCTION("""COMPUTED_VALUE"""),"Natural/Hit or Miss")</f>
        <v>Natural/Hit or Miss</v>
      </c>
      <c r="G399" s="49">
        <f>IFERROR(__xludf.DUMMYFUNCTION("""COMPUTED_VALUE"""),1.0)</f>
        <v>1</v>
      </c>
      <c r="H399" s="49" t="str">
        <f>IFERROR(__xludf.DUMMYFUNCTION("""COMPUTED_VALUE"""),"Ranged")</f>
        <v>Ranged</v>
      </c>
      <c r="I399" s="49" t="str">
        <f>IFERROR(__xludf.DUMMYFUNCTION("""COMPUTED_VALUE"""),"Mob")</f>
        <v>Mob</v>
      </c>
      <c r="J399" s="49" t="b">
        <f>IFERROR(__xludf.DUMMYFUNCTION("""COMPUTED_VALUE"""),TRUE)</f>
        <v>1</v>
      </c>
      <c r="K399" s="49"/>
      <c r="L399" s="49" t="b">
        <f>IFERROR(__xludf.DUMMYFUNCTION("""COMPUTED_VALUE"""),FALSE)</f>
        <v>0</v>
      </c>
      <c r="M399" s="49" t="b">
        <f>IFERROR(__xludf.DUMMYFUNCTION("""COMPUTED_VALUE"""),FALSE)</f>
        <v>0</v>
      </c>
      <c r="N399" s="49"/>
    </row>
    <row r="400">
      <c r="A400" s="49" t="str">
        <f>IFERROR(__xludf.DUMMYFUNCTION("""COMPUTED_VALUE"""),"Cannon Bombardment")</f>
        <v>Cannon Bombardment</v>
      </c>
      <c r="B400" s="126">
        <f>IFERROR(__xludf.DUMMYFUNCTION("""COMPUTED_VALUE"""),1.0)</f>
        <v>1</v>
      </c>
      <c r="C400" s="49">
        <f>IFERROR(__xludf.DUMMYFUNCTION("""COMPUTED_VALUE"""),0.0)</f>
        <v>0</v>
      </c>
      <c r="D400" s="49"/>
      <c r="E400" s="49"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49" t="str">
        <f>IFERROR(__xludf.DUMMYFUNCTION("""COMPUTED_VALUE"""),"Natural/Fail or Succeed")</f>
        <v>Natural/Fail or Succeed</v>
      </c>
      <c r="G400" s="49" t="str">
        <f>IFERROR(__xludf.DUMMYFUNCTION("""COMPUTED_VALUE"""),"All")</f>
        <v>All</v>
      </c>
      <c r="H400" s="49" t="str">
        <f>IFERROR(__xludf.DUMMYFUNCTION("""COMPUTED_VALUE"""),"Ranged")</f>
        <v>Ranged</v>
      </c>
      <c r="I400" s="49"/>
      <c r="J400" s="49" t="b">
        <f>IFERROR(__xludf.DUMMYFUNCTION("""COMPUTED_VALUE"""),FALSE)</f>
        <v>0</v>
      </c>
      <c r="K400" s="49"/>
      <c r="L400" s="49" t="b">
        <f>IFERROR(__xludf.DUMMYFUNCTION("""COMPUTED_VALUE"""),FALSE)</f>
        <v>0</v>
      </c>
      <c r="M400" s="49" t="b">
        <f>IFERROR(__xludf.DUMMYFUNCTION("""COMPUTED_VALUE"""),FALSE)</f>
        <v>0</v>
      </c>
      <c r="N400" s="49"/>
    </row>
    <row r="401">
      <c r="A401" s="49" t="str">
        <f>IFERROR(__xludf.DUMMYFUNCTION("""COMPUTED_VALUE"""),"Acidic Spit")</f>
        <v>Acidic Spit</v>
      </c>
      <c r="B401" s="126">
        <f>IFERROR(__xludf.DUMMYFUNCTION("""COMPUTED_VALUE"""),1.0)</f>
        <v>1</v>
      </c>
      <c r="C401" s="49">
        <f>IFERROR(__xludf.DUMMYFUNCTION("""COMPUTED_VALUE"""),0.0)</f>
        <v>0</v>
      </c>
      <c r="D401" s="49"/>
      <c r="E401" s="49" t="str">
        <f>IFERROR(__xludf.DUMMYFUNCTION("""COMPUTED_VALUE"""),"Poison X per round to 2 targets, where X is equal to your accuracy.")</f>
        <v>Poison X per round to 2 targets, where X is equal to your accuracy.</v>
      </c>
      <c r="F401" s="49" t="str">
        <f>IFERROR(__xludf.DUMMYFUNCTION("""COMPUTED_VALUE"""),"Natural/Hit or Miss")</f>
        <v>Natural/Hit or Miss</v>
      </c>
      <c r="G401" s="49">
        <f>IFERROR(__xludf.DUMMYFUNCTION("""COMPUTED_VALUE"""),2.0)</f>
        <v>2</v>
      </c>
      <c r="H401" s="49" t="str">
        <f>IFERROR(__xludf.DUMMYFUNCTION("""COMPUTED_VALUE"""),"Ranged")</f>
        <v>Ranged</v>
      </c>
      <c r="I401" s="49" t="str">
        <f>IFERROR(__xludf.DUMMYFUNCTION("""COMPUTED_VALUE"""),"Mob")</f>
        <v>Mob</v>
      </c>
      <c r="J401" s="49" t="b">
        <f>IFERROR(__xludf.DUMMYFUNCTION("""COMPUTED_VALUE"""),TRUE)</f>
        <v>1</v>
      </c>
      <c r="K401" s="49"/>
      <c r="L401" s="49" t="b">
        <f>IFERROR(__xludf.DUMMYFUNCTION("""COMPUTED_VALUE"""),FALSE)</f>
        <v>0</v>
      </c>
      <c r="M401" s="49" t="b">
        <f>IFERROR(__xludf.DUMMYFUNCTION("""COMPUTED_VALUE"""),FALSE)</f>
        <v>0</v>
      </c>
      <c r="N401" s="49"/>
    </row>
    <row r="402">
      <c r="A402" s="49" t="str">
        <f>IFERROR(__xludf.DUMMYFUNCTION("""COMPUTED_VALUE"""),"A Deal With The Spirit World")</f>
        <v>A Deal With The Spirit World</v>
      </c>
      <c r="B402" s="126">
        <f>IFERROR(__xludf.DUMMYFUNCTION("""COMPUTED_VALUE"""),7.0)</f>
        <v>7</v>
      </c>
      <c r="C402" s="49"/>
      <c r="D402" s="49" t="str">
        <f>IFERROR(__xludf.DUMMYFUNCTION("""COMPUTED_VALUE"""),"X")</f>
        <v>X</v>
      </c>
      <c r="E402" s="49" t="str">
        <f>IFERROR(__xludf.DUMMYFUNCTION("""COMPUTED_VALUE"""),"Deal X unblockable damage to self to drain X*100 SP from target.")</f>
        <v>Deal X unblockable damage to self to drain X*100 SP from target.</v>
      </c>
      <c r="F402" s="49" t="str">
        <f>IFERROR(__xludf.DUMMYFUNCTION("""COMPUTED_VALUE"""),"Fail/Succeed")</f>
        <v>Fail/Succeed</v>
      </c>
      <c r="G402" s="49"/>
      <c r="H402" s="49" t="str">
        <f>IFERROR(__xludf.DUMMYFUNCTION("""COMPUTED_VALUE"""),"Spirit")</f>
        <v>Spirit</v>
      </c>
      <c r="I402" s="49" t="str">
        <f>IFERROR(__xludf.DUMMYFUNCTION("""COMPUTED_VALUE"""),"Player")</f>
        <v>Player</v>
      </c>
      <c r="J402" s="49" t="b">
        <f>IFERROR(__xludf.DUMMYFUNCTION("""COMPUTED_VALUE"""),FALSE)</f>
        <v>0</v>
      </c>
      <c r="K402" s="49"/>
      <c r="L402" s="49" t="b">
        <f>IFERROR(__xludf.DUMMYFUNCTION("""COMPUTED_VALUE"""),TRUE)</f>
        <v>1</v>
      </c>
      <c r="M402" s="49" t="b">
        <f>IFERROR(__xludf.DUMMYFUNCTION("""COMPUTED_VALUE"""),FALSE)</f>
        <v>0</v>
      </c>
      <c r="N402" s="49"/>
    </row>
    <row r="403">
      <c r="A403" s="49" t="str">
        <f>IFERROR(__xludf.DUMMYFUNCTION("""COMPUTED_VALUE"""),"Big Chomping Souls")</f>
        <v>Big Chomping Souls</v>
      </c>
      <c r="B403" s="126">
        <f>IFERROR(__xludf.DUMMYFUNCTION("""COMPUTED_VALUE"""),1.0)</f>
        <v>1</v>
      </c>
      <c r="C403" s="49">
        <f>IFERROR(__xludf.DUMMYFUNCTION("""COMPUTED_VALUE"""),0.0)</f>
        <v>0</v>
      </c>
      <c r="D403" s="49"/>
      <c r="E403" s="49"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49" t="str">
        <f>IFERROR(__xludf.DUMMYFUNCTION("""COMPUTED_VALUE"""),"Natural/Cannot Avoid")</f>
        <v>Natural/Cannot Avoid</v>
      </c>
      <c r="G403" s="49" t="str">
        <f>IFERROR(__xludf.DUMMYFUNCTION("""COMPUTED_VALUE"""),"All")</f>
        <v>All</v>
      </c>
      <c r="H403" s="49" t="str">
        <f>IFERROR(__xludf.DUMMYFUNCTION("""COMPUTED_VALUE"""),"Spirit")</f>
        <v>Spirit</v>
      </c>
      <c r="I403" s="49" t="str">
        <f>IFERROR(__xludf.DUMMYFUNCTION("""COMPUTED_VALUE"""),"Mob")</f>
        <v>Mob</v>
      </c>
      <c r="J403" s="49" t="b">
        <f>IFERROR(__xludf.DUMMYFUNCTION("""COMPUTED_VALUE"""),TRUE)</f>
        <v>1</v>
      </c>
      <c r="K403" s="49"/>
      <c r="L403" s="49" t="b">
        <f>IFERROR(__xludf.DUMMYFUNCTION("""COMPUTED_VALUE"""),TRUE)</f>
        <v>1</v>
      </c>
      <c r="M403" s="49" t="b">
        <f>IFERROR(__xludf.DUMMYFUNCTION("""COMPUTED_VALUE"""),FALSE)</f>
        <v>0</v>
      </c>
      <c r="N403" s="49" t="str">
        <f>IFERROR(__xludf.DUMMYFUNCTION("""COMPUTED_VALUE"""),"Abstara")</f>
        <v>Abstara</v>
      </c>
    </row>
    <row r="404">
      <c r="A404" s="49" t="str">
        <f>IFERROR(__xludf.DUMMYFUNCTION("""COMPUTED_VALUE"""),"Confuse")</f>
        <v>Confuse</v>
      </c>
      <c r="B404" s="126">
        <f>IFERROR(__xludf.DUMMYFUNCTION("""COMPUTED_VALUE"""),6.0)</f>
        <v>6</v>
      </c>
      <c r="C404" s="49">
        <f>IFERROR(__xludf.DUMMYFUNCTION("""COMPUTED_VALUE"""),90.0)</f>
        <v>90</v>
      </c>
      <c r="D404" s="49"/>
      <c r="E404" s="49" t="str">
        <f>IFERROR(__xludf.DUMMYFUNCTION("""COMPUTED_VALUE"""),"Makes the target incapable of performing their next action.")</f>
        <v>Makes the target incapable of performing their next action.</v>
      </c>
      <c r="F404" s="49" t="str">
        <f>IFERROR(__xludf.DUMMYFUNCTION("""COMPUTED_VALUE"""),"Fail/Succeed")</f>
        <v>Fail/Succeed</v>
      </c>
      <c r="G404" s="49"/>
      <c r="H404" s="49" t="str">
        <f>IFERROR(__xludf.DUMMYFUNCTION("""COMPUTED_VALUE"""),"Spirit")</f>
        <v>Spirit</v>
      </c>
      <c r="I404" s="49" t="str">
        <f>IFERROR(__xludf.DUMMYFUNCTION("""COMPUTED_VALUE"""),"Player")</f>
        <v>Player</v>
      </c>
      <c r="J404" s="49" t="b">
        <f>IFERROR(__xludf.DUMMYFUNCTION("""COMPUTED_VALUE"""),FALSE)</f>
        <v>0</v>
      </c>
      <c r="K404" s="49"/>
      <c r="L404" s="49" t="b">
        <f>IFERROR(__xludf.DUMMYFUNCTION("""COMPUTED_VALUE"""),TRUE)</f>
        <v>1</v>
      </c>
      <c r="M404" s="49" t="b">
        <f>IFERROR(__xludf.DUMMYFUNCTION("""COMPUTED_VALUE"""),FALSE)</f>
        <v>0</v>
      </c>
      <c r="N404" s="49"/>
    </row>
    <row r="405">
      <c r="A405" s="49" t="str">
        <f>IFERROR(__xludf.DUMMYFUNCTION("""COMPUTED_VALUE"""),"Degrade")</f>
        <v>Degrade</v>
      </c>
      <c r="B405" s="126">
        <f>IFERROR(__xludf.DUMMYFUNCTION("""COMPUTED_VALUE"""),1.0)</f>
        <v>1</v>
      </c>
      <c r="C405" s="49">
        <f>IFERROR(__xludf.DUMMYFUNCTION("""COMPUTED_VALUE"""),10.0)</f>
        <v>10</v>
      </c>
      <c r="D405" s="49"/>
      <c r="E405" s="49" t="str">
        <f>IFERROR(__xludf.DUMMYFUNCTION("""COMPUTED_VALUE"""),"1 Targets Max HP is reduced to 100.")</f>
        <v>1 Targets Max HP is reduced to 100.</v>
      </c>
      <c r="F405" s="49" t="str">
        <f>IFERROR(__xludf.DUMMYFUNCTION("""COMPUTED_VALUE"""),"Fail/Succeed")</f>
        <v>Fail/Succeed</v>
      </c>
      <c r="G405" s="49"/>
      <c r="H405" s="49" t="str">
        <f>IFERROR(__xludf.DUMMYFUNCTION("""COMPUTED_VALUE"""),"Spirit")</f>
        <v>Spirit</v>
      </c>
      <c r="I405" s="49" t="str">
        <f>IFERROR(__xludf.DUMMYFUNCTION("""COMPUTED_VALUE"""),"Player")</f>
        <v>Player</v>
      </c>
      <c r="J405" s="49" t="b">
        <f>IFERROR(__xludf.DUMMYFUNCTION("""COMPUTED_VALUE"""),FALSE)</f>
        <v>0</v>
      </c>
      <c r="K405" s="49"/>
      <c r="L405" s="49" t="b">
        <f>IFERROR(__xludf.DUMMYFUNCTION("""COMPUTED_VALUE"""),TRUE)</f>
        <v>1</v>
      </c>
      <c r="M405" s="49" t="b">
        <f>IFERROR(__xludf.DUMMYFUNCTION("""COMPUTED_VALUE"""),FALSE)</f>
        <v>0</v>
      </c>
      <c r="N405" s="49"/>
    </row>
    <row r="406">
      <c r="A406" s="49" t="str">
        <f>IFERROR(__xludf.DUMMYFUNCTION("""COMPUTED_VALUE"""),"Distant Warrior")</f>
        <v>Distant Warrior</v>
      </c>
      <c r="B406" s="126">
        <f>IFERROR(__xludf.DUMMYFUNCTION("""COMPUTED_VALUE"""),9.0)</f>
        <v>9</v>
      </c>
      <c r="C406" s="49" t="str">
        <f>IFERROR(__xludf.DUMMYFUNCTION("""COMPUTED_VALUE"""),"X*1000")</f>
        <v>X*1000</v>
      </c>
      <c r="D406" s="49"/>
      <c r="E406" s="49"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49" t="str">
        <f>IFERROR(__xludf.DUMMYFUNCTION("""COMPUTED_VALUE"""),"Will Succeed")</f>
        <v>Will Succeed</v>
      </c>
      <c r="G406" s="49"/>
      <c r="H406" s="49" t="str">
        <f>IFERROR(__xludf.DUMMYFUNCTION("""COMPUTED_VALUE"""),"Spirit")</f>
        <v>Spirit</v>
      </c>
      <c r="I406" s="49" t="str">
        <f>IFERROR(__xludf.DUMMYFUNCTION("""COMPUTED_VALUE"""),"Player")</f>
        <v>Player</v>
      </c>
      <c r="J406" s="49" t="b">
        <f>IFERROR(__xludf.DUMMYFUNCTION("""COMPUTED_VALUE"""),FALSE)</f>
        <v>0</v>
      </c>
      <c r="K406" s="49"/>
      <c r="L406" s="49" t="b">
        <f>IFERROR(__xludf.DUMMYFUNCTION("""COMPUTED_VALUE"""),TRUE)</f>
        <v>1</v>
      </c>
      <c r="M406" s="49" t="b">
        <f>IFERROR(__xludf.DUMMYFUNCTION("""COMPUTED_VALUE"""),FALSE)</f>
        <v>0</v>
      </c>
      <c r="N406" s="49"/>
    </row>
    <row r="407">
      <c r="A407" s="49" t="str">
        <f>IFERROR(__xludf.DUMMYFUNCTION("""COMPUTED_VALUE"""),"Enthrall")</f>
        <v>Enthrall</v>
      </c>
      <c r="B407" s="126">
        <f>IFERROR(__xludf.DUMMYFUNCTION("""COMPUTED_VALUE"""),9.0)</f>
        <v>9</v>
      </c>
      <c r="C407" s="49">
        <f>IFERROR(__xludf.DUMMYFUNCTION("""COMPUTED_VALUE"""),1000.0)</f>
        <v>1000</v>
      </c>
      <c r="D407" s="49"/>
      <c r="E407" s="49"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49" t="str">
        <f>IFERROR(__xludf.DUMMYFUNCTION("""COMPUTED_VALUE"""),"Fail/Succeed")</f>
        <v>Fail/Succeed</v>
      </c>
      <c r="G407" s="49"/>
      <c r="H407" s="49" t="str">
        <f>IFERROR(__xludf.DUMMYFUNCTION("""COMPUTED_VALUE"""),"Spirit")</f>
        <v>Spirit</v>
      </c>
      <c r="I407" s="49" t="str">
        <f>IFERROR(__xludf.DUMMYFUNCTION("""COMPUTED_VALUE"""),"Player")</f>
        <v>Player</v>
      </c>
      <c r="J407" s="49" t="b">
        <f>IFERROR(__xludf.DUMMYFUNCTION("""COMPUTED_VALUE"""),FALSE)</f>
        <v>0</v>
      </c>
      <c r="K407" s="49"/>
      <c r="L407" s="49" t="b">
        <f>IFERROR(__xludf.DUMMYFUNCTION("""COMPUTED_VALUE"""),TRUE)</f>
        <v>1</v>
      </c>
      <c r="M407" s="49" t="b">
        <f>IFERROR(__xludf.DUMMYFUNCTION("""COMPUTED_VALUE"""),FALSE)</f>
        <v>0</v>
      </c>
      <c r="N407" s="49"/>
    </row>
    <row r="408">
      <c r="A408" s="49" t="str">
        <f>IFERROR(__xludf.DUMMYFUNCTION("""COMPUTED_VALUE"""),"Final Blast")</f>
        <v>Final Blast</v>
      </c>
      <c r="B408" s="126">
        <f>IFERROR(__xludf.DUMMYFUNCTION("""COMPUTED_VALUE"""),6.0)</f>
        <v>6</v>
      </c>
      <c r="C408" s="49" t="str">
        <f>IFERROR(__xludf.DUMMYFUNCTION("""COMPUTED_VALUE"""),"Current SP")</f>
        <v>Current SP</v>
      </c>
      <c r="D408" s="49"/>
      <c r="E408" s="49" t="str">
        <f>IFERROR(__xludf.DUMMYFUNCTION("""COMPUTED_VALUE"""),"Deal Current SP *10 damage to all enemies.")</f>
        <v>Deal Current SP *10 damage to all enemies.</v>
      </c>
      <c r="F408" s="49" t="str">
        <f>IFERROR(__xludf.DUMMYFUNCTION("""COMPUTED_VALUE"""),"Canot Avoid")</f>
        <v>Canot Avoid</v>
      </c>
      <c r="G408" s="49">
        <f>IFERROR(__xludf.DUMMYFUNCTION("""COMPUTED_VALUE"""),1.0)</f>
        <v>1</v>
      </c>
      <c r="H408" s="49" t="str">
        <f>IFERROR(__xludf.DUMMYFUNCTION("""COMPUTED_VALUE"""),"Spirit")</f>
        <v>Spirit</v>
      </c>
      <c r="I408" s="49" t="str">
        <f>IFERROR(__xludf.DUMMYFUNCTION("""COMPUTED_VALUE"""),"Player")</f>
        <v>Player</v>
      </c>
      <c r="J408" s="49" t="b">
        <f>IFERROR(__xludf.DUMMYFUNCTION("""COMPUTED_VALUE"""),FALSE)</f>
        <v>0</v>
      </c>
      <c r="K408" s="49"/>
      <c r="L408" s="49" t="b">
        <f>IFERROR(__xludf.DUMMYFUNCTION("""COMPUTED_VALUE"""),TRUE)</f>
        <v>1</v>
      </c>
      <c r="M408" s="49" t="b">
        <f>IFERROR(__xludf.DUMMYFUNCTION("""COMPUTED_VALUE"""),FALSE)</f>
        <v>0</v>
      </c>
      <c r="N408" s="49"/>
    </row>
    <row r="409">
      <c r="A409" s="49" t="str">
        <f>IFERROR(__xludf.DUMMYFUNCTION("""COMPUTED_VALUE"""),"Final Rest")</f>
        <v>Final Rest</v>
      </c>
      <c r="B409" s="126">
        <f>IFERROR(__xludf.DUMMYFUNCTION("""COMPUTED_VALUE"""),6.0)</f>
        <v>6</v>
      </c>
      <c r="C409" s="49">
        <f>IFERROR(__xludf.DUMMYFUNCTION("""COMPUTED_VALUE"""),90.0)</f>
        <v>90</v>
      </c>
      <c r="D409" s="49"/>
      <c r="E409" s="49" t="str">
        <f>IFERROR(__xludf.DUMMYFUNCTION("""COMPUTED_VALUE"""),"25% chance of instantly banishing any target, 20% chance to banish self.")</f>
        <v>25% chance of instantly banishing any target, 20% chance to banish self.</v>
      </c>
      <c r="F409" s="49" t="str">
        <f>IFERROR(__xludf.DUMMYFUNCTION("""COMPUTED_VALUE"""),"Fail/Succeed")</f>
        <v>Fail/Succeed</v>
      </c>
      <c r="G409" s="49"/>
      <c r="H409" s="49" t="str">
        <f>IFERROR(__xludf.DUMMYFUNCTION("""COMPUTED_VALUE"""),"Spirit")</f>
        <v>Spirit</v>
      </c>
      <c r="I409" s="49" t="str">
        <f>IFERROR(__xludf.DUMMYFUNCTION("""COMPUTED_VALUE"""),"Player")</f>
        <v>Player</v>
      </c>
      <c r="J409" s="49" t="b">
        <f>IFERROR(__xludf.DUMMYFUNCTION("""COMPUTED_VALUE"""),FALSE)</f>
        <v>0</v>
      </c>
      <c r="K409" s="49"/>
      <c r="L409" s="49" t="b">
        <f>IFERROR(__xludf.DUMMYFUNCTION("""COMPUTED_VALUE"""),TRUE)</f>
        <v>1</v>
      </c>
      <c r="M409" s="49" t="b">
        <f>IFERROR(__xludf.DUMMYFUNCTION("""COMPUTED_VALUE"""),FALSE)</f>
        <v>0</v>
      </c>
      <c r="N409" s="49"/>
    </row>
    <row r="410">
      <c r="A410" s="49" t="str">
        <f>IFERROR(__xludf.DUMMYFUNCTION("""COMPUTED_VALUE"""),"Gain Soul")</f>
        <v>Gain Soul</v>
      </c>
      <c r="B410" s="126">
        <f>IFERROR(__xludf.DUMMYFUNCTION("""COMPUTED_VALUE"""),6.0)</f>
        <v>6</v>
      </c>
      <c r="C410" s="49">
        <f>IFERROR(__xludf.DUMMYFUNCTION("""COMPUTED_VALUE"""),90.0)</f>
        <v>90</v>
      </c>
      <c r="D410" s="49"/>
      <c r="E410" s="49" t="str">
        <f>IFERROR(__xludf.DUMMYFUNCTION("""COMPUTED_VALUE"""),"Undoes Lost Soul. If Lost Soul hasn’t been casted, then doubles the effects of the next two spells.")</f>
        <v>Undoes Lost Soul. If Lost Soul hasn’t been casted, then doubles the effects of the next two spells.</v>
      </c>
      <c r="F410" s="49" t="str">
        <f>IFERROR(__xludf.DUMMYFUNCTION("""COMPUTED_VALUE"""),"Will Succeed")</f>
        <v>Will Succeed</v>
      </c>
      <c r="G410" s="49"/>
      <c r="H410" s="49" t="str">
        <f>IFERROR(__xludf.DUMMYFUNCTION("""COMPUTED_VALUE"""),"Spirit")</f>
        <v>Spirit</v>
      </c>
      <c r="I410" s="49" t="str">
        <f>IFERROR(__xludf.DUMMYFUNCTION("""COMPUTED_VALUE"""),"Player")</f>
        <v>Player</v>
      </c>
      <c r="J410" s="49" t="b">
        <f>IFERROR(__xludf.DUMMYFUNCTION("""COMPUTED_VALUE"""),FALSE)</f>
        <v>0</v>
      </c>
      <c r="K410" s="49"/>
      <c r="L410" s="49" t="b">
        <f>IFERROR(__xludf.DUMMYFUNCTION("""COMPUTED_VALUE"""),TRUE)</f>
        <v>1</v>
      </c>
      <c r="M410" s="49" t="b">
        <f>IFERROR(__xludf.DUMMYFUNCTION("""COMPUTED_VALUE"""),FALSE)</f>
        <v>0</v>
      </c>
      <c r="N410" s="49"/>
    </row>
    <row r="411">
      <c r="A411" s="49" t="str">
        <f>IFERROR(__xludf.DUMMYFUNCTION("""COMPUTED_VALUE"""),"HP Recover")</f>
        <v>HP Recover</v>
      </c>
      <c r="B411" s="126">
        <f>IFERROR(__xludf.DUMMYFUNCTION("""COMPUTED_VALUE"""),1.0)</f>
        <v>1</v>
      </c>
      <c r="C411" s="49">
        <f>IFERROR(__xludf.DUMMYFUNCTION("""COMPUTED_VALUE"""),0.0)</f>
        <v>0</v>
      </c>
      <c r="D411" s="49"/>
      <c r="E411" s="49" t="str">
        <f>IFERROR(__xludf.DUMMYFUNCTION("""COMPUTED_VALUE"""),"Regain 5000 HP. Can only be used three times per character per session.")</f>
        <v>Regain 5000 HP. Can only be used three times per character per session.</v>
      </c>
      <c r="F411" s="49" t="str">
        <f>IFERROR(__xludf.DUMMYFUNCTION("""COMPUTED_VALUE"""),"Natural/Will Succeed")</f>
        <v>Natural/Will Succeed</v>
      </c>
      <c r="G411" s="49"/>
      <c r="H411" s="49" t="str">
        <f>IFERROR(__xludf.DUMMYFUNCTION("""COMPUTED_VALUE"""),"Spirit")</f>
        <v>Spirit</v>
      </c>
      <c r="I411" s="49" t="str">
        <f>IFERROR(__xludf.DUMMYFUNCTION("""COMPUTED_VALUE"""),"Player")</f>
        <v>Player</v>
      </c>
      <c r="J411" s="49" t="b">
        <f>IFERROR(__xludf.DUMMYFUNCTION("""COMPUTED_VALUE"""),FALSE)</f>
        <v>0</v>
      </c>
      <c r="K411" s="49"/>
      <c r="L411" s="49" t="b">
        <f>IFERROR(__xludf.DUMMYFUNCTION("""COMPUTED_VALUE"""),TRUE)</f>
        <v>1</v>
      </c>
      <c r="M411" s="49" t="b">
        <f>IFERROR(__xludf.DUMMYFUNCTION("""COMPUTED_VALUE"""),FALSE)</f>
        <v>0</v>
      </c>
      <c r="N411" s="49"/>
    </row>
    <row r="412">
      <c r="A412" s="49" t="str">
        <f>IFERROR(__xludf.DUMMYFUNCTION("""COMPUTED_VALUE"""),"Lost Soul")</f>
        <v>Lost Soul</v>
      </c>
      <c r="B412" s="126">
        <f>IFERROR(__xludf.DUMMYFUNCTION("""COMPUTED_VALUE"""),6.0)</f>
        <v>6</v>
      </c>
      <c r="C412" s="49">
        <f>IFERROR(__xludf.DUMMYFUNCTION("""COMPUTED_VALUE"""),90.0)</f>
        <v>90</v>
      </c>
      <c r="D412" s="49"/>
      <c r="E412" s="49"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49" t="str">
        <f>IFERROR(__xludf.DUMMYFUNCTION("""COMPUTED_VALUE"""),"Will Succeed")</f>
        <v>Will Succeed</v>
      </c>
      <c r="G412" s="49"/>
      <c r="H412" s="49" t="str">
        <f>IFERROR(__xludf.DUMMYFUNCTION("""COMPUTED_VALUE"""),"Spirit")</f>
        <v>Spirit</v>
      </c>
      <c r="I412" s="49" t="str">
        <f>IFERROR(__xludf.DUMMYFUNCTION("""COMPUTED_VALUE"""),"Player")</f>
        <v>Player</v>
      </c>
      <c r="J412" s="49" t="b">
        <f>IFERROR(__xludf.DUMMYFUNCTION("""COMPUTED_VALUE"""),FALSE)</f>
        <v>0</v>
      </c>
      <c r="K412" s="49"/>
      <c r="L412" s="49" t="b">
        <f>IFERROR(__xludf.DUMMYFUNCTION("""COMPUTED_VALUE"""),TRUE)</f>
        <v>1</v>
      </c>
      <c r="M412" s="49" t="b">
        <f>IFERROR(__xludf.DUMMYFUNCTION("""COMPUTED_VALUE"""),FALSE)</f>
        <v>0</v>
      </c>
      <c r="N412" s="49"/>
    </row>
    <row r="413">
      <c r="A413" s="49" t="str">
        <f>IFERROR(__xludf.DUMMYFUNCTION("""COMPUTED_VALUE"""),"Negative Energy")</f>
        <v>Negative Energy</v>
      </c>
      <c r="B413" s="126">
        <f>IFERROR(__xludf.DUMMYFUNCTION("""COMPUTED_VALUE"""),5.0)</f>
        <v>5</v>
      </c>
      <c r="C413" s="49">
        <f>IFERROR(__xludf.DUMMYFUNCTION("""COMPUTED_VALUE"""),50.0)</f>
        <v>50</v>
      </c>
      <c r="D413" s="49"/>
      <c r="E413" s="49" t="str">
        <f>IFERROR(__xludf.DUMMYFUNCTION("""COMPUTED_VALUE"""),"Target halfs the damage from their next attack.")</f>
        <v>Target halfs the damage from their next attack.</v>
      </c>
      <c r="F413" s="49" t="str">
        <f>IFERROR(__xludf.DUMMYFUNCTION("""COMPUTED_VALUE"""),"Fail/succeed")</f>
        <v>Fail/succeed</v>
      </c>
      <c r="G413" s="49"/>
      <c r="H413" s="49" t="str">
        <f>IFERROR(__xludf.DUMMYFUNCTION("""COMPUTED_VALUE"""),"Spirit")</f>
        <v>Spirit</v>
      </c>
      <c r="I413" s="49" t="str">
        <f>IFERROR(__xludf.DUMMYFUNCTION("""COMPUTED_VALUE"""),"Player")</f>
        <v>Player</v>
      </c>
      <c r="J413" s="49" t="b">
        <f>IFERROR(__xludf.DUMMYFUNCTION("""COMPUTED_VALUE"""),FALSE)</f>
        <v>0</v>
      </c>
      <c r="K413" s="49"/>
      <c r="L413" s="49" t="b">
        <f>IFERROR(__xludf.DUMMYFUNCTION("""COMPUTED_VALUE"""),TRUE)</f>
        <v>1</v>
      </c>
      <c r="M413" s="49" t="b">
        <f>IFERROR(__xludf.DUMMYFUNCTION("""COMPUTED_VALUE"""),FALSE)</f>
        <v>0</v>
      </c>
      <c r="N413" s="49"/>
    </row>
    <row r="414">
      <c r="A414" s="49" t="str">
        <f>IFERROR(__xludf.DUMMYFUNCTION("""COMPUTED_VALUE"""),"Portal From Abstara")</f>
        <v>Portal From Abstara</v>
      </c>
      <c r="B414" s="126">
        <f>IFERROR(__xludf.DUMMYFUNCTION("""COMPUTED_VALUE"""),9.0)</f>
        <v>9</v>
      </c>
      <c r="C414" s="125">
        <f>IFERROR(__xludf.DUMMYFUNCTION("""COMPUTED_VALUE"""),1000.0)</f>
        <v>1000</v>
      </c>
      <c r="D414" s="49"/>
      <c r="E414" s="49" t="str">
        <f>IFERROR(__xludf.DUMMYFUNCTION("""COMPUTED_VALUE"""),"Creates a demonic summoning portal sending demons to instantly kill everyone in battle, even the caster.")</f>
        <v>Creates a demonic summoning portal sending demons to instantly kill everyone in battle, even the caster.</v>
      </c>
      <c r="F414" s="49" t="str">
        <f>IFERROR(__xludf.DUMMYFUNCTION("""COMPUTED_VALUE"""),"Fail/Succeed")</f>
        <v>Fail/Succeed</v>
      </c>
      <c r="G414" s="49" t="str">
        <f>IFERROR(__xludf.DUMMYFUNCTION("""COMPUTED_VALUE"""),"All")</f>
        <v>All</v>
      </c>
      <c r="H414" s="49" t="str">
        <f>IFERROR(__xludf.DUMMYFUNCTION("""COMPUTED_VALUE"""),"Spirit")</f>
        <v>Spirit</v>
      </c>
      <c r="I414" s="49" t="str">
        <f>IFERROR(__xludf.DUMMYFUNCTION("""COMPUTED_VALUE"""),"Player")</f>
        <v>Player</v>
      </c>
      <c r="J414" s="49" t="b">
        <f>IFERROR(__xludf.DUMMYFUNCTION("""COMPUTED_VALUE"""),TRUE)</f>
        <v>1</v>
      </c>
      <c r="K414" s="49" t="str">
        <f>IFERROR(__xludf.DUMMYFUNCTION("""COMPUTED_VALUE"""),"shop spell")</f>
        <v>shop spell</v>
      </c>
      <c r="L414" s="49" t="b">
        <f>IFERROR(__xludf.DUMMYFUNCTION("""COMPUTED_VALUE"""),TRUE)</f>
        <v>1</v>
      </c>
      <c r="M414" s="49" t="b">
        <f>IFERROR(__xludf.DUMMYFUNCTION("""COMPUTED_VALUE"""),FALSE)</f>
        <v>0</v>
      </c>
      <c r="N414" s="49"/>
    </row>
    <row r="415">
      <c r="A415" s="49" t="str">
        <f>IFERROR(__xludf.DUMMYFUNCTION("""COMPUTED_VALUE"""),"Positive Energy")</f>
        <v>Positive Energy</v>
      </c>
      <c r="B415" s="126">
        <f>IFERROR(__xludf.DUMMYFUNCTION("""COMPUTED_VALUE"""),5.0)</f>
        <v>5</v>
      </c>
      <c r="C415" s="49">
        <f>IFERROR(__xludf.DUMMYFUNCTION("""COMPUTED_VALUE"""),50.0)</f>
        <v>50</v>
      </c>
      <c r="D415" s="49"/>
      <c r="E415" s="49" t="str">
        <f>IFERROR(__xludf.DUMMYFUNCTION("""COMPUTED_VALUE"""),"X2 additional spirit damage for caster only.")</f>
        <v>X2 additional spirit damage for caster only.</v>
      </c>
      <c r="F415" s="49" t="str">
        <f>IFERROR(__xludf.DUMMYFUNCTION("""COMPUTED_VALUE"""),"Fail/Succeed")</f>
        <v>Fail/Succeed</v>
      </c>
      <c r="G415" s="49"/>
      <c r="H415" s="49" t="str">
        <f>IFERROR(__xludf.DUMMYFUNCTION("""COMPUTED_VALUE"""),"Spirit")</f>
        <v>Spirit</v>
      </c>
      <c r="I415" s="49" t="str">
        <f>IFERROR(__xludf.DUMMYFUNCTION("""COMPUTED_VALUE"""),"Player")</f>
        <v>Player</v>
      </c>
      <c r="J415" s="49" t="b">
        <f>IFERROR(__xludf.DUMMYFUNCTION("""COMPUTED_VALUE"""),FALSE)</f>
        <v>0</v>
      </c>
      <c r="K415" s="49"/>
      <c r="L415" s="49" t="b">
        <f>IFERROR(__xludf.DUMMYFUNCTION("""COMPUTED_VALUE"""),TRUE)</f>
        <v>1</v>
      </c>
      <c r="M415" s="49" t="b">
        <f>IFERROR(__xludf.DUMMYFUNCTION("""COMPUTED_VALUE"""),FALSE)</f>
        <v>0</v>
      </c>
      <c r="N415" s="49"/>
    </row>
    <row r="416">
      <c r="A416" s="49" t="str">
        <f>IFERROR(__xludf.DUMMYFUNCTION("""COMPUTED_VALUE"""),"Possession")</f>
        <v>Possession</v>
      </c>
      <c r="B416" s="126">
        <f>IFERROR(__xludf.DUMMYFUNCTION("""COMPUTED_VALUE"""),6.0)</f>
        <v>6</v>
      </c>
      <c r="C416" s="49">
        <f>IFERROR(__xludf.DUMMYFUNCTION("""COMPUTED_VALUE"""),90.0)</f>
        <v>90</v>
      </c>
      <c r="D416" s="49"/>
      <c r="E416" s="49" t="str">
        <f>IFERROR(__xludf.DUMMYFUNCTION("""COMPUTED_VALUE"""),"Possess one target, making them under your control until they are killed or banished. Cannot be canceled.")</f>
        <v>Possess one target, making them under your control until they are killed or banished. Cannot be canceled.</v>
      </c>
      <c r="F416" s="49" t="str">
        <f>IFERROR(__xludf.DUMMYFUNCTION("""COMPUTED_VALUE"""),"Fail/Succeed")</f>
        <v>Fail/Succeed</v>
      </c>
      <c r="G416" s="49"/>
      <c r="H416" s="49" t="str">
        <f>IFERROR(__xludf.DUMMYFUNCTION("""COMPUTED_VALUE"""),"Spirit")</f>
        <v>Spirit</v>
      </c>
      <c r="I416" s="49" t="str">
        <f>IFERROR(__xludf.DUMMYFUNCTION("""COMPUTED_VALUE"""),"Player")</f>
        <v>Player</v>
      </c>
      <c r="J416" s="49" t="b">
        <f>IFERROR(__xludf.DUMMYFUNCTION("""COMPUTED_VALUE"""),FALSE)</f>
        <v>0</v>
      </c>
      <c r="K416" s="49"/>
      <c r="L416" s="49" t="b">
        <f>IFERROR(__xludf.DUMMYFUNCTION("""COMPUTED_VALUE"""),TRUE)</f>
        <v>1</v>
      </c>
      <c r="M416" s="49" t="b">
        <f>IFERROR(__xludf.DUMMYFUNCTION("""COMPUTED_VALUE"""),FALSE)</f>
        <v>0</v>
      </c>
      <c r="N416" s="49"/>
    </row>
    <row r="417">
      <c r="A417" s="49" t="str">
        <f>IFERROR(__xludf.DUMMYFUNCTION("""COMPUTED_VALUE"""),"Rain of Souls")</f>
        <v>Rain of Souls</v>
      </c>
      <c r="B417" s="126">
        <f>IFERROR(__xludf.DUMMYFUNCTION("""COMPUTED_VALUE"""),9.0)</f>
        <v>9</v>
      </c>
      <c r="C417" s="49">
        <f>IFERROR(__xludf.DUMMYFUNCTION("""COMPUTED_VALUE"""),300.0)</f>
        <v>300</v>
      </c>
      <c r="D417" s="49"/>
      <c r="E417" s="49" t="str">
        <f>IFERROR(__xludf.DUMMYFUNCTION("""COMPUTED_VALUE"""),"Release X amount of souls to regain X*100 SP for self and allies.")</f>
        <v>Release X amount of souls to regain X*100 SP for self and allies.</v>
      </c>
      <c r="F417" s="49" t="str">
        <f>IFERROR(__xludf.DUMMYFUNCTION("""COMPUTED_VALUE"""),"Will Succeed")</f>
        <v>Will Succeed</v>
      </c>
      <c r="G417" s="49"/>
      <c r="H417" s="49" t="str">
        <f>IFERROR(__xludf.DUMMYFUNCTION("""COMPUTED_VALUE"""),"Spirit")</f>
        <v>Spirit</v>
      </c>
      <c r="I417" s="49" t="str">
        <f>IFERROR(__xludf.DUMMYFUNCTION("""COMPUTED_VALUE"""),"Player")</f>
        <v>Player</v>
      </c>
      <c r="J417" s="49" t="b">
        <f>IFERROR(__xludf.DUMMYFUNCTION("""COMPUTED_VALUE"""),FALSE)</f>
        <v>0</v>
      </c>
      <c r="K417" s="49"/>
      <c r="L417" s="49" t="b">
        <f>IFERROR(__xludf.DUMMYFUNCTION("""COMPUTED_VALUE"""),TRUE)</f>
        <v>1</v>
      </c>
      <c r="M417" s="49" t="b">
        <f>IFERROR(__xludf.DUMMYFUNCTION("""COMPUTED_VALUE"""),FALSE)</f>
        <v>0</v>
      </c>
      <c r="N417" s="49"/>
    </row>
    <row r="418">
      <c r="A418" s="49" t="str">
        <f>IFERROR(__xludf.DUMMYFUNCTION("""COMPUTED_VALUE"""),"Reapers Curse")</f>
        <v>Reapers Curse</v>
      </c>
      <c r="B418" s="126">
        <f>IFERROR(__xludf.DUMMYFUNCTION("""COMPUTED_VALUE"""),1.0)</f>
        <v>1</v>
      </c>
      <c r="C418" s="49">
        <f>IFERROR(__xludf.DUMMYFUNCTION("""COMPUTED_VALUE"""),0.0)</f>
        <v>0</v>
      </c>
      <c r="D418" s="49"/>
      <c r="E418" s="49" t="str">
        <f>IFERROR(__xludf.DUMMYFUNCTION("""COMPUTED_VALUE"""),"Permanantly kills the target. If it's player, their character is removed from the game.")</f>
        <v>Permanantly kills the target. If it's player, their character is removed from the game.</v>
      </c>
      <c r="F418" s="49" t="str">
        <f>IFERROR(__xludf.DUMMYFUNCTION("""COMPUTED_VALUE"""),"Fail or Succeed")</f>
        <v>Fail or Succeed</v>
      </c>
      <c r="G418" s="49"/>
      <c r="H418" s="49" t="str">
        <f>IFERROR(__xludf.DUMMYFUNCTION("""COMPUTED_VALUE"""),"Spirit")</f>
        <v>Spirit</v>
      </c>
      <c r="I418" s="49" t="str">
        <f>IFERROR(__xludf.DUMMYFUNCTION("""COMPUTED_VALUE"""),"Mob")</f>
        <v>Mob</v>
      </c>
      <c r="J418" s="49" t="b">
        <f>IFERROR(__xludf.DUMMYFUNCTION("""COMPUTED_VALUE"""),TRUE)</f>
        <v>1</v>
      </c>
      <c r="K418" s="49"/>
      <c r="L418" s="49" t="b">
        <f>IFERROR(__xludf.DUMMYFUNCTION("""COMPUTED_VALUE"""),TRUE)</f>
        <v>1</v>
      </c>
      <c r="M418" s="49" t="b">
        <f>IFERROR(__xludf.DUMMYFUNCTION("""COMPUTED_VALUE"""),TRUE)</f>
        <v>1</v>
      </c>
      <c r="N418" s="49"/>
    </row>
    <row r="419">
      <c r="A419" s="49" t="str">
        <f>IFERROR(__xludf.DUMMYFUNCTION("""COMPUTED_VALUE"""),"Soul Absorption")</f>
        <v>Soul Absorption</v>
      </c>
      <c r="B419" s="126">
        <f>IFERROR(__xludf.DUMMYFUNCTION("""COMPUTED_VALUE"""),8.0)</f>
        <v>8</v>
      </c>
      <c r="C419" s="49">
        <f>IFERROR(__xludf.DUMMYFUNCTION("""COMPUTED_VALUE"""),200.0)</f>
        <v>200</v>
      </c>
      <c r="D419" s="49"/>
      <c r="E419" s="49"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49" t="str">
        <f>IFERROR(__xludf.DUMMYFUNCTION("""COMPUTED_VALUE"""),"Fail/succeed")</f>
        <v>Fail/succeed</v>
      </c>
      <c r="G419" s="49"/>
      <c r="H419" s="49" t="str">
        <f>IFERROR(__xludf.DUMMYFUNCTION("""COMPUTED_VALUE"""),"Spirit")</f>
        <v>Spirit</v>
      </c>
      <c r="I419" s="49" t="str">
        <f>IFERROR(__xludf.DUMMYFUNCTION("""COMPUTED_VALUE"""),"Player")</f>
        <v>Player</v>
      </c>
      <c r="J419" s="49" t="b">
        <f>IFERROR(__xludf.DUMMYFUNCTION("""COMPUTED_VALUE"""),FALSE)</f>
        <v>0</v>
      </c>
      <c r="K419" s="49"/>
      <c r="L419" s="49" t="b">
        <f>IFERROR(__xludf.DUMMYFUNCTION("""COMPUTED_VALUE"""),TRUE)</f>
        <v>1</v>
      </c>
      <c r="M419" s="49" t="b">
        <f>IFERROR(__xludf.DUMMYFUNCTION("""COMPUTED_VALUE"""),FALSE)</f>
        <v>0</v>
      </c>
      <c r="N419" s="49"/>
    </row>
    <row r="420">
      <c r="A420" s="49" t="str">
        <f>IFERROR(__xludf.DUMMYFUNCTION("""COMPUTED_VALUE"""),"Soul Trap")</f>
        <v>Soul Trap</v>
      </c>
      <c r="B420" s="126">
        <f>IFERROR(__xludf.DUMMYFUNCTION("""COMPUTED_VALUE"""),6.0)</f>
        <v>6</v>
      </c>
      <c r="C420" s="49">
        <f>IFERROR(__xludf.DUMMYFUNCTION("""COMPUTED_VALUE"""),60.0)</f>
        <v>60</v>
      </c>
      <c r="D420" s="49"/>
      <c r="E420" s="49" t="str">
        <f>IFERROR(__xludf.DUMMYFUNCTION("""COMPUTED_VALUE"""),"Trap 1 target in a soul binding cage causing Stun 3.")</f>
        <v>Trap 1 target in a soul binding cage causing Stun 3.</v>
      </c>
      <c r="F420" s="49" t="str">
        <f>IFERROR(__xludf.DUMMYFUNCTION("""COMPUTED_VALUE"""),"Fail/Succeed")</f>
        <v>Fail/Succeed</v>
      </c>
      <c r="G420" s="49"/>
      <c r="H420" s="49" t="str">
        <f>IFERROR(__xludf.DUMMYFUNCTION("""COMPUTED_VALUE"""),"Spirit")</f>
        <v>Spirit</v>
      </c>
      <c r="I420" s="49" t="str">
        <f>IFERROR(__xludf.DUMMYFUNCTION("""COMPUTED_VALUE"""),"Player")</f>
        <v>Player</v>
      </c>
      <c r="J420" s="49" t="b">
        <f>IFERROR(__xludf.DUMMYFUNCTION("""COMPUTED_VALUE"""),FALSE)</f>
        <v>0</v>
      </c>
      <c r="K420" s="49"/>
      <c r="L420" s="49" t="b">
        <f>IFERROR(__xludf.DUMMYFUNCTION("""COMPUTED_VALUE"""),TRUE)</f>
        <v>1</v>
      </c>
      <c r="M420" s="49" t="b">
        <f>IFERROR(__xludf.DUMMYFUNCTION("""COMPUTED_VALUE"""),FALSE)</f>
        <v>0</v>
      </c>
      <c r="N420" s="49"/>
    </row>
    <row r="421">
      <c r="A421" s="49" t="str">
        <f>IFERROR(__xludf.DUMMYFUNCTION("""COMPUTED_VALUE"""),"SP Recover")</f>
        <v>SP Recover</v>
      </c>
      <c r="B421" s="126">
        <f>IFERROR(__xludf.DUMMYFUNCTION("""COMPUTED_VALUE"""),1.0)</f>
        <v>1</v>
      </c>
      <c r="C421" s="49">
        <f>IFERROR(__xludf.DUMMYFUNCTION("""COMPUTED_VALUE"""),0.0)</f>
        <v>0</v>
      </c>
      <c r="D421" s="49"/>
      <c r="E421" s="49" t="str">
        <f>IFERROR(__xludf.DUMMYFUNCTION("""COMPUTED_VALUE"""),"Regain 5000 SP. Can only be used three times per character per session.")</f>
        <v>Regain 5000 SP. Can only be used three times per character per session.</v>
      </c>
      <c r="F421" s="49" t="str">
        <f>IFERROR(__xludf.DUMMYFUNCTION("""COMPUTED_VALUE"""),"Natural/Will Succeed")</f>
        <v>Natural/Will Succeed</v>
      </c>
      <c r="G421" s="49"/>
      <c r="H421" s="49" t="str">
        <f>IFERROR(__xludf.DUMMYFUNCTION("""COMPUTED_VALUE"""),"Spirit")</f>
        <v>Spirit</v>
      </c>
      <c r="I421" s="49" t="str">
        <f>IFERROR(__xludf.DUMMYFUNCTION("""COMPUTED_VALUE"""),"Player")</f>
        <v>Player</v>
      </c>
      <c r="J421" s="49" t="b">
        <f>IFERROR(__xludf.DUMMYFUNCTION("""COMPUTED_VALUE"""),FALSE)</f>
        <v>0</v>
      </c>
      <c r="K421" s="49"/>
      <c r="L421" s="49" t="b">
        <f>IFERROR(__xludf.DUMMYFUNCTION("""COMPUTED_VALUE"""),TRUE)</f>
        <v>1</v>
      </c>
      <c r="M421" s="49" t="b">
        <f>IFERROR(__xludf.DUMMYFUNCTION("""COMPUTED_VALUE"""),FALSE)</f>
        <v>0</v>
      </c>
      <c r="N421" s="49"/>
    </row>
    <row r="422">
      <c r="A422" s="49" t="str">
        <f>IFERROR(__xludf.DUMMYFUNCTION("""COMPUTED_VALUE"""),"Spirit Drain")</f>
        <v>Spirit Drain</v>
      </c>
      <c r="B422" s="126">
        <f>IFERROR(__xludf.DUMMYFUNCTION("""COMPUTED_VALUE"""),6.0)</f>
        <v>6</v>
      </c>
      <c r="C422" s="49" t="str">
        <f>IFERROR(__xludf.DUMMYFUNCTION("""COMPUTED_VALUE"""),"½ Current SP")</f>
        <v>½ Current SP</v>
      </c>
      <c r="D422" s="49"/>
      <c r="E422" s="49" t="str">
        <f>IFERROR(__xludf.DUMMYFUNCTION("""COMPUTED_VALUE"""),"Costs half current SP, drains half of target’s current SP")</f>
        <v>Costs half current SP, drains half of target’s current SP</v>
      </c>
      <c r="F422" s="49" t="str">
        <f>IFERROR(__xludf.DUMMYFUNCTION("""COMPUTED_VALUE"""),"Fail/Succeed")</f>
        <v>Fail/Succeed</v>
      </c>
      <c r="G422" s="49"/>
      <c r="H422" s="49" t="str">
        <f>IFERROR(__xludf.DUMMYFUNCTION("""COMPUTED_VALUE"""),"Spirit")</f>
        <v>Spirit</v>
      </c>
      <c r="I422" s="49" t="str">
        <f>IFERROR(__xludf.DUMMYFUNCTION("""COMPUTED_VALUE"""),"Player")</f>
        <v>Player</v>
      </c>
      <c r="J422" s="49" t="b">
        <f>IFERROR(__xludf.DUMMYFUNCTION("""COMPUTED_VALUE"""),FALSE)</f>
        <v>0</v>
      </c>
      <c r="K422" s="49"/>
      <c r="L422" s="49" t="b">
        <f>IFERROR(__xludf.DUMMYFUNCTION("""COMPUTED_VALUE"""),TRUE)</f>
        <v>1</v>
      </c>
      <c r="M422" s="49" t="b">
        <f>IFERROR(__xludf.DUMMYFUNCTION("""COMPUTED_VALUE"""),FALSE)</f>
        <v>0</v>
      </c>
      <c r="N422" s="49"/>
    </row>
    <row r="423">
      <c r="A423" s="49" t="str">
        <f>IFERROR(__xludf.DUMMYFUNCTION("""COMPUTED_VALUE"""),"Incorporeal Form")</f>
        <v>Incorporeal Form</v>
      </c>
      <c r="B423" s="126">
        <f>IFERROR(__xludf.DUMMYFUNCTION("""COMPUTED_VALUE"""),9.0)</f>
        <v>9</v>
      </c>
      <c r="C423" s="49">
        <f>IFERROR(__xludf.DUMMYFUNCTION("""COMPUTED_VALUE"""),500.0)</f>
        <v>500</v>
      </c>
      <c r="D423" s="49"/>
      <c r="E423" s="49" t="str">
        <f>IFERROR(__xludf.DUMMYFUNCTION("""COMPUTED_VALUE"""),"Grants Incorporeal 3 to self Can only be cast once every 6 rounds.")</f>
        <v>Grants Incorporeal 3 to self Can only be cast once every 6 rounds.</v>
      </c>
      <c r="F423" s="49" t="str">
        <f>IFERROR(__xludf.DUMMYFUNCTION("""COMPUTED_VALUE"""),"Fail/Succeed")</f>
        <v>Fail/Succeed</v>
      </c>
      <c r="G423" s="49" t="str">
        <f>IFERROR(__xludf.DUMMYFUNCTION("""COMPUTED_VALUE"""),"Self")</f>
        <v>Self</v>
      </c>
      <c r="H423" s="49" t="str">
        <f>IFERROR(__xludf.DUMMYFUNCTION("""COMPUTED_VALUE"""),"Spirit")</f>
        <v>Spirit</v>
      </c>
      <c r="I423" s="49" t="str">
        <f>IFERROR(__xludf.DUMMYFUNCTION("""COMPUTED_VALUE"""),"Player")</f>
        <v>Player</v>
      </c>
      <c r="J423" s="49" t="b">
        <f>IFERROR(__xludf.DUMMYFUNCTION("""COMPUTED_VALUE"""),FALSE)</f>
        <v>0</v>
      </c>
      <c r="K423" s="49"/>
      <c r="L423" s="49" t="b">
        <f>IFERROR(__xludf.DUMMYFUNCTION("""COMPUTED_VALUE"""),FALSE)</f>
        <v>0</v>
      </c>
      <c r="M423" s="49" t="b">
        <f>IFERROR(__xludf.DUMMYFUNCTION("""COMPUTED_VALUE"""),FALSE)</f>
        <v>0</v>
      </c>
      <c r="N423" s="49"/>
    </row>
    <row r="424">
      <c r="A424" s="49" t="str">
        <f>IFERROR(__xludf.DUMMYFUNCTION("""COMPUTED_VALUE"""),"Shaken Soul")</f>
        <v>Shaken Soul</v>
      </c>
      <c r="B424" s="126">
        <f>IFERROR(__xludf.DUMMYFUNCTION("""COMPUTED_VALUE"""),5.0)</f>
        <v>5</v>
      </c>
      <c r="C424" s="49">
        <f>IFERROR(__xludf.DUMMYFUNCTION("""COMPUTED_VALUE"""),50.0)</f>
        <v>50</v>
      </c>
      <c r="D424" s="49"/>
      <c r="E424" s="49"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49" t="str">
        <f>IFERROR(__xludf.DUMMYFUNCTION("""COMPUTED_VALUE"""),"Fail/Succeed")</f>
        <v>Fail/Succeed</v>
      </c>
      <c r="G424" s="49">
        <f>IFERROR(__xludf.DUMMYFUNCTION("""COMPUTED_VALUE"""),1.0)</f>
        <v>1</v>
      </c>
      <c r="H424" s="49" t="str">
        <f>IFERROR(__xludf.DUMMYFUNCTION("""COMPUTED_VALUE"""),"Spirit")</f>
        <v>Spirit</v>
      </c>
      <c r="I424" s="49" t="str">
        <f>IFERROR(__xludf.DUMMYFUNCTION("""COMPUTED_VALUE"""),"Mob")</f>
        <v>Mob</v>
      </c>
      <c r="J424" s="49" t="b">
        <f>IFERROR(__xludf.DUMMYFUNCTION("""COMPUTED_VALUE"""),TRUE)</f>
        <v>1</v>
      </c>
      <c r="K424" s="49"/>
      <c r="L424" s="49" t="b">
        <f>IFERROR(__xludf.DUMMYFUNCTION("""COMPUTED_VALUE"""),FALSE)</f>
        <v>0</v>
      </c>
      <c r="M424" s="49" t="b">
        <f>IFERROR(__xludf.DUMMYFUNCTION("""COMPUTED_VALUE"""),TRUE)</f>
        <v>1</v>
      </c>
      <c r="N424" s="49"/>
    </row>
    <row r="425">
      <c r="A425" s="49" t="str">
        <f>IFERROR(__xludf.DUMMYFUNCTION("""COMPUTED_VALUE"""),"Soul Rend")</f>
        <v>Soul Rend</v>
      </c>
      <c r="B425" s="126">
        <f>IFERROR(__xludf.DUMMYFUNCTION("""COMPUTED_VALUE"""),5.0)</f>
        <v>5</v>
      </c>
      <c r="C425" s="49">
        <f>IFERROR(__xludf.DUMMYFUNCTION("""COMPUTED_VALUE"""),200.0)</f>
        <v>200</v>
      </c>
      <c r="D425" s="49"/>
      <c r="E425" s="49" t="str">
        <f>IFERROR(__xludf.DUMMYFUNCTION("""COMPUTED_VALUE"""),"Deal 2000 unblockable spirit damage and inflict the enemy with 10 Soulburn")</f>
        <v>Deal 2000 unblockable spirit damage and inflict the enemy with 10 Soulburn</v>
      </c>
      <c r="F425" s="49" t="str">
        <f>IFERROR(__xludf.DUMMYFUNCTION("""COMPUTED_VALUE"""),"Hit or MIss")</f>
        <v>Hit or MIss</v>
      </c>
      <c r="G425" s="49">
        <f>IFERROR(__xludf.DUMMYFUNCTION("""COMPUTED_VALUE"""),1.0)</f>
        <v>1</v>
      </c>
      <c r="H425" s="49" t="str">
        <f>IFERROR(__xludf.DUMMYFUNCTION("""COMPUTED_VALUE"""),"Spirit")</f>
        <v>Spirit</v>
      </c>
      <c r="I425" s="49" t="str">
        <f>IFERROR(__xludf.DUMMYFUNCTION("""COMPUTED_VALUE"""),"Player")</f>
        <v>Player</v>
      </c>
      <c r="J425" s="49" t="b">
        <f>IFERROR(__xludf.DUMMYFUNCTION("""COMPUTED_VALUE"""),FALSE)</f>
        <v>0</v>
      </c>
      <c r="K425" s="49"/>
      <c r="L425" s="49" t="b">
        <f>IFERROR(__xludf.DUMMYFUNCTION("""COMPUTED_VALUE"""),FALSE)</f>
        <v>0</v>
      </c>
      <c r="M425" s="49" t="b">
        <f>IFERROR(__xludf.DUMMYFUNCTION("""COMPUTED_VALUE"""),FALSE)</f>
        <v>0</v>
      </c>
      <c r="N425" s="49"/>
    </row>
    <row r="426">
      <c r="A426" s="49" t="str">
        <f>IFERROR(__xludf.DUMMYFUNCTION("""COMPUTED_VALUE"""),"Spirit's March")</f>
        <v>Spirit's March</v>
      </c>
      <c r="B426" s="126">
        <f>IFERROR(__xludf.DUMMYFUNCTION("""COMPUTED_VALUE"""),9.0)</f>
        <v>9</v>
      </c>
      <c r="C426" s="49" t="str">
        <f>IFERROR(__xludf.DUMMYFUNCTION("""COMPUTED_VALUE"""),"1d20*120")</f>
        <v>1d20*120</v>
      </c>
      <c r="D426" s="49"/>
      <c r="E426" s="49"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49" t="str">
        <f>IFERROR(__xludf.DUMMYFUNCTION("""COMPUTED_VALUE"""),"Cannot Avoid")</f>
        <v>Cannot Avoid</v>
      </c>
      <c r="G426" s="49" t="str">
        <f>IFERROR(__xludf.DUMMYFUNCTION("""COMPUTED_VALUE"""),"All")</f>
        <v>All</v>
      </c>
      <c r="H426" s="49" t="str">
        <f>IFERROR(__xludf.DUMMYFUNCTION("""COMPUTED_VALUE"""),"Spirit")</f>
        <v>Spirit</v>
      </c>
      <c r="I426" s="49" t="str">
        <f>IFERROR(__xludf.DUMMYFUNCTION("""COMPUTED_VALUE"""),"Player")</f>
        <v>Player</v>
      </c>
      <c r="J426" s="49" t="b">
        <f>IFERROR(__xludf.DUMMYFUNCTION("""COMPUTED_VALUE"""),FALSE)</f>
        <v>0</v>
      </c>
      <c r="K426" s="49"/>
      <c r="L426" s="49" t="b">
        <f>IFERROR(__xludf.DUMMYFUNCTION("""COMPUTED_VALUE"""),FALSE)</f>
        <v>0</v>
      </c>
      <c r="M426" s="49" t="b">
        <f>IFERROR(__xludf.DUMMYFUNCTION("""COMPUTED_VALUE"""),FALSE)</f>
        <v>0</v>
      </c>
      <c r="N426" s="49"/>
    </row>
    <row r="427">
      <c r="A427" s="49" t="str">
        <f>IFERROR(__xludf.DUMMYFUNCTION("""COMPUTED_VALUE"""),"Spectral Lash")</f>
        <v>Spectral Lash</v>
      </c>
      <c r="B427" s="126">
        <f>IFERROR(__xludf.DUMMYFUNCTION("""COMPUTED_VALUE"""),7.0)</f>
        <v>7</v>
      </c>
      <c r="C427" s="49">
        <f>IFERROR(__xludf.DUMMYFUNCTION("""COMPUTED_VALUE"""),500.0)</f>
        <v>500</v>
      </c>
      <c r="D427" s="49"/>
      <c r="E427" s="49" t="str">
        <f>IFERROR(__xludf.DUMMYFUNCTION("""COMPUTED_VALUE"""),"Unleash a stream of spectral magic upon an enemy inflicting them with Slowness 3 and Disoriented 5")</f>
        <v>Unleash a stream of spectral magic upon an enemy inflicting them with Slowness 3 and Disoriented 5</v>
      </c>
      <c r="F427" s="49" t="str">
        <f>IFERROR(__xludf.DUMMYFUNCTION("""COMPUTED_VALUE"""),"Fail or Succeed")</f>
        <v>Fail or Succeed</v>
      </c>
      <c r="G427" s="49">
        <f>IFERROR(__xludf.DUMMYFUNCTION("""COMPUTED_VALUE"""),1.0)</f>
        <v>1</v>
      </c>
      <c r="H427" s="49" t="str">
        <f>IFERROR(__xludf.DUMMYFUNCTION("""COMPUTED_VALUE"""),"Spirit")</f>
        <v>Spirit</v>
      </c>
      <c r="I427" s="49" t="str">
        <f>IFERROR(__xludf.DUMMYFUNCTION("""COMPUTED_VALUE"""),"Player")</f>
        <v>Player</v>
      </c>
      <c r="J427" s="49" t="b">
        <f>IFERROR(__xludf.DUMMYFUNCTION("""COMPUTED_VALUE"""),FALSE)</f>
        <v>0</v>
      </c>
      <c r="K427" s="49"/>
      <c r="L427" s="49" t="b">
        <f>IFERROR(__xludf.DUMMYFUNCTION("""COMPUTED_VALUE"""),FALSE)</f>
        <v>0</v>
      </c>
      <c r="M427" s="49" t="b">
        <f>IFERROR(__xludf.DUMMYFUNCTION("""COMPUTED_VALUE"""),FALSE)</f>
        <v>0</v>
      </c>
      <c r="N427" s="49"/>
    </row>
    <row r="428">
      <c r="A428" s="49" t="str">
        <f>IFERROR(__xludf.DUMMYFUNCTION("""COMPUTED_VALUE"""),"Taijuma's Spirit Art I: 5 Formation Seal")</f>
        <v>Taijuma's Spirit Art I: 5 Formation Seal</v>
      </c>
      <c r="B428" s="126">
        <f>IFERROR(__xludf.DUMMYFUNCTION("""COMPUTED_VALUE"""),1.0)</f>
        <v>1</v>
      </c>
      <c r="C428" s="49">
        <f>IFERROR(__xludf.DUMMYFUNCTION("""COMPUTED_VALUE"""),0.0)</f>
        <v>0</v>
      </c>
      <c r="D428" s="49"/>
      <c r="E428" s="49"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49" t="str">
        <f>IFERROR(__xludf.DUMMYFUNCTION("""COMPUTED_VALUE"""),"Natural/Fail or Succeed")</f>
        <v>Natural/Fail or Succeed</v>
      </c>
      <c r="G428" s="49">
        <f>IFERROR(__xludf.DUMMYFUNCTION("""COMPUTED_VALUE"""),1.0)</f>
        <v>1</v>
      </c>
      <c r="H428" s="49" t="str">
        <f>IFERROR(__xludf.DUMMYFUNCTION("""COMPUTED_VALUE"""),"Spirit")</f>
        <v>Spirit</v>
      </c>
      <c r="I428" s="49" t="str">
        <f>IFERROR(__xludf.DUMMYFUNCTION("""COMPUTED_VALUE"""),"Mob")</f>
        <v>Mob</v>
      </c>
      <c r="J428" s="49" t="b">
        <f>IFERROR(__xludf.DUMMYFUNCTION("""COMPUTED_VALUE"""),TRUE)</f>
        <v>1</v>
      </c>
      <c r="K428" s="49" t="str">
        <f>IFERROR(__xludf.DUMMYFUNCTION("""COMPUTED_VALUE"""),"Quest Spell")</f>
        <v>Quest Spell</v>
      </c>
      <c r="L428" s="49" t="b">
        <f>IFERROR(__xludf.DUMMYFUNCTION("""COMPUTED_VALUE"""),FALSE)</f>
        <v>0</v>
      </c>
      <c r="M428" s="49" t="b">
        <f>IFERROR(__xludf.DUMMYFUNCTION("""COMPUTED_VALUE"""),FALSE)</f>
        <v>0</v>
      </c>
      <c r="N428" s="49"/>
    </row>
    <row r="429">
      <c r="A429" s="49" t="str">
        <f>IFERROR(__xludf.DUMMYFUNCTION("""COMPUTED_VALUE"""),"Taijuma's Spirit Art II: Shatter")</f>
        <v>Taijuma's Spirit Art II: Shatter</v>
      </c>
      <c r="B429" s="126">
        <f>IFERROR(__xludf.DUMMYFUNCTION("""COMPUTED_VALUE"""),7.0)</f>
        <v>7</v>
      </c>
      <c r="C429" s="49">
        <f>IFERROR(__xludf.DUMMYFUNCTION("""COMPUTED_VALUE"""),1000.0)</f>
        <v>1000</v>
      </c>
      <c r="D429" s="49"/>
      <c r="E429" s="49"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49" t="str">
        <f>IFERROR(__xludf.DUMMYFUNCTION("""COMPUTED_VALUE"""),"Will Succeed")</f>
        <v>Will Succeed</v>
      </c>
      <c r="G429" s="49" t="str">
        <f>IFERROR(__xludf.DUMMYFUNCTION("""COMPUTED_VALUE"""),"Self, 1, or All")</f>
        <v>Self, 1, or All</v>
      </c>
      <c r="H429" s="49" t="str">
        <f>IFERROR(__xludf.DUMMYFUNCTION("""COMPUTED_VALUE"""),"Spirit")</f>
        <v>Spirit</v>
      </c>
      <c r="I429" s="49" t="str">
        <f>IFERROR(__xludf.DUMMYFUNCTION("""COMPUTED_VALUE"""),"Mob")</f>
        <v>Mob</v>
      </c>
      <c r="J429" s="49" t="b">
        <f>IFERROR(__xludf.DUMMYFUNCTION("""COMPUTED_VALUE"""),TRUE)</f>
        <v>1</v>
      </c>
      <c r="K429" s="49" t="str">
        <f>IFERROR(__xludf.DUMMYFUNCTION("""COMPUTED_VALUE"""),"Quest Spell")</f>
        <v>Quest Spell</v>
      </c>
      <c r="L429" s="49" t="b">
        <f>IFERROR(__xludf.DUMMYFUNCTION("""COMPUTED_VALUE"""),FALSE)</f>
        <v>0</v>
      </c>
      <c r="M429" s="49" t="b">
        <f>IFERROR(__xludf.DUMMYFUNCTION("""COMPUTED_VALUE"""),FALSE)</f>
        <v>0</v>
      </c>
      <c r="N429" s="49"/>
    </row>
    <row r="430">
      <c r="A430" s="49" t="str">
        <f>IFERROR(__xludf.DUMMYFUNCTION("""COMPUTED_VALUE"""),"Taijuma's Spirit Art III: Domination")</f>
        <v>Taijuma's Spirit Art III: Domination</v>
      </c>
      <c r="B430" s="126">
        <f>IFERROR(__xludf.DUMMYFUNCTION("""COMPUTED_VALUE"""),8.0)</f>
        <v>8</v>
      </c>
      <c r="C430" s="49">
        <f>IFERROR(__xludf.DUMMYFUNCTION("""COMPUTED_VALUE"""),50.0)</f>
        <v>50</v>
      </c>
      <c r="D430" s="49"/>
      <c r="E430" s="49"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49" t="str">
        <f>IFERROR(__xludf.DUMMYFUNCTION("""COMPUTED_VALUE"""),"Will Succeed")</f>
        <v>Will Succeed</v>
      </c>
      <c r="G430" s="49">
        <f>IFERROR(__xludf.DUMMYFUNCTION("""COMPUTED_VALUE"""),1.0)</f>
        <v>1</v>
      </c>
      <c r="H430" s="49" t="str">
        <f>IFERROR(__xludf.DUMMYFUNCTION("""COMPUTED_VALUE"""),"Spirit")</f>
        <v>Spirit</v>
      </c>
      <c r="I430" s="49" t="str">
        <f>IFERROR(__xludf.DUMMYFUNCTION("""COMPUTED_VALUE"""),"Mob")</f>
        <v>Mob</v>
      </c>
      <c r="J430" s="49" t="b">
        <f>IFERROR(__xludf.DUMMYFUNCTION("""COMPUTED_VALUE"""),TRUE)</f>
        <v>1</v>
      </c>
      <c r="K430" s="49" t="str">
        <f>IFERROR(__xludf.DUMMYFUNCTION("""COMPUTED_VALUE"""),"Quest Spell")</f>
        <v>Quest Spell</v>
      </c>
      <c r="L430" s="49" t="b">
        <f>IFERROR(__xludf.DUMMYFUNCTION("""COMPUTED_VALUE"""),FALSE)</f>
        <v>0</v>
      </c>
      <c r="M430" s="49" t="b">
        <f>IFERROR(__xludf.DUMMYFUNCTION("""COMPUTED_VALUE"""),FALSE)</f>
        <v>0</v>
      </c>
      <c r="N430" s="49"/>
    </row>
    <row r="431">
      <c r="A431" s="49" t="str">
        <f>IFERROR(__xludf.DUMMYFUNCTION("""COMPUTED_VALUE"""),"Taijuma's Spirit Art IV: Destined Death")</f>
        <v>Taijuma's Spirit Art IV: Destined Death</v>
      </c>
      <c r="B431" s="126">
        <f>IFERROR(__xludf.DUMMYFUNCTION("""COMPUTED_VALUE"""),9.0)</f>
        <v>9</v>
      </c>
      <c r="C431" s="49">
        <f>IFERROR(__xludf.DUMMYFUNCTION("""COMPUTED_VALUE"""),500.0)</f>
        <v>500</v>
      </c>
      <c r="D431" s="49"/>
      <c r="E431" s="49"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49" t="str">
        <f>IFERROR(__xludf.DUMMYFUNCTION("""COMPUTED_VALUE"""),"Will Succeed")</f>
        <v>Will Succeed</v>
      </c>
      <c r="G431" s="49" t="str">
        <f>IFERROR(__xludf.DUMMYFUNCTION("""COMPUTED_VALUE"""),"All")</f>
        <v>All</v>
      </c>
      <c r="H431" s="49" t="str">
        <f>IFERROR(__xludf.DUMMYFUNCTION("""COMPUTED_VALUE"""),"Spirit")</f>
        <v>Spirit</v>
      </c>
      <c r="I431" s="49" t="str">
        <f>IFERROR(__xludf.DUMMYFUNCTION("""COMPUTED_VALUE"""),"Mob")</f>
        <v>Mob</v>
      </c>
      <c r="J431" s="49" t="b">
        <f>IFERROR(__xludf.DUMMYFUNCTION("""COMPUTED_VALUE"""),TRUE)</f>
        <v>1</v>
      </c>
      <c r="K431" s="49" t="str">
        <f>IFERROR(__xludf.DUMMYFUNCTION("""COMPUTED_VALUE"""),"Quest Spell")</f>
        <v>Quest Spell</v>
      </c>
      <c r="L431" s="49" t="b">
        <f>IFERROR(__xludf.DUMMYFUNCTION("""COMPUTED_VALUE"""),FALSE)</f>
        <v>0</v>
      </c>
      <c r="M431" s="49" t="b">
        <f>IFERROR(__xludf.DUMMYFUNCTION("""COMPUTED_VALUE"""),FALSE)</f>
        <v>0</v>
      </c>
      <c r="N431" s="49"/>
    </row>
    <row r="432">
      <c r="A432" s="49" t="str">
        <f>IFERROR(__xludf.DUMMYFUNCTION("""COMPUTED_VALUE"""),"Spiritual Meld")</f>
        <v>Spiritual Meld</v>
      </c>
      <c r="B432" s="126">
        <f>IFERROR(__xludf.DUMMYFUNCTION("""COMPUTED_VALUE"""),9.0)</f>
        <v>9</v>
      </c>
      <c r="C432" s="49">
        <f>IFERROR(__xludf.DUMMYFUNCTION("""COMPUTED_VALUE"""),1000.0)</f>
        <v>1000</v>
      </c>
      <c r="D432" s="49"/>
      <c r="E432" s="49"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49" t="str">
        <f>IFERROR(__xludf.DUMMYFUNCTION("""COMPUTED_VALUE"""),"Fail/Succeed")</f>
        <v>Fail/Succeed</v>
      </c>
      <c r="G432" s="49" t="str">
        <f>IFERROR(__xludf.DUMMYFUNCTION("""COMPUTED_VALUE"""),"Self")</f>
        <v>Self</v>
      </c>
      <c r="H432" s="49" t="str">
        <f>IFERROR(__xludf.DUMMYFUNCTION("""COMPUTED_VALUE"""),"Spirit")</f>
        <v>Spirit</v>
      </c>
      <c r="I432" s="49" t="str">
        <f>IFERROR(__xludf.DUMMYFUNCTION("""COMPUTED_VALUE"""),"Player")</f>
        <v>Player</v>
      </c>
      <c r="J432" s="49" t="b">
        <f>IFERROR(__xludf.DUMMYFUNCTION("""COMPUTED_VALUE"""),TRUE)</f>
        <v>1</v>
      </c>
      <c r="K432" s="49" t="str">
        <f>IFERROR(__xludf.DUMMYFUNCTION("""COMPUTED_VALUE"""),"Item")</f>
        <v>Item</v>
      </c>
      <c r="L432" s="49" t="b">
        <f>IFERROR(__xludf.DUMMYFUNCTION("""COMPUTED_VALUE"""),FALSE)</f>
        <v>0</v>
      </c>
      <c r="M432" s="49" t="b">
        <f>IFERROR(__xludf.DUMMYFUNCTION("""COMPUTED_VALUE"""),FALSE)</f>
        <v>0</v>
      </c>
      <c r="N432" s="49"/>
    </row>
    <row r="433">
      <c r="A433" s="49" t="str">
        <f>IFERROR(__xludf.DUMMYFUNCTION("""COMPUTED_VALUE"""),"Vengeful Strike")</f>
        <v>Vengeful Strike</v>
      </c>
      <c r="B433" s="126">
        <f>IFERROR(__xludf.DUMMYFUNCTION("""COMPUTED_VALUE"""),9.0)</f>
        <v>9</v>
      </c>
      <c r="C433" s="49">
        <f>IFERROR(__xludf.DUMMYFUNCTION("""COMPUTED_VALUE"""),500.0)</f>
        <v>500</v>
      </c>
      <c r="D433" s="49"/>
      <c r="E433" s="49"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49" t="str">
        <f>IFERROR(__xludf.DUMMYFUNCTION("""COMPUTED_VALUE"""),"Fail/Succeed")</f>
        <v>Fail/Succeed</v>
      </c>
      <c r="G433" s="49" t="str">
        <f>IFERROR(__xludf.DUMMYFUNCTION("""COMPUTED_VALUE"""),"Self")</f>
        <v>Self</v>
      </c>
      <c r="H433" s="49" t="str">
        <f>IFERROR(__xludf.DUMMYFUNCTION("""COMPUTED_VALUE"""),"Spirit")</f>
        <v>Spirit</v>
      </c>
      <c r="I433" s="49" t="str">
        <f>IFERROR(__xludf.DUMMYFUNCTION("""COMPUTED_VALUE"""),"Player")</f>
        <v>Player</v>
      </c>
      <c r="J433" s="49" t="b">
        <f>IFERROR(__xludf.DUMMYFUNCTION("""COMPUTED_VALUE"""),FALSE)</f>
        <v>0</v>
      </c>
      <c r="K433" s="49"/>
      <c r="L433" s="49" t="b">
        <f>IFERROR(__xludf.DUMMYFUNCTION("""COMPUTED_VALUE"""),FALSE)</f>
        <v>0</v>
      </c>
      <c r="M433" s="49" t="b">
        <f>IFERROR(__xludf.DUMMYFUNCTION("""COMPUTED_VALUE"""),FALSE)</f>
        <v>0</v>
      </c>
      <c r="N433" s="49"/>
    </row>
    <row r="434">
      <c r="A434" s="49" t="str">
        <f>IFERROR(__xludf.DUMMYFUNCTION("""COMPUTED_VALUE"""),"Soul Shot")</f>
        <v>Soul Shot</v>
      </c>
      <c r="B434" s="126">
        <f>IFERROR(__xludf.DUMMYFUNCTION("""COMPUTED_VALUE"""),1.0)</f>
        <v>1</v>
      </c>
      <c r="C434" s="49" t="str">
        <f>IFERROR(__xludf.DUMMYFUNCTION("""COMPUTED_VALUE"""),"X")</f>
        <v>X</v>
      </c>
      <c r="D434" s="49"/>
      <c r="E434" s="49" t="str">
        <f>IFERROR(__xludf.DUMMYFUNCTION("""COMPUTED_VALUE"""),"Deals X*100 Undefendable Spirit damage to a single enemy where X is equal to SP spent.")</f>
        <v>Deals X*100 Undefendable Spirit damage to a single enemy where X is equal to SP spent.</v>
      </c>
      <c r="F434" s="49" t="str">
        <f>IFERROR(__xludf.DUMMYFUNCTION("""COMPUTED_VALUE"""),"Hit/Miss")</f>
        <v>Hit/Miss</v>
      </c>
      <c r="G434" s="49">
        <f>IFERROR(__xludf.DUMMYFUNCTION("""COMPUTED_VALUE"""),1.0)</f>
        <v>1</v>
      </c>
      <c r="H434" s="49" t="str">
        <f>IFERROR(__xludf.DUMMYFUNCTION("""COMPUTED_VALUE"""),"Spirit")</f>
        <v>Spirit</v>
      </c>
      <c r="I434" s="49" t="str">
        <f>IFERROR(__xludf.DUMMYFUNCTION("""COMPUTED_VALUE"""),"Player")</f>
        <v>Player</v>
      </c>
      <c r="J434" s="49" t="b">
        <f>IFERROR(__xludf.DUMMYFUNCTION("""COMPUTED_VALUE"""),FALSE)</f>
        <v>0</v>
      </c>
      <c r="K434" s="49"/>
      <c r="L434" s="49" t="b">
        <f>IFERROR(__xludf.DUMMYFUNCTION("""COMPUTED_VALUE"""),FALSE)</f>
        <v>0</v>
      </c>
      <c r="M434" s="49" t="b">
        <f>IFERROR(__xludf.DUMMYFUNCTION("""COMPUTED_VALUE"""),FALSE)</f>
        <v>0</v>
      </c>
      <c r="N434" s="49"/>
    </row>
    <row r="435">
      <c r="A435" s="49" t="str">
        <f>IFERROR(__xludf.DUMMYFUNCTION("""COMPUTED_VALUE"""),"Dread")</f>
        <v>Dread</v>
      </c>
      <c r="B435" s="126">
        <f>IFERROR(__xludf.DUMMYFUNCTION("""COMPUTED_VALUE"""),5.0)</f>
        <v>5</v>
      </c>
      <c r="C435" s="49" t="str">
        <f>IFERROR(__xludf.DUMMYFUNCTION("""COMPUTED_VALUE"""),"X")</f>
        <v>X</v>
      </c>
      <c r="D435" s="49"/>
      <c r="E435" s="49" t="str">
        <f>IFERROR(__xludf.DUMMYFUNCTION("""COMPUTED_VALUE"""),"Deals X*50 Spirit damage per round for 3 rounds to a single target where X is equal to SP spent.")</f>
        <v>Deals X*50 Spirit damage per round for 3 rounds to a single target where X is equal to SP spent.</v>
      </c>
      <c r="F435" s="49" t="str">
        <f>IFERROR(__xludf.DUMMYFUNCTION("""COMPUTED_VALUE"""),"Hit/Miss")</f>
        <v>Hit/Miss</v>
      </c>
      <c r="G435" s="49">
        <f>IFERROR(__xludf.DUMMYFUNCTION("""COMPUTED_VALUE"""),1.0)</f>
        <v>1</v>
      </c>
      <c r="H435" s="49" t="str">
        <f>IFERROR(__xludf.DUMMYFUNCTION("""COMPUTED_VALUE"""),"Spirit")</f>
        <v>Spirit</v>
      </c>
      <c r="I435" s="49" t="str">
        <f>IFERROR(__xludf.DUMMYFUNCTION("""COMPUTED_VALUE"""),"Player")</f>
        <v>Player</v>
      </c>
      <c r="J435" s="49" t="b">
        <f>IFERROR(__xludf.DUMMYFUNCTION("""COMPUTED_VALUE"""),FALSE)</f>
        <v>0</v>
      </c>
      <c r="K435" s="49"/>
      <c r="L435" s="49" t="b">
        <f>IFERROR(__xludf.DUMMYFUNCTION("""COMPUTED_VALUE"""),FALSE)</f>
        <v>0</v>
      </c>
      <c r="M435" s="49" t="b">
        <f>IFERROR(__xludf.DUMMYFUNCTION("""COMPUTED_VALUE"""),FALSE)</f>
        <v>0</v>
      </c>
      <c r="N435" s="49"/>
    </row>
    <row r="436">
      <c r="A436" s="49" t="str">
        <f>IFERROR(__xludf.DUMMYFUNCTION("""COMPUTED_VALUE"""),"Spirit Fog")</f>
        <v>Spirit Fog</v>
      </c>
      <c r="B436" s="126">
        <f>IFERROR(__xludf.DUMMYFUNCTION("""COMPUTED_VALUE"""),5.0)</f>
        <v>5</v>
      </c>
      <c r="C436" s="49" t="str">
        <f>IFERROR(__xludf.DUMMYFUNCTION("""COMPUTED_VALUE"""),"X")</f>
        <v>X</v>
      </c>
      <c r="D436" s="49"/>
      <c r="E436" s="49" t="str">
        <f>IFERROR(__xludf.DUMMYFUNCTION("""COMPUTED_VALUE"""),"Deals X*25 Undefendable Spirit damage to all enemies where X is equal to SP spent.")</f>
        <v>Deals X*25 Undefendable Spirit damage to all enemies where X is equal to SP spent.</v>
      </c>
      <c r="F436" s="49" t="str">
        <f>IFERROR(__xludf.DUMMYFUNCTION("""COMPUTED_VALUE"""),"Cannot Avoid")</f>
        <v>Cannot Avoid</v>
      </c>
      <c r="G436" s="49" t="str">
        <f>IFERROR(__xludf.DUMMYFUNCTION("""COMPUTED_VALUE"""),"All")</f>
        <v>All</v>
      </c>
      <c r="H436" s="49" t="str">
        <f>IFERROR(__xludf.DUMMYFUNCTION("""COMPUTED_VALUE"""),"Spirit")</f>
        <v>Spirit</v>
      </c>
      <c r="I436" s="49" t="str">
        <f>IFERROR(__xludf.DUMMYFUNCTION("""COMPUTED_VALUE"""),"Player")</f>
        <v>Player</v>
      </c>
      <c r="J436" s="49" t="b">
        <f>IFERROR(__xludf.DUMMYFUNCTION("""COMPUTED_VALUE"""),FALSE)</f>
        <v>0</v>
      </c>
      <c r="K436" s="49"/>
      <c r="L436" s="49" t="b">
        <f>IFERROR(__xludf.DUMMYFUNCTION("""COMPUTED_VALUE"""),FALSE)</f>
        <v>0</v>
      </c>
      <c r="M436" s="49" t="b">
        <f>IFERROR(__xludf.DUMMYFUNCTION("""COMPUTED_VALUE"""),FALSE)</f>
        <v>0</v>
      </c>
      <c r="N436" s="49"/>
    </row>
    <row r="437">
      <c r="A437" s="49" t="str">
        <f>IFERROR(__xludf.DUMMYFUNCTION("""COMPUTED_VALUE"""),"Burning Dread")</f>
        <v>Burning Dread</v>
      </c>
      <c r="B437" s="126">
        <f>IFERROR(__xludf.DUMMYFUNCTION("""COMPUTED_VALUE"""),6.0)</f>
        <v>6</v>
      </c>
      <c r="C437" s="49" t="str">
        <f>IFERROR(__xludf.DUMMYFUNCTION("""COMPUTED_VALUE"""),"X")</f>
        <v>X</v>
      </c>
      <c r="D437" s="49"/>
      <c r="E437" s="49" t="str">
        <f>IFERROR(__xludf.DUMMYFUNCTION("""COMPUTED_VALUE"""),"Deals X*10 Spirit damage per round to all enemies for 3 rounds where X is equal to SP spent.")</f>
        <v>Deals X*10 Spirit damage per round to all enemies for 3 rounds where X is equal to SP spent.</v>
      </c>
      <c r="F437" s="49" t="str">
        <f>IFERROR(__xludf.DUMMYFUNCTION("""COMPUTED_VALUE"""),"Cannot Avoid")</f>
        <v>Cannot Avoid</v>
      </c>
      <c r="G437" s="49" t="str">
        <f>IFERROR(__xludf.DUMMYFUNCTION("""COMPUTED_VALUE"""),"All")</f>
        <v>All</v>
      </c>
      <c r="H437" s="49" t="str">
        <f>IFERROR(__xludf.DUMMYFUNCTION("""COMPUTED_VALUE"""),"Spirit")</f>
        <v>Spirit</v>
      </c>
      <c r="I437" s="49" t="str">
        <f>IFERROR(__xludf.DUMMYFUNCTION("""COMPUTED_VALUE"""),"Player")</f>
        <v>Player</v>
      </c>
      <c r="J437" s="49" t="b">
        <f>IFERROR(__xludf.DUMMYFUNCTION("""COMPUTED_VALUE"""),FALSE)</f>
        <v>0</v>
      </c>
      <c r="K437" s="49"/>
      <c r="L437" s="49" t="b">
        <f>IFERROR(__xludf.DUMMYFUNCTION("""COMPUTED_VALUE"""),FALSE)</f>
        <v>0</v>
      </c>
      <c r="M437" s="49" t="b">
        <f>IFERROR(__xludf.DUMMYFUNCTION("""COMPUTED_VALUE"""),FALSE)</f>
        <v>0</v>
      </c>
      <c r="N437" s="49"/>
    </row>
    <row r="438">
      <c r="A438" s="49" t="str">
        <f>IFERROR(__xludf.DUMMYFUNCTION("""COMPUTED_VALUE"""),"Stasis Madness")</f>
        <v>Stasis Madness</v>
      </c>
      <c r="B438" s="126">
        <f>IFERROR(__xludf.DUMMYFUNCTION("""COMPUTED_VALUE"""),6.0)</f>
        <v>6</v>
      </c>
      <c r="C438" s="49" t="str">
        <f>IFERROR(__xludf.DUMMYFUNCTION("""COMPUTED_VALUE"""),"X*100")</f>
        <v>X*100</v>
      </c>
      <c r="D438" s="49"/>
      <c r="E438" s="49" t="str">
        <f>IFERROR(__xludf.DUMMYFUNCTION("""COMPUTED_VALUE"""),"Target becomes completely unresponsive for X rounds")</f>
        <v>Target becomes completely unresponsive for X rounds</v>
      </c>
      <c r="F438" s="49" t="str">
        <f>IFERROR(__xludf.DUMMYFUNCTION("""COMPUTED_VALUE"""),"Fail/Succeed")</f>
        <v>Fail/Succeed</v>
      </c>
      <c r="G438" s="49"/>
      <c r="H438" s="49" t="str">
        <f>IFERROR(__xludf.DUMMYFUNCTION("""COMPUTED_VALUE"""),"Stasis")</f>
        <v>Stasis</v>
      </c>
      <c r="I438" s="49" t="str">
        <f>IFERROR(__xludf.DUMMYFUNCTION("""COMPUTED_VALUE"""),"Player")</f>
        <v>Player</v>
      </c>
      <c r="J438" s="49" t="b">
        <f>IFERROR(__xludf.DUMMYFUNCTION("""COMPUTED_VALUE"""),FALSE)</f>
        <v>0</v>
      </c>
      <c r="K438" s="49"/>
      <c r="L438" s="49" t="b">
        <f>IFERROR(__xludf.DUMMYFUNCTION("""COMPUTED_VALUE"""),FALSE)</f>
        <v>0</v>
      </c>
      <c r="M438" s="49" t="b">
        <f>IFERROR(__xludf.DUMMYFUNCTION("""COMPUTED_VALUE"""),FALSE)</f>
        <v>0</v>
      </c>
      <c r="N438" s="49"/>
    </row>
    <row r="439">
      <c r="A439" s="49" t="str">
        <f>IFERROR(__xludf.DUMMYFUNCTION("""COMPUTED_VALUE"""),"Stasis Meteor Shower")</f>
        <v>Stasis Meteor Shower</v>
      </c>
      <c r="B439" s="126">
        <f>IFERROR(__xludf.DUMMYFUNCTION("""COMPUTED_VALUE"""),9.0)</f>
        <v>9</v>
      </c>
      <c r="C439" s="49">
        <f>IFERROR(__xludf.DUMMYFUNCTION("""COMPUTED_VALUE"""),300.0)</f>
        <v>300</v>
      </c>
      <c r="D439" s="49"/>
      <c r="E439" s="49" t="str">
        <f>IFERROR(__xludf.DUMMYFUNCTION("""COMPUTED_VALUE"""),"10,000 order, 10,000 chaos damage to all enemies 15% chance of stun 3.")</f>
        <v>10,000 order, 10,000 chaos damage to all enemies 15% chance of stun 3.</v>
      </c>
      <c r="F439" s="49" t="str">
        <f>IFERROR(__xludf.DUMMYFUNCTION("""COMPUTED_VALUE"""),"Cannot be avoided")</f>
        <v>Cannot be avoided</v>
      </c>
      <c r="G439" s="49"/>
      <c r="H439" s="49" t="str">
        <f>IFERROR(__xludf.DUMMYFUNCTION("""COMPUTED_VALUE"""),"Stasis")</f>
        <v>Stasis</v>
      </c>
      <c r="I439" s="49" t="str">
        <f>IFERROR(__xludf.DUMMYFUNCTION("""COMPUTED_VALUE"""),"Player")</f>
        <v>Player</v>
      </c>
      <c r="J439" s="49" t="b">
        <f>IFERROR(__xludf.DUMMYFUNCTION("""COMPUTED_VALUE"""),FALSE)</f>
        <v>0</v>
      </c>
      <c r="K439" s="49"/>
      <c r="L439" s="49" t="b">
        <f>IFERROR(__xludf.DUMMYFUNCTION("""COMPUTED_VALUE"""),FALSE)</f>
        <v>0</v>
      </c>
      <c r="M439" s="49" t="b">
        <f>IFERROR(__xludf.DUMMYFUNCTION("""COMPUTED_VALUE"""),FALSE)</f>
        <v>0</v>
      </c>
      <c r="N439" s="49"/>
    </row>
    <row r="440">
      <c r="A440" s="49" t="str">
        <f>IFERROR(__xludf.DUMMYFUNCTION("""COMPUTED_VALUE"""),"Stasis Shield")</f>
        <v>Stasis Shield</v>
      </c>
      <c r="B440" s="126">
        <f>IFERROR(__xludf.DUMMYFUNCTION("""COMPUTED_VALUE"""),4.0)</f>
        <v>4</v>
      </c>
      <c r="C440" s="49">
        <f>IFERROR(__xludf.DUMMYFUNCTION("""COMPUTED_VALUE"""),40.0)</f>
        <v>40</v>
      </c>
      <c r="D440" s="49"/>
      <c r="E440" s="49" t="str">
        <f>IFERROR(__xludf.DUMMYFUNCTION("""COMPUTED_VALUE"""),"X4 def to selected target, and Immunity to order and chaos.")</f>
        <v>X4 def to selected target, and Immunity to order and chaos.</v>
      </c>
      <c r="F440" s="49" t="str">
        <f>IFERROR(__xludf.DUMMYFUNCTION("""COMPUTED_VALUE"""),"Will Succeed")</f>
        <v>Will Succeed</v>
      </c>
      <c r="G440" s="49"/>
      <c r="H440" s="49" t="str">
        <f>IFERROR(__xludf.DUMMYFUNCTION("""COMPUTED_VALUE"""),"Stasis")</f>
        <v>Stasis</v>
      </c>
      <c r="I440" s="49" t="str">
        <f>IFERROR(__xludf.DUMMYFUNCTION("""COMPUTED_VALUE"""),"Player")</f>
        <v>Player</v>
      </c>
      <c r="J440" s="49" t="b">
        <f>IFERROR(__xludf.DUMMYFUNCTION("""COMPUTED_VALUE"""),FALSE)</f>
        <v>0</v>
      </c>
      <c r="K440" s="49"/>
      <c r="L440" s="49" t="b">
        <f>IFERROR(__xludf.DUMMYFUNCTION("""COMPUTED_VALUE"""),FALSE)</f>
        <v>0</v>
      </c>
      <c r="M440" s="49" t="b">
        <f>IFERROR(__xludf.DUMMYFUNCTION("""COMPUTED_VALUE"""),FALSE)</f>
        <v>0</v>
      </c>
      <c r="N440" s="49"/>
    </row>
    <row r="441">
      <c r="A441" s="49" t="str">
        <f>IFERROR(__xludf.DUMMYFUNCTION("""COMPUTED_VALUE"""),"Stasis Storm")</f>
        <v>Stasis Storm</v>
      </c>
      <c r="B441" s="126">
        <f>IFERROR(__xludf.DUMMYFUNCTION("""COMPUTED_VALUE"""),2.0)</f>
        <v>2</v>
      </c>
      <c r="C441" s="49">
        <f>IFERROR(__xludf.DUMMYFUNCTION("""COMPUTED_VALUE"""),20.0)</f>
        <v>20</v>
      </c>
      <c r="D441" s="49"/>
      <c r="E441" s="49" t="str">
        <f>IFERROR(__xludf.DUMMYFUNCTION("""COMPUTED_VALUE"""),"1000 continuous order, 1000 continuous chaos damage.")</f>
        <v>1000 continuous order, 1000 continuous chaos damage.</v>
      </c>
      <c r="F441" s="49" t="str">
        <f>IFERROR(__xludf.DUMMYFUNCTION("""COMPUTED_VALUE"""),"Hit or Miss")</f>
        <v>Hit or Miss</v>
      </c>
      <c r="G441" s="49">
        <f>IFERROR(__xludf.DUMMYFUNCTION("""COMPUTED_VALUE"""),1.0)</f>
        <v>1</v>
      </c>
      <c r="H441" s="49" t="str">
        <f>IFERROR(__xludf.DUMMYFUNCTION("""COMPUTED_VALUE"""),"Stasis")</f>
        <v>Stasis</v>
      </c>
      <c r="I441" s="49" t="str">
        <f>IFERROR(__xludf.DUMMYFUNCTION("""COMPUTED_VALUE"""),"Player")</f>
        <v>Player</v>
      </c>
      <c r="J441" s="49" t="b">
        <f>IFERROR(__xludf.DUMMYFUNCTION("""COMPUTED_VALUE"""),FALSE)</f>
        <v>0</v>
      </c>
      <c r="K441" s="49"/>
      <c r="L441" s="49" t="b">
        <f>IFERROR(__xludf.DUMMYFUNCTION("""COMPUTED_VALUE"""),FALSE)</f>
        <v>0</v>
      </c>
      <c r="M441" s="49" t="b">
        <f>IFERROR(__xludf.DUMMYFUNCTION("""COMPUTED_VALUE"""),FALSE)</f>
        <v>0</v>
      </c>
      <c r="N441" s="49"/>
    </row>
    <row r="442">
      <c r="A442" s="49" t="str">
        <f>IFERROR(__xludf.DUMMYFUNCTION("""COMPUTED_VALUE"""),"Stasis Strike")</f>
        <v>Stasis Strike</v>
      </c>
      <c r="B442" s="126">
        <f>IFERROR(__xludf.DUMMYFUNCTION("""COMPUTED_VALUE"""),1.0)</f>
        <v>1</v>
      </c>
      <c r="C442" s="49">
        <f>IFERROR(__xludf.DUMMYFUNCTION("""COMPUTED_VALUE"""),10.0)</f>
        <v>10</v>
      </c>
      <c r="D442" s="49"/>
      <c r="E442" s="49" t="str">
        <f>IFERROR(__xludf.DUMMYFUNCTION("""COMPUTED_VALUE"""),"500 order, 500 chaos damage")</f>
        <v>500 order, 500 chaos damage</v>
      </c>
      <c r="F442" s="49" t="str">
        <f>IFERROR(__xludf.DUMMYFUNCTION("""COMPUTED_VALUE"""),"Hit or Miss")</f>
        <v>Hit or Miss</v>
      </c>
      <c r="G442" s="49">
        <f>IFERROR(__xludf.DUMMYFUNCTION("""COMPUTED_VALUE"""),1.0)</f>
        <v>1</v>
      </c>
      <c r="H442" s="49" t="str">
        <f>IFERROR(__xludf.DUMMYFUNCTION("""COMPUTED_VALUE"""),"Stasis")</f>
        <v>Stasis</v>
      </c>
      <c r="I442" s="49" t="str">
        <f>IFERROR(__xludf.DUMMYFUNCTION("""COMPUTED_VALUE"""),"Player")</f>
        <v>Player</v>
      </c>
      <c r="J442" s="49" t="b">
        <f>IFERROR(__xludf.DUMMYFUNCTION("""COMPUTED_VALUE"""),FALSE)</f>
        <v>0</v>
      </c>
      <c r="K442" s="49"/>
      <c r="L442" s="49" t="b">
        <f>IFERROR(__xludf.DUMMYFUNCTION("""COMPUTED_VALUE"""),FALSE)</f>
        <v>0</v>
      </c>
      <c r="M442" s="49" t="b">
        <f>IFERROR(__xludf.DUMMYFUNCTION("""COMPUTED_VALUE"""),FALSE)</f>
        <v>0</v>
      </c>
      <c r="N442" s="49"/>
    </row>
    <row r="443">
      <c r="A443" s="49" t="str">
        <f>IFERROR(__xludf.DUMMYFUNCTION("""COMPUTED_VALUE"""),"Stasis Transformation")</f>
        <v>Stasis Transformation</v>
      </c>
      <c r="B443" s="126">
        <f>IFERROR(__xludf.DUMMYFUNCTION("""COMPUTED_VALUE"""),8.0)</f>
        <v>8</v>
      </c>
      <c r="C443" s="49">
        <f>IFERROR(__xludf.DUMMYFUNCTION("""COMPUTED_VALUE"""),200.0)</f>
        <v>200</v>
      </c>
      <c r="D443" s="49"/>
      <c r="E443" s="49" t="str">
        <f>IFERROR(__xludf.DUMMYFUNCTION("""COMPUTED_VALUE"""),"X4 order and chaos damage for self and allies until end of battle.")</f>
        <v>X4 order and chaos damage for self and allies until end of battle.</v>
      </c>
      <c r="F443" s="49" t="str">
        <f>IFERROR(__xludf.DUMMYFUNCTION("""COMPUTED_VALUE"""),"Will succeed")</f>
        <v>Will succeed</v>
      </c>
      <c r="G443" s="49"/>
      <c r="H443" s="49" t="str">
        <f>IFERROR(__xludf.DUMMYFUNCTION("""COMPUTED_VALUE"""),"Stasis")</f>
        <v>Stasis</v>
      </c>
      <c r="I443" s="49" t="str">
        <f>IFERROR(__xludf.DUMMYFUNCTION("""COMPUTED_VALUE"""),"Player")</f>
        <v>Player</v>
      </c>
      <c r="J443" s="49" t="b">
        <f>IFERROR(__xludf.DUMMYFUNCTION("""COMPUTED_VALUE"""),FALSE)</f>
        <v>0</v>
      </c>
      <c r="K443" s="49"/>
      <c r="L443" s="49" t="b">
        <f>IFERROR(__xludf.DUMMYFUNCTION("""COMPUTED_VALUE"""),FALSE)</f>
        <v>0</v>
      </c>
      <c r="M443" s="49" t="b">
        <f>IFERROR(__xludf.DUMMYFUNCTION("""COMPUTED_VALUE"""),FALSE)</f>
        <v>0</v>
      </c>
      <c r="N443" s="49"/>
    </row>
    <row r="444">
      <c r="A444" s="49" t="str">
        <f>IFERROR(__xludf.DUMMYFUNCTION("""COMPUTED_VALUE"""),"Stasis Tsunami")</f>
        <v>Stasis Tsunami</v>
      </c>
      <c r="B444" s="126">
        <f>IFERROR(__xludf.DUMMYFUNCTION("""COMPUTED_VALUE"""),9.0)</f>
        <v>9</v>
      </c>
      <c r="C444" s="49">
        <f>IFERROR(__xludf.DUMMYFUNCTION("""COMPUTED_VALUE"""),300.0)</f>
        <v>300</v>
      </c>
      <c r="D444" s="49"/>
      <c r="E444" s="49" t="str">
        <f>IFERROR(__xludf.DUMMYFUNCTION("""COMPUTED_VALUE"""),"10,000 order, 10,000 chaos damage to all enemies.")</f>
        <v>10,000 order, 10,000 chaos damage to all enemies.</v>
      </c>
      <c r="F444" s="49" t="str">
        <f>IFERROR(__xludf.DUMMYFUNCTION("""COMPUTED_VALUE"""),"Cannot be avoided")</f>
        <v>Cannot be avoided</v>
      </c>
      <c r="G444" s="49"/>
      <c r="H444" s="49" t="str">
        <f>IFERROR(__xludf.DUMMYFUNCTION("""COMPUTED_VALUE"""),"Stasis")</f>
        <v>Stasis</v>
      </c>
      <c r="I444" s="49" t="str">
        <f>IFERROR(__xludf.DUMMYFUNCTION("""COMPUTED_VALUE"""),"Player")</f>
        <v>Player</v>
      </c>
      <c r="J444" s="49" t="b">
        <f>IFERROR(__xludf.DUMMYFUNCTION("""COMPUTED_VALUE"""),FALSE)</f>
        <v>0</v>
      </c>
      <c r="K444" s="49"/>
      <c r="L444" s="49" t="b">
        <f>IFERROR(__xludf.DUMMYFUNCTION("""COMPUTED_VALUE"""),FALSE)</f>
        <v>0</v>
      </c>
      <c r="M444" s="49" t="b">
        <f>IFERROR(__xludf.DUMMYFUNCTION("""COMPUTED_VALUE"""),FALSE)</f>
        <v>0</v>
      </c>
      <c r="N444" s="49"/>
    </row>
    <row r="445">
      <c r="A445" s="49" t="str">
        <f>IFERROR(__xludf.DUMMYFUNCTION("""COMPUTED_VALUE"""),"Tower Of Stasis")</f>
        <v>Tower Of Stasis</v>
      </c>
      <c r="B445" s="126">
        <f>IFERROR(__xludf.DUMMYFUNCTION("""COMPUTED_VALUE"""),8.0)</f>
        <v>8</v>
      </c>
      <c r="C445" s="49">
        <f>IFERROR(__xludf.DUMMYFUNCTION("""COMPUTED_VALUE"""),200.0)</f>
        <v>200</v>
      </c>
      <c r="D445" s="49"/>
      <c r="E445" s="49"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49" t="str">
        <f>IFERROR(__xludf.DUMMYFUNCTION("""COMPUTED_VALUE"""),"Fail or succeed")</f>
        <v>Fail or succeed</v>
      </c>
      <c r="G445" s="49">
        <f>IFERROR(__xludf.DUMMYFUNCTION("""COMPUTED_VALUE"""),1.0)</f>
        <v>1</v>
      </c>
      <c r="H445" s="49" t="str">
        <f>IFERROR(__xludf.DUMMYFUNCTION("""COMPUTED_VALUE"""),"Stasis")</f>
        <v>Stasis</v>
      </c>
      <c r="I445" s="49" t="str">
        <f>IFERROR(__xludf.DUMMYFUNCTION("""COMPUTED_VALUE"""),"Player")</f>
        <v>Player</v>
      </c>
      <c r="J445" s="49" t="b">
        <f>IFERROR(__xludf.DUMMYFUNCTION("""COMPUTED_VALUE"""),FALSE)</f>
        <v>0</v>
      </c>
      <c r="K445" s="49"/>
      <c r="L445" s="49" t="b">
        <f>IFERROR(__xludf.DUMMYFUNCTION("""COMPUTED_VALUE"""),FALSE)</f>
        <v>0</v>
      </c>
      <c r="M445" s="49" t="b">
        <f>IFERROR(__xludf.DUMMYFUNCTION("""COMPUTED_VALUE"""),FALSE)</f>
        <v>0</v>
      </c>
      <c r="N445" s="49"/>
    </row>
    <row r="446">
      <c r="A446" s="49" t="str">
        <f>IFERROR(__xludf.DUMMYFUNCTION("""COMPUTED_VALUE"""),"Contradiction")</f>
        <v>Contradiction</v>
      </c>
      <c r="B446" s="126">
        <f>IFERROR(__xludf.DUMMYFUNCTION("""COMPUTED_VALUE"""),1.0)</f>
        <v>1</v>
      </c>
      <c r="C446" s="49" t="str">
        <f>IFERROR(__xludf.DUMMYFUNCTION("""COMPUTED_VALUE"""),"X")</f>
        <v>X</v>
      </c>
      <c r="D446" s="49"/>
      <c r="E446" s="49" t="str">
        <f>IFERROR(__xludf.DUMMYFUNCTION("""COMPUTED_VALUE"""),"Deals X*50 Order and X*50 Chaos damage to a single enemy where X is equal to SP spent.")</f>
        <v>Deals X*50 Order and X*50 Chaos damage to a single enemy where X is equal to SP spent.</v>
      </c>
      <c r="F446" s="49" t="str">
        <f>IFERROR(__xludf.DUMMYFUNCTION("""COMPUTED_VALUE"""),"Hit/Miss")</f>
        <v>Hit/Miss</v>
      </c>
      <c r="G446" s="49">
        <f>IFERROR(__xludf.DUMMYFUNCTION("""COMPUTED_VALUE"""),1.0)</f>
        <v>1</v>
      </c>
      <c r="H446" s="49" t="str">
        <f>IFERROR(__xludf.DUMMYFUNCTION("""COMPUTED_VALUE"""),"Stasis")</f>
        <v>Stasis</v>
      </c>
      <c r="I446" s="49" t="str">
        <f>IFERROR(__xludf.DUMMYFUNCTION("""COMPUTED_VALUE"""),"Player")</f>
        <v>Player</v>
      </c>
      <c r="J446" s="49" t="b">
        <f>IFERROR(__xludf.DUMMYFUNCTION("""COMPUTED_VALUE"""),FALSE)</f>
        <v>0</v>
      </c>
      <c r="K446" s="49"/>
      <c r="L446" s="49" t="b">
        <f>IFERROR(__xludf.DUMMYFUNCTION("""COMPUTED_VALUE"""),FALSE)</f>
        <v>0</v>
      </c>
      <c r="M446" s="49" t="b">
        <f>IFERROR(__xludf.DUMMYFUNCTION("""COMPUTED_VALUE"""),FALSE)</f>
        <v>0</v>
      </c>
      <c r="N446" s="49"/>
    </row>
    <row r="447">
      <c r="A447" s="49" t="str">
        <f>IFERROR(__xludf.DUMMYFUNCTION("""COMPUTED_VALUE"""),"Static Breakdown")</f>
        <v>Static Breakdown</v>
      </c>
      <c r="B447" s="126">
        <f>IFERROR(__xludf.DUMMYFUNCTION("""COMPUTED_VALUE"""),5.0)</f>
        <v>5</v>
      </c>
      <c r="C447" s="49" t="str">
        <f>IFERROR(__xludf.DUMMYFUNCTION("""COMPUTED_VALUE"""),"X")</f>
        <v>X</v>
      </c>
      <c r="D447" s="49"/>
      <c r="E447" s="49" t="str">
        <f>IFERROR(__xludf.DUMMYFUNCTION("""COMPUTED_VALUE"""),"Deals X*25 Order and X*25 Chaos damage per round for 3 rounds to a single target where X is equal to SP spent.")</f>
        <v>Deals X*25 Order and X*25 Chaos damage per round for 3 rounds to a single target where X is equal to SP spent.</v>
      </c>
      <c r="F447" s="49" t="str">
        <f>IFERROR(__xludf.DUMMYFUNCTION("""COMPUTED_VALUE"""),"Hit/Miss")</f>
        <v>Hit/Miss</v>
      </c>
      <c r="G447" s="49">
        <f>IFERROR(__xludf.DUMMYFUNCTION("""COMPUTED_VALUE"""),1.0)</f>
        <v>1</v>
      </c>
      <c r="H447" s="49" t="str">
        <f>IFERROR(__xludf.DUMMYFUNCTION("""COMPUTED_VALUE"""),"Stasis")</f>
        <v>Stasis</v>
      </c>
      <c r="I447" s="49" t="str">
        <f>IFERROR(__xludf.DUMMYFUNCTION("""COMPUTED_VALUE"""),"Player")</f>
        <v>Player</v>
      </c>
      <c r="J447" s="49" t="b">
        <f>IFERROR(__xludf.DUMMYFUNCTION("""COMPUTED_VALUE"""),FALSE)</f>
        <v>0</v>
      </c>
      <c r="K447" s="49"/>
      <c r="L447" s="49" t="b">
        <f>IFERROR(__xludf.DUMMYFUNCTION("""COMPUTED_VALUE"""),FALSE)</f>
        <v>0</v>
      </c>
      <c r="M447" s="49" t="b">
        <f>IFERROR(__xludf.DUMMYFUNCTION("""COMPUTED_VALUE"""),FALSE)</f>
        <v>0</v>
      </c>
      <c r="N447" s="49"/>
    </row>
    <row r="448">
      <c r="A448" s="49" t="str">
        <f>IFERROR(__xludf.DUMMYFUNCTION("""COMPUTED_VALUE"""),"Colliding Forces")</f>
        <v>Colliding Forces</v>
      </c>
      <c r="B448" s="126">
        <f>IFERROR(__xludf.DUMMYFUNCTION("""COMPUTED_VALUE"""),5.0)</f>
        <v>5</v>
      </c>
      <c r="C448" s="49" t="str">
        <f>IFERROR(__xludf.DUMMYFUNCTION("""COMPUTED_VALUE"""),"X")</f>
        <v>X</v>
      </c>
      <c r="D448" s="49"/>
      <c r="E448" s="49" t="str">
        <f>IFERROR(__xludf.DUMMYFUNCTION("""COMPUTED_VALUE"""),"Deals X*15 Order and X*15 Chaos damage to all enemies where X is equal to SP spent.")</f>
        <v>Deals X*15 Order and X*15 Chaos damage to all enemies where X is equal to SP spent.</v>
      </c>
      <c r="F448" s="49" t="str">
        <f>IFERROR(__xludf.DUMMYFUNCTION("""COMPUTED_VALUE"""),"Cannot Avoid")</f>
        <v>Cannot Avoid</v>
      </c>
      <c r="G448" s="49" t="str">
        <f>IFERROR(__xludf.DUMMYFUNCTION("""COMPUTED_VALUE"""),"All")</f>
        <v>All</v>
      </c>
      <c r="H448" s="49" t="str">
        <f>IFERROR(__xludf.DUMMYFUNCTION("""COMPUTED_VALUE"""),"Stasis")</f>
        <v>Stasis</v>
      </c>
      <c r="I448" s="49" t="str">
        <f>IFERROR(__xludf.DUMMYFUNCTION("""COMPUTED_VALUE"""),"Player")</f>
        <v>Player</v>
      </c>
      <c r="J448" s="49" t="b">
        <f>IFERROR(__xludf.DUMMYFUNCTION("""COMPUTED_VALUE"""),FALSE)</f>
        <v>0</v>
      </c>
      <c r="K448" s="49"/>
      <c r="L448" s="49" t="b">
        <f>IFERROR(__xludf.DUMMYFUNCTION("""COMPUTED_VALUE"""),FALSE)</f>
        <v>0</v>
      </c>
      <c r="M448" s="49" t="b">
        <f>IFERROR(__xludf.DUMMYFUNCTION("""COMPUTED_VALUE"""),FALSE)</f>
        <v>0</v>
      </c>
      <c r="N448" s="49"/>
    </row>
    <row r="449">
      <c r="A449" s="49" t="str">
        <f>IFERROR(__xludf.DUMMYFUNCTION("""COMPUTED_VALUE"""),"Mass Static Breakdown")</f>
        <v>Mass Static Breakdown</v>
      </c>
      <c r="B449" s="126">
        <f>IFERROR(__xludf.DUMMYFUNCTION("""COMPUTED_VALUE"""),6.0)</f>
        <v>6</v>
      </c>
      <c r="C449" s="49" t="str">
        <f>IFERROR(__xludf.DUMMYFUNCTION("""COMPUTED_VALUE"""),"X")</f>
        <v>X</v>
      </c>
      <c r="D449" s="49"/>
      <c r="E449" s="49" t="str">
        <f>IFERROR(__xludf.DUMMYFUNCTION("""COMPUTED_VALUE"""),"Deals X*5 Order and X*5 Chaos damage per round to all enemies for 3 rounds where X is equal to SP spent.")</f>
        <v>Deals X*5 Order and X*5 Chaos damage per round to all enemies for 3 rounds where X is equal to SP spent.</v>
      </c>
      <c r="F449" s="49" t="str">
        <f>IFERROR(__xludf.DUMMYFUNCTION("""COMPUTED_VALUE"""),"Cannot Avoid")</f>
        <v>Cannot Avoid</v>
      </c>
      <c r="G449" s="49" t="str">
        <f>IFERROR(__xludf.DUMMYFUNCTION("""COMPUTED_VALUE"""),"All")</f>
        <v>All</v>
      </c>
      <c r="H449" s="49" t="str">
        <f>IFERROR(__xludf.DUMMYFUNCTION("""COMPUTED_VALUE"""),"Stasis")</f>
        <v>Stasis</v>
      </c>
      <c r="I449" s="49" t="str">
        <f>IFERROR(__xludf.DUMMYFUNCTION("""COMPUTED_VALUE"""),"Player")</f>
        <v>Player</v>
      </c>
      <c r="J449" s="49" t="b">
        <f>IFERROR(__xludf.DUMMYFUNCTION("""COMPUTED_VALUE"""),FALSE)</f>
        <v>0</v>
      </c>
      <c r="K449" s="49"/>
      <c r="L449" s="49" t="b">
        <f>IFERROR(__xludf.DUMMYFUNCTION("""COMPUTED_VALUE"""),FALSE)</f>
        <v>0</v>
      </c>
      <c r="M449" s="49" t="b">
        <f>IFERROR(__xludf.DUMMYFUNCTION("""COMPUTED_VALUE"""),FALSE)</f>
        <v>0</v>
      </c>
      <c r="N449" s="49"/>
    </row>
    <row r="450">
      <c r="A450" s="49" t="str">
        <f>IFERROR(__xludf.DUMMYFUNCTION("""COMPUTED_VALUE"""),"Tower Of Storm")</f>
        <v>Tower Of Storm</v>
      </c>
      <c r="B450" s="126">
        <f>IFERROR(__xludf.DUMMYFUNCTION("""COMPUTED_VALUE"""),9.0)</f>
        <v>9</v>
      </c>
      <c r="C450" s="49">
        <f>IFERROR(__xludf.DUMMYFUNCTION("""COMPUTED_VALUE"""),300.0)</f>
        <v>300</v>
      </c>
      <c r="D450" s="49"/>
      <c r="E450" s="49" t="str">
        <f>IFERROR(__xludf.DUMMYFUNCTION("""COMPUTED_VALUE"""),"X4 additional storm damage for caster and allies. Plus Storm Immunity to caster only for 3 rounds.")</f>
        <v>X4 additional storm damage for caster and allies. Plus Storm Immunity to caster only for 3 rounds.</v>
      </c>
      <c r="F450" s="49" t="str">
        <f>IFERROR(__xludf.DUMMYFUNCTION("""COMPUTED_VALUE"""),"Fail/Succeed")</f>
        <v>Fail/Succeed</v>
      </c>
      <c r="G450" s="49"/>
      <c r="H450" s="49" t="str">
        <f>IFERROR(__xludf.DUMMYFUNCTION("""COMPUTED_VALUE"""),"Storm")</f>
        <v>Storm</v>
      </c>
      <c r="I450" s="49" t="str">
        <f>IFERROR(__xludf.DUMMYFUNCTION("""COMPUTED_VALUE"""),"Player")</f>
        <v>Player</v>
      </c>
      <c r="J450" s="49" t="b">
        <f>IFERROR(__xludf.DUMMYFUNCTION("""COMPUTED_VALUE"""),FALSE)</f>
        <v>0</v>
      </c>
      <c r="K450" s="49"/>
      <c r="L450" s="49" t="b">
        <f>IFERROR(__xludf.DUMMYFUNCTION("""COMPUTED_VALUE"""),FALSE)</f>
        <v>0</v>
      </c>
      <c r="M450" s="49" t="b">
        <f>IFERROR(__xludf.DUMMYFUNCTION("""COMPUTED_VALUE"""),FALSE)</f>
        <v>0</v>
      </c>
      <c r="N450" s="49"/>
    </row>
    <row r="451">
      <c r="A451" s="49" t="str">
        <f>IFERROR(__xludf.DUMMYFUNCTION("""COMPUTED_VALUE"""),"Calm storm")</f>
        <v>Calm storm</v>
      </c>
      <c r="B451" s="126">
        <f>IFERROR(__xludf.DUMMYFUNCTION("""COMPUTED_VALUE"""),7.0)</f>
        <v>7</v>
      </c>
      <c r="C451" s="49" t="str">
        <f>IFERROR(__xludf.DUMMYFUNCTION("""COMPUTED_VALUE"""),"X")</f>
        <v>X</v>
      </c>
      <c r="D451" s="49"/>
      <c r="E451" s="49" t="str">
        <f>IFERROR(__xludf.DUMMYFUNCTION("""COMPUTED_VALUE"""),"Negate X*4 points of storm damage.")</f>
        <v>Negate X*4 points of storm damage.</v>
      </c>
      <c r="F451" s="49" t="str">
        <f>IFERROR(__xludf.DUMMYFUNCTION("""COMPUTED_VALUE"""),"Fail/Succeed")</f>
        <v>Fail/Succeed</v>
      </c>
      <c r="G451" s="49"/>
      <c r="H451" s="49" t="str">
        <f>IFERROR(__xludf.DUMMYFUNCTION("""COMPUTED_VALUE"""),"Storm")</f>
        <v>Storm</v>
      </c>
      <c r="I451" s="49" t="str">
        <f>IFERROR(__xludf.DUMMYFUNCTION("""COMPUTED_VALUE"""),"Player")</f>
        <v>Player</v>
      </c>
      <c r="J451" s="49" t="b">
        <f>IFERROR(__xludf.DUMMYFUNCTION("""COMPUTED_VALUE"""),FALSE)</f>
        <v>0</v>
      </c>
      <c r="K451" s="49"/>
      <c r="L451" s="49" t="b">
        <f>IFERROR(__xludf.DUMMYFUNCTION("""COMPUTED_VALUE"""),FALSE)</f>
        <v>0</v>
      </c>
      <c r="M451" s="49" t="b">
        <f>IFERROR(__xludf.DUMMYFUNCTION("""COMPUTED_VALUE"""),FALSE)</f>
        <v>0</v>
      </c>
      <c r="N451" s="49"/>
    </row>
    <row r="452">
      <c r="A452" s="49" t="str">
        <f>IFERROR(__xludf.DUMMYFUNCTION("""COMPUTED_VALUE"""),"Cyclone")</f>
        <v>Cyclone</v>
      </c>
      <c r="B452" s="126">
        <f>IFERROR(__xludf.DUMMYFUNCTION("""COMPUTED_VALUE"""),3.0)</f>
        <v>3</v>
      </c>
      <c r="C452" s="49">
        <f>IFERROR(__xludf.DUMMYFUNCTION("""COMPUTED_VALUE"""),240.0)</f>
        <v>240</v>
      </c>
      <c r="D452" s="49"/>
      <c r="E452" s="49" t="str">
        <f>IFERROR(__xludf.DUMMYFUNCTION("""COMPUTED_VALUE"""),"3000 Storm Damage and 3000 Water damage to all enemies. ")</f>
        <v>3000 Storm Damage and 3000 Water damage to all enemies. </v>
      </c>
      <c r="F452" s="49" t="str">
        <f>IFERROR(__xludf.DUMMYFUNCTION("""COMPUTED_VALUE"""),"Cannot Avoid")</f>
        <v>Cannot Avoid</v>
      </c>
      <c r="G452" s="49"/>
      <c r="H452" s="49" t="str">
        <f>IFERROR(__xludf.DUMMYFUNCTION("""COMPUTED_VALUE"""),"Storm")</f>
        <v>Storm</v>
      </c>
      <c r="I452" s="49" t="str">
        <f>IFERROR(__xludf.DUMMYFUNCTION("""COMPUTED_VALUE"""),"Player")</f>
        <v>Player</v>
      </c>
      <c r="J452" s="49" t="b">
        <f>IFERROR(__xludf.DUMMYFUNCTION("""COMPUTED_VALUE"""),FALSE)</f>
        <v>0</v>
      </c>
      <c r="K452" s="49"/>
      <c r="L452" s="49" t="b">
        <f>IFERROR(__xludf.DUMMYFUNCTION("""COMPUTED_VALUE"""),FALSE)</f>
        <v>0</v>
      </c>
      <c r="M452" s="49" t="b">
        <f>IFERROR(__xludf.DUMMYFUNCTION("""COMPUTED_VALUE"""),FALSE)</f>
        <v>0</v>
      </c>
      <c r="N452" s="49"/>
    </row>
    <row r="453">
      <c r="A453" s="49" t="str">
        <f>IFERROR(__xludf.DUMMYFUNCTION("""COMPUTED_VALUE"""),"Dreading Storm")</f>
        <v>Dreading Storm</v>
      </c>
      <c r="B453" s="126">
        <f>IFERROR(__xludf.DUMMYFUNCTION("""COMPUTED_VALUE"""),8.0)</f>
        <v>8</v>
      </c>
      <c r="C453" s="49">
        <f>IFERROR(__xludf.DUMMYFUNCTION("""COMPUTED_VALUE"""),200.0)</f>
        <v>200</v>
      </c>
      <c r="D453" s="49"/>
      <c r="E453" s="49" t="str">
        <f>IFERROR(__xludf.DUMMYFUNCTION("""COMPUTED_VALUE"""),"5000 storm damage to all enemies, 50% chance to negate the next incoming stun attempts.")</f>
        <v>5000 storm damage to all enemies, 50% chance to negate the next incoming stun attempts.</v>
      </c>
      <c r="F453" s="49" t="str">
        <f>IFERROR(__xludf.DUMMYFUNCTION("""COMPUTED_VALUE"""),"Cannot Avoid")</f>
        <v>Cannot Avoid</v>
      </c>
      <c r="G453" s="49"/>
      <c r="H453" s="49" t="str">
        <f>IFERROR(__xludf.DUMMYFUNCTION("""COMPUTED_VALUE"""),"Storm")</f>
        <v>Storm</v>
      </c>
      <c r="I453" s="49" t="str">
        <f>IFERROR(__xludf.DUMMYFUNCTION("""COMPUTED_VALUE"""),"Player")</f>
        <v>Player</v>
      </c>
      <c r="J453" s="49" t="b">
        <f>IFERROR(__xludf.DUMMYFUNCTION("""COMPUTED_VALUE"""),FALSE)</f>
        <v>0</v>
      </c>
      <c r="K453" s="49"/>
      <c r="L453" s="49" t="b">
        <f>IFERROR(__xludf.DUMMYFUNCTION("""COMPUTED_VALUE"""),FALSE)</f>
        <v>0</v>
      </c>
      <c r="M453" s="49" t="b">
        <f>IFERROR(__xludf.DUMMYFUNCTION("""COMPUTED_VALUE"""),FALSE)</f>
        <v>0</v>
      </c>
      <c r="N453" s="49"/>
    </row>
    <row r="454">
      <c r="A454" s="49" t="str">
        <f>IFERROR(__xludf.DUMMYFUNCTION("""COMPUTED_VALUE"""),"Eel Nado")</f>
        <v>Eel Nado</v>
      </c>
      <c r="B454" s="126">
        <f>IFERROR(__xludf.DUMMYFUNCTION("""COMPUTED_VALUE"""),9.0)</f>
        <v>9</v>
      </c>
      <c r="C454" s="49">
        <f>IFERROR(__xludf.DUMMYFUNCTION("""COMPUTED_VALUE"""),800.0)</f>
        <v>800</v>
      </c>
      <c r="D454" s="49"/>
      <c r="E454" s="49" t="str">
        <f>IFERROR(__xludf.DUMMYFUNCTION("""COMPUTED_VALUE"""),"20,000 storm and water damage to all enemies, 75% chance to summon 2 Eel Sharks if the battle is in water. ")</f>
        <v>20,000 storm and water damage to all enemies, 75% chance to summon 2 Eel Sharks if the battle is in water. </v>
      </c>
      <c r="F454" s="49" t="str">
        <f>IFERROR(__xludf.DUMMYFUNCTION("""COMPUTED_VALUE"""),"Hit/Miss")</f>
        <v>Hit/Miss</v>
      </c>
      <c r="G454" s="49">
        <f>IFERROR(__xludf.DUMMYFUNCTION("""COMPUTED_VALUE"""),1.0)</f>
        <v>1</v>
      </c>
      <c r="H454" s="49" t="str">
        <f>IFERROR(__xludf.DUMMYFUNCTION("""COMPUTED_VALUE"""),"Storm")</f>
        <v>Storm</v>
      </c>
      <c r="I454" s="49" t="str">
        <f>IFERROR(__xludf.DUMMYFUNCTION("""COMPUTED_VALUE"""),"Player")</f>
        <v>Player</v>
      </c>
      <c r="J454" s="49" t="b">
        <f>IFERROR(__xludf.DUMMYFUNCTION("""COMPUTED_VALUE"""),FALSE)</f>
        <v>0</v>
      </c>
      <c r="K454" s="49"/>
      <c r="L454" s="49" t="b">
        <f>IFERROR(__xludf.DUMMYFUNCTION("""COMPUTED_VALUE"""),FALSE)</f>
        <v>0</v>
      </c>
      <c r="M454" s="49" t="b">
        <f>IFERROR(__xludf.DUMMYFUNCTION("""COMPUTED_VALUE"""),FALSE)</f>
        <v>0</v>
      </c>
      <c r="N454" s="49"/>
    </row>
    <row r="455">
      <c r="A455" s="49" t="str">
        <f>IFERROR(__xludf.DUMMYFUNCTION("""COMPUTED_VALUE"""),"Elemental Storm")</f>
        <v>Elemental Storm</v>
      </c>
      <c r="B455" s="126">
        <f>IFERROR(__xludf.DUMMYFUNCTION("""COMPUTED_VALUE"""),9.0)</f>
        <v>9</v>
      </c>
      <c r="C455" s="125">
        <f>IFERROR(__xludf.DUMMYFUNCTION("""COMPUTED_VALUE"""),7200.0)</f>
        <v>7200</v>
      </c>
      <c r="D455" s="49"/>
      <c r="E455" s="49" t="str">
        <f>IFERROR(__xludf.DUMMYFUNCTION("""COMPUTED_VALUE"""),"20,000 fire, water, earth, light, dark, order, chaos, nature, and storm damage to all enemies.")</f>
        <v>20,000 fire, water, earth, light, dark, order, chaos, nature, and storm damage to all enemies.</v>
      </c>
      <c r="F455" s="49" t="str">
        <f>IFERROR(__xludf.DUMMYFUNCTION("""COMPUTED_VALUE"""),"Cannot Avoid")</f>
        <v>Cannot Avoid</v>
      </c>
      <c r="G455" s="49"/>
      <c r="H455" s="49" t="str">
        <f>IFERROR(__xludf.DUMMYFUNCTION("""COMPUTED_VALUE"""),"Storm")</f>
        <v>Storm</v>
      </c>
      <c r="I455" s="49" t="str">
        <f>IFERROR(__xludf.DUMMYFUNCTION("""COMPUTED_VALUE"""),"Player")</f>
        <v>Player</v>
      </c>
      <c r="J455" s="49" t="b">
        <f>IFERROR(__xludf.DUMMYFUNCTION("""COMPUTED_VALUE"""),FALSE)</f>
        <v>0</v>
      </c>
      <c r="K455" s="49"/>
      <c r="L455" s="49" t="b">
        <f>IFERROR(__xludf.DUMMYFUNCTION("""COMPUTED_VALUE"""),FALSE)</f>
        <v>0</v>
      </c>
      <c r="M455" s="49" t="b">
        <f>IFERROR(__xludf.DUMMYFUNCTION("""COMPUTED_VALUE"""),FALSE)</f>
        <v>0</v>
      </c>
      <c r="N455" s="49"/>
    </row>
    <row r="456">
      <c r="A456" s="49" t="str">
        <f>IFERROR(__xludf.DUMMYFUNCTION("""COMPUTED_VALUE"""),"Freezing Fog")</f>
        <v>Freezing Fog</v>
      </c>
      <c r="B456" s="126">
        <f>IFERROR(__xludf.DUMMYFUNCTION("""COMPUTED_VALUE"""),9.0)</f>
        <v>9</v>
      </c>
      <c r="C456" s="49">
        <f>IFERROR(__xludf.DUMMYFUNCTION("""COMPUTED_VALUE"""),300.0)</f>
        <v>300</v>
      </c>
      <c r="D456" s="49"/>
      <c r="E456" s="49" t="str">
        <f>IFERROR(__xludf.DUMMYFUNCTION("""COMPUTED_VALUE"""),"50% chance of freezing 1d6 enemies.")</f>
        <v>50% chance of freezing 1d6 enemies.</v>
      </c>
      <c r="F456" s="49" t="str">
        <f>IFERROR(__xludf.DUMMYFUNCTION("""COMPUTED_VALUE"""),"Will Succeed")</f>
        <v>Will Succeed</v>
      </c>
      <c r="G456" s="49" t="str">
        <f>IFERROR(__xludf.DUMMYFUNCTION("""COMPUTED_VALUE"""),"1d6")</f>
        <v>1d6</v>
      </c>
      <c r="H456" s="49" t="str">
        <f>IFERROR(__xludf.DUMMYFUNCTION("""COMPUTED_VALUE"""),"Storm")</f>
        <v>Storm</v>
      </c>
      <c r="I456" s="49" t="str">
        <f>IFERROR(__xludf.DUMMYFUNCTION("""COMPUTED_VALUE"""),"Player")</f>
        <v>Player</v>
      </c>
      <c r="J456" s="49" t="b">
        <f>IFERROR(__xludf.DUMMYFUNCTION("""COMPUTED_VALUE"""),FALSE)</f>
        <v>0</v>
      </c>
      <c r="K456" s="49"/>
      <c r="L456" s="49" t="b">
        <f>IFERROR(__xludf.DUMMYFUNCTION("""COMPUTED_VALUE"""),FALSE)</f>
        <v>0</v>
      </c>
      <c r="M456" s="49" t="b">
        <f>IFERROR(__xludf.DUMMYFUNCTION("""COMPUTED_VALUE"""),FALSE)</f>
        <v>0</v>
      </c>
      <c r="N456" s="49"/>
    </row>
    <row r="457">
      <c r="A457" s="49" t="str">
        <f>IFERROR(__xludf.DUMMYFUNCTION("""COMPUTED_VALUE"""),"Gust of Wind")</f>
        <v>Gust of Wind</v>
      </c>
      <c r="B457" s="126">
        <f>IFERROR(__xludf.DUMMYFUNCTION("""COMPUTED_VALUE"""),2.0)</f>
        <v>2</v>
      </c>
      <c r="C457" s="49">
        <f>IFERROR(__xludf.DUMMYFUNCTION("""COMPUTED_VALUE"""),80.0)</f>
        <v>80</v>
      </c>
      <c r="D457" s="49"/>
      <c r="E457" s="49" t="str">
        <f>IFERROR(__xludf.DUMMYFUNCTION("""COMPUTED_VALUE"""),"2000 storm damage to all enemies. 50% chance to remove those targets from battle.")</f>
        <v>2000 storm damage to all enemies. 50% chance to remove those targets from battle.</v>
      </c>
      <c r="F457" s="49" t="str">
        <f>IFERROR(__xludf.DUMMYFUNCTION("""COMPUTED_VALUE"""),"Cannot Avoid")</f>
        <v>Cannot Avoid</v>
      </c>
      <c r="G457" s="49" t="str">
        <f>IFERROR(__xludf.DUMMYFUNCTION("""COMPUTED_VALUE"""),"All")</f>
        <v>All</v>
      </c>
      <c r="H457" s="49" t="str">
        <f>IFERROR(__xludf.DUMMYFUNCTION("""COMPUTED_VALUE"""),"Storm")</f>
        <v>Storm</v>
      </c>
      <c r="I457" s="49" t="str">
        <f>IFERROR(__xludf.DUMMYFUNCTION("""COMPUTED_VALUE"""),"Player")</f>
        <v>Player</v>
      </c>
      <c r="J457" s="49" t="b">
        <f>IFERROR(__xludf.DUMMYFUNCTION("""COMPUTED_VALUE"""),FALSE)</f>
        <v>0</v>
      </c>
      <c r="K457" s="49"/>
      <c r="L457" s="49" t="b">
        <f>IFERROR(__xludf.DUMMYFUNCTION("""COMPUTED_VALUE"""),FALSE)</f>
        <v>0</v>
      </c>
      <c r="M457" s="49" t="b">
        <f>IFERROR(__xludf.DUMMYFUNCTION("""COMPUTED_VALUE"""),FALSE)</f>
        <v>0</v>
      </c>
      <c r="N457" s="49"/>
    </row>
    <row r="458">
      <c r="A458" s="49" t="str">
        <f>IFERROR(__xludf.DUMMYFUNCTION("""COMPUTED_VALUE"""),"HailStorm")</f>
        <v>HailStorm</v>
      </c>
      <c r="B458" s="126">
        <f>IFERROR(__xludf.DUMMYFUNCTION("""COMPUTED_VALUE"""),5.0)</f>
        <v>5</v>
      </c>
      <c r="C458" s="49">
        <f>IFERROR(__xludf.DUMMYFUNCTION("""COMPUTED_VALUE"""),80.0)</f>
        <v>80</v>
      </c>
      <c r="D458" s="49"/>
      <c r="E458" s="49" t="str">
        <f>IFERROR(__xludf.DUMMYFUNCTION("""COMPUTED_VALUE"""),"Makes all percentage freezing effects 100% for self and allies.")</f>
        <v>Makes all percentage freezing effects 100% for self and allies.</v>
      </c>
      <c r="F458" s="49" t="str">
        <f>IFERROR(__xludf.DUMMYFUNCTION("""COMPUTED_VALUE"""),"Fail/Succeed")</f>
        <v>Fail/Succeed</v>
      </c>
      <c r="G458" s="49" t="str">
        <f>IFERROR(__xludf.DUMMYFUNCTION("""COMPUTED_VALUE"""),"Self")</f>
        <v>Self</v>
      </c>
      <c r="H458" s="49" t="str">
        <f>IFERROR(__xludf.DUMMYFUNCTION("""COMPUTED_VALUE"""),"Storm")</f>
        <v>Storm</v>
      </c>
      <c r="I458" s="49" t="str">
        <f>IFERROR(__xludf.DUMMYFUNCTION("""COMPUTED_VALUE"""),"Player")</f>
        <v>Player</v>
      </c>
      <c r="J458" s="49" t="b">
        <f>IFERROR(__xludf.DUMMYFUNCTION("""COMPUTED_VALUE"""),TRUE)</f>
        <v>1</v>
      </c>
      <c r="K458" s="49" t="str">
        <f>IFERROR(__xludf.DUMMYFUNCTION("""COMPUTED_VALUE"""),"shop spell")</f>
        <v>shop spell</v>
      </c>
      <c r="L458" s="49" t="b">
        <f>IFERROR(__xludf.DUMMYFUNCTION("""COMPUTED_VALUE"""),FALSE)</f>
        <v>0</v>
      </c>
      <c r="M458" s="49" t="b">
        <f>IFERROR(__xludf.DUMMYFUNCTION("""COMPUTED_VALUE"""),FALSE)</f>
        <v>0</v>
      </c>
      <c r="N458" s="49"/>
    </row>
    <row r="459">
      <c r="A459" s="49" t="str">
        <f>IFERROR(__xludf.DUMMYFUNCTION("""COMPUTED_VALUE"""),"Hurricane")</f>
        <v>Hurricane</v>
      </c>
      <c r="B459" s="126">
        <f>IFERROR(__xludf.DUMMYFUNCTION("""COMPUTED_VALUE"""),3.0)</f>
        <v>3</v>
      </c>
      <c r="C459" s="49" t="str">
        <f>IFERROR(__xludf.DUMMYFUNCTION("""COMPUTED_VALUE"""),"d12*20")</f>
        <v>d12*20</v>
      </c>
      <c r="D459" s="49"/>
      <c r="E459" s="49"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49" t="str">
        <f>IFERROR(__xludf.DUMMYFUNCTION("""COMPUTED_VALUE"""),"Cannot Avoid")</f>
        <v>Cannot Avoid</v>
      </c>
      <c r="G459" s="49" t="str">
        <f>IFERROR(__xludf.DUMMYFUNCTION("""COMPUTED_VALUE"""),"All")</f>
        <v>All</v>
      </c>
      <c r="H459" s="49" t="str">
        <f>IFERROR(__xludf.DUMMYFUNCTION("""COMPUTED_VALUE"""),"Storm")</f>
        <v>Storm</v>
      </c>
      <c r="I459" s="49" t="str">
        <f>IFERROR(__xludf.DUMMYFUNCTION("""COMPUTED_VALUE"""),"Player")</f>
        <v>Player</v>
      </c>
      <c r="J459" s="49" t="b">
        <f>IFERROR(__xludf.DUMMYFUNCTION("""COMPUTED_VALUE"""),FALSE)</f>
        <v>0</v>
      </c>
      <c r="K459" s="49"/>
      <c r="L459" s="49" t="b">
        <f>IFERROR(__xludf.DUMMYFUNCTION("""COMPUTED_VALUE"""),FALSE)</f>
        <v>0</v>
      </c>
      <c r="M459" s="49" t="b">
        <f>IFERROR(__xludf.DUMMYFUNCTION("""COMPUTED_VALUE"""),FALSE)</f>
        <v>0</v>
      </c>
      <c r="N459" s="49"/>
    </row>
    <row r="460">
      <c r="A460" s="49" t="str">
        <f>IFERROR(__xludf.DUMMYFUNCTION("""COMPUTED_VALUE"""),"Roaring Frost Winds")</f>
        <v>Roaring Frost Winds</v>
      </c>
      <c r="B460" s="126">
        <f>IFERROR(__xludf.DUMMYFUNCTION("""COMPUTED_VALUE"""),8.0)</f>
        <v>8</v>
      </c>
      <c r="C460" s="49">
        <f>IFERROR(__xludf.DUMMYFUNCTION("""COMPUTED_VALUE"""),560.0)</f>
        <v>560</v>
      </c>
      <c r="D460" s="49"/>
      <c r="E460" s="49" t="str">
        <f>IFERROR(__xludf.DUMMYFUNCTION("""COMPUTED_VALUE"""),"14,000 storm damage to all enemies, 50% chance to freeze all targets.")</f>
        <v>14,000 storm damage to all enemies, 50% chance to freeze all targets.</v>
      </c>
      <c r="F460" s="49" t="str">
        <f>IFERROR(__xludf.DUMMYFUNCTION("""COMPUTED_VALUE"""),"Cannot Avoid")</f>
        <v>Cannot Avoid</v>
      </c>
      <c r="G460" s="49"/>
      <c r="H460" s="49" t="str">
        <f>IFERROR(__xludf.DUMMYFUNCTION("""COMPUTED_VALUE"""),"Storm")</f>
        <v>Storm</v>
      </c>
      <c r="I460" s="49" t="str">
        <f>IFERROR(__xludf.DUMMYFUNCTION("""COMPUTED_VALUE"""),"Player")</f>
        <v>Player</v>
      </c>
      <c r="J460" s="49" t="b">
        <f>IFERROR(__xludf.DUMMYFUNCTION("""COMPUTED_VALUE"""),FALSE)</f>
        <v>0</v>
      </c>
      <c r="K460" s="49"/>
      <c r="L460" s="49" t="b">
        <f>IFERROR(__xludf.DUMMYFUNCTION("""COMPUTED_VALUE"""),FALSE)</f>
        <v>0</v>
      </c>
      <c r="M460" s="49" t="b">
        <f>IFERROR(__xludf.DUMMYFUNCTION("""COMPUTED_VALUE"""),FALSE)</f>
        <v>0</v>
      </c>
      <c r="N460" s="49"/>
    </row>
    <row r="461">
      <c r="A461" s="49" t="str">
        <f>IFERROR(__xludf.DUMMYFUNCTION("""COMPUTED_VALUE"""),"Shocking Strike")</f>
        <v>Shocking Strike</v>
      </c>
      <c r="B461" s="126">
        <f>IFERROR(__xludf.DUMMYFUNCTION("""COMPUTED_VALUE"""),6.0)</f>
        <v>6</v>
      </c>
      <c r="C461" s="49">
        <f>IFERROR(__xludf.DUMMYFUNCTION("""COMPUTED_VALUE"""),240.0)</f>
        <v>240</v>
      </c>
      <c r="D461" s="49"/>
      <c r="E461" s="49" t="str">
        <f>IFERROR(__xludf.DUMMYFUNCTION("""COMPUTED_VALUE"""),"6000 storm damage, Stun 3")</f>
        <v>6000 storm damage, Stun 3</v>
      </c>
      <c r="F461" s="49" t="str">
        <f>IFERROR(__xludf.DUMMYFUNCTION("""COMPUTED_VALUE"""),"Hit/Miss")</f>
        <v>Hit/Miss</v>
      </c>
      <c r="G461" s="49">
        <f>IFERROR(__xludf.DUMMYFUNCTION("""COMPUTED_VALUE"""),1.0)</f>
        <v>1</v>
      </c>
      <c r="H461" s="49" t="str">
        <f>IFERROR(__xludf.DUMMYFUNCTION("""COMPUTED_VALUE"""),"Storm")</f>
        <v>Storm</v>
      </c>
      <c r="I461" s="49" t="str">
        <f>IFERROR(__xludf.DUMMYFUNCTION("""COMPUTED_VALUE"""),"Player")</f>
        <v>Player</v>
      </c>
      <c r="J461" s="49" t="b">
        <f>IFERROR(__xludf.DUMMYFUNCTION("""COMPUTED_VALUE"""),FALSE)</f>
        <v>0</v>
      </c>
      <c r="K461" s="49"/>
      <c r="L461" s="49" t="b">
        <f>IFERROR(__xludf.DUMMYFUNCTION("""COMPUTED_VALUE"""),FALSE)</f>
        <v>0</v>
      </c>
      <c r="M461" s="49" t="b">
        <f>IFERROR(__xludf.DUMMYFUNCTION("""COMPUTED_VALUE"""),FALSE)</f>
        <v>0</v>
      </c>
      <c r="N461" s="49"/>
    </row>
    <row r="462">
      <c r="A462" s="49" t="str">
        <f>IFERROR(__xludf.DUMMYFUNCTION("""COMPUTED_VALUE"""),"Static Charge")</f>
        <v>Static Charge</v>
      </c>
      <c r="B462" s="126">
        <f>IFERROR(__xludf.DUMMYFUNCTION("""COMPUTED_VALUE"""),4.0)</f>
        <v>4</v>
      </c>
      <c r="C462" s="49" t="str">
        <f>IFERROR(__xludf.DUMMYFUNCTION("""COMPUTED_VALUE"""),"X")</f>
        <v>X</v>
      </c>
      <c r="D462" s="49"/>
      <c r="E462" s="49" t="str">
        <f>IFERROR(__xludf.DUMMYFUNCTION("""COMPUTED_VALUE"""),"Target gains X*4 Storm damage and X*4 Storm resistance, can’t be used on self.")</f>
        <v>Target gains X*4 Storm damage and X*4 Storm resistance, can’t be used on self.</v>
      </c>
      <c r="F462" s="49" t="str">
        <f>IFERROR(__xludf.DUMMYFUNCTION("""COMPUTED_VALUE"""),"Will Succeed")</f>
        <v>Will Succeed</v>
      </c>
      <c r="G462" s="49"/>
      <c r="H462" s="49" t="str">
        <f>IFERROR(__xludf.DUMMYFUNCTION("""COMPUTED_VALUE"""),"Storm")</f>
        <v>Storm</v>
      </c>
      <c r="I462" s="49" t="str">
        <f>IFERROR(__xludf.DUMMYFUNCTION("""COMPUTED_VALUE"""),"Player")</f>
        <v>Player</v>
      </c>
      <c r="J462" s="49" t="b">
        <f>IFERROR(__xludf.DUMMYFUNCTION("""COMPUTED_VALUE"""),FALSE)</f>
        <v>0</v>
      </c>
      <c r="K462" s="49"/>
      <c r="L462" s="49" t="b">
        <f>IFERROR(__xludf.DUMMYFUNCTION("""COMPUTED_VALUE"""),FALSE)</f>
        <v>0</v>
      </c>
      <c r="M462" s="49" t="b">
        <f>IFERROR(__xludf.DUMMYFUNCTION("""COMPUTED_VALUE"""),FALSE)</f>
        <v>0</v>
      </c>
      <c r="N462" s="49"/>
    </row>
    <row r="463">
      <c r="A463" s="49" t="str">
        <f>IFERROR(__xludf.DUMMYFUNCTION("""COMPUTED_VALUE"""),"Stun Negation")</f>
        <v>Stun Negation</v>
      </c>
      <c r="B463" s="126">
        <f>IFERROR(__xludf.DUMMYFUNCTION("""COMPUTED_VALUE"""),6.0)</f>
        <v>6</v>
      </c>
      <c r="C463" s="49">
        <f>IFERROR(__xludf.DUMMYFUNCTION("""COMPUTED_VALUE"""),60.0)</f>
        <v>60</v>
      </c>
      <c r="D463" s="49"/>
      <c r="E463" s="49" t="str">
        <f>IFERROR(__xludf.DUMMYFUNCTION("""COMPUTED_VALUE"""),"Negate the next 3 incoming stun attempts.")</f>
        <v>Negate the next 3 incoming stun attempts.</v>
      </c>
      <c r="F463" s="49" t="str">
        <f>IFERROR(__xludf.DUMMYFUNCTION("""COMPUTED_VALUE"""),"Fail/Succeed")</f>
        <v>Fail/Succeed</v>
      </c>
      <c r="G463" s="49"/>
      <c r="H463" s="49" t="str">
        <f>IFERROR(__xludf.DUMMYFUNCTION("""COMPUTED_VALUE"""),"Storm")</f>
        <v>Storm</v>
      </c>
      <c r="I463" s="49" t="str">
        <f>IFERROR(__xludf.DUMMYFUNCTION("""COMPUTED_VALUE"""),"Player")</f>
        <v>Player</v>
      </c>
      <c r="J463" s="49" t="b">
        <f>IFERROR(__xludf.DUMMYFUNCTION("""COMPUTED_VALUE"""),FALSE)</f>
        <v>0</v>
      </c>
      <c r="K463" s="49"/>
      <c r="L463" s="49" t="b">
        <f>IFERROR(__xludf.DUMMYFUNCTION("""COMPUTED_VALUE"""),FALSE)</f>
        <v>0</v>
      </c>
      <c r="M463" s="49" t="b">
        <f>IFERROR(__xludf.DUMMYFUNCTION("""COMPUTED_VALUE"""),FALSE)</f>
        <v>0</v>
      </c>
      <c r="N463" s="49"/>
    </row>
    <row r="464">
      <c r="A464" s="49" t="str">
        <f>IFERROR(__xludf.DUMMYFUNCTION("""COMPUTED_VALUE"""),"Stun Wave")</f>
        <v>Stun Wave</v>
      </c>
      <c r="B464" s="126">
        <f>IFERROR(__xludf.DUMMYFUNCTION("""COMPUTED_VALUE"""),1.0)</f>
        <v>1</v>
      </c>
      <c r="C464" s="49">
        <f>IFERROR(__xludf.DUMMYFUNCTION("""COMPUTED_VALUE"""),10.0)</f>
        <v>10</v>
      </c>
      <c r="D464" s="49"/>
      <c r="E464" s="49" t="str">
        <f>IFERROR(__xludf.DUMMYFUNCTION("""COMPUTED_VALUE"""),"Stun 3")</f>
        <v>Stun 3</v>
      </c>
      <c r="F464" s="49" t="str">
        <f>IFERROR(__xludf.DUMMYFUNCTION("""COMPUTED_VALUE"""),"Fail/Succeed")</f>
        <v>Fail/Succeed</v>
      </c>
      <c r="G464" s="49"/>
      <c r="H464" s="49" t="str">
        <f>IFERROR(__xludf.DUMMYFUNCTION("""COMPUTED_VALUE"""),"Storm")</f>
        <v>Storm</v>
      </c>
      <c r="I464" s="49" t="str">
        <f>IFERROR(__xludf.DUMMYFUNCTION("""COMPUTED_VALUE"""),"Player")</f>
        <v>Player</v>
      </c>
      <c r="J464" s="49" t="b">
        <f>IFERROR(__xludf.DUMMYFUNCTION("""COMPUTED_VALUE"""),FALSE)</f>
        <v>0</v>
      </c>
      <c r="K464" s="49"/>
      <c r="L464" s="49" t="b">
        <f>IFERROR(__xludf.DUMMYFUNCTION("""COMPUTED_VALUE"""),FALSE)</f>
        <v>0</v>
      </c>
      <c r="M464" s="49" t="b">
        <f>IFERROR(__xludf.DUMMYFUNCTION("""COMPUTED_VALUE"""),FALSE)</f>
        <v>0</v>
      </c>
      <c r="N464" s="49"/>
    </row>
    <row r="465">
      <c r="A465" s="49" t="str">
        <f>IFERROR(__xludf.DUMMYFUNCTION("""COMPUTED_VALUE"""),"Thunderstorm")</f>
        <v>Thunderstorm</v>
      </c>
      <c r="B465" s="126">
        <f>IFERROR(__xludf.DUMMYFUNCTION("""COMPUTED_VALUE"""),6.0)</f>
        <v>6</v>
      </c>
      <c r="C465" s="49">
        <f>IFERROR(__xludf.DUMMYFUNCTION("""COMPUTED_VALUE"""),60.0)</f>
        <v>60</v>
      </c>
      <c r="D465" s="49"/>
      <c r="E465" s="49"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49" t="str">
        <f>IFERROR(__xludf.DUMMYFUNCTION("""COMPUTED_VALUE"""),"Will Succeed")</f>
        <v>Will Succeed</v>
      </c>
      <c r="G465" s="49"/>
      <c r="H465" s="49" t="str">
        <f>IFERROR(__xludf.DUMMYFUNCTION("""COMPUTED_VALUE"""),"Storm")</f>
        <v>Storm</v>
      </c>
      <c r="I465" s="49" t="str">
        <f>IFERROR(__xludf.DUMMYFUNCTION("""COMPUTED_VALUE"""),"Player")</f>
        <v>Player</v>
      </c>
      <c r="J465" s="49" t="b">
        <f>IFERROR(__xludf.DUMMYFUNCTION("""COMPUTED_VALUE"""),FALSE)</f>
        <v>0</v>
      </c>
      <c r="K465" s="49"/>
      <c r="L465" s="49" t="b">
        <f>IFERROR(__xludf.DUMMYFUNCTION("""COMPUTED_VALUE"""),FALSE)</f>
        <v>0</v>
      </c>
      <c r="M465" s="49" t="b">
        <f>IFERROR(__xludf.DUMMYFUNCTION("""COMPUTED_VALUE"""),FALSE)</f>
        <v>0</v>
      </c>
      <c r="N465" s="49"/>
    </row>
    <row r="466">
      <c r="A466" s="49" t="str">
        <f>IFERROR(__xludf.DUMMYFUNCTION("""COMPUTED_VALUE"""),"Brewing Storm")</f>
        <v>Brewing Storm</v>
      </c>
      <c r="B466" s="126">
        <f>IFERROR(__xludf.DUMMYFUNCTION("""COMPUTED_VALUE"""),9.0)</f>
        <v>9</v>
      </c>
      <c r="C466" s="49">
        <f>IFERROR(__xludf.DUMMYFUNCTION("""COMPUTED_VALUE"""),500.0)</f>
        <v>500</v>
      </c>
      <c r="D466" s="49"/>
      <c r="E466" s="49"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49" t="str">
        <f>IFERROR(__xludf.DUMMYFUNCTION("""COMPUTED_VALUE"""),"Will Succeed")</f>
        <v>Will Succeed</v>
      </c>
      <c r="G466" s="49" t="str">
        <f>IFERROR(__xludf.DUMMYFUNCTION("""COMPUTED_VALUE"""),"All")</f>
        <v>All</v>
      </c>
      <c r="H466" s="49" t="str">
        <f>IFERROR(__xludf.DUMMYFUNCTION("""COMPUTED_VALUE"""),"Storm")</f>
        <v>Storm</v>
      </c>
      <c r="I466" s="49" t="str">
        <f>IFERROR(__xludf.DUMMYFUNCTION("""COMPUTED_VALUE"""),"Player")</f>
        <v>Player</v>
      </c>
      <c r="J466" s="49" t="b">
        <f>IFERROR(__xludf.DUMMYFUNCTION("""COMPUTED_VALUE"""),FALSE)</f>
        <v>0</v>
      </c>
      <c r="K466" s="49"/>
      <c r="L466" s="49" t="b">
        <f>IFERROR(__xludf.DUMMYFUNCTION("""COMPUTED_VALUE"""),FALSE)</f>
        <v>0</v>
      </c>
      <c r="M466" s="49" t="b">
        <f>IFERROR(__xludf.DUMMYFUNCTION("""COMPUTED_VALUE"""),FALSE)</f>
        <v>0</v>
      </c>
      <c r="N466" s="49"/>
    </row>
    <row r="467">
      <c r="A467" s="49" t="str">
        <f>IFERROR(__xludf.DUMMYFUNCTION("""COMPUTED_VALUE"""),"Lightning Strike")</f>
        <v>Lightning Strike</v>
      </c>
      <c r="B467" s="126">
        <f>IFERROR(__xludf.DUMMYFUNCTION("""COMPUTED_VALUE"""),1.0)</f>
        <v>1</v>
      </c>
      <c r="C467" s="49" t="str">
        <f>IFERROR(__xludf.DUMMYFUNCTION("""COMPUTED_VALUE"""),"X")</f>
        <v>X</v>
      </c>
      <c r="D467" s="49"/>
      <c r="E467" s="49" t="str">
        <f>IFERROR(__xludf.DUMMYFUNCTION("""COMPUTED_VALUE"""),"Deals X*100 Storm damage to a single enemy where X is equal to SP spent.")</f>
        <v>Deals X*100 Storm damage to a single enemy where X is equal to SP spent.</v>
      </c>
      <c r="F467" s="49" t="str">
        <f>IFERROR(__xludf.DUMMYFUNCTION("""COMPUTED_VALUE"""),"Hit/Miss")</f>
        <v>Hit/Miss</v>
      </c>
      <c r="G467" s="49">
        <f>IFERROR(__xludf.DUMMYFUNCTION("""COMPUTED_VALUE"""),1.0)</f>
        <v>1</v>
      </c>
      <c r="H467" s="49" t="str">
        <f>IFERROR(__xludf.DUMMYFUNCTION("""COMPUTED_VALUE"""),"Storm")</f>
        <v>Storm</v>
      </c>
      <c r="I467" s="49" t="str">
        <f>IFERROR(__xludf.DUMMYFUNCTION("""COMPUTED_VALUE"""),"Player")</f>
        <v>Player</v>
      </c>
      <c r="J467" s="49" t="b">
        <f>IFERROR(__xludf.DUMMYFUNCTION("""COMPUTED_VALUE"""),FALSE)</f>
        <v>0</v>
      </c>
      <c r="K467" s="49"/>
      <c r="L467" s="49" t="b">
        <f>IFERROR(__xludf.DUMMYFUNCTION("""COMPUTED_VALUE"""),FALSE)</f>
        <v>0</v>
      </c>
      <c r="M467" s="49" t="b">
        <f>IFERROR(__xludf.DUMMYFUNCTION("""COMPUTED_VALUE"""),FALSE)</f>
        <v>0</v>
      </c>
      <c r="N467" s="49"/>
    </row>
    <row r="468">
      <c r="A468" s="49" t="str">
        <f>IFERROR(__xludf.DUMMYFUNCTION("""COMPUTED_VALUE"""),"Shocking Touch")</f>
        <v>Shocking Touch</v>
      </c>
      <c r="B468" s="126">
        <f>IFERROR(__xludf.DUMMYFUNCTION("""COMPUTED_VALUE"""),5.0)</f>
        <v>5</v>
      </c>
      <c r="C468" s="49" t="str">
        <f>IFERROR(__xludf.DUMMYFUNCTION("""COMPUTED_VALUE"""),"X")</f>
        <v>X</v>
      </c>
      <c r="D468" s="49"/>
      <c r="E468" s="49" t="str">
        <f>IFERROR(__xludf.DUMMYFUNCTION("""COMPUTED_VALUE"""),"Deals X*50 Storm damage per round for 3 rounds to a single target where X is equal to SP spent.")</f>
        <v>Deals X*50 Storm damage per round for 3 rounds to a single target where X is equal to SP spent.</v>
      </c>
      <c r="F468" s="49" t="str">
        <f>IFERROR(__xludf.DUMMYFUNCTION("""COMPUTED_VALUE"""),"Hit/Miss")</f>
        <v>Hit/Miss</v>
      </c>
      <c r="G468" s="49">
        <f>IFERROR(__xludf.DUMMYFUNCTION("""COMPUTED_VALUE"""),1.0)</f>
        <v>1</v>
      </c>
      <c r="H468" s="49" t="str">
        <f>IFERROR(__xludf.DUMMYFUNCTION("""COMPUTED_VALUE"""),"Storm")</f>
        <v>Storm</v>
      </c>
      <c r="I468" s="49" t="str">
        <f>IFERROR(__xludf.DUMMYFUNCTION("""COMPUTED_VALUE"""),"Player")</f>
        <v>Player</v>
      </c>
      <c r="J468" s="49" t="b">
        <f>IFERROR(__xludf.DUMMYFUNCTION("""COMPUTED_VALUE"""),FALSE)</f>
        <v>0</v>
      </c>
      <c r="K468" s="49"/>
      <c r="L468" s="49" t="b">
        <f>IFERROR(__xludf.DUMMYFUNCTION("""COMPUTED_VALUE"""),FALSE)</f>
        <v>0</v>
      </c>
      <c r="M468" s="49" t="b">
        <f>IFERROR(__xludf.DUMMYFUNCTION("""COMPUTED_VALUE"""),FALSE)</f>
        <v>0</v>
      </c>
      <c r="N468" s="49"/>
    </row>
    <row r="469">
      <c r="A469" s="49" t="str">
        <f>IFERROR(__xludf.DUMMYFUNCTION("""COMPUTED_VALUE"""),"Chain Lightning")</f>
        <v>Chain Lightning</v>
      </c>
      <c r="B469" s="126">
        <f>IFERROR(__xludf.DUMMYFUNCTION("""COMPUTED_VALUE"""),5.0)</f>
        <v>5</v>
      </c>
      <c r="C469" s="49" t="str">
        <f>IFERROR(__xludf.DUMMYFUNCTION("""COMPUTED_VALUE"""),"X")</f>
        <v>X</v>
      </c>
      <c r="D469" s="49"/>
      <c r="E469" s="49" t="str">
        <f>IFERROR(__xludf.DUMMYFUNCTION("""COMPUTED_VALUE"""),"Deals X*25 Storm damage to all enemies where X is equal to SP spent.")</f>
        <v>Deals X*25 Storm damage to all enemies where X is equal to SP spent.</v>
      </c>
      <c r="F469" s="49" t="str">
        <f>IFERROR(__xludf.DUMMYFUNCTION("""COMPUTED_VALUE"""),"Cannot Avoid")</f>
        <v>Cannot Avoid</v>
      </c>
      <c r="G469" s="49" t="str">
        <f>IFERROR(__xludf.DUMMYFUNCTION("""COMPUTED_VALUE"""),"All")</f>
        <v>All</v>
      </c>
      <c r="H469" s="49" t="str">
        <f>IFERROR(__xludf.DUMMYFUNCTION("""COMPUTED_VALUE"""),"Storm")</f>
        <v>Storm</v>
      </c>
      <c r="I469" s="49" t="str">
        <f>IFERROR(__xludf.DUMMYFUNCTION("""COMPUTED_VALUE"""),"Player")</f>
        <v>Player</v>
      </c>
      <c r="J469" s="49" t="b">
        <f>IFERROR(__xludf.DUMMYFUNCTION("""COMPUTED_VALUE"""),FALSE)</f>
        <v>0</v>
      </c>
      <c r="K469" s="49"/>
      <c r="L469" s="49" t="b">
        <f>IFERROR(__xludf.DUMMYFUNCTION("""COMPUTED_VALUE"""),FALSE)</f>
        <v>0</v>
      </c>
      <c r="M469" s="49" t="b">
        <f>IFERROR(__xludf.DUMMYFUNCTION("""COMPUTED_VALUE"""),FALSE)</f>
        <v>0</v>
      </c>
      <c r="N469" s="49"/>
    </row>
    <row r="470">
      <c r="A470" s="49" t="str">
        <f>IFERROR(__xludf.DUMMYFUNCTION("""COMPUTED_VALUE"""),"Mass Charge")</f>
        <v>Mass Charge</v>
      </c>
      <c r="B470" s="126">
        <f>IFERROR(__xludf.DUMMYFUNCTION("""COMPUTED_VALUE"""),6.0)</f>
        <v>6</v>
      </c>
      <c r="C470" s="49" t="str">
        <f>IFERROR(__xludf.DUMMYFUNCTION("""COMPUTED_VALUE"""),"X")</f>
        <v>X</v>
      </c>
      <c r="D470" s="49"/>
      <c r="E470" s="49" t="str">
        <f>IFERROR(__xludf.DUMMYFUNCTION("""COMPUTED_VALUE"""),"Deals X*10 Storm damage per round to all enemies for 3 rounds where X is equal to SP spent.")</f>
        <v>Deals X*10 Storm damage per round to all enemies for 3 rounds where X is equal to SP spent.</v>
      </c>
      <c r="F470" s="49" t="str">
        <f>IFERROR(__xludf.DUMMYFUNCTION("""COMPUTED_VALUE"""),"Cannot Avoid")</f>
        <v>Cannot Avoid</v>
      </c>
      <c r="G470" s="49" t="str">
        <f>IFERROR(__xludf.DUMMYFUNCTION("""COMPUTED_VALUE"""),"All")</f>
        <v>All</v>
      </c>
      <c r="H470" s="49" t="str">
        <f>IFERROR(__xludf.DUMMYFUNCTION("""COMPUTED_VALUE"""),"Storm")</f>
        <v>Storm</v>
      </c>
      <c r="I470" s="49" t="str">
        <f>IFERROR(__xludf.DUMMYFUNCTION("""COMPUTED_VALUE"""),"Player")</f>
        <v>Player</v>
      </c>
      <c r="J470" s="49" t="b">
        <f>IFERROR(__xludf.DUMMYFUNCTION("""COMPUTED_VALUE"""),FALSE)</f>
        <v>0</v>
      </c>
      <c r="K470" s="49"/>
      <c r="L470" s="49" t="b">
        <f>IFERROR(__xludf.DUMMYFUNCTION("""COMPUTED_VALUE"""),FALSE)</f>
        <v>0</v>
      </c>
      <c r="M470" s="49" t="b">
        <f>IFERROR(__xludf.DUMMYFUNCTION("""COMPUTED_VALUE"""),FALSE)</f>
        <v>0</v>
      </c>
      <c r="N470" s="49"/>
    </row>
    <row r="471">
      <c r="A471" s="49" t="str">
        <f>IFERROR(__xludf.DUMMYFUNCTION("""COMPUTED_VALUE"""),"Tornado")</f>
        <v>Tornado</v>
      </c>
      <c r="B471" s="126">
        <f>IFERROR(__xludf.DUMMYFUNCTION("""COMPUTED_VALUE"""),3.0)</f>
        <v>3</v>
      </c>
      <c r="C471" s="49" t="str">
        <f>IFERROR(__xludf.DUMMYFUNCTION("""COMPUTED_VALUE"""),"d20*40")</f>
        <v>d20*40</v>
      </c>
      <c r="D471" s="49"/>
      <c r="E471" s="49"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49" t="str">
        <f>IFERROR(__xludf.DUMMYFUNCTION("""COMPUTED_VALUE"""),"Cannot Avoid")</f>
        <v>Cannot Avoid</v>
      </c>
      <c r="G471" s="49" t="str">
        <f>IFERROR(__xludf.DUMMYFUNCTION("""COMPUTED_VALUE"""),"All")</f>
        <v>All</v>
      </c>
      <c r="H471" s="49" t="str">
        <f>IFERROR(__xludf.DUMMYFUNCTION("""COMPUTED_VALUE"""),"Storm")</f>
        <v>Storm</v>
      </c>
      <c r="I471" s="49" t="str">
        <f>IFERROR(__xludf.DUMMYFUNCTION("""COMPUTED_VALUE"""),"Player")</f>
        <v>Player</v>
      </c>
      <c r="J471" s="49" t="b">
        <f>IFERROR(__xludf.DUMMYFUNCTION("""COMPUTED_VALUE"""),FALSE)</f>
        <v>0</v>
      </c>
      <c r="K471" s="49"/>
      <c r="L471" s="49" t="b">
        <f>IFERROR(__xludf.DUMMYFUNCTION("""COMPUTED_VALUE"""),TRUE)</f>
        <v>1</v>
      </c>
      <c r="M471" s="49" t="b">
        <f>IFERROR(__xludf.DUMMYFUNCTION("""COMPUTED_VALUE"""),FALSE)</f>
        <v>0</v>
      </c>
      <c r="N471" s="49"/>
    </row>
    <row r="472">
      <c r="A472" s="49" t="str">
        <f>IFERROR(__xludf.DUMMYFUNCTION("""COMPUTED_VALUE"""),"Dimensional Punch")</f>
        <v>Dimensional Punch</v>
      </c>
      <c r="B472" s="126">
        <f>IFERROR(__xludf.DUMMYFUNCTION("""COMPUTED_VALUE"""),6.0)</f>
        <v>6</v>
      </c>
      <c r="C472" s="49">
        <f>IFERROR(__xludf.DUMMYFUNCTION("""COMPUTED_VALUE"""),600.0)</f>
        <v>600</v>
      </c>
      <c r="D472" s="49"/>
      <c r="E472" s="49" t="str">
        <f>IFERROR(__xludf.DUMMYFUNCTION("""COMPUTED_VALUE"""),"send a punch to the target that hits from behind, 5000 dmg.")</f>
        <v>send a punch to the target that hits from behind, 5000 dmg.</v>
      </c>
      <c r="F472" s="49" t="str">
        <f>IFERROR(__xludf.DUMMYFUNCTION("""COMPUTED_VALUE"""),"Hit or Miss")</f>
        <v>Hit or Miss</v>
      </c>
      <c r="G472" s="49">
        <f>IFERROR(__xludf.DUMMYFUNCTION("""COMPUTED_VALUE"""),1.0)</f>
        <v>1</v>
      </c>
      <c r="H472" s="49" t="str">
        <f>IFERROR(__xludf.DUMMYFUNCTION("""COMPUTED_VALUE"""),"Time")</f>
        <v>Time</v>
      </c>
      <c r="I472" s="49" t="str">
        <f>IFERROR(__xludf.DUMMYFUNCTION("""COMPUTED_VALUE"""),"Player")</f>
        <v>Player</v>
      </c>
      <c r="J472" s="49" t="b">
        <f>IFERROR(__xludf.DUMMYFUNCTION("""COMPUTED_VALUE"""),TRUE)</f>
        <v>1</v>
      </c>
      <c r="K472" s="49" t="str">
        <f>IFERROR(__xludf.DUMMYFUNCTION("""COMPUTED_VALUE"""),"(Can only be obtained in the Solreach expansion)")</f>
        <v>(Can only be obtained in the Solreach expansion)</v>
      </c>
      <c r="L472" s="49" t="b">
        <f>IFERROR(__xludf.DUMMYFUNCTION("""COMPUTED_VALUE"""),FALSE)</f>
        <v>0</v>
      </c>
      <c r="M472" s="49" t="b">
        <f>IFERROR(__xludf.DUMMYFUNCTION("""COMPUTED_VALUE"""),FALSE)</f>
        <v>0</v>
      </c>
      <c r="N472" s="49"/>
    </row>
    <row r="473">
      <c r="A473" s="49" t="str">
        <f>IFERROR(__xludf.DUMMYFUNCTION("""COMPUTED_VALUE"""),"Pocket Exile Dimension")</f>
        <v>Pocket Exile Dimension</v>
      </c>
      <c r="B473" s="126">
        <f>IFERROR(__xludf.DUMMYFUNCTION("""COMPUTED_VALUE"""),7.0)</f>
        <v>7</v>
      </c>
      <c r="C473" s="49">
        <f>IFERROR(__xludf.DUMMYFUNCTION("""COMPUTED_VALUE"""),700.0)</f>
        <v>700</v>
      </c>
      <c r="D473" s="49"/>
      <c r="E473" s="49" t="str">
        <f>IFERROR(__xludf.DUMMYFUNCTION("""COMPUTED_VALUE"""),"send up to 2 targets into an inescapable pocket dimension with the caster until caster is defeated")</f>
        <v>send up to 2 targets into an inescapable pocket dimension with the caster until caster is defeated</v>
      </c>
      <c r="F473" s="49" t="str">
        <f>IFERROR(__xludf.DUMMYFUNCTION("""COMPUTED_VALUE"""),"Fail/succeed")</f>
        <v>Fail/succeed</v>
      </c>
      <c r="G473" s="49"/>
      <c r="H473" s="49" t="str">
        <f>IFERROR(__xludf.DUMMYFUNCTION("""COMPUTED_VALUE"""),"Time")</f>
        <v>Time</v>
      </c>
      <c r="I473" s="49" t="str">
        <f>IFERROR(__xludf.DUMMYFUNCTION("""COMPUTED_VALUE"""),"Player")</f>
        <v>Player</v>
      </c>
      <c r="J473" s="49" t="b">
        <f>IFERROR(__xludf.DUMMYFUNCTION("""COMPUTED_VALUE"""),TRUE)</f>
        <v>1</v>
      </c>
      <c r="K473" s="49" t="str">
        <f>IFERROR(__xludf.DUMMYFUNCTION("""COMPUTED_VALUE"""),"(Can only be obtained in the Solreach expansion)")</f>
        <v>(Can only be obtained in the Solreach expansion)</v>
      </c>
      <c r="L473" s="49" t="b">
        <f>IFERROR(__xludf.DUMMYFUNCTION("""COMPUTED_VALUE"""),FALSE)</f>
        <v>0</v>
      </c>
      <c r="M473" s="49" t="b">
        <f>IFERROR(__xludf.DUMMYFUNCTION("""COMPUTED_VALUE"""),FALSE)</f>
        <v>0</v>
      </c>
      <c r="N473" s="49"/>
    </row>
    <row r="474">
      <c r="A474" s="49" t="str">
        <f>IFERROR(__xludf.DUMMYFUNCTION("""COMPUTED_VALUE"""),"Punch of time")</f>
        <v>Punch of time</v>
      </c>
      <c r="B474" s="126">
        <f>IFERROR(__xludf.DUMMYFUNCTION("""COMPUTED_VALUE"""),2.0)</f>
        <v>2</v>
      </c>
      <c r="C474" s="49">
        <f>IFERROR(__xludf.DUMMYFUNCTION("""COMPUTED_VALUE"""),200.0)</f>
        <v>200</v>
      </c>
      <c r="D474" s="49"/>
      <c r="E474" s="49"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49" t="str">
        <f>IFERROR(__xludf.DUMMYFUNCTION("""COMPUTED_VALUE"""),"Fail/succeed")</f>
        <v>Fail/succeed</v>
      </c>
      <c r="G474" s="49"/>
      <c r="H474" s="49" t="str">
        <f>IFERROR(__xludf.DUMMYFUNCTION("""COMPUTED_VALUE"""),"Time")</f>
        <v>Time</v>
      </c>
      <c r="I474" s="49" t="str">
        <f>IFERROR(__xludf.DUMMYFUNCTION("""COMPUTED_VALUE"""),"Player")</f>
        <v>Player</v>
      </c>
      <c r="J474" s="49" t="b">
        <f>IFERROR(__xludf.DUMMYFUNCTION("""COMPUTED_VALUE"""),TRUE)</f>
        <v>1</v>
      </c>
      <c r="K474" s="49" t="str">
        <f>IFERROR(__xludf.DUMMYFUNCTION("""COMPUTED_VALUE"""),"(Can only be obtained in the Solreach expansion)")</f>
        <v>(Can only be obtained in the Solreach expansion)</v>
      </c>
      <c r="L474" s="49" t="b">
        <f>IFERROR(__xludf.DUMMYFUNCTION("""COMPUTED_VALUE"""),FALSE)</f>
        <v>0</v>
      </c>
      <c r="M474" s="49" t="b">
        <f>IFERROR(__xludf.DUMMYFUNCTION("""COMPUTED_VALUE"""),FALSE)</f>
        <v>0</v>
      </c>
      <c r="N474" s="49"/>
    </row>
    <row r="475">
      <c r="A475" s="49" t="str">
        <f>IFERROR(__xludf.DUMMYFUNCTION("""COMPUTED_VALUE"""),"Reverse Attack")</f>
        <v>Reverse Attack</v>
      </c>
      <c r="B475" s="126">
        <f>IFERROR(__xludf.DUMMYFUNCTION("""COMPUTED_VALUE"""),2.0)</f>
        <v>2</v>
      </c>
      <c r="C475" s="49">
        <f>IFERROR(__xludf.DUMMYFUNCTION("""COMPUTED_VALUE"""),200.0)</f>
        <v>200</v>
      </c>
      <c r="D475" s="49"/>
      <c r="E475" s="49" t="str">
        <f>IFERROR(__xludf.DUMMYFUNCTION("""COMPUTED_VALUE"""),"Target is hit with the last damage spell that took place in battle.")</f>
        <v>Target is hit with the last damage spell that took place in battle.</v>
      </c>
      <c r="F475" s="49" t="str">
        <f>IFERROR(__xludf.DUMMYFUNCTION("""COMPUTED_VALUE"""),"Fail/succeed")</f>
        <v>Fail/succeed</v>
      </c>
      <c r="G475" s="49"/>
      <c r="H475" s="49" t="str">
        <f>IFERROR(__xludf.DUMMYFUNCTION("""COMPUTED_VALUE"""),"Time")</f>
        <v>Time</v>
      </c>
      <c r="I475" s="49" t="str">
        <f>IFERROR(__xludf.DUMMYFUNCTION("""COMPUTED_VALUE"""),"Player")</f>
        <v>Player</v>
      </c>
      <c r="J475" s="49" t="b">
        <f>IFERROR(__xludf.DUMMYFUNCTION("""COMPUTED_VALUE"""),TRUE)</f>
        <v>1</v>
      </c>
      <c r="K475" s="49" t="str">
        <f>IFERROR(__xludf.DUMMYFUNCTION("""COMPUTED_VALUE"""),"(Can only be obtained in the Solreach expansion)")</f>
        <v>(Can only be obtained in the Solreach expansion)</v>
      </c>
      <c r="L475" s="49" t="b">
        <f>IFERROR(__xludf.DUMMYFUNCTION("""COMPUTED_VALUE"""),FALSE)</f>
        <v>0</v>
      </c>
      <c r="M475" s="49" t="b">
        <f>IFERROR(__xludf.DUMMYFUNCTION("""COMPUTED_VALUE"""),FALSE)</f>
        <v>0</v>
      </c>
      <c r="N475" s="49"/>
    </row>
    <row r="476">
      <c r="A476" s="49" t="str">
        <f>IFERROR(__xludf.DUMMYFUNCTION("""COMPUTED_VALUE"""),"Reversed round")</f>
        <v>Reversed round</v>
      </c>
      <c r="B476" s="126">
        <f>IFERROR(__xludf.DUMMYFUNCTION("""COMPUTED_VALUE"""),9.0)</f>
        <v>9</v>
      </c>
      <c r="C476" s="49">
        <f>IFERROR(__xludf.DUMMYFUNCTION("""COMPUTED_VALUE"""),1000.0)</f>
        <v>1000</v>
      </c>
      <c r="D476" s="49"/>
      <c r="E476" s="49" t="str">
        <f>IFERROR(__xludf.DUMMYFUNCTION("""COMPUTED_VALUE"""),"Undo 1 action from a single target.")</f>
        <v>Undo 1 action from a single target.</v>
      </c>
      <c r="F476" s="49" t="str">
        <f>IFERROR(__xludf.DUMMYFUNCTION("""COMPUTED_VALUE"""),"Fail/succeed")</f>
        <v>Fail/succeed</v>
      </c>
      <c r="G476" s="49"/>
      <c r="H476" s="49" t="str">
        <f>IFERROR(__xludf.DUMMYFUNCTION("""COMPUTED_VALUE"""),"Time")</f>
        <v>Time</v>
      </c>
      <c r="I476" s="49" t="str">
        <f>IFERROR(__xludf.DUMMYFUNCTION("""COMPUTED_VALUE"""),"Player")</f>
        <v>Player</v>
      </c>
      <c r="J476" s="49" t="b">
        <f>IFERROR(__xludf.DUMMYFUNCTION("""COMPUTED_VALUE"""),TRUE)</f>
        <v>1</v>
      </c>
      <c r="K476" s="49" t="str">
        <f>IFERROR(__xludf.DUMMYFUNCTION("""COMPUTED_VALUE"""),"(Can only be obtained in the Solreach expansion)")</f>
        <v>(Can only be obtained in the Solreach expansion)</v>
      </c>
      <c r="L476" s="49" t="b">
        <f>IFERROR(__xludf.DUMMYFUNCTION("""COMPUTED_VALUE"""),FALSE)</f>
        <v>0</v>
      </c>
      <c r="M476" s="49" t="b">
        <f>IFERROR(__xludf.DUMMYFUNCTION("""COMPUTED_VALUE"""),FALSE)</f>
        <v>0</v>
      </c>
      <c r="N476" s="49"/>
    </row>
    <row r="477">
      <c r="A477" s="49" t="str">
        <f>IFERROR(__xludf.DUMMYFUNCTION("""COMPUTED_VALUE"""),"Speed of light")</f>
        <v>Speed of light</v>
      </c>
      <c r="B477" s="126">
        <f>IFERROR(__xludf.DUMMYFUNCTION("""COMPUTED_VALUE"""),1.0)</f>
        <v>1</v>
      </c>
      <c r="C477" s="49">
        <f>IFERROR(__xludf.DUMMYFUNCTION("""COMPUTED_VALUE"""),100.0)</f>
        <v>100</v>
      </c>
      <c r="D477" s="49"/>
      <c r="E477" s="49" t="str">
        <f>IFERROR(__xludf.DUMMYFUNCTION("""COMPUTED_VALUE"""),"If the caster has a lower dodge roll than the enemy, the caster will dodge the enemies attack for 3 rounds.")</f>
        <v>If the caster has a lower dodge roll than the enemy, the caster will dodge the enemies attack for 3 rounds.</v>
      </c>
      <c r="F477" s="49" t="str">
        <f>IFERROR(__xludf.DUMMYFUNCTION("""COMPUTED_VALUE"""),"Fail/succeed")</f>
        <v>Fail/succeed</v>
      </c>
      <c r="G477" s="49"/>
      <c r="H477" s="49" t="str">
        <f>IFERROR(__xludf.DUMMYFUNCTION("""COMPUTED_VALUE"""),"Time")</f>
        <v>Time</v>
      </c>
      <c r="I477" s="49" t="str">
        <f>IFERROR(__xludf.DUMMYFUNCTION("""COMPUTED_VALUE"""),"Player")</f>
        <v>Player</v>
      </c>
      <c r="J477" s="49" t="b">
        <f>IFERROR(__xludf.DUMMYFUNCTION("""COMPUTED_VALUE"""),TRUE)</f>
        <v>1</v>
      </c>
      <c r="K477" s="49" t="str">
        <f>IFERROR(__xludf.DUMMYFUNCTION("""COMPUTED_VALUE"""),"(Can only be obtained in the Solreach expansion)")</f>
        <v>(Can only be obtained in the Solreach expansion)</v>
      </c>
      <c r="L477" s="49" t="b">
        <f>IFERROR(__xludf.DUMMYFUNCTION("""COMPUTED_VALUE"""),FALSE)</f>
        <v>0</v>
      </c>
      <c r="M477" s="49" t="b">
        <f>IFERROR(__xludf.DUMMYFUNCTION("""COMPUTED_VALUE"""),FALSE)</f>
        <v>0</v>
      </c>
      <c r="N477" s="49"/>
    </row>
    <row r="478">
      <c r="A478" s="49" t="str">
        <f>IFERROR(__xludf.DUMMYFUNCTION("""COMPUTED_VALUE"""),"Time Distortion")</f>
        <v>Time Distortion</v>
      </c>
      <c r="B478" s="126">
        <f>IFERROR(__xludf.DUMMYFUNCTION("""COMPUTED_VALUE"""),4.0)</f>
        <v>4</v>
      </c>
      <c r="C478" s="49">
        <f>IFERROR(__xludf.DUMMYFUNCTION("""COMPUTED_VALUE"""),400.0)</f>
        <v>400</v>
      </c>
      <c r="D478" s="49"/>
      <c r="E478" s="49"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49" t="str">
        <f>IFERROR(__xludf.DUMMYFUNCTION("""COMPUTED_VALUE"""),"Fail/Succeed")</f>
        <v>Fail/Succeed</v>
      </c>
      <c r="G478" s="49"/>
      <c r="H478" s="49" t="str">
        <f>IFERROR(__xludf.DUMMYFUNCTION("""COMPUTED_VALUE"""),"Time")</f>
        <v>Time</v>
      </c>
      <c r="I478" s="49" t="str">
        <f>IFERROR(__xludf.DUMMYFUNCTION("""COMPUTED_VALUE"""),"Player")</f>
        <v>Player</v>
      </c>
      <c r="J478" s="49" t="b">
        <f>IFERROR(__xludf.DUMMYFUNCTION("""COMPUTED_VALUE"""),TRUE)</f>
        <v>1</v>
      </c>
      <c r="K478" s="49" t="str">
        <f>IFERROR(__xludf.DUMMYFUNCTION("""COMPUTED_VALUE"""),"(Can only be obtained in the Solreach expansion)")</f>
        <v>(Can only be obtained in the Solreach expansion)</v>
      </c>
      <c r="L478" s="49" t="b">
        <f>IFERROR(__xludf.DUMMYFUNCTION("""COMPUTED_VALUE"""),FALSE)</f>
        <v>0</v>
      </c>
      <c r="M478" s="49" t="b">
        <f>IFERROR(__xludf.DUMMYFUNCTION("""COMPUTED_VALUE"""),FALSE)</f>
        <v>0</v>
      </c>
      <c r="N478" s="49"/>
    </row>
    <row r="479">
      <c r="A479" s="49" t="str">
        <f>IFERROR(__xludf.DUMMYFUNCTION("""COMPUTED_VALUE"""),"Time Lapse")</f>
        <v>Time Lapse</v>
      </c>
      <c r="B479" s="126">
        <f>IFERROR(__xludf.DUMMYFUNCTION("""COMPUTED_VALUE"""),5.0)</f>
        <v>5</v>
      </c>
      <c r="C479" s="49">
        <f>IFERROR(__xludf.DUMMYFUNCTION("""COMPUTED_VALUE"""),500.0)</f>
        <v>500</v>
      </c>
      <c r="D479" s="49"/>
      <c r="E479" s="49"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49" t="str">
        <f>IFERROR(__xludf.DUMMYFUNCTION("""COMPUTED_VALUE"""),"Fail/succeed")</f>
        <v>Fail/succeed</v>
      </c>
      <c r="G479" s="49"/>
      <c r="H479" s="49" t="str">
        <f>IFERROR(__xludf.DUMMYFUNCTION("""COMPUTED_VALUE"""),"Time")</f>
        <v>Time</v>
      </c>
      <c r="I479" s="49" t="str">
        <f>IFERROR(__xludf.DUMMYFUNCTION("""COMPUTED_VALUE"""),"Player")</f>
        <v>Player</v>
      </c>
      <c r="J479" s="49" t="b">
        <f>IFERROR(__xludf.DUMMYFUNCTION("""COMPUTED_VALUE"""),TRUE)</f>
        <v>1</v>
      </c>
      <c r="K479" s="49" t="str">
        <f>IFERROR(__xludf.DUMMYFUNCTION("""COMPUTED_VALUE"""),"(Can only be obtained in the Solreach expansion)")</f>
        <v>(Can only be obtained in the Solreach expansion)</v>
      </c>
      <c r="L479" s="49" t="b">
        <f>IFERROR(__xludf.DUMMYFUNCTION("""COMPUTED_VALUE"""),FALSE)</f>
        <v>0</v>
      </c>
      <c r="M479" s="49" t="b">
        <f>IFERROR(__xludf.DUMMYFUNCTION("""COMPUTED_VALUE"""),FALSE)</f>
        <v>0</v>
      </c>
      <c r="N479" s="49"/>
    </row>
    <row r="480">
      <c r="A480" s="49" t="str">
        <f>IFERROR(__xludf.DUMMYFUNCTION("""COMPUTED_VALUE"""),"Time Rift")</f>
        <v>Time Rift</v>
      </c>
      <c r="B480" s="126">
        <f>IFERROR(__xludf.DUMMYFUNCTION("""COMPUTED_VALUE"""),3.0)</f>
        <v>3</v>
      </c>
      <c r="C480" s="49">
        <f>IFERROR(__xludf.DUMMYFUNCTION("""COMPUTED_VALUE"""),300.0)</f>
        <v>300</v>
      </c>
      <c r="D480" s="49"/>
      <c r="E480" s="49" t="str">
        <f>IFERROR(__xludf.DUMMYFUNCTION("""COMPUTED_VALUE"""),"sends target to different timeline of dungeon (1-6 floors back- roll a d6 for amount of floors)")</f>
        <v>sends target to different timeline of dungeon (1-6 floors back- roll a d6 for amount of floors)</v>
      </c>
      <c r="F480" s="49" t="str">
        <f>IFERROR(__xludf.DUMMYFUNCTION("""COMPUTED_VALUE"""),"Fail/succeed")</f>
        <v>Fail/succeed</v>
      </c>
      <c r="G480" s="49"/>
      <c r="H480" s="49" t="str">
        <f>IFERROR(__xludf.DUMMYFUNCTION("""COMPUTED_VALUE"""),"Time")</f>
        <v>Time</v>
      </c>
      <c r="I480" s="49" t="str">
        <f>IFERROR(__xludf.DUMMYFUNCTION("""COMPUTED_VALUE"""),"Player")</f>
        <v>Player</v>
      </c>
      <c r="J480" s="49" t="b">
        <f>IFERROR(__xludf.DUMMYFUNCTION("""COMPUTED_VALUE"""),TRUE)</f>
        <v>1</v>
      </c>
      <c r="K480" s="49" t="str">
        <f>IFERROR(__xludf.DUMMYFUNCTION("""COMPUTED_VALUE"""),"(Can only be obtained in the Solreach expansion)")</f>
        <v>(Can only be obtained in the Solreach expansion)</v>
      </c>
      <c r="L480" s="49" t="b">
        <f>IFERROR(__xludf.DUMMYFUNCTION("""COMPUTED_VALUE"""),FALSE)</f>
        <v>0</v>
      </c>
      <c r="M480" s="49" t="b">
        <f>IFERROR(__xludf.DUMMYFUNCTION("""COMPUTED_VALUE"""),FALSE)</f>
        <v>0</v>
      </c>
      <c r="N480" s="49"/>
    </row>
    <row r="481">
      <c r="A481" s="49" t="str">
        <f>IFERROR(__xludf.DUMMYFUNCTION("""COMPUTED_VALUE"""),"Time Roar")</f>
        <v>Time Roar</v>
      </c>
      <c r="B481" s="126">
        <f>IFERROR(__xludf.DUMMYFUNCTION("""COMPUTED_VALUE"""),8.0)</f>
        <v>8</v>
      </c>
      <c r="C481" s="49" t="str">
        <f>IFERROR(__xludf.DUMMYFUNCTION("""COMPUTED_VALUE"""),"X*1000")</f>
        <v>X*1000</v>
      </c>
      <c r="D481" s="49"/>
      <c r="E481" s="49" t="str">
        <f>IFERROR(__xludf.DUMMYFUNCTION("""COMPUTED_VALUE"""),"time stops for everyone except the caster and 1 enemy for x rounds.")</f>
        <v>time stops for everyone except the caster and 1 enemy for x rounds.</v>
      </c>
      <c r="F481" s="49" t="str">
        <f>IFERROR(__xludf.DUMMYFUNCTION("""COMPUTED_VALUE"""),"Fail/succeed")</f>
        <v>Fail/succeed</v>
      </c>
      <c r="G481" s="49"/>
      <c r="H481" s="49" t="str">
        <f>IFERROR(__xludf.DUMMYFUNCTION("""COMPUTED_VALUE"""),"Time")</f>
        <v>Time</v>
      </c>
      <c r="I481" s="49" t="str">
        <f>IFERROR(__xludf.DUMMYFUNCTION("""COMPUTED_VALUE"""),"Player")</f>
        <v>Player</v>
      </c>
      <c r="J481" s="49" t="b">
        <f>IFERROR(__xludf.DUMMYFUNCTION("""COMPUTED_VALUE"""),TRUE)</f>
        <v>1</v>
      </c>
      <c r="K481" s="49" t="str">
        <f>IFERROR(__xludf.DUMMYFUNCTION("""COMPUTED_VALUE"""),"(Can only be obtained in the Solreach expansion)")</f>
        <v>(Can only be obtained in the Solreach expansion)</v>
      </c>
      <c r="L481" s="49" t="b">
        <f>IFERROR(__xludf.DUMMYFUNCTION("""COMPUTED_VALUE"""),FALSE)</f>
        <v>0</v>
      </c>
      <c r="M481" s="49" t="b">
        <f>IFERROR(__xludf.DUMMYFUNCTION("""COMPUTED_VALUE"""),FALSE)</f>
        <v>0</v>
      </c>
      <c r="N481" s="49"/>
    </row>
    <row r="482">
      <c r="A482" s="49" t="str">
        <f>IFERROR(__xludf.DUMMYFUNCTION("""COMPUTED_VALUE"""),"Tower Of Time")</f>
        <v>Tower Of Time</v>
      </c>
      <c r="B482" s="126">
        <f>IFERROR(__xludf.DUMMYFUNCTION("""COMPUTED_VALUE"""),8.0)</f>
        <v>8</v>
      </c>
      <c r="C482" s="49">
        <f>IFERROR(__xludf.DUMMYFUNCTION("""COMPUTED_VALUE"""),800.0)</f>
        <v>800</v>
      </c>
      <c r="D482" s="49"/>
      <c r="E482" s="49"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49" t="str">
        <f>IFERROR(__xludf.DUMMYFUNCTION("""COMPUTED_VALUE"""),"Fail/succeed")</f>
        <v>Fail/succeed</v>
      </c>
      <c r="G482" s="49"/>
      <c r="H482" s="49" t="str">
        <f>IFERROR(__xludf.DUMMYFUNCTION("""COMPUTED_VALUE"""),"Time")</f>
        <v>Time</v>
      </c>
      <c r="I482" s="49" t="str">
        <f>IFERROR(__xludf.DUMMYFUNCTION("""COMPUTED_VALUE"""),"Player")</f>
        <v>Player</v>
      </c>
      <c r="J482" s="49" t="b">
        <f>IFERROR(__xludf.DUMMYFUNCTION("""COMPUTED_VALUE"""),TRUE)</f>
        <v>1</v>
      </c>
      <c r="K482" s="49" t="str">
        <f>IFERROR(__xludf.DUMMYFUNCTION("""COMPUTED_VALUE"""),"(Can only be obtained in the Solreach expansion)")</f>
        <v>(Can only be obtained in the Solreach expansion)</v>
      </c>
      <c r="L482" s="49" t="b">
        <f>IFERROR(__xludf.DUMMYFUNCTION("""COMPUTED_VALUE"""),FALSE)</f>
        <v>0</v>
      </c>
      <c r="M482" s="49" t="b">
        <f>IFERROR(__xludf.DUMMYFUNCTION("""COMPUTED_VALUE"""),FALSE)</f>
        <v>0</v>
      </c>
      <c r="N482" s="49"/>
    </row>
    <row r="483">
      <c r="A483" s="49" t="str">
        <f>IFERROR(__xludf.DUMMYFUNCTION("""COMPUTED_VALUE"""),"Twilight Masquerade")</f>
        <v>Twilight Masquerade</v>
      </c>
      <c r="B483" s="126">
        <f>IFERROR(__xludf.DUMMYFUNCTION("""COMPUTED_VALUE"""),9.0)</f>
        <v>9</v>
      </c>
      <c r="C483" s="49">
        <f>IFERROR(__xludf.DUMMYFUNCTION("""COMPUTED_VALUE"""),1000.0)</f>
        <v>1000</v>
      </c>
      <c r="D483" s="49"/>
      <c r="E483" s="49" t="str">
        <f>IFERROR(__xludf.DUMMYFUNCTION("""COMPUTED_VALUE"""),"Become Immune to attacks for 3 rounds.")</f>
        <v>Become Immune to attacks for 3 rounds.</v>
      </c>
      <c r="F483" s="49" t="str">
        <f>IFERROR(__xludf.DUMMYFUNCTION("""COMPUTED_VALUE"""),"Fail/Succeed")</f>
        <v>Fail/Succeed</v>
      </c>
      <c r="G483" s="49"/>
      <c r="H483" s="49" t="str">
        <f>IFERROR(__xludf.DUMMYFUNCTION("""COMPUTED_VALUE"""),"Twilight")</f>
        <v>Twilight</v>
      </c>
      <c r="I483" s="49" t="str">
        <f>IFERROR(__xludf.DUMMYFUNCTION("""COMPUTED_VALUE"""),"Player")</f>
        <v>Player</v>
      </c>
      <c r="J483" s="49" t="b">
        <f>IFERROR(__xludf.DUMMYFUNCTION("""COMPUTED_VALUE"""),FALSE)</f>
        <v>0</v>
      </c>
      <c r="K483" s="49"/>
      <c r="L483" s="49" t="b">
        <f>IFERROR(__xludf.DUMMYFUNCTION("""COMPUTED_VALUE"""),FALSE)</f>
        <v>0</v>
      </c>
      <c r="M483" s="49" t="b">
        <f>IFERROR(__xludf.DUMMYFUNCTION("""COMPUTED_VALUE"""),FALSE)</f>
        <v>0</v>
      </c>
      <c r="N483" s="49"/>
    </row>
    <row r="484">
      <c r="A484" s="49" t="str">
        <f>IFERROR(__xludf.DUMMYFUNCTION("""COMPUTED_VALUE"""),"Twilight Shield")</f>
        <v>Twilight Shield</v>
      </c>
      <c r="B484" s="126">
        <f>IFERROR(__xludf.DUMMYFUNCTION("""COMPUTED_VALUE"""),5.0)</f>
        <v>5</v>
      </c>
      <c r="C484" s="49">
        <f>IFERROR(__xludf.DUMMYFUNCTION("""COMPUTED_VALUE"""),50.0)</f>
        <v>50</v>
      </c>
      <c r="D484" s="49"/>
      <c r="E484" s="49" t="str">
        <f>IFERROR(__xludf.DUMMYFUNCTION("""COMPUTED_VALUE""")," X2 def, gives immunity to dark and light for self")</f>
        <v> X2 def, gives immunity to dark and light for self</v>
      </c>
      <c r="F484" s="49" t="str">
        <f>IFERROR(__xludf.DUMMYFUNCTION("""COMPUTED_VALUE"""),"Will Succeed")</f>
        <v>Will Succeed</v>
      </c>
      <c r="G484" s="49"/>
      <c r="H484" s="49" t="str">
        <f>IFERROR(__xludf.DUMMYFUNCTION("""COMPUTED_VALUE"""),"Twilight")</f>
        <v>Twilight</v>
      </c>
      <c r="I484" s="49" t="str">
        <f>IFERROR(__xludf.DUMMYFUNCTION("""COMPUTED_VALUE"""),"Player")</f>
        <v>Player</v>
      </c>
      <c r="J484" s="49" t="b">
        <f>IFERROR(__xludf.DUMMYFUNCTION("""COMPUTED_VALUE"""),FALSE)</f>
        <v>0</v>
      </c>
      <c r="K484" s="49"/>
      <c r="L484" s="49" t="b">
        <f>IFERROR(__xludf.DUMMYFUNCTION("""COMPUTED_VALUE"""),FALSE)</f>
        <v>0</v>
      </c>
      <c r="M484" s="49" t="b">
        <f>IFERROR(__xludf.DUMMYFUNCTION("""COMPUTED_VALUE"""),FALSE)</f>
        <v>0</v>
      </c>
      <c r="N484" s="49"/>
    </row>
    <row r="485">
      <c r="A485" s="49" t="str">
        <f>IFERROR(__xludf.DUMMYFUNCTION("""COMPUTED_VALUE"""),"Twilight Transformation")</f>
        <v>Twilight Transformation</v>
      </c>
      <c r="B485" s="126">
        <f>IFERROR(__xludf.DUMMYFUNCTION("""COMPUTED_VALUE"""),8.0)</f>
        <v>8</v>
      </c>
      <c r="C485" s="49">
        <f>IFERROR(__xludf.DUMMYFUNCTION("""COMPUTED_VALUE"""),200.0)</f>
        <v>200</v>
      </c>
      <c r="D485" s="49"/>
      <c r="E485" s="49" t="str">
        <f>IFERROR(__xludf.DUMMYFUNCTION("""COMPUTED_VALUE"""),"Grants X4 light and dark damage to twilight spells and weapons for the caster until end of battle.")</f>
        <v>Grants X4 light and dark damage to twilight spells and weapons for the caster until end of battle.</v>
      </c>
      <c r="F485" s="49" t="str">
        <f>IFERROR(__xludf.DUMMYFUNCTION("""COMPUTED_VALUE"""),"Will Succeed")</f>
        <v>Will Succeed</v>
      </c>
      <c r="G485" s="49"/>
      <c r="H485" s="49" t="str">
        <f>IFERROR(__xludf.DUMMYFUNCTION("""COMPUTED_VALUE"""),"Twilight")</f>
        <v>Twilight</v>
      </c>
      <c r="I485" s="49" t="str">
        <f>IFERROR(__xludf.DUMMYFUNCTION("""COMPUTED_VALUE"""),"Player")</f>
        <v>Player</v>
      </c>
      <c r="J485" s="49" t="b">
        <f>IFERROR(__xludf.DUMMYFUNCTION("""COMPUTED_VALUE"""),FALSE)</f>
        <v>0</v>
      </c>
      <c r="K485" s="49"/>
      <c r="L485" s="49" t="b">
        <f>IFERROR(__xludf.DUMMYFUNCTION("""COMPUTED_VALUE"""),FALSE)</f>
        <v>0</v>
      </c>
      <c r="M485" s="49" t="b">
        <f>IFERROR(__xludf.DUMMYFUNCTION("""COMPUTED_VALUE"""),FALSE)</f>
        <v>0</v>
      </c>
      <c r="N485" s="49"/>
    </row>
    <row r="486">
      <c r="A486" s="49" t="str">
        <f>IFERROR(__xludf.DUMMYFUNCTION("""COMPUTED_VALUE"""),"Lash of Twilight")</f>
        <v>Lash of Twilight</v>
      </c>
      <c r="B486" s="126">
        <f>IFERROR(__xludf.DUMMYFUNCTION("""COMPUTED_VALUE"""),1.0)</f>
        <v>1</v>
      </c>
      <c r="C486" s="49" t="str">
        <f>IFERROR(__xludf.DUMMYFUNCTION("""COMPUTED_VALUE"""),"X")</f>
        <v>X</v>
      </c>
      <c r="D486" s="49"/>
      <c r="E486" s="49" t="str">
        <f>IFERROR(__xludf.DUMMYFUNCTION("""COMPUTED_VALUE"""),"Deals X*50 Light and X*50 Dark damage to a single enemy where X is equal to SP spent.")</f>
        <v>Deals X*50 Light and X*50 Dark damage to a single enemy where X is equal to SP spent.</v>
      </c>
      <c r="F486" s="49" t="str">
        <f>IFERROR(__xludf.DUMMYFUNCTION("""COMPUTED_VALUE"""),"Hit/Miss")</f>
        <v>Hit/Miss</v>
      </c>
      <c r="G486" s="49">
        <f>IFERROR(__xludf.DUMMYFUNCTION("""COMPUTED_VALUE"""),1.0)</f>
        <v>1</v>
      </c>
      <c r="H486" s="49" t="str">
        <f>IFERROR(__xludf.DUMMYFUNCTION("""COMPUTED_VALUE"""),"Twilight")</f>
        <v>Twilight</v>
      </c>
      <c r="I486" s="49" t="str">
        <f>IFERROR(__xludf.DUMMYFUNCTION("""COMPUTED_VALUE"""),"Player")</f>
        <v>Player</v>
      </c>
      <c r="J486" s="49" t="b">
        <f>IFERROR(__xludf.DUMMYFUNCTION("""COMPUTED_VALUE"""),FALSE)</f>
        <v>0</v>
      </c>
      <c r="K486" s="49"/>
      <c r="L486" s="49" t="b">
        <f>IFERROR(__xludf.DUMMYFUNCTION("""COMPUTED_VALUE"""),FALSE)</f>
        <v>0</v>
      </c>
      <c r="M486" s="49" t="b">
        <f>IFERROR(__xludf.DUMMYFUNCTION("""COMPUTED_VALUE"""),FALSE)</f>
        <v>0</v>
      </c>
      <c r="N486" s="49"/>
    </row>
    <row r="487">
      <c r="A487" s="49" t="str">
        <f>IFERROR(__xludf.DUMMYFUNCTION("""COMPUTED_VALUE"""),"Searing Twilight")</f>
        <v>Searing Twilight</v>
      </c>
      <c r="B487" s="126">
        <f>IFERROR(__xludf.DUMMYFUNCTION("""COMPUTED_VALUE"""),5.0)</f>
        <v>5</v>
      </c>
      <c r="C487" s="49" t="str">
        <f>IFERROR(__xludf.DUMMYFUNCTION("""COMPUTED_VALUE"""),"X")</f>
        <v>X</v>
      </c>
      <c r="D487" s="49"/>
      <c r="E487" s="49" t="str">
        <f>IFERROR(__xludf.DUMMYFUNCTION("""COMPUTED_VALUE"""),"Deals X*25 Light and X*25 Dark damage per round for 3 rounds to a single target where X is equal to SP spent.")</f>
        <v>Deals X*25 Light and X*25 Dark damage per round for 3 rounds to a single target where X is equal to SP spent.</v>
      </c>
      <c r="F487" s="49" t="str">
        <f>IFERROR(__xludf.DUMMYFUNCTION("""COMPUTED_VALUE"""),"Hit/Miss")</f>
        <v>Hit/Miss</v>
      </c>
      <c r="G487" s="49">
        <f>IFERROR(__xludf.DUMMYFUNCTION("""COMPUTED_VALUE"""),1.0)</f>
        <v>1</v>
      </c>
      <c r="H487" s="49" t="str">
        <f>IFERROR(__xludf.DUMMYFUNCTION("""COMPUTED_VALUE"""),"Twilight")</f>
        <v>Twilight</v>
      </c>
      <c r="I487" s="49" t="str">
        <f>IFERROR(__xludf.DUMMYFUNCTION("""COMPUTED_VALUE"""),"Player")</f>
        <v>Player</v>
      </c>
      <c r="J487" s="49" t="b">
        <f>IFERROR(__xludf.DUMMYFUNCTION("""COMPUTED_VALUE"""),FALSE)</f>
        <v>0</v>
      </c>
      <c r="K487" s="49"/>
      <c r="L487" s="49" t="b">
        <f>IFERROR(__xludf.DUMMYFUNCTION("""COMPUTED_VALUE"""),FALSE)</f>
        <v>0</v>
      </c>
      <c r="M487" s="49" t="b">
        <f>IFERROR(__xludf.DUMMYFUNCTION("""COMPUTED_VALUE"""),FALSE)</f>
        <v>0</v>
      </c>
      <c r="N487" s="49"/>
    </row>
    <row r="488">
      <c r="A488" s="49" t="str">
        <f>IFERROR(__xludf.DUMMYFUNCTION("""COMPUTED_VALUE"""),"The Setting Sun")</f>
        <v>The Setting Sun</v>
      </c>
      <c r="B488" s="126">
        <f>IFERROR(__xludf.DUMMYFUNCTION("""COMPUTED_VALUE"""),5.0)</f>
        <v>5</v>
      </c>
      <c r="C488" s="49" t="str">
        <f>IFERROR(__xludf.DUMMYFUNCTION("""COMPUTED_VALUE"""),"X")</f>
        <v>X</v>
      </c>
      <c r="D488" s="49"/>
      <c r="E488" s="49" t="str">
        <f>IFERROR(__xludf.DUMMYFUNCTION("""COMPUTED_VALUE"""),"Deals X*15 Light and X*15 Dark damage to all enemies where X is equal to SP spent.")</f>
        <v>Deals X*15 Light and X*15 Dark damage to all enemies where X is equal to SP spent.</v>
      </c>
      <c r="F488" s="49" t="str">
        <f>IFERROR(__xludf.DUMMYFUNCTION("""COMPUTED_VALUE"""),"Cannot Avoid")</f>
        <v>Cannot Avoid</v>
      </c>
      <c r="G488" s="49" t="str">
        <f>IFERROR(__xludf.DUMMYFUNCTION("""COMPUTED_VALUE"""),"All")</f>
        <v>All</v>
      </c>
      <c r="H488" s="49" t="str">
        <f>IFERROR(__xludf.DUMMYFUNCTION("""COMPUTED_VALUE"""),"Twilight")</f>
        <v>Twilight</v>
      </c>
      <c r="I488" s="49" t="str">
        <f>IFERROR(__xludf.DUMMYFUNCTION("""COMPUTED_VALUE"""),"Player")</f>
        <v>Player</v>
      </c>
      <c r="J488" s="49" t="b">
        <f>IFERROR(__xludf.DUMMYFUNCTION("""COMPUTED_VALUE"""),FALSE)</f>
        <v>0</v>
      </c>
      <c r="K488" s="49"/>
      <c r="L488" s="49" t="b">
        <f>IFERROR(__xludf.DUMMYFUNCTION("""COMPUTED_VALUE"""),FALSE)</f>
        <v>0</v>
      </c>
      <c r="M488" s="49" t="b">
        <f>IFERROR(__xludf.DUMMYFUNCTION("""COMPUTED_VALUE"""),FALSE)</f>
        <v>0</v>
      </c>
      <c r="N488" s="49"/>
    </row>
    <row r="489">
      <c r="A489" s="49" t="str">
        <f>IFERROR(__xludf.DUMMYFUNCTION("""COMPUTED_VALUE"""),"Danse Macabre")</f>
        <v>Danse Macabre</v>
      </c>
      <c r="B489" s="126">
        <f>IFERROR(__xludf.DUMMYFUNCTION("""COMPUTED_VALUE"""),6.0)</f>
        <v>6</v>
      </c>
      <c r="C489" s="49" t="str">
        <f>IFERROR(__xludf.DUMMYFUNCTION("""COMPUTED_VALUE"""),"X")</f>
        <v>X</v>
      </c>
      <c r="D489" s="49"/>
      <c r="E489" s="49" t="str">
        <f>IFERROR(__xludf.DUMMYFUNCTION("""COMPUTED_VALUE"""),"Deals X*5 Light and X*5 Dark damage per round to all enemies for 3 rounds where X is equal to SP spent.")</f>
        <v>Deals X*5 Light and X*5 Dark damage per round to all enemies for 3 rounds where X is equal to SP spent.</v>
      </c>
      <c r="F489" s="49" t="str">
        <f>IFERROR(__xludf.DUMMYFUNCTION("""COMPUTED_VALUE"""),"Cannot Avoid")</f>
        <v>Cannot Avoid</v>
      </c>
      <c r="G489" s="49" t="str">
        <f>IFERROR(__xludf.DUMMYFUNCTION("""COMPUTED_VALUE"""),"All")</f>
        <v>All</v>
      </c>
      <c r="H489" s="49" t="str">
        <f>IFERROR(__xludf.DUMMYFUNCTION("""COMPUTED_VALUE"""),"Twilight")</f>
        <v>Twilight</v>
      </c>
      <c r="I489" s="49" t="str">
        <f>IFERROR(__xludf.DUMMYFUNCTION("""COMPUTED_VALUE"""),"Player")</f>
        <v>Player</v>
      </c>
      <c r="J489" s="49" t="b">
        <f>IFERROR(__xludf.DUMMYFUNCTION("""COMPUTED_VALUE"""),FALSE)</f>
        <v>0</v>
      </c>
      <c r="K489" s="49"/>
      <c r="L489" s="49" t="b">
        <f>IFERROR(__xludf.DUMMYFUNCTION("""COMPUTED_VALUE"""),FALSE)</f>
        <v>0</v>
      </c>
      <c r="M489" s="49" t="b">
        <f>IFERROR(__xludf.DUMMYFUNCTION("""COMPUTED_VALUE"""),FALSE)</f>
        <v>0</v>
      </c>
      <c r="N489" s="49"/>
    </row>
    <row r="490">
      <c r="A490" s="49" t="str">
        <f>IFERROR(__xludf.DUMMYFUNCTION("""COMPUTED_VALUE"""),"Banish")</f>
        <v>Banish</v>
      </c>
      <c r="B490" s="126">
        <f>IFERROR(__xludf.DUMMYFUNCTION("""COMPUTED_VALUE"""),9.0)</f>
        <v>9</v>
      </c>
      <c r="C490" s="49">
        <f>IFERROR(__xludf.DUMMYFUNCTION("""COMPUTED_VALUE"""),2000.0)</f>
        <v>2000</v>
      </c>
      <c r="D490" s="49"/>
      <c r="E490" s="49" t="str">
        <f>IFERROR(__xludf.DUMMYFUNCTION("""COMPUTED_VALUE"""),"Banish 1 target.")</f>
        <v>Banish 1 target.</v>
      </c>
      <c r="F490" s="49" t="str">
        <f>IFERROR(__xludf.DUMMYFUNCTION("""COMPUTED_VALUE"""),"Fail/succeed")</f>
        <v>Fail/succeed</v>
      </c>
      <c r="G490" s="49"/>
      <c r="H490" s="49" t="str">
        <f>IFERROR(__xludf.DUMMYFUNCTION("""COMPUTED_VALUE"""),"Voodoo")</f>
        <v>Voodoo</v>
      </c>
      <c r="I490" s="49" t="str">
        <f>IFERROR(__xludf.DUMMYFUNCTION("""COMPUTED_VALUE"""),"Player")</f>
        <v>Player</v>
      </c>
      <c r="J490" s="49" t="b">
        <f>IFERROR(__xludf.DUMMYFUNCTION("""COMPUTED_VALUE"""),FALSE)</f>
        <v>0</v>
      </c>
      <c r="K490" s="49"/>
      <c r="L490" s="49" t="b">
        <f>IFERROR(__xludf.DUMMYFUNCTION("""COMPUTED_VALUE"""),FALSE)</f>
        <v>0</v>
      </c>
      <c r="M490" s="49" t="b">
        <f>IFERROR(__xludf.DUMMYFUNCTION("""COMPUTED_VALUE"""),FALSE)</f>
        <v>0</v>
      </c>
      <c r="N490" s="49"/>
    </row>
    <row r="491">
      <c r="A491" s="49" t="str">
        <f>IFERROR(__xludf.DUMMYFUNCTION("""COMPUTED_VALUE"""),"Blast of Despair")</f>
        <v>Blast of Despair</v>
      </c>
      <c r="B491" s="126">
        <f>IFERROR(__xludf.DUMMYFUNCTION("""COMPUTED_VALUE"""),6.0)</f>
        <v>6</v>
      </c>
      <c r="C491" s="49" t="str">
        <f>IFERROR(__xludf.DUMMYFUNCTION("""COMPUTED_VALUE"""),"X")</f>
        <v>X</v>
      </c>
      <c r="D491" s="49"/>
      <c r="E491" s="49"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49" t="str">
        <f>IFERROR(__xludf.DUMMYFUNCTION("""COMPUTED_VALUE"""),"Hit/Miss")</f>
        <v>Hit/Miss</v>
      </c>
      <c r="G491" s="49">
        <f>IFERROR(__xludf.DUMMYFUNCTION("""COMPUTED_VALUE"""),1.0)</f>
        <v>1</v>
      </c>
      <c r="H491" s="49" t="str">
        <f>IFERROR(__xludf.DUMMYFUNCTION("""COMPUTED_VALUE"""),"Voodoo")</f>
        <v>Voodoo</v>
      </c>
      <c r="I491" s="49" t="str">
        <f>IFERROR(__xludf.DUMMYFUNCTION("""COMPUTED_VALUE"""),"Player")</f>
        <v>Player</v>
      </c>
      <c r="J491" s="49" t="b">
        <f>IFERROR(__xludf.DUMMYFUNCTION("""COMPUTED_VALUE"""),FALSE)</f>
        <v>0</v>
      </c>
      <c r="K491" s="49"/>
      <c r="L491" s="49" t="b">
        <f>IFERROR(__xludf.DUMMYFUNCTION("""COMPUTED_VALUE"""),FALSE)</f>
        <v>0</v>
      </c>
      <c r="M491" s="49" t="b">
        <f>IFERROR(__xludf.DUMMYFUNCTION("""COMPUTED_VALUE"""),FALSE)</f>
        <v>0</v>
      </c>
      <c r="N491" s="49"/>
    </row>
    <row r="492">
      <c r="A492" s="49" t="str">
        <f>IFERROR(__xludf.DUMMYFUNCTION("""COMPUTED_VALUE"""),"End The Voodoo Contract")</f>
        <v>End The Voodoo Contract</v>
      </c>
      <c r="B492" s="126">
        <f>IFERROR(__xludf.DUMMYFUNCTION("""COMPUTED_VALUE"""),9.0)</f>
        <v>9</v>
      </c>
      <c r="C492" s="49">
        <f>IFERROR(__xludf.DUMMYFUNCTION("""COMPUTED_VALUE"""),500.0)</f>
        <v>500</v>
      </c>
      <c r="D492" s="49"/>
      <c r="E492" s="49" t="str">
        <f>IFERROR(__xludf.DUMMYFUNCTION("""COMPUTED_VALUE"""),"Caster dies and the target dies too.")</f>
        <v>Caster dies and the target dies too.</v>
      </c>
      <c r="F492" s="49" t="str">
        <f>IFERROR(__xludf.DUMMYFUNCTION("""COMPUTED_VALUE"""),"Fail/Succeed")</f>
        <v>Fail/Succeed</v>
      </c>
      <c r="G492" s="49"/>
      <c r="H492" s="49" t="str">
        <f>IFERROR(__xludf.DUMMYFUNCTION("""COMPUTED_VALUE"""),"Voodoo")</f>
        <v>Voodoo</v>
      </c>
      <c r="I492" s="49" t="str">
        <f>IFERROR(__xludf.DUMMYFUNCTION("""COMPUTED_VALUE"""),"Player")</f>
        <v>Player</v>
      </c>
      <c r="J492" s="49" t="b">
        <f>IFERROR(__xludf.DUMMYFUNCTION("""COMPUTED_VALUE"""),FALSE)</f>
        <v>0</v>
      </c>
      <c r="K492" s="49"/>
      <c r="L492" s="49" t="b">
        <f>IFERROR(__xludf.DUMMYFUNCTION("""COMPUTED_VALUE"""),FALSE)</f>
        <v>0</v>
      </c>
      <c r="M492" s="49" t="b">
        <f>IFERROR(__xludf.DUMMYFUNCTION("""COMPUTED_VALUE"""),FALSE)</f>
        <v>0</v>
      </c>
      <c r="N492" s="49"/>
    </row>
    <row r="493">
      <c r="A493" s="49" t="str">
        <f>IFERROR(__xludf.DUMMYFUNCTION("""COMPUTED_VALUE"""),"Enrapture")</f>
        <v>Enrapture</v>
      </c>
      <c r="B493" s="126">
        <f>IFERROR(__xludf.DUMMYFUNCTION("""COMPUTED_VALUE"""),7.0)</f>
        <v>7</v>
      </c>
      <c r="C493" s="49">
        <f>IFERROR(__xludf.DUMMYFUNCTION("""COMPUTED_VALUE"""),300.0)</f>
        <v>300</v>
      </c>
      <c r="D493" s="49"/>
      <c r="E493" s="49"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49" t="str">
        <f>IFERROR(__xludf.DUMMYFUNCTION("""COMPUTED_VALUE"""),"Fail/Succeed")</f>
        <v>Fail/Succeed</v>
      </c>
      <c r="G493" s="49"/>
      <c r="H493" s="49" t="str">
        <f>IFERROR(__xludf.DUMMYFUNCTION("""COMPUTED_VALUE"""),"Voodoo")</f>
        <v>Voodoo</v>
      </c>
      <c r="I493" s="49" t="str">
        <f>IFERROR(__xludf.DUMMYFUNCTION("""COMPUTED_VALUE"""),"Player")</f>
        <v>Player</v>
      </c>
      <c r="J493" s="49" t="b">
        <f>IFERROR(__xludf.DUMMYFUNCTION("""COMPUTED_VALUE"""),FALSE)</f>
        <v>0</v>
      </c>
      <c r="K493" s="49"/>
      <c r="L493" s="49" t="b">
        <f>IFERROR(__xludf.DUMMYFUNCTION("""COMPUTED_VALUE"""),FALSE)</f>
        <v>0</v>
      </c>
      <c r="M493" s="49" t="b">
        <f>IFERROR(__xludf.DUMMYFUNCTION("""COMPUTED_VALUE"""),FALSE)</f>
        <v>0</v>
      </c>
      <c r="N493" s="49"/>
    </row>
    <row r="494">
      <c r="A494" s="49" t="str">
        <f>IFERROR(__xludf.DUMMYFUNCTION("""COMPUTED_VALUE"""),"Good Fortune")</f>
        <v>Good Fortune</v>
      </c>
      <c r="B494" s="126">
        <f>IFERROR(__xludf.DUMMYFUNCTION("""COMPUTED_VALUE"""),5.0)</f>
        <v>5</v>
      </c>
      <c r="C494" s="49">
        <f>IFERROR(__xludf.DUMMYFUNCTION("""COMPUTED_VALUE"""),50.0)</f>
        <v>50</v>
      </c>
      <c r="D494" s="49"/>
      <c r="E494" s="49" t="str">
        <f>IFERROR(__xludf.DUMMYFUNCTION("""COMPUTED_VALUE"""),"25% chance to gain an extra loot roll. You must activate this effect before the end of battle.")</f>
        <v>25% chance to gain an extra loot roll. You must activate this effect before the end of battle.</v>
      </c>
      <c r="F494" s="49" t="str">
        <f>IFERROR(__xludf.DUMMYFUNCTION("""COMPUTED_VALUE"""),"Will Succeed")</f>
        <v>Will Succeed</v>
      </c>
      <c r="G494" s="49"/>
      <c r="H494" s="49" t="str">
        <f>IFERROR(__xludf.DUMMYFUNCTION("""COMPUTED_VALUE"""),"Voodoo")</f>
        <v>Voodoo</v>
      </c>
      <c r="I494" s="49" t="str">
        <f>IFERROR(__xludf.DUMMYFUNCTION("""COMPUTED_VALUE"""),"Player")</f>
        <v>Player</v>
      </c>
      <c r="J494" s="49" t="b">
        <f>IFERROR(__xludf.DUMMYFUNCTION("""COMPUTED_VALUE"""),FALSE)</f>
        <v>0</v>
      </c>
      <c r="K494" s="49"/>
      <c r="L494" s="49" t="b">
        <f>IFERROR(__xludf.DUMMYFUNCTION("""COMPUTED_VALUE"""),FALSE)</f>
        <v>0</v>
      </c>
      <c r="M494" s="49" t="b">
        <f>IFERROR(__xludf.DUMMYFUNCTION("""COMPUTED_VALUE"""),FALSE)</f>
        <v>0</v>
      </c>
      <c r="N494" s="49"/>
    </row>
    <row r="495">
      <c r="A495" s="49" t="str">
        <f>IFERROR(__xludf.DUMMYFUNCTION("""COMPUTED_VALUE"""),"Hex With Bad Luck")</f>
        <v>Hex With Bad Luck</v>
      </c>
      <c r="B495" s="126">
        <f>IFERROR(__xludf.DUMMYFUNCTION("""COMPUTED_VALUE"""),1.0)</f>
        <v>1</v>
      </c>
      <c r="C495" s="49">
        <f>IFERROR(__xludf.DUMMYFUNCTION("""COMPUTED_VALUE"""),10.0)</f>
        <v>10</v>
      </c>
      <c r="D495" s="49"/>
      <c r="E495" s="49" t="str">
        <f>IFERROR(__xludf.DUMMYFUNCTION("""COMPUTED_VALUE"""),"Target Halfs their d20 rolls for 3 rounds")</f>
        <v>Target Halfs their d20 rolls for 3 rounds</v>
      </c>
      <c r="F495" s="49" t="str">
        <f>IFERROR(__xludf.DUMMYFUNCTION("""COMPUTED_VALUE"""),"Fail/Succeed")</f>
        <v>Fail/Succeed</v>
      </c>
      <c r="G495" s="49"/>
      <c r="H495" s="49" t="str">
        <f>IFERROR(__xludf.DUMMYFUNCTION("""COMPUTED_VALUE"""),"Voodoo")</f>
        <v>Voodoo</v>
      </c>
      <c r="I495" s="49" t="str">
        <f>IFERROR(__xludf.DUMMYFUNCTION("""COMPUTED_VALUE"""),"Player")</f>
        <v>Player</v>
      </c>
      <c r="J495" s="49" t="b">
        <f>IFERROR(__xludf.DUMMYFUNCTION("""COMPUTED_VALUE"""),FALSE)</f>
        <v>0</v>
      </c>
      <c r="K495" s="49"/>
      <c r="L495" s="49" t="b">
        <f>IFERROR(__xludf.DUMMYFUNCTION("""COMPUTED_VALUE"""),FALSE)</f>
        <v>0</v>
      </c>
      <c r="M495" s="49" t="b">
        <f>IFERROR(__xludf.DUMMYFUNCTION("""COMPUTED_VALUE"""),FALSE)</f>
        <v>0</v>
      </c>
      <c r="N495" s="49"/>
    </row>
    <row r="496">
      <c r="A496" s="49" t="str">
        <f>IFERROR(__xludf.DUMMYFUNCTION("""COMPUTED_VALUE"""),"Last Gamble")</f>
        <v>Last Gamble</v>
      </c>
      <c r="B496" s="126">
        <f>IFERROR(__xludf.DUMMYFUNCTION("""COMPUTED_VALUE"""),9.0)</f>
        <v>9</v>
      </c>
      <c r="C496" s="49">
        <f>IFERROR(__xludf.DUMMYFUNCTION("""COMPUTED_VALUE"""),1000.0)</f>
        <v>1000</v>
      </c>
      <c r="D496" s="49"/>
      <c r="E496" s="49" t="str">
        <f>IFERROR(__xludf.DUMMYFUNCTION("""COMPUTED_VALUE"""),"All enemies Cannot use any spells for the rest of the battle.")</f>
        <v>All enemies Cannot use any spells for the rest of the battle.</v>
      </c>
      <c r="F496" s="49" t="str">
        <f>IFERROR(__xludf.DUMMYFUNCTION("""COMPUTED_VALUE"""),"Fail/Succeed")</f>
        <v>Fail/Succeed</v>
      </c>
      <c r="G496" s="49"/>
      <c r="H496" s="49" t="str">
        <f>IFERROR(__xludf.DUMMYFUNCTION("""COMPUTED_VALUE"""),"Voodoo")</f>
        <v>Voodoo</v>
      </c>
      <c r="I496" s="49" t="str">
        <f>IFERROR(__xludf.DUMMYFUNCTION("""COMPUTED_VALUE"""),"Player")</f>
        <v>Player</v>
      </c>
      <c r="J496" s="49" t="b">
        <f>IFERROR(__xludf.DUMMYFUNCTION("""COMPUTED_VALUE"""),FALSE)</f>
        <v>0</v>
      </c>
      <c r="K496" s="49"/>
      <c r="L496" s="49" t="b">
        <f>IFERROR(__xludf.DUMMYFUNCTION("""COMPUTED_VALUE"""),FALSE)</f>
        <v>0</v>
      </c>
      <c r="M496" s="49" t="b">
        <f>IFERROR(__xludf.DUMMYFUNCTION("""COMPUTED_VALUE"""),FALSE)</f>
        <v>0</v>
      </c>
      <c r="N496" s="49"/>
    </row>
    <row r="497">
      <c r="A497" s="49" t="str">
        <f>IFERROR(__xludf.DUMMYFUNCTION("""COMPUTED_VALUE"""),"Multi Banishment")</f>
        <v>Multi Banishment</v>
      </c>
      <c r="B497" s="126">
        <f>IFERROR(__xludf.DUMMYFUNCTION("""COMPUTED_VALUE"""),9.0)</f>
        <v>9</v>
      </c>
      <c r="C497" s="49" t="str">
        <f>IFERROR(__xludf.DUMMYFUNCTION("""COMPUTED_VALUE"""),"X*2000")</f>
        <v>X*2000</v>
      </c>
      <c r="D497" s="49"/>
      <c r="E497" s="49" t="str">
        <f>IFERROR(__xludf.DUMMYFUNCTION("""COMPUTED_VALUE"""),"Banish up to 5 targets.")</f>
        <v>Banish up to 5 targets.</v>
      </c>
      <c r="F497" s="49" t="str">
        <f>IFERROR(__xludf.DUMMYFUNCTION("""COMPUTED_VALUE"""),"Fail/succeed")</f>
        <v>Fail/succeed</v>
      </c>
      <c r="G497" s="49"/>
      <c r="H497" s="49" t="str">
        <f>IFERROR(__xludf.DUMMYFUNCTION("""COMPUTED_VALUE"""),"Voodoo")</f>
        <v>Voodoo</v>
      </c>
      <c r="I497" s="49" t="str">
        <f>IFERROR(__xludf.DUMMYFUNCTION("""COMPUTED_VALUE"""),"Player")</f>
        <v>Player</v>
      </c>
      <c r="J497" s="49" t="b">
        <f>IFERROR(__xludf.DUMMYFUNCTION("""COMPUTED_VALUE"""),FALSE)</f>
        <v>0</v>
      </c>
      <c r="K497" s="49"/>
      <c r="L497" s="49" t="b">
        <f>IFERROR(__xludf.DUMMYFUNCTION("""COMPUTED_VALUE"""),FALSE)</f>
        <v>0</v>
      </c>
      <c r="M497" s="49" t="b">
        <f>IFERROR(__xludf.DUMMYFUNCTION("""COMPUTED_VALUE"""),FALSE)</f>
        <v>0</v>
      </c>
      <c r="N497" s="49"/>
    </row>
    <row r="498">
      <c r="A498" s="49" t="str">
        <f>IFERROR(__xludf.DUMMYFUNCTION("""COMPUTED_VALUE"""),"Multi-Magic")</f>
        <v>Multi-Magic</v>
      </c>
      <c r="B498" s="126">
        <f>IFERROR(__xludf.DUMMYFUNCTION("""COMPUTED_VALUE"""),9.0)</f>
        <v>9</v>
      </c>
      <c r="C498" s="49">
        <f>IFERROR(__xludf.DUMMYFUNCTION("""COMPUTED_VALUE"""),1000.0)</f>
        <v>1000</v>
      </c>
      <c r="D498" s="49"/>
      <c r="E498" s="49"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49" t="str">
        <f>IFERROR(__xludf.DUMMYFUNCTION("""COMPUTED_VALUE"""),"Will Succeed")</f>
        <v>Will Succeed</v>
      </c>
      <c r="G498" s="49" t="str">
        <f>IFERROR(__xludf.DUMMYFUNCTION("""COMPUTED_VALUE"""),"Self")</f>
        <v>Self</v>
      </c>
      <c r="H498" s="49" t="str">
        <f>IFERROR(__xludf.DUMMYFUNCTION("""COMPUTED_VALUE"""),"Voodoo")</f>
        <v>Voodoo</v>
      </c>
      <c r="I498" s="49" t="str">
        <f>IFERROR(__xludf.DUMMYFUNCTION("""COMPUTED_VALUE"""),"Player")</f>
        <v>Player</v>
      </c>
      <c r="J498" s="49" t="b">
        <f>IFERROR(__xludf.DUMMYFUNCTION("""COMPUTED_VALUE"""),TRUE)</f>
        <v>1</v>
      </c>
      <c r="K498" s="49" t="str">
        <f>IFERROR(__xludf.DUMMYFUNCTION("""COMPUTED_VALUE"""),"shop spell")</f>
        <v>shop spell</v>
      </c>
      <c r="L498" s="49" t="b">
        <f>IFERROR(__xludf.DUMMYFUNCTION("""COMPUTED_VALUE"""),FALSE)</f>
        <v>0</v>
      </c>
      <c r="M498" s="49" t="b">
        <f>IFERROR(__xludf.DUMMYFUNCTION("""COMPUTED_VALUE"""),FALSE)</f>
        <v>0</v>
      </c>
      <c r="N498" s="49"/>
    </row>
    <row r="499">
      <c r="A499" s="49" t="str">
        <f>IFERROR(__xludf.DUMMYFUNCTION("""COMPUTED_VALUE"""),"O' Sweet Child of Mine")</f>
        <v>O' Sweet Child of Mine</v>
      </c>
      <c r="B499" s="126">
        <f>IFERROR(__xludf.DUMMYFUNCTION("""COMPUTED_VALUE"""),9.0)</f>
        <v>9</v>
      </c>
      <c r="C499" s="49">
        <f>IFERROR(__xludf.DUMMYFUNCTION("""COMPUTED_VALUE"""),1000.0)</f>
        <v>1000</v>
      </c>
      <c r="D499" s="49"/>
      <c r="E499" s="49"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49" t="str">
        <f>IFERROR(__xludf.DUMMYFUNCTION("""COMPUTED_VALUE"""),"Fail/Succeed")</f>
        <v>Fail/Succeed</v>
      </c>
      <c r="G499" s="49">
        <f>IFERROR(__xludf.DUMMYFUNCTION("""COMPUTED_VALUE"""),1.0)</f>
        <v>1</v>
      </c>
      <c r="H499" s="49" t="str">
        <f>IFERROR(__xludf.DUMMYFUNCTION("""COMPUTED_VALUE"""),"Voodoo")</f>
        <v>Voodoo</v>
      </c>
      <c r="I499" s="49" t="str">
        <f>IFERROR(__xludf.DUMMYFUNCTION("""COMPUTED_VALUE"""),"Mob")</f>
        <v>Mob</v>
      </c>
      <c r="J499" s="49" t="b">
        <f>IFERROR(__xludf.DUMMYFUNCTION("""COMPUTED_VALUE"""),TRUE)</f>
        <v>1</v>
      </c>
      <c r="K499" s="49"/>
      <c r="L499" s="49" t="b">
        <f>IFERROR(__xludf.DUMMYFUNCTION("""COMPUTED_VALUE"""),FALSE)</f>
        <v>0</v>
      </c>
      <c r="M499" s="49" t="b">
        <f>IFERROR(__xludf.DUMMYFUNCTION("""COMPUTED_VALUE"""),FALSE)</f>
        <v>0</v>
      </c>
      <c r="N499" s="49"/>
    </row>
    <row r="500">
      <c r="A500" s="49" t="str">
        <f>IFERROR(__xludf.DUMMYFUNCTION("""COMPUTED_VALUE"""),"Rejuvenate")</f>
        <v>Rejuvenate</v>
      </c>
      <c r="B500" s="126">
        <f>IFERROR(__xludf.DUMMYFUNCTION("""COMPUTED_VALUE"""),2.0)</f>
        <v>2</v>
      </c>
      <c r="C500" s="49">
        <f>IFERROR(__xludf.DUMMYFUNCTION("""COMPUTED_VALUE"""),20.0)</f>
        <v>20</v>
      </c>
      <c r="D500" s="49"/>
      <c r="E500" s="49" t="str">
        <f>IFERROR(__xludf.DUMMYFUNCTION("""COMPUTED_VALUE"""),"Heal 2000 HP, 50% chance of contracting an Undead enemy. Max 1 Enemy.")</f>
        <v>Heal 2000 HP, 50% chance of contracting an Undead enemy. Max 1 Enemy.</v>
      </c>
      <c r="F500" s="49" t="str">
        <f>IFERROR(__xludf.DUMMYFUNCTION("""COMPUTED_VALUE"""),"Fail/Succeed")</f>
        <v>Fail/Succeed</v>
      </c>
      <c r="G500" s="49"/>
      <c r="H500" s="49" t="str">
        <f>IFERROR(__xludf.DUMMYFUNCTION("""COMPUTED_VALUE"""),"Voodoo")</f>
        <v>Voodoo</v>
      </c>
      <c r="I500" s="49" t="str">
        <f>IFERROR(__xludf.DUMMYFUNCTION("""COMPUTED_VALUE"""),"Player")</f>
        <v>Player</v>
      </c>
      <c r="J500" s="49" t="b">
        <f>IFERROR(__xludf.DUMMYFUNCTION("""COMPUTED_VALUE"""),FALSE)</f>
        <v>0</v>
      </c>
      <c r="K500" s="49"/>
      <c r="L500" s="49" t="b">
        <f>IFERROR(__xludf.DUMMYFUNCTION("""COMPUTED_VALUE"""),FALSE)</f>
        <v>0</v>
      </c>
      <c r="M500" s="49" t="b">
        <f>IFERROR(__xludf.DUMMYFUNCTION("""COMPUTED_VALUE"""),FALSE)</f>
        <v>0</v>
      </c>
      <c r="N500" s="49"/>
    </row>
    <row r="501">
      <c r="A501" s="49" t="str">
        <f>IFERROR(__xludf.DUMMYFUNCTION("""COMPUTED_VALUE"""),"Second Chance")</f>
        <v>Second Chance</v>
      </c>
      <c r="B501" s="126">
        <f>IFERROR(__xludf.DUMMYFUNCTION("""COMPUTED_VALUE"""),9.0)</f>
        <v>9</v>
      </c>
      <c r="C501" s="49">
        <f>IFERROR(__xludf.DUMMYFUNCTION("""COMPUTED_VALUE"""),1000.0)</f>
        <v>1000</v>
      </c>
      <c r="D501" s="49"/>
      <c r="E501" s="49"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49" t="str">
        <f>IFERROR(__xludf.DUMMYFUNCTION("""COMPUTED_VALUE"""),"Will Succeed")</f>
        <v>Will Succeed</v>
      </c>
      <c r="G501" s="49"/>
      <c r="H501" s="49" t="str">
        <f>IFERROR(__xludf.DUMMYFUNCTION("""COMPUTED_VALUE"""),"Voodoo")</f>
        <v>Voodoo</v>
      </c>
      <c r="I501" s="49" t="str">
        <f>IFERROR(__xludf.DUMMYFUNCTION("""COMPUTED_VALUE"""),"Player")</f>
        <v>Player</v>
      </c>
      <c r="J501" s="49" t="b">
        <f>IFERROR(__xludf.DUMMYFUNCTION("""COMPUTED_VALUE"""),FALSE)</f>
        <v>0</v>
      </c>
      <c r="K501" s="49"/>
      <c r="L501" s="49" t="b">
        <f>IFERROR(__xludf.DUMMYFUNCTION("""COMPUTED_VALUE"""),FALSE)</f>
        <v>0</v>
      </c>
      <c r="M501" s="49" t="b">
        <f>IFERROR(__xludf.DUMMYFUNCTION("""COMPUTED_VALUE"""),FALSE)</f>
        <v>0</v>
      </c>
      <c r="N501" s="49"/>
    </row>
    <row r="502">
      <c r="A502" s="49" t="str">
        <f>IFERROR(__xludf.DUMMYFUNCTION("""COMPUTED_VALUE"""),"Stand in")</f>
        <v>Stand in</v>
      </c>
      <c r="B502" s="126">
        <f>IFERROR(__xludf.DUMMYFUNCTION("""COMPUTED_VALUE"""),9.0)</f>
        <v>9</v>
      </c>
      <c r="C502" s="49">
        <f>IFERROR(__xludf.DUMMYFUNCTION("""COMPUTED_VALUE"""),1000.0)</f>
        <v>1000</v>
      </c>
      <c r="D502" s="49"/>
      <c r="E502" s="49"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49" t="str">
        <f>IFERROR(__xludf.DUMMYFUNCTION("""COMPUTED_VALUE"""),"Fail/Succeed")</f>
        <v>Fail/Succeed</v>
      </c>
      <c r="G502" s="49"/>
      <c r="H502" s="49" t="str">
        <f>IFERROR(__xludf.DUMMYFUNCTION("""COMPUTED_VALUE"""),"Voodoo")</f>
        <v>Voodoo</v>
      </c>
      <c r="I502" s="49" t="str">
        <f>IFERROR(__xludf.DUMMYFUNCTION("""COMPUTED_VALUE"""),"Player")</f>
        <v>Player</v>
      </c>
      <c r="J502" s="49" t="b">
        <f>IFERROR(__xludf.DUMMYFUNCTION("""COMPUTED_VALUE"""),FALSE)</f>
        <v>0</v>
      </c>
      <c r="K502" s="49"/>
      <c r="L502" s="49" t="b">
        <f>IFERROR(__xludf.DUMMYFUNCTION("""COMPUTED_VALUE"""),FALSE)</f>
        <v>0</v>
      </c>
      <c r="M502" s="49" t="b">
        <f>IFERROR(__xludf.DUMMYFUNCTION("""COMPUTED_VALUE"""),FALSE)</f>
        <v>0</v>
      </c>
      <c r="N502" s="49"/>
    </row>
    <row r="503">
      <c r="A503" s="49" t="str">
        <f>IFERROR(__xludf.DUMMYFUNCTION("""COMPUTED_VALUE"""),"Tower Of Karma")</f>
        <v>Tower Of Karma</v>
      </c>
      <c r="B503" s="126">
        <f>IFERROR(__xludf.DUMMYFUNCTION("""COMPUTED_VALUE"""),8.0)</f>
        <v>8</v>
      </c>
      <c r="C503" s="49">
        <f>IFERROR(__xludf.DUMMYFUNCTION("""COMPUTED_VALUE"""),400.0)</f>
        <v>400</v>
      </c>
      <c r="D503" s="49"/>
      <c r="E503" s="49"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49" t="str">
        <f>IFERROR(__xludf.DUMMYFUNCTION("""COMPUTED_VALUE"""),"Hit or Miss")</f>
        <v>Hit or Miss</v>
      </c>
      <c r="G503" s="49">
        <f>IFERROR(__xludf.DUMMYFUNCTION("""COMPUTED_VALUE"""),1.0)</f>
        <v>1</v>
      </c>
      <c r="H503" s="49" t="str">
        <f>IFERROR(__xludf.DUMMYFUNCTION("""COMPUTED_VALUE"""),"Voodoo")</f>
        <v>Voodoo</v>
      </c>
      <c r="I503" s="49" t="str">
        <f>IFERROR(__xludf.DUMMYFUNCTION("""COMPUTED_VALUE"""),"Player")</f>
        <v>Player</v>
      </c>
      <c r="J503" s="49" t="b">
        <f>IFERROR(__xludf.DUMMYFUNCTION("""COMPUTED_VALUE"""),FALSE)</f>
        <v>0</v>
      </c>
      <c r="K503" s="49"/>
      <c r="L503" s="49" t="b">
        <f>IFERROR(__xludf.DUMMYFUNCTION("""COMPUTED_VALUE"""),FALSE)</f>
        <v>0</v>
      </c>
      <c r="M503" s="49" t="b">
        <f>IFERROR(__xludf.DUMMYFUNCTION("""COMPUTED_VALUE"""),FALSE)</f>
        <v>0</v>
      </c>
      <c r="N503" s="49"/>
    </row>
    <row r="504">
      <c r="A504" s="49" t="str">
        <f>IFERROR(__xludf.DUMMYFUNCTION("""COMPUTED_VALUE"""),"Transfer")</f>
        <v>Transfer</v>
      </c>
      <c r="B504" s="126">
        <f>IFERROR(__xludf.DUMMYFUNCTION("""COMPUTED_VALUE"""),9.0)</f>
        <v>9</v>
      </c>
      <c r="C504" s="49">
        <f>IFERROR(__xludf.DUMMYFUNCTION("""COMPUTED_VALUE"""),500.0)</f>
        <v>500</v>
      </c>
      <c r="D504" s="49"/>
      <c r="E504" s="49" t="str">
        <f>IFERROR(__xludf.DUMMYFUNCTION("""COMPUTED_VALUE"""),"Allows the caster to transfer a curse from one target on to another target. Cannot be used on self.")</f>
        <v>Allows the caster to transfer a curse from one target on to another target. Cannot be used on self.</v>
      </c>
      <c r="F504" s="49" t="str">
        <f>IFERROR(__xludf.DUMMYFUNCTION("""COMPUTED_VALUE"""),"Fail/Succeed")</f>
        <v>Fail/Succeed</v>
      </c>
      <c r="G504" s="49"/>
      <c r="H504" s="49" t="str">
        <f>IFERROR(__xludf.DUMMYFUNCTION("""COMPUTED_VALUE"""),"Voodoo")</f>
        <v>Voodoo</v>
      </c>
      <c r="I504" s="49" t="str">
        <f>IFERROR(__xludf.DUMMYFUNCTION("""COMPUTED_VALUE"""),"Player")</f>
        <v>Player</v>
      </c>
      <c r="J504" s="49" t="b">
        <f>IFERROR(__xludf.DUMMYFUNCTION("""COMPUTED_VALUE"""),FALSE)</f>
        <v>0</v>
      </c>
      <c r="K504" s="49"/>
      <c r="L504" s="49" t="b">
        <f>IFERROR(__xludf.DUMMYFUNCTION("""COMPUTED_VALUE"""),FALSE)</f>
        <v>0</v>
      </c>
      <c r="M504" s="49" t="b">
        <f>IFERROR(__xludf.DUMMYFUNCTION("""COMPUTED_VALUE"""),FALSE)</f>
        <v>0</v>
      </c>
      <c r="N504" s="49"/>
    </row>
    <row r="505">
      <c r="A505" s="49" t="str">
        <f>IFERROR(__xludf.DUMMYFUNCTION("""COMPUTED_VALUE"""),"Transform Enemy Curse")</f>
        <v>Transform Enemy Curse</v>
      </c>
      <c r="B505" s="126">
        <f>IFERROR(__xludf.DUMMYFUNCTION("""COMPUTED_VALUE"""),3.0)</f>
        <v>3</v>
      </c>
      <c r="C505" s="49">
        <f>IFERROR(__xludf.DUMMYFUNCTION("""COMPUTED_VALUE"""),30.0)</f>
        <v>30</v>
      </c>
      <c r="D505" s="49"/>
      <c r="E505" s="49"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49" t="str">
        <f>IFERROR(__xludf.DUMMYFUNCTION("""COMPUTED_VALUE"""),"Fail or Succeed")</f>
        <v>Fail or Succeed</v>
      </c>
      <c r="G505" s="49"/>
      <c r="H505" s="49" t="str">
        <f>IFERROR(__xludf.DUMMYFUNCTION("""COMPUTED_VALUE"""),"Voodoo")</f>
        <v>Voodoo</v>
      </c>
      <c r="I505" s="49" t="str">
        <f>IFERROR(__xludf.DUMMYFUNCTION("""COMPUTED_VALUE"""),"Player")</f>
        <v>Player</v>
      </c>
      <c r="J505" s="49" t="b">
        <f>IFERROR(__xludf.DUMMYFUNCTION("""COMPUTED_VALUE"""),FALSE)</f>
        <v>0</v>
      </c>
      <c r="K505" s="49"/>
      <c r="L505" s="49" t="b">
        <f>IFERROR(__xludf.DUMMYFUNCTION("""COMPUTED_VALUE"""),FALSE)</f>
        <v>0</v>
      </c>
      <c r="M505" s="49" t="b">
        <f>IFERROR(__xludf.DUMMYFUNCTION("""COMPUTED_VALUE"""),FALSE)</f>
        <v>0</v>
      </c>
      <c r="N505" s="49"/>
    </row>
    <row r="506">
      <c r="A506" s="49" t="str">
        <f>IFERROR(__xludf.DUMMYFUNCTION("""COMPUTED_VALUE"""),"Voodoo Ritual of Raise The Dead")</f>
        <v>Voodoo Ritual of Raise The Dead</v>
      </c>
      <c r="B506" s="126">
        <f>IFERROR(__xludf.DUMMYFUNCTION("""COMPUTED_VALUE"""),6.0)</f>
        <v>6</v>
      </c>
      <c r="C506" s="49">
        <f>IFERROR(__xludf.DUMMYFUNCTION("""COMPUTED_VALUE"""),60.0)</f>
        <v>60</v>
      </c>
      <c r="D506" s="49"/>
      <c r="E506" s="49" t="str">
        <f>IFERROR(__xludf.DUMMYFUNCTION("""COMPUTED_VALUE"""),"Raise a dead enemy to fight by your side.")</f>
        <v>Raise a dead enemy to fight by your side.</v>
      </c>
      <c r="F506" s="49" t="str">
        <f>IFERROR(__xludf.DUMMYFUNCTION("""COMPUTED_VALUE"""),"Fail/succeed")</f>
        <v>Fail/succeed</v>
      </c>
      <c r="G506" s="49"/>
      <c r="H506" s="49" t="str">
        <f>IFERROR(__xludf.DUMMYFUNCTION("""COMPUTED_VALUE"""),"Voodoo")</f>
        <v>Voodoo</v>
      </c>
      <c r="I506" s="49" t="str">
        <f>IFERROR(__xludf.DUMMYFUNCTION("""COMPUTED_VALUE"""),"Player")</f>
        <v>Player</v>
      </c>
      <c r="J506" s="49" t="b">
        <f>IFERROR(__xludf.DUMMYFUNCTION("""COMPUTED_VALUE"""),FALSE)</f>
        <v>0</v>
      </c>
      <c r="K506" s="49"/>
      <c r="L506" s="49" t="b">
        <f>IFERROR(__xludf.DUMMYFUNCTION("""COMPUTED_VALUE"""),FALSE)</f>
        <v>0</v>
      </c>
      <c r="M506" s="49" t="b">
        <f>IFERROR(__xludf.DUMMYFUNCTION("""COMPUTED_VALUE"""),FALSE)</f>
        <v>0</v>
      </c>
      <c r="N506" s="49"/>
    </row>
    <row r="507">
      <c r="A507" s="49" t="str">
        <f>IFERROR(__xludf.DUMMYFUNCTION("""COMPUTED_VALUE"""),"Weight Shift")</f>
        <v>Weight Shift</v>
      </c>
      <c r="B507" s="126">
        <f>IFERROR(__xludf.DUMMYFUNCTION("""COMPUTED_VALUE"""),4.0)</f>
        <v>4</v>
      </c>
      <c r="C507" s="49">
        <f>IFERROR(__xludf.DUMMYFUNCTION("""COMPUTED_VALUE"""),40.0)</f>
        <v>40</v>
      </c>
      <c r="D507" s="49"/>
      <c r="E507" s="49" t="str">
        <f>IFERROR(__xludf.DUMMYFUNCTION("""COMPUTED_VALUE"""),"Shift the weight of your enemy for 3 rounds, lowers their evasion by 5.")</f>
        <v>Shift the weight of your enemy for 3 rounds, lowers their evasion by 5.</v>
      </c>
      <c r="F507" s="49" t="str">
        <f>IFERROR(__xludf.DUMMYFUNCTION("""COMPUTED_VALUE"""),"Fail/succeed")</f>
        <v>Fail/succeed</v>
      </c>
      <c r="G507" s="49"/>
      <c r="H507" s="49" t="str">
        <f>IFERROR(__xludf.DUMMYFUNCTION("""COMPUTED_VALUE"""),"Voodoo")</f>
        <v>Voodoo</v>
      </c>
      <c r="I507" s="49" t="str">
        <f>IFERROR(__xludf.DUMMYFUNCTION("""COMPUTED_VALUE"""),"Player")</f>
        <v>Player</v>
      </c>
      <c r="J507" s="49" t="b">
        <f>IFERROR(__xludf.DUMMYFUNCTION("""COMPUTED_VALUE"""),FALSE)</f>
        <v>0</v>
      </c>
      <c r="K507" s="49"/>
      <c r="L507" s="49" t="b">
        <f>IFERROR(__xludf.DUMMYFUNCTION("""COMPUTED_VALUE"""),FALSE)</f>
        <v>0</v>
      </c>
      <c r="M507" s="49" t="b">
        <f>IFERROR(__xludf.DUMMYFUNCTION("""COMPUTED_VALUE"""),FALSE)</f>
        <v>0</v>
      </c>
      <c r="N507" s="49"/>
    </row>
    <row r="508">
      <c r="A508" s="49" t="str">
        <f>IFERROR(__xludf.DUMMYFUNCTION("""COMPUTED_VALUE"""),"Poison Flask")</f>
        <v>Poison Flask</v>
      </c>
      <c r="B508" s="126">
        <f>IFERROR(__xludf.DUMMYFUNCTION("""COMPUTED_VALUE"""),3.0)</f>
        <v>3</v>
      </c>
      <c r="C508" s="49">
        <f>IFERROR(__xludf.DUMMYFUNCTION("""COMPUTED_VALUE"""),50.0)</f>
        <v>50</v>
      </c>
      <c r="D508" s="49"/>
      <c r="E508" s="49" t="str">
        <f>IFERROR(__xludf.DUMMYFUNCTION("""COMPUTED_VALUE"""),"Throw a flask of viscous poison, Shattering it on your enemies and inflicting Poison 3000 for 3 rounds")</f>
        <v>Throw a flask of viscous poison, Shattering it on your enemies and inflicting Poison 3000 for 3 rounds</v>
      </c>
      <c r="F508" s="49" t="str">
        <f>IFERROR(__xludf.DUMMYFUNCTION("""COMPUTED_VALUE"""),"Hit/Miss")</f>
        <v>Hit/Miss</v>
      </c>
      <c r="G508" s="49">
        <f>IFERROR(__xludf.DUMMYFUNCTION("""COMPUTED_VALUE"""),1.0)</f>
        <v>1</v>
      </c>
      <c r="H508" s="49" t="str">
        <f>IFERROR(__xludf.DUMMYFUNCTION("""COMPUTED_VALUE"""),"Voodoo")</f>
        <v>Voodoo</v>
      </c>
      <c r="I508" s="49" t="str">
        <f>IFERROR(__xludf.DUMMYFUNCTION("""COMPUTED_VALUE"""),"Player")</f>
        <v>Player</v>
      </c>
      <c r="J508" s="49" t="b">
        <f>IFERROR(__xludf.DUMMYFUNCTION("""COMPUTED_VALUE"""),FALSE)</f>
        <v>0</v>
      </c>
      <c r="K508" s="49"/>
      <c r="L508" s="49" t="b">
        <f>IFERROR(__xludf.DUMMYFUNCTION("""COMPUTED_VALUE"""),FALSE)</f>
        <v>0</v>
      </c>
      <c r="M508" s="49" t="b">
        <f>IFERROR(__xludf.DUMMYFUNCTION("""COMPUTED_VALUE"""),FALSE)</f>
        <v>0</v>
      </c>
      <c r="N508" s="49"/>
    </row>
    <row r="509">
      <c r="A509" s="49" t="str">
        <f>IFERROR(__xludf.DUMMYFUNCTION("""COMPUTED_VALUE"""),"1000 Poisons Body")</f>
        <v>1000 Poisons Body</v>
      </c>
      <c r="B509" s="126">
        <f>IFERROR(__xludf.DUMMYFUNCTION("""COMPUTED_VALUE"""),8.0)</f>
        <v>8</v>
      </c>
      <c r="C509" s="49">
        <f>IFERROR(__xludf.DUMMYFUNCTION("""COMPUTED_VALUE"""),500.0)</f>
        <v>500</v>
      </c>
      <c r="D509" s="49"/>
      <c r="E509" s="49"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49" t="str">
        <f>IFERROR(__xludf.DUMMYFUNCTION("""COMPUTED_VALUE"""),"Will Succeed")</f>
        <v>Will Succeed</v>
      </c>
      <c r="G509" s="49" t="str">
        <f>IFERROR(__xludf.DUMMYFUNCTION("""COMPUTED_VALUE"""),"Self")</f>
        <v>Self</v>
      </c>
      <c r="H509" s="49" t="str">
        <f>IFERROR(__xludf.DUMMYFUNCTION("""COMPUTED_VALUE"""),"Voodoo")</f>
        <v>Voodoo</v>
      </c>
      <c r="I509" s="49" t="str">
        <f>IFERROR(__xludf.DUMMYFUNCTION("""COMPUTED_VALUE"""),"Player")</f>
        <v>Player</v>
      </c>
      <c r="J509" s="49" t="b">
        <f>IFERROR(__xludf.DUMMYFUNCTION("""COMPUTED_VALUE"""),FALSE)</f>
        <v>0</v>
      </c>
      <c r="K509" s="49"/>
      <c r="L509" s="49" t="b">
        <f>IFERROR(__xludf.DUMMYFUNCTION("""COMPUTED_VALUE"""),FALSE)</f>
        <v>0</v>
      </c>
      <c r="M509" s="49" t="b">
        <f>IFERROR(__xludf.DUMMYFUNCTION("""COMPUTED_VALUE"""),FALSE)</f>
        <v>0</v>
      </c>
      <c r="N509" s="49"/>
    </row>
    <row r="510">
      <c r="A510" s="49" t="str">
        <f>IFERROR(__xludf.DUMMYFUNCTION("""COMPUTED_VALUE"""),"Contagion")</f>
        <v>Contagion</v>
      </c>
      <c r="B510" s="126">
        <f>IFERROR(__xludf.DUMMYFUNCTION("""COMPUTED_VALUE"""),5.0)</f>
        <v>5</v>
      </c>
      <c r="C510" s="49">
        <f>IFERROR(__xludf.DUMMYFUNCTION("""COMPUTED_VALUE"""),100.0)</f>
        <v>100</v>
      </c>
      <c r="D510" s="49"/>
      <c r="E510" s="49" t="str">
        <f>IFERROR(__xludf.DUMMYFUNCTION("""COMPUTED_VALUE"""),"Unleashes a Plague onto the Battlefield Infecting all enemies causing them to take Poison 5000 for 3 rounds")</f>
        <v>Unleashes a Plague onto the Battlefield Infecting all enemies causing them to take Poison 5000 for 3 rounds</v>
      </c>
      <c r="F510" s="49" t="str">
        <f>IFERROR(__xludf.DUMMYFUNCTION("""COMPUTED_VALUE"""),"Fail/Succeed")</f>
        <v>Fail/Succeed</v>
      </c>
      <c r="G510" s="49" t="str">
        <f>IFERROR(__xludf.DUMMYFUNCTION("""COMPUTED_VALUE"""),"All")</f>
        <v>All</v>
      </c>
      <c r="H510" s="49" t="str">
        <f>IFERROR(__xludf.DUMMYFUNCTION("""COMPUTED_VALUE"""),"Voodoo")</f>
        <v>Voodoo</v>
      </c>
      <c r="I510" s="49" t="str">
        <f>IFERROR(__xludf.DUMMYFUNCTION("""COMPUTED_VALUE"""),"Player")</f>
        <v>Player</v>
      </c>
      <c r="J510" s="49" t="b">
        <f>IFERROR(__xludf.DUMMYFUNCTION("""COMPUTED_VALUE"""),FALSE)</f>
        <v>0</v>
      </c>
      <c r="K510" s="49"/>
      <c r="L510" s="49" t="b">
        <f>IFERROR(__xludf.DUMMYFUNCTION("""COMPUTED_VALUE"""),FALSE)</f>
        <v>0</v>
      </c>
      <c r="M510" s="49" t="b">
        <f>IFERROR(__xludf.DUMMYFUNCTION("""COMPUTED_VALUE"""),FALSE)</f>
        <v>0</v>
      </c>
      <c r="N510" s="49"/>
    </row>
    <row r="511">
      <c r="A511" s="49" t="str">
        <f>IFERROR(__xludf.DUMMYFUNCTION("""COMPUTED_VALUE"""),"Mutagen")</f>
        <v>Mutagen</v>
      </c>
      <c r="B511" s="126">
        <f>IFERROR(__xludf.DUMMYFUNCTION("""COMPUTED_VALUE"""),6.0)</f>
        <v>6</v>
      </c>
      <c r="C511" s="49">
        <f>IFERROR(__xludf.DUMMYFUNCTION("""COMPUTED_VALUE"""),100.0)</f>
        <v>100</v>
      </c>
      <c r="D511" s="49"/>
      <c r="E511" s="49"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49" t="str">
        <f>IFERROR(__xludf.DUMMYFUNCTION("""COMPUTED_VALUE"""),"Will Succeed")</f>
        <v>Will Succeed</v>
      </c>
      <c r="G511" s="49" t="str">
        <f>IFERROR(__xludf.DUMMYFUNCTION("""COMPUTED_VALUE"""),"self")</f>
        <v>self</v>
      </c>
      <c r="H511" s="49" t="str">
        <f>IFERROR(__xludf.DUMMYFUNCTION("""COMPUTED_VALUE"""),"Voodoo")</f>
        <v>Voodoo</v>
      </c>
      <c r="I511" s="49" t="str">
        <f>IFERROR(__xludf.DUMMYFUNCTION("""COMPUTED_VALUE"""),"Player")</f>
        <v>Player</v>
      </c>
      <c r="J511" s="49" t="b">
        <f>IFERROR(__xludf.DUMMYFUNCTION("""COMPUTED_VALUE"""),FALSE)</f>
        <v>0</v>
      </c>
      <c r="K511" s="49"/>
      <c r="L511" s="49" t="b">
        <f>IFERROR(__xludf.DUMMYFUNCTION("""COMPUTED_VALUE"""),FALSE)</f>
        <v>0</v>
      </c>
      <c r="M511" s="49" t="b">
        <f>IFERROR(__xludf.DUMMYFUNCTION("""COMPUTED_VALUE"""),FALSE)</f>
        <v>0</v>
      </c>
      <c r="N511" s="49"/>
    </row>
    <row r="512">
      <c r="A512" s="49" t="str">
        <f>IFERROR(__xludf.DUMMYFUNCTION("""COMPUTED_VALUE"""),"Warcrimes")</f>
        <v>Warcrimes</v>
      </c>
      <c r="B512" s="126">
        <f>IFERROR(__xludf.DUMMYFUNCTION("""COMPUTED_VALUE"""),9.0)</f>
        <v>9</v>
      </c>
      <c r="C512" s="49">
        <f>IFERROR(__xludf.DUMMYFUNCTION("""COMPUTED_VALUE"""),200.0)</f>
        <v>200</v>
      </c>
      <c r="D512" s="49"/>
      <c r="E512" s="49"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49" t="str">
        <f>IFERROR(__xludf.DUMMYFUNCTION("""COMPUTED_VALUE"""),"Will Succeed")</f>
        <v>Will Succeed</v>
      </c>
      <c r="G512" s="49" t="str">
        <f>IFERROR(__xludf.DUMMYFUNCTION("""COMPUTED_VALUE"""),"All")</f>
        <v>All</v>
      </c>
      <c r="H512" s="49" t="str">
        <f>IFERROR(__xludf.DUMMYFUNCTION("""COMPUTED_VALUE"""),"Voodoo")</f>
        <v>Voodoo</v>
      </c>
      <c r="I512" s="49" t="str">
        <f>IFERROR(__xludf.DUMMYFUNCTION("""COMPUTED_VALUE"""),"Player")</f>
        <v>Player</v>
      </c>
      <c r="J512" s="49" t="b">
        <f>IFERROR(__xludf.DUMMYFUNCTION("""COMPUTED_VALUE"""),FALSE)</f>
        <v>0</v>
      </c>
      <c r="K512" s="49"/>
      <c r="L512" s="49" t="b">
        <f>IFERROR(__xludf.DUMMYFUNCTION("""COMPUTED_VALUE"""),FALSE)</f>
        <v>0</v>
      </c>
      <c r="M512" s="49" t="b">
        <f>IFERROR(__xludf.DUMMYFUNCTION("""COMPUTED_VALUE"""),FALSE)</f>
        <v>0</v>
      </c>
      <c r="N512" s="49"/>
    </row>
    <row r="513">
      <c r="A513" s="49" t="str">
        <f>IFERROR(__xludf.DUMMYFUNCTION("""COMPUTED_VALUE"""),"Last Chance")</f>
        <v>Last Chance</v>
      </c>
      <c r="B513" s="126">
        <f>IFERROR(__xludf.DUMMYFUNCTION("""COMPUTED_VALUE"""),5.0)</f>
        <v>5</v>
      </c>
      <c r="C513" s="49">
        <f>IFERROR(__xludf.DUMMYFUNCTION("""COMPUTED_VALUE"""),200.0)</f>
        <v>200</v>
      </c>
      <c r="D513" s="49"/>
      <c r="E513" s="49" t="str">
        <f>IFERROR(__xludf.DUMMYFUNCTION("""COMPUTED_VALUE"""),"1d2 enemies cannot use spells for 3 rounds.")</f>
        <v>1d2 enemies cannot use spells for 3 rounds.</v>
      </c>
      <c r="F513" s="49" t="str">
        <f>IFERROR(__xludf.DUMMYFUNCTION("""COMPUTED_VALUE"""),"Fail or Succeed")</f>
        <v>Fail or Succeed</v>
      </c>
      <c r="G513" s="49" t="str">
        <f>IFERROR(__xludf.DUMMYFUNCTION("""COMPUTED_VALUE"""),"1 or 2")</f>
        <v>1 or 2</v>
      </c>
      <c r="H513" s="49" t="str">
        <f>IFERROR(__xludf.DUMMYFUNCTION("""COMPUTED_VALUE"""),"Voodoo")</f>
        <v>Voodoo</v>
      </c>
      <c r="I513" s="49" t="str">
        <f>IFERROR(__xludf.DUMMYFUNCTION("""COMPUTED_VALUE"""),"Player")</f>
        <v>Player</v>
      </c>
      <c r="J513" s="49" t="b">
        <f>IFERROR(__xludf.DUMMYFUNCTION("""COMPUTED_VALUE"""),FALSE)</f>
        <v>0</v>
      </c>
      <c r="K513" s="49"/>
      <c r="L513" s="49" t="b">
        <f>IFERROR(__xludf.DUMMYFUNCTION("""COMPUTED_VALUE"""),FALSE)</f>
        <v>0</v>
      </c>
      <c r="M513" s="49" t="b">
        <f>IFERROR(__xludf.DUMMYFUNCTION("""COMPUTED_VALUE"""),FALSE)</f>
        <v>0</v>
      </c>
      <c r="N513" s="49"/>
    </row>
    <row r="514">
      <c r="A514" s="49" t="str">
        <f>IFERROR(__xludf.DUMMYFUNCTION("""COMPUTED_VALUE"""),"Voodoo Needle")</f>
        <v>Voodoo Needle</v>
      </c>
      <c r="B514" s="126">
        <f>IFERROR(__xludf.DUMMYFUNCTION("""COMPUTED_VALUE"""),1.0)</f>
        <v>1</v>
      </c>
      <c r="C514" s="49" t="str">
        <f>IFERROR(__xludf.DUMMYFUNCTION("""COMPUTED_VALUE"""),"X")</f>
        <v>X</v>
      </c>
      <c r="D514" s="49"/>
      <c r="E514" s="49" t="str">
        <f>IFERROR(__xludf.DUMMYFUNCTION("""COMPUTED_VALUE"""),"Deals X*100 Voodoo damage to a single enemy where X is equal to SP spent.")</f>
        <v>Deals X*100 Voodoo damage to a single enemy where X is equal to SP spent.</v>
      </c>
      <c r="F514" s="49" t="str">
        <f>IFERROR(__xludf.DUMMYFUNCTION("""COMPUTED_VALUE"""),"Hit/Miss")</f>
        <v>Hit/Miss</v>
      </c>
      <c r="G514" s="49">
        <f>IFERROR(__xludf.DUMMYFUNCTION("""COMPUTED_VALUE"""),1.0)</f>
        <v>1</v>
      </c>
      <c r="H514" s="49" t="str">
        <f>IFERROR(__xludf.DUMMYFUNCTION("""COMPUTED_VALUE"""),"Voodoo")</f>
        <v>Voodoo</v>
      </c>
      <c r="I514" s="49" t="str">
        <f>IFERROR(__xludf.DUMMYFUNCTION("""COMPUTED_VALUE"""),"Player")</f>
        <v>Player</v>
      </c>
      <c r="J514" s="49" t="b">
        <f>IFERROR(__xludf.DUMMYFUNCTION("""COMPUTED_VALUE"""),FALSE)</f>
        <v>0</v>
      </c>
      <c r="K514" s="49"/>
      <c r="L514" s="49" t="b">
        <f>IFERROR(__xludf.DUMMYFUNCTION("""COMPUTED_VALUE"""),FALSE)</f>
        <v>0</v>
      </c>
      <c r="M514" s="49" t="b">
        <f>IFERROR(__xludf.DUMMYFUNCTION("""COMPUTED_VALUE"""),FALSE)</f>
        <v>0</v>
      </c>
      <c r="N514" s="49"/>
    </row>
    <row r="515">
      <c r="A515" s="49" t="str">
        <f>IFERROR(__xludf.DUMMYFUNCTION("""COMPUTED_VALUE"""),"Hex")</f>
        <v>Hex</v>
      </c>
      <c r="B515" s="126">
        <f>IFERROR(__xludf.DUMMYFUNCTION("""COMPUTED_VALUE"""),5.0)</f>
        <v>5</v>
      </c>
      <c r="C515" s="49" t="str">
        <f>IFERROR(__xludf.DUMMYFUNCTION("""COMPUTED_VALUE"""),"X")</f>
        <v>X</v>
      </c>
      <c r="D515" s="49"/>
      <c r="E515" s="49" t="str">
        <f>IFERROR(__xludf.DUMMYFUNCTION("""COMPUTED_VALUE"""),"Deals X*50 Voodoo damage per round for 3 rounds to a single target where X is equal to SP spent.")</f>
        <v>Deals X*50 Voodoo damage per round for 3 rounds to a single target where X is equal to SP spent.</v>
      </c>
      <c r="F515" s="49" t="str">
        <f>IFERROR(__xludf.DUMMYFUNCTION("""COMPUTED_VALUE"""),"Hit/Miss")</f>
        <v>Hit/Miss</v>
      </c>
      <c r="G515" s="49">
        <f>IFERROR(__xludf.DUMMYFUNCTION("""COMPUTED_VALUE"""),1.0)</f>
        <v>1</v>
      </c>
      <c r="H515" s="49" t="str">
        <f>IFERROR(__xludf.DUMMYFUNCTION("""COMPUTED_VALUE"""),"Voodoo")</f>
        <v>Voodoo</v>
      </c>
      <c r="I515" s="49" t="str">
        <f>IFERROR(__xludf.DUMMYFUNCTION("""COMPUTED_VALUE"""),"Player")</f>
        <v>Player</v>
      </c>
      <c r="J515" s="49" t="b">
        <f>IFERROR(__xludf.DUMMYFUNCTION("""COMPUTED_VALUE"""),FALSE)</f>
        <v>0</v>
      </c>
      <c r="K515" s="49"/>
      <c r="L515" s="49" t="b">
        <f>IFERROR(__xludf.DUMMYFUNCTION("""COMPUTED_VALUE"""),FALSE)</f>
        <v>0</v>
      </c>
      <c r="M515" s="49" t="b">
        <f>IFERROR(__xludf.DUMMYFUNCTION("""COMPUTED_VALUE"""),FALSE)</f>
        <v>0</v>
      </c>
      <c r="N515" s="49"/>
    </row>
    <row r="516">
      <c r="A516" s="49" t="str">
        <f>IFERROR(__xludf.DUMMYFUNCTION("""COMPUTED_VALUE"""),"Voodoo Meteor Shower")</f>
        <v>Voodoo Meteor Shower</v>
      </c>
      <c r="B516" s="126">
        <f>IFERROR(__xludf.DUMMYFUNCTION("""COMPUTED_VALUE"""),5.0)</f>
        <v>5</v>
      </c>
      <c r="C516" s="49" t="str">
        <f>IFERROR(__xludf.DUMMYFUNCTION("""COMPUTED_VALUE"""),"X")</f>
        <v>X</v>
      </c>
      <c r="D516" s="49"/>
      <c r="E516" s="49" t="str">
        <f>IFERROR(__xludf.DUMMYFUNCTION("""COMPUTED_VALUE"""),"Deals X*25 Voodoo damage to all enemies where X is equal to SP spent.")</f>
        <v>Deals X*25 Voodoo damage to all enemies where X is equal to SP spent.</v>
      </c>
      <c r="F516" s="49" t="str">
        <f>IFERROR(__xludf.DUMMYFUNCTION("""COMPUTED_VALUE"""),"Cannot Avoid")</f>
        <v>Cannot Avoid</v>
      </c>
      <c r="G516" s="49" t="str">
        <f>IFERROR(__xludf.DUMMYFUNCTION("""COMPUTED_VALUE"""),"All")</f>
        <v>All</v>
      </c>
      <c r="H516" s="49" t="str">
        <f>IFERROR(__xludf.DUMMYFUNCTION("""COMPUTED_VALUE"""),"Voodoo")</f>
        <v>Voodoo</v>
      </c>
      <c r="I516" s="49" t="str">
        <f>IFERROR(__xludf.DUMMYFUNCTION("""COMPUTED_VALUE"""),"Player")</f>
        <v>Player</v>
      </c>
      <c r="J516" s="49" t="b">
        <f>IFERROR(__xludf.DUMMYFUNCTION("""COMPUTED_VALUE"""),FALSE)</f>
        <v>0</v>
      </c>
      <c r="K516" s="49"/>
      <c r="L516" s="49" t="b">
        <f>IFERROR(__xludf.DUMMYFUNCTION("""COMPUTED_VALUE"""),FALSE)</f>
        <v>0</v>
      </c>
      <c r="M516" s="49" t="b">
        <f>IFERROR(__xludf.DUMMYFUNCTION("""COMPUTED_VALUE"""),FALSE)</f>
        <v>0</v>
      </c>
      <c r="N516" s="49"/>
    </row>
    <row r="517">
      <c r="A517" s="49" t="str">
        <f>IFERROR(__xludf.DUMMYFUNCTION("""COMPUTED_VALUE"""),"Mass Hex")</f>
        <v>Mass Hex</v>
      </c>
      <c r="B517" s="126">
        <f>IFERROR(__xludf.DUMMYFUNCTION("""COMPUTED_VALUE"""),6.0)</f>
        <v>6</v>
      </c>
      <c r="C517" s="49" t="str">
        <f>IFERROR(__xludf.DUMMYFUNCTION("""COMPUTED_VALUE"""),"X")</f>
        <v>X</v>
      </c>
      <c r="D517" s="49"/>
      <c r="E517" s="49" t="str">
        <f>IFERROR(__xludf.DUMMYFUNCTION("""COMPUTED_VALUE"""),"Deals X*10 Voodoo damage per round to all enemies for 3 rounds where X is equal to SP spent.")</f>
        <v>Deals X*10 Voodoo damage per round to all enemies for 3 rounds where X is equal to SP spent.</v>
      </c>
      <c r="F517" s="49" t="str">
        <f>IFERROR(__xludf.DUMMYFUNCTION("""COMPUTED_VALUE"""),"Cannot Avoid")</f>
        <v>Cannot Avoid</v>
      </c>
      <c r="G517" s="49" t="str">
        <f>IFERROR(__xludf.DUMMYFUNCTION("""COMPUTED_VALUE"""),"All")</f>
        <v>All</v>
      </c>
      <c r="H517" s="49" t="str">
        <f>IFERROR(__xludf.DUMMYFUNCTION("""COMPUTED_VALUE"""),"Voodoo")</f>
        <v>Voodoo</v>
      </c>
      <c r="I517" s="49" t="str">
        <f>IFERROR(__xludf.DUMMYFUNCTION("""COMPUTED_VALUE"""),"Player")</f>
        <v>Player</v>
      </c>
      <c r="J517" s="49" t="b">
        <f>IFERROR(__xludf.DUMMYFUNCTION("""COMPUTED_VALUE"""),FALSE)</f>
        <v>0</v>
      </c>
      <c r="K517" s="49"/>
      <c r="L517" s="49" t="b">
        <f>IFERROR(__xludf.DUMMYFUNCTION("""COMPUTED_VALUE"""),FALSE)</f>
        <v>0</v>
      </c>
      <c r="M517" s="49" t="b">
        <f>IFERROR(__xludf.DUMMYFUNCTION("""COMPUTED_VALUE"""),FALSE)</f>
        <v>0</v>
      </c>
      <c r="N517" s="49"/>
    </row>
    <row r="518">
      <c r="A518" s="49" t="str">
        <f>IFERROR(__xludf.DUMMYFUNCTION("""COMPUTED_VALUE"""),"Ancient Frost Grand Mages Curse")</f>
        <v>Ancient Frost Grand Mages Curse</v>
      </c>
      <c r="B518" s="126">
        <f>IFERROR(__xludf.DUMMYFUNCTION("""COMPUTED_VALUE"""),1.0)</f>
        <v>1</v>
      </c>
      <c r="C518" s="125">
        <f>IFERROR(__xludf.DUMMYFUNCTION("""COMPUTED_VALUE"""),10000.0)</f>
        <v>10000</v>
      </c>
      <c r="D518" s="49"/>
      <c r="E518" s="49"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49" t="str">
        <f>IFERROR(__xludf.DUMMYFUNCTION("""COMPUTED_VALUE"""),"Fail or Succeed")</f>
        <v>Fail or Succeed</v>
      </c>
      <c r="G518" s="49">
        <f>IFERROR(__xludf.DUMMYFUNCTION("""COMPUTED_VALUE"""),1.0)</f>
        <v>1</v>
      </c>
      <c r="H518" s="49" t="str">
        <f>IFERROR(__xludf.DUMMYFUNCTION("""COMPUTED_VALUE"""),"Water")</f>
        <v>Water</v>
      </c>
      <c r="I518" s="49" t="str">
        <f>IFERROR(__xludf.DUMMYFUNCTION("""COMPUTED_VALUE"""),"Mob")</f>
        <v>Mob</v>
      </c>
      <c r="J518" s="49" t="b">
        <f>IFERROR(__xludf.DUMMYFUNCTION("""COMPUTED_VALUE"""),TRUE)</f>
        <v>1</v>
      </c>
      <c r="K518" s="49"/>
      <c r="L518" s="49" t="b">
        <f>IFERROR(__xludf.DUMMYFUNCTION("""COMPUTED_VALUE"""),TRUE)</f>
        <v>1</v>
      </c>
      <c r="M518" s="49" t="b">
        <f>IFERROR(__xludf.DUMMYFUNCTION("""COMPUTED_VALUE"""),FALSE)</f>
        <v>0</v>
      </c>
      <c r="N518" s="49"/>
    </row>
    <row r="519">
      <c r="A519" s="49" t="str">
        <f>IFERROR(__xludf.DUMMYFUNCTION("""COMPUTED_VALUE"""),"Ancient Frost Troll Call")</f>
        <v>Ancient Frost Troll Call</v>
      </c>
      <c r="B519" s="126">
        <f>IFERROR(__xludf.DUMMYFUNCTION("""COMPUTED_VALUE"""),1.0)</f>
        <v>1</v>
      </c>
      <c r="C519" s="49">
        <f>IFERROR(__xludf.DUMMYFUNCTION("""COMPUTED_VALUE"""),0.0)</f>
        <v>0</v>
      </c>
      <c r="D519" s="49"/>
      <c r="E519" s="49" t="str">
        <f>IFERROR(__xludf.DUMMYFUNCTION("""COMPUTED_VALUE"""),"Calls in 2 other giant frost trolls into battle, has a 50% chance to call in 3 of them.")</f>
        <v>Calls in 2 other giant frost trolls into battle, has a 50% chance to call in 3 of them.</v>
      </c>
      <c r="F519" s="49" t="str">
        <f>IFERROR(__xludf.DUMMYFUNCTION("""COMPUTED_VALUE"""),"Natural/Fail Or Succeed")</f>
        <v>Natural/Fail Or Succeed</v>
      </c>
      <c r="G519" s="49" t="str">
        <f>IFERROR(__xludf.DUMMYFUNCTION("""COMPUTED_VALUE"""),"Self")</f>
        <v>Self</v>
      </c>
      <c r="H519" s="49" t="str">
        <f>IFERROR(__xludf.DUMMYFUNCTION("""COMPUTED_VALUE"""),"Water")</f>
        <v>Water</v>
      </c>
      <c r="I519" s="49" t="str">
        <f>IFERROR(__xludf.DUMMYFUNCTION("""COMPUTED_VALUE"""),"Mob")</f>
        <v>Mob</v>
      </c>
      <c r="J519" s="49" t="b">
        <f>IFERROR(__xludf.DUMMYFUNCTION("""COMPUTED_VALUE"""),TRUE)</f>
        <v>1</v>
      </c>
      <c r="K519" s="49"/>
      <c r="L519" s="49" t="b">
        <f>IFERROR(__xludf.DUMMYFUNCTION("""COMPUTED_VALUE"""),TRUE)</f>
        <v>1</v>
      </c>
      <c r="M519" s="49" t="b">
        <f>IFERROR(__xludf.DUMMYFUNCTION("""COMPUTED_VALUE"""),FALSE)</f>
        <v>0</v>
      </c>
      <c r="N519" s="49"/>
    </row>
    <row r="520">
      <c r="A520" s="49" t="str">
        <f>IFERROR(__xludf.DUMMYFUNCTION("""COMPUTED_VALUE"""),"Ancient Monolith Of Water")</f>
        <v>Ancient Monolith Of Water</v>
      </c>
      <c r="B520" s="126">
        <f>IFERROR(__xludf.DUMMYFUNCTION("""COMPUTED_VALUE"""),9.0)</f>
        <v>9</v>
      </c>
      <c r="C520" s="49">
        <f>IFERROR(__xludf.DUMMYFUNCTION("""COMPUTED_VALUE"""),300.0)</f>
        <v>300</v>
      </c>
      <c r="D520" s="49"/>
      <c r="E520" s="49" t="str">
        <f>IFERROR(__xludf.DUMMYFUNCTION("""COMPUTED_VALUE"""),"X4 additional water damage for caster and allies, + fire immunity to caster only for 3 rounds.")</f>
        <v>X4 additional water damage for caster and allies, + fire immunity to caster only for 3 rounds.</v>
      </c>
      <c r="F520" s="49" t="str">
        <f>IFERROR(__xludf.DUMMYFUNCTION("""COMPUTED_VALUE"""),"Fail/Succeed")</f>
        <v>Fail/Succeed</v>
      </c>
      <c r="G520" s="49"/>
      <c r="H520" s="49" t="str">
        <f>IFERROR(__xludf.DUMMYFUNCTION("""COMPUTED_VALUE"""),"Water")</f>
        <v>Water</v>
      </c>
      <c r="I520" s="49" t="str">
        <f>IFERROR(__xludf.DUMMYFUNCTION("""COMPUTED_VALUE"""),"Player")</f>
        <v>Player</v>
      </c>
      <c r="J520" s="49" t="b">
        <f>IFERROR(__xludf.DUMMYFUNCTION("""COMPUTED_VALUE"""),FALSE)</f>
        <v>0</v>
      </c>
      <c r="K520" s="49"/>
      <c r="L520" s="49" t="b">
        <f>IFERROR(__xludf.DUMMYFUNCTION("""COMPUTED_VALUE"""),TRUE)</f>
        <v>1</v>
      </c>
      <c r="M520" s="49" t="b">
        <f>IFERROR(__xludf.DUMMYFUNCTION("""COMPUTED_VALUE"""),FALSE)</f>
        <v>0</v>
      </c>
      <c r="N520" s="49"/>
    </row>
    <row r="521">
      <c r="A521" s="49" t="str">
        <f>IFERROR(__xludf.DUMMYFUNCTION("""COMPUTED_VALUE"""),"Aquafie")</f>
        <v>Aquafie</v>
      </c>
      <c r="B521" s="126">
        <f>IFERROR(__xludf.DUMMYFUNCTION("""COMPUTED_VALUE"""),4.0)</f>
        <v>4</v>
      </c>
      <c r="C521" s="49" t="str">
        <f>IFERROR(__xludf.DUMMYFUNCTION("""COMPUTED_VALUE"""),"X*3")</f>
        <v>X*3</v>
      </c>
      <c r="D521" s="49"/>
      <c r="E521" s="49" t="str">
        <f>IFERROR(__xludf.DUMMYFUNCTION("""COMPUTED_VALUE"""),"Target gains X*4 Water damage and X*4 Water resistance, can’t be used on self.")</f>
        <v>Target gains X*4 Water damage and X*4 Water resistance, can’t be used on self.</v>
      </c>
      <c r="F521" s="49" t="str">
        <f>IFERROR(__xludf.DUMMYFUNCTION("""COMPUTED_VALUE"""),"Will Succeed")</f>
        <v>Will Succeed</v>
      </c>
      <c r="G521" s="49"/>
      <c r="H521" s="49" t="str">
        <f>IFERROR(__xludf.DUMMYFUNCTION("""COMPUTED_VALUE"""),"Water")</f>
        <v>Water</v>
      </c>
      <c r="I521" s="49" t="str">
        <f>IFERROR(__xludf.DUMMYFUNCTION("""COMPUTED_VALUE"""),"Player")</f>
        <v>Player</v>
      </c>
      <c r="J521" s="49" t="b">
        <f>IFERROR(__xludf.DUMMYFUNCTION("""COMPUTED_VALUE"""),FALSE)</f>
        <v>0</v>
      </c>
      <c r="K521" s="49"/>
      <c r="L521" s="49" t="b">
        <f>IFERROR(__xludf.DUMMYFUNCTION("""COMPUTED_VALUE"""),TRUE)</f>
        <v>1</v>
      </c>
      <c r="M521" s="49" t="b">
        <f>IFERROR(__xludf.DUMMYFUNCTION("""COMPUTED_VALUE"""),FALSE)</f>
        <v>0</v>
      </c>
      <c r="N521" s="49"/>
    </row>
    <row r="522">
      <c r="A522" s="49" t="str">
        <f>IFERROR(__xludf.DUMMYFUNCTION("""COMPUTED_VALUE"""),"Avalanche")</f>
        <v>Avalanche</v>
      </c>
      <c r="B522" s="126">
        <f>IFERROR(__xludf.DUMMYFUNCTION("""COMPUTED_VALUE"""),8.0)</f>
        <v>8</v>
      </c>
      <c r="C522" s="49" t="str">
        <f>IFERROR(__xludf.DUMMYFUNCTION("""COMPUTED_VALUE"""),"X")</f>
        <v>X</v>
      </c>
      <c r="D522" s="49"/>
      <c r="E522" s="49" t="str">
        <f>IFERROR(__xludf.DUMMYFUNCTION("""COMPUTED_VALUE"""),"X*20 water damage to all enemies, Where X is equal to SP spent, 50% instant death")</f>
        <v>X*20 water damage to all enemies, Where X is equal to SP spent, 50% instant death</v>
      </c>
      <c r="F522" s="49" t="str">
        <f>IFERROR(__xludf.DUMMYFUNCTION("""COMPUTED_VALUE"""),"Not Avoidable")</f>
        <v>Not Avoidable</v>
      </c>
      <c r="G522" s="49"/>
      <c r="H522" s="49" t="str">
        <f>IFERROR(__xludf.DUMMYFUNCTION("""COMPUTED_VALUE"""),"Water")</f>
        <v>Water</v>
      </c>
      <c r="I522" s="49" t="str">
        <f>IFERROR(__xludf.DUMMYFUNCTION("""COMPUTED_VALUE"""),"Player")</f>
        <v>Player</v>
      </c>
      <c r="J522" s="49" t="b">
        <f>IFERROR(__xludf.DUMMYFUNCTION("""COMPUTED_VALUE"""),FALSE)</f>
        <v>0</v>
      </c>
      <c r="K522" s="49"/>
      <c r="L522" s="49" t="b">
        <f>IFERROR(__xludf.DUMMYFUNCTION("""COMPUTED_VALUE"""),TRUE)</f>
        <v>1</v>
      </c>
      <c r="M522" s="49" t="b">
        <f>IFERROR(__xludf.DUMMYFUNCTION("""COMPUTED_VALUE"""),FALSE)</f>
        <v>0</v>
      </c>
      <c r="N522" s="49"/>
    </row>
    <row r="523">
      <c r="A523" s="49" t="str">
        <f>IFERROR(__xludf.DUMMYFUNCTION("""COMPUTED_VALUE"""),"Blizzard")</f>
        <v>Blizzard</v>
      </c>
      <c r="B523" s="126">
        <f>IFERROR(__xludf.DUMMYFUNCTION("""COMPUTED_VALUE"""),6.0)</f>
        <v>6</v>
      </c>
      <c r="C523" s="49">
        <f>IFERROR(__xludf.DUMMYFUNCTION("""COMPUTED_VALUE"""),240.0)</f>
        <v>240</v>
      </c>
      <c r="D523" s="49"/>
      <c r="E523" s="49" t="str">
        <f>IFERROR(__xludf.DUMMYFUNCTION("""COMPUTED_VALUE"""),"6000 water damage to all enemies; 50% chance to freeze 1d6 enemies.")</f>
        <v>6000 water damage to all enemies; 50% chance to freeze 1d6 enemies.</v>
      </c>
      <c r="F523" s="49" t="str">
        <f>IFERROR(__xludf.DUMMYFUNCTION("""COMPUTED_VALUE"""),"Cannot Avoid")</f>
        <v>Cannot Avoid</v>
      </c>
      <c r="G523" s="49" t="str">
        <f>IFERROR(__xludf.DUMMYFUNCTION("""COMPUTED_VALUE"""),"1d6")</f>
        <v>1d6</v>
      </c>
      <c r="H523" s="49" t="str">
        <f>IFERROR(__xludf.DUMMYFUNCTION("""COMPUTED_VALUE"""),"Water")</f>
        <v>Water</v>
      </c>
      <c r="I523" s="49" t="str">
        <f>IFERROR(__xludf.DUMMYFUNCTION("""COMPUTED_VALUE"""),"Player")</f>
        <v>Player</v>
      </c>
      <c r="J523" s="49" t="b">
        <f>IFERROR(__xludf.DUMMYFUNCTION("""COMPUTED_VALUE"""),FALSE)</f>
        <v>0</v>
      </c>
      <c r="K523" s="49"/>
      <c r="L523" s="49" t="b">
        <f>IFERROR(__xludf.DUMMYFUNCTION("""COMPUTED_VALUE"""),TRUE)</f>
        <v>1</v>
      </c>
      <c r="M523" s="49" t="b">
        <f>IFERROR(__xludf.DUMMYFUNCTION("""COMPUTED_VALUE"""),FALSE)</f>
        <v>0</v>
      </c>
      <c r="N523" s="49"/>
    </row>
    <row r="524">
      <c r="A524" s="49" t="str">
        <f>IFERROR(__xludf.DUMMYFUNCTION("""COMPUTED_VALUE"""),"Call Of The Abyss")</f>
        <v>Call Of The Abyss</v>
      </c>
      <c r="B524" s="126">
        <f>IFERROR(__xludf.DUMMYFUNCTION("""COMPUTED_VALUE"""),9.0)</f>
        <v>9</v>
      </c>
      <c r="C524" s="125">
        <f>IFERROR(__xludf.DUMMYFUNCTION("""COMPUTED_VALUE"""),1000.0)</f>
        <v>1000</v>
      </c>
      <c r="D524" s="49"/>
      <c r="E524" s="49" t="str">
        <f>IFERROR(__xludf.DUMMYFUNCTION("""COMPUTED_VALUE"""),"Summon a random enemy from the abyss to fight by your side, roll a d11 to determine the summoned creature.")</f>
        <v>Summon a random enemy from the abyss to fight by your side, roll a d11 to determine the summoned creature.</v>
      </c>
      <c r="F524" s="49" t="str">
        <f>IFERROR(__xludf.DUMMYFUNCTION("""COMPUTED_VALUE"""),"Fail/Succeed")</f>
        <v>Fail/Succeed</v>
      </c>
      <c r="G524" s="49" t="str">
        <f>IFERROR(__xludf.DUMMYFUNCTION("""COMPUTED_VALUE"""),"Self")</f>
        <v>Self</v>
      </c>
      <c r="H524" s="49" t="str">
        <f>IFERROR(__xludf.DUMMYFUNCTION("""COMPUTED_VALUE"""),"Water")</f>
        <v>Water</v>
      </c>
      <c r="I524" s="49" t="str">
        <f>IFERROR(__xludf.DUMMYFUNCTION("""COMPUTED_VALUE"""),"Mob")</f>
        <v>Mob</v>
      </c>
      <c r="J524" s="49" t="b">
        <f>IFERROR(__xludf.DUMMYFUNCTION("""COMPUTED_VALUE"""),TRUE)</f>
        <v>1</v>
      </c>
      <c r="K524" s="49"/>
      <c r="L524" s="49" t="b">
        <f>IFERROR(__xludf.DUMMYFUNCTION("""COMPUTED_VALUE"""),TRUE)</f>
        <v>1</v>
      </c>
      <c r="M524" s="49" t="b">
        <f>IFERROR(__xludf.DUMMYFUNCTION("""COMPUTED_VALUE"""),FALSE)</f>
        <v>0</v>
      </c>
      <c r="N524" s="49"/>
    </row>
    <row r="525">
      <c r="A525" s="49" t="str">
        <f>IFERROR(__xludf.DUMMYFUNCTION("""COMPUTED_VALUE"""),"Crashing Waves")</f>
        <v>Crashing Waves</v>
      </c>
      <c r="B525" s="126">
        <f>IFERROR(__xludf.DUMMYFUNCTION("""COMPUTED_VALUE"""),9.0)</f>
        <v>9</v>
      </c>
      <c r="C525" s="49">
        <f>IFERROR(__xludf.DUMMYFUNCTION("""COMPUTED_VALUE"""),800.0)</f>
        <v>800</v>
      </c>
      <c r="D525" s="49"/>
      <c r="E525" s="49" t="str">
        <f>IFERROR(__xludf.DUMMYFUNCTION("""COMPUTED_VALUE"""),"20,000 water damage to all enemies +75% chance of instant death.")</f>
        <v>20,000 water damage to all enemies +75% chance of instant death.</v>
      </c>
      <c r="F525" s="49" t="str">
        <f>IFERROR(__xludf.DUMMYFUNCTION("""COMPUTED_VALUE"""),"Not Avoidable")</f>
        <v>Not Avoidable</v>
      </c>
      <c r="G525" s="49"/>
      <c r="H525" s="49" t="str">
        <f>IFERROR(__xludf.DUMMYFUNCTION("""COMPUTED_VALUE"""),"Water")</f>
        <v>Water</v>
      </c>
      <c r="I525" s="49" t="str">
        <f>IFERROR(__xludf.DUMMYFUNCTION("""COMPUTED_VALUE"""),"Player")</f>
        <v>Player</v>
      </c>
      <c r="J525" s="49" t="b">
        <f>IFERROR(__xludf.DUMMYFUNCTION("""COMPUTED_VALUE"""),FALSE)</f>
        <v>0</v>
      </c>
      <c r="K525" s="49"/>
      <c r="L525" s="49" t="b">
        <f>IFERROR(__xludf.DUMMYFUNCTION("""COMPUTED_VALUE"""),TRUE)</f>
        <v>1</v>
      </c>
      <c r="M525" s="49" t="b">
        <f>IFERROR(__xludf.DUMMYFUNCTION("""COMPUTED_VALUE"""),FALSE)</f>
        <v>0</v>
      </c>
      <c r="N525" s="49"/>
    </row>
    <row r="526">
      <c r="A526" s="49" t="str">
        <f>IFERROR(__xludf.DUMMYFUNCTION("""COMPUTED_VALUE"""),"Crashing Waves (Enhanced)")</f>
        <v>Crashing Waves (Enhanced)</v>
      </c>
      <c r="B526" s="126">
        <f>IFERROR(__xludf.DUMMYFUNCTION("""COMPUTED_VALUE"""),9.0)</f>
        <v>9</v>
      </c>
      <c r="C526" s="125">
        <f>IFERROR(__xludf.DUMMYFUNCTION("""COMPUTED_VALUE"""),5000.0)</f>
        <v>5000</v>
      </c>
      <c r="D526" s="49"/>
      <c r="E526" s="49" t="str">
        <f>IFERROR(__xludf.DUMMYFUNCTION("""COMPUTED_VALUE"""),"20,000 water damage to all enemies +80% chance of instant death.")</f>
        <v>20,000 water damage to all enemies +80% chance of instant death.</v>
      </c>
      <c r="F526" s="49" t="str">
        <f>IFERROR(__xludf.DUMMYFUNCTION("""COMPUTED_VALUE"""),"Cannot Avoid")</f>
        <v>Cannot Avoid</v>
      </c>
      <c r="G526" s="49" t="str">
        <f>IFERROR(__xludf.DUMMYFUNCTION("""COMPUTED_VALUE"""),"All")</f>
        <v>All</v>
      </c>
      <c r="H526" s="49" t="str">
        <f>IFERROR(__xludf.DUMMYFUNCTION("""COMPUTED_VALUE"""),"Water")</f>
        <v>Water</v>
      </c>
      <c r="I526" s="49" t="str">
        <f>IFERROR(__xludf.DUMMYFUNCTION("""COMPUTED_VALUE"""),"Mob")</f>
        <v>Mob</v>
      </c>
      <c r="J526" s="49" t="b">
        <f>IFERROR(__xludf.DUMMYFUNCTION("""COMPUTED_VALUE"""),TRUE)</f>
        <v>1</v>
      </c>
      <c r="K526" s="49"/>
      <c r="L526" s="49" t="b">
        <f>IFERROR(__xludf.DUMMYFUNCTION("""COMPUTED_VALUE"""),TRUE)</f>
        <v>1</v>
      </c>
      <c r="M526" s="49" t="b">
        <f>IFERROR(__xludf.DUMMYFUNCTION("""COMPUTED_VALUE"""),FALSE)</f>
        <v>0</v>
      </c>
      <c r="N526" s="49"/>
    </row>
    <row r="527">
      <c r="A527" s="49" t="str">
        <f>IFERROR(__xludf.DUMMYFUNCTION("""COMPUTED_VALUE"""),"Frost Barrier")</f>
        <v>Frost Barrier</v>
      </c>
      <c r="B527" s="126">
        <f>IFERROR(__xludf.DUMMYFUNCTION("""COMPUTED_VALUE"""),9.0)</f>
        <v>9</v>
      </c>
      <c r="C527" s="49">
        <f>IFERROR(__xludf.DUMMYFUNCTION("""COMPUTED_VALUE"""),2000.0)</f>
        <v>2000</v>
      </c>
      <c r="D527" s="49"/>
      <c r="E527" s="49" t="str">
        <f>IFERROR(__xludf.DUMMYFUNCTION("""COMPUTED_VALUE"""),"Self and allies are immune to storm, water and nature for 3/r")</f>
        <v>Self and allies are immune to storm, water and nature for 3/r</v>
      </c>
      <c r="F527" s="49" t="str">
        <f>IFERROR(__xludf.DUMMYFUNCTION("""COMPUTED_VALUE"""),"Fail/Succeed")</f>
        <v>Fail/Succeed</v>
      </c>
      <c r="G527" s="49" t="str">
        <f>IFERROR(__xludf.DUMMYFUNCTION("""COMPUTED_VALUE"""),"Self")</f>
        <v>Self</v>
      </c>
      <c r="H527" s="49" t="str">
        <f>IFERROR(__xludf.DUMMYFUNCTION("""COMPUTED_VALUE"""),"Water")</f>
        <v>Water</v>
      </c>
      <c r="I527" s="49" t="str">
        <f>IFERROR(__xludf.DUMMYFUNCTION("""COMPUTED_VALUE"""),"Mob")</f>
        <v>Mob</v>
      </c>
      <c r="J527" s="49" t="b">
        <f>IFERROR(__xludf.DUMMYFUNCTION("""COMPUTED_VALUE"""),TRUE)</f>
        <v>1</v>
      </c>
      <c r="K527" s="49"/>
      <c r="L527" s="49" t="b">
        <f>IFERROR(__xludf.DUMMYFUNCTION("""COMPUTED_VALUE"""),TRUE)</f>
        <v>1</v>
      </c>
      <c r="M527" s="49" t="b">
        <f>IFERROR(__xludf.DUMMYFUNCTION("""COMPUTED_VALUE"""),FALSE)</f>
        <v>0</v>
      </c>
      <c r="N527" s="49"/>
    </row>
    <row r="528">
      <c r="A528" s="49" t="str">
        <f>IFERROR(__xludf.DUMMYFUNCTION("""COMPUTED_VALUE"""),"Frost Boost")</f>
        <v>Frost Boost</v>
      </c>
      <c r="B528" s="126">
        <f>IFERROR(__xludf.DUMMYFUNCTION("""COMPUTED_VALUE"""),9.0)</f>
        <v>9</v>
      </c>
      <c r="C528" s="49">
        <f>IFERROR(__xludf.DUMMYFUNCTION("""COMPUTED_VALUE"""),5000.0)</f>
        <v>5000</v>
      </c>
      <c r="D528" s="49"/>
      <c r="E528" s="49" t="str">
        <f>IFERROR(__xludf.DUMMYFUNCTION("""COMPUTED_VALUE"""),"X2 damage to water spells, 100% chance to all freezing effects for caster only.")</f>
        <v>X2 damage to water spells, 100% chance to all freezing effects for caster only.</v>
      </c>
      <c r="F528" s="49" t="str">
        <f>IFERROR(__xludf.DUMMYFUNCTION("""COMPUTED_VALUE"""),"Fail/Succeed")</f>
        <v>Fail/Succeed</v>
      </c>
      <c r="G528" s="49" t="str">
        <f>IFERROR(__xludf.DUMMYFUNCTION("""COMPUTED_VALUE"""),"Self")</f>
        <v>Self</v>
      </c>
      <c r="H528" s="49" t="str">
        <f>IFERROR(__xludf.DUMMYFUNCTION("""COMPUTED_VALUE"""),"Water")</f>
        <v>Water</v>
      </c>
      <c r="I528" s="49" t="str">
        <f>IFERROR(__xludf.DUMMYFUNCTION("""COMPUTED_VALUE"""),"Mob")</f>
        <v>Mob</v>
      </c>
      <c r="J528" s="49" t="b">
        <f>IFERROR(__xludf.DUMMYFUNCTION("""COMPUTED_VALUE"""),TRUE)</f>
        <v>1</v>
      </c>
      <c r="K528" s="49"/>
      <c r="L528" s="49" t="b">
        <f>IFERROR(__xludf.DUMMYFUNCTION("""COMPUTED_VALUE"""),TRUE)</f>
        <v>1</v>
      </c>
      <c r="M528" s="49" t="b">
        <f>IFERROR(__xludf.DUMMYFUNCTION("""COMPUTED_VALUE"""),FALSE)</f>
        <v>0</v>
      </c>
      <c r="N528" s="49"/>
    </row>
    <row r="529">
      <c r="A529" s="49" t="str">
        <f>IFERROR(__xludf.DUMMYFUNCTION("""COMPUTED_VALUE"""),"Frost Cloak")</f>
        <v>Frost Cloak</v>
      </c>
      <c r="B529" s="126">
        <f>IFERROR(__xludf.DUMMYFUNCTION("""COMPUTED_VALUE"""),9.0)</f>
        <v>9</v>
      </c>
      <c r="C529" s="49">
        <f>IFERROR(__xludf.DUMMYFUNCTION("""COMPUTED_VALUE"""),1000.0)</f>
        <v>1000</v>
      </c>
      <c r="D529" s="49"/>
      <c r="E529" s="49" t="str">
        <f>IFERROR(__xludf.DUMMYFUNCTION("""COMPUTED_VALUE"""),"When caster is hit, Enemy is frozen for 3 rounds. Casters cloak lasts for 3 rounds")</f>
        <v>When caster is hit, Enemy is frozen for 3 rounds. Casters cloak lasts for 3 rounds</v>
      </c>
      <c r="F529" s="49" t="str">
        <f>IFERROR(__xludf.DUMMYFUNCTION("""COMPUTED_VALUE"""),"Fail/Succeed")</f>
        <v>Fail/Succeed</v>
      </c>
      <c r="G529" s="49" t="str">
        <f>IFERROR(__xludf.DUMMYFUNCTION("""COMPUTED_VALUE"""),"Self")</f>
        <v>Self</v>
      </c>
      <c r="H529" s="49" t="str">
        <f>IFERROR(__xludf.DUMMYFUNCTION("""COMPUTED_VALUE"""),"Water")</f>
        <v>Water</v>
      </c>
      <c r="I529" s="49" t="str">
        <f>IFERROR(__xludf.DUMMYFUNCTION("""COMPUTED_VALUE"""),"Mob")</f>
        <v>Mob</v>
      </c>
      <c r="J529" s="49" t="b">
        <f>IFERROR(__xludf.DUMMYFUNCTION("""COMPUTED_VALUE"""),TRUE)</f>
        <v>1</v>
      </c>
      <c r="K529" s="49"/>
      <c r="L529" s="49" t="b">
        <f>IFERROR(__xludf.DUMMYFUNCTION("""COMPUTED_VALUE"""),TRUE)</f>
        <v>1</v>
      </c>
      <c r="M529" s="49" t="b">
        <f>IFERROR(__xludf.DUMMYFUNCTION("""COMPUTED_VALUE"""),FALSE)</f>
        <v>0</v>
      </c>
      <c r="N529" s="49"/>
    </row>
    <row r="530">
      <c r="A530" s="49" t="str">
        <f>IFERROR(__xludf.DUMMYFUNCTION("""COMPUTED_VALUE"""),"Frost Golem’s Call")</f>
        <v>Frost Golem’s Call</v>
      </c>
      <c r="B530" s="126">
        <f>IFERROR(__xludf.DUMMYFUNCTION("""COMPUTED_VALUE"""),1.0)</f>
        <v>1</v>
      </c>
      <c r="C530" s="49">
        <f>IFERROR(__xludf.DUMMYFUNCTION("""COMPUTED_VALUE"""),0.0)</f>
        <v>0</v>
      </c>
      <c r="D530" s="49"/>
      <c r="E530" s="49" t="str">
        <f>IFERROR(__xludf.DUMMYFUNCTION("""COMPUTED_VALUE"""),"Calls in 1 Frost Golem to battle, 60% chance to call in 3 of them")</f>
        <v>Calls in 1 Frost Golem to battle, 60% chance to call in 3 of them</v>
      </c>
      <c r="F530" s="49" t="str">
        <f>IFERROR(__xludf.DUMMYFUNCTION("""COMPUTED_VALUE"""),"Natural/Fail Or Succeed")</f>
        <v>Natural/Fail Or Succeed</v>
      </c>
      <c r="G530" s="49" t="str">
        <f>IFERROR(__xludf.DUMMYFUNCTION("""COMPUTED_VALUE"""),"Self")</f>
        <v>Self</v>
      </c>
      <c r="H530" s="49" t="str">
        <f>IFERROR(__xludf.DUMMYFUNCTION("""COMPUTED_VALUE"""),"Water")</f>
        <v>Water</v>
      </c>
      <c r="I530" s="49" t="str">
        <f>IFERROR(__xludf.DUMMYFUNCTION("""COMPUTED_VALUE"""),"Mob")</f>
        <v>Mob</v>
      </c>
      <c r="J530" s="49" t="b">
        <f>IFERROR(__xludf.DUMMYFUNCTION("""COMPUTED_VALUE"""),TRUE)</f>
        <v>1</v>
      </c>
      <c r="K530" s="49"/>
      <c r="L530" s="49" t="b">
        <f>IFERROR(__xludf.DUMMYFUNCTION("""COMPUTED_VALUE"""),TRUE)</f>
        <v>1</v>
      </c>
      <c r="M530" s="49" t="b">
        <f>IFERROR(__xludf.DUMMYFUNCTION("""COMPUTED_VALUE"""),FALSE)</f>
        <v>0</v>
      </c>
      <c r="N530" s="49"/>
    </row>
    <row r="531">
      <c r="A531" s="49" t="str">
        <f>IFERROR(__xludf.DUMMYFUNCTION("""COMPUTED_VALUE"""),"Geyser")</f>
        <v>Geyser</v>
      </c>
      <c r="B531" s="126">
        <f>IFERROR(__xludf.DUMMYFUNCTION("""COMPUTED_VALUE"""),3.0)</f>
        <v>3</v>
      </c>
      <c r="C531" s="49">
        <f>IFERROR(__xludf.DUMMYFUNCTION("""COMPUTED_VALUE"""),30.0)</f>
        <v>30</v>
      </c>
      <c r="D531" s="49"/>
      <c r="E531" s="49" t="str">
        <f>IFERROR(__xludf.DUMMYFUNCTION("""COMPUTED_VALUE"""),"3000 Damage to a single target, 50% chance they lose their next turn.")</f>
        <v>3000 Damage to a single target, 50% chance they lose their next turn.</v>
      </c>
      <c r="F531" s="49" t="str">
        <f>IFERROR(__xludf.DUMMYFUNCTION("""COMPUTED_VALUE"""),"Fail/Succeed")</f>
        <v>Fail/Succeed</v>
      </c>
      <c r="G531" s="49"/>
      <c r="H531" s="49" t="str">
        <f>IFERROR(__xludf.DUMMYFUNCTION("""COMPUTED_VALUE"""),"Water")</f>
        <v>Water</v>
      </c>
      <c r="I531" s="49" t="str">
        <f>IFERROR(__xludf.DUMMYFUNCTION("""COMPUTED_VALUE"""),"Player")</f>
        <v>Player</v>
      </c>
      <c r="J531" s="49" t="b">
        <f>IFERROR(__xludf.DUMMYFUNCTION("""COMPUTED_VALUE"""),FALSE)</f>
        <v>0</v>
      </c>
      <c r="K531" s="49"/>
      <c r="L531" s="49" t="b">
        <f>IFERROR(__xludf.DUMMYFUNCTION("""COMPUTED_VALUE"""),TRUE)</f>
        <v>1</v>
      </c>
      <c r="M531" s="49" t="b">
        <f>IFERROR(__xludf.DUMMYFUNCTION("""COMPUTED_VALUE"""),FALSE)</f>
        <v>0</v>
      </c>
      <c r="N531" s="49"/>
    </row>
    <row r="532">
      <c r="A532" s="49" t="str">
        <f>IFERROR(__xludf.DUMMYFUNCTION("""COMPUTED_VALUE"""),"Geyser (Enhanced)")</f>
        <v>Geyser (Enhanced)</v>
      </c>
      <c r="B532" s="126">
        <f>IFERROR(__xludf.DUMMYFUNCTION("""COMPUTED_VALUE"""),9.0)</f>
        <v>9</v>
      </c>
      <c r="C532" s="125">
        <f>IFERROR(__xludf.DUMMYFUNCTION("""COMPUTED_VALUE"""),1000.0)</f>
        <v>1000</v>
      </c>
      <c r="D532" s="49"/>
      <c r="E532" s="49" t="str">
        <f>IFERROR(__xludf.DUMMYFUNCTION("""COMPUTED_VALUE"""),"20,000 water Damage to all targets, 75% chance they lose their next turn")</f>
        <v>20,000 water Damage to all targets, 75% chance they lose their next turn</v>
      </c>
      <c r="F532" s="49" t="str">
        <f>IFERROR(__xludf.DUMMYFUNCTION("""COMPUTED_VALUE"""),"Fail/Succeed")</f>
        <v>Fail/Succeed</v>
      </c>
      <c r="G532" s="49" t="str">
        <f>IFERROR(__xludf.DUMMYFUNCTION("""COMPUTED_VALUE"""),"All")</f>
        <v>All</v>
      </c>
      <c r="H532" s="49" t="str">
        <f>IFERROR(__xludf.DUMMYFUNCTION("""COMPUTED_VALUE"""),"Water")</f>
        <v>Water</v>
      </c>
      <c r="I532" s="49" t="str">
        <f>IFERROR(__xludf.DUMMYFUNCTION("""COMPUTED_VALUE"""),"Mob")</f>
        <v>Mob</v>
      </c>
      <c r="J532" s="49" t="b">
        <f>IFERROR(__xludf.DUMMYFUNCTION("""COMPUTED_VALUE"""),TRUE)</f>
        <v>1</v>
      </c>
      <c r="K532" s="49"/>
      <c r="L532" s="49" t="b">
        <f>IFERROR(__xludf.DUMMYFUNCTION("""COMPUTED_VALUE"""),TRUE)</f>
        <v>1</v>
      </c>
      <c r="M532" s="49" t="b">
        <f>IFERROR(__xludf.DUMMYFUNCTION("""COMPUTED_VALUE"""),FALSE)</f>
        <v>0</v>
      </c>
      <c r="N532" s="49"/>
    </row>
    <row r="533">
      <c r="A533" s="49" t="str">
        <f>IFERROR(__xludf.DUMMYFUNCTION("""COMPUTED_VALUE"""),"Hyper Whirlpool")</f>
        <v>Hyper Whirlpool</v>
      </c>
      <c r="B533" s="126">
        <f>IFERROR(__xludf.DUMMYFUNCTION("""COMPUTED_VALUE"""),9.0)</f>
        <v>9</v>
      </c>
      <c r="C533" s="125">
        <f>IFERROR(__xludf.DUMMYFUNCTION("""COMPUTED_VALUE"""),1000.0)</f>
        <v>1000</v>
      </c>
      <c r="D533" s="49"/>
      <c r="E533" s="49"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49" t="str">
        <f>IFERROR(__xludf.DUMMYFUNCTION("""COMPUTED_VALUE"""),"Cannot Avoid")</f>
        <v>Cannot Avoid</v>
      </c>
      <c r="G533" s="49" t="str">
        <f>IFERROR(__xludf.DUMMYFUNCTION("""COMPUTED_VALUE"""),"All")</f>
        <v>All</v>
      </c>
      <c r="H533" s="49" t="str">
        <f>IFERROR(__xludf.DUMMYFUNCTION("""COMPUTED_VALUE"""),"Water")</f>
        <v>Water</v>
      </c>
      <c r="I533" s="49" t="str">
        <f>IFERROR(__xludf.DUMMYFUNCTION("""COMPUTED_VALUE"""),"Mob")</f>
        <v>Mob</v>
      </c>
      <c r="J533" s="49" t="b">
        <f>IFERROR(__xludf.DUMMYFUNCTION("""COMPUTED_VALUE"""),TRUE)</f>
        <v>1</v>
      </c>
      <c r="K533" s="49"/>
      <c r="L533" s="49" t="b">
        <f>IFERROR(__xludf.DUMMYFUNCTION("""COMPUTED_VALUE"""),TRUE)</f>
        <v>1</v>
      </c>
      <c r="M533" s="49" t="b">
        <f>IFERROR(__xludf.DUMMYFUNCTION("""COMPUTED_VALUE"""),FALSE)</f>
        <v>0</v>
      </c>
      <c r="N533" s="49"/>
    </row>
    <row r="534">
      <c r="A534" s="49" t="str">
        <f>IFERROR(__xludf.DUMMYFUNCTION("""COMPUTED_VALUE"""),"Ice Ball")</f>
        <v>Ice Ball</v>
      </c>
      <c r="B534" s="126">
        <f>IFERROR(__xludf.DUMMYFUNCTION("""COMPUTED_VALUE"""),1.0)</f>
        <v>1</v>
      </c>
      <c r="C534" s="49">
        <f>IFERROR(__xludf.DUMMYFUNCTION("""COMPUTED_VALUE"""),10.0)</f>
        <v>10</v>
      </c>
      <c r="D534" s="49"/>
      <c r="E534" s="49" t="str">
        <f>IFERROR(__xludf.DUMMYFUNCTION("""COMPUTED_VALUE"""),"1000 water damage, 20% chance to freeze target.")</f>
        <v>1000 water damage, 20% chance to freeze target.</v>
      </c>
      <c r="F534" s="49" t="str">
        <f>IFERROR(__xludf.DUMMYFUNCTION("""COMPUTED_VALUE"""),"Hit/Miss")</f>
        <v>Hit/Miss</v>
      </c>
      <c r="G534" s="49">
        <f>IFERROR(__xludf.DUMMYFUNCTION("""COMPUTED_VALUE"""),1.0)</f>
        <v>1</v>
      </c>
      <c r="H534" s="49" t="str">
        <f>IFERROR(__xludf.DUMMYFUNCTION("""COMPUTED_VALUE"""),"Water")</f>
        <v>Water</v>
      </c>
      <c r="I534" s="49" t="str">
        <f>IFERROR(__xludf.DUMMYFUNCTION("""COMPUTED_VALUE"""),"Player")</f>
        <v>Player</v>
      </c>
      <c r="J534" s="49" t="b">
        <f>IFERROR(__xludf.DUMMYFUNCTION("""COMPUTED_VALUE"""),FALSE)</f>
        <v>0</v>
      </c>
      <c r="K534" s="49"/>
      <c r="L534" s="49" t="b">
        <f>IFERROR(__xludf.DUMMYFUNCTION("""COMPUTED_VALUE"""),TRUE)</f>
        <v>1</v>
      </c>
      <c r="M534" s="49" t="b">
        <f>IFERROR(__xludf.DUMMYFUNCTION("""COMPUTED_VALUE"""),FALSE)</f>
        <v>0</v>
      </c>
      <c r="N534" s="49"/>
    </row>
    <row r="535">
      <c r="A535" s="49" t="str">
        <f>IFERROR(__xludf.DUMMYFUNCTION("""COMPUTED_VALUE"""),"Ice Horns")</f>
        <v>Ice Horns</v>
      </c>
      <c r="B535" s="126">
        <f>IFERROR(__xludf.DUMMYFUNCTION("""COMPUTED_VALUE"""),1.0)</f>
        <v>1</v>
      </c>
      <c r="C535" s="125">
        <f>IFERROR(__xludf.DUMMYFUNCTION("""COMPUTED_VALUE"""),0.0)</f>
        <v>0</v>
      </c>
      <c r="D535" s="49"/>
      <c r="E535" s="49" t="str">
        <f>IFERROR(__xludf.DUMMYFUNCTION("""COMPUTED_VALUE"""),"5000 damage, +5000 water damage to 2 targets. 50% chance to freeze both targets.")</f>
        <v>5000 damage, +5000 water damage to 2 targets. 50% chance to freeze both targets.</v>
      </c>
      <c r="F535" s="49" t="str">
        <f>IFERROR(__xludf.DUMMYFUNCTION("""COMPUTED_VALUE"""),"Natural/Hit or Miss")</f>
        <v>Natural/Hit or Miss</v>
      </c>
      <c r="G535" s="49">
        <f>IFERROR(__xludf.DUMMYFUNCTION("""COMPUTED_VALUE"""),2.0)</f>
        <v>2</v>
      </c>
      <c r="H535" s="49" t="str">
        <f>IFERROR(__xludf.DUMMYFUNCTION("""COMPUTED_VALUE"""),"Water")</f>
        <v>Water</v>
      </c>
      <c r="I535" s="49" t="str">
        <f>IFERROR(__xludf.DUMMYFUNCTION("""COMPUTED_VALUE"""),"Mob")</f>
        <v>Mob</v>
      </c>
      <c r="J535" s="49" t="b">
        <f>IFERROR(__xludf.DUMMYFUNCTION("""COMPUTED_VALUE"""),TRUE)</f>
        <v>1</v>
      </c>
      <c r="K535" s="49"/>
      <c r="L535" s="49" t="b">
        <f>IFERROR(__xludf.DUMMYFUNCTION("""COMPUTED_VALUE"""),TRUE)</f>
        <v>1</v>
      </c>
      <c r="M535" s="49" t="b">
        <f>IFERROR(__xludf.DUMMYFUNCTION("""COMPUTED_VALUE"""),FALSE)</f>
        <v>0</v>
      </c>
      <c r="N535" s="49"/>
    </row>
    <row r="536">
      <c r="A536" s="49" t="str">
        <f>IFERROR(__xludf.DUMMYFUNCTION("""COMPUTED_VALUE"""),"Icicle Spear")</f>
        <v>Icicle Spear</v>
      </c>
      <c r="B536" s="126">
        <f>IFERROR(__xludf.DUMMYFUNCTION("""COMPUTED_VALUE"""),4.0)</f>
        <v>4</v>
      </c>
      <c r="C536" s="49">
        <f>IFERROR(__xludf.DUMMYFUNCTION("""COMPUTED_VALUE"""),40.0)</f>
        <v>40</v>
      </c>
      <c r="D536" s="49"/>
      <c r="E536" s="49" t="str">
        <f>IFERROR(__xludf.DUMMYFUNCTION("""COMPUTED_VALUE"""),"4000 water damage, 50% chance to freeze target.")</f>
        <v>4000 water damage, 50% chance to freeze target.</v>
      </c>
      <c r="F536" s="49" t="str">
        <f>IFERROR(__xludf.DUMMYFUNCTION("""COMPUTED_VALUE"""),"Hit/Miss")</f>
        <v>Hit/Miss</v>
      </c>
      <c r="G536" s="49">
        <f>IFERROR(__xludf.DUMMYFUNCTION("""COMPUTED_VALUE"""),1.0)</f>
        <v>1</v>
      </c>
      <c r="H536" s="49" t="str">
        <f>IFERROR(__xludf.DUMMYFUNCTION("""COMPUTED_VALUE"""),"Water")</f>
        <v>Water</v>
      </c>
      <c r="I536" s="49" t="str">
        <f>IFERROR(__xludf.DUMMYFUNCTION("""COMPUTED_VALUE"""),"Player")</f>
        <v>Player</v>
      </c>
      <c r="J536" s="49" t="b">
        <f>IFERROR(__xludf.DUMMYFUNCTION("""COMPUTED_VALUE"""),FALSE)</f>
        <v>0</v>
      </c>
      <c r="K536" s="49"/>
      <c r="L536" s="49" t="b">
        <f>IFERROR(__xludf.DUMMYFUNCTION("""COMPUTED_VALUE"""),TRUE)</f>
        <v>1</v>
      </c>
      <c r="M536" s="49" t="b">
        <f>IFERROR(__xludf.DUMMYFUNCTION("""COMPUTED_VALUE"""),FALSE)</f>
        <v>0</v>
      </c>
      <c r="N536" s="49"/>
    </row>
    <row r="537">
      <c r="A537" s="49" t="str">
        <f>IFERROR(__xludf.DUMMYFUNCTION("""COMPUTED_VALUE"""),"Quench")</f>
        <v>Quench</v>
      </c>
      <c r="B537" s="126">
        <f>IFERROR(__xludf.DUMMYFUNCTION("""COMPUTED_VALUE"""),2.0)</f>
        <v>2</v>
      </c>
      <c r="C537" s="49">
        <f>IFERROR(__xludf.DUMMYFUNCTION("""COMPUTED_VALUE"""),20.0)</f>
        <v>20</v>
      </c>
      <c r="D537" s="49"/>
      <c r="E537" s="49" t="str">
        <f>IFERROR(__xludf.DUMMYFUNCTION("""COMPUTED_VALUE"""),"Negate the next incoming fire spell.")</f>
        <v>Negate the next incoming fire spell.</v>
      </c>
      <c r="F537" s="49" t="str">
        <f>IFERROR(__xludf.DUMMYFUNCTION("""COMPUTED_VALUE"""),"Fail/Succeed")</f>
        <v>Fail/Succeed</v>
      </c>
      <c r="G537" s="49"/>
      <c r="H537" s="49" t="str">
        <f>IFERROR(__xludf.DUMMYFUNCTION("""COMPUTED_VALUE"""),"Water")</f>
        <v>Water</v>
      </c>
      <c r="I537" s="49" t="str">
        <f>IFERROR(__xludf.DUMMYFUNCTION("""COMPUTED_VALUE"""),"Player")</f>
        <v>Player</v>
      </c>
      <c r="J537" s="49" t="b">
        <f>IFERROR(__xludf.DUMMYFUNCTION("""COMPUTED_VALUE"""),FALSE)</f>
        <v>0</v>
      </c>
      <c r="K537" s="49"/>
      <c r="L537" s="49" t="b">
        <f>IFERROR(__xludf.DUMMYFUNCTION("""COMPUTED_VALUE"""),TRUE)</f>
        <v>1</v>
      </c>
      <c r="M537" s="49" t="b">
        <f>IFERROR(__xludf.DUMMYFUNCTION("""COMPUTED_VALUE"""),FALSE)</f>
        <v>0</v>
      </c>
      <c r="N537" s="49"/>
    </row>
    <row r="538">
      <c r="A538" s="49" t="str">
        <f>IFERROR(__xludf.DUMMYFUNCTION("""COMPUTED_VALUE"""),"Rain Storm")</f>
        <v>Rain Storm</v>
      </c>
      <c r="B538" s="126">
        <f>IFERROR(__xludf.DUMMYFUNCTION("""COMPUTED_VALUE"""),9.0)</f>
        <v>9</v>
      </c>
      <c r="C538" s="125">
        <f>IFERROR(__xludf.DUMMYFUNCTION("""COMPUTED_VALUE"""),300.0)</f>
        <v>300</v>
      </c>
      <c r="D538" s="49"/>
      <c r="E538" s="49" t="str">
        <f>IFERROR(__xludf.DUMMYFUNCTION("""COMPUTED_VALUE"""),"Changes the weather to rain, X4 damage to water spells for self and allies.")</f>
        <v>Changes the weather to rain, X4 damage to water spells for self and allies.</v>
      </c>
      <c r="F538" s="49" t="str">
        <f>IFERROR(__xludf.DUMMYFUNCTION("""COMPUTED_VALUE"""),"Fail/Succeed")</f>
        <v>Fail/Succeed</v>
      </c>
      <c r="G538" s="49" t="str">
        <f>IFERROR(__xludf.DUMMYFUNCTION("""COMPUTED_VALUE"""),"Self")</f>
        <v>Self</v>
      </c>
      <c r="H538" s="49" t="str">
        <f>IFERROR(__xludf.DUMMYFUNCTION("""COMPUTED_VALUE"""),"Water")</f>
        <v>Water</v>
      </c>
      <c r="I538" s="49" t="str">
        <f>IFERROR(__xludf.DUMMYFUNCTION("""COMPUTED_VALUE"""),"Player")</f>
        <v>Player</v>
      </c>
      <c r="J538" s="49" t="b">
        <f>IFERROR(__xludf.DUMMYFUNCTION("""COMPUTED_VALUE"""),TRUE)</f>
        <v>1</v>
      </c>
      <c r="K538" s="49" t="str">
        <f>IFERROR(__xludf.DUMMYFUNCTION("""COMPUTED_VALUE"""),"shop spell")</f>
        <v>shop spell</v>
      </c>
      <c r="L538" s="49" t="b">
        <f>IFERROR(__xludf.DUMMYFUNCTION("""COMPUTED_VALUE"""),TRUE)</f>
        <v>1</v>
      </c>
      <c r="M538" s="49" t="b">
        <f>IFERROR(__xludf.DUMMYFUNCTION("""COMPUTED_VALUE"""),FALSE)</f>
        <v>0</v>
      </c>
      <c r="N538" s="49"/>
    </row>
    <row r="539">
      <c r="A539" s="49" t="str">
        <f>IFERROR(__xludf.DUMMYFUNCTION("""COMPUTED_VALUE"""),"Rapid Frost Peck")</f>
        <v>Rapid Frost Peck</v>
      </c>
      <c r="B539" s="126">
        <f>IFERROR(__xludf.DUMMYFUNCTION("""COMPUTED_VALUE"""),1.0)</f>
        <v>1</v>
      </c>
      <c r="C539" s="49">
        <f>IFERROR(__xludf.DUMMYFUNCTION("""COMPUTED_VALUE"""),0.0)</f>
        <v>0</v>
      </c>
      <c r="D539" s="49"/>
      <c r="E539" s="49" t="str">
        <f>IFERROR(__xludf.DUMMYFUNCTION("""COMPUTED_VALUE"""),"d20x1000 water damage. 50% chance to freeze the target.")</f>
        <v>d20x1000 water damage. 50% chance to freeze the target.</v>
      </c>
      <c r="F539" s="49" t="str">
        <f>IFERROR(__xludf.DUMMYFUNCTION("""COMPUTED_VALUE"""),"Natural/Hit Or Miss")</f>
        <v>Natural/Hit Or Miss</v>
      </c>
      <c r="G539" s="49">
        <f>IFERROR(__xludf.DUMMYFUNCTION("""COMPUTED_VALUE"""),1.0)</f>
        <v>1</v>
      </c>
      <c r="H539" s="49" t="str">
        <f>IFERROR(__xludf.DUMMYFUNCTION("""COMPUTED_VALUE"""),"Water")</f>
        <v>Water</v>
      </c>
      <c r="I539" s="49" t="str">
        <f>IFERROR(__xludf.DUMMYFUNCTION("""COMPUTED_VALUE"""),"Mob")</f>
        <v>Mob</v>
      </c>
      <c r="J539" s="49" t="b">
        <f>IFERROR(__xludf.DUMMYFUNCTION("""COMPUTED_VALUE"""),TRUE)</f>
        <v>1</v>
      </c>
      <c r="K539" s="49"/>
      <c r="L539" s="49" t="b">
        <f>IFERROR(__xludf.DUMMYFUNCTION("""COMPUTED_VALUE"""),TRUE)</f>
        <v>1</v>
      </c>
      <c r="M539" s="49" t="b">
        <f>IFERROR(__xludf.DUMMYFUNCTION("""COMPUTED_VALUE"""),FALSE)</f>
        <v>0</v>
      </c>
      <c r="N539" s="49"/>
    </row>
    <row r="540">
      <c r="A540" s="49" t="str">
        <f>IFERROR(__xludf.DUMMYFUNCTION("""COMPUTED_VALUE"""),"Snowmans Wrath")</f>
        <v>Snowmans Wrath</v>
      </c>
      <c r="B540" s="126">
        <f>IFERROR(__xludf.DUMMYFUNCTION("""COMPUTED_VALUE"""),9.0)</f>
        <v>9</v>
      </c>
      <c r="C540" s="49">
        <f>IFERROR(__xludf.DUMMYFUNCTION("""COMPUTED_VALUE"""),1000.0)</f>
        <v>1000</v>
      </c>
      <c r="D540" s="49"/>
      <c r="E540" s="49" t="str">
        <f>IFERROR(__xludf.DUMMYFUNCTION("""COMPUTED_VALUE"""),"20,000 damage, 50% chance to freeze the target for 3 rounds. ")</f>
        <v>20,000 damage, 50% chance to freeze the target for 3 rounds. </v>
      </c>
      <c r="F540" s="49" t="str">
        <f>IFERROR(__xludf.DUMMYFUNCTION("""COMPUTED_VALUE"""),"Hit/Miss")</f>
        <v>Hit/Miss</v>
      </c>
      <c r="G540" s="49">
        <f>IFERROR(__xludf.DUMMYFUNCTION("""COMPUTED_VALUE"""),1.0)</f>
        <v>1</v>
      </c>
      <c r="H540" s="49" t="str">
        <f>IFERROR(__xludf.DUMMYFUNCTION("""COMPUTED_VALUE"""),"Water")</f>
        <v>Water</v>
      </c>
      <c r="I540" s="49" t="str">
        <f>IFERROR(__xludf.DUMMYFUNCTION("""COMPUTED_VALUE"""),"Mob")</f>
        <v>Mob</v>
      </c>
      <c r="J540" s="49" t="b">
        <f>IFERROR(__xludf.DUMMYFUNCTION("""COMPUTED_VALUE"""),TRUE)</f>
        <v>1</v>
      </c>
      <c r="K540" s="49"/>
      <c r="L540" s="49" t="b">
        <f>IFERROR(__xludf.DUMMYFUNCTION("""COMPUTED_VALUE"""),TRUE)</f>
        <v>1</v>
      </c>
      <c r="M540" s="49" t="b">
        <f>IFERROR(__xludf.DUMMYFUNCTION("""COMPUTED_VALUE"""),FALSE)</f>
        <v>0</v>
      </c>
      <c r="N540" s="49"/>
    </row>
    <row r="541">
      <c r="A541" s="49" t="str">
        <f>IFERROR(__xludf.DUMMYFUNCTION("""COMPUTED_VALUE"""),"Storm Of Snowballs")</f>
        <v>Storm Of Snowballs</v>
      </c>
      <c r="B541" s="126">
        <f>IFERROR(__xludf.DUMMYFUNCTION("""COMPUTED_VALUE"""),9.0)</f>
        <v>9</v>
      </c>
      <c r="C541" s="49">
        <f>IFERROR(__xludf.DUMMYFUNCTION("""COMPUTED_VALUE"""),1000.0)</f>
        <v>1000</v>
      </c>
      <c r="D541" s="49"/>
      <c r="E541" s="49" t="str">
        <f>IFERROR(__xludf.DUMMYFUNCTION("""COMPUTED_VALUE"""),"20,000 water damage to all enemies, 25% chance to freeze those enemies.")</f>
        <v>20,000 water damage to all enemies, 25% chance to freeze those enemies.</v>
      </c>
      <c r="F541" s="49" t="str">
        <f>IFERROR(__xludf.DUMMYFUNCTION("""COMPUTED_VALUE"""),"Cannot Avoid")</f>
        <v>Cannot Avoid</v>
      </c>
      <c r="G541" s="49" t="str">
        <f>IFERROR(__xludf.DUMMYFUNCTION("""COMPUTED_VALUE"""),"All")</f>
        <v>All</v>
      </c>
      <c r="H541" s="49" t="str">
        <f>IFERROR(__xludf.DUMMYFUNCTION("""COMPUTED_VALUE"""),"Water")</f>
        <v>Water</v>
      </c>
      <c r="I541" s="49" t="str">
        <f>IFERROR(__xludf.DUMMYFUNCTION("""COMPUTED_VALUE"""),"Mob")</f>
        <v>Mob</v>
      </c>
      <c r="J541" s="49" t="b">
        <f>IFERROR(__xludf.DUMMYFUNCTION("""COMPUTED_VALUE"""),TRUE)</f>
        <v>1</v>
      </c>
      <c r="K541" s="49" t="str">
        <f>IFERROR(__xludf.DUMMYFUNCTION("""COMPUTED_VALUE"""),"Event Spell")</f>
        <v>Event Spell</v>
      </c>
      <c r="L541" s="49" t="b">
        <f>IFERROR(__xludf.DUMMYFUNCTION("""COMPUTED_VALUE"""),TRUE)</f>
        <v>1</v>
      </c>
      <c r="M541" s="49" t="b">
        <f>IFERROR(__xludf.DUMMYFUNCTION("""COMPUTED_VALUE"""),FALSE)</f>
        <v>0</v>
      </c>
      <c r="N541" s="49"/>
    </row>
    <row r="542">
      <c r="A542" s="49" t="str">
        <f>IFERROR(__xludf.DUMMYFUNCTION("""COMPUTED_VALUE"""),"Tower Of Atlantis")</f>
        <v>Tower Of Atlantis</v>
      </c>
      <c r="B542" s="126">
        <f>IFERROR(__xludf.DUMMYFUNCTION("""COMPUTED_VALUE"""),9.0)</f>
        <v>9</v>
      </c>
      <c r="C542" s="49">
        <f>IFERROR(__xludf.DUMMYFUNCTION("""COMPUTED_VALUE"""),500.0)</f>
        <v>500</v>
      </c>
      <c r="D542" s="49"/>
      <c r="E542" s="49"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49" t="str">
        <f>IFERROR(__xludf.DUMMYFUNCTION("""COMPUTED_VALUE"""),"Hit/Miss")</f>
        <v>Hit/Miss</v>
      </c>
      <c r="G542" s="49">
        <f>IFERROR(__xludf.DUMMYFUNCTION("""COMPUTED_VALUE"""),1.0)</f>
        <v>1</v>
      </c>
      <c r="H542" s="49" t="str">
        <f>IFERROR(__xludf.DUMMYFUNCTION("""COMPUTED_VALUE"""),"Water")</f>
        <v>Water</v>
      </c>
      <c r="I542" s="49" t="str">
        <f>IFERROR(__xludf.DUMMYFUNCTION("""COMPUTED_VALUE"""),"Player")</f>
        <v>Player</v>
      </c>
      <c r="J542" s="49" t="b">
        <f>IFERROR(__xludf.DUMMYFUNCTION("""COMPUTED_VALUE"""),FALSE)</f>
        <v>0</v>
      </c>
      <c r="K542" s="49"/>
      <c r="L542" s="49" t="b">
        <f>IFERROR(__xludf.DUMMYFUNCTION("""COMPUTED_VALUE"""),TRUE)</f>
        <v>1</v>
      </c>
      <c r="M542" s="49" t="b">
        <f>IFERROR(__xludf.DUMMYFUNCTION("""COMPUTED_VALUE"""),FALSE)</f>
        <v>0</v>
      </c>
      <c r="N542" s="49"/>
    </row>
    <row r="543">
      <c r="A543" s="49" t="str">
        <f>IFERROR(__xludf.DUMMYFUNCTION("""COMPUTED_VALUE"""),"Water Ward")</f>
        <v>Water Ward</v>
      </c>
      <c r="B543" s="126">
        <f>IFERROR(__xludf.DUMMYFUNCTION("""COMPUTED_VALUE"""),9.0)</f>
        <v>9</v>
      </c>
      <c r="C543" s="125">
        <f>IFERROR(__xludf.DUMMYFUNCTION("""COMPUTED_VALUE"""),300.0)</f>
        <v>300</v>
      </c>
      <c r="D543" s="49"/>
      <c r="E543" s="49"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49" t="str">
        <f>IFERROR(__xludf.DUMMYFUNCTION("""COMPUTED_VALUE"""),"Fail/Succeed")</f>
        <v>Fail/Succeed</v>
      </c>
      <c r="G543" s="49" t="str">
        <f>IFERROR(__xludf.DUMMYFUNCTION("""COMPUTED_VALUE"""),"Self")</f>
        <v>Self</v>
      </c>
      <c r="H543" s="49" t="str">
        <f>IFERROR(__xludf.DUMMYFUNCTION("""COMPUTED_VALUE"""),"Water")</f>
        <v>Water</v>
      </c>
      <c r="I543" s="49" t="str">
        <f>IFERROR(__xludf.DUMMYFUNCTION("""COMPUTED_VALUE"""),"Mob")</f>
        <v>Mob</v>
      </c>
      <c r="J543" s="49" t="b">
        <f>IFERROR(__xludf.DUMMYFUNCTION("""COMPUTED_VALUE"""),TRUE)</f>
        <v>1</v>
      </c>
      <c r="K543" s="49"/>
      <c r="L543" s="49" t="b">
        <f>IFERROR(__xludf.DUMMYFUNCTION("""COMPUTED_VALUE"""),TRUE)</f>
        <v>1</v>
      </c>
      <c r="M543" s="49" t="b">
        <f>IFERROR(__xludf.DUMMYFUNCTION("""COMPUTED_VALUE"""),FALSE)</f>
        <v>0</v>
      </c>
      <c r="N543" s="49"/>
    </row>
    <row r="544">
      <c r="A544" s="49" t="str">
        <f>IFERROR(__xludf.DUMMYFUNCTION("""COMPUTED_VALUE"""),"Waters of Tranquility")</f>
        <v>Waters of Tranquility</v>
      </c>
      <c r="B544" s="126">
        <f>IFERROR(__xludf.DUMMYFUNCTION("""COMPUTED_VALUE"""),7.0)</f>
        <v>7</v>
      </c>
      <c r="C544" s="49" t="str">
        <f>IFERROR(__xludf.DUMMYFUNCTION("""COMPUTED_VALUE"""),"X")</f>
        <v>X</v>
      </c>
      <c r="D544" s="49"/>
      <c r="E544" s="49" t="str">
        <f>IFERROR(__xludf.DUMMYFUNCTION("""COMPUTED_VALUE"""),"Negate X*4 water damage.")</f>
        <v>Negate X*4 water damage.</v>
      </c>
      <c r="F544" s="49" t="str">
        <f>IFERROR(__xludf.DUMMYFUNCTION("""COMPUTED_VALUE"""),"Fail/Succeed")</f>
        <v>Fail/Succeed</v>
      </c>
      <c r="G544" s="49"/>
      <c r="H544" s="49" t="str">
        <f>IFERROR(__xludf.DUMMYFUNCTION("""COMPUTED_VALUE"""),"Water")</f>
        <v>Water</v>
      </c>
      <c r="I544" s="49" t="str">
        <f>IFERROR(__xludf.DUMMYFUNCTION("""COMPUTED_VALUE"""),"Player")</f>
        <v>Player</v>
      </c>
      <c r="J544" s="49" t="b">
        <f>IFERROR(__xludf.DUMMYFUNCTION("""COMPUTED_VALUE"""),FALSE)</f>
        <v>0</v>
      </c>
      <c r="K544" s="49"/>
      <c r="L544" s="49" t="b">
        <f>IFERROR(__xludf.DUMMYFUNCTION("""COMPUTED_VALUE"""),TRUE)</f>
        <v>1</v>
      </c>
      <c r="M544" s="49" t="b">
        <f>IFERROR(__xludf.DUMMYFUNCTION("""COMPUTED_VALUE"""),FALSE)</f>
        <v>0</v>
      </c>
      <c r="N544" s="49"/>
    </row>
    <row r="545">
      <c r="A545" s="49" t="str">
        <f>IFERROR(__xludf.DUMMYFUNCTION("""COMPUTED_VALUE"""),"Waveless Echo")</f>
        <v>Waveless Echo</v>
      </c>
      <c r="B545" s="126">
        <f>IFERROR(__xludf.DUMMYFUNCTION("""COMPUTED_VALUE"""),1.0)</f>
        <v>1</v>
      </c>
      <c r="C545" s="125">
        <f>IFERROR(__xludf.DUMMYFUNCTION("""COMPUTED_VALUE"""),0.0)</f>
        <v>0</v>
      </c>
      <c r="D545" s="49"/>
      <c r="E545" s="49" t="str">
        <f>IFERROR(__xludf.DUMMYFUNCTION("""COMPUTED_VALUE"""),"Call in 2 sea worms to battle..")</f>
        <v>Call in 2 sea worms to battle..</v>
      </c>
      <c r="F545" s="49" t="str">
        <f>IFERROR(__xludf.DUMMYFUNCTION("""COMPUTED_VALUE"""),"Natural/Fail or Succeed")</f>
        <v>Natural/Fail or Succeed</v>
      </c>
      <c r="G545" s="49" t="str">
        <f>IFERROR(__xludf.DUMMYFUNCTION("""COMPUTED_VALUE"""),"Self")</f>
        <v>Self</v>
      </c>
      <c r="H545" s="49" t="str">
        <f>IFERROR(__xludf.DUMMYFUNCTION("""COMPUTED_VALUE"""),"Water")</f>
        <v>Water</v>
      </c>
      <c r="I545" s="49" t="str">
        <f>IFERROR(__xludf.DUMMYFUNCTION("""COMPUTED_VALUE"""),"Mob")</f>
        <v>Mob</v>
      </c>
      <c r="J545" s="49" t="b">
        <f>IFERROR(__xludf.DUMMYFUNCTION("""COMPUTED_VALUE"""),TRUE)</f>
        <v>1</v>
      </c>
      <c r="K545" s="49"/>
      <c r="L545" s="49" t="b">
        <f>IFERROR(__xludf.DUMMYFUNCTION("""COMPUTED_VALUE"""),TRUE)</f>
        <v>1</v>
      </c>
      <c r="M545" s="49" t="b">
        <f>IFERROR(__xludf.DUMMYFUNCTION("""COMPUTED_VALUE"""),FALSE)</f>
        <v>0</v>
      </c>
      <c r="N545" s="49"/>
    </row>
    <row r="546">
      <c r="A546" s="49" t="str">
        <f>IFERROR(__xludf.DUMMYFUNCTION("""COMPUTED_VALUE"""),"Water Beam")</f>
        <v>Water Beam</v>
      </c>
      <c r="B546" s="126">
        <f>IFERROR(__xludf.DUMMYFUNCTION("""COMPUTED_VALUE"""),1.0)</f>
        <v>1</v>
      </c>
      <c r="C546" s="49" t="str">
        <f>IFERROR(__xludf.DUMMYFUNCTION("""COMPUTED_VALUE"""),"X")</f>
        <v>X</v>
      </c>
      <c r="D546" s="49"/>
      <c r="E546" s="49" t="str">
        <f>IFERROR(__xludf.DUMMYFUNCTION("""COMPUTED_VALUE"""),"Deals X*100 Water undefendable damage to a single enemy where X is equal to SP spent.")</f>
        <v>Deals X*100 Water undefendable damage to a single enemy where X is equal to SP spent.</v>
      </c>
      <c r="F546" s="49" t="str">
        <f>IFERROR(__xludf.DUMMYFUNCTION("""COMPUTED_VALUE"""),"Hit/Miss")</f>
        <v>Hit/Miss</v>
      </c>
      <c r="G546" s="49">
        <f>IFERROR(__xludf.DUMMYFUNCTION("""COMPUTED_VALUE"""),1.0)</f>
        <v>1</v>
      </c>
      <c r="H546" s="49" t="str">
        <f>IFERROR(__xludf.DUMMYFUNCTION("""COMPUTED_VALUE"""),"Water")</f>
        <v>Water</v>
      </c>
      <c r="I546" s="49" t="str">
        <f>IFERROR(__xludf.DUMMYFUNCTION("""COMPUTED_VALUE"""),"Player")</f>
        <v>Player</v>
      </c>
      <c r="J546" s="49" t="b">
        <f>IFERROR(__xludf.DUMMYFUNCTION("""COMPUTED_VALUE"""),FALSE)</f>
        <v>0</v>
      </c>
      <c r="K546" s="49"/>
      <c r="L546" s="49" t="b">
        <f>IFERROR(__xludf.DUMMYFUNCTION("""COMPUTED_VALUE"""),FALSE)</f>
        <v>0</v>
      </c>
      <c r="M546" s="49" t="b">
        <f>IFERROR(__xludf.DUMMYFUNCTION("""COMPUTED_VALUE"""),FALSE)</f>
        <v>0</v>
      </c>
      <c r="N546" s="49"/>
    </row>
    <row r="547">
      <c r="A547" s="49" t="str">
        <f>IFERROR(__xludf.DUMMYFUNCTION("""COMPUTED_VALUE"""),"Frostbite")</f>
        <v>Frostbite</v>
      </c>
      <c r="B547" s="126">
        <f>IFERROR(__xludf.DUMMYFUNCTION("""COMPUTED_VALUE"""),5.0)</f>
        <v>5</v>
      </c>
      <c r="C547" s="49" t="str">
        <f>IFERROR(__xludf.DUMMYFUNCTION("""COMPUTED_VALUE"""),"X")</f>
        <v>X</v>
      </c>
      <c r="D547" s="49"/>
      <c r="E547" s="49" t="str">
        <f>IFERROR(__xludf.DUMMYFUNCTION("""COMPUTED_VALUE"""),"Deals X*50 Water damage per round for 3 rounds to a single target where X is equal to SP spent.")</f>
        <v>Deals X*50 Water damage per round for 3 rounds to a single target where X is equal to SP spent.</v>
      </c>
      <c r="F547" s="49" t="str">
        <f>IFERROR(__xludf.DUMMYFUNCTION("""COMPUTED_VALUE"""),"Hit/Miss")</f>
        <v>Hit/Miss</v>
      </c>
      <c r="G547" s="49">
        <f>IFERROR(__xludf.DUMMYFUNCTION("""COMPUTED_VALUE"""),1.0)</f>
        <v>1</v>
      </c>
      <c r="H547" s="49" t="str">
        <f>IFERROR(__xludf.DUMMYFUNCTION("""COMPUTED_VALUE"""),"Water")</f>
        <v>Water</v>
      </c>
      <c r="I547" s="49" t="str">
        <f>IFERROR(__xludf.DUMMYFUNCTION("""COMPUTED_VALUE"""),"Player")</f>
        <v>Player</v>
      </c>
      <c r="J547" s="49" t="b">
        <f>IFERROR(__xludf.DUMMYFUNCTION("""COMPUTED_VALUE"""),FALSE)</f>
        <v>0</v>
      </c>
      <c r="K547" s="49"/>
      <c r="L547" s="49" t="b">
        <f>IFERROR(__xludf.DUMMYFUNCTION("""COMPUTED_VALUE"""),FALSE)</f>
        <v>0</v>
      </c>
      <c r="M547" s="49" t="b">
        <f>IFERROR(__xludf.DUMMYFUNCTION("""COMPUTED_VALUE"""),FALSE)</f>
        <v>0</v>
      </c>
      <c r="N547" s="49"/>
    </row>
    <row r="548">
      <c r="A548" s="49" t="str">
        <f>IFERROR(__xludf.DUMMYFUNCTION("""COMPUTED_VALUE"""),"Torrential Downpour")</f>
        <v>Torrential Downpour</v>
      </c>
      <c r="B548" s="126">
        <f>IFERROR(__xludf.DUMMYFUNCTION("""COMPUTED_VALUE"""),5.0)</f>
        <v>5</v>
      </c>
      <c r="C548" s="49" t="str">
        <f>IFERROR(__xludf.DUMMYFUNCTION("""COMPUTED_VALUE"""),"X")</f>
        <v>X</v>
      </c>
      <c r="D548" s="49"/>
      <c r="E548" s="49" t="str">
        <f>IFERROR(__xludf.DUMMYFUNCTION("""COMPUTED_VALUE"""),"Deals X*25 Water undefendable damage to all enemies where X is equal to SP spent.")</f>
        <v>Deals X*25 Water undefendable damage to all enemies where X is equal to SP spent.</v>
      </c>
      <c r="F548" s="49" t="str">
        <f>IFERROR(__xludf.DUMMYFUNCTION("""COMPUTED_VALUE"""),"Cannot Avoid")</f>
        <v>Cannot Avoid</v>
      </c>
      <c r="G548" s="49" t="str">
        <f>IFERROR(__xludf.DUMMYFUNCTION("""COMPUTED_VALUE"""),"All")</f>
        <v>All</v>
      </c>
      <c r="H548" s="49" t="str">
        <f>IFERROR(__xludf.DUMMYFUNCTION("""COMPUTED_VALUE"""),"Water")</f>
        <v>Water</v>
      </c>
      <c r="I548" s="49" t="str">
        <f>IFERROR(__xludf.DUMMYFUNCTION("""COMPUTED_VALUE"""),"Player")</f>
        <v>Player</v>
      </c>
      <c r="J548" s="49" t="b">
        <f>IFERROR(__xludf.DUMMYFUNCTION("""COMPUTED_VALUE"""),FALSE)</f>
        <v>0</v>
      </c>
      <c r="K548" s="49"/>
      <c r="L548" s="49" t="b">
        <f>IFERROR(__xludf.DUMMYFUNCTION("""COMPUTED_VALUE"""),FALSE)</f>
        <v>0</v>
      </c>
      <c r="M548" s="49" t="b">
        <f>IFERROR(__xludf.DUMMYFUNCTION("""COMPUTED_VALUE"""),FALSE)</f>
        <v>0</v>
      </c>
      <c r="N548" s="49"/>
    </row>
    <row r="549">
      <c r="A549" s="49" t="str">
        <f>IFERROR(__xludf.DUMMYFUNCTION("""COMPUTED_VALUE"""),"Deep Freeze")</f>
        <v>Deep Freeze</v>
      </c>
      <c r="B549" s="126">
        <f>IFERROR(__xludf.DUMMYFUNCTION("""COMPUTED_VALUE"""),6.0)</f>
        <v>6</v>
      </c>
      <c r="C549" s="49" t="str">
        <f>IFERROR(__xludf.DUMMYFUNCTION("""COMPUTED_VALUE"""),"X")</f>
        <v>X</v>
      </c>
      <c r="D549" s="49"/>
      <c r="E549" s="49" t="str">
        <f>IFERROR(__xludf.DUMMYFUNCTION("""COMPUTED_VALUE"""),"Deals X*10 Water damage per round to all enemies for 3 rounds where X is equal to SP spent.")</f>
        <v>Deals X*10 Water damage per round to all enemies for 3 rounds where X is equal to SP spent.</v>
      </c>
      <c r="F549" s="49" t="str">
        <f>IFERROR(__xludf.DUMMYFUNCTION("""COMPUTED_VALUE"""),"Cannot Avoid")</f>
        <v>Cannot Avoid</v>
      </c>
      <c r="G549" s="49" t="str">
        <f>IFERROR(__xludf.DUMMYFUNCTION("""COMPUTED_VALUE"""),"All")</f>
        <v>All</v>
      </c>
      <c r="H549" s="49" t="str">
        <f>IFERROR(__xludf.DUMMYFUNCTION("""COMPUTED_VALUE"""),"Water")</f>
        <v>Water</v>
      </c>
      <c r="I549" s="49" t="str">
        <f>IFERROR(__xludf.DUMMYFUNCTION("""COMPUTED_VALUE"""),"Player")</f>
        <v>Player</v>
      </c>
      <c r="J549" s="49" t="b">
        <f>IFERROR(__xludf.DUMMYFUNCTION("""COMPUTED_VALUE"""),FALSE)</f>
        <v>0</v>
      </c>
      <c r="K549" s="49"/>
      <c r="L549" s="49" t="b">
        <f>IFERROR(__xludf.DUMMYFUNCTION("""COMPUTED_VALUE"""),FALSE)</f>
        <v>0</v>
      </c>
      <c r="M549" s="49" t="b">
        <f>IFERROR(__xludf.DUMMYFUNCTION("""COMPUTED_VALUE"""),FALSE)</f>
        <v>0</v>
      </c>
      <c r="N549" s="49"/>
    </row>
    <row r="550">
      <c r="A550" s="49" t="str">
        <f>IFERROR(__xludf.DUMMYFUNCTION("""COMPUTED_VALUE"""),"Tsunami")</f>
        <v>Tsunami</v>
      </c>
      <c r="B550" s="126">
        <f>IFERROR(__xludf.DUMMYFUNCTION("""COMPUTED_VALUE"""),9.0)</f>
        <v>9</v>
      </c>
      <c r="C550" s="49" t="str">
        <f>IFERROR(__xludf.DUMMYFUNCTION("""COMPUTED_VALUE"""),"d20*40")</f>
        <v>d20*40</v>
      </c>
      <c r="D550" s="49"/>
      <c r="E550" s="49"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49" t="str">
        <f>IFERROR(__xludf.DUMMYFUNCTION("""COMPUTED_VALUE"""),"Cannot Avoid")</f>
        <v>Cannot Avoid</v>
      </c>
      <c r="G550" s="49" t="str">
        <f>IFERROR(__xludf.DUMMYFUNCTION("""COMPUTED_VALUE"""),"All")</f>
        <v>All</v>
      </c>
      <c r="H550" s="49" t="str">
        <f>IFERROR(__xludf.DUMMYFUNCTION("""COMPUTED_VALUE"""),"Water")</f>
        <v>Water</v>
      </c>
      <c r="I550" s="49" t="str">
        <f>IFERROR(__xludf.DUMMYFUNCTION("""COMPUTED_VALUE"""),"Player")</f>
        <v>Player</v>
      </c>
      <c r="J550" s="49" t="b">
        <f>IFERROR(__xludf.DUMMYFUNCTION("""COMPUTED_VALUE"""),FALSE)</f>
        <v>0</v>
      </c>
      <c r="K550" s="49"/>
      <c r="L550" s="49" t="b">
        <f>IFERROR(__xludf.DUMMYFUNCTION("""COMPUTED_VALUE"""),TRUE)</f>
        <v>1</v>
      </c>
      <c r="M550" s="49" t="b">
        <f>IFERROR(__xludf.DUMMYFUNCTION("""COMPUTED_VALUE"""),FALSE)</f>
        <v>0</v>
      </c>
      <c r="N550" s="49"/>
    </row>
    <row r="551">
      <c r="A551" s="49" t="str">
        <f>IFERROR(__xludf.DUMMYFUNCTION("""COMPUTED_VALUE"""),"Cease-Fire")</f>
        <v>Cease-Fire</v>
      </c>
      <c r="B551" s="126">
        <f>IFERROR(__xludf.DUMMYFUNCTION("""COMPUTED_VALUE"""),9.0)</f>
        <v>9</v>
      </c>
      <c r="C551" s="49" t="str">
        <f>IFERROR(__xludf.DUMMYFUNCTION("""COMPUTED_VALUE"""),"X*1000")</f>
        <v>X*1000</v>
      </c>
      <c r="D551" s="49"/>
      <c r="E551" s="49"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49" t="str">
        <f>IFERROR(__xludf.DUMMYFUNCTION("""COMPUTED_VALUE"""),"Fail/Succeed")</f>
        <v>Fail/Succeed</v>
      </c>
      <c r="G551" s="49"/>
      <c r="H551" s="49" t="str">
        <f>IFERROR(__xludf.DUMMYFUNCTION("""COMPUTED_VALUE"""),"Zen")</f>
        <v>Zen</v>
      </c>
      <c r="I551" s="49" t="str">
        <f>IFERROR(__xludf.DUMMYFUNCTION("""COMPUTED_VALUE"""),"Player")</f>
        <v>Player</v>
      </c>
      <c r="J551" s="49" t="b">
        <f>IFERROR(__xludf.DUMMYFUNCTION("""COMPUTED_VALUE"""),FALSE)</f>
        <v>0</v>
      </c>
      <c r="K551" s="49"/>
      <c r="L551" s="49" t="b">
        <f>IFERROR(__xludf.DUMMYFUNCTION("""COMPUTED_VALUE"""),FALSE)</f>
        <v>0</v>
      </c>
      <c r="M551" s="49" t="b">
        <f>IFERROR(__xludf.DUMMYFUNCTION("""COMPUTED_VALUE"""),FALSE)</f>
        <v>0</v>
      </c>
      <c r="N551" s="49"/>
    </row>
    <row r="552">
      <c r="A552" s="49" t="str">
        <f>IFERROR(__xludf.DUMMYFUNCTION("""COMPUTED_VALUE"""),"Elemental Fists")</f>
        <v>Elemental Fists</v>
      </c>
      <c r="B552" s="126">
        <f>IFERROR(__xludf.DUMMYFUNCTION("""COMPUTED_VALUE"""),1.0)</f>
        <v>1</v>
      </c>
      <c r="C552" s="49">
        <f>IFERROR(__xludf.DUMMYFUNCTION("""COMPUTED_VALUE"""),0.0)</f>
        <v>0</v>
      </c>
      <c r="D552" s="49"/>
      <c r="E552" s="49"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49" t="str">
        <f>IFERROR(__xludf.DUMMYFUNCTION("""COMPUTED_VALUE"""),"Natural/Hit or Miss")</f>
        <v>Natural/Hit or Miss</v>
      </c>
      <c r="G552" s="49">
        <f>IFERROR(__xludf.DUMMYFUNCTION("""COMPUTED_VALUE"""),1.0)</f>
        <v>1</v>
      </c>
      <c r="H552" s="49" t="str">
        <f>IFERROR(__xludf.DUMMYFUNCTION("""COMPUTED_VALUE"""),"Zen")</f>
        <v>Zen</v>
      </c>
      <c r="I552" s="49" t="str">
        <f>IFERROR(__xludf.DUMMYFUNCTION("""COMPUTED_VALUE"""),"Player")</f>
        <v>Player</v>
      </c>
      <c r="J552" s="49" t="b">
        <f>IFERROR(__xludf.DUMMYFUNCTION("""COMPUTED_VALUE"""),FALSE)</f>
        <v>0</v>
      </c>
      <c r="K552" s="49"/>
      <c r="L552" s="49" t="b">
        <f>IFERROR(__xludf.DUMMYFUNCTION("""COMPUTED_VALUE"""),FALSE)</f>
        <v>0</v>
      </c>
      <c r="M552" s="49" t="b">
        <f>IFERROR(__xludf.DUMMYFUNCTION("""COMPUTED_VALUE"""),FALSE)</f>
        <v>0</v>
      </c>
      <c r="N552" s="49"/>
    </row>
    <row r="553">
      <c r="A553" s="49" t="str">
        <f>IFERROR(__xludf.DUMMYFUNCTION("""COMPUTED_VALUE"""),"Evade")</f>
        <v>Evade</v>
      </c>
      <c r="B553" s="126">
        <f>IFERROR(__xludf.DUMMYFUNCTION("""COMPUTED_VALUE"""),1.0)</f>
        <v>1</v>
      </c>
      <c r="C553" s="49">
        <f>IFERROR(__xludf.DUMMYFUNCTION("""COMPUTED_VALUE"""),10.0)</f>
        <v>10</v>
      </c>
      <c r="D553" s="49"/>
      <c r="E553" s="49" t="str">
        <f>IFERROR(__xludf.DUMMYFUNCTION("""COMPUTED_VALUE"""),"+5 to evasion until the end of battle. Can only be used once.")</f>
        <v>+5 to evasion until the end of battle. Can only be used once.</v>
      </c>
      <c r="F553" s="49" t="str">
        <f>IFERROR(__xludf.DUMMYFUNCTION("""COMPUTED_VALUE"""),"Fail/Succeed")</f>
        <v>Fail/Succeed</v>
      </c>
      <c r="G553" s="49"/>
      <c r="H553" s="49" t="str">
        <f>IFERROR(__xludf.DUMMYFUNCTION("""COMPUTED_VALUE"""),"Zen")</f>
        <v>Zen</v>
      </c>
      <c r="I553" s="49" t="str">
        <f>IFERROR(__xludf.DUMMYFUNCTION("""COMPUTED_VALUE"""),"Player")</f>
        <v>Player</v>
      </c>
      <c r="J553" s="49" t="b">
        <f>IFERROR(__xludf.DUMMYFUNCTION("""COMPUTED_VALUE"""),FALSE)</f>
        <v>0</v>
      </c>
      <c r="K553" s="49"/>
      <c r="L553" s="49" t="b">
        <f>IFERROR(__xludf.DUMMYFUNCTION("""COMPUTED_VALUE"""),FALSE)</f>
        <v>0</v>
      </c>
      <c r="M553" s="49" t="b">
        <f>IFERROR(__xludf.DUMMYFUNCTION("""COMPUTED_VALUE"""),FALSE)</f>
        <v>0</v>
      </c>
      <c r="N553" s="49"/>
    </row>
    <row r="554">
      <c r="A554" s="49" t="str">
        <f>IFERROR(__xludf.DUMMYFUNCTION("""COMPUTED_VALUE"""),"FlashStep")</f>
        <v>FlashStep</v>
      </c>
      <c r="B554" s="126">
        <f>IFERROR(__xludf.DUMMYFUNCTION("""COMPUTED_VALUE"""),9.0)</f>
        <v>9</v>
      </c>
      <c r="C554" s="49">
        <f>IFERROR(__xludf.DUMMYFUNCTION("""COMPUTED_VALUE"""),600.0)</f>
        <v>600</v>
      </c>
      <c r="D554" s="49"/>
      <c r="E554" s="49"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49" t="str">
        <f>IFERROR(__xludf.DUMMYFUNCTION("""COMPUTED_VALUE"""),"Hit/Miss")</f>
        <v>Hit/Miss</v>
      </c>
      <c r="G554" s="49">
        <f>IFERROR(__xludf.DUMMYFUNCTION("""COMPUTED_VALUE"""),1.0)</f>
        <v>1</v>
      </c>
      <c r="H554" s="49" t="str">
        <f>IFERROR(__xludf.DUMMYFUNCTION("""COMPUTED_VALUE"""),"Zen")</f>
        <v>Zen</v>
      </c>
      <c r="I554" s="49" t="str">
        <f>IFERROR(__xludf.DUMMYFUNCTION("""COMPUTED_VALUE"""),"Player")</f>
        <v>Player</v>
      </c>
      <c r="J554" s="49" t="b">
        <f>IFERROR(__xludf.DUMMYFUNCTION("""COMPUTED_VALUE"""),FALSE)</f>
        <v>0</v>
      </c>
      <c r="K554" s="49"/>
      <c r="L554" s="49" t="b">
        <f>IFERROR(__xludf.DUMMYFUNCTION("""COMPUTED_VALUE"""),FALSE)</f>
        <v>0</v>
      </c>
      <c r="M554" s="49" t="b">
        <f>IFERROR(__xludf.DUMMYFUNCTION("""COMPUTED_VALUE"""),FALSE)</f>
        <v>0</v>
      </c>
      <c r="N554" s="49"/>
    </row>
    <row r="555">
      <c r="A555" s="49" t="str">
        <f>IFERROR(__xludf.DUMMYFUNCTION("""COMPUTED_VALUE"""),"Focus")</f>
        <v>Focus</v>
      </c>
      <c r="B555" s="126">
        <f>IFERROR(__xludf.DUMMYFUNCTION("""COMPUTED_VALUE"""),1.0)</f>
        <v>1</v>
      </c>
      <c r="C555" s="49">
        <f>IFERROR(__xludf.DUMMYFUNCTION("""COMPUTED_VALUE"""),10.0)</f>
        <v>10</v>
      </c>
      <c r="D555" s="49"/>
      <c r="E555" s="49" t="str">
        <f>IFERROR(__xludf.DUMMYFUNCTION("""COMPUTED_VALUE"""),"Gain X2 attack, accuracy, and defense till the end of battle.")</f>
        <v>Gain X2 attack, accuracy, and defense till the end of battle.</v>
      </c>
      <c r="F555" s="49" t="str">
        <f>IFERROR(__xludf.DUMMYFUNCTION("""COMPUTED_VALUE"""),"Fail/succeed")</f>
        <v>Fail/succeed</v>
      </c>
      <c r="G555" s="49"/>
      <c r="H555" s="49" t="str">
        <f>IFERROR(__xludf.DUMMYFUNCTION("""COMPUTED_VALUE"""),"Zen")</f>
        <v>Zen</v>
      </c>
      <c r="I555" s="49" t="str">
        <f>IFERROR(__xludf.DUMMYFUNCTION("""COMPUTED_VALUE"""),"Player")</f>
        <v>Player</v>
      </c>
      <c r="J555" s="49" t="b">
        <f>IFERROR(__xludf.DUMMYFUNCTION("""COMPUTED_VALUE"""),FALSE)</f>
        <v>0</v>
      </c>
      <c r="K555" s="49"/>
      <c r="L555" s="49" t="b">
        <f>IFERROR(__xludf.DUMMYFUNCTION("""COMPUTED_VALUE"""),FALSE)</f>
        <v>0</v>
      </c>
      <c r="M555" s="49" t="b">
        <f>IFERROR(__xludf.DUMMYFUNCTION("""COMPUTED_VALUE"""),FALSE)</f>
        <v>0</v>
      </c>
      <c r="N555" s="49"/>
    </row>
    <row r="556">
      <c r="A556" s="49" t="str">
        <f>IFERROR(__xludf.DUMMYFUNCTION("""COMPUTED_VALUE"""),"Foresight")</f>
        <v>Foresight</v>
      </c>
      <c r="B556" s="126">
        <f>IFERROR(__xludf.DUMMYFUNCTION("""COMPUTED_VALUE"""),8.0)</f>
        <v>8</v>
      </c>
      <c r="C556" s="49">
        <f>IFERROR(__xludf.DUMMYFUNCTION("""COMPUTED_VALUE"""),1000.0)</f>
        <v>1000</v>
      </c>
      <c r="D556" s="49"/>
      <c r="E556" s="49" t="str">
        <f>IFERROR(__xludf.DUMMYFUNCTION("""COMPUTED_VALUE"""),"Immune to instant death and evade all attacks the rest of the round. (Cannot avoid attacks are still avoided)")</f>
        <v>Immune to instant death and evade all attacks the rest of the round. (Cannot avoid attacks are still avoided)</v>
      </c>
      <c r="F556" s="49" t="str">
        <f>IFERROR(__xludf.DUMMYFUNCTION("""COMPUTED_VALUE"""),"Fail/Succeed")</f>
        <v>Fail/Succeed</v>
      </c>
      <c r="G556" s="49"/>
      <c r="H556" s="49" t="str">
        <f>IFERROR(__xludf.DUMMYFUNCTION("""COMPUTED_VALUE"""),"Zen")</f>
        <v>Zen</v>
      </c>
      <c r="I556" s="49" t="str">
        <f>IFERROR(__xludf.DUMMYFUNCTION("""COMPUTED_VALUE"""),"Player")</f>
        <v>Player</v>
      </c>
      <c r="J556" s="49" t="b">
        <f>IFERROR(__xludf.DUMMYFUNCTION("""COMPUTED_VALUE"""),FALSE)</f>
        <v>0</v>
      </c>
      <c r="K556" s="49"/>
      <c r="L556" s="49" t="b">
        <f>IFERROR(__xludf.DUMMYFUNCTION("""COMPUTED_VALUE"""),FALSE)</f>
        <v>0</v>
      </c>
      <c r="M556" s="49" t="b">
        <f>IFERROR(__xludf.DUMMYFUNCTION("""COMPUTED_VALUE"""),FALSE)</f>
        <v>0</v>
      </c>
      <c r="N556" s="49"/>
    </row>
    <row r="557">
      <c r="A557" s="49" t="str">
        <f>IFERROR(__xludf.DUMMYFUNCTION("""COMPUTED_VALUE"""),"Ki Blast")</f>
        <v>Ki Blast</v>
      </c>
      <c r="B557" s="126">
        <f>IFERROR(__xludf.DUMMYFUNCTION("""COMPUTED_VALUE"""),9.0)</f>
        <v>9</v>
      </c>
      <c r="C557" s="125">
        <f>IFERROR(__xludf.DUMMYFUNCTION("""COMPUTED_VALUE"""),7200.0)</f>
        <v>7200</v>
      </c>
      <c r="D557" s="49"/>
      <c r="E557" s="49" t="str">
        <f>IFERROR(__xludf.DUMMYFUNCTION("""COMPUTED_VALUE"""),"36,000 storm, earth, water, fire, and nature damage.")</f>
        <v>36,000 storm, earth, water, fire, and nature damage.</v>
      </c>
      <c r="F557" s="49" t="str">
        <f>IFERROR(__xludf.DUMMYFUNCTION("""COMPUTED_VALUE"""),"Cannot Avoid")</f>
        <v>Cannot Avoid</v>
      </c>
      <c r="G557" s="49"/>
      <c r="H557" s="49" t="str">
        <f>IFERROR(__xludf.DUMMYFUNCTION("""COMPUTED_VALUE"""),"Zen")</f>
        <v>Zen</v>
      </c>
      <c r="I557" s="49" t="str">
        <f>IFERROR(__xludf.DUMMYFUNCTION("""COMPUTED_VALUE"""),"Player")</f>
        <v>Player</v>
      </c>
      <c r="J557" s="49" t="b">
        <f>IFERROR(__xludf.DUMMYFUNCTION("""COMPUTED_VALUE"""),FALSE)</f>
        <v>0</v>
      </c>
      <c r="K557" s="49"/>
      <c r="L557" s="49" t="b">
        <f>IFERROR(__xludf.DUMMYFUNCTION("""COMPUTED_VALUE"""),FALSE)</f>
        <v>0</v>
      </c>
      <c r="M557" s="49" t="b">
        <f>IFERROR(__xludf.DUMMYFUNCTION("""COMPUTED_VALUE"""),FALSE)</f>
        <v>0</v>
      </c>
      <c r="N557" s="49"/>
    </row>
    <row r="558">
      <c r="A558" s="49" t="str">
        <f>IFERROR(__xludf.DUMMYFUNCTION("""COMPUTED_VALUE"""),"Ki Charge")</f>
        <v>Ki Charge</v>
      </c>
      <c r="B558" s="126">
        <f>IFERROR(__xludf.DUMMYFUNCTION("""COMPUTED_VALUE"""),7.0)</f>
        <v>7</v>
      </c>
      <c r="C558" s="49">
        <f>IFERROR(__xludf.DUMMYFUNCTION("""COMPUTED_VALUE"""),400.0)</f>
        <v>400</v>
      </c>
      <c r="D558" s="49"/>
      <c r="E558" s="49" t="str">
        <f>IFERROR(__xludf.DUMMYFUNCTION("""COMPUTED_VALUE"""),"X2 additional storm, earth, water, fire, and nature damage.")</f>
        <v>X2 additional storm, earth, water, fire, and nature damage.</v>
      </c>
      <c r="F558" s="49" t="str">
        <f>IFERROR(__xludf.DUMMYFUNCTION("""COMPUTED_VALUE"""),"Will Suceed.")</f>
        <v>Will Suceed.</v>
      </c>
      <c r="G558" s="49" t="str">
        <f>IFERROR(__xludf.DUMMYFUNCTION("""COMPUTED_VALUE"""),"Self")</f>
        <v>Self</v>
      </c>
      <c r="H558" s="49" t="str">
        <f>IFERROR(__xludf.DUMMYFUNCTION("""COMPUTED_VALUE"""),"Zen")</f>
        <v>Zen</v>
      </c>
      <c r="I558" s="49" t="str">
        <f>IFERROR(__xludf.DUMMYFUNCTION("""COMPUTED_VALUE"""),"Player")</f>
        <v>Player</v>
      </c>
      <c r="J558" s="49" t="b">
        <f>IFERROR(__xludf.DUMMYFUNCTION("""COMPUTED_VALUE"""),FALSE)</f>
        <v>0</v>
      </c>
      <c r="K558" s="49"/>
      <c r="L558" s="49" t="b">
        <f>IFERROR(__xludf.DUMMYFUNCTION("""COMPUTED_VALUE"""),FALSE)</f>
        <v>0</v>
      </c>
      <c r="M558" s="49" t="b">
        <f>IFERROR(__xludf.DUMMYFUNCTION("""COMPUTED_VALUE"""),FALSE)</f>
        <v>0</v>
      </c>
      <c r="N558" s="49"/>
    </row>
    <row r="559">
      <c r="A559" s="49" t="str">
        <f>IFERROR(__xludf.DUMMYFUNCTION("""COMPUTED_VALUE"""),"Max Evade")</f>
        <v>Max Evade</v>
      </c>
      <c r="B559" s="126">
        <f>IFERROR(__xludf.DUMMYFUNCTION("""COMPUTED_VALUE"""),6.0)</f>
        <v>6</v>
      </c>
      <c r="C559" s="49">
        <f>IFERROR(__xludf.DUMMYFUNCTION("""COMPUTED_VALUE"""),60.0)</f>
        <v>60</v>
      </c>
      <c r="D559" s="49"/>
      <c r="E559" s="49" t="str">
        <f>IFERROR(__xludf.DUMMYFUNCTION("""COMPUTED_VALUE"""),"+5 evasion and mobility for 3 rounds.")</f>
        <v>+5 evasion and mobility for 3 rounds.</v>
      </c>
      <c r="F559" s="49" t="str">
        <f>IFERROR(__xludf.DUMMYFUNCTION("""COMPUTED_VALUE"""),"Will Succeed")</f>
        <v>Will Succeed</v>
      </c>
      <c r="G559" s="49"/>
      <c r="H559" s="49" t="str">
        <f>IFERROR(__xludf.DUMMYFUNCTION("""COMPUTED_VALUE"""),"Zen")</f>
        <v>Zen</v>
      </c>
      <c r="I559" s="49" t="str">
        <f>IFERROR(__xludf.DUMMYFUNCTION("""COMPUTED_VALUE"""),"Player")</f>
        <v>Player</v>
      </c>
      <c r="J559" s="49" t="b">
        <f>IFERROR(__xludf.DUMMYFUNCTION("""COMPUTED_VALUE"""),FALSE)</f>
        <v>0</v>
      </c>
      <c r="K559" s="49"/>
      <c r="L559" s="49" t="b">
        <f>IFERROR(__xludf.DUMMYFUNCTION("""COMPUTED_VALUE"""),FALSE)</f>
        <v>0</v>
      </c>
      <c r="M559" s="49" t="b">
        <f>IFERROR(__xludf.DUMMYFUNCTION("""COMPUTED_VALUE"""),FALSE)</f>
        <v>0</v>
      </c>
      <c r="N559" s="49"/>
    </row>
    <row r="560">
      <c r="A560" s="49" t="str">
        <f>IFERROR(__xludf.DUMMYFUNCTION("""COMPUTED_VALUE"""),"Max Focus")</f>
        <v>Max Focus</v>
      </c>
      <c r="B560" s="126">
        <f>IFERROR(__xludf.DUMMYFUNCTION("""COMPUTED_VALUE"""),9.0)</f>
        <v>9</v>
      </c>
      <c r="C560" s="49" t="str">
        <f>IFERROR(__xludf.DUMMYFUNCTION("""COMPUTED_VALUE"""),"X*2000")</f>
        <v>X*2000</v>
      </c>
      <c r="D560" s="49"/>
      <c r="E560" s="49" t="str">
        <f>IFERROR(__xludf.DUMMYFUNCTION("""COMPUTED_VALUE"""),"You gain X Evasion, Mobility, and Intimidation where X is equal to the SP you pay (Max 5) for 3 rounds.")</f>
        <v>You gain X Evasion, Mobility, and Intimidation where X is equal to the SP you pay (Max 5) for 3 rounds.</v>
      </c>
      <c r="F560" s="49" t="str">
        <f>IFERROR(__xludf.DUMMYFUNCTION("""COMPUTED_VALUE"""),"Fail/Succeed")</f>
        <v>Fail/Succeed</v>
      </c>
      <c r="G560" s="49" t="str">
        <f>IFERROR(__xludf.DUMMYFUNCTION("""COMPUTED_VALUE"""),"Self")</f>
        <v>Self</v>
      </c>
      <c r="H560" s="49" t="str">
        <f>IFERROR(__xludf.DUMMYFUNCTION("""COMPUTED_VALUE"""),"Zen")</f>
        <v>Zen</v>
      </c>
      <c r="I560" s="49" t="str">
        <f>IFERROR(__xludf.DUMMYFUNCTION("""COMPUTED_VALUE"""),"Player")</f>
        <v>Player</v>
      </c>
      <c r="J560" s="49" t="b">
        <f>IFERROR(__xludf.DUMMYFUNCTION("""COMPUTED_VALUE"""),FALSE)</f>
        <v>0</v>
      </c>
      <c r="K560" s="49"/>
      <c r="L560" s="49" t="b">
        <f>IFERROR(__xludf.DUMMYFUNCTION("""COMPUTED_VALUE"""),FALSE)</f>
        <v>0</v>
      </c>
      <c r="M560" s="49" t="b">
        <f>IFERROR(__xludf.DUMMYFUNCTION("""COMPUTED_VALUE"""),FALSE)</f>
        <v>0</v>
      </c>
      <c r="N560" s="49"/>
    </row>
    <row r="561">
      <c r="A561" s="49" t="str">
        <f>IFERROR(__xludf.DUMMYFUNCTION("""COMPUTED_VALUE"""),"Mind Press")</f>
        <v>Mind Press</v>
      </c>
      <c r="B561" s="126">
        <f>IFERROR(__xludf.DUMMYFUNCTION("""COMPUTED_VALUE"""),9.0)</f>
        <v>9</v>
      </c>
      <c r="C561" s="125">
        <f>IFERROR(__xludf.DUMMYFUNCTION("""COMPUTED_VALUE"""),12000.0)</f>
        <v>12000</v>
      </c>
      <c r="D561" s="49"/>
      <c r="E561" s="49" t="str">
        <f>IFERROR(__xludf.DUMMYFUNCTION("""COMPUTED_VALUE"""),"30,000 damage to all enemies. Cannot resist or be immune to.")</f>
        <v>30,000 damage to all enemies. Cannot resist or be immune to.</v>
      </c>
      <c r="F561" s="49" t="str">
        <f>IFERROR(__xludf.DUMMYFUNCTION("""COMPUTED_VALUE"""),"Will Succeed")</f>
        <v>Will Succeed</v>
      </c>
      <c r="G561" s="49"/>
      <c r="H561" s="49" t="str">
        <f>IFERROR(__xludf.DUMMYFUNCTION("""COMPUTED_VALUE"""),"Zen")</f>
        <v>Zen</v>
      </c>
      <c r="I561" s="49" t="str">
        <f>IFERROR(__xludf.DUMMYFUNCTION("""COMPUTED_VALUE"""),"Player")</f>
        <v>Player</v>
      </c>
      <c r="J561" s="49" t="b">
        <f>IFERROR(__xludf.DUMMYFUNCTION("""COMPUTED_VALUE"""),FALSE)</f>
        <v>0</v>
      </c>
      <c r="K561" s="49"/>
      <c r="L561" s="49" t="b">
        <f>IFERROR(__xludf.DUMMYFUNCTION("""COMPUTED_VALUE"""),FALSE)</f>
        <v>0</v>
      </c>
      <c r="M561" s="49" t="b">
        <f>IFERROR(__xludf.DUMMYFUNCTION("""COMPUTED_VALUE"""),FALSE)</f>
        <v>0</v>
      </c>
      <c r="N561" s="49"/>
    </row>
    <row r="562">
      <c r="A562" s="49" t="str">
        <f>IFERROR(__xludf.DUMMYFUNCTION("""COMPUTED_VALUE"""),"Monks Blessing")</f>
        <v>Monks Blessing</v>
      </c>
      <c r="B562" s="126">
        <f>IFERROR(__xludf.DUMMYFUNCTION("""COMPUTED_VALUE"""),6.0)</f>
        <v>6</v>
      </c>
      <c r="C562" s="49">
        <f>IFERROR(__xludf.DUMMYFUNCTION("""COMPUTED_VALUE"""),60.0)</f>
        <v>60</v>
      </c>
      <c r="D562" s="49"/>
      <c r="E562" s="49"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49" t="str">
        <f>IFERROR(__xludf.DUMMYFUNCTION("""COMPUTED_VALUE"""),"Fail/Succeed")</f>
        <v>Fail/Succeed</v>
      </c>
      <c r="G562" s="49"/>
      <c r="H562" s="49" t="str">
        <f>IFERROR(__xludf.DUMMYFUNCTION("""COMPUTED_VALUE"""),"Zen")</f>
        <v>Zen</v>
      </c>
      <c r="I562" s="49" t="str">
        <f>IFERROR(__xludf.DUMMYFUNCTION("""COMPUTED_VALUE"""),"Player")</f>
        <v>Player</v>
      </c>
      <c r="J562" s="49" t="b">
        <f>IFERROR(__xludf.DUMMYFUNCTION("""COMPUTED_VALUE"""),FALSE)</f>
        <v>0</v>
      </c>
      <c r="K562" s="49"/>
      <c r="L562" s="49" t="b">
        <f>IFERROR(__xludf.DUMMYFUNCTION("""COMPUTED_VALUE"""),FALSE)</f>
        <v>0</v>
      </c>
      <c r="M562" s="49" t="b">
        <f>IFERROR(__xludf.DUMMYFUNCTION("""COMPUTED_VALUE"""),FALSE)</f>
        <v>0</v>
      </c>
      <c r="N562" s="49"/>
    </row>
    <row r="563">
      <c r="A563" s="49" t="str">
        <f>IFERROR(__xludf.DUMMYFUNCTION("""COMPUTED_VALUE"""),"The All Knowing Eye")</f>
        <v>The All Knowing Eye</v>
      </c>
      <c r="B563" s="126">
        <f>IFERROR(__xludf.DUMMYFUNCTION("""COMPUTED_VALUE"""),8.0)</f>
        <v>8</v>
      </c>
      <c r="C563" s="49">
        <f>IFERROR(__xludf.DUMMYFUNCTION("""COMPUTED_VALUE"""),500.0)</f>
        <v>500</v>
      </c>
      <c r="D563" s="49"/>
      <c r="E563" s="49" t="str">
        <f>IFERROR(__xludf.DUMMYFUNCTION("""COMPUTED_VALUE"""),"Increase your roll number by 5 for 3 rounds and take no damage from the next incoming attack. (Battle Only)")</f>
        <v>Increase your roll number by 5 for 3 rounds and take no damage from the next incoming attack. (Battle Only)</v>
      </c>
      <c r="F563" s="49" t="str">
        <f>IFERROR(__xludf.DUMMYFUNCTION("""COMPUTED_VALUE"""),"Fail/Succeed")</f>
        <v>Fail/Succeed</v>
      </c>
      <c r="G563" s="49"/>
      <c r="H563" s="49" t="str">
        <f>IFERROR(__xludf.DUMMYFUNCTION("""COMPUTED_VALUE"""),"Zen")</f>
        <v>Zen</v>
      </c>
      <c r="I563" s="49" t="str">
        <f>IFERROR(__xludf.DUMMYFUNCTION("""COMPUTED_VALUE"""),"Player")</f>
        <v>Player</v>
      </c>
      <c r="J563" s="49" t="b">
        <f>IFERROR(__xludf.DUMMYFUNCTION("""COMPUTED_VALUE"""),FALSE)</f>
        <v>0</v>
      </c>
      <c r="K563" s="49"/>
      <c r="L563" s="49" t="b">
        <f>IFERROR(__xludf.DUMMYFUNCTION("""COMPUTED_VALUE"""),FALSE)</f>
        <v>0</v>
      </c>
      <c r="M563" s="49" t="b">
        <f>IFERROR(__xludf.DUMMYFUNCTION("""COMPUTED_VALUE"""),FALSE)</f>
        <v>0</v>
      </c>
      <c r="N563" s="49"/>
    </row>
    <row r="564">
      <c r="A564" s="49" t="str">
        <f>IFERROR(__xludf.DUMMYFUNCTION("""COMPUTED_VALUE"""),"Insanity Pulse")</f>
        <v>Insanity Pulse</v>
      </c>
      <c r="B564" s="126">
        <f>IFERROR(__xludf.DUMMYFUNCTION("""COMPUTED_VALUE"""),9.0)</f>
        <v>9</v>
      </c>
      <c r="C564" s="49">
        <f>IFERROR(__xludf.DUMMYFUNCTION("""COMPUTED_VALUE"""),10000.0)</f>
        <v>10000</v>
      </c>
      <c r="D564" s="49"/>
      <c r="E564" s="49"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49" t="str">
        <f>IFERROR(__xludf.DUMMYFUNCTION("""COMPUTED_VALUE"""),"Fail/Succeed")</f>
        <v>Fail/Succeed</v>
      </c>
      <c r="G564" s="49" t="str">
        <f>IFERROR(__xludf.DUMMYFUNCTION("""COMPUTED_VALUE"""),"Self")</f>
        <v>Self</v>
      </c>
      <c r="H564" s="49" t="str">
        <f>IFERROR(__xludf.DUMMYFUNCTION("""COMPUTED_VALUE"""),"Chaos")</f>
        <v>Chaos</v>
      </c>
      <c r="I564" s="49" t="str">
        <f>IFERROR(__xludf.DUMMYFUNCTION("""COMPUTED_VALUE"""),"Mob")</f>
        <v>Mob</v>
      </c>
      <c r="J564" s="49" t="b">
        <f>IFERROR(__xludf.DUMMYFUNCTION("""COMPUTED_VALUE"""),TRUE)</f>
        <v>1</v>
      </c>
      <c r="K564" s="49" t="str">
        <f>IFERROR(__xludf.DUMMYFUNCTION("""COMPUTED_VALUE"""),"Lathom Only")</f>
        <v>Lathom Only</v>
      </c>
      <c r="L564" s="49" t="b">
        <f>IFERROR(__xludf.DUMMYFUNCTION("""COMPUTED_VALUE"""),FALSE)</f>
        <v>0</v>
      </c>
      <c r="M564" s="49" t="b">
        <f>IFERROR(__xludf.DUMMYFUNCTION("""COMPUTED_VALUE"""),FALSE)</f>
        <v>0</v>
      </c>
      <c r="N564" s="49"/>
    </row>
    <row r="565">
      <c r="A565" s="49" t="str">
        <f>IFERROR(__xludf.DUMMYFUNCTION("""COMPUTED_VALUE"""),"Defender's Tenacity")</f>
        <v>Defender's Tenacity</v>
      </c>
      <c r="B565" s="126">
        <f>IFERROR(__xludf.DUMMYFUNCTION("""COMPUTED_VALUE"""),5.0)</f>
        <v>5</v>
      </c>
      <c r="C565" s="49" t="str">
        <f>IFERROR(__xludf.DUMMYFUNCTION("""COMPUTED_VALUE"""),"X")</f>
        <v>X</v>
      </c>
      <c r="D565" s="49"/>
      <c r="E565" s="49" t="str">
        <f>IFERROR(__xludf.DUMMYFUNCTION("""COMPUTED_VALUE"""),"Roll a D20 for additional defense, times it by the amount of mana you pay.")</f>
        <v>Roll a D20 for additional defense, times it by the amount of mana you pay.</v>
      </c>
      <c r="F565" s="49" t="str">
        <f>IFERROR(__xludf.DUMMYFUNCTION("""COMPUTED_VALUE"""),"Will Succeed")</f>
        <v>Will Succeed</v>
      </c>
      <c r="G565" s="49" t="str">
        <f>IFERROR(__xludf.DUMMYFUNCTION("""COMPUTED_VALUE"""),"Self")</f>
        <v>Self</v>
      </c>
      <c r="H565" s="49" t="str">
        <f>IFERROR(__xludf.DUMMYFUNCTION("""COMPUTED_VALUE"""),"Physical")</f>
        <v>Physical</v>
      </c>
      <c r="I565" s="49" t="str">
        <f>IFERROR(__xludf.DUMMYFUNCTION("""COMPUTED_VALUE"""),"Player")</f>
        <v>Player</v>
      </c>
      <c r="J565" s="49" t="b">
        <f>IFERROR(__xludf.DUMMYFUNCTION("""COMPUTED_VALUE"""),FALSE)</f>
        <v>0</v>
      </c>
      <c r="K565" s="49"/>
      <c r="L565" s="49" t="b">
        <f>IFERROR(__xludf.DUMMYFUNCTION("""COMPUTED_VALUE"""),FALSE)</f>
        <v>0</v>
      </c>
      <c r="M565" s="49" t="b">
        <f>IFERROR(__xludf.DUMMYFUNCTION("""COMPUTED_VALUE"""),FALSE)</f>
        <v>0</v>
      </c>
      <c r="N565" s="49"/>
    </row>
    <row r="566">
      <c r="A566" s="49" t="str">
        <f>IFERROR(__xludf.DUMMYFUNCTION("""COMPUTED_VALUE"""),"Marauder's Rage")</f>
        <v>Marauder's Rage</v>
      </c>
      <c r="B566" s="126">
        <f>IFERROR(__xludf.DUMMYFUNCTION("""COMPUTED_VALUE"""),5.0)</f>
        <v>5</v>
      </c>
      <c r="C566" s="49" t="str">
        <f>IFERROR(__xludf.DUMMYFUNCTION("""COMPUTED_VALUE"""),"X")</f>
        <v>X</v>
      </c>
      <c r="D566" s="49"/>
      <c r="E566" s="49" t="str">
        <f>IFERROR(__xludf.DUMMYFUNCTION("""COMPUTED_VALUE"""),"Roll a D20 for additional attack, times it by the amount of mana you pay.")</f>
        <v>Roll a D20 for additional attack, times it by the amount of mana you pay.</v>
      </c>
      <c r="F566" s="49" t="str">
        <f>IFERROR(__xludf.DUMMYFUNCTION("""COMPUTED_VALUE"""),"Will Succeed")</f>
        <v>Will Succeed</v>
      </c>
      <c r="G566" s="49" t="str">
        <f>IFERROR(__xludf.DUMMYFUNCTION("""COMPUTED_VALUE"""),"Self")</f>
        <v>Self</v>
      </c>
      <c r="H566" s="49" t="str">
        <f>IFERROR(__xludf.DUMMYFUNCTION("""COMPUTED_VALUE"""),"Melee")</f>
        <v>Melee</v>
      </c>
      <c r="I566" s="49"/>
      <c r="J566" s="49" t="b">
        <f>IFERROR(__xludf.DUMMYFUNCTION("""COMPUTED_VALUE"""),FALSE)</f>
        <v>0</v>
      </c>
      <c r="K566" s="49"/>
      <c r="L566" s="49" t="b">
        <f>IFERROR(__xludf.DUMMYFUNCTION("""COMPUTED_VALUE"""),FALSE)</f>
        <v>0</v>
      </c>
      <c r="M566" s="49" t="b">
        <f>IFERROR(__xludf.DUMMYFUNCTION("""COMPUTED_VALUE"""),FALSE)</f>
        <v>0</v>
      </c>
      <c r="N566" s="49"/>
    </row>
    <row r="567">
      <c r="A567" s="49" t="str">
        <f>IFERROR(__xludf.DUMMYFUNCTION("""COMPUTED_VALUE"""),"Warden Call")</f>
        <v>Warden Call</v>
      </c>
      <c r="B567" s="126">
        <f>IFERROR(__xludf.DUMMYFUNCTION("""COMPUTED_VALUE"""),1.0)</f>
        <v>1</v>
      </c>
      <c r="C567" s="49">
        <f>IFERROR(__xludf.DUMMYFUNCTION("""COMPUTED_VALUE"""),0.0)</f>
        <v>0</v>
      </c>
      <c r="D567" s="49"/>
      <c r="E567" s="49" t="str">
        <f>IFERROR(__xludf.DUMMYFUNCTION("""COMPUTED_VALUE"""),"Call a d4 of Dragonian Wardens to battle.")</f>
        <v>Call a d4 of Dragonian Wardens to battle.</v>
      </c>
      <c r="F567" s="49" t="str">
        <f>IFERROR(__xludf.DUMMYFUNCTION("""COMPUTED_VALUE"""),"Natural/Fail or Succeed")</f>
        <v>Natural/Fail or Succeed</v>
      </c>
      <c r="G567" s="49" t="str">
        <f>IFERROR(__xludf.DUMMYFUNCTION("""COMPUTED_VALUE"""),"Self")</f>
        <v>Self</v>
      </c>
      <c r="H567" s="49" t="str">
        <f>IFERROR(__xludf.DUMMYFUNCTION("""COMPUTED_VALUE"""),"Order")</f>
        <v>Order</v>
      </c>
      <c r="I567" s="49" t="str">
        <f>IFERROR(__xludf.DUMMYFUNCTION("""COMPUTED_VALUE"""),"Mob")</f>
        <v>Mob</v>
      </c>
      <c r="J567" s="49" t="b">
        <f>IFERROR(__xludf.DUMMYFUNCTION("""COMPUTED_VALUE"""),TRUE)</f>
        <v>1</v>
      </c>
      <c r="K567" s="49"/>
      <c r="L567" s="49" t="b">
        <f>IFERROR(__xludf.DUMMYFUNCTION("""COMPUTED_VALUE"""),FALSE)</f>
        <v>0</v>
      </c>
      <c r="M567" s="49" t="b">
        <f>IFERROR(__xludf.DUMMYFUNCTION("""COMPUTED_VALUE"""),FALSE)</f>
        <v>0</v>
      </c>
      <c r="N567" s="49"/>
    </row>
    <row r="568">
      <c r="A568" s="49" t="str">
        <f>IFERROR(__xludf.DUMMYFUNCTION("""COMPUTED_VALUE"""),"Confine")</f>
        <v>Confine</v>
      </c>
      <c r="B568" s="126">
        <f>IFERROR(__xludf.DUMMYFUNCTION("""COMPUTED_VALUE"""),1.0)</f>
        <v>1</v>
      </c>
      <c r="C568" s="49">
        <f>IFERROR(__xludf.DUMMYFUNCTION("""COMPUTED_VALUE"""),0.0)</f>
        <v>0</v>
      </c>
      <c r="D568" s="49"/>
      <c r="E568" s="49"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49" t="str">
        <f>IFERROR(__xludf.DUMMYFUNCTION("""COMPUTED_VALUE"""),"Natural/Hit or Miss")</f>
        <v>Natural/Hit or Miss</v>
      </c>
      <c r="G568" s="49">
        <f>IFERROR(__xludf.DUMMYFUNCTION("""COMPUTED_VALUE"""),1.0)</f>
        <v>1</v>
      </c>
      <c r="H568" s="49" t="str">
        <f>IFERROR(__xludf.DUMMYFUNCTION("""COMPUTED_VALUE"""),"Melee")</f>
        <v>Melee</v>
      </c>
      <c r="I568" s="49" t="str">
        <f>IFERROR(__xludf.DUMMYFUNCTION("""COMPUTED_VALUE"""),"Mob")</f>
        <v>Mob</v>
      </c>
      <c r="J568" s="49" t="b">
        <f>IFERROR(__xludf.DUMMYFUNCTION("""COMPUTED_VALUE"""),TRUE)</f>
        <v>1</v>
      </c>
      <c r="K568" s="49"/>
      <c r="L568" s="49" t="b">
        <f>IFERROR(__xludf.DUMMYFUNCTION("""COMPUTED_VALUE"""),FALSE)</f>
        <v>0</v>
      </c>
      <c r="M568" s="49" t="b">
        <f>IFERROR(__xludf.DUMMYFUNCTION("""COMPUTED_VALUE"""),FALSE)</f>
        <v>0</v>
      </c>
      <c r="N568" s="49"/>
    </row>
    <row r="569">
      <c r="A569" s="49" t="str">
        <f>IFERROR(__xludf.DUMMYFUNCTION("""COMPUTED_VALUE"""),"Flames of the Undead")</f>
        <v>Flames of the Undead</v>
      </c>
      <c r="B569" s="126">
        <f>IFERROR(__xludf.DUMMYFUNCTION("""COMPUTED_VALUE"""),3.0)</f>
        <v>3</v>
      </c>
      <c r="C569" s="49" t="str">
        <f>IFERROR(__xludf.DUMMYFUNCTION("""COMPUTED_VALUE"""),"X")</f>
        <v>X</v>
      </c>
      <c r="D569" s="49"/>
      <c r="E569" s="49" t="str">
        <f>IFERROR(__xludf.DUMMYFUNCTION("""COMPUTED_VALUE"""),"Can only be used by Undead, deals X*10 damage to all non-undead enemies, and X*100 to all Undead enemies.")</f>
        <v>Can only be used by Undead, deals X*10 damage to all non-undead enemies, and X*100 to all Undead enemies.</v>
      </c>
      <c r="F569" s="49" t="str">
        <f>IFERROR(__xludf.DUMMYFUNCTION("""COMPUTED_VALUE"""),"Cannot Avoid")</f>
        <v>Cannot Avoid</v>
      </c>
      <c r="G569" s="49" t="str">
        <f>IFERROR(__xludf.DUMMYFUNCTION("""COMPUTED_VALUE"""),"All")</f>
        <v>All</v>
      </c>
      <c r="H569" s="49" t="str">
        <f>IFERROR(__xludf.DUMMYFUNCTION("""COMPUTED_VALUE"""),"Fire")</f>
        <v>Fire</v>
      </c>
      <c r="I569" s="49" t="str">
        <f>IFERROR(__xludf.DUMMYFUNCTION("""COMPUTED_VALUE"""),"Player")</f>
        <v>Player</v>
      </c>
      <c r="J569" s="49" t="b">
        <f>IFERROR(__xludf.DUMMYFUNCTION("""COMPUTED_VALUE"""),FALSE)</f>
        <v>0</v>
      </c>
      <c r="K569" s="49"/>
      <c r="L569" s="49" t="b">
        <f>IFERROR(__xludf.DUMMYFUNCTION("""COMPUTED_VALUE"""),FALSE)</f>
        <v>0</v>
      </c>
      <c r="M569" s="49" t="b">
        <f>IFERROR(__xludf.DUMMYFUNCTION("""COMPUTED_VALUE"""),FALSE)</f>
        <v>0</v>
      </c>
      <c r="N569" s="49"/>
    </row>
    <row r="570">
      <c r="A570" s="49" t="str">
        <f>IFERROR(__xludf.DUMMYFUNCTION("""COMPUTED_VALUE"""),"Chameldrian Camoflauge")</f>
        <v>Chameldrian Camoflauge</v>
      </c>
      <c r="B570" s="126">
        <f>IFERROR(__xludf.DUMMYFUNCTION("""COMPUTED_VALUE"""),1.0)</f>
        <v>1</v>
      </c>
      <c r="C570" s="125">
        <f>IFERROR(__xludf.DUMMYFUNCTION("""COMPUTED_VALUE"""),0.0)</f>
        <v>0</v>
      </c>
      <c r="D570" s="49"/>
      <c r="E570" s="49"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49" t="str">
        <f>IFERROR(__xludf.DUMMYFUNCTION("""COMPUTED_VALUE"""),"Natural/Fail or Succeed")</f>
        <v>Natural/Fail or Succeed</v>
      </c>
      <c r="G570" s="49" t="str">
        <f>IFERROR(__xludf.DUMMYFUNCTION("""COMPUTED_VALUE"""),"Self")</f>
        <v>Self</v>
      </c>
      <c r="H570" s="49" t="str">
        <f>IFERROR(__xludf.DUMMYFUNCTION("""COMPUTED_VALUE"""),"Nature")</f>
        <v>Nature</v>
      </c>
      <c r="I570" s="49" t="str">
        <f>IFERROR(__xludf.DUMMYFUNCTION("""COMPUTED_VALUE"""),"Mob")</f>
        <v>Mob</v>
      </c>
      <c r="J570" s="49" t="b">
        <f>IFERROR(__xludf.DUMMYFUNCTION("""COMPUTED_VALUE"""),TRUE)</f>
        <v>1</v>
      </c>
      <c r="K570" s="49"/>
      <c r="L570" s="49" t="b">
        <f>IFERROR(__xludf.DUMMYFUNCTION("""COMPUTED_VALUE"""),FALSE)</f>
        <v>0</v>
      </c>
      <c r="M570" s="49" t="b">
        <f>IFERROR(__xludf.DUMMYFUNCTION("""COMPUTED_VALUE"""),FALSE)</f>
        <v>0</v>
      </c>
      <c r="N570" s="49"/>
    </row>
    <row r="571">
      <c r="A571" s="49"/>
      <c r="B571" s="49"/>
      <c r="C571" s="49"/>
      <c r="D571" s="49"/>
      <c r="E571" s="49"/>
      <c r="F571" s="49"/>
      <c r="G571" s="49"/>
      <c r="H571" s="49"/>
      <c r="I571" s="49"/>
      <c r="J571" s="49" t="b">
        <f>IFERROR(__xludf.DUMMYFUNCTION("""COMPUTED_VALUE"""),FALSE)</f>
        <v>0</v>
      </c>
      <c r="K571" s="49"/>
      <c r="L571" s="49" t="b">
        <f>IFERROR(__xludf.DUMMYFUNCTION("""COMPUTED_VALUE"""),FALSE)</f>
        <v>0</v>
      </c>
      <c r="M571" s="49" t="b">
        <f>IFERROR(__xludf.DUMMYFUNCTION("""COMPUTED_VALUE"""),FALSE)</f>
        <v>0</v>
      </c>
      <c r="N571" s="49"/>
    </row>
    <row r="572">
      <c r="A572" s="49"/>
      <c r="B572" s="49"/>
      <c r="C572" s="49"/>
      <c r="D572" s="49"/>
      <c r="E572" s="49"/>
      <c r="F572" s="49"/>
      <c r="G572" s="49"/>
      <c r="H572" s="49"/>
      <c r="I572" s="49"/>
      <c r="J572" s="49" t="b">
        <f>IFERROR(__xludf.DUMMYFUNCTION("""COMPUTED_VALUE"""),FALSE)</f>
        <v>0</v>
      </c>
      <c r="K572" s="49"/>
      <c r="L572" s="49" t="b">
        <f>IFERROR(__xludf.DUMMYFUNCTION("""COMPUTED_VALUE"""),FALSE)</f>
        <v>0</v>
      </c>
      <c r="M572" s="49" t="b">
        <f>IFERROR(__xludf.DUMMYFUNCTION("""COMPUTED_VALUE"""),FALSE)</f>
        <v>0</v>
      </c>
      <c r="N572" s="49"/>
    </row>
    <row r="573">
      <c r="A573" s="49"/>
      <c r="B573" s="49"/>
      <c r="C573" s="49"/>
      <c r="D573" s="49"/>
      <c r="E573" s="49"/>
      <c r="F573" s="49"/>
      <c r="G573" s="49"/>
      <c r="H573" s="49"/>
      <c r="I573" s="49"/>
      <c r="J573" s="49" t="b">
        <f>IFERROR(__xludf.DUMMYFUNCTION("""COMPUTED_VALUE"""),FALSE)</f>
        <v>0</v>
      </c>
      <c r="K573" s="49"/>
      <c r="L573" s="49" t="b">
        <f>IFERROR(__xludf.DUMMYFUNCTION("""COMPUTED_VALUE"""),FALSE)</f>
        <v>0</v>
      </c>
      <c r="M573" s="49" t="b">
        <f>IFERROR(__xludf.DUMMYFUNCTION("""COMPUTED_VALUE"""),FALSE)</f>
        <v>0</v>
      </c>
      <c r="N573" s="49"/>
    </row>
    <row r="574">
      <c r="A574" s="49"/>
      <c r="B574" s="49"/>
      <c r="C574" s="49"/>
      <c r="D574" s="49"/>
      <c r="E574" s="49"/>
      <c r="F574" s="49"/>
      <c r="G574" s="49"/>
      <c r="H574" s="49"/>
      <c r="I574" s="49"/>
      <c r="J574" s="49" t="b">
        <f>IFERROR(__xludf.DUMMYFUNCTION("""COMPUTED_VALUE"""),FALSE)</f>
        <v>0</v>
      </c>
      <c r="K574" s="49"/>
      <c r="L574" s="49" t="b">
        <f>IFERROR(__xludf.DUMMYFUNCTION("""COMPUTED_VALUE"""),FALSE)</f>
        <v>0</v>
      </c>
      <c r="M574" s="49" t="b">
        <f>IFERROR(__xludf.DUMMYFUNCTION("""COMPUTED_VALUE"""),FALSE)</f>
        <v>0</v>
      </c>
      <c r="N574" s="49"/>
    </row>
    <row r="575">
      <c r="A575" s="49"/>
      <c r="B575" s="49"/>
      <c r="C575" s="49"/>
      <c r="D575" s="49"/>
      <c r="E575" s="49"/>
      <c r="F575" s="49"/>
      <c r="G575" s="49"/>
      <c r="H575" s="49"/>
      <c r="I575" s="49"/>
      <c r="J575" s="49" t="b">
        <f>IFERROR(__xludf.DUMMYFUNCTION("""COMPUTED_VALUE"""),FALSE)</f>
        <v>0</v>
      </c>
      <c r="K575" s="49"/>
      <c r="L575" s="49" t="b">
        <f>IFERROR(__xludf.DUMMYFUNCTION("""COMPUTED_VALUE"""),FALSE)</f>
        <v>0</v>
      </c>
      <c r="M575" s="49" t="b">
        <f>IFERROR(__xludf.DUMMYFUNCTION("""COMPUTED_VALUE"""),FALSE)</f>
        <v>0</v>
      </c>
      <c r="N575" s="49"/>
    </row>
    <row r="576">
      <c r="A576" s="49"/>
      <c r="B576" s="49"/>
      <c r="C576" s="49"/>
      <c r="D576" s="49"/>
      <c r="E576" s="49"/>
      <c r="F576" s="49"/>
      <c r="G576" s="49"/>
      <c r="H576" s="49"/>
      <c r="I576" s="49"/>
      <c r="J576" s="49" t="b">
        <f>IFERROR(__xludf.DUMMYFUNCTION("""COMPUTED_VALUE"""),FALSE)</f>
        <v>0</v>
      </c>
      <c r="K576" s="49"/>
      <c r="L576" s="49" t="b">
        <f>IFERROR(__xludf.DUMMYFUNCTION("""COMPUTED_VALUE"""),FALSE)</f>
        <v>0</v>
      </c>
      <c r="M576" s="49" t="b">
        <f>IFERROR(__xludf.DUMMYFUNCTION("""COMPUTED_VALUE"""),FALSE)</f>
        <v>0</v>
      </c>
      <c r="N576" s="49"/>
    </row>
    <row r="577">
      <c r="A577" s="49"/>
      <c r="B577" s="49"/>
      <c r="C577" s="49"/>
      <c r="D577" s="49"/>
      <c r="E577" s="49"/>
      <c r="F577" s="49"/>
      <c r="G577" s="49"/>
      <c r="H577" s="49"/>
      <c r="I577" s="49"/>
      <c r="J577" s="49" t="b">
        <f>IFERROR(__xludf.DUMMYFUNCTION("""COMPUTED_VALUE"""),FALSE)</f>
        <v>0</v>
      </c>
      <c r="K577" s="49"/>
      <c r="L577" s="49" t="b">
        <f>IFERROR(__xludf.DUMMYFUNCTION("""COMPUTED_VALUE"""),FALSE)</f>
        <v>0</v>
      </c>
      <c r="M577" s="49" t="b">
        <f>IFERROR(__xludf.DUMMYFUNCTION("""COMPUTED_VALUE"""),FALSE)</f>
        <v>0</v>
      </c>
      <c r="N577" s="49"/>
    </row>
    <row r="578">
      <c r="A578" s="49"/>
      <c r="B578" s="49"/>
      <c r="C578" s="49"/>
      <c r="D578" s="49"/>
      <c r="E578" s="49"/>
      <c r="F578" s="49"/>
      <c r="G578" s="49"/>
      <c r="H578" s="49"/>
      <c r="I578" s="49"/>
      <c r="J578" s="49" t="b">
        <f>IFERROR(__xludf.DUMMYFUNCTION("""COMPUTED_VALUE"""),FALSE)</f>
        <v>0</v>
      </c>
      <c r="K578" s="49"/>
      <c r="L578" s="49" t="b">
        <f>IFERROR(__xludf.DUMMYFUNCTION("""COMPUTED_VALUE"""),FALSE)</f>
        <v>0</v>
      </c>
      <c r="M578" s="49" t="b">
        <f>IFERROR(__xludf.DUMMYFUNCTION("""COMPUTED_VALUE"""),FALSE)</f>
        <v>0</v>
      </c>
      <c r="N578" s="49"/>
    </row>
    <row r="579">
      <c r="A579" s="49"/>
      <c r="B579" s="49"/>
      <c r="C579" s="49"/>
      <c r="D579" s="49"/>
      <c r="E579" s="49"/>
      <c r="F579" s="49"/>
      <c r="G579" s="49"/>
      <c r="H579" s="49"/>
      <c r="I579" s="49"/>
      <c r="J579" s="49" t="b">
        <f>IFERROR(__xludf.DUMMYFUNCTION("""COMPUTED_VALUE"""),FALSE)</f>
        <v>0</v>
      </c>
      <c r="K579" s="49"/>
      <c r="L579" s="49" t="b">
        <f>IFERROR(__xludf.DUMMYFUNCTION("""COMPUTED_VALUE"""),FALSE)</f>
        <v>0</v>
      </c>
      <c r="M579" s="49" t="b">
        <f>IFERROR(__xludf.DUMMYFUNCTION("""COMPUTED_VALUE"""),FALSE)</f>
        <v>0</v>
      </c>
      <c r="N579" s="49"/>
    </row>
    <row r="580">
      <c r="A580" s="49"/>
      <c r="B580" s="49"/>
      <c r="C580" s="49"/>
      <c r="D580" s="49"/>
      <c r="E580" s="49"/>
      <c r="F580" s="49"/>
      <c r="G580" s="49"/>
      <c r="H580" s="49"/>
      <c r="I580" s="49"/>
      <c r="J580" s="49" t="b">
        <f>IFERROR(__xludf.DUMMYFUNCTION("""COMPUTED_VALUE"""),FALSE)</f>
        <v>0</v>
      </c>
      <c r="K580" s="49"/>
      <c r="L580" s="49" t="b">
        <f>IFERROR(__xludf.DUMMYFUNCTION("""COMPUTED_VALUE"""),FALSE)</f>
        <v>0</v>
      </c>
      <c r="M580" s="49" t="b">
        <f>IFERROR(__xludf.DUMMYFUNCTION("""COMPUTED_VALUE"""),FALSE)</f>
        <v>0</v>
      </c>
      <c r="N580" s="49"/>
    </row>
    <row r="581">
      <c r="A581" s="49"/>
      <c r="B581" s="49"/>
      <c r="C581" s="49"/>
      <c r="D581" s="49"/>
      <c r="E581" s="49"/>
      <c r="F581" s="49"/>
      <c r="G581" s="49"/>
      <c r="H581" s="49"/>
      <c r="I581" s="49"/>
      <c r="J581" s="49" t="b">
        <f>IFERROR(__xludf.DUMMYFUNCTION("""COMPUTED_VALUE"""),FALSE)</f>
        <v>0</v>
      </c>
      <c r="K581" s="49"/>
      <c r="L581" s="49" t="b">
        <f>IFERROR(__xludf.DUMMYFUNCTION("""COMPUTED_VALUE"""),FALSE)</f>
        <v>0</v>
      </c>
      <c r="M581" s="49" t="b">
        <f>IFERROR(__xludf.DUMMYFUNCTION("""COMPUTED_VALUE"""),FALSE)</f>
        <v>0</v>
      </c>
      <c r="N581" s="49"/>
    </row>
    <row r="582">
      <c r="A582" s="49"/>
      <c r="B582" s="49"/>
      <c r="C582" s="49"/>
      <c r="D582" s="49"/>
      <c r="E582" s="49"/>
      <c r="F582" s="49"/>
      <c r="G582" s="49"/>
      <c r="H582" s="49"/>
      <c r="I582" s="49"/>
      <c r="J582" s="49" t="b">
        <f>IFERROR(__xludf.DUMMYFUNCTION("""COMPUTED_VALUE"""),FALSE)</f>
        <v>0</v>
      </c>
      <c r="K582" s="49"/>
      <c r="L582" s="49" t="b">
        <f>IFERROR(__xludf.DUMMYFUNCTION("""COMPUTED_VALUE"""),FALSE)</f>
        <v>0</v>
      </c>
      <c r="M582" s="49" t="b">
        <f>IFERROR(__xludf.DUMMYFUNCTION("""COMPUTED_VALUE"""),FALSE)</f>
        <v>0</v>
      </c>
      <c r="N582" s="49"/>
    </row>
    <row r="583">
      <c r="A583" s="49"/>
      <c r="B583" s="49"/>
      <c r="C583" s="49"/>
      <c r="D583" s="49"/>
      <c r="E583" s="49"/>
      <c r="F583" s="49"/>
      <c r="G583" s="49"/>
      <c r="H583" s="49"/>
      <c r="I583" s="49"/>
      <c r="J583" s="49" t="b">
        <f>IFERROR(__xludf.DUMMYFUNCTION("""COMPUTED_VALUE"""),FALSE)</f>
        <v>0</v>
      </c>
      <c r="K583" s="49"/>
      <c r="L583" s="49" t="b">
        <f>IFERROR(__xludf.DUMMYFUNCTION("""COMPUTED_VALUE"""),FALSE)</f>
        <v>0</v>
      </c>
      <c r="M583" s="49" t="b">
        <f>IFERROR(__xludf.DUMMYFUNCTION("""COMPUTED_VALUE"""),FALSE)</f>
        <v>0</v>
      </c>
      <c r="N583" s="49"/>
    </row>
    <row r="584">
      <c r="A584" s="49"/>
      <c r="B584" s="49"/>
      <c r="C584" s="49"/>
      <c r="D584" s="49"/>
      <c r="E584" s="49"/>
      <c r="F584" s="49"/>
      <c r="G584" s="49"/>
      <c r="H584" s="49"/>
      <c r="I584" s="49"/>
      <c r="J584" s="49" t="b">
        <f>IFERROR(__xludf.DUMMYFUNCTION("""COMPUTED_VALUE"""),FALSE)</f>
        <v>0</v>
      </c>
      <c r="K584" s="49"/>
      <c r="L584" s="49" t="b">
        <f>IFERROR(__xludf.DUMMYFUNCTION("""COMPUTED_VALUE"""),FALSE)</f>
        <v>0</v>
      </c>
      <c r="M584" s="49" t="b">
        <f>IFERROR(__xludf.DUMMYFUNCTION("""COMPUTED_VALUE"""),FALSE)</f>
        <v>0</v>
      </c>
      <c r="N584" s="49"/>
    </row>
    <row r="585">
      <c r="A585" s="49"/>
      <c r="B585" s="49"/>
      <c r="C585" s="49"/>
      <c r="D585" s="49"/>
      <c r="E585" s="49"/>
      <c r="F585" s="49"/>
      <c r="G585" s="49"/>
      <c r="H585" s="49"/>
      <c r="I585" s="49"/>
      <c r="J585" s="49" t="b">
        <f>IFERROR(__xludf.DUMMYFUNCTION("""COMPUTED_VALUE"""),FALSE)</f>
        <v>0</v>
      </c>
      <c r="K585" s="49"/>
      <c r="L585" s="49" t="b">
        <f>IFERROR(__xludf.DUMMYFUNCTION("""COMPUTED_VALUE"""),FALSE)</f>
        <v>0</v>
      </c>
      <c r="M585" s="49" t="b">
        <f>IFERROR(__xludf.DUMMYFUNCTION("""COMPUTED_VALUE"""),FALSE)</f>
        <v>0</v>
      </c>
      <c r="N585" s="49"/>
    </row>
    <row r="586">
      <c r="A586" s="49"/>
      <c r="B586" s="49"/>
      <c r="C586" s="49"/>
      <c r="D586" s="49"/>
      <c r="E586" s="49"/>
      <c r="F586" s="49"/>
      <c r="G586" s="49"/>
      <c r="H586" s="49"/>
      <c r="I586" s="49"/>
      <c r="J586" s="49" t="b">
        <f>IFERROR(__xludf.DUMMYFUNCTION("""COMPUTED_VALUE"""),FALSE)</f>
        <v>0</v>
      </c>
      <c r="K586" s="49"/>
      <c r="L586" s="49" t="b">
        <f>IFERROR(__xludf.DUMMYFUNCTION("""COMPUTED_VALUE"""),FALSE)</f>
        <v>0</v>
      </c>
      <c r="M586" s="49" t="b">
        <f>IFERROR(__xludf.DUMMYFUNCTION("""COMPUTED_VALUE"""),FALSE)</f>
        <v>0</v>
      </c>
      <c r="N586" s="49"/>
    </row>
    <row r="587">
      <c r="A587" s="49"/>
      <c r="B587" s="49"/>
      <c r="C587" s="49"/>
      <c r="D587" s="49"/>
      <c r="E587" s="49"/>
      <c r="F587" s="49"/>
      <c r="G587" s="49"/>
      <c r="H587" s="49"/>
      <c r="I587" s="49"/>
      <c r="J587" s="49" t="b">
        <f>IFERROR(__xludf.DUMMYFUNCTION("""COMPUTED_VALUE"""),TRUE)</f>
        <v>1</v>
      </c>
      <c r="K587" s="49"/>
      <c r="L587" s="49" t="b">
        <f>IFERROR(__xludf.DUMMYFUNCTION("""COMPUTED_VALUE"""),FALSE)</f>
        <v>0</v>
      </c>
      <c r="M587" s="49" t="b">
        <f>IFERROR(__xludf.DUMMYFUNCTION("""COMPUTED_VALUE"""),FALSE)</f>
        <v>0</v>
      </c>
      <c r="N587" s="49"/>
    </row>
    <row r="588">
      <c r="A588" s="49"/>
      <c r="B588" s="49"/>
      <c r="C588" s="49"/>
      <c r="D588" s="49"/>
      <c r="E588" s="49"/>
      <c r="F588" s="49"/>
      <c r="G588" s="49"/>
      <c r="H588" s="49"/>
      <c r="I588" s="49"/>
      <c r="J588" s="49" t="b">
        <f>IFERROR(__xludf.DUMMYFUNCTION("""COMPUTED_VALUE"""),TRUE)</f>
        <v>1</v>
      </c>
      <c r="K588" s="49"/>
      <c r="L588" s="49" t="b">
        <f>IFERROR(__xludf.DUMMYFUNCTION("""COMPUTED_VALUE"""),FALSE)</f>
        <v>0</v>
      </c>
      <c r="M588" s="49" t="b">
        <f>IFERROR(__xludf.DUMMYFUNCTION("""COMPUTED_VALUE"""),FALSE)</f>
        <v>0</v>
      </c>
      <c r="N588" s="49"/>
    </row>
    <row r="589">
      <c r="A589" s="49"/>
      <c r="B589" s="49"/>
      <c r="C589" s="49"/>
      <c r="D589" s="49"/>
      <c r="E589" s="49"/>
      <c r="F589" s="49"/>
      <c r="G589" s="49"/>
      <c r="H589" s="49"/>
      <c r="I589" s="49"/>
      <c r="J589" s="49" t="b">
        <f>IFERROR(__xludf.DUMMYFUNCTION("""COMPUTED_VALUE"""),FALSE)</f>
        <v>0</v>
      </c>
      <c r="K589" s="49"/>
      <c r="L589" s="49" t="b">
        <f>IFERROR(__xludf.DUMMYFUNCTION("""COMPUTED_VALUE"""),FALSE)</f>
        <v>0</v>
      </c>
      <c r="M589" s="49" t="b">
        <f>IFERROR(__xludf.DUMMYFUNCTION("""COMPUTED_VALUE"""),FALSE)</f>
        <v>0</v>
      </c>
      <c r="N589" s="49"/>
    </row>
    <row r="590">
      <c r="A590" s="49"/>
      <c r="B590" s="49"/>
      <c r="C590" s="49"/>
      <c r="D590" s="49"/>
      <c r="E590" s="49"/>
      <c r="F590" s="49"/>
      <c r="G590" s="49"/>
      <c r="H590" s="49"/>
      <c r="I590" s="49"/>
      <c r="J590" s="49" t="b">
        <f>IFERROR(__xludf.DUMMYFUNCTION("""COMPUTED_VALUE"""),FALSE)</f>
        <v>0</v>
      </c>
      <c r="K590" s="49"/>
      <c r="L590" s="49" t="b">
        <f>IFERROR(__xludf.DUMMYFUNCTION("""COMPUTED_VALUE"""),FALSE)</f>
        <v>0</v>
      </c>
      <c r="M590" s="49" t="b">
        <f>IFERROR(__xludf.DUMMYFUNCTION("""COMPUTED_VALUE"""),FALSE)</f>
        <v>0</v>
      </c>
      <c r="N590" s="49"/>
    </row>
    <row r="591">
      <c r="A591" s="49"/>
      <c r="B591" s="49"/>
      <c r="C591" s="49"/>
      <c r="D591" s="49"/>
      <c r="E591" s="49"/>
      <c r="F591" s="49"/>
      <c r="G591" s="49"/>
      <c r="H591" s="49"/>
      <c r="I591" s="49"/>
      <c r="J591" s="49" t="b">
        <f>IFERROR(__xludf.DUMMYFUNCTION("""COMPUTED_VALUE"""),FALSE)</f>
        <v>0</v>
      </c>
      <c r="K591" s="49"/>
      <c r="L591" s="49" t="b">
        <f>IFERROR(__xludf.DUMMYFUNCTION("""COMPUTED_VALUE"""),FALSE)</f>
        <v>0</v>
      </c>
      <c r="M591" s="49" t="b">
        <f>IFERROR(__xludf.DUMMYFUNCTION("""COMPUTED_VALUE"""),FALSE)</f>
        <v>0</v>
      </c>
      <c r="N591" s="49"/>
    </row>
    <row r="592">
      <c r="A592" s="49"/>
      <c r="B592" s="49"/>
      <c r="C592" s="49"/>
      <c r="D592" s="49"/>
      <c r="E592" s="49"/>
      <c r="F592" s="49"/>
      <c r="G592" s="49"/>
      <c r="H592" s="49"/>
      <c r="I592" s="49"/>
      <c r="J592" s="49" t="b">
        <f>IFERROR(__xludf.DUMMYFUNCTION("""COMPUTED_VALUE"""),FALSE)</f>
        <v>0</v>
      </c>
      <c r="K592" s="49"/>
      <c r="L592" s="49" t="b">
        <f>IFERROR(__xludf.DUMMYFUNCTION("""COMPUTED_VALUE"""),FALSE)</f>
        <v>0</v>
      </c>
      <c r="M592" s="49" t="b">
        <f>IFERROR(__xludf.DUMMYFUNCTION("""COMPUTED_VALUE"""),FALSE)</f>
        <v>0</v>
      </c>
      <c r="N592" s="49"/>
    </row>
    <row r="593">
      <c r="A593" s="49"/>
      <c r="B593" s="49"/>
      <c r="C593" s="49"/>
      <c r="D593" s="49"/>
      <c r="E593" s="49"/>
      <c r="F593" s="49"/>
      <c r="G593" s="49"/>
      <c r="H593" s="49"/>
      <c r="I593" s="49"/>
      <c r="J593" s="49" t="b">
        <f>IFERROR(__xludf.DUMMYFUNCTION("""COMPUTED_VALUE"""),FALSE)</f>
        <v>0</v>
      </c>
      <c r="K593" s="49"/>
      <c r="L593" s="49" t="b">
        <f>IFERROR(__xludf.DUMMYFUNCTION("""COMPUTED_VALUE"""),FALSE)</f>
        <v>0</v>
      </c>
      <c r="M593" s="49" t="b">
        <f>IFERROR(__xludf.DUMMYFUNCTION("""COMPUTED_VALUE"""),FALSE)</f>
        <v>0</v>
      </c>
      <c r="N593" s="49"/>
    </row>
    <row r="594">
      <c r="A594" s="49"/>
      <c r="B594" s="49"/>
      <c r="C594" s="49"/>
      <c r="D594" s="49"/>
      <c r="E594" s="49"/>
      <c r="F594" s="49"/>
      <c r="G594" s="49"/>
      <c r="H594" s="49"/>
      <c r="I594" s="49"/>
      <c r="J594" s="49" t="b">
        <f>IFERROR(__xludf.DUMMYFUNCTION("""COMPUTED_VALUE"""),TRUE)</f>
        <v>1</v>
      </c>
      <c r="K594" s="49"/>
      <c r="L594" s="49" t="b">
        <f>IFERROR(__xludf.DUMMYFUNCTION("""COMPUTED_VALUE"""),FALSE)</f>
        <v>0</v>
      </c>
      <c r="M594" s="49" t="b">
        <f>IFERROR(__xludf.DUMMYFUNCTION("""COMPUTED_VALUE"""),FALSE)</f>
        <v>0</v>
      </c>
      <c r="N594" s="49"/>
    </row>
    <row r="595">
      <c r="A595" s="49"/>
      <c r="B595" s="49"/>
      <c r="C595" s="49"/>
      <c r="D595" s="49"/>
      <c r="E595" s="49"/>
      <c r="F595" s="49"/>
      <c r="G595" s="49"/>
      <c r="H595" s="49"/>
      <c r="I595" s="49"/>
      <c r="J595" s="49" t="b">
        <f>IFERROR(__xludf.DUMMYFUNCTION("""COMPUTED_VALUE"""),FALSE)</f>
        <v>0</v>
      </c>
      <c r="K595" s="49"/>
      <c r="L595" s="49" t="b">
        <f>IFERROR(__xludf.DUMMYFUNCTION("""COMPUTED_VALUE"""),FALSE)</f>
        <v>0</v>
      </c>
      <c r="M595" s="49" t="b">
        <f>IFERROR(__xludf.DUMMYFUNCTION("""COMPUTED_VALUE"""),FALSE)</f>
        <v>0</v>
      </c>
      <c r="N595" s="49"/>
    </row>
    <row r="596">
      <c r="A596" s="49"/>
      <c r="B596" s="49"/>
      <c r="C596" s="49"/>
      <c r="D596" s="49"/>
      <c r="E596" s="49"/>
      <c r="F596" s="49"/>
      <c r="G596" s="49"/>
      <c r="H596" s="49"/>
      <c r="I596" s="49"/>
      <c r="J596" s="49" t="b">
        <f>IFERROR(__xludf.DUMMYFUNCTION("""COMPUTED_VALUE"""),TRUE)</f>
        <v>1</v>
      </c>
      <c r="K596" s="49"/>
      <c r="L596" s="49" t="b">
        <f>IFERROR(__xludf.DUMMYFUNCTION("""COMPUTED_VALUE"""),FALSE)</f>
        <v>0</v>
      </c>
      <c r="M596" s="49" t="b">
        <f>IFERROR(__xludf.DUMMYFUNCTION("""COMPUTED_VALUE"""),FALSE)</f>
        <v>0</v>
      </c>
      <c r="N596" s="49"/>
    </row>
    <row r="597">
      <c r="A597" s="49"/>
      <c r="B597" s="49"/>
      <c r="C597" s="49"/>
      <c r="D597" s="49"/>
      <c r="E597" s="49"/>
      <c r="F597" s="49"/>
      <c r="G597" s="49"/>
      <c r="H597" s="49"/>
      <c r="I597" s="49"/>
      <c r="J597" s="49" t="b">
        <f>IFERROR(__xludf.DUMMYFUNCTION("""COMPUTED_VALUE"""),FALSE)</f>
        <v>0</v>
      </c>
      <c r="K597" s="49"/>
      <c r="L597" s="49" t="b">
        <f>IFERROR(__xludf.DUMMYFUNCTION("""COMPUTED_VALUE"""),FALSE)</f>
        <v>0</v>
      </c>
      <c r="M597" s="49" t="b">
        <f>IFERROR(__xludf.DUMMYFUNCTION("""COMPUTED_VALUE"""),FALSE)</f>
        <v>0</v>
      </c>
      <c r="N597" s="49"/>
    </row>
    <row r="598">
      <c r="A598" s="49"/>
      <c r="B598" s="49"/>
      <c r="C598" s="49"/>
      <c r="D598" s="49"/>
      <c r="E598" s="49"/>
      <c r="F598" s="49"/>
      <c r="G598" s="49"/>
      <c r="H598" s="49"/>
      <c r="I598" s="49"/>
      <c r="J598" s="49" t="b">
        <f>IFERROR(__xludf.DUMMYFUNCTION("""COMPUTED_VALUE"""),FALSE)</f>
        <v>0</v>
      </c>
      <c r="K598" s="49"/>
      <c r="L598" s="49" t="b">
        <f>IFERROR(__xludf.DUMMYFUNCTION("""COMPUTED_VALUE"""),FALSE)</f>
        <v>0</v>
      </c>
      <c r="M598" s="49" t="b">
        <f>IFERROR(__xludf.DUMMYFUNCTION("""COMPUTED_VALUE"""),FALSE)</f>
        <v>0</v>
      </c>
      <c r="N598" s="49"/>
    </row>
    <row r="599">
      <c r="A599" s="49"/>
      <c r="B599" s="49"/>
      <c r="C599" s="49"/>
      <c r="D599" s="49"/>
      <c r="E599" s="49"/>
      <c r="F599" s="49"/>
      <c r="G599" s="49"/>
      <c r="H599" s="49"/>
      <c r="I599" s="49"/>
      <c r="J599" s="49" t="b">
        <f>IFERROR(__xludf.DUMMYFUNCTION("""COMPUTED_VALUE"""),FALSE)</f>
        <v>0</v>
      </c>
      <c r="K599" s="49"/>
      <c r="L599" s="49" t="b">
        <f>IFERROR(__xludf.DUMMYFUNCTION("""COMPUTED_VALUE"""),FALSE)</f>
        <v>0</v>
      </c>
      <c r="M599" s="49" t="b">
        <f>IFERROR(__xludf.DUMMYFUNCTION("""COMPUTED_VALUE"""),FALSE)</f>
        <v>0</v>
      </c>
      <c r="N599" s="49"/>
    </row>
    <row r="600">
      <c r="A600" s="49"/>
      <c r="B600" s="49"/>
      <c r="C600" s="49"/>
      <c r="D600" s="49"/>
      <c r="E600" s="49"/>
      <c r="F600" s="49"/>
      <c r="G600" s="49"/>
      <c r="H600" s="49"/>
      <c r="I600" s="49"/>
      <c r="J600" s="49" t="b">
        <f>IFERROR(__xludf.DUMMYFUNCTION("""COMPUTED_VALUE"""),FALSE)</f>
        <v>0</v>
      </c>
      <c r="K600" s="49"/>
      <c r="L600" s="49" t="b">
        <f>IFERROR(__xludf.DUMMYFUNCTION("""COMPUTED_VALUE"""),FALSE)</f>
        <v>0</v>
      </c>
      <c r="M600" s="49" t="b">
        <f>IFERROR(__xludf.DUMMYFUNCTION("""COMPUTED_VALUE"""),FALSE)</f>
        <v>0</v>
      </c>
      <c r="N600" s="49"/>
    </row>
    <row r="601">
      <c r="A601" s="49"/>
      <c r="B601" s="49"/>
      <c r="C601" s="49"/>
      <c r="D601" s="49"/>
      <c r="E601" s="49"/>
      <c r="F601" s="49"/>
      <c r="G601" s="49"/>
      <c r="H601" s="49"/>
      <c r="I601" s="49"/>
      <c r="J601" s="49" t="b">
        <f>IFERROR(__xludf.DUMMYFUNCTION("""COMPUTED_VALUE"""),FALSE)</f>
        <v>0</v>
      </c>
      <c r="K601" s="49"/>
      <c r="L601" s="49" t="b">
        <f>IFERROR(__xludf.DUMMYFUNCTION("""COMPUTED_VALUE"""),FALSE)</f>
        <v>0</v>
      </c>
      <c r="M601" s="49" t="b">
        <f>IFERROR(__xludf.DUMMYFUNCTION("""COMPUTED_VALUE"""),FALSE)</f>
        <v>0</v>
      </c>
      <c r="N601" s="49"/>
    </row>
    <row r="602">
      <c r="A602" s="49"/>
      <c r="B602" s="49"/>
      <c r="C602" s="49"/>
      <c r="D602" s="49"/>
      <c r="E602" s="49"/>
      <c r="F602" s="49"/>
      <c r="G602" s="49"/>
      <c r="H602" s="49"/>
      <c r="I602" s="49"/>
      <c r="J602" s="49" t="b">
        <f>IFERROR(__xludf.DUMMYFUNCTION("""COMPUTED_VALUE"""),FALSE)</f>
        <v>0</v>
      </c>
      <c r="K602" s="49"/>
      <c r="L602" s="49" t="b">
        <f>IFERROR(__xludf.DUMMYFUNCTION("""COMPUTED_VALUE"""),FALSE)</f>
        <v>0</v>
      </c>
      <c r="M602" s="49" t="b">
        <f>IFERROR(__xludf.DUMMYFUNCTION("""COMPUTED_VALUE"""),FALSE)</f>
        <v>0</v>
      </c>
      <c r="N602" s="49"/>
    </row>
    <row r="603">
      <c r="A603" s="49"/>
      <c r="B603" s="49"/>
      <c r="C603" s="49"/>
      <c r="D603" s="49"/>
      <c r="E603" s="49"/>
      <c r="F603" s="49"/>
      <c r="G603" s="49"/>
      <c r="H603" s="49"/>
      <c r="I603" s="49"/>
      <c r="J603" s="49" t="b">
        <f>IFERROR(__xludf.DUMMYFUNCTION("""COMPUTED_VALUE"""),FALSE)</f>
        <v>0</v>
      </c>
      <c r="K603" s="49"/>
      <c r="L603" s="49" t="b">
        <f>IFERROR(__xludf.DUMMYFUNCTION("""COMPUTED_VALUE"""),FALSE)</f>
        <v>0</v>
      </c>
      <c r="M603" s="49" t="b">
        <f>IFERROR(__xludf.DUMMYFUNCTION("""COMPUTED_VALUE"""),FALSE)</f>
        <v>0</v>
      </c>
      <c r="N603" s="49"/>
    </row>
    <row r="604">
      <c r="A604" s="49"/>
      <c r="B604" s="49"/>
      <c r="C604" s="49"/>
      <c r="D604" s="49"/>
      <c r="E604" s="49"/>
      <c r="F604" s="49"/>
      <c r="G604" s="49"/>
      <c r="H604" s="49"/>
      <c r="I604" s="49"/>
      <c r="J604" s="49" t="b">
        <f>IFERROR(__xludf.DUMMYFUNCTION("""COMPUTED_VALUE"""),FALSE)</f>
        <v>0</v>
      </c>
      <c r="K604" s="49"/>
      <c r="L604" s="49" t="b">
        <f>IFERROR(__xludf.DUMMYFUNCTION("""COMPUTED_VALUE"""),FALSE)</f>
        <v>0</v>
      </c>
      <c r="M604" s="49" t="b">
        <f>IFERROR(__xludf.DUMMYFUNCTION("""COMPUTED_VALUE"""),FALSE)</f>
        <v>0</v>
      </c>
      <c r="N604" s="49"/>
    </row>
    <row r="605">
      <c r="A605" s="49"/>
      <c r="B605" s="49"/>
      <c r="C605" s="49"/>
      <c r="D605" s="49"/>
      <c r="E605" s="49"/>
      <c r="F605" s="49"/>
      <c r="G605" s="49"/>
      <c r="H605" s="49"/>
      <c r="I605" s="49"/>
      <c r="J605" s="49" t="b">
        <f>IFERROR(__xludf.DUMMYFUNCTION("""COMPUTED_VALUE"""),FALSE)</f>
        <v>0</v>
      </c>
      <c r="K605" s="49"/>
      <c r="L605" s="49" t="b">
        <f>IFERROR(__xludf.DUMMYFUNCTION("""COMPUTED_VALUE"""),FALSE)</f>
        <v>0</v>
      </c>
      <c r="M605" s="49" t="b">
        <f>IFERROR(__xludf.DUMMYFUNCTION("""COMPUTED_VALUE"""),FALSE)</f>
        <v>0</v>
      </c>
      <c r="N605" s="49"/>
    </row>
    <row r="606">
      <c r="A606" s="49"/>
      <c r="B606" s="49"/>
      <c r="C606" s="49"/>
      <c r="D606" s="49"/>
      <c r="E606" s="49"/>
      <c r="F606" s="49"/>
      <c r="G606" s="49"/>
      <c r="H606" s="49"/>
      <c r="I606" s="49"/>
      <c r="J606" s="49" t="b">
        <f>IFERROR(__xludf.DUMMYFUNCTION("""COMPUTED_VALUE"""),FALSE)</f>
        <v>0</v>
      </c>
      <c r="K606" s="49"/>
      <c r="L606" s="49" t="b">
        <f>IFERROR(__xludf.DUMMYFUNCTION("""COMPUTED_VALUE"""),FALSE)</f>
        <v>0</v>
      </c>
      <c r="M606" s="49" t="b">
        <f>IFERROR(__xludf.DUMMYFUNCTION("""COMPUTED_VALUE"""),FALSE)</f>
        <v>0</v>
      </c>
      <c r="N606" s="49"/>
    </row>
    <row r="607">
      <c r="A607" s="49"/>
      <c r="B607" s="49"/>
      <c r="C607" s="49"/>
      <c r="D607" s="49"/>
      <c r="E607" s="49"/>
      <c r="F607" s="49"/>
      <c r="G607" s="49"/>
      <c r="H607" s="49"/>
      <c r="I607" s="49"/>
      <c r="J607" s="49" t="b">
        <f>IFERROR(__xludf.DUMMYFUNCTION("""COMPUTED_VALUE"""),FALSE)</f>
        <v>0</v>
      </c>
      <c r="K607" s="49"/>
      <c r="L607" s="49" t="b">
        <f>IFERROR(__xludf.DUMMYFUNCTION("""COMPUTED_VALUE"""),FALSE)</f>
        <v>0</v>
      </c>
      <c r="M607" s="49" t="b">
        <f>IFERROR(__xludf.DUMMYFUNCTION("""COMPUTED_VALUE"""),FALSE)</f>
        <v>0</v>
      </c>
      <c r="N607" s="49"/>
    </row>
    <row r="608">
      <c r="A608" s="49"/>
      <c r="B608" s="49"/>
      <c r="C608" s="49"/>
      <c r="D608" s="49"/>
      <c r="E608" s="49"/>
      <c r="F608" s="49"/>
      <c r="G608" s="49"/>
      <c r="H608" s="49"/>
      <c r="I608" s="49"/>
      <c r="J608" s="49" t="b">
        <f>IFERROR(__xludf.DUMMYFUNCTION("""COMPUTED_VALUE"""),TRUE)</f>
        <v>1</v>
      </c>
      <c r="K608" s="49"/>
      <c r="L608" s="49" t="b">
        <f>IFERROR(__xludf.DUMMYFUNCTION("""COMPUTED_VALUE"""),FALSE)</f>
        <v>0</v>
      </c>
      <c r="M608" s="49" t="b">
        <f>IFERROR(__xludf.DUMMYFUNCTION("""COMPUTED_VALUE"""),FALSE)</f>
        <v>0</v>
      </c>
      <c r="N608" s="49"/>
    </row>
    <row r="609">
      <c r="A609" s="49"/>
      <c r="B609" s="49"/>
      <c r="C609" s="49"/>
      <c r="D609" s="49"/>
      <c r="E609" s="49"/>
      <c r="F609" s="49"/>
      <c r="G609" s="49"/>
      <c r="H609" s="49"/>
      <c r="I609" s="49"/>
      <c r="J609" s="49" t="b">
        <f>IFERROR(__xludf.DUMMYFUNCTION("""COMPUTED_VALUE"""),TRUE)</f>
        <v>1</v>
      </c>
      <c r="K609" s="49" t="str">
        <f>IFERROR(__xludf.DUMMYFUNCTION("""COMPUTED_VALUE"""),"mob power")</f>
        <v>mob power</v>
      </c>
      <c r="L609" s="49" t="b">
        <f>IFERROR(__xludf.DUMMYFUNCTION("""COMPUTED_VALUE"""),FALSE)</f>
        <v>0</v>
      </c>
      <c r="M609" s="49" t="b">
        <f>IFERROR(__xludf.DUMMYFUNCTION("""COMPUTED_VALUE"""),FALSE)</f>
        <v>0</v>
      </c>
      <c r="N609" s="49"/>
    </row>
    <row r="610">
      <c r="A610" s="49"/>
      <c r="B610" s="49"/>
      <c r="C610" s="49"/>
      <c r="D610" s="49"/>
      <c r="E610" s="49"/>
      <c r="F610" s="49"/>
      <c r="G610" s="49"/>
      <c r="H610" s="49"/>
      <c r="I610" s="49"/>
      <c r="J610" s="49" t="b">
        <f>IFERROR(__xludf.DUMMYFUNCTION("""COMPUTED_VALUE"""),FALSE)</f>
        <v>0</v>
      </c>
      <c r="K610" s="49"/>
      <c r="L610" s="49" t="b">
        <f>IFERROR(__xludf.DUMMYFUNCTION("""COMPUTED_VALUE"""),TRUE)</f>
        <v>1</v>
      </c>
      <c r="M610" s="49" t="b">
        <f>IFERROR(__xludf.DUMMYFUNCTION("""COMPUTED_VALUE"""),FALSE)</f>
        <v>0</v>
      </c>
      <c r="N610" s="49"/>
    </row>
    <row r="611">
      <c r="A611" s="49"/>
      <c r="B611" s="49"/>
      <c r="C611" s="49"/>
      <c r="D611" s="49"/>
      <c r="E611" s="49"/>
      <c r="F611" s="49"/>
      <c r="G611" s="49"/>
      <c r="H611" s="49"/>
      <c r="I611" s="49"/>
      <c r="J611" s="49" t="b">
        <f>IFERROR(__xludf.DUMMYFUNCTION("""COMPUTED_VALUE"""),FALSE)</f>
        <v>0</v>
      </c>
      <c r="K611" s="49"/>
      <c r="L611" s="49" t="b">
        <f>IFERROR(__xludf.DUMMYFUNCTION("""COMPUTED_VALUE"""),TRUE)</f>
        <v>1</v>
      </c>
      <c r="M611" s="49" t="b">
        <f>IFERROR(__xludf.DUMMYFUNCTION("""COMPUTED_VALUE"""),FALSE)</f>
        <v>0</v>
      </c>
      <c r="N611" s="49"/>
    </row>
    <row r="612">
      <c r="A612" s="49"/>
      <c r="B612" s="49"/>
      <c r="C612" s="49"/>
      <c r="D612" s="49"/>
      <c r="E612" s="49"/>
      <c r="F612" s="49"/>
      <c r="G612" s="49"/>
      <c r="H612" s="49"/>
      <c r="I612" s="49"/>
      <c r="J612" s="49" t="b">
        <f>IFERROR(__xludf.DUMMYFUNCTION("""COMPUTED_VALUE"""),FALSE)</f>
        <v>0</v>
      </c>
      <c r="K612" s="49"/>
      <c r="L612" s="49" t="b">
        <f>IFERROR(__xludf.DUMMYFUNCTION("""COMPUTED_VALUE"""),TRUE)</f>
        <v>1</v>
      </c>
      <c r="M612" s="49" t="b">
        <f>IFERROR(__xludf.DUMMYFUNCTION("""COMPUTED_VALUE"""),FALSE)</f>
        <v>0</v>
      </c>
      <c r="N612" s="49"/>
    </row>
    <row r="613">
      <c r="A613" s="49"/>
      <c r="B613" s="49"/>
      <c r="C613" s="49"/>
      <c r="D613" s="49"/>
      <c r="E613" s="49"/>
      <c r="F613" s="49"/>
      <c r="G613" s="49"/>
      <c r="H613" s="49"/>
      <c r="I613" s="49"/>
      <c r="J613" s="49" t="b">
        <f>IFERROR(__xludf.DUMMYFUNCTION("""COMPUTED_VALUE"""),FALSE)</f>
        <v>0</v>
      </c>
      <c r="K613" s="49"/>
      <c r="L613" s="49" t="b">
        <f>IFERROR(__xludf.DUMMYFUNCTION("""COMPUTED_VALUE"""),TRUE)</f>
        <v>1</v>
      </c>
      <c r="M613" s="49" t="b">
        <f>IFERROR(__xludf.DUMMYFUNCTION("""COMPUTED_VALUE"""),FALSE)</f>
        <v>0</v>
      </c>
      <c r="N613" s="49"/>
    </row>
    <row r="614">
      <c r="A614" s="49"/>
      <c r="B614" s="49"/>
      <c r="C614" s="49"/>
      <c r="D614" s="49"/>
      <c r="E614" s="49"/>
      <c r="F614" s="49"/>
      <c r="G614" s="49"/>
      <c r="H614" s="49"/>
      <c r="I614" s="49"/>
      <c r="J614" s="49" t="b">
        <f>IFERROR(__xludf.DUMMYFUNCTION("""COMPUTED_VALUE"""),FALSE)</f>
        <v>0</v>
      </c>
      <c r="K614" s="49"/>
      <c r="L614" s="49" t="b">
        <f>IFERROR(__xludf.DUMMYFUNCTION("""COMPUTED_VALUE"""),TRUE)</f>
        <v>1</v>
      </c>
      <c r="M614" s="49" t="b">
        <f>IFERROR(__xludf.DUMMYFUNCTION("""COMPUTED_VALUE"""),FALSE)</f>
        <v>0</v>
      </c>
      <c r="N614" s="49"/>
    </row>
    <row r="615">
      <c r="A615" s="49"/>
      <c r="B615" s="49"/>
      <c r="C615" s="49"/>
      <c r="D615" s="49"/>
      <c r="E615" s="49"/>
      <c r="F615" s="49"/>
      <c r="G615" s="49"/>
      <c r="H615" s="49"/>
      <c r="I615" s="49"/>
      <c r="J615" s="49" t="b">
        <f>IFERROR(__xludf.DUMMYFUNCTION("""COMPUTED_VALUE"""),FALSE)</f>
        <v>0</v>
      </c>
      <c r="K615" s="49"/>
      <c r="L615" s="49" t="b">
        <f>IFERROR(__xludf.DUMMYFUNCTION("""COMPUTED_VALUE"""),FALSE)</f>
        <v>0</v>
      </c>
      <c r="M615" s="49" t="b">
        <f>IFERROR(__xludf.DUMMYFUNCTION("""COMPUTED_VALUE"""),FALSE)</f>
        <v>0</v>
      </c>
      <c r="N615" s="49"/>
    </row>
    <row r="616">
      <c r="A616" s="49"/>
      <c r="B616" s="49"/>
      <c r="C616" s="49"/>
      <c r="D616" s="49"/>
      <c r="E616" s="49"/>
      <c r="F616" s="49"/>
      <c r="G616" s="49"/>
      <c r="H616" s="49"/>
      <c r="I616" s="49"/>
      <c r="J616" s="49" t="b">
        <f>IFERROR(__xludf.DUMMYFUNCTION("""COMPUTED_VALUE"""),FALSE)</f>
        <v>0</v>
      </c>
      <c r="K616" s="49"/>
      <c r="L616" s="49" t="b">
        <f>IFERROR(__xludf.DUMMYFUNCTION("""COMPUTED_VALUE"""),FALSE)</f>
        <v>0</v>
      </c>
      <c r="M616" s="49" t="b">
        <f>IFERROR(__xludf.DUMMYFUNCTION("""COMPUTED_VALUE"""),FALSE)</f>
        <v>0</v>
      </c>
      <c r="N616" s="49"/>
    </row>
    <row r="617">
      <c r="A617" s="49"/>
      <c r="B617" s="49"/>
      <c r="C617" s="49"/>
      <c r="D617" s="49"/>
      <c r="E617" s="49"/>
      <c r="F617" s="49"/>
      <c r="G617" s="49"/>
      <c r="H617" s="49"/>
      <c r="I617" s="49"/>
      <c r="J617" s="49" t="b">
        <f>IFERROR(__xludf.DUMMYFUNCTION("""COMPUTED_VALUE"""),FALSE)</f>
        <v>0</v>
      </c>
      <c r="K617" s="49"/>
      <c r="L617" s="49" t="b">
        <f>IFERROR(__xludf.DUMMYFUNCTION("""COMPUTED_VALUE"""),FALSE)</f>
        <v>0</v>
      </c>
      <c r="M617" s="49" t="b">
        <f>IFERROR(__xludf.DUMMYFUNCTION("""COMPUTED_VALUE"""),FALSE)</f>
        <v>0</v>
      </c>
      <c r="N617" s="49"/>
    </row>
    <row r="618">
      <c r="A618" s="49"/>
      <c r="B618" s="49"/>
      <c r="C618" s="49"/>
      <c r="D618" s="49"/>
      <c r="E618" s="49"/>
      <c r="F618" s="49"/>
      <c r="G618" s="49"/>
      <c r="H618" s="49"/>
      <c r="I618" s="49"/>
      <c r="J618" s="49" t="b">
        <f>IFERROR(__xludf.DUMMYFUNCTION("""COMPUTED_VALUE"""),FALSE)</f>
        <v>0</v>
      </c>
      <c r="K618" s="49"/>
      <c r="L618" s="49" t="b">
        <f>IFERROR(__xludf.DUMMYFUNCTION("""COMPUTED_VALUE"""),FALSE)</f>
        <v>0</v>
      </c>
      <c r="M618" s="49" t="b">
        <f>IFERROR(__xludf.DUMMYFUNCTION("""COMPUTED_VALUE"""),FALSE)</f>
        <v>0</v>
      </c>
      <c r="N618" s="49"/>
    </row>
    <row r="619">
      <c r="A619" s="49"/>
      <c r="B619" s="49"/>
      <c r="C619" s="49"/>
      <c r="D619" s="49"/>
      <c r="E619" s="49"/>
      <c r="F619" s="49"/>
      <c r="G619" s="49"/>
      <c r="H619" s="49"/>
      <c r="I619" s="49"/>
      <c r="J619" s="49" t="b">
        <f>IFERROR(__xludf.DUMMYFUNCTION("""COMPUTED_VALUE"""),FALSE)</f>
        <v>0</v>
      </c>
      <c r="K619" s="49"/>
      <c r="L619" s="49" t="b">
        <f>IFERROR(__xludf.DUMMYFUNCTION("""COMPUTED_VALUE"""),FALSE)</f>
        <v>0</v>
      </c>
      <c r="M619" s="49" t="b">
        <f>IFERROR(__xludf.DUMMYFUNCTION("""COMPUTED_VALUE"""),FALSE)</f>
        <v>0</v>
      </c>
      <c r="N619" s="49"/>
    </row>
    <row r="620">
      <c r="A620" s="49"/>
      <c r="B620" s="49"/>
      <c r="C620" s="49"/>
      <c r="D620" s="49"/>
      <c r="E620" s="49"/>
      <c r="F620" s="49"/>
      <c r="G620" s="49"/>
      <c r="H620" s="49"/>
      <c r="I620" s="49"/>
      <c r="J620" s="49" t="b">
        <f>IFERROR(__xludf.DUMMYFUNCTION("""COMPUTED_VALUE"""),FALSE)</f>
        <v>0</v>
      </c>
      <c r="K620" s="49"/>
      <c r="L620" s="49" t="b">
        <f>IFERROR(__xludf.DUMMYFUNCTION("""COMPUTED_VALUE"""),FALSE)</f>
        <v>0</v>
      </c>
      <c r="M620" s="49" t="b">
        <f>IFERROR(__xludf.DUMMYFUNCTION("""COMPUTED_VALUE"""),FALSE)</f>
        <v>0</v>
      </c>
      <c r="N620" s="49"/>
    </row>
    <row r="621">
      <c r="A621" s="49"/>
      <c r="B621" s="49"/>
      <c r="C621" s="49"/>
      <c r="D621" s="49"/>
      <c r="E621" s="49"/>
      <c r="F621" s="49"/>
      <c r="G621" s="49"/>
      <c r="H621" s="49"/>
      <c r="I621" s="49"/>
      <c r="J621" s="49" t="b">
        <f>IFERROR(__xludf.DUMMYFUNCTION("""COMPUTED_VALUE"""),FALSE)</f>
        <v>0</v>
      </c>
      <c r="K621" s="49"/>
      <c r="L621" s="49" t="b">
        <f>IFERROR(__xludf.DUMMYFUNCTION("""COMPUTED_VALUE"""),FALSE)</f>
        <v>0</v>
      </c>
      <c r="M621" s="49" t="b">
        <f>IFERROR(__xludf.DUMMYFUNCTION("""COMPUTED_VALUE"""),FALSE)</f>
        <v>0</v>
      </c>
      <c r="N621" s="49"/>
    </row>
    <row r="622">
      <c r="A622" s="49"/>
      <c r="B622" s="49"/>
      <c r="C622" s="49"/>
      <c r="D622" s="49"/>
      <c r="E622" s="49"/>
      <c r="F622" s="49"/>
      <c r="G622" s="49"/>
      <c r="H622" s="49"/>
      <c r="I622" s="49"/>
      <c r="J622" s="49" t="b">
        <f>IFERROR(__xludf.DUMMYFUNCTION("""COMPUTED_VALUE"""),FALSE)</f>
        <v>0</v>
      </c>
      <c r="K622" s="49"/>
      <c r="L622" s="49" t="b">
        <f>IFERROR(__xludf.DUMMYFUNCTION("""COMPUTED_VALUE"""),FALSE)</f>
        <v>0</v>
      </c>
      <c r="M622" s="49" t="b">
        <f>IFERROR(__xludf.DUMMYFUNCTION("""COMPUTED_VALUE"""),FALSE)</f>
        <v>0</v>
      </c>
      <c r="N622" s="49"/>
    </row>
    <row r="623">
      <c r="A623" s="49"/>
      <c r="B623" s="49"/>
      <c r="C623" s="49"/>
      <c r="D623" s="49"/>
      <c r="E623" s="49"/>
      <c r="F623" s="49"/>
      <c r="G623" s="49"/>
      <c r="H623" s="49"/>
      <c r="I623" s="49"/>
      <c r="J623" s="49" t="b">
        <f>IFERROR(__xludf.DUMMYFUNCTION("""COMPUTED_VALUE"""),FALSE)</f>
        <v>0</v>
      </c>
      <c r="K623" s="49"/>
      <c r="L623" s="49" t="b">
        <f>IFERROR(__xludf.DUMMYFUNCTION("""COMPUTED_VALUE"""),FALSE)</f>
        <v>0</v>
      </c>
      <c r="M623" s="49" t="b">
        <f>IFERROR(__xludf.DUMMYFUNCTION("""COMPUTED_VALUE"""),FALSE)</f>
        <v>0</v>
      </c>
      <c r="N623" s="49"/>
    </row>
    <row r="624">
      <c r="A624" s="49"/>
      <c r="B624" s="49"/>
      <c r="C624" s="49"/>
      <c r="D624" s="49"/>
      <c r="E624" s="49"/>
      <c r="F624" s="49"/>
      <c r="G624" s="49"/>
      <c r="H624" s="49"/>
      <c r="I624" s="49"/>
      <c r="J624" s="49" t="b">
        <f>IFERROR(__xludf.DUMMYFUNCTION("""COMPUTED_VALUE"""),FALSE)</f>
        <v>0</v>
      </c>
      <c r="K624" s="49"/>
      <c r="L624" s="49" t="b">
        <f>IFERROR(__xludf.DUMMYFUNCTION("""COMPUTED_VALUE"""),FALSE)</f>
        <v>0</v>
      </c>
      <c r="M624" s="49" t="b">
        <f>IFERROR(__xludf.DUMMYFUNCTION("""COMPUTED_VALUE"""),FALSE)</f>
        <v>0</v>
      </c>
      <c r="N624" s="49"/>
    </row>
    <row r="625">
      <c r="A625" s="49"/>
      <c r="B625" s="49"/>
      <c r="C625" s="49"/>
      <c r="D625" s="49"/>
      <c r="E625" s="49"/>
      <c r="F625" s="49"/>
      <c r="G625" s="49"/>
      <c r="H625" s="49"/>
      <c r="I625" s="49"/>
      <c r="J625" s="49" t="b">
        <f>IFERROR(__xludf.DUMMYFUNCTION("""COMPUTED_VALUE"""),FALSE)</f>
        <v>0</v>
      </c>
      <c r="K625" s="49"/>
      <c r="L625" s="49" t="b">
        <f>IFERROR(__xludf.DUMMYFUNCTION("""COMPUTED_VALUE"""),FALSE)</f>
        <v>0</v>
      </c>
      <c r="M625" s="49" t="b">
        <f>IFERROR(__xludf.DUMMYFUNCTION("""COMPUTED_VALUE"""),FALSE)</f>
        <v>0</v>
      </c>
      <c r="N625" s="49"/>
    </row>
    <row r="626">
      <c r="A626" s="49"/>
      <c r="B626" s="49"/>
      <c r="C626" s="49"/>
      <c r="D626" s="49"/>
      <c r="E626" s="49"/>
      <c r="F626" s="49"/>
      <c r="G626" s="49"/>
      <c r="H626" s="49"/>
      <c r="I626" s="49"/>
      <c r="J626" s="49" t="b">
        <f>IFERROR(__xludf.DUMMYFUNCTION("""COMPUTED_VALUE"""),FALSE)</f>
        <v>0</v>
      </c>
      <c r="K626" s="49"/>
      <c r="L626" s="49" t="b">
        <f>IFERROR(__xludf.DUMMYFUNCTION("""COMPUTED_VALUE"""),FALSE)</f>
        <v>0</v>
      </c>
      <c r="M626" s="49" t="b">
        <f>IFERROR(__xludf.DUMMYFUNCTION("""COMPUTED_VALUE"""),FALSE)</f>
        <v>0</v>
      </c>
      <c r="N626" s="49"/>
    </row>
    <row r="627">
      <c r="A627" s="49"/>
      <c r="B627" s="49"/>
      <c r="C627" s="49"/>
      <c r="D627" s="49"/>
      <c r="E627" s="49"/>
      <c r="F627" s="49"/>
      <c r="G627" s="49"/>
      <c r="H627" s="49"/>
      <c r="I627" s="49"/>
      <c r="J627" s="49" t="b">
        <f>IFERROR(__xludf.DUMMYFUNCTION("""COMPUTED_VALUE"""),FALSE)</f>
        <v>0</v>
      </c>
      <c r="K627" s="49"/>
      <c r="L627" s="49" t="b">
        <f>IFERROR(__xludf.DUMMYFUNCTION("""COMPUTED_VALUE"""),FALSE)</f>
        <v>0</v>
      </c>
      <c r="M627" s="49" t="b">
        <f>IFERROR(__xludf.DUMMYFUNCTION("""COMPUTED_VALUE"""),FALSE)</f>
        <v>0</v>
      </c>
      <c r="N627" s="49"/>
    </row>
    <row r="628">
      <c r="A628" s="49"/>
      <c r="B628" s="49"/>
      <c r="C628" s="49"/>
      <c r="D628" s="49"/>
      <c r="E628" s="49"/>
      <c r="F628" s="49"/>
      <c r="G628" s="49"/>
      <c r="H628" s="49"/>
      <c r="I628" s="49"/>
      <c r="J628" s="49" t="b">
        <f>IFERROR(__xludf.DUMMYFUNCTION("""COMPUTED_VALUE"""),FALSE)</f>
        <v>0</v>
      </c>
      <c r="K628" s="49"/>
      <c r="L628" s="49" t="b">
        <f>IFERROR(__xludf.DUMMYFUNCTION("""COMPUTED_VALUE"""),FALSE)</f>
        <v>0</v>
      </c>
      <c r="M628" s="49" t="b">
        <f>IFERROR(__xludf.DUMMYFUNCTION("""COMPUTED_VALUE"""),FALSE)</f>
        <v>0</v>
      </c>
      <c r="N628" s="49"/>
    </row>
    <row r="629">
      <c r="A629" s="49"/>
      <c r="B629" s="49"/>
      <c r="C629" s="49"/>
      <c r="D629" s="49"/>
      <c r="E629" s="49"/>
      <c r="F629" s="49"/>
      <c r="G629" s="49"/>
      <c r="H629" s="49"/>
      <c r="I629" s="49"/>
      <c r="J629" s="49" t="b">
        <f>IFERROR(__xludf.DUMMYFUNCTION("""COMPUTED_VALUE"""),FALSE)</f>
        <v>0</v>
      </c>
      <c r="K629" s="49"/>
      <c r="L629" s="49" t="b">
        <f>IFERROR(__xludf.DUMMYFUNCTION("""COMPUTED_VALUE"""),FALSE)</f>
        <v>0</v>
      </c>
      <c r="M629" s="49" t="b">
        <f>IFERROR(__xludf.DUMMYFUNCTION("""COMPUTED_VALUE"""),FALSE)</f>
        <v>0</v>
      </c>
      <c r="N629" s="49"/>
    </row>
    <row r="630">
      <c r="A630" s="49"/>
      <c r="B630" s="49"/>
      <c r="C630" s="49"/>
      <c r="D630" s="49"/>
      <c r="E630" s="49"/>
      <c r="F630" s="49"/>
      <c r="G630" s="49"/>
      <c r="H630" s="49"/>
      <c r="I630" s="49"/>
      <c r="J630" s="49" t="b">
        <f>IFERROR(__xludf.DUMMYFUNCTION("""COMPUTED_VALUE"""),FALSE)</f>
        <v>0</v>
      </c>
      <c r="K630" s="49"/>
      <c r="L630" s="49" t="b">
        <f>IFERROR(__xludf.DUMMYFUNCTION("""COMPUTED_VALUE"""),FALSE)</f>
        <v>0</v>
      </c>
      <c r="M630" s="49" t="b">
        <f>IFERROR(__xludf.DUMMYFUNCTION("""COMPUTED_VALUE"""),FALSE)</f>
        <v>0</v>
      </c>
      <c r="N630" s="49"/>
    </row>
    <row r="631">
      <c r="A631" s="49"/>
      <c r="B631" s="49"/>
      <c r="C631" s="49"/>
      <c r="D631" s="49"/>
      <c r="E631" s="49"/>
      <c r="F631" s="49"/>
      <c r="G631" s="49"/>
      <c r="H631" s="49"/>
      <c r="I631" s="49"/>
      <c r="J631" s="49" t="b">
        <f>IFERROR(__xludf.DUMMYFUNCTION("""COMPUTED_VALUE"""),FALSE)</f>
        <v>0</v>
      </c>
      <c r="K631" s="49"/>
      <c r="L631" s="49" t="b">
        <f>IFERROR(__xludf.DUMMYFUNCTION("""COMPUTED_VALUE"""),FALSE)</f>
        <v>0</v>
      </c>
      <c r="M631" s="49" t="b">
        <f>IFERROR(__xludf.DUMMYFUNCTION("""COMPUTED_VALUE"""),FALSE)</f>
        <v>0</v>
      </c>
      <c r="N631" s="49"/>
    </row>
    <row r="632">
      <c r="A632" s="49"/>
      <c r="B632" s="49"/>
      <c r="C632" s="49"/>
      <c r="D632" s="49"/>
      <c r="E632" s="49"/>
      <c r="F632" s="49"/>
      <c r="G632" s="49"/>
      <c r="H632" s="49"/>
      <c r="I632" s="49"/>
      <c r="J632" s="49" t="b">
        <f>IFERROR(__xludf.DUMMYFUNCTION("""COMPUTED_VALUE"""),FALSE)</f>
        <v>0</v>
      </c>
      <c r="K632" s="49"/>
      <c r="L632" s="49" t="b">
        <f>IFERROR(__xludf.DUMMYFUNCTION("""COMPUTED_VALUE"""),FALSE)</f>
        <v>0</v>
      </c>
      <c r="M632" s="49" t="b">
        <f>IFERROR(__xludf.DUMMYFUNCTION("""COMPUTED_VALUE"""),FALSE)</f>
        <v>0</v>
      </c>
      <c r="N632" s="49"/>
    </row>
    <row r="633">
      <c r="A633" s="49"/>
      <c r="B633" s="49"/>
      <c r="C633" s="49"/>
      <c r="D633" s="49"/>
      <c r="E633" s="49"/>
      <c r="F633" s="49"/>
      <c r="G633" s="49"/>
      <c r="H633" s="49"/>
      <c r="I633" s="49"/>
      <c r="J633" s="49" t="b">
        <f>IFERROR(__xludf.DUMMYFUNCTION("""COMPUTED_VALUE"""),FALSE)</f>
        <v>0</v>
      </c>
      <c r="K633" s="49"/>
      <c r="L633" s="49" t="b">
        <f>IFERROR(__xludf.DUMMYFUNCTION("""COMPUTED_VALUE"""),FALSE)</f>
        <v>0</v>
      </c>
      <c r="M633" s="49" t="b">
        <f>IFERROR(__xludf.DUMMYFUNCTION("""COMPUTED_VALUE"""),FALSE)</f>
        <v>0</v>
      </c>
      <c r="N633" s="49"/>
    </row>
    <row r="634">
      <c r="A634" s="49"/>
      <c r="B634" s="49"/>
      <c r="C634" s="49"/>
      <c r="D634" s="49"/>
      <c r="E634" s="49"/>
      <c r="F634" s="49"/>
      <c r="G634" s="49"/>
      <c r="H634" s="49"/>
      <c r="I634" s="49"/>
      <c r="J634" s="49" t="b">
        <f>IFERROR(__xludf.DUMMYFUNCTION("""COMPUTED_VALUE"""),FALSE)</f>
        <v>0</v>
      </c>
      <c r="K634" s="49"/>
      <c r="L634" s="49" t="b">
        <f>IFERROR(__xludf.DUMMYFUNCTION("""COMPUTED_VALUE"""),TRUE)</f>
        <v>1</v>
      </c>
      <c r="M634" s="49" t="b">
        <f>IFERROR(__xludf.DUMMYFUNCTION("""COMPUTED_VALUE"""),FALSE)</f>
        <v>0</v>
      </c>
      <c r="N634" s="49"/>
    </row>
    <row r="635">
      <c r="A635" s="49"/>
      <c r="B635" s="49"/>
      <c r="C635" s="49"/>
      <c r="D635" s="49"/>
      <c r="E635" s="49"/>
      <c r="F635" s="49"/>
      <c r="G635" s="49"/>
      <c r="H635" s="49"/>
      <c r="I635" s="49"/>
      <c r="J635" s="49" t="b">
        <f>IFERROR(__xludf.DUMMYFUNCTION("""COMPUTED_VALUE"""),FALSE)</f>
        <v>0</v>
      </c>
      <c r="K635" s="49"/>
      <c r="L635" s="49" t="b">
        <f>IFERROR(__xludf.DUMMYFUNCTION("""COMPUTED_VALUE"""),FALSE)</f>
        <v>0</v>
      </c>
      <c r="M635" s="49" t="b">
        <f>IFERROR(__xludf.DUMMYFUNCTION("""COMPUTED_VALUE"""),FALSE)</f>
        <v>0</v>
      </c>
      <c r="N635" s="49"/>
    </row>
    <row r="636">
      <c r="A636" s="49"/>
      <c r="B636" s="49"/>
      <c r="C636" s="49"/>
      <c r="D636" s="49"/>
      <c r="E636" s="49"/>
      <c r="F636" s="49"/>
      <c r="G636" s="49"/>
      <c r="H636" s="49"/>
      <c r="I636" s="49"/>
      <c r="J636" s="49" t="b">
        <f>IFERROR(__xludf.DUMMYFUNCTION("""COMPUTED_VALUE"""),FALSE)</f>
        <v>0</v>
      </c>
      <c r="K636" s="49"/>
      <c r="L636" s="49" t="b">
        <f>IFERROR(__xludf.DUMMYFUNCTION("""COMPUTED_VALUE"""),TRUE)</f>
        <v>1</v>
      </c>
      <c r="M636" s="49" t="b">
        <f>IFERROR(__xludf.DUMMYFUNCTION("""COMPUTED_VALUE"""),FALSE)</f>
        <v>0</v>
      </c>
      <c r="N636" s="49"/>
    </row>
    <row r="637">
      <c r="A637" s="49"/>
      <c r="B637" s="49"/>
      <c r="C637" s="49"/>
      <c r="D637" s="49"/>
      <c r="E637" s="49"/>
      <c r="F637" s="49"/>
      <c r="G637" s="49"/>
      <c r="H637" s="49"/>
      <c r="I637" s="49"/>
      <c r="J637" s="49" t="b">
        <f>IFERROR(__xludf.DUMMYFUNCTION("""COMPUTED_VALUE"""),FALSE)</f>
        <v>0</v>
      </c>
      <c r="K637" s="49"/>
      <c r="L637" s="49" t="b">
        <f>IFERROR(__xludf.DUMMYFUNCTION("""COMPUTED_VALUE"""),TRUE)</f>
        <v>1</v>
      </c>
      <c r="M637" s="49" t="b">
        <f>IFERROR(__xludf.DUMMYFUNCTION("""COMPUTED_VALUE"""),FALSE)</f>
        <v>0</v>
      </c>
      <c r="N637" s="49"/>
    </row>
    <row r="638">
      <c r="A638" s="49"/>
      <c r="B638" s="49"/>
      <c r="C638" s="49"/>
      <c r="D638" s="49"/>
      <c r="E638" s="49"/>
      <c r="F638" s="49"/>
      <c r="G638" s="49"/>
      <c r="H638" s="49"/>
      <c r="I638" s="49"/>
      <c r="J638" s="49" t="b">
        <f>IFERROR(__xludf.DUMMYFUNCTION("""COMPUTED_VALUE"""),FALSE)</f>
        <v>0</v>
      </c>
      <c r="K638" s="49"/>
      <c r="L638" s="49" t="b">
        <f>IFERROR(__xludf.DUMMYFUNCTION("""COMPUTED_VALUE"""),TRUE)</f>
        <v>1</v>
      </c>
      <c r="M638" s="49" t="b">
        <f>IFERROR(__xludf.DUMMYFUNCTION("""COMPUTED_VALUE"""),FALSE)</f>
        <v>0</v>
      </c>
      <c r="N638" s="49"/>
    </row>
    <row r="639">
      <c r="A639" s="49"/>
      <c r="B639" s="49"/>
      <c r="C639" s="49"/>
      <c r="D639" s="49"/>
      <c r="E639" s="49"/>
      <c r="F639" s="49"/>
      <c r="G639" s="49"/>
      <c r="H639" s="49"/>
      <c r="I639" s="49"/>
      <c r="J639" s="49" t="b">
        <f>IFERROR(__xludf.DUMMYFUNCTION("""COMPUTED_VALUE"""),TRUE)</f>
        <v>1</v>
      </c>
      <c r="K639" s="49" t="str">
        <f>IFERROR(__xludf.DUMMYFUNCTION("""COMPUTED_VALUE"""),"Mob spell")</f>
        <v>Mob spell</v>
      </c>
      <c r="L639" s="49" t="b">
        <f>IFERROR(__xludf.DUMMYFUNCTION("""COMPUTED_VALUE"""),TRUE)</f>
        <v>1</v>
      </c>
      <c r="M639" s="49" t="b">
        <f>IFERROR(__xludf.DUMMYFUNCTION("""COMPUTED_VALUE"""),FALSE)</f>
        <v>0</v>
      </c>
      <c r="N639" s="49"/>
    </row>
    <row r="640">
      <c r="A640" s="49"/>
      <c r="B640" s="49"/>
      <c r="C640" s="49"/>
      <c r="D640" s="49"/>
      <c r="E640" s="49"/>
      <c r="F640" s="49"/>
      <c r="G640" s="49"/>
      <c r="H640" s="49"/>
      <c r="I640" s="49"/>
      <c r="J640" s="49" t="b">
        <f>IFERROR(__xludf.DUMMYFUNCTION("""COMPUTED_VALUE"""),FALSE)</f>
        <v>0</v>
      </c>
      <c r="K640" s="49"/>
      <c r="L640" s="49" t="b">
        <f>IFERROR(__xludf.DUMMYFUNCTION("""COMPUTED_VALUE"""),TRUE)</f>
        <v>1</v>
      </c>
      <c r="M640" s="49" t="b">
        <f>IFERROR(__xludf.DUMMYFUNCTION("""COMPUTED_VALUE"""),FALSE)</f>
        <v>0</v>
      </c>
      <c r="N640" s="49"/>
    </row>
    <row r="641">
      <c r="A641" s="49"/>
      <c r="B641" s="49"/>
      <c r="C641" s="49"/>
      <c r="D641" s="49"/>
      <c r="E641" s="49"/>
      <c r="F641" s="49"/>
      <c r="G641" s="49"/>
      <c r="H641" s="49"/>
      <c r="I641" s="49"/>
      <c r="J641" s="49" t="b">
        <f>IFERROR(__xludf.DUMMYFUNCTION("""COMPUTED_VALUE"""),FALSE)</f>
        <v>0</v>
      </c>
      <c r="K641" s="49"/>
      <c r="L641" s="49" t="b">
        <f>IFERROR(__xludf.DUMMYFUNCTION("""COMPUTED_VALUE"""),TRUE)</f>
        <v>1</v>
      </c>
      <c r="M641" s="49" t="b">
        <f>IFERROR(__xludf.DUMMYFUNCTION("""COMPUTED_VALUE"""),FALSE)</f>
        <v>0</v>
      </c>
      <c r="N641" s="49"/>
    </row>
    <row r="642">
      <c r="A642" s="49"/>
      <c r="B642" s="49"/>
      <c r="C642" s="49"/>
      <c r="D642" s="49"/>
      <c r="E642" s="49"/>
      <c r="F642" s="49"/>
      <c r="G642" s="49"/>
      <c r="H642" s="49"/>
      <c r="I642" s="49"/>
      <c r="J642" s="49" t="b">
        <f>IFERROR(__xludf.DUMMYFUNCTION("""COMPUTED_VALUE"""),FALSE)</f>
        <v>0</v>
      </c>
      <c r="K642" s="49"/>
      <c r="L642" s="49" t="b">
        <f>IFERROR(__xludf.DUMMYFUNCTION("""COMPUTED_VALUE"""),TRUE)</f>
        <v>1</v>
      </c>
      <c r="M642" s="49" t="b">
        <f>IFERROR(__xludf.DUMMYFUNCTION("""COMPUTED_VALUE"""),FALSE)</f>
        <v>0</v>
      </c>
      <c r="N642" s="49"/>
    </row>
    <row r="643">
      <c r="A643" s="49"/>
      <c r="B643" s="49"/>
      <c r="C643" s="49"/>
      <c r="D643" s="49"/>
      <c r="E643" s="49"/>
      <c r="F643" s="49"/>
      <c r="G643" s="49"/>
      <c r="H643" s="49"/>
      <c r="I643" s="49"/>
      <c r="J643" s="49" t="b">
        <f>IFERROR(__xludf.DUMMYFUNCTION("""COMPUTED_VALUE"""),FALSE)</f>
        <v>0</v>
      </c>
      <c r="K643" s="49"/>
      <c r="L643" s="49" t="b">
        <f>IFERROR(__xludf.DUMMYFUNCTION("""COMPUTED_VALUE"""),FALSE)</f>
        <v>0</v>
      </c>
      <c r="M643" s="49" t="b">
        <f>IFERROR(__xludf.DUMMYFUNCTION("""COMPUTED_VALUE"""),FALSE)</f>
        <v>0</v>
      </c>
      <c r="N643" s="49"/>
    </row>
    <row r="644">
      <c r="A644" s="49"/>
      <c r="B644" s="49"/>
      <c r="C644" s="49"/>
      <c r="D644" s="49"/>
      <c r="E644" s="49"/>
      <c r="F644" s="49"/>
      <c r="G644" s="49"/>
      <c r="H644" s="49"/>
      <c r="I644" s="49"/>
      <c r="J644" s="49" t="b">
        <f>IFERROR(__xludf.DUMMYFUNCTION("""COMPUTED_VALUE"""),FALSE)</f>
        <v>0</v>
      </c>
      <c r="K644" s="49"/>
      <c r="L644" s="49" t="b">
        <f>IFERROR(__xludf.DUMMYFUNCTION("""COMPUTED_VALUE"""),FALSE)</f>
        <v>0</v>
      </c>
      <c r="M644" s="49" t="b">
        <f>IFERROR(__xludf.DUMMYFUNCTION("""COMPUTED_VALUE"""),FALSE)</f>
        <v>0</v>
      </c>
      <c r="N644" s="49"/>
    </row>
    <row r="645">
      <c r="A645" s="49"/>
      <c r="B645" s="49"/>
      <c r="C645" s="49"/>
      <c r="D645" s="49"/>
      <c r="E645" s="49"/>
      <c r="F645" s="49"/>
      <c r="G645" s="49"/>
      <c r="H645" s="49"/>
      <c r="I645" s="49"/>
      <c r="J645" s="49" t="b">
        <f>IFERROR(__xludf.DUMMYFUNCTION("""COMPUTED_VALUE"""),FALSE)</f>
        <v>0</v>
      </c>
      <c r="K645" s="49"/>
      <c r="L645" s="49" t="b">
        <f>IFERROR(__xludf.DUMMYFUNCTION("""COMPUTED_VALUE"""),FALSE)</f>
        <v>0</v>
      </c>
      <c r="M645" s="49" t="b">
        <f>IFERROR(__xludf.DUMMYFUNCTION("""COMPUTED_VALUE"""),FALSE)</f>
        <v>0</v>
      </c>
      <c r="N645" s="49"/>
    </row>
    <row r="646">
      <c r="A646" s="49"/>
      <c r="B646" s="49"/>
      <c r="C646" s="49"/>
      <c r="D646" s="49"/>
      <c r="E646" s="49"/>
      <c r="F646" s="49"/>
      <c r="G646" s="49"/>
      <c r="H646" s="49"/>
      <c r="I646" s="49"/>
      <c r="J646" s="49" t="b">
        <f>IFERROR(__xludf.DUMMYFUNCTION("""COMPUTED_VALUE"""),FALSE)</f>
        <v>0</v>
      </c>
      <c r="K646" s="49"/>
      <c r="L646" s="49" t="b">
        <f>IFERROR(__xludf.DUMMYFUNCTION("""COMPUTED_VALUE"""),FALSE)</f>
        <v>0</v>
      </c>
      <c r="M646" s="49" t="b">
        <f>IFERROR(__xludf.DUMMYFUNCTION("""COMPUTED_VALUE"""),FALSE)</f>
        <v>0</v>
      </c>
      <c r="N646" s="49"/>
    </row>
    <row r="647">
      <c r="A647" s="49"/>
      <c r="B647" s="49"/>
      <c r="C647" s="49"/>
      <c r="D647" s="49"/>
      <c r="E647" s="49"/>
      <c r="F647" s="49"/>
      <c r="G647" s="49"/>
      <c r="H647" s="49"/>
      <c r="I647" s="49"/>
      <c r="J647" s="49" t="b">
        <f>IFERROR(__xludf.DUMMYFUNCTION("""COMPUTED_VALUE"""),FALSE)</f>
        <v>0</v>
      </c>
      <c r="K647" s="49"/>
      <c r="L647" s="49" t="b">
        <f>IFERROR(__xludf.DUMMYFUNCTION("""COMPUTED_VALUE"""),FALSE)</f>
        <v>0</v>
      </c>
      <c r="M647" s="49" t="b">
        <f>IFERROR(__xludf.DUMMYFUNCTION("""COMPUTED_VALUE"""),FALSE)</f>
        <v>0</v>
      </c>
      <c r="N647" s="49"/>
    </row>
    <row r="648">
      <c r="A648" s="49"/>
      <c r="B648" s="49"/>
      <c r="C648" s="49"/>
      <c r="D648" s="49"/>
      <c r="E648" s="49"/>
      <c r="F648" s="49"/>
      <c r="G648" s="49"/>
      <c r="H648" s="49"/>
      <c r="I648" s="49"/>
      <c r="J648" s="49" t="b">
        <f>IFERROR(__xludf.DUMMYFUNCTION("""COMPUTED_VALUE"""),FALSE)</f>
        <v>0</v>
      </c>
      <c r="K648" s="49"/>
      <c r="L648" s="49" t="b">
        <f>IFERROR(__xludf.DUMMYFUNCTION("""COMPUTED_VALUE"""),FALSE)</f>
        <v>0</v>
      </c>
      <c r="M648" s="49" t="b">
        <f>IFERROR(__xludf.DUMMYFUNCTION("""COMPUTED_VALUE"""),FALSE)</f>
        <v>0</v>
      </c>
      <c r="N648" s="49"/>
    </row>
    <row r="649">
      <c r="A649" s="49"/>
      <c r="B649" s="49"/>
      <c r="C649" s="49"/>
      <c r="D649" s="49"/>
      <c r="E649" s="49"/>
      <c r="F649" s="49"/>
      <c r="G649" s="49"/>
      <c r="H649" s="49"/>
      <c r="I649" s="49"/>
      <c r="J649" s="49" t="b">
        <f>IFERROR(__xludf.DUMMYFUNCTION("""COMPUTED_VALUE"""),FALSE)</f>
        <v>0</v>
      </c>
      <c r="K649" s="49"/>
      <c r="L649" s="49" t="b">
        <f>IFERROR(__xludf.DUMMYFUNCTION("""COMPUTED_VALUE"""),FALSE)</f>
        <v>0</v>
      </c>
      <c r="M649" s="49" t="b">
        <f>IFERROR(__xludf.DUMMYFUNCTION("""COMPUTED_VALUE"""),FALSE)</f>
        <v>0</v>
      </c>
      <c r="N649" s="49"/>
    </row>
    <row r="650">
      <c r="A650" s="49"/>
      <c r="B650" s="49"/>
      <c r="C650" s="49"/>
      <c r="D650" s="49"/>
      <c r="E650" s="49"/>
      <c r="F650" s="49"/>
      <c r="G650" s="49"/>
      <c r="H650" s="49"/>
      <c r="I650" s="49"/>
      <c r="J650" s="49" t="b">
        <f>IFERROR(__xludf.DUMMYFUNCTION("""COMPUTED_VALUE"""),FALSE)</f>
        <v>0</v>
      </c>
      <c r="K650" s="49"/>
      <c r="L650" s="49" t="b">
        <f>IFERROR(__xludf.DUMMYFUNCTION("""COMPUTED_VALUE"""),FALSE)</f>
        <v>0</v>
      </c>
      <c r="M650" s="49" t="b">
        <f>IFERROR(__xludf.DUMMYFUNCTION("""COMPUTED_VALUE"""),FALSE)</f>
        <v>0</v>
      </c>
      <c r="N650" s="49"/>
    </row>
    <row r="651">
      <c r="A651" s="49"/>
      <c r="B651" s="49"/>
      <c r="C651" s="49"/>
      <c r="D651" s="49"/>
      <c r="E651" s="49"/>
      <c r="F651" s="49"/>
      <c r="G651" s="49"/>
      <c r="H651" s="49"/>
      <c r="I651" s="49"/>
      <c r="J651" s="49" t="b">
        <f>IFERROR(__xludf.DUMMYFUNCTION("""COMPUTED_VALUE"""),FALSE)</f>
        <v>0</v>
      </c>
      <c r="K651" s="49"/>
      <c r="L651" s="49" t="b">
        <f>IFERROR(__xludf.DUMMYFUNCTION("""COMPUTED_VALUE"""),FALSE)</f>
        <v>0</v>
      </c>
      <c r="M651" s="49" t="b">
        <f>IFERROR(__xludf.DUMMYFUNCTION("""COMPUTED_VALUE"""),FALSE)</f>
        <v>0</v>
      </c>
      <c r="N651" s="49"/>
    </row>
    <row r="652">
      <c r="A652" s="49"/>
      <c r="B652" s="49"/>
      <c r="C652" s="49"/>
      <c r="D652" s="49"/>
      <c r="E652" s="49"/>
      <c r="F652" s="49"/>
      <c r="G652" s="49"/>
      <c r="H652" s="49"/>
      <c r="I652" s="49"/>
      <c r="J652" s="49" t="b">
        <f>IFERROR(__xludf.DUMMYFUNCTION("""COMPUTED_VALUE"""),FALSE)</f>
        <v>0</v>
      </c>
      <c r="K652" s="49"/>
      <c r="L652" s="49" t="b">
        <f>IFERROR(__xludf.DUMMYFUNCTION("""COMPUTED_VALUE"""),FALSE)</f>
        <v>0</v>
      </c>
      <c r="M652" s="49" t="b">
        <f>IFERROR(__xludf.DUMMYFUNCTION("""COMPUTED_VALUE"""),FALSE)</f>
        <v>0</v>
      </c>
      <c r="N652" s="49"/>
    </row>
    <row r="653">
      <c r="A653" s="49"/>
      <c r="B653" s="49"/>
      <c r="C653" s="49"/>
      <c r="D653" s="49"/>
      <c r="E653" s="49"/>
      <c r="F653" s="49"/>
      <c r="G653" s="49"/>
      <c r="H653" s="49"/>
      <c r="I653" s="49"/>
      <c r="J653" s="49" t="b">
        <f>IFERROR(__xludf.DUMMYFUNCTION("""COMPUTED_VALUE"""),FALSE)</f>
        <v>0</v>
      </c>
      <c r="K653" s="49"/>
      <c r="L653" s="49" t="b">
        <f>IFERROR(__xludf.DUMMYFUNCTION("""COMPUTED_VALUE"""),FALSE)</f>
        <v>0</v>
      </c>
      <c r="M653" s="49" t="b">
        <f>IFERROR(__xludf.DUMMYFUNCTION("""COMPUTED_VALUE"""),FALSE)</f>
        <v>0</v>
      </c>
      <c r="N653" s="49"/>
    </row>
    <row r="654">
      <c r="A654" s="49"/>
      <c r="B654" s="49"/>
      <c r="C654" s="49"/>
      <c r="D654" s="49"/>
      <c r="E654" s="49"/>
      <c r="F654" s="49"/>
      <c r="G654" s="49"/>
      <c r="H654" s="49"/>
      <c r="I654" s="49"/>
      <c r="J654" s="49" t="b">
        <f>IFERROR(__xludf.DUMMYFUNCTION("""COMPUTED_VALUE"""),FALSE)</f>
        <v>0</v>
      </c>
      <c r="K654" s="49"/>
      <c r="L654" s="49" t="b">
        <f>IFERROR(__xludf.DUMMYFUNCTION("""COMPUTED_VALUE"""),FALSE)</f>
        <v>0</v>
      </c>
      <c r="M654" s="49" t="b">
        <f>IFERROR(__xludf.DUMMYFUNCTION("""COMPUTED_VALUE"""),FALSE)</f>
        <v>0</v>
      </c>
      <c r="N654" s="49"/>
    </row>
    <row r="655">
      <c r="A655" s="49"/>
      <c r="B655" s="49"/>
      <c r="C655" s="49"/>
      <c r="D655" s="49"/>
      <c r="E655" s="49"/>
      <c r="F655" s="49"/>
      <c r="G655" s="49"/>
      <c r="H655" s="49"/>
      <c r="I655" s="49"/>
      <c r="J655" s="49" t="b">
        <f>IFERROR(__xludf.DUMMYFUNCTION("""COMPUTED_VALUE"""),FALSE)</f>
        <v>0</v>
      </c>
      <c r="K655" s="49"/>
      <c r="L655" s="49" t="b">
        <f>IFERROR(__xludf.DUMMYFUNCTION("""COMPUTED_VALUE"""),FALSE)</f>
        <v>0</v>
      </c>
      <c r="M655" s="49" t="b">
        <f>IFERROR(__xludf.DUMMYFUNCTION("""COMPUTED_VALUE"""),FALSE)</f>
        <v>0</v>
      </c>
      <c r="N655" s="49"/>
    </row>
    <row r="656">
      <c r="A656" s="49"/>
      <c r="B656" s="49"/>
      <c r="C656" s="49"/>
      <c r="D656" s="49"/>
      <c r="E656" s="49"/>
      <c r="F656" s="49"/>
      <c r="G656" s="49"/>
      <c r="H656" s="49"/>
      <c r="I656" s="49"/>
      <c r="J656" s="49" t="b">
        <f>IFERROR(__xludf.DUMMYFUNCTION("""COMPUTED_VALUE"""),FALSE)</f>
        <v>0</v>
      </c>
      <c r="K656" s="49"/>
      <c r="L656" s="49" t="b">
        <f>IFERROR(__xludf.DUMMYFUNCTION("""COMPUTED_VALUE"""),FALSE)</f>
        <v>0</v>
      </c>
      <c r="M656" s="49" t="b">
        <f>IFERROR(__xludf.DUMMYFUNCTION("""COMPUTED_VALUE"""),FALSE)</f>
        <v>0</v>
      </c>
      <c r="N656" s="49"/>
    </row>
    <row r="657">
      <c r="A657" s="49"/>
      <c r="B657" s="49"/>
      <c r="C657" s="49"/>
      <c r="D657" s="49"/>
      <c r="E657" s="49"/>
      <c r="F657" s="49"/>
      <c r="G657" s="49"/>
      <c r="H657" s="49"/>
      <c r="I657" s="49"/>
      <c r="J657" s="49" t="b">
        <f>IFERROR(__xludf.DUMMYFUNCTION("""COMPUTED_VALUE"""),FALSE)</f>
        <v>0</v>
      </c>
      <c r="K657" s="49"/>
      <c r="L657" s="49" t="b">
        <f>IFERROR(__xludf.DUMMYFUNCTION("""COMPUTED_VALUE"""),FALSE)</f>
        <v>0</v>
      </c>
      <c r="M657" s="49" t="b">
        <f>IFERROR(__xludf.DUMMYFUNCTION("""COMPUTED_VALUE"""),FALSE)</f>
        <v>0</v>
      </c>
      <c r="N657" s="49"/>
    </row>
    <row r="658">
      <c r="A658" s="49"/>
      <c r="B658" s="49"/>
      <c r="C658" s="49"/>
      <c r="D658" s="49"/>
      <c r="E658" s="49"/>
      <c r="F658" s="49"/>
      <c r="G658" s="49"/>
      <c r="H658" s="49"/>
      <c r="I658" s="49"/>
      <c r="J658" s="49" t="b">
        <f>IFERROR(__xludf.DUMMYFUNCTION("""COMPUTED_VALUE"""),FALSE)</f>
        <v>0</v>
      </c>
      <c r="K658" s="49"/>
      <c r="L658" s="49" t="b">
        <f>IFERROR(__xludf.DUMMYFUNCTION("""COMPUTED_VALUE"""),FALSE)</f>
        <v>0</v>
      </c>
      <c r="M658" s="49" t="b">
        <f>IFERROR(__xludf.DUMMYFUNCTION("""COMPUTED_VALUE"""),FALSE)</f>
        <v>0</v>
      </c>
      <c r="N658" s="49"/>
    </row>
    <row r="659">
      <c r="A659" s="49"/>
      <c r="B659" s="49"/>
      <c r="C659" s="49"/>
      <c r="D659" s="49"/>
      <c r="E659" s="49"/>
      <c r="F659" s="49"/>
      <c r="G659" s="49"/>
      <c r="H659" s="49"/>
      <c r="I659" s="49"/>
      <c r="J659" s="49" t="b">
        <f>IFERROR(__xludf.DUMMYFUNCTION("""COMPUTED_VALUE"""),FALSE)</f>
        <v>0</v>
      </c>
      <c r="K659" s="49"/>
      <c r="L659" s="49" t="b">
        <f>IFERROR(__xludf.DUMMYFUNCTION("""COMPUTED_VALUE"""),FALSE)</f>
        <v>0</v>
      </c>
      <c r="M659" s="49" t="b">
        <f>IFERROR(__xludf.DUMMYFUNCTION("""COMPUTED_VALUE"""),FALSE)</f>
        <v>0</v>
      </c>
      <c r="N659" s="49"/>
    </row>
    <row r="660">
      <c r="A660" s="49"/>
      <c r="B660" s="49"/>
      <c r="C660" s="49"/>
      <c r="D660" s="49"/>
      <c r="E660" s="49"/>
      <c r="F660" s="49"/>
      <c r="G660" s="49"/>
      <c r="H660" s="49"/>
      <c r="I660" s="49"/>
      <c r="J660" s="49" t="b">
        <f>IFERROR(__xludf.DUMMYFUNCTION("""COMPUTED_VALUE"""),FALSE)</f>
        <v>0</v>
      </c>
      <c r="K660" s="49"/>
      <c r="L660" s="49" t="b">
        <f>IFERROR(__xludf.DUMMYFUNCTION("""COMPUTED_VALUE"""),FALSE)</f>
        <v>0</v>
      </c>
      <c r="M660" s="49" t="b">
        <f>IFERROR(__xludf.DUMMYFUNCTION("""COMPUTED_VALUE"""),FALSE)</f>
        <v>0</v>
      </c>
      <c r="N660" s="49"/>
    </row>
    <row r="661">
      <c r="A661" s="49"/>
      <c r="B661" s="49"/>
      <c r="C661" s="49"/>
      <c r="D661" s="49"/>
      <c r="E661" s="49"/>
      <c r="F661" s="49"/>
      <c r="G661" s="49"/>
      <c r="H661" s="49"/>
      <c r="I661" s="49"/>
      <c r="J661" s="49" t="b">
        <f>IFERROR(__xludf.DUMMYFUNCTION("""COMPUTED_VALUE"""),FALSE)</f>
        <v>0</v>
      </c>
      <c r="K661" s="49"/>
      <c r="L661" s="49" t="b">
        <f>IFERROR(__xludf.DUMMYFUNCTION("""COMPUTED_VALUE"""),FALSE)</f>
        <v>0</v>
      </c>
      <c r="M661" s="49" t="b">
        <f>IFERROR(__xludf.DUMMYFUNCTION("""COMPUTED_VALUE"""),FALSE)</f>
        <v>0</v>
      </c>
      <c r="N661" s="49"/>
    </row>
    <row r="662">
      <c r="A662" s="49"/>
      <c r="B662" s="49"/>
      <c r="C662" s="49"/>
      <c r="D662" s="49"/>
      <c r="E662" s="49"/>
      <c r="F662" s="49"/>
      <c r="G662" s="49"/>
      <c r="H662" s="49"/>
      <c r="I662" s="49"/>
      <c r="J662" s="49" t="b">
        <f>IFERROR(__xludf.DUMMYFUNCTION("""COMPUTED_VALUE"""),FALSE)</f>
        <v>0</v>
      </c>
      <c r="K662" s="49"/>
      <c r="L662" s="49" t="b">
        <f>IFERROR(__xludf.DUMMYFUNCTION("""COMPUTED_VALUE"""),FALSE)</f>
        <v>0</v>
      </c>
      <c r="M662" s="49" t="b">
        <f>IFERROR(__xludf.DUMMYFUNCTION("""COMPUTED_VALUE"""),FALSE)</f>
        <v>0</v>
      </c>
      <c r="N662" s="49"/>
    </row>
    <row r="663">
      <c r="A663" s="49"/>
      <c r="B663" s="49"/>
      <c r="C663" s="49"/>
      <c r="D663" s="49"/>
      <c r="E663" s="49"/>
      <c r="F663" s="49"/>
      <c r="G663" s="49"/>
      <c r="H663" s="49"/>
      <c r="I663" s="49"/>
      <c r="J663" s="49" t="b">
        <f>IFERROR(__xludf.DUMMYFUNCTION("""COMPUTED_VALUE"""),FALSE)</f>
        <v>0</v>
      </c>
      <c r="K663" s="49"/>
      <c r="L663" s="49" t="b">
        <f>IFERROR(__xludf.DUMMYFUNCTION("""COMPUTED_VALUE"""),FALSE)</f>
        <v>0</v>
      </c>
      <c r="M663" s="49" t="b">
        <f>IFERROR(__xludf.DUMMYFUNCTION("""COMPUTED_VALUE"""),FALSE)</f>
        <v>0</v>
      </c>
      <c r="N663" s="49"/>
    </row>
    <row r="664">
      <c r="A664" s="49"/>
      <c r="B664" s="49"/>
      <c r="C664" s="49"/>
      <c r="D664" s="49"/>
      <c r="E664" s="49"/>
      <c r="F664" s="49"/>
      <c r="G664" s="49"/>
      <c r="H664" s="49"/>
      <c r="I664" s="49"/>
      <c r="J664" s="49" t="b">
        <f>IFERROR(__xludf.DUMMYFUNCTION("""COMPUTED_VALUE"""),FALSE)</f>
        <v>0</v>
      </c>
      <c r="K664" s="49"/>
      <c r="L664" s="49" t="b">
        <f>IFERROR(__xludf.DUMMYFUNCTION("""COMPUTED_VALUE"""),FALSE)</f>
        <v>0</v>
      </c>
      <c r="M664" s="49" t="b">
        <f>IFERROR(__xludf.DUMMYFUNCTION("""COMPUTED_VALUE"""),FALSE)</f>
        <v>0</v>
      </c>
      <c r="N664" s="49"/>
    </row>
    <row r="665">
      <c r="A665" s="49"/>
      <c r="B665" s="49"/>
      <c r="C665" s="49"/>
      <c r="D665" s="49"/>
      <c r="E665" s="49"/>
      <c r="F665" s="49"/>
      <c r="G665" s="49"/>
      <c r="H665" s="49"/>
      <c r="I665" s="49"/>
      <c r="J665" s="49" t="b">
        <f>IFERROR(__xludf.DUMMYFUNCTION("""COMPUTED_VALUE"""),FALSE)</f>
        <v>0</v>
      </c>
      <c r="K665" s="49"/>
      <c r="L665" s="49" t="b">
        <f>IFERROR(__xludf.DUMMYFUNCTION("""COMPUTED_VALUE"""),FALSE)</f>
        <v>0</v>
      </c>
      <c r="M665" s="49" t="b">
        <f>IFERROR(__xludf.DUMMYFUNCTION("""COMPUTED_VALUE"""),FALSE)</f>
        <v>0</v>
      </c>
      <c r="N665" s="49"/>
    </row>
    <row r="666">
      <c r="A666" s="49"/>
      <c r="B666" s="49"/>
      <c r="C666" s="49"/>
      <c r="D666" s="49"/>
      <c r="E666" s="49"/>
      <c r="F666" s="49"/>
      <c r="G666" s="49"/>
      <c r="H666" s="49"/>
      <c r="I666" s="49"/>
      <c r="J666" s="49" t="b">
        <f>IFERROR(__xludf.DUMMYFUNCTION("""COMPUTED_VALUE"""),FALSE)</f>
        <v>0</v>
      </c>
      <c r="K666" s="49"/>
      <c r="L666" s="49" t="b">
        <f>IFERROR(__xludf.DUMMYFUNCTION("""COMPUTED_VALUE"""),FALSE)</f>
        <v>0</v>
      </c>
      <c r="M666" s="49" t="b">
        <f>IFERROR(__xludf.DUMMYFUNCTION("""COMPUTED_VALUE"""),FALSE)</f>
        <v>0</v>
      </c>
      <c r="N666" s="49"/>
    </row>
    <row r="667">
      <c r="A667" s="49"/>
      <c r="B667" s="49"/>
      <c r="C667" s="49"/>
      <c r="D667" s="49"/>
      <c r="E667" s="49"/>
      <c r="F667" s="49"/>
      <c r="G667" s="49"/>
      <c r="H667" s="49"/>
      <c r="I667" s="49"/>
      <c r="J667" s="49" t="b">
        <f>IFERROR(__xludf.DUMMYFUNCTION("""COMPUTED_VALUE"""),FALSE)</f>
        <v>0</v>
      </c>
      <c r="K667" s="49"/>
      <c r="L667" s="49" t="b">
        <f>IFERROR(__xludf.DUMMYFUNCTION("""COMPUTED_VALUE"""),FALSE)</f>
        <v>0</v>
      </c>
      <c r="M667" s="49" t="b">
        <f>IFERROR(__xludf.DUMMYFUNCTION("""COMPUTED_VALUE"""),FALSE)</f>
        <v>0</v>
      </c>
      <c r="N667" s="49"/>
    </row>
    <row r="668">
      <c r="A668" s="49"/>
      <c r="B668" s="49"/>
      <c r="C668" s="49"/>
      <c r="D668" s="49"/>
      <c r="E668" s="49"/>
      <c r="F668" s="49"/>
      <c r="G668" s="49"/>
      <c r="H668" s="49"/>
      <c r="I668" s="49"/>
      <c r="J668" s="49" t="b">
        <f>IFERROR(__xludf.DUMMYFUNCTION("""COMPUTED_VALUE"""),FALSE)</f>
        <v>0</v>
      </c>
      <c r="K668" s="49"/>
      <c r="L668" s="49" t="b">
        <f>IFERROR(__xludf.DUMMYFUNCTION("""COMPUTED_VALUE"""),FALSE)</f>
        <v>0</v>
      </c>
      <c r="M668" s="49" t="b">
        <f>IFERROR(__xludf.DUMMYFUNCTION("""COMPUTED_VALUE"""),FALSE)</f>
        <v>0</v>
      </c>
      <c r="N668" s="49"/>
    </row>
    <row r="669">
      <c r="A669" s="49"/>
      <c r="B669" s="49"/>
      <c r="C669" s="49"/>
      <c r="D669" s="49"/>
      <c r="E669" s="49"/>
      <c r="F669" s="49"/>
      <c r="G669" s="49"/>
      <c r="H669" s="49"/>
      <c r="I669" s="49"/>
      <c r="J669" s="49" t="b">
        <f>IFERROR(__xludf.DUMMYFUNCTION("""COMPUTED_VALUE"""),FALSE)</f>
        <v>0</v>
      </c>
      <c r="K669" s="49"/>
      <c r="L669" s="49" t="b">
        <f>IFERROR(__xludf.DUMMYFUNCTION("""COMPUTED_VALUE"""),FALSE)</f>
        <v>0</v>
      </c>
      <c r="M669" s="49" t="b">
        <f>IFERROR(__xludf.DUMMYFUNCTION("""COMPUTED_VALUE"""),FALSE)</f>
        <v>0</v>
      </c>
      <c r="N669" s="49"/>
    </row>
    <row r="670">
      <c r="A670" s="49"/>
      <c r="B670" s="49"/>
      <c r="C670" s="49"/>
      <c r="D670" s="49"/>
      <c r="E670" s="49"/>
      <c r="F670" s="49"/>
      <c r="G670" s="49"/>
      <c r="H670" s="49"/>
      <c r="I670" s="49"/>
      <c r="J670" s="49" t="b">
        <f>IFERROR(__xludf.DUMMYFUNCTION("""COMPUTED_VALUE"""),FALSE)</f>
        <v>0</v>
      </c>
      <c r="K670" s="49"/>
      <c r="L670" s="49" t="b">
        <f>IFERROR(__xludf.DUMMYFUNCTION("""COMPUTED_VALUE"""),FALSE)</f>
        <v>0</v>
      </c>
      <c r="M670" s="49" t="b">
        <f>IFERROR(__xludf.DUMMYFUNCTION("""COMPUTED_VALUE"""),FALSE)</f>
        <v>0</v>
      </c>
      <c r="N670" s="49"/>
    </row>
    <row r="671">
      <c r="A671" s="49"/>
      <c r="B671" s="49"/>
      <c r="C671" s="49"/>
      <c r="D671" s="49"/>
      <c r="E671" s="49"/>
      <c r="F671" s="49"/>
      <c r="G671" s="49"/>
      <c r="H671" s="49"/>
      <c r="I671" s="49"/>
      <c r="J671" s="49" t="b">
        <f>IFERROR(__xludf.DUMMYFUNCTION("""COMPUTED_VALUE"""),FALSE)</f>
        <v>0</v>
      </c>
      <c r="K671" s="49"/>
      <c r="L671" s="49" t="b">
        <f>IFERROR(__xludf.DUMMYFUNCTION("""COMPUTED_VALUE"""),FALSE)</f>
        <v>0</v>
      </c>
      <c r="M671" s="49" t="b">
        <f>IFERROR(__xludf.DUMMYFUNCTION("""COMPUTED_VALUE"""),FALSE)</f>
        <v>0</v>
      </c>
      <c r="N671" s="49"/>
    </row>
    <row r="672">
      <c r="A672" s="49"/>
      <c r="B672" s="49"/>
      <c r="C672" s="49"/>
      <c r="D672" s="49"/>
      <c r="E672" s="49"/>
      <c r="F672" s="49"/>
      <c r="G672" s="49"/>
      <c r="H672" s="49"/>
      <c r="I672" s="49"/>
      <c r="J672" s="49" t="b">
        <f>IFERROR(__xludf.DUMMYFUNCTION("""COMPUTED_VALUE"""),FALSE)</f>
        <v>0</v>
      </c>
      <c r="K672" s="49"/>
      <c r="L672" s="49" t="b">
        <f>IFERROR(__xludf.DUMMYFUNCTION("""COMPUTED_VALUE"""),FALSE)</f>
        <v>0</v>
      </c>
      <c r="M672" s="49" t="b">
        <f>IFERROR(__xludf.DUMMYFUNCTION("""COMPUTED_VALUE"""),FALSE)</f>
        <v>0</v>
      </c>
      <c r="N672" s="49"/>
    </row>
    <row r="673">
      <c r="A673" s="49"/>
      <c r="B673" s="49"/>
      <c r="C673" s="49"/>
      <c r="D673" s="49"/>
      <c r="E673" s="49"/>
      <c r="F673" s="49"/>
      <c r="G673" s="49"/>
      <c r="H673" s="49"/>
      <c r="I673" s="49"/>
      <c r="J673" s="49" t="b">
        <f>IFERROR(__xludf.DUMMYFUNCTION("""COMPUTED_VALUE"""),FALSE)</f>
        <v>0</v>
      </c>
      <c r="K673" s="49"/>
      <c r="L673" s="49" t="b">
        <f>IFERROR(__xludf.DUMMYFUNCTION("""COMPUTED_VALUE"""),FALSE)</f>
        <v>0</v>
      </c>
      <c r="M673" s="49" t="b">
        <f>IFERROR(__xludf.DUMMYFUNCTION("""COMPUTED_VALUE"""),FALSE)</f>
        <v>0</v>
      </c>
      <c r="N673" s="49"/>
    </row>
    <row r="674">
      <c r="A674" s="49"/>
      <c r="B674" s="49"/>
      <c r="C674" s="49"/>
      <c r="D674" s="49"/>
      <c r="E674" s="49"/>
      <c r="F674" s="49"/>
      <c r="G674" s="49"/>
      <c r="H674" s="49"/>
      <c r="I674" s="49"/>
      <c r="J674" s="49" t="b">
        <f>IFERROR(__xludf.DUMMYFUNCTION("""COMPUTED_VALUE"""),FALSE)</f>
        <v>0</v>
      </c>
      <c r="K674" s="49"/>
      <c r="L674" s="49" t="b">
        <f>IFERROR(__xludf.DUMMYFUNCTION("""COMPUTED_VALUE"""),FALSE)</f>
        <v>0</v>
      </c>
      <c r="M674" s="49" t="b">
        <f>IFERROR(__xludf.DUMMYFUNCTION("""COMPUTED_VALUE"""),FALSE)</f>
        <v>0</v>
      </c>
      <c r="N674" s="49"/>
    </row>
    <row r="675">
      <c r="A675" s="49"/>
      <c r="B675" s="49"/>
      <c r="C675" s="49"/>
      <c r="D675" s="49"/>
      <c r="E675" s="49"/>
      <c r="F675" s="49"/>
      <c r="G675" s="49"/>
      <c r="H675" s="49"/>
      <c r="I675" s="49"/>
      <c r="J675" s="49" t="b">
        <f>IFERROR(__xludf.DUMMYFUNCTION("""COMPUTED_VALUE"""),FALSE)</f>
        <v>0</v>
      </c>
      <c r="K675" s="49"/>
      <c r="L675" s="49" t="b">
        <f>IFERROR(__xludf.DUMMYFUNCTION("""COMPUTED_VALUE"""),FALSE)</f>
        <v>0</v>
      </c>
      <c r="M675" s="49" t="b">
        <f>IFERROR(__xludf.DUMMYFUNCTION("""COMPUTED_VALUE"""),FALSE)</f>
        <v>0</v>
      </c>
      <c r="N675" s="49"/>
    </row>
    <row r="676">
      <c r="A676" s="49"/>
      <c r="B676" s="49"/>
      <c r="C676" s="49"/>
      <c r="D676" s="49"/>
      <c r="E676" s="49"/>
      <c r="F676" s="49"/>
      <c r="G676" s="49"/>
      <c r="H676" s="49"/>
      <c r="I676" s="49"/>
      <c r="J676" s="49" t="b">
        <f>IFERROR(__xludf.DUMMYFUNCTION("""COMPUTED_VALUE"""),FALSE)</f>
        <v>0</v>
      </c>
      <c r="K676" s="49"/>
      <c r="L676" s="49" t="b">
        <f>IFERROR(__xludf.DUMMYFUNCTION("""COMPUTED_VALUE"""),FALSE)</f>
        <v>0</v>
      </c>
      <c r="M676" s="49" t="b">
        <f>IFERROR(__xludf.DUMMYFUNCTION("""COMPUTED_VALUE"""),FALSE)</f>
        <v>0</v>
      </c>
      <c r="N676" s="49"/>
    </row>
    <row r="677">
      <c r="A677" s="49"/>
      <c r="B677" s="49"/>
      <c r="C677" s="49"/>
      <c r="D677" s="49"/>
      <c r="E677" s="49"/>
      <c r="F677" s="49"/>
      <c r="G677" s="49"/>
      <c r="H677" s="49"/>
      <c r="I677" s="49"/>
      <c r="J677" s="49" t="b">
        <f>IFERROR(__xludf.DUMMYFUNCTION("""COMPUTED_VALUE"""),FALSE)</f>
        <v>0</v>
      </c>
      <c r="K677" s="49"/>
      <c r="L677" s="49" t="b">
        <f>IFERROR(__xludf.DUMMYFUNCTION("""COMPUTED_VALUE"""),FALSE)</f>
        <v>0</v>
      </c>
      <c r="M677" s="49" t="b">
        <f>IFERROR(__xludf.DUMMYFUNCTION("""COMPUTED_VALUE"""),FALSE)</f>
        <v>0</v>
      </c>
      <c r="N677" s="49"/>
    </row>
    <row r="678">
      <c r="A678" s="49"/>
      <c r="B678" s="49"/>
      <c r="C678" s="49"/>
      <c r="D678" s="49"/>
      <c r="E678" s="49"/>
      <c r="F678" s="49"/>
      <c r="G678" s="49"/>
      <c r="H678" s="49"/>
      <c r="I678" s="49"/>
      <c r="J678" s="49" t="b">
        <f>IFERROR(__xludf.DUMMYFUNCTION("""COMPUTED_VALUE"""),FALSE)</f>
        <v>0</v>
      </c>
      <c r="K678" s="49"/>
      <c r="L678" s="49" t="b">
        <f>IFERROR(__xludf.DUMMYFUNCTION("""COMPUTED_VALUE"""),FALSE)</f>
        <v>0</v>
      </c>
      <c r="M678" s="49" t="b">
        <f>IFERROR(__xludf.DUMMYFUNCTION("""COMPUTED_VALUE"""),FALSE)</f>
        <v>0</v>
      </c>
      <c r="N678" s="49"/>
    </row>
    <row r="679">
      <c r="A679" s="49"/>
      <c r="B679" s="49"/>
      <c r="C679" s="49"/>
      <c r="D679" s="49"/>
      <c r="E679" s="49"/>
      <c r="F679" s="49"/>
      <c r="G679" s="49"/>
      <c r="H679" s="49"/>
      <c r="I679" s="49"/>
      <c r="J679" s="49" t="b">
        <f>IFERROR(__xludf.DUMMYFUNCTION("""COMPUTED_VALUE"""),FALSE)</f>
        <v>0</v>
      </c>
      <c r="K679" s="49"/>
      <c r="L679" s="49" t="b">
        <f>IFERROR(__xludf.DUMMYFUNCTION("""COMPUTED_VALUE"""),FALSE)</f>
        <v>0</v>
      </c>
      <c r="M679" s="49" t="b">
        <f>IFERROR(__xludf.DUMMYFUNCTION("""COMPUTED_VALUE"""),FALSE)</f>
        <v>0</v>
      </c>
      <c r="N679" s="49"/>
    </row>
    <row r="680">
      <c r="A680" s="49"/>
      <c r="B680" s="49"/>
      <c r="C680" s="49"/>
      <c r="D680" s="49"/>
      <c r="E680" s="49"/>
      <c r="F680" s="49"/>
      <c r="G680" s="49"/>
      <c r="H680" s="49"/>
      <c r="I680" s="49"/>
      <c r="J680" s="49" t="b">
        <f>IFERROR(__xludf.DUMMYFUNCTION("""COMPUTED_VALUE"""),FALSE)</f>
        <v>0</v>
      </c>
      <c r="K680" s="49"/>
      <c r="L680" s="49" t="b">
        <f>IFERROR(__xludf.DUMMYFUNCTION("""COMPUTED_VALUE"""),FALSE)</f>
        <v>0</v>
      </c>
      <c r="M680" s="49" t="b">
        <f>IFERROR(__xludf.DUMMYFUNCTION("""COMPUTED_VALUE"""),FALSE)</f>
        <v>0</v>
      </c>
      <c r="N680" s="49"/>
    </row>
    <row r="681">
      <c r="A681" s="49"/>
      <c r="B681" s="49"/>
      <c r="C681" s="49"/>
      <c r="D681" s="49"/>
      <c r="E681" s="49"/>
      <c r="F681" s="49"/>
      <c r="G681" s="49"/>
      <c r="H681" s="49"/>
      <c r="I681" s="49"/>
      <c r="J681" s="49" t="b">
        <f>IFERROR(__xludf.DUMMYFUNCTION("""COMPUTED_VALUE"""),FALSE)</f>
        <v>0</v>
      </c>
      <c r="K681" s="49"/>
      <c r="L681" s="49" t="b">
        <f>IFERROR(__xludf.DUMMYFUNCTION("""COMPUTED_VALUE"""),FALSE)</f>
        <v>0</v>
      </c>
      <c r="M681" s="49" t="b">
        <f>IFERROR(__xludf.DUMMYFUNCTION("""COMPUTED_VALUE"""),FALSE)</f>
        <v>0</v>
      </c>
      <c r="N681" s="49"/>
    </row>
    <row r="682">
      <c r="A682" s="49"/>
      <c r="B682" s="49"/>
      <c r="C682" s="49"/>
      <c r="D682" s="49"/>
      <c r="E682" s="49"/>
      <c r="F682" s="49"/>
      <c r="G682" s="49"/>
      <c r="H682" s="49"/>
      <c r="I682" s="49"/>
      <c r="J682" s="49" t="b">
        <f>IFERROR(__xludf.DUMMYFUNCTION("""COMPUTED_VALUE"""),FALSE)</f>
        <v>0</v>
      </c>
      <c r="K682" s="49"/>
      <c r="L682" s="49" t="b">
        <f>IFERROR(__xludf.DUMMYFUNCTION("""COMPUTED_VALUE"""),FALSE)</f>
        <v>0</v>
      </c>
      <c r="M682" s="49" t="b">
        <f>IFERROR(__xludf.DUMMYFUNCTION("""COMPUTED_VALUE"""),FALSE)</f>
        <v>0</v>
      </c>
      <c r="N682" s="49"/>
    </row>
    <row r="683">
      <c r="A683" s="49"/>
      <c r="B683" s="49"/>
      <c r="C683" s="49"/>
      <c r="D683" s="49"/>
      <c r="E683" s="49"/>
      <c r="F683" s="49"/>
      <c r="G683" s="49"/>
      <c r="H683" s="49"/>
      <c r="I683" s="49"/>
      <c r="J683" s="49" t="b">
        <f>IFERROR(__xludf.DUMMYFUNCTION("""COMPUTED_VALUE"""),FALSE)</f>
        <v>0</v>
      </c>
      <c r="K683" s="49"/>
      <c r="L683" s="49" t="b">
        <f>IFERROR(__xludf.DUMMYFUNCTION("""COMPUTED_VALUE"""),FALSE)</f>
        <v>0</v>
      </c>
      <c r="M683" s="49" t="b">
        <f>IFERROR(__xludf.DUMMYFUNCTION("""COMPUTED_VALUE"""),FALSE)</f>
        <v>0</v>
      </c>
      <c r="N683" s="49"/>
    </row>
    <row r="684">
      <c r="A684" s="49"/>
      <c r="B684" s="49"/>
      <c r="C684" s="49"/>
      <c r="D684" s="49"/>
      <c r="E684" s="49"/>
      <c r="F684" s="49"/>
      <c r="G684" s="49"/>
      <c r="H684" s="49"/>
      <c r="I684" s="49"/>
      <c r="J684" s="49" t="b">
        <f>IFERROR(__xludf.DUMMYFUNCTION("""COMPUTED_VALUE"""),FALSE)</f>
        <v>0</v>
      </c>
      <c r="K684" s="49"/>
      <c r="L684" s="49" t="b">
        <f>IFERROR(__xludf.DUMMYFUNCTION("""COMPUTED_VALUE"""),FALSE)</f>
        <v>0</v>
      </c>
      <c r="M684" s="49" t="b">
        <f>IFERROR(__xludf.DUMMYFUNCTION("""COMPUTED_VALUE"""),FALSE)</f>
        <v>0</v>
      </c>
      <c r="N684" s="49"/>
    </row>
    <row r="685">
      <c r="A685" s="49"/>
      <c r="B685" s="49"/>
      <c r="C685" s="49"/>
      <c r="D685" s="49"/>
      <c r="E685" s="49"/>
      <c r="F685" s="49"/>
      <c r="G685" s="49"/>
      <c r="H685" s="49"/>
      <c r="I685" s="49"/>
      <c r="J685" s="49" t="b">
        <f>IFERROR(__xludf.DUMMYFUNCTION("""COMPUTED_VALUE"""),FALSE)</f>
        <v>0</v>
      </c>
      <c r="K685" s="49"/>
      <c r="L685" s="49" t="b">
        <f>IFERROR(__xludf.DUMMYFUNCTION("""COMPUTED_VALUE"""),FALSE)</f>
        <v>0</v>
      </c>
      <c r="M685" s="49" t="b">
        <f>IFERROR(__xludf.DUMMYFUNCTION("""COMPUTED_VALUE"""),FALSE)</f>
        <v>0</v>
      </c>
      <c r="N685" s="49"/>
    </row>
    <row r="686">
      <c r="A686" s="49"/>
      <c r="B686" s="49"/>
      <c r="C686" s="49"/>
      <c r="D686" s="49"/>
      <c r="E686" s="49"/>
      <c r="F686" s="49"/>
      <c r="G686" s="49"/>
      <c r="H686" s="49"/>
      <c r="I686" s="49"/>
      <c r="J686" s="49" t="b">
        <f>IFERROR(__xludf.DUMMYFUNCTION("""COMPUTED_VALUE"""),FALSE)</f>
        <v>0</v>
      </c>
      <c r="K686" s="49"/>
      <c r="L686" s="49" t="b">
        <f>IFERROR(__xludf.DUMMYFUNCTION("""COMPUTED_VALUE"""),FALSE)</f>
        <v>0</v>
      </c>
      <c r="M686" s="49" t="b">
        <f>IFERROR(__xludf.DUMMYFUNCTION("""COMPUTED_VALUE"""),FALSE)</f>
        <v>0</v>
      </c>
      <c r="N686" s="49"/>
    </row>
    <row r="687">
      <c r="A687" s="49"/>
      <c r="B687" s="49"/>
      <c r="C687" s="49"/>
      <c r="D687" s="49"/>
      <c r="E687" s="49"/>
      <c r="F687" s="49"/>
      <c r="G687" s="49"/>
      <c r="H687" s="49"/>
      <c r="I687" s="49"/>
      <c r="J687" s="49" t="b">
        <f>IFERROR(__xludf.DUMMYFUNCTION("""COMPUTED_VALUE"""),FALSE)</f>
        <v>0</v>
      </c>
      <c r="K687" s="49"/>
      <c r="L687" s="49" t="b">
        <f>IFERROR(__xludf.DUMMYFUNCTION("""COMPUTED_VALUE"""),FALSE)</f>
        <v>0</v>
      </c>
      <c r="M687" s="49" t="b">
        <f>IFERROR(__xludf.DUMMYFUNCTION("""COMPUTED_VALUE"""),FALSE)</f>
        <v>0</v>
      </c>
      <c r="N687" s="49"/>
    </row>
    <row r="688">
      <c r="A688" s="49"/>
      <c r="B688" s="49"/>
      <c r="C688" s="49"/>
      <c r="D688" s="49"/>
      <c r="E688" s="49"/>
      <c r="F688" s="49"/>
      <c r="G688" s="49"/>
      <c r="H688" s="49"/>
      <c r="I688" s="49"/>
      <c r="J688" s="49" t="b">
        <f>IFERROR(__xludf.DUMMYFUNCTION("""COMPUTED_VALUE"""),FALSE)</f>
        <v>0</v>
      </c>
      <c r="K688" s="49"/>
      <c r="L688" s="49" t="b">
        <f>IFERROR(__xludf.DUMMYFUNCTION("""COMPUTED_VALUE"""),FALSE)</f>
        <v>0</v>
      </c>
      <c r="M688" s="49" t="b">
        <f>IFERROR(__xludf.DUMMYFUNCTION("""COMPUTED_VALUE"""),FALSE)</f>
        <v>0</v>
      </c>
      <c r="N688" s="49"/>
    </row>
    <row r="689">
      <c r="A689" s="49"/>
      <c r="B689" s="49"/>
      <c r="C689" s="49"/>
      <c r="D689" s="49"/>
      <c r="E689" s="49"/>
      <c r="F689" s="49"/>
      <c r="G689" s="49"/>
      <c r="H689" s="49"/>
      <c r="I689" s="49"/>
      <c r="J689" s="49" t="b">
        <f>IFERROR(__xludf.DUMMYFUNCTION("""COMPUTED_VALUE"""),FALSE)</f>
        <v>0</v>
      </c>
      <c r="K689" s="49"/>
      <c r="L689" s="49" t="b">
        <f>IFERROR(__xludf.DUMMYFUNCTION("""COMPUTED_VALUE"""),FALSE)</f>
        <v>0</v>
      </c>
      <c r="M689" s="49" t="b">
        <f>IFERROR(__xludf.DUMMYFUNCTION("""COMPUTED_VALUE"""),FALSE)</f>
        <v>0</v>
      </c>
      <c r="N689" s="49"/>
    </row>
    <row r="690">
      <c r="A690" s="49"/>
      <c r="B690" s="49"/>
      <c r="C690" s="49"/>
      <c r="D690" s="49"/>
      <c r="E690" s="49"/>
      <c r="F690" s="49"/>
      <c r="G690" s="49"/>
      <c r="H690" s="49"/>
      <c r="I690" s="49"/>
      <c r="J690" s="49" t="b">
        <f>IFERROR(__xludf.DUMMYFUNCTION("""COMPUTED_VALUE"""),FALSE)</f>
        <v>0</v>
      </c>
      <c r="K690" s="49"/>
      <c r="L690" s="49" t="b">
        <f>IFERROR(__xludf.DUMMYFUNCTION("""COMPUTED_VALUE"""),FALSE)</f>
        <v>0</v>
      </c>
      <c r="M690" s="49" t="b">
        <f>IFERROR(__xludf.DUMMYFUNCTION("""COMPUTED_VALUE"""),FALSE)</f>
        <v>0</v>
      </c>
      <c r="N690" s="49"/>
    </row>
    <row r="691">
      <c r="A691" s="49"/>
      <c r="B691" s="49"/>
      <c r="C691" s="49"/>
      <c r="D691" s="49"/>
      <c r="E691" s="49"/>
      <c r="F691" s="49"/>
      <c r="G691" s="49"/>
      <c r="H691" s="49"/>
      <c r="I691" s="49"/>
      <c r="J691" s="49" t="b">
        <f>IFERROR(__xludf.DUMMYFUNCTION("""COMPUTED_VALUE"""),FALSE)</f>
        <v>0</v>
      </c>
      <c r="K691" s="49"/>
      <c r="L691" s="49" t="b">
        <f>IFERROR(__xludf.DUMMYFUNCTION("""COMPUTED_VALUE"""),FALSE)</f>
        <v>0</v>
      </c>
      <c r="M691" s="49" t="b">
        <f>IFERROR(__xludf.DUMMYFUNCTION("""COMPUTED_VALUE"""),FALSE)</f>
        <v>0</v>
      </c>
      <c r="N691" s="49"/>
    </row>
    <row r="692">
      <c r="A692" s="49"/>
      <c r="B692" s="49"/>
      <c r="C692" s="49"/>
      <c r="D692" s="49"/>
      <c r="E692" s="49"/>
      <c r="F692" s="49"/>
      <c r="G692" s="49"/>
      <c r="H692" s="49"/>
      <c r="I692" s="49"/>
      <c r="J692" s="49" t="b">
        <f>IFERROR(__xludf.DUMMYFUNCTION("""COMPUTED_VALUE"""),FALSE)</f>
        <v>0</v>
      </c>
      <c r="K692" s="49"/>
      <c r="L692" s="49" t="b">
        <f>IFERROR(__xludf.DUMMYFUNCTION("""COMPUTED_VALUE"""),FALSE)</f>
        <v>0</v>
      </c>
      <c r="M692" s="49" t="b">
        <f>IFERROR(__xludf.DUMMYFUNCTION("""COMPUTED_VALUE"""),FALSE)</f>
        <v>0</v>
      </c>
      <c r="N692" s="49"/>
    </row>
    <row r="693">
      <c r="A693" s="49"/>
      <c r="B693" s="49"/>
      <c r="C693" s="49"/>
      <c r="D693" s="49"/>
      <c r="E693" s="49"/>
      <c r="F693" s="49"/>
      <c r="G693" s="49"/>
      <c r="H693" s="49"/>
      <c r="I693" s="49"/>
      <c r="J693" s="49" t="b">
        <f>IFERROR(__xludf.DUMMYFUNCTION("""COMPUTED_VALUE"""),FALSE)</f>
        <v>0</v>
      </c>
      <c r="K693" s="49"/>
      <c r="L693" s="49" t="b">
        <f>IFERROR(__xludf.DUMMYFUNCTION("""COMPUTED_VALUE"""),FALSE)</f>
        <v>0</v>
      </c>
      <c r="M693" s="49" t="b">
        <f>IFERROR(__xludf.DUMMYFUNCTION("""COMPUTED_VALUE"""),FALSE)</f>
        <v>0</v>
      </c>
      <c r="N693" s="49"/>
    </row>
    <row r="694">
      <c r="A694" s="49"/>
      <c r="B694" s="49"/>
      <c r="C694" s="49"/>
      <c r="D694" s="49"/>
      <c r="E694" s="49"/>
      <c r="F694" s="49"/>
      <c r="G694" s="49"/>
      <c r="H694" s="49"/>
      <c r="I694" s="49"/>
      <c r="J694" s="49" t="b">
        <f>IFERROR(__xludf.DUMMYFUNCTION("""COMPUTED_VALUE"""),FALSE)</f>
        <v>0</v>
      </c>
      <c r="K694" s="49"/>
      <c r="L694" s="49" t="b">
        <f>IFERROR(__xludf.DUMMYFUNCTION("""COMPUTED_VALUE"""),FALSE)</f>
        <v>0</v>
      </c>
      <c r="M694" s="49" t="b">
        <f>IFERROR(__xludf.DUMMYFUNCTION("""COMPUTED_VALUE"""),FALSE)</f>
        <v>0</v>
      </c>
      <c r="N694" s="49"/>
    </row>
    <row r="695">
      <c r="A695" s="49"/>
      <c r="B695" s="49"/>
      <c r="C695" s="49"/>
      <c r="D695" s="49"/>
      <c r="E695" s="49"/>
      <c r="F695" s="49"/>
      <c r="G695" s="49"/>
      <c r="H695" s="49"/>
      <c r="I695" s="49"/>
      <c r="J695" s="49" t="b">
        <f>IFERROR(__xludf.DUMMYFUNCTION("""COMPUTED_VALUE"""),FALSE)</f>
        <v>0</v>
      </c>
      <c r="K695" s="49"/>
      <c r="L695" s="49" t="b">
        <f>IFERROR(__xludf.DUMMYFUNCTION("""COMPUTED_VALUE"""),FALSE)</f>
        <v>0</v>
      </c>
      <c r="M695" s="49" t="b">
        <f>IFERROR(__xludf.DUMMYFUNCTION("""COMPUTED_VALUE"""),FALSE)</f>
        <v>0</v>
      </c>
      <c r="N695" s="49"/>
    </row>
    <row r="696">
      <c r="A696" s="49"/>
      <c r="B696" s="49"/>
      <c r="C696" s="49"/>
      <c r="D696" s="49"/>
      <c r="E696" s="49"/>
      <c r="F696" s="49"/>
      <c r="G696" s="49"/>
      <c r="H696" s="49"/>
      <c r="I696" s="49"/>
      <c r="J696" s="49" t="b">
        <f>IFERROR(__xludf.DUMMYFUNCTION("""COMPUTED_VALUE"""),FALSE)</f>
        <v>0</v>
      </c>
      <c r="K696" s="49"/>
      <c r="L696" s="49" t="b">
        <f>IFERROR(__xludf.DUMMYFUNCTION("""COMPUTED_VALUE"""),FALSE)</f>
        <v>0</v>
      </c>
      <c r="M696" s="49" t="b">
        <f>IFERROR(__xludf.DUMMYFUNCTION("""COMPUTED_VALUE"""),FALSE)</f>
        <v>0</v>
      </c>
      <c r="N696" s="49"/>
    </row>
    <row r="697">
      <c r="A697" s="49"/>
      <c r="B697" s="49"/>
      <c r="C697" s="49"/>
      <c r="D697" s="49"/>
      <c r="E697" s="49"/>
      <c r="F697" s="49"/>
      <c r="G697" s="49"/>
      <c r="H697" s="49"/>
      <c r="I697" s="49"/>
      <c r="J697" s="49" t="b">
        <f>IFERROR(__xludf.DUMMYFUNCTION("""COMPUTED_VALUE"""),FALSE)</f>
        <v>0</v>
      </c>
      <c r="K697" s="49"/>
      <c r="L697" s="49" t="b">
        <f>IFERROR(__xludf.DUMMYFUNCTION("""COMPUTED_VALUE"""),FALSE)</f>
        <v>0</v>
      </c>
      <c r="M697" s="49" t="b">
        <f>IFERROR(__xludf.DUMMYFUNCTION("""COMPUTED_VALUE"""),FALSE)</f>
        <v>0</v>
      </c>
      <c r="N697" s="49"/>
    </row>
    <row r="698">
      <c r="A698" s="49"/>
      <c r="B698" s="49"/>
      <c r="C698" s="49"/>
      <c r="D698" s="49"/>
      <c r="E698" s="49"/>
      <c r="F698" s="49"/>
      <c r="G698" s="49"/>
      <c r="H698" s="49"/>
      <c r="I698" s="49"/>
      <c r="J698" s="49" t="b">
        <f>IFERROR(__xludf.DUMMYFUNCTION("""COMPUTED_VALUE"""),FALSE)</f>
        <v>0</v>
      </c>
      <c r="K698" s="49"/>
      <c r="L698" s="49" t="b">
        <f>IFERROR(__xludf.DUMMYFUNCTION("""COMPUTED_VALUE"""),FALSE)</f>
        <v>0</v>
      </c>
      <c r="M698" s="49" t="b">
        <f>IFERROR(__xludf.DUMMYFUNCTION("""COMPUTED_VALUE"""),FALSE)</f>
        <v>0</v>
      </c>
      <c r="N698" s="49"/>
    </row>
    <row r="699">
      <c r="A699" s="49"/>
      <c r="B699" s="49"/>
      <c r="C699" s="49"/>
      <c r="D699" s="49"/>
      <c r="E699" s="49"/>
      <c r="F699" s="49"/>
      <c r="G699" s="49"/>
      <c r="H699" s="49"/>
      <c r="I699" s="49"/>
      <c r="J699" s="49" t="b">
        <f>IFERROR(__xludf.DUMMYFUNCTION("""COMPUTED_VALUE"""),FALSE)</f>
        <v>0</v>
      </c>
      <c r="K699" s="49"/>
      <c r="L699" s="49" t="b">
        <f>IFERROR(__xludf.DUMMYFUNCTION("""COMPUTED_VALUE"""),FALSE)</f>
        <v>0</v>
      </c>
      <c r="M699" s="49" t="b">
        <f>IFERROR(__xludf.DUMMYFUNCTION("""COMPUTED_VALUE"""),FALSE)</f>
        <v>0</v>
      </c>
      <c r="N699" s="49"/>
    </row>
    <row r="700">
      <c r="A700" s="49"/>
      <c r="B700" s="49"/>
      <c r="C700" s="49"/>
      <c r="D700" s="49"/>
      <c r="E700" s="49"/>
      <c r="F700" s="49"/>
      <c r="G700" s="49"/>
      <c r="H700" s="49"/>
      <c r="I700" s="49"/>
      <c r="J700" s="49" t="b">
        <f>IFERROR(__xludf.DUMMYFUNCTION("""COMPUTED_VALUE"""),FALSE)</f>
        <v>0</v>
      </c>
      <c r="K700" s="49"/>
      <c r="L700" s="49" t="b">
        <f>IFERROR(__xludf.DUMMYFUNCTION("""COMPUTED_VALUE"""),FALSE)</f>
        <v>0</v>
      </c>
      <c r="M700" s="49" t="b">
        <f>IFERROR(__xludf.DUMMYFUNCTION("""COMPUTED_VALUE"""),FALSE)</f>
        <v>0</v>
      </c>
      <c r="N700" s="49"/>
    </row>
    <row r="701">
      <c r="A701" s="49"/>
      <c r="B701" s="49"/>
      <c r="C701" s="49"/>
      <c r="D701" s="49"/>
      <c r="E701" s="49"/>
      <c r="F701" s="49"/>
      <c r="G701" s="49"/>
      <c r="H701" s="49"/>
      <c r="I701" s="49"/>
      <c r="J701" s="49" t="b">
        <f>IFERROR(__xludf.DUMMYFUNCTION("""COMPUTED_VALUE"""),FALSE)</f>
        <v>0</v>
      </c>
      <c r="K701" s="49"/>
      <c r="L701" s="49" t="b">
        <f>IFERROR(__xludf.DUMMYFUNCTION("""COMPUTED_VALUE"""),FALSE)</f>
        <v>0</v>
      </c>
      <c r="M701" s="49" t="b">
        <f>IFERROR(__xludf.DUMMYFUNCTION("""COMPUTED_VALUE"""),FALSE)</f>
        <v>0</v>
      </c>
      <c r="N701" s="49"/>
    </row>
    <row r="702">
      <c r="A702" s="49"/>
      <c r="B702" s="49"/>
      <c r="C702" s="49"/>
      <c r="D702" s="49"/>
      <c r="E702" s="49"/>
      <c r="F702" s="49"/>
      <c r="G702" s="49"/>
      <c r="H702" s="49"/>
      <c r="I702" s="49"/>
      <c r="J702" s="49" t="b">
        <f>IFERROR(__xludf.DUMMYFUNCTION("""COMPUTED_VALUE"""),FALSE)</f>
        <v>0</v>
      </c>
      <c r="K702" s="49"/>
      <c r="L702" s="49" t="b">
        <f>IFERROR(__xludf.DUMMYFUNCTION("""COMPUTED_VALUE"""),FALSE)</f>
        <v>0</v>
      </c>
      <c r="M702" s="49" t="b">
        <f>IFERROR(__xludf.DUMMYFUNCTION("""COMPUTED_VALUE"""),FALSE)</f>
        <v>0</v>
      </c>
      <c r="N702" s="49"/>
    </row>
    <row r="703">
      <c r="A703" s="49"/>
      <c r="B703" s="49"/>
      <c r="C703" s="49"/>
      <c r="D703" s="49"/>
      <c r="E703" s="49"/>
      <c r="F703" s="49"/>
      <c r="G703" s="49"/>
      <c r="H703" s="49"/>
      <c r="I703" s="49"/>
      <c r="J703" s="49" t="b">
        <f>IFERROR(__xludf.DUMMYFUNCTION("""COMPUTED_VALUE"""),FALSE)</f>
        <v>0</v>
      </c>
      <c r="K703" s="49"/>
      <c r="L703" s="49" t="b">
        <f>IFERROR(__xludf.DUMMYFUNCTION("""COMPUTED_VALUE"""),FALSE)</f>
        <v>0</v>
      </c>
      <c r="M703" s="49" t="b">
        <f>IFERROR(__xludf.DUMMYFUNCTION("""COMPUTED_VALUE"""),FALSE)</f>
        <v>0</v>
      </c>
      <c r="N703" s="49"/>
    </row>
    <row r="704">
      <c r="A704" s="49"/>
      <c r="B704" s="49"/>
      <c r="C704" s="49"/>
      <c r="D704" s="49"/>
      <c r="E704" s="49"/>
      <c r="F704" s="49"/>
      <c r="G704" s="49"/>
      <c r="H704" s="49"/>
      <c r="I704" s="49"/>
      <c r="J704" s="49" t="b">
        <f>IFERROR(__xludf.DUMMYFUNCTION("""COMPUTED_VALUE"""),FALSE)</f>
        <v>0</v>
      </c>
      <c r="K704" s="49"/>
      <c r="L704" s="49" t="b">
        <f>IFERROR(__xludf.DUMMYFUNCTION("""COMPUTED_VALUE"""),FALSE)</f>
        <v>0</v>
      </c>
      <c r="M704" s="49" t="b">
        <f>IFERROR(__xludf.DUMMYFUNCTION("""COMPUTED_VALUE"""),FALSE)</f>
        <v>0</v>
      </c>
      <c r="N704" s="49"/>
    </row>
    <row r="705">
      <c r="A705" s="49"/>
      <c r="B705" s="49"/>
      <c r="C705" s="49"/>
      <c r="D705" s="49"/>
      <c r="E705" s="49"/>
      <c r="F705" s="49"/>
      <c r="G705" s="49"/>
      <c r="H705" s="49"/>
      <c r="I705" s="49"/>
      <c r="J705" s="49" t="b">
        <f>IFERROR(__xludf.DUMMYFUNCTION("""COMPUTED_VALUE"""),FALSE)</f>
        <v>0</v>
      </c>
      <c r="K705" s="49"/>
      <c r="L705" s="49" t="b">
        <f>IFERROR(__xludf.DUMMYFUNCTION("""COMPUTED_VALUE"""),FALSE)</f>
        <v>0</v>
      </c>
      <c r="M705" s="49" t="b">
        <f>IFERROR(__xludf.DUMMYFUNCTION("""COMPUTED_VALUE"""),FALSE)</f>
        <v>0</v>
      </c>
      <c r="N705" s="49"/>
    </row>
    <row r="706">
      <c r="A706" s="49"/>
      <c r="B706" s="49"/>
      <c r="C706" s="49"/>
      <c r="D706" s="49"/>
      <c r="E706" s="49"/>
      <c r="F706" s="49"/>
      <c r="G706" s="49"/>
      <c r="H706" s="49"/>
      <c r="I706" s="49"/>
      <c r="J706" s="49" t="b">
        <f>IFERROR(__xludf.DUMMYFUNCTION("""COMPUTED_VALUE"""),FALSE)</f>
        <v>0</v>
      </c>
      <c r="K706" s="49"/>
      <c r="L706" s="49" t="b">
        <f>IFERROR(__xludf.DUMMYFUNCTION("""COMPUTED_VALUE"""),FALSE)</f>
        <v>0</v>
      </c>
      <c r="M706" s="49" t="b">
        <f>IFERROR(__xludf.DUMMYFUNCTION("""COMPUTED_VALUE"""),FALSE)</f>
        <v>0</v>
      </c>
      <c r="N706" s="49"/>
    </row>
    <row r="707">
      <c r="A707" s="49"/>
      <c r="B707" s="49"/>
      <c r="C707" s="49"/>
      <c r="D707" s="49"/>
      <c r="E707" s="49"/>
      <c r="F707" s="49"/>
      <c r="G707" s="49"/>
      <c r="H707" s="49"/>
      <c r="I707" s="49"/>
      <c r="J707" s="49" t="b">
        <f>IFERROR(__xludf.DUMMYFUNCTION("""COMPUTED_VALUE"""),FALSE)</f>
        <v>0</v>
      </c>
      <c r="K707" s="49"/>
      <c r="L707" s="49" t="b">
        <f>IFERROR(__xludf.DUMMYFUNCTION("""COMPUTED_VALUE"""),FALSE)</f>
        <v>0</v>
      </c>
      <c r="M707" s="49" t="b">
        <f>IFERROR(__xludf.DUMMYFUNCTION("""COMPUTED_VALUE"""),FALSE)</f>
        <v>0</v>
      </c>
      <c r="N707" s="49"/>
    </row>
    <row r="708">
      <c r="A708" s="49"/>
      <c r="B708" s="49"/>
      <c r="C708" s="49"/>
      <c r="D708" s="49"/>
      <c r="E708" s="49"/>
      <c r="F708" s="49"/>
      <c r="G708" s="49"/>
      <c r="H708" s="49"/>
      <c r="I708" s="49"/>
      <c r="J708" s="49" t="b">
        <f>IFERROR(__xludf.DUMMYFUNCTION("""COMPUTED_VALUE"""),FALSE)</f>
        <v>0</v>
      </c>
      <c r="K708" s="49"/>
      <c r="L708" s="49" t="b">
        <f>IFERROR(__xludf.DUMMYFUNCTION("""COMPUTED_VALUE"""),FALSE)</f>
        <v>0</v>
      </c>
      <c r="M708" s="49" t="b">
        <f>IFERROR(__xludf.DUMMYFUNCTION("""COMPUTED_VALUE"""),FALSE)</f>
        <v>0</v>
      </c>
      <c r="N708" s="49"/>
    </row>
    <row r="709">
      <c r="A709" s="49"/>
      <c r="B709" s="49"/>
      <c r="C709" s="49"/>
      <c r="D709" s="49"/>
      <c r="E709" s="49"/>
      <c r="F709" s="49"/>
      <c r="G709" s="49"/>
      <c r="H709" s="49"/>
      <c r="I709" s="49"/>
      <c r="J709" s="49" t="b">
        <f>IFERROR(__xludf.DUMMYFUNCTION("""COMPUTED_VALUE"""),FALSE)</f>
        <v>0</v>
      </c>
      <c r="K709" s="49"/>
      <c r="L709" s="49" t="b">
        <f>IFERROR(__xludf.DUMMYFUNCTION("""COMPUTED_VALUE"""),FALSE)</f>
        <v>0</v>
      </c>
      <c r="M709" s="49" t="b">
        <f>IFERROR(__xludf.DUMMYFUNCTION("""COMPUTED_VALUE"""),FALSE)</f>
        <v>0</v>
      </c>
      <c r="N709" s="49"/>
    </row>
    <row r="710">
      <c r="A710" s="49"/>
      <c r="B710" s="49"/>
      <c r="C710" s="49"/>
      <c r="D710" s="49"/>
      <c r="E710" s="49"/>
      <c r="F710" s="49"/>
      <c r="G710" s="49"/>
      <c r="H710" s="49"/>
      <c r="I710" s="49"/>
      <c r="J710" s="49" t="b">
        <f>IFERROR(__xludf.DUMMYFUNCTION("""COMPUTED_VALUE"""),FALSE)</f>
        <v>0</v>
      </c>
      <c r="K710" s="49"/>
      <c r="L710" s="49" t="b">
        <f>IFERROR(__xludf.DUMMYFUNCTION("""COMPUTED_VALUE"""),FALSE)</f>
        <v>0</v>
      </c>
      <c r="M710" s="49" t="b">
        <f>IFERROR(__xludf.DUMMYFUNCTION("""COMPUTED_VALUE"""),FALSE)</f>
        <v>0</v>
      </c>
      <c r="N710" s="49"/>
    </row>
    <row r="711">
      <c r="A711" s="49"/>
      <c r="B711" s="49"/>
      <c r="C711" s="49"/>
      <c r="D711" s="49"/>
      <c r="E711" s="49"/>
      <c r="F711" s="49"/>
      <c r="G711" s="49"/>
      <c r="H711" s="49"/>
      <c r="I711" s="49"/>
      <c r="J711" s="49" t="b">
        <f>IFERROR(__xludf.DUMMYFUNCTION("""COMPUTED_VALUE"""),FALSE)</f>
        <v>0</v>
      </c>
      <c r="K711" s="49"/>
      <c r="L711" s="49" t="b">
        <f>IFERROR(__xludf.DUMMYFUNCTION("""COMPUTED_VALUE"""),FALSE)</f>
        <v>0</v>
      </c>
      <c r="M711" s="49" t="b">
        <f>IFERROR(__xludf.DUMMYFUNCTION("""COMPUTED_VALUE"""),FALSE)</f>
        <v>0</v>
      </c>
      <c r="N711" s="49"/>
    </row>
    <row r="712">
      <c r="A712" s="49"/>
      <c r="B712" s="49"/>
      <c r="C712" s="49"/>
      <c r="D712" s="49"/>
      <c r="E712" s="49"/>
      <c r="F712" s="49"/>
      <c r="G712" s="49"/>
      <c r="H712" s="49"/>
      <c r="I712" s="49"/>
      <c r="J712" s="49" t="b">
        <f>IFERROR(__xludf.DUMMYFUNCTION("""COMPUTED_VALUE"""),FALSE)</f>
        <v>0</v>
      </c>
      <c r="K712" s="49"/>
      <c r="L712" s="49" t="b">
        <f>IFERROR(__xludf.DUMMYFUNCTION("""COMPUTED_VALUE"""),FALSE)</f>
        <v>0</v>
      </c>
      <c r="M712" s="49" t="b">
        <f>IFERROR(__xludf.DUMMYFUNCTION("""COMPUTED_VALUE"""),FALSE)</f>
        <v>0</v>
      </c>
      <c r="N712" s="49"/>
    </row>
    <row r="713">
      <c r="A713" s="49"/>
      <c r="B713" s="49"/>
      <c r="C713" s="49"/>
      <c r="D713" s="49"/>
      <c r="E713" s="49"/>
      <c r="F713" s="49"/>
      <c r="G713" s="49"/>
      <c r="H713" s="49"/>
      <c r="I713" s="49"/>
      <c r="J713" s="49" t="b">
        <f>IFERROR(__xludf.DUMMYFUNCTION("""COMPUTED_VALUE"""),FALSE)</f>
        <v>0</v>
      </c>
      <c r="K713" s="49"/>
      <c r="L713" s="49" t="b">
        <f>IFERROR(__xludf.DUMMYFUNCTION("""COMPUTED_VALUE"""),FALSE)</f>
        <v>0</v>
      </c>
      <c r="M713" s="49" t="b">
        <f>IFERROR(__xludf.DUMMYFUNCTION("""COMPUTED_VALUE"""),FALSE)</f>
        <v>0</v>
      </c>
      <c r="N713" s="49"/>
    </row>
    <row r="714">
      <c r="A714" s="49"/>
      <c r="B714" s="49"/>
      <c r="C714" s="49"/>
      <c r="D714" s="49"/>
      <c r="E714" s="49"/>
      <c r="F714" s="49"/>
      <c r="G714" s="49"/>
      <c r="H714" s="49"/>
      <c r="I714" s="49"/>
      <c r="J714" s="49" t="b">
        <f>IFERROR(__xludf.DUMMYFUNCTION("""COMPUTED_VALUE"""),FALSE)</f>
        <v>0</v>
      </c>
      <c r="K714" s="49"/>
      <c r="L714" s="49" t="b">
        <f>IFERROR(__xludf.DUMMYFUNCTION("""COMPUTED_VALUE"""),FALSE)</f>
        <v>0</v>
      </c>
      <c r="M714" s="49" t="b">
        <f>IFERROR(__xludf.DUMMYFUNCTION("""COMPUTED_VALUE"""),FALSE)</f>
        <v>0</v>
      </c>
      <c r="N714" s="49"/>
    </row>
    <row r="715">
      <c r="A715" s="49"/>
      <c r="B715" s="49"/>
      <c r="C715" s="49"/>
      <c r="D715" s="49"/>
      <c r="E715" s="49"/>
      <c r="F715" s="49"/>
      <c r="G715" s="49"/>
      <c r="H715" s="49"/>
      <c r="I715" s="49"/>
      <c r="J715" s="49" t="b">
        <f>IFERROR(__xludf.DUMMYFUNCTION("""COMPUTED_VALUE"""),FALSE)</f>
        <v>0</v>
      </c>
      <c r="K715" s="49"/>
      <c r="L715" s="49" t="b">
        <f>IFERROR(__xludf.DUMMYFUNCTION("""COMPUTED_VALUE"""),FALSE)</f>
        <v>0</v>
      </c>
      <c r="M715" s="49" t="b">
        <f>IFERROR(__xludf.DUMMYFUNCTION("""COMPUTED_VALUE"""),FALSE)</f>
        <v>0</v>
      </c>
      <c r="N715" s="49"/>
    </row>
    <row r="716">
      <c r="A716" s="49"/>
      <c r="B716" s="49"/>
      <c r="C716" s="49"/>
      <c r="D716" s="49"/>
      <c r="E716" s="49"/>
      <c r="F716" s="49"/>
      <c r="G716" s="49"/>
      <c r="H716" s="49"/>
      <c r="I716" s="49"/>
      <c r="J716" s="49" t="b">
        <f>IFERROR(__xludf.DUMMYFUNCTION("""COMPUTED_VALUE"""),FALSE)</f>
        <v>0</v>
      </c>
      <c r="K716" s="49"/>
      <c r="L716" s="49" t="b">
        <f>IFERROR(__xludf.DUMMYFUNCTION("""COMPUTED_VALUE"""),FALSE)</f>
        <v>0</v>
      </c>
      <c r="M716" s="49" t="b">
        <f>IFERROR(__xludf.DUMMYFUNCTION("""COMPUTED_VALUE"""),FALSE)</f>
        <v>0</v>
      </c>
      <c r="N716" s="49"/>
    </row>
    <row r="717">
      <c r="A717" s="49"/>
      <c r="B717" s="49"/>
      <c r="C717" s="49"/>
      <c r="D717" s="49"/>
      <c r="E717" s="49"/>
      <c r="F717" s="49"/>
      <c r="G717" s="49"/>
      <c r="H717" s="49"/>
      <c r="I717" s="49"/>
      <c r="J717" s="49" t="b">
        <f>IFERROR(__xludf.DUMMYFUNCTION("""COMPUTED_VALUE"""),FALSE)</f>
        <v>0</v>
      </c>
      <c r="K717" s="49"/>
      <c r="L717" s="49" t="b">
        <f>IFERROR(__xludf.DUMMYFUNCTION("""COMPUTED_VALUE"""),FALSE)</f>
        <v>0</v>
      </c>
      <c r="M717" s="49" t="b">
        <f>IFERROR(__xludf.DUMMYFUNCTION("""COMPUTED_VALUE"""),FALSE)</f>
        <v>0</v>
      </c>
      <c r="N717" s="49"/>
    </row>
    <row r="718">
      <c r="A718" s="49"/>
      <c r="B718" s="49"/>
      <c r="C718" s="49"/>
      <c r="D718" s="49"/>
      <c r="E718" s="49"/>
      <c r="F718" s="49"/>
      <c r="G718" s="49"/>
      <c r="H718" s="49"/>
      <c r="I718" s="49"/>
      <c r="J718" s="49" t="b">
        <f>IFERROR(__xludf.DUMMYFUNCTION("""COMPUTED_VALUE"""),FALSE)</f>
        <v>0</v>
      </c>
      <c r="K718" s="49"/>
      <c r="L718" s="49" t="b">
        <f>IFERROR(__xludf.DUMMYFUNCTION("""COMPUTED_VALUE"""),FALSE)</f>
        <v>0</v>
      </c>
      <c r="M718" s="49" t="b">
        <f>IFERROR(__xludf.DUMMYFUNCTION("""COMPUTED_VALUE"""),FALSE)</f>
        <v>0</v>
      </c>
      <c r="N718" s="49"/>
    </row>
    <row r="719">
      <c r="A719" s="49"/>
      <c r="B719" s="49"/>
      <c r="C719" s="49"/>
      <c r="D719" s="49"/>
      <c r="E719" s="49"/>
      <c r="F719" s="49"/>
      <c r="G719" s="49"/>
      <c r="H719" s="49"/>
      <c r="I719" s="49"/>
      <c r="J719" s="49" t="b">
        <f>IFERROR(__xludf.DUMMYFUNCTION("""COMPUTED_VALUE"""),FALSE)</f>
        <v>0</v>
      </c>
      <c r="K719" s="49"/>
      <c r="L719" s="49" t="b">
        <f>IFERROR(__xludf.DUMMYFUNCTION("""COMPUTED_VALUE"""),FALSE)</f>
        <v>0</v>
      </c>
      <c r="M719" s="49" t="b">
        <f>IFERROR(__xludf.DUMMYFUNCTION("""COMPUTED_VALUE"""),FALSE)</f>
        <v>0</v>
      </c>
      <c r="N719" s="49"/>
    </row>
    <row r="720">
      <c r="A720" s="49"/>
      <c r="B720" s="49"/>
      <c r="C720" s="49"/>
      <c r="D720" s="49"/>
      <c r="E720" s="49"/>
      <c r="F720" s="49"/>
      <c r="G720" s="49"/>
      <c r="H720" s="49"/>
      <c r="I720" s="49"/>
      <c r="J720" s="49" t="b">
        <f>IFERROR(__xludf.DUMMYFUNCTION("""COMPUTED_VALUE"""),FALSE)</f>
        <v>0</v>
      </c>
      <c r="K720" s="49"/>
      <c r="L720" s="49" t="b">
        <f>IFERROR(__xludf.DUMMYFUNCTION("""COMPUTED_VALUE"""),FALSE)</f>
        <v>0</v>
      </c>
      <c r="M720" s="49" t="b">
        <f>IFERROR(__xludf.DUMMYFUNCTION("""COMPUTED_VALUE"""),FALSE)</f>
        <v>0</v>
      </c>
      <c r="N720" s="49"/>
    </row>
    <row r="721">
      <c r="A721" s="49"/>
      <c r="B721" s="49"/>
      <c r="C721" s="49"/>
      <c r="D721" s="49"/>
      <c r="E721" s="49"/>
      <c r="F721" s="49"/>
      <c r="G721" s="49"/>
      <c r="H721" s="49"/>
      <c r="I721" s="49"/>
      <c r="J721" s="49" t="b">
        <f>IFERROR(__xludf.DUMMYFUNCTION("""COMPUTED_VALUE"""),FALSE)</f>
        <v>0</v>
      </c>
      <c r="K721" s="49"/>
      <c r="L721" s="49" t="b">
        <f>IFERROR(__xludf.DUMMYFUNCTION("""COMPUTED_VALUE"""),FALSE)</f>
        <v>0</v>
      </c>
      <c r="M721" s="49" t="b">
        <f>IFERROR(__xludf.DUMMYFUNCTION("""COMPUTED_VALUE"""),FALSE)</f>
        <v>0</v>
      </c>
      <c r="N721" s="49"/>
    </row>
    <row r="722">
      <c r="A722" s="49"/>
      <c r="B722" s="49"/>
      <c r="C722" s="49"/>
      <c r="D722" s="49"/>
      <c r="E722" s="49"/>
      <c r="F722" s="49"/>
      <c r="G722" s="49"/>
      <c r="H722" s="49"/>
      <c r="I722" s="49"/>
      <c r="J722" s="49" t="b">
        <f>IFERROR(__xludf.DUMMYFUNCTION("""COMPUTED_VALUE"""),FALSE)</f>
        <v>0</v>
      </c>
      <c r="K722" s="49"/>
      <c r="L722" s="49" t="b">
        <f>IFERROR(__xludf.DUMMYFUNCTION("""COMPUTED_VALUE"""),FALSE)</f>
        <v>0</v>
      </c>
      <c r="M722" s="49" t="b">
        <f>IFERROR(__xludf.DUMMYFUNCTION("""COMPUTED_VALUE"""),FALSE)</f>
        <v>0</v>
      </c>
      <c r="N722" s="49"/>
    </row>
    <row r="723">
      <c r="A723" s="49"/>
      <c r="B723" s="49"/>
      <c r="C723" s="49"/>
      <c r="D723" s="49"/>
      <c r="E723" s="49"/>
      <c r="F723" s="49"/>
      <c r="G723" s="49"/>
      <c r="H723" s="49"/>
      <c r="I723" s="49"/>
      <c r="J723" s="49" t="b">
        <f>IFERROR(__xludf.DUMMYFUNCTION("""COMPUTED_VALUE"""),FALSE)</f>
        <v>0</v>
      </c>
      <c r="K723" s="49"/>
      <c r="L723" s="49" t="b">
        <f>IFERROR(__xludf.DUMMYFUNCTION("""COMPUTED_VALUE"""),FALSE)</f>
        <v>0</v>
      </c>
      <c r="M723" s="49" t="b">
        <f>IFERROR(__xludf.DUMMYFUNCTION("""COMPUTED_VALUE"""),FALSE)</f>
        <v>0</v>
      </c>
      <c r="N723" s="49"/>
    </row>
    <row r="724">
      <c r="A724" s="49"/>
      <c r="B724" s="49"/>
      <c r="C724" s="49"/>
      <c r="D724" s="49"/>
      <c r="E724" s="49"/>
      <c r="F724" s="49"/>
      <c r="G724" s="49"/>
      <c r="H724" s="49"/>
      <c r="I724" s="49"/>
      <c r="J724" s="49" t="b">
        <f>IFERROR(__xludf.DUMMYFUNCTION("""COMPUTED_VALUE"""),FALSE)</f>
        <v>0</v>
      </c>
      <c r="K724" s="49"/>
      <c r="L724" s="49" t="b">
        <f>IFERROR(__xludf.DUMMYFUNCTION("""COMPUTED_VALUE"""),FALSE)</f>
        <v>0</v>
      </c>
      <c r="M724" s="49" t="b">
        <f>IFERROR(__xludf.DUMMYFUNCTION("""COMPUTED_VALUE"""),FALSE)</f>
        <v>0</v>
      </c>
      <c r="N724" s="49"/>
    </row>
    <row r="725">
      <c r="A725" s="49"/>
      <c r="B725" s="49"/>
      <c r="C725" s="49"/>
      <c r="D725" s="49"/>
      <c r="E725" s="49"/>
      <c r="F725" s="49"/>
      <c r="G725" s="49"/>
      <c r="H725" s="49"/>
      <c r="I725" s="49"/>
      <c r="J725" s="49" t="b">
        <f>IFERROR(__xludf.DUMMYFUNCTION("""COMPUTED_VALUE"""),FALSE)</f>
        <v>0</v>
      </c>
      <c r="K725" s="49"/>
      <c r="L725" s="49" t="b">
        <f>IFERROR(__xludf.DUMMYFUNCTION("""COMPUTED_VALUE"""),FALSE)</f>
        <v>0</v>
      </c>
      <c r="M725" s="49" t="b">
        <f>IFERROR(__xludf.DUMMYFUNCTION("""COMPUTED_VALUE"""),FALSE)</f>
        <v>0</v>
      </c>
      <c r="N725" s="49"/>
    </row>
    <row r="726">
      <c r="A726" s="49"/>
      <c r="B726" s="49"/>
      <c r="C726" s="49"/>
      <c r="D726" s="49"/>
      <c r="E726" s="49"/>
      <c r="F726" s="49"/>
      <c r="G726" s="49"/>
      <c r="H726" s="49"/>
      <c r="I726" s="49"/>
      <c r="J726" s="49" t="b">
        <f>IFERROR(__xludf.DUMMYFUNCTION("""COMPUTED_VALUE"""),FALSE)</f>
        <v>0</v>
      </c>
      <c r="K726" s="49"/>
      <c r="L726" s="49" t="b">
        <f>IFERROR(__xludf.DUMMYFUNCTION("""COMPUTED_VALUE"""),FALSE)</f>
        <v>0</v>
      </c>
      <c r="M726" s="49" t="b">
        <f>IFERROR(__xludf.DUMMYFUNCTION("""COMPUTED_VALUE"""),FALSE)</f>
        <v>0</v>
      </c>
      <c r="N726" s="49"/>
    </row>
    <row r="727">
      <c r="A727" s="49"/>
      <c r="B727" s="49"/>
      <c r="C727" s="49"/>
      <c r="D727" s="49"/>
      <c r="E727" s="49"/>
      <c r="F727" s="49"/>
      <c r="G727" s="49"/>
      <c r="H727" s="49"/>
      <c r="I727" s="49"/>
      <c r="J727" s="49" t="b">
        <f>IFERROR(__xludf.DUMMYFUNCTION("""COMPUTED_VALUE"""),FALSE)</f>
        <v>0</v>
      </c>
      <c r="K727" s="49"/>
      <c r="L727" s="49" t="b">
        <f>IFERROR(__xludf.DUMMYFUNCTION("""COMPUTED_VALUE"""),FALSE)</f>
        <v>0</v>
      </c>
      <c r="M727" s="49" t="b">
        <f>IFERROR(__xludf.DUMMYFUNCTION("""COMPUTED_VALUE"""),FALSE)</f>
        <v>0</v>
      </c>
      <c r="N727" s="49"/>
    </row>
    <row r="728">
      <c r="A728" s="49"/>
      <c r="B728" s="49"/>
      <c r="C728" s="49"/>
      <c r="D728" s="49"/>
      <c r="E728" s="49"/>
      <c r="F728" s="49"/>
      <c r="G728" s="49"/>
      <c r="H728" s="49"/>
      <c r="I728" s="49"/>
      <c r="J728" s="49" t="b">
        <f>IFERROR(__xludf.DUMMYFUNCTION("""COMPUTED_VALUE"""),FALSE)</f>
        <v>0</v>
      </c>
      <c r="K728" s="49"/>
      <c r="L728" s="49" t="b">
        <f>IFERROR(__xludf.DUMMYFUNCTION("""COMPUTED_VALUE"""),FALSE)</f>
        <v>0</v>
      </c>
      <c r="M728" s="49" t="b">
        <f>IFERROR(__xludf.DUMMYFUNCTION("""COMPUTED_VALUE"""),FALSE)</f>
        <v>0</v>
      </c>
      <c r="N728" s="49"/>
    </row>
    <row r="729">
      <c r="A729" s="49"/>
      <c r="B729" s="49"/>
      <c r="C729" s="49"/>
      <c r="D729" s="49"/>
      <c r="E729" s="49"/>
      <c r="F729" s="49"/>
      <c r="G729" s="49"/>
      <c r="H729" s="49"/>
      <c r="I729" s="49"/>
      <c r="J729" s="49" t="b">
        <f>IFERROR(__xludf.DUMMYFUNCTION("""COMPUTED_VALUE"""),FALSE)</f>
        <v>0</v>
      </c>
      <c r="K729" s="49"/>
      <c r="L729" s="49" t="b">
        <f>IFERROR(__xludf.DUMMYFUNCTION("""COMPUTED_VALUE"""),FALSE)</f>
        <v>0</v>
      </c>
      <c r="M729" s="49" t="b">
        <f>IFERROR(__xludf.DUMMYFUNCTION("""COMPUTED_VALUE"""),FALSE)</f>
        <v>0</v>
      </c>
      <c r="N729" s="49"/>
    </row>
    <row r="730">
      <c r="A730" s="49"/>
      <c r="B730" s="49"/>
      <c r="C730" s="49"/>
      <c r="D730" s="49"/>
      <c r="E730" s="49"/>
      <c r="F730" s="49"/>
      <c r="G730" s="49"/>
      <c r="H730" s="49"/>
      <c r="I730" s="49"/>
      <c r="J730" s="49" t="b">
        <f>IFERROR(__xludf.DUMMYFUNCTION("""COMPUTED_VALUE"""),FALSE)</f>
        <v>0</v>
      </c>
      <c r="K730" s="49"/>
      <c r="L730" s="49" t="b">
        <f>IFERROR(__xludf.DUMMYFUNCTION("""COMPUTED_VALUE"""),FALSE)</f>
        <v>0</v>
      </c>
      <c r="M730" s="49" t="b">
        <f>IFERROR(__xludf.DUMMYFUNCTION("""COMPUTED_VALUE"""),FALSE)</f>
        <v>0</v>
      </c>
      <c r="N730" s="49"/>
    </row>
    <row r="731">
      <c r="A731" s="49"/>
      <c r="B731" s="49"/>
      <c r="C731" s="49"/>
      <c r="D731" s="49"/>
      <c r="E731" s="49"/>
      <c r="F731" s="49"/>
      <c r="G731" s="49"/>
      <c r="H731" s="49"/>
      <c r="I731" s="49"/>
      <c r="J731" s="49" t="b">
        <f>IFERROR(__xludf.DUMMYFUNCTION("""COMPUTED_VALUE"""),FALSE)</f>
        <v>0</v>
      </c>
      <c r="K731" s="49"/>
      <c r="L731" s="49" t="b">
        <f>IFERROR(__xludf.DUMMYFUNCTION("""COMPUTED_VALUE"""),FALSE)</f>
        <v>0</v>
      </c>
      <c r="M731" s="49" t="b">
        <f>IFERROR(__xludf.DUMMYFUNCTION("""COMPUTED_VALUE"""),FALSE)</f>
        <v>0</v>
      </c>
      <c r="N731" s="49"/>
    </row>
    <row r="732">
      <c r="A732" s="49"/>
      <c r="B732" s="49"/>
      <c r="C732" s="49"/>
      <c r="D732" s="49"/>
      <c r="E732" s="49"/>
      <c r="F732" s="49"/>
      <c r="G732" s="49"/>
      <c r="H732" s="49"/>
      <c r="I732" s="49"/>
      <c r="J732" s="49" t="b">
        <f>IFERROR(__xludf.DUMMYFUNCTION("""COMPUTED_VALUE"""),FALSE)</f>
        <v>0</v>
      </c>
      <c r="K732" s="49"/>
      <c r="L732" s="49" t="b">
        <f>IFERROR(__xludf.DUMMYFUNCTION("""COMPUTED_VALUE"""),FALSE)</f>
        <v>0</v>
      </c>
      <c r="M732" s="49" t="b">
        <f>IFERROR(__xludf.DUMMYFUNCTION("""COMPUTED_VALUE"""),FALSE)</f>
        <v>0</v>
      </c>
      <c r="N732" s="49"/>
    </row>
    <row r="733">
      <c r="A733" s="49"/>
      <c r="B733" s="49"/>
      <c r="C733" s="49"/>
      <c r="D733" s="49"/>
      <c r="E733" s="49"/>
      <c r="F733" s="49"/>
      <c r="G733" s="49"/>
      <c r="H733" s="49"/>
      <c r="I733" s="49"/>
      <c r="J733" s="49" t="b">
        <f>IFERROR(__xludf.DUMMYFUNCTION("""COMPUTED_VALUE"""),FALSE)</f>
        <v>0</v>
      </c>
      <c r="K733" s="49"/>
      <c r="L733" s="49" t="b">
        <f>IFERROR(__xludf.DUMMYFUNCTION("""COMPUTED_VALUE"""),FALSE)</f>
        <v>0</v>
      </c>
      <c r="M733" s="49" t="b">
        <f>IFERROR(__xludf.DUMMYFUNCTION("""COMPUTED_VALUE"""),FALSE)</f>
        <v>0</v>
      </c>
      <c r="N733" s="49"/>
    </row>
    <row r="734">
      <c r="A734" s="49"/>
      <c r="B734" s="49"/>
      <c r="C734" s="49"/>
      <c r="D734" s="49"/>
      <c r="E734" s="49"/>
      <c r="F734" s="49"/>
      <c r="G734" s="49"/>
      <c r="H734" s="49"/>
      <c r="I734" s="49"/>
      <c r="J734" s="49" t="b">
        <f>IFERROR(__xludf.DUMMYFUNCTION("""COMPUTED_VALUE"""),FALSE)</f>
        <v>0</v>
      </c>
      <c r="K734" s="49"/>
      <c r="L734" s="49" t="b">
        <f>IFERROR(__xludf.DUMMYFUNCTION("""COMPUTED_VALUE"""),FALSE)</f>
        <v>0</v>
      </c>
      <c r="M734" s="49" t="b">
        <f>IFERROR(__xludf.DUMMYFUNCTION("""COMPUTED_VALUE"""),FALSE)</f>
        <v>0</v>
      </c>
      <c r="N734" s="49"/>
    </row>
    <row r="735">
      <c r="A735" s="49"/>
      <c r="B735" s="49"/>
      <c r="C735" s="49"/>
      <c r="D735" s="49"/>
      <c r="E735" s="49"/>
      <c r="F735" s="49"/>
      <c r="G735" s="49"/>
      <c r="H735" s="49"/>
      <c r="I735" s="49"/>
      <c r="J735" s="49" t="b">
        <f>IFERROR(__xludf.DUMMYFUNCTION("""COMPUTED_VALUE"""),FALSE)</f>
        <v>0</v>
      </c>
      <c r="K735" s="49"/>
      <c r="L735" s="49" t="b">
        <f>IFERROR(__xludf.DUMMYFUNCTION("""COMPUTED_VALUE"""),FALSE)</f>
        <v>0</v>
      </c>
      <c r="M735" s="49" t="b">
        <f>IFERROR(__xludf.DUMMYFUNCTION("""COMPUTED_VALUE"""),FALSE)</f>
        <v>0</v>
      </c>
      <c r="N735" s="49"/>
    </row>
    <row r="736">
      <c r="A736" s="49"/>
      <c r="B736" s="49"/>
      <c r="C736" s="49"/>
      <c r="D736" s="49"/>
      <c r="E736" s="49"/>
      <c r="F736" s="49"/>
      <c r="G736" s="49"/>
      <c r="H736" s="49"/>
      <c r="I736" s="49"/>
      <c r="J736" s="49" t="b">
        <f>IFERROR(__xludf.DUMMYFUNCTION("""COMPUTED_VALUE"""),FALSE)</f>
        <v>0</v>
      </c>
      <c r="K736" s="49"/>
      <c r="L736" s="49" t="b">
        <f>IFERROR(__xludf.DUMMYFUNCTION("""COMPUTED_VALUE"""),FALSE)</f>
        <v>0</v>
      </c>
      <c r="M736" s="49" t="b">
        <f>IFERROR(__xludf.DUMMYFUNCTION("""COMPUTED_VALUE"""),FALSE)</f>
        <v>0</v>
      </c>
      <c r="N736" s="49"/>
    </row>
    <row r="737">
      <c r="A737" s="49"/>
      <c r="B737" s="49"/>
      <c r="C737" s="49"/>
      <c r="D737" s="49"/>
      <c r="E737" s="49"/>
      <c r="F737" s="49"/>
      <c r="G737" s="49"/>
      <c r="H737" s="49"/>
      <c r="I737" s="49"/>
      <c r="J737" s="49" t="b">
        <f>IFERROR(__xludf.DUMMYFUNCTION("""COMPUTED_VALUE"""),FALSE)</f>
        <v>0</v>
      </c>
      <c r="K737" s="49"/>
      <c r="L737" s="49" t="b">
        <f>IFERROR(__xludf.DUMMYFUNCTION("""COMPUTED_VALUE"""),FALSE)</f>
        <v>0</v>
      </c>
      <c r="M737" s="49" t="b">
        <f>IFERROR(__xludf.DUMMYFUNCTION("""COMPUTED_VALUE"""),FALSE)</f>
        <v>0</v>
      </c>
      <c r="N737" s="49"/>
    </row>
    <row r="738">
      <c r="A738" s="49"/>
      <c r="B738" s="49"/>
      <c r="C738" s="49"/>
      <c r="D738" s="49"/>
      <c r="E738" s="49"/>
      <c r="F738" s="49"/>
      <c r="G738" s="49"/>
      <c r="H738" s="49"/>
      <c r="I738" s="49"/>
      <c r="J738" s="49" t="b">
        <f>IFERROR(__xludf.DUMMYFUNCTION("""COMPUTED_VALUE"""),FALSE)</f>
        <v>0</v>
      </c>
      <c r="K738" s="49"/>
      <c r="L738" s="49" t="b">
        <f>IFERROR(__xludf.DUMMYFUNCTION("""COMPUTED_VALUE"""),FALSE)</f>
        <v>0</v>
      </c>
      <c r="M738" s="49" t="b">
        <f>IFERROR(__xludf.DUMMYFUNCTION("""COMPUTED_VALUE"""),FALSE)</f>
        <v>0</v>
      </c>
      <c r="N738" s="49"/>
    </row>
    <row r="739">
      <c r="A739" s="49"/>
      <c r="B739" s="49"/>
      <c r="C739" s="49"/>
      <c r="D739" s="49"/>
      <c r="E739" s="49"/>
      <c r="F739" s="49"/>
      <c r="G739" s="49"/>
      <c r="H739" s="49"/>
      <c r="I739" s="49"/>
      <c r="J739" s="49" t="b">
        <f>IFERROR(__xludf.DUMMYFUNCTION("""COMPUTED_VALUE"""),FALSE)</f>
        <v>0</v>
      </c>
      <c r="K739" s="49"/>
      <c r="L739" s="49" t="b">
        <f>IFERROR(__xludf.DUMMYFUNCTION("""COMPUTED_VALUE"""),FALSE)</f>
        <v>0</v>
      </c>
      <c r="M739" s="49" t="b">
        <f>IFERROR(__xludf.DUMMYFUNCTION("""COMPUTED_VALUE"""),FALSE)</f>
        <v>0</v>
      </c>
      <c r="N739" s="49"/>
    </row>
    <row r="740">
      <c r="A740" s="49"/>
      <c r="B740" s="49"/>
      <c r="C740" s="49"/>
      <c r="D740" s="49"/>
      <c r="E740" s="49"/>
      <c r="F740" s="49"/>
      <c r="G740" s="49"/>
      <c r="H740" s="49"/>
      <c r="I740" s="49"/>
      <c r="J740" s="49" t="b">
        <f>IFERROR(__xludf.DUMMYFUNCTION("""COMPUTED_VALUE"""),FALSE)</f>
        <v>0</v>
      </c>
      <c r="K740" s="49"/>
      <c r="L740" s="49" t="b">
        <f>IFERROR(__xludf.DUMMYFUNCTION("""COMPUTED_VALUE"""),FALSE)</f>
        <v>0</v>
      </c>
      <c r="M740" s="49" t="b">
        <f>IFERROR(__xludf.DUMMYFUNCTION("""COMPUTED_VALUE"""),FALSE)</f>
        <v>0</v>
      </c>
      <c r="N740" s="49"/>
    </row>
    <row r="741">
      <c r="A741" s="49"/>
      <c r="B741" s="49"/>
      <c r="C741" s="49"/>
      <c r="D741" s="49"/>
      <c r="E741" s="49"/>
      <c r="F741" s="49"/>
      <c r="G741" s="49"/>
      <c r="H741" s="49"/>
      <c r="I741" s="49"/>
      <c r="J741" s="49" t="b">
        <f>IFERROR(__xludf.DUMMYFUNCTION("""COMPUTED_VALUE"""),FALSE)</f>
        <v>0</v>
      </c>
      <c r="K741" s="49"/>
      <c r="L741" s="49" t="b">
        <f>IFERROR(__xludf.DUMMYFUNCTION("""COMPUTED_VALUE"""),FALSE)</f>
        <v>0</v>
      </c>
      <c r="M741" s="49" t="b">
        <f>IFERROR(__xludf.DUMMYFUNCTION("""COMPUTED_VALUE"""),FALSE)</f>
        <v>0</v>
      </c>
      <c r="N741" s="49"/>
    </row>
    <row r="742">
      <c r="A742" s="49"/>
      <c r="B742" s="49"/>
      <c r="C742" s="49"/>
      <c r="D742" s="49"/>
      <c r="E742" s="49"/>
      <c r="F742" s="49"/>
      <c r="G742" s="49"/>
      <c r="H742" s="49"/>
      <c r="I742" s="49"/>
      <c r="J742" s="49" t="b">
        <f>IFERROR(__xludf.DUMMYFUNCTION("""COMPUTED_VALUE"""),FALSE)</f>
        <v>0</v>
      </c>
      <c r="K742" s="49"/>
      <c r="L742" s="49" t="b">
        <f>IFERROR(__xludf.DUMMYFUNCTION("""COMPUTED_VALUE"""),FALSE)</f>
        <v>0</v>
      </c>
      <c r="M742" s="49" t="b">
        <f>IFERROR(__xludf.DUMMYFUNCTION("""COMPUTED_VALUE"""),FALSE)</f>
        <v>0</v>
      </c>
      <c r="N742" s="49"/>
    </row>
    <row r="743">
      <c r="A743" s="49"/>
      <c r="B743" s="49"/>
      <c r="C743" s="49"/>
      <c r="D743" s="49"/>
      <c r="E743" s="49"/>
      <c r="F743" s="49"/>
      <c r="G743" s="49"/>
      <c r="H743" s="49"/>
      <c r="I743" s="49"/>
      <c r="J743" s="49" t="b">
        <f>IFERROR(__xludf.DUMMYFUNCTION("""COMPUTED_VALUE"""),FALSE)</f>
        <v>0</v>
      </c>
      <c r="K743" s="49"/>
      <c r="L743" s="49" t="b">
        <f>IFERROR(__xludf.DUMMYFUNCTION("""COMPUTED_VALUE"""),FALSE)</f>
        <v>0</v>
      </c>
      <c r="M743" s="49" t="b">
        <f>IFERROR(__xludf.DUMMYFUNCTION("""COMPUTED_VALUE"""),FALSE)</f>
        <v>0</v>
      </c>
      <c r="N743" s="49"/>
    </row>
    <row r="744">
      <c r="A744" s="49"/>
      <c r="B744" s="49"/>
      <c r="C744" s="49"/>
      <c r="D744" s="49"/>
      <c r="E744" s="49"/>
      <c r="F744" s="49"/>
      <c r="G744" s="49"/>
      <c r="H744" s="49"/>
      <c r="I744" s="49"/>
      <c r="J744" s="49" t="b">
        <f>IFERROR(__xludf.DUMMYFUNCTION("""COMPUTED_VALUE"""),FALSE)</f>
        <v>0</v>
      </c>
      <c r="K744" s="49"/>
      <c r="L744" s="49" t="b">
        <f>IFERROR(__xludf.DUMMYFUNCTION("""COMPUTED_VALUE"""),FALSE)</f>
        <v>0</v>
      </c>
      <c r="M744" s="49" t="b">
        <f>IFERROR(__xludf.DUMMYFUNCTION("""COMPUTED_VALUE"""),FALSE)</f>
        <v>0</v>
      </c>
      <c r="N744" s="49"/>
    </row>
    <row r="745">
      <c r="A745" s="49"/>
      <c r="B745" s="49"/>
      <c r="C745" s="49"/>
      <c r="D745" s="49"/>
      <c r="E745" s="49"/>
      <c r="F745" s="49"/>
      <c r="G745" s="49"/>
      <c r="H745" s="49"/>
      <c r="I745" s="49"/>
      <c r="J745" s="49" t="b">
        <f>IFERROR(__xludf.DUMMYFUNCTION("""COMPUTED_VALUE"""),FALSE)</f>
        <v>0</v>
      </c>
      <c r="K745" s="49"/>
      <c r="L745" s="49" t="b">
        <f>IFERROR(__xludf.DUMMYFUNCTION("""COMPUTED_VALUE"""),FALSE)</f>
        <v>0</v>
      </c>
      <c r="M745" s="49" t="b">
        <f>IFERROR(__xludf.DUMMYFUNCTION("""COMPUTED_VALUE"""),FALSE)</f>
        <v>0</v>
      </c>
      <c r="N745" s="49"/>
    </row>
    <row r="746">
      <c r="A746" s="49"/>
      <c r="B746" s="49"/>
      <c r="C746" s="49"/>
      <c r="D746" s="49"/>
      <c r="E746" s="49"/>
      <c r="F746" s="49"/>
      <c r="G746" s="49"/>
      <c r="H746" s="49"/>
      <c r="I746" s="49"/>
      <c r="J746" s="49" t="b">
        <f>IFERROR(__xludf.DUMMYFUNCTION("""COMPUTED_VALUE"""),FALSE)</f>
        <v>0</v>
      </c>
      <c r="K746" s="49"/>
      <c r="L746" s="49" t="b">
        <f>IFERROR(__xludf.DUMMYFUNCTION("""COMPUTED_VALUE"""),FALSE)</f>
        <v>0</v>
      </c>
      <c r="M746" s="49" t="b">
        <f>IFERROR(__xludf.DUMMYFUNCTION("""COMPUTED_VALUE"""),FALSE)</f>
        <v>0</v>
      </c>
      <c r="N746" s="49"/>
    </row>
    <row r="747">
      <c r="A747" s="49"/>
      <c r="B747" s="49"/>
      <c r="C747" s="49"/>
      <c r="D747" s="49"/>
      <c r="E747" s="49"/>
      <c r="F747" s="49"/>
      <c r="G747" s="49"/>
      <c r="H747" s="49"/>
      <c r="I747" s="49"/>
      <c r="J747" s="49" t="b">
        <f>IFERROR(__xludf.DUMMYFUNCTION("""COMPUTED_VALUE"""),FALSE)</f>
        <v>0</v>
      </c>
      <c r="K747" s="49"/>
      <c r="L747" s="49" t="b">
        <f>IFERROR(__xludf.DUMMYFUNCTION("""COMPUTED_VALUE"""),FALSE)</f>
        <v>0</v>
      </c>
      <c r="M747" s="49" t="b">
        <f>IFERROR(__xludf.DUMMYFUNCTION("""COMPUTED_VALUE"""),FALSE)</f>
        <v>0</v>
      </c>
      <c r="N747" s="49"/>
    </row>
    <row r="748">
      <c r="A748" s="49"/>
      <c r="B748" s="49"/>
      <c r="C748" s="49"/>
      <c r="D748" s="49"/>
      <c r="E748" s="49"/>
      <c r="F748" s="49"/>
      <c r="G748" s="49"/>
      <c r="H748" s="49"/>
      <c r="I748" s="49"/>
      <c r="J748" s="49" t="b">
        <f>IFERROR(__xludf.DUMMYFUNCTION("""COMPUTED_VALUE"""),FALSE)</f>
        <v>0</v>
      </c>
      <c r="K748" s="49"/>
      <c r="L748" s="49" t="b">
        <f>IFERROR(__xludf.DUMMYFUNCTION("""COMPUTED_VALUE"""),FALSE)</f>
        <v>0</v>
      </c>
      <c r="M748" s="49" t="b">
        <f>IFERROR(__xludf.DUMMYFUNCTION("""COMPUTED_VALUE"""),FALSE)</f>
        <v>0</v>
      </c>
      <c r="N748" s="49"/>
    </row>
    <row r="749">
      <c r="A749" s="49"/>
      <c r="B749" s="49"/>
      <c r="C749" s="49"/>
      <c r="D749" s="49"/>
      <c r="E749" s="49"/>
      <c r="F749" s="49"/>
      <c r="G749" s="49"/>
      <c r="H749" s="49"/>
      <c r="I749" s="49"/>
      <c r="J749" s="49" t="b">
        <f>IFERROR(__xludf.DUMMYFUNCTION("""COMPUTED_VALUE"""),FALSE)</f>
        <v>0</v>
      </c>
      <c r="K749" s="49"/>
      <c r="L749" s="49" t="b">
        <f>IFERROR(__xludf.DUMMYFUNCTION("""COMPUTED_VALUE"""),FALSE)</f>
        <v>0</v>
      </c>
      <c r="M749" s="49" t="b">
        <f>IFERROR(__xludf.DUMMYFUNCTION("""COMPUTED_VALUE"""),FALSE)</f>
        <v>0</v>
      </c>
      <c r="N749" s="49"/>
    </row>
    <row r="750">
      <c r="A750" s="49"/>
      <c r="B750" s="49"/>
      <c r="C750" s="49"/>
      <c r="D750" s="49"/>
      <c r="E750" s="49"/>
      <c r="F750" s="49"/>
      <c r="G750" s="49"/>
      <c r="H750" s="49"/>
      <c r="I750" s="49"/>
      <c r="J750" s="49" t="b">
        <f>IFERROR(__xludf.DUMMYFUNCTION("""COMPUTED_VALUE"""),FALSE)</f>
        <v>0</v>
      </c>
      <c r="K750" s="49"/>
      <c r="L750" s="49" t="b">
        <f>IFERROR(__xludf.DUMMYFUNCTION("""COMPUTED_VALUE"""),FALSE)</f>
        <v>0</v>
      </c>
      <c r="M750" s="49" t="b">
        <f>IFERROR(__xludf.DUMMYFUNCTION("""COMPUTED_VALUE"""),FALSE)</f>
        <v>0</v>
      </c>
      <c r="N750" s="49"/>
    </row>
    <row r="751">
      <c r="A751" s="49"/>
      <c r="B751" s="49"/>
      <c r="C751" s="49"/>
      <c r="D751" s="49"/>
      <c r="E751" s="49"/>
      <c r="F751" s="49"/>
      <c r="G751" s="49"/>
      <c r="H751" s="49"/>
      <c r="I751" s="49"/>
      <c r="J751" s="49" t="b">
        <f>IFERROR(__xludf.DUMMYFUNCTION("""COMPUTED_VALUE"""),FALSE)</f>
        <v>0</v>
      </c>
      <c r="K751" s="49"/>
      <c r="L751" s="49" t="b">
        <f>IFERROR(__xludf.DUMMYFUNCTION("""COMPUTED_VALUE"""),FALSE)</f>
        <v>0</v>
      </c>
      <c r="M751" s="49" t="b">
        <f>IFERROR(__xludf.DUMMYFUNCTION("""COMPUTED_VALUE"""),FALSE)</f>
        <v>0</v>
      </c>
      <c r="N751" s="49"/>
    </row>
    <row r="752">
      <c r="A752" s="49"/>
      <c r="B752" s="49"/>
      <c r="C752" s="49"/>
      <c r="D752" s="49"/>
      <c r="E752" s="49"/>
      <c r="F752" s="49"/>
      <c r="G752" s="49"/>
      <c r="H752" s="49"/>
      <c r="I752" s="49"/>
      <c r="J752" s="49" t="b">
        <f>IFERROR(__xludf.DUMMYFUNCTION("""COMPUTED_VALUE"""),FALSE)</f>
        <v>0</v>
      </c>
      <c r="K752" s="49"/>
      <c r="L752" s="49" t="b">
        <f>IFERROR(__xludf.DUMMYFUNCTION("""COMPUTED_VALUE"""),FALSE)</f>
        <v>0</v>
      </c>
      <c r="M752" s="49" t="b">
        <f>IFERROR(__xludf.DUMMYFUNCTION("""COMPUTED_VALUE"""),FALSE)</f>
        <v>0</v>
      </c>
      <c r="N752" s="49"/>
    </row>
    <row r="753">
      <c r="A753" s="49"/>
      <c r="B753" s="49"/>
      <c r="C753" s="49"/>
      <c r="D753" s="49"/>
      <c r="E753" s="49"/>
      <c r="F753" s="49"/>
      <c r="G753" s="49"/>
      <c r="H753" s="49"/>
      <c r="I753" s="49"/>
      <c r="J753" s="49" t="b">
        <f>IFERROR(__xludf.DUMMYFUNCTION("""COMPUTED_VALUE"""),FALSE)</f>
        <v>0</v>
      </c>
      <c r="K753" s="49"/>
      <c r="L753" s="49" t="b">
        <f>IFERROR(__xludf.DUMMYFUNCTION("""COMPUTED_VALUE"""),FALSE)</f>
        <v>0</v>
      </c>
      <c r="M753" s="49" t="b">
        <f>IFERROR(__xludf.DUMMYFUNCTION("""COMPUTED_VALUE"""),FALSE)</f>
        <v>0</v>
      </c>
      <c r="N753" s="49"/>
    </row>
    <row r="754">
      <c r="A754" s="49"/>
      <c r="B754" s="49"/>
      <c r="C754" s="49"/>
      <c r="D754" s="49"/>
      <c r="E754" s="49"/>
      <c r="F754" s="49"/>
      <c r="G754" s="49"/>
      <c r="H754" s="49"/>
      <c r="I754" s="49"/>
      <c r="J754" s="49" t="b">
        <f>IFERROR(__xludf.DUMMYFUNCTION("""COMPUTED_VALUE"""),FALSE)</f>
        <v>0</v>
      </c>
      <c r="K754" s="49"/>
      <c r="L754" s="49" t="b">
        <f>IFERROR(__xludf.DUMMYFUNCTION("""COMPUTED_VALUE"""),FALSE)</f>
        <v>0</v>
      </c>
      <c r="M754" s="49" t="b">
        <f>IFERROR(__xludf.DUMMYFUNCTION("""COMPUTED_VALUE"""),FALSE)</f>
        <v>0</v>
      </c>
      <c r="N754" s="49"/>
    </row>
    <row r="755">
      <c r="A755" s="49"/>
      <c r="B755" s="49"/>
      <c r="C755" s="49"/>
      <c r="D755" s="49"/>
      <c r="E755" s="49"/>
      <c r="F755" s="49"/>
      <c r="G755" s="49"/>
      <c r="H755" s="49"/>
      <c r="I755" s="49"/>
      <c r="J755" s="49" t="b">
        <f>IFERROR(__xludf.DUMMYFUNCTION("""COMPUTED_VALUE"""),FALSE)</f>
        <v>0</v>
      </c>
      <c r="K755" s="49"/>
      <c r="L755" s="49" t="b">
        <f>IFERROR(__xludf.DUMMYFUNCTION("""COMPUTED_VALUE"""),FALSE)</f>
        <v>0</v>
      </c>
      <c r="M755" s="49" t="b">
        <f>IFERROR(__xludf.DUMMYFUNCTION("""COMPUTED_VALUE"""),FALSE)</f>
        <v>0</v>
      </c>
      <c r="N755" s="49"/>
    </row>
    <row r="756">
      <c r="A756" s="49"/>
      <c r="B756" s="49"/>
      <c r="C756" s="49"/>
      <c r="D756" s="49"/>
      <c r="E756" s="49"/>
      <c r="F756" s="49"/>
      <c r="G756" s="49"/>
      <c r="H756" s="49"/>
      <c r="I756" s="49"/>
      <c r="J756" s="49" t="b">
        <f>IFERROR(__xludf.DUMMYFUNCTION("""COMPUTED_VALUE"""),FALSE)</f>
        <v>0</v>
      </c>
      <c r="K756" s="49"/>
      <c r="L756" s="49" t="b">
        <f>IFERROR(__xludf.DUMMYFUNCTION("""COMPUTED_VALUE"""),FALSE)</f>
        <v>0</v>
      </c>
      <c r="M756" s="49" t="b">
        <f>IFERROR(__xludf.DUMMYFUNCTION("""COMPUTED_VALUE"""),FALSE)</f>
        <v>0</v>
      </c>
      <c r="N756" s="49"/>
    </row>
    <row r="757">
      <c r="A757" s="49"/>
      <c r="B757" s="49"/>
      <c r="C757" s="49"/>
      <c r="D757" s="49"/>
      <c r="E757" s="49"/>
      <c r="F757" s="49"/>
      <c r="G757" s="49"/>
      <c r="H757" s="49"/>
      <c r="I757" s="49"/>
      <c r="J757" s="49" t="b">
        <f>IFERROR(__xludf.DUMMYFUNCTION("""COMPUTED_VALUE"""),FALSE)</f>
        <v>0</v>
      </c>
      <c r="K757" s="49"/>
      <c r="L757" s="49" t="b">
        <f>IFERROR(__xludf.DUMMYFUNCTION("""COMPUTED_VALUE"""),FALSE)</f>
        <v>0</v>
      </c>
      <c r="M757" s="49" t="b">
        <f>IFERROR(__xludf.DUMMYFUNCTION("""COMPUTED_VALUE"""),FALSE)</f>
        <v>0</v>
      </c>
      <c r="N757" s="49"/>
    </row>
    <row r="758">
      <c r="A758" s="49"/>
      <c r="B758" s="49"/>
      <c r="C758" s="49"/>
      <c r="D758" s="49"/>
      <c r="E758" s="49"/>
      <c r="F758" s="49"/>
      <c r="G758" s="49"/>
      <c r="H758" s="49"/>
      <c r="I758" s="49"/>
      <c r="J758" s="49" t="b">
        <f>IFERROR(__xludf.DUMMYFUNCTION("""COMPUTED_VALUE"""),FALSE)</f>
        <v>0</v>
      </c>
      <c r="K758" s="49"/>
      <c r="L758" s="49" t="b">
        <f>IFERROR(__xludf.DUMMYFUNCTION("""COMPUTED_VALUE"""),FALSE)</f>
        <v>0</v>
      </c>
      <c r="M758" s="49" t="b">
        <f>IFERROR(__xludf.DUMMYFUNCTION("""COMPUTED_VALUE"""),FALSE)</f>
        <v>0</v>
      </c>
      <c r="N758" s="49"/>
    </row>
    <row r="759">
      <c r="A759" s="49"/>
      <c r="B759" s="49"/>
      <c r="C759" s="49"/>
      <c r="D759" s="49"/>
      <c r="E759" s="49"/>
      <c r="F759" s="49"/>
      <c r="G759" s="49"/>
      <c r="H759" s="49"/>
      <c r="I759" s="49"/>
      <c r="J759" s="49" t="b">
        <f>IFERROR(__xludf.DUMMYFUNCTION("""COMPUTED_VALUE"""),FALSE)</f>
        <v>0</v>
      </c>
      <c r="K759" s="49"/>
      <c r="L759" s="49" t="b">
        <f>IFERROR(__xludf.DUMMYFUNCTION("""COMPUTED_VALUE"""),FALSE)</f>
        <v>0</v>
      </c>
      <c r="M759" s="49" t="b">
        <f>IFERROR(__xludf.DUMMYFUNCTION("""COMPUTED_VALUE"""),FALSE)</f>
        <v>0</v>
      </c>
      <c r="N759" s="49"/>
    </row>
    <row r="760">
      <c r="A760" s="49"/>
      <c r="B760" s="49"/>
      <c r="C760" s="49"/>
      <c r="D760" s="49"/>
      <c r="E760" s="49"/>
      <c r="F760" s="49"/>
      <c r="G760" s="49"/>
      <c r="H760" s="49"/>
      <c r="I760" s="49"/>
      <c r="J760" s="49" t="b">
        <f>IFERROR(__xludf.DUMMYFUNCTION("""COMPUTED_VALUE"""),FALSE)</f>
        <v>0</v>
      </c>
      <c r="K760" s="49"/>
      <c r="L760" s="49" t="b">
        <f>IFERROR(__xludf.DUMMYFUNCTION("""COMPUTED_VALUE"""),FALSE)</f>
        <v>0</v>
      </c>
      <c r="M760" s="49" t="b">
        <f>IFERROR(__xludf.DUMMYFUNCTION("""COMPUTED_VALUE"""),FALSE)</f>
        <v>0</v>
      </c>
      <c r="N760" s="49"/>
    </row>
    <row r="761">
      <c r="A761" s="49"/>
      <c r="B761" s="49"/>
      <c r="C761" s="49"/>
      <c r="D761" s="49"/>
      <c r="E761" s="49"/>
      <c r="F761" s="49"/>
      <c r="G761" s="49"/>
      <c r="H761" s="49"/>
      <c r="I761" s="49"/>
      <c r="J761" s="49" t="b">
        <f>IFERROR(__xludf.DUMMYFUNCTION("""COMPUTED_VALUE"""),FALSE)</f>
        <v>0</v>
      </c>
      <c r="K761" s="49"/>
      <c r="L761" s="49" t="b">
        <f>IFERROR(__xludf.DUMMYFUNCTION("""COMPUTED_VALUE"""),FALSE)</f>
        <v>0</v>
      </c>
      <c r="M761" s="49" t="b">
        <f>IFERROR(__xludf.DUMMYFUNCTION("""COMPUTED_VALUE"""),FALSE)</f>
        <v>0</v>
      </c>
      <c r="N761" s="49"/>
    </row>
    <row r="762">
      <c r="A762" s="49"/>
      <c r="B762" s="49"/>
      <c r="C762" s="49"/>
      <c r="D762" s="49"/>
      <c r="E762" s="49"/>
      <c r="F762" s="49"/>
      <c r="G762" s="49"/>
      <c r="H762" s="49"/>
      <c r="I762" s="49"/>
      <c r="J762" s="49" t="b">
        <f>IFERROR(__xludf.DUMMYFUNCTION("""COMPUTED_VALUE"""),FALSE)</f>
        <v>0</v>
      </c>
      <c r="K762" s="49"/>
      <c r="L762" s="49" t="b">
        <f>IFERROR(__xludf.DUMMYFUNCTION("""COMPUTED_VALUE"""),FALSE)</f>
        <v>0</v>
      </c>
      <c r="M762" s="49" t="b">
        <f>IFERROR(__xludf.DUMMYFUNCTION("""COMPUTED_VALUE"""),FALSE)</f>
        <v>0</v>
      </c>
      <c r="N762" s="49"/>
    </row>
    <row r="763">
      <c r="A763" s="49"/>
      <c r="B763" s="49"/>
      <c r="C763" s="49"/>
      <c r="D763" s="49"/>
      <c r="E763" s="49"/>
      <c r="F763" s="49"/>
      <c r="G763" s="49"/>
      <c r="H763" s="49"/>
      <c r="I763" s="49"/>
      <c r="J763" s="49" t="b">
        <f>IFERROR(__xludf.DUMMYFUNCTION("""COMPUTED_VALUE"""),FALSE)</f>
        <v>0</v>
      </c>
      <c r="K763" s="49"/>
      <c r="L763" s="49" t="b">
        <f>IFERROR(__xludf.DUMMYFUNCTION("""COMPUTED_VALUE"""),FALSE)</f>
        <v>0</v>
      </c>
      <c r="M763" s="49" t="b">
        <f>IFERROR(__xludf.DUMMYFUNCTION("""COMPUTED_VALUE"""),FALSE)</f>
        <v>0</v>
      </c>
      <c r="N763" s="49"/>
    </row>
    <row r="764">
      <c r="A764" s="49"/>
      <c r="B764" s="49"/>
      <c r="C764" s="49"/>
      <c r="D764" s="49"/>
      <c r="E764" s="49"/>
      <c r="F764" s="49"/>
      <c r="G764" s="49"/>
      <c r="H764" s="49"/>
      <c r="I764" s="49"/>
      <c r="J764" s="49" t="b">
        <f>IFERROR(__xludf.DUMMYFUNCTION("""COMPUTED_VALUE"""),FALSE)</f>
        <v>0</v>
      </c>
      <c r="K764" s="49"/>
      <c r="L764" s="49" t="b">
        <f>IFERROR(__xludf.DUMMYFUNCTION("""COMPUTED_VALUE"""),FALSE)</f>
        <v>0</v>
      </c>
      <c r="M764" s="49" t="b">
        <f>IFERROR(__xludf.DUMMYFUNCTION("""COMPUTED_VALUE"""),FALSE)</f>
        <v>0</v>
      </c>
      <c r="N764" s="49"/>
    </row>
    <row r="765">
      <c r="A765" s="49"/>
      <c r="B765" s="49"/>
      <c r="C765" s="49"/>
      <c r="D765" s="49"/>
      <c r="E765" s="49"/>
      <c r="F765" s="49"/>
      <c r="G765" s="49"/>
      <c r="H765" s="49"/>
      <c r="I765" s="49"/>
      <c r="J765" s="49" t="b">
        <f>IFERROR(__xludf.DUMMYFUNCTION("""COMPUTED_VALUE"""),FALSE)</f>
        <v>0</v>
      </c>
      <c r="K765" s="49"/>
      <c r="L765" s="49" t="b">
        <f>IFERROR(__xludf.DUMMYFUNCTION("""COMPUTED_VALUE"""),FALSE)</f>
        <v>0</v>
      </c>
      <c r="M765" s="49" t="b">
        <f>IFERROR(__xludf.DUMMYFUNCTION("""COMPUTED_VALUE"""),FALSE)</f>
        <v>0</v>
      </c>
      <c r="N765" s="49"/>
    </row>
    <row r="766">
      <c r="A766" s="49"/>
      <c r="B766" s="49"/>
      <c r="C766" s="49"/>
      <c r="D766" s="49"/>
      <c r="E766" s="49"/>
      <c r="F766" s="49"/>
      <c r="G766" s="49"/>
      <c r="H766" s="49"/>
      <c r="I766" s="49"/>
      <c r="J766" s="49" t="b">
        <f>IFERROR(__xludf.DUMMYFUNCTION("""COMPUTED_VALUE"""),FALSE)</f>
        <v>0</v>
      </c>
      <c r="K766" s="49"/>
      <c r="L766" s="49" t="b">
        <f>IFERROR(__xludf.DUMMYFUNCTION("""COMPUTED_VALUE"""),FALSE)</f>
        <v>0</v>
      </c>
      <c r="M766" s="49" t="b">
        <f>IFERROR(__xludf.DUMMYFUNCTION("""COMPUTED_VALUE"""),FALSE)</f>
        <v>0</v>
      </c>
      <c r="N766" s="49"/>
    </row>
    <row r="767">
      <c r="A767" s="49"/>
      <c r="B767" s="49"/>
      <c r="C767" s="49"/>
      <c r="D767" s="49"/>
      <c r="E767" s="49"/>
      <c r="F767" s="49"/>
      <c r="G767" s="49"/>
      <c r="H767" s="49"/>
      <c r="I767" s="49"/>
      <c r="J767" s="49" t="b">
        <f>IFERROR(__xludf.DUMMYFUNCTION("""COMPUTED_VALUE"""),FALSE)</f>
        <v>0</v>
      </c>
      <c r="K767" s="49"/>
      <c r="L767" s="49" t="b">
        <f>IFERROR(__xludf.DUMMYFUNCTION("""COMPUTED_VALUE"""),FALSE)</f>
        <v>0</v>
      </c>
      <c r="M767" s="49" t="b">
        <f>IFERROR(__xludf.DUMMYFUNCTION("""COMPUTED_VALUE"""),FALSE)</f>
        <v>0</v>
      </c>
      <c r="N767" s="49"/>
    </row>
    <row r="768">
      <c r="A768" s="49"/>
      <c r="B768" s="49"/>
      <c r="C768" s="49"/>
      <c r="D768" s="49"/>
      <c r="E768" s="49"/>
      <c r="F768" s="49"/>
      <c r="G768" s="49"/>
      <c r="H768" s="49"/>
      <c r="I768" s="49"/>
      <c r="J768" s="49" t="b">
        <f>IFERROR(__xludf.DUMMYFUNCTION("""COMPUTED_VALUE"""),FALSE)</f>
        <v>0</v>
      </c>
      <c r="K768" s="49"/>
      <c r="L768" s="49" t="b">
        <f>IFERROR(__xludf.DUMMYFUNCTION("""COMPUTED_VALUE"""),FALSE)</f>
        <v>0</v>
      </c>
      <c r="M768" s="49" t="b">
        <f>IFERROR(__xludf.DUMMYFUNCTION("""COMPUTED_VALUE"""),FALSE)</f>
        <v>0</v>
      </c>
      <c r="N768" s="49"/>
    </row>
    <row r="769">
      <c r="A769" s="49"/>
      <c r="B769" s="49"/>
      <c r="C769" s="49"/>
      <c r="D769" s="49"/>
      <c r="E769" s="49"/>
      <c r="F769" s="49"/>
      <c r="G769" s="49"/>
      <c r="H769" s="49"/>
      <c r="I769" s="49"/>
      <c r="J769" s="49" t="b">
        <f>IFERROR(__xludf.DUMMYFUNCTION("""COMPUTED_VALUE"""),FALSE)</f>
        <v>0</v>
      </c>
      <c r="K769" s="49"/>
      <c r="L769" s="49" t="b">
        <f>IFERROR(__xludf.DUMMYFUNCTION("""COMPUTED_VALUE"""),FALSE)</f>
        <v>0</v>
      </c>
      <c r="M769" s="49" t="b">
        <f>IFERROR(__xludf.DUMMYFUNCTION("""COMPUTED_VALUE"""),FALSE)</f>
        <v>0</v>
      </c>
      <c r="N769" s="49"/>
    </row>
    <row r="770">
      <c r="A770" s="49"/>
      <c r="B770" s="49"/>
      <c r="C770" s="49"/>
      <c r="D770" s="49"/>
      <c r="E770" s="49"/>
      <c r="F770" s="49"/>
      <c r="G770" s="49"/>
      <c r="H770" s="49"/>
      <c r="I770" s="49"/>
      <c r="J770" s="49" t="b">
        <f>IFERROR(__xludf.DUMMYFUNCTION("""COMPUTED_VALUE"""),FALSE)</f>
        <v>0</v>
      </c>
      <c r="K770" s="49"/>
      <c r="L770" s="49" t="b">
        <f>IFERROR(__xludf.DUMMYFUNCTION("""COMPUTED_VALUE"""),FALSE)</f>
        <v>0</v>
      </c>
      <c r="M770" s="49" t="b">
        <f>IFERROR(__xludf.DUMMYFUNCTION("""COMPUTED_VALUE"""),FALSE)</f>
        <v>0</v>
      </c>
      <c r="N770" s="49"/>
    </row>
    <row r="771">
      <c r="A771" s="49"/>
      <c r="B771" s="49"/>
      <c r="C771" s="49"/>
      <c r="D771" s="49"/>
      <c r="E771" s="49"/>
      <c r="F771" s="49"/>
      <c r="G771" s="49"/>
      <c r="H771" s="49"/>
      <c r="I771" s="49"/>
      <c r="J771" s="49" t="b">
        <f>IFERROR(__xludf.DUMMYFUNCTION("""COMPUTED_VALUE"""),FALSE)</f>
        <v>0</v>
      </c>
      <c r="K771" s="49"/>
      <c r="L771" s="49" t="b">
        <f>IFERROR(__xludf.DUMMYFUNCTION("""COMPUTED_VALUE"""),FALSE)</f>
        <v>0</v>
      </c>
      <c r="M771" s="49" t="b">
        <f>IFERROR(__xludf.DUMMYFUNCTION("""COMPUTED_VALUE"""),FALSE)</f>
        <v>0</v>
      </c>
      <c r="N771" s="49"/>
    </row>
    <row r="772">
      <c r="A772" s="49"/>
      <c r="B772" s="49"/>
      <c r="C772" s="49"/>
      <c r="D772" s="49"/>
      <c r="E772" s="49"/>
      <c r="F772" s="49"/>
      <c r="G772" s="49"/>
      <c r="H772" s="49"/>
      <c r="I772" s="49"/>
      <c r="J772" s="49" t="b">
        <f>IFERROR(__xludf.DUMMYFUNCTION("""COMPUTED_VALUE"""),FALSE)</f>
        <v>0</v>
      </c>
      <c r="K772" s="49"/>
      <c r="L772" s="49" t="b">
        <f>IFERROR(__xludf.DUMMYFUNCTION("""COMPUTED_VALUE"""),FALSE)</f>
        <v>0</v>
      </c>
      <c r="M772" s="49" t="b">
        <f>IFERROR(__xludf.DUMMYFUNCTION("""COMPUTED_VALUE"""),FALSE)</f>
        <v>0</v>
      </c>
      <c r="N772" s="49"/>
    </row>
    <row r="773">
      <c r="A773" s="49"/>
      <c r="B773" s="49"/>
      <c r="C773" s="49"/>
      <c r="D773" s="49"/>
      <c r="E773" s="49"/>
      <c r="F773" s="49"/>
      <c r="G773" s="49"/>
      <c r="H773" s="49"/>
      <c r="I773" s="49"/>
      <c r="J773" s="49" t="b">
        <f>IFERROR(__xludf.DUMMYFUNCTION("""COMPUTED_VALUE"""),FALSE)</f>
        <v>0</v>
      </c>
      <c r="K773" s="49"/>
      <c r="L773" s="49" t="b">
        <f>IFERROR(__xludf.DUMMYFUNCTION("""COMPUTED_VALUE"""),FALSE)</f>
        <v>0</v>
      </c>
      <c r="M773" s="49" t="b">
        <f>IFERROR(__xludf.DUMMYFUNCTION("""COMPUTED_VALUE"""),FALSE)</f>
        <v>0</v>
      </c>
      <c r="N773" s="49"/>
    </row>
    <row r="774">
      <c r="A774" s="49"/>
      <c r="B774" s="49"/>
      <c r="C774" s="49"/>
      <c r="D774" s="49"/>
      <c r="E774" s="49"/>
      <c r="F774" s="49"/>
      <c r="G774" s="49"/>
      <c r="H774" s="49"/>
      <c r="I774" s="49"/>
      <c r="J774" s="49" t="b">
        <f>IFERROR(__xludf.DUMMYFUNCTION("""COMPUTED_VALUE"""),FALSE)</f>
        <v>0</v>
      </c>
      <c r="K774" s="49"/>
      <c r="L774" s="49" t="b">
        <f>IFERROR(__xludf.DUMMYFUNCTION("""COMPUTED_VALUE"""),FALSE)</f>
        <v>0</v>
      </c>
      <c r="M774" s="49" t="b">
        <f>IFERROR(__xludf.DUMMYFUNCTION("""COMPUTED_VALUE"""),FALSE)</f>
        <v>0</v>
      </c>
      <c r="N774" s="49"/>
    </row>
    <row r="775">
      <c r="A775" s="49"/>
      <c r="B775" s="49"/>
      <c r="C775" s="49"/>
      <c r="D775" s="49"/>
      <c r="E775" s="49"/>
      <c r="F775" s="49"/>
      <c r="G775" s="49"/>
      <c r="H775" s="49"/>
      <c r="I775" s="49"/>
      <c r="J775" s="49" t="b">
        <f>IFERROR(__xludf.DUMMYFUNCTION("""COMPUTED_VALUE"""),FALSE)</f>
        <v>0</v>
      </c>
      <c r="K775" s="49"/>
      <c r="L775" s="49" t="b">
        <f>IFERROR(__xludf.DUMMYFUNCTION("""COMPUTED_VALUE"""),FALSE)</f>
        <v>0</v>
      </c>
      <c r="M775" s="49" t="b">
        <f>IFERROR(__xludf.DUMMYFUNCTION("""COMPUTED_VALUE"""),FALSE)</f>
        <v>0</v>
      </c>
      <c r="N775" s="49"/>
    </row>
    <row r="776">
      <c r="A776" s="49"/>
      <c r="B776" s="49"/>
      <c r="C776" s="49"/>
      <c r="D776" s="49"/>
      <c r="E776" s="49"/>
      <c r="F776" s="49"/>
      <c r="G776" s="49"/>
      <c r="H776" s="49"/>
      <c r="I776" s="49"/>
      <c r="J776" s="49" t="b">
        <f>IFERROR(__xludf.DUMMYFUNCTION("""COMPUTED_VALUE"""),FALSE)</f>
        <v>0</v>
      </c>
      <c r="K776" s="49"/>
      <c r="L776" s="49" t="b">
        <f>IFERROR(__xludf.DUMMYFUNCTION("""COMPUTED_VALUE"""),FALSE)</f>
        <v>0</v>
      </c>
      <c r="M776" s="49" t="b">
        <f>IFERROR(__xludf.DUMMYFUNCTION("""COMPUTED_VALUE"""),FALSE)</f>
        <v>0</v>
      </c>
      <c r="N776" s="49"/>
    </row>
    <row r="777">
      <c r="A777" s="49"/>
      <c r="B777" s="49"/>
      <c r="C777" s="49"/>
      <c r="D777" s="49"/>
      <c r="E777" s="49"/>
      <c r="F777" s="49"/>
      <c r="G777" s="49"/>
      <c r="H777" s="49"/>
      <c r="I777" s="49"/>
      <c r="J777" s="49" t="b">
        <f>IFERROR(__xludf.DUMMYFUNCTION("""COMPUTED_VALUE"""),FALSE)</f>
        <v>0</v>
      </c>
      <c r="K777" s="49"/>
      <c r="L777" s="49" t="b">
        <f>IFERROR(__xludf.DUMMYFUNCTION("""COMPUTED_VALUE"""),FALSE)</f>
        <v>0</v>
      </c>
      <c r="M777" s="49" t="b">
        <f>IFERROR(__xludf.DUMMYFUNCTION("""COMPUTED_VALUE"""),FALSE)</f>
        <v>0</v>
      </c>
      <c r="N777" s="49"/>
    </row>
    <row r="778">
      <c r="A778" s="49"/>
      <c r="B778" s="49"/>
      <c r="C778" s="49"/>
      <c r="D778" s="49"/>
      <c r="E778" s="49"/>
      <c r="F778" s="49"/>
      <c r="G778" s="49"/>
      <c r="H778" s="49"/>
      <c r="I778" s="49"/>
      <c r="J778" s="49" t="b">
        <f>IFERROR(__xludf.DUMMYFUNCTION("""COMPUTED_VALUE"""),FALSE)</f>
        <v>0</v>
      </c>
      <c r="K778" s="49"/>
      <c r="L778" s="49" t="b">
        <f>IFERROR(__xludf.DUMMYFUNCTION("""COMPUTED_VALUE"""),FALSE)</f>
        <v>0</v>
      </c>
      <c r="M778" s="49" t="b">
        <f>IFERROR(__xludf.DUMMYFUNCTION("""COMPUTED_VALUE"""),FALSE)</f>
        <v>0</v>
      </c>
      <c r="N778" s="49"/>
    </row>
    <row r="779">
      <c r="A779" s="49"/>
      <c r="B779" s="49"/>
      <c r="C779" s="49"/>
      <c r="D779" s="49"/>
      <c r="E779" s="49"/>
      <c r="F779" s="49"/>
      <c r="G779" s="49"/>
      <c r="H779" s="49"/>
      <c r="I779" s="49"/>
      <c r="J779" s="49" t="b">
        <f>IFERROR(__xludf.DUMMYFUNCTION("""COMPUTED_VALUE"""),FALSE)</f>
        <v>0</v>
      </c>
      <c r="K779" s="49"/>
      <c r="L779" s="49" t="b">
        <f>IFERROR(__xludf.DUMMYFUNCTION("""COMPUTED_VALUE"""),FALSE)</f>
        <v>0</v>
      </c>
      <c r="M779" s="49" t="b">
        <f>IFERROR(__xludf.DUMMYFUNCTION("""COMPUTED_VALUE"""),FALSE)</f>
        <v>0</v>
      </c>
      <c r="N779" s="49"/>
    </row>
    <row r="780">
      <c r="A780" s="49"/>
      <c r="B780" s="49"/>
      <c r="C780" s="49"/>
      <c r="D780" s="49"/>
      <c r="E780" s="49"/>
      <c r="F780" s="49"/>
      <c r="G780" s="49"/>
      <c r="H780" s="49"/>
      <c r="I780" s="49"/>
      <c r="J780" s="49" t="b">
        <f>IFERROR(__xludf.DUMMYFUNCTION("""COMPUTED_VALUE"""),FALSE)</f>
        <v>0</v>
      </c>
      <c r="K780" s="49"/>
      <c r="L780" s="49" t="b">
        <f>IFERROR(__xludf.DUMMYFUNCTION("""COMPUTED_VALUE"""),FALSE)</f>
        <v>0</v>
      </c>
      <c r="M780" s="49" t="b">
        <f>IFERROR(__xludf.DUMMYFUNCTION("""COMPUTED_VALUE"""),FALSE)</f>
        <v>0</v>
      </c>
      <c r="N780" s="49"/>
    </row>
    <row r="781">
      <c r="A781" s="49"/>
      <c r="B781" s="49"/>
      <c r="C781" s="49"/>
      <c r="D781" s="49"/>
      <c r="E781" s="49"/>
      <c r="F781" s="49"/>
      <c r="G781" s="49"/>
      <c r="H781" s="49"/>
      <c r="I781" s="49"/>
      <c r="J781" s="49" t="b">
        <f>IFERROR(__xludf.DUMMYFUNCTION("""COMPUTED_VALUE"""),FALSE)</f>
        <v>0</v>
      </c>
      <c r="K781" s="49"/>
      <c r="L781" s="49" t="b">
        <f>IFERROR(__xludf.DUMMYFUNCTION("""COMPUTED_VALUE"""),FALSE)</f>
        <v>0</v>
      </c>
      <c r="M781" s="49" t="b">
        <f>IFERROR(__xludf.DUMMYFUNCTION("""COMPUTED_VALUE"""),FALSE)</f>
        <v>0</v>
      </c>
      <c r="N781" s="49"/>
    </row>
    <row r="782">
      <c r="A782" s="49"/>
      <c r="B782" s="49"/>
      <c r="C782" s="49"/>
      <c r="D782" s="49"/>
      <c r="E782" s="49"/>
      <c r="F782" s="49"/>
      <c r="G782" s="49"/>
      <c r="H782" s="49"/>
      <c r="I782" s="49"/>
      <c r="J782" s="49" t="b">
        <f>IFERROR(__xludf.DUMMYFUNCTION("""COMPUTED_VALUE"""),FALSE)</f>
        <v>0</v>
      </c>
      <c r="K782" s="49"/>
      <c r="L782" s="49" t="b">
        <f>IFERROR(__xludf.DUMMYFUNCTION("""COMPUTED_VALUE"""),FALSE)</f>
        <v>0</v>
      </c>
      <c r="M782" s="49" t="b">
        <f>IFERROR(__xludf.DUMMYFUNCTION("""COMPUTED_VALUE"""),FALSE)</f>
        <v>0</v>
      </c>
      <c r="N782" s="49"/>
    </row>
    <row r="783">
      <c r="A783" s="49"/>
      <c r="B783" s="49"/>
      <c r="C783" s="49"/>
      <c r="D783" s="49"/>
      <c r="E783" s="49"/>
      <c r="F783" s="49"/>
      <c r="G783" s="49"/>
      <c r="H783" s="49"/>
      <c r="I783" s="49"/>
      <c r="J783" s="49" t="b">
        <f>IFERROR(__xludf.DUMMYFUNCTION("""COMPUTED_VALUE"""),FALSE)</f>
        <v>0</v>
      </c>
      <c r="K783" s="49"/>
      <c r="L783" s="49" t="b">
        <f>IFERROR(__xludf.DUMMYFUNCTION("""COMPUTED_VALUE"""),FALSE)</f>
        <v>0</v>
      </c>
      <c r="M783" s="49" t="b">
        <f>IFERROR(__xludf.DUMMYFUNCTION("""COMPUTED_VALUE"""),FALSE)</f>
        <v>0</v>
      </c>
      <c r="N783" s="49"/>
    </row>
    <row r="784">
      <c r="A784" s="49"/>
      <c r="B784" s="49"/>
      <c r="C784" s="49"/>
      <c r="D784" s="49"/>
      <c r="E784" s="49"/>
      <c r="F784" s="49"/>
      <c r="G784" s="49"/>
      <c r="H784" s="49"/>
      <c r="I784" s="49"/>
      <c r="J784" s="49" t="b">
        <f>IFERROR(__xludf.DUMMYFUNCTION("""COMPUTED_VALUE"""),FALSE)</f>
        <v>0</v>
      </c>
      <c r="K784" s="49"/>
      <c r="L784" s="49" t="b">
        <f>IFERROR(__xludf.DUMMYFUNCTION("""COMPUTED_VALUE"""),FALSE)</f>
        <v>0</v>
      </c>
      <c r="M784" s="49" t="b">
        <f>IFERROR(__xludf.DUMMYFUNCTION("""COMPUTED_VALUE"""),FALSE)</f>
        <v>0</v>
      </c>
      <c r="N784" s="49"/>
    </row>
    <row r="785">
      <c r="A785" s="49"/>
      <c r="B785" s="49"/>
      <c r="C785" s="49"/>
      <c r="D785" s="49"/>
      <c r="E785" s="49"/>
      <c r="F785" s="49"/>
      <c r="G785" s="49"/>
      <c r="H785" s="49"/>
      <c r="I785" s="49"/>
      <c r="J785" s="49" t="b">
        <f>IFERROR(__xludf.DUMMYFUNCTION("""COMPUTED_VALUE"""),FALSE)</f>
        <v>0</v>
      </c>
      <c r="K785" s="49"/>
      <c r="L785" s="49" t="b">
        <f>IFERROR(__xludf.DUMMYFUNCTION("""COMPUTED_VALUE"""),FALSE)</f>
        <v>0</v>
      </c>
      <c r="M785" s="49" t="b">
        <f>IFERROR(__xludf.DUMMYFUNCTION("""COMPUTED_VALUE"""),FALSE)</f>
        <v>0</v>
      </c>
      <c r="N785" s="49"/>
    </row>
    <row r="786">
      <c r="A786" s="49"/>
      <c r="B786" s="49"/>
      <c r="C786" s="49"/>
      <c r="D786" s="49"/>
      <c r="E786" s="49"/>
      <c r="F786" s="49"/>
      <c r="G786" s="49"/>
      <c r="H786" s="49"/>
      <c r="I786" s="49"/>
      <c r="J786" s="49" t="b">
        <f>IFERROR(__xludf.DUMMYFUNCTION("""COMPUTED_VALUE"""),FALSE)</f>
        <v>0</v>
      </c>
      <c r="K786" s="49"/>
      <c r="L786" s="49" t="b">
        <f>IFERROR(__xludf.DUMMYFUNCTION("""COMPUTED_VALUE"""),FALSE)</f>
        <v>0</v>
      </c>
      <c r="M786" s="49" t="b">
        <f>IFERROR(__xludf.DUMMYFUNCTION("""COMPUTED_VALUE"""),FALSE)</f>
        <v>0</v>
      </c>
      <c r="N786" s="49"/>
    </row>
    <row r="787">
      <c r="A787" s="49"/>
      <c r="B787" s="49"/>
      <c r="C787" s="49"/>
      <c r="D787" s="49"/>
      <c r="E787" s="49"/>
      <c r="F787" s="49"/>
      <c r="G787" s="49"/>
      <c r="H787" s="49"/>
      <c r="I787" s="49"/>
      <c r="J787" s="49" t="b">
        <f>IFERROR(__xludf.DUMMYFUNCTION("""COMPUTED_VALUE"""),FALSE)</f>
        <v>0</v>
      </c>
      <c r="K787" s="49"/>
      <c r="L787" s="49" t="b">
        <f>IFERROR(__xludf.DUMMYFUNCTION("""COMPUTED_VALUE"""),FALSE)</f>
        <v>0</v>
      </c>
      <c r="M787" s="49" t="b">
        <f>IFERROR(__xludf.DUMMYFUNCTION("""COMPUTED_VALUE"""),FALSE)</f>
        <v>0</v>
      </c>
      <c r="N787" s="49"/>
    </row>
    <row r="788">
      <c r="A788" s="49"/>
      <c r="B788" s="49"/>
      <c r="C788" s="49"/>
      <c r="D788" s="49"/>
      <c r="E788" s="49"/>
      <c r="F788" s="49"/>
      <c r="G788" s="49"/>
      <c r="H788" s="49"/>
      <c r="I788" s="49"/>
      <c r="J788" s="49" t="b">
        <f>IFERROR(__xludf.DUMMYFUNCTION("""COMPUTED_VALUE"""),FALSE)</f>
        <v>0</v>
      </c>
      <c r="K788" s="49"/>
      <c r="L788" s="49" t="b">
        <f>IFERROR(__xludf.DUMMYFUNCTION("""COMPUTED_VALUE"""),FALSE)</f>
        <v>0</v>
      </c>
      <c r="M788" s="49" t="b">
        <f>IFERROR(__xludf.DUMMYFUNCTION("""COMPUTED_VALUE"""),FALSE)</f>
        <v>0</v>
      </c>
      <c r="N788" s="49"/>
    </row>
    <row r="789">
      <c r="A789" s="49"/>
      <c r="B789" s="49"/>
      <c r="C789" s="49"/>
      <c r="D789" s="49"/>
      <c r="E789" s="49"/>
      <c r="F789" s="49"/>
      <c r="G789" s="49"/>
      <c r="H789" s="49"/>
      <c r="I789" s="49"/>
      <c r="J789" s="49" t="b">
        <f>IFERROR(__xludf.DUMMYFUNCTION("""COMPUTED_VALUE"""),FALSE)</f>
        <v>0</v>
      </c>
      <c r="K789" s="49"/>
      <c r="L789" s="49" t="b">
        <f>IFERROR(__xludf.DUMMYFUNCTION("""COMPUTED_VALUE"""),FALSE)</f>
        <v>0</v>
      </c>
      <c r="M789" s="49" t="b">
        <f>IFERROR(__xludf.DUMMYFUNCTION("""COMPUTED_VALUE"""),FALSE)</f>
        <v>0</v>
      </c>
      <c r="N789" s="49"/>
    </row>
    <row r="790">
      <c r="A790" s="49"/>
      <c r="B790" s="49"/>
      <c r="C790" s="49"/>
      <c r="D790" s="49"/>
      <c r="E790" s="49"/>
      <c r="F790" s="49"/>
      <c r="G790" s="49"/>
      <c r="H790" s="49"/>
      <c r="I790" s="49"/>
      <c r="J790" s="49" t="b">
        <f>IFERROR(__xludf.DUMMYFUNCTION("""COMPUTED_VALUE"""),FALSE)</f>
        <v>0</v>
      </c>
      <c r="K790" s="49"/>
      <c r="L790" s="49" t="b">
        <f>IFERROR(__xludf.DUMMYFUNCTION("""COMPUTED_VALUE"""),FALSE)</f>
        <v>0</v>
      </c>
      <c r="M790" s="49" t="b">
        <f>IFERROR(__xludf.DUMMYFUNCTION("""COMPUTED_VALUE"""),FALSE)</f>
        <v>0</v>
      </c>
      <c r="N790" s="49"/>
    </row>
    <row r="791">
      <c r="A791" s="49"/>
      <c r="B791" s="49"/>
      <c r="C791" s="49"/>
      <c r="D791" s="49"/>
      <c r="E791" s="49"/>
      <c r="F791" s="49"/>
      <c r="G791" s="49"/>
      <c r="H791" s="49"/>
      <c r="I791" s="49"/>
      <c r="J791" s="49" t="b">
        <f>IFERROR(__xludf.DUMMYFUNCTION("""COMPUTED_VALUE"""),FALSE)</f>
        <v>0</v>
      </c>
      <c r="K791" s="49"/>
      <c r="L791" s="49" t="b">
        <f>IFERROR(__xludf.DUMMYFUNCTION("""COMPUTED_VALUE"""),FALSE)</f>
        <v>0</v>
      </c>
      <c r="M791" s="49" t="b">
        <f>IFERROR(__xludf.DUMMYFUNCTION("""COMPUTED_VALUE"""),FALSE)</f>
        <v>0</v>
      </c>
      <c r="N791" s="49"/>
    </row>
    <row r="792">
      <c r="A792" s="49"/>
      <c r="B792" s="49"/>
      <c r="C792" s="49"/>
      <c r="D792" s="49"/>
      <c r="E792" s="49"/>
      <c r="F792" s="49"/>
      <c r="G792" s="49"/>
      <c r="H792" s="49"/>
      <c r="I792" s="49"/>
      <c r="J792" s="49" t="b">
        <f>IFERROR(__xludf.DUMMYFUNCTION("""COMPUTED_VALUE"""),FALSE)</f>
        <v>0</v>
      </c>
      <c r="K792" s="49"/>
      <c r="L792" s="49" t="b">
        <f>IFERROR(__xludf.DUMMYFUNCTION("""COMPUTED_VALUE"""),FALSE)</f>
        <v>0</v>
      </c>
      <c r="M792" s="49" t="b">
        <f>IFERROR(__xludf.DUMMYFUNCTION("""COMPUTED_VALUE"""),FALSE)</f>
        <v>0</v>
      </c>
      <c r="N792" s="49"/>
    </row>
    <row r="793">
      <c r="A793" s="49"/>
      <c r="B793" s="49"/>
      <c r="C793" s="49"/>
      <c r="D793" s="49"/>
      <c r="E793" s="49"/>
      <c r="F793" s="49"/>
      <c r="G793" s="49"/>
      <c r="H793" s="49"/>
      <c r="I793" s="49"/>
      <c r="J793" s="49" t="b">
        <f>IFERROR(__xludf.DUMMYFUNCTION("""COMPUTED_VALUE"""),FALSE)</f>
        <v>0</v>
      </c>
      <c r="K793" s="49"/>
      <c r="L793" s="49" t="b">
        <f>IFERROR(__xludf.DUMMYFUNCTION("""COMPUTED_VALUE"""),FALSE)</f>
        <v>0</v>
      </c>
      <c r="M793" s="49" t="b">
        <f>IFERROR(__xludf.DUMMYFUNCTION("""COMPUTED_VALUE"""),FALSE)</f>
        <v>0</v>
      </c>
      <c r="N793" s="49"/>
    </row>
    <row r="794">
      <c r="A794" s="49"/>
      <c r="B794" s="49"/>
      <c r="C794" s="49"/>
      <c r="D794" s="49"/>
      <c r="E794" s="49"/>
      <c r="F794" s="49"/>
      <c r="G794" s="49"/>
      <c r="H794" s="49"/>
      <c r="I794" s="49"/>
      <c r="J794" s="49" t="b">
        <f>IFERROR(__xludf.DUMMYFUNCTION("""COMPUTED_VALUE"""),FALSE)</f>
        <v>0</v>
      </c>
      <c r="K794" s="49"/>
      <c r="L794" s="49" t="b">
        <f>IFERROR(__xludf.DUMMYFUNCTION("""COMPUTED_VALUE"""),FALSE)</f>
        <v>0</v>
      </c>
      <c r="M794" s="49" t="b">
        <f>IFERROR(__xludf.DUMMYFUNCTION("""COMPUTED_VALUE"""),FALSE)</f>
        <v>0</v>
      </c>
      <c r="N794" s="49"/>
    </row>
    <row r="795">
      <c r="A795" s="49"/>
      <c r="B795" s="49"/>
      <c r="C795" s="49"/>
      <c r="D795" s="49"/>
      <c r="E795" s="49"/>
      <c r="F795" s="49"/>
      <c r="G795" s="49"/>
      <c r="H795" s="49"/>
      <c r="I795" s="49"/>
      <c r="J795" s="49" t="b">
        <f>IFERROR(__xludf.DUMMYFUNCTION("""COMPUTED_VALUE"""),FALSE)</f>
        <v>0</v>
      </c>
      <c r="K795" s="49"/>
      <c r="L795" s="49" t="b">
        <f>IFERROR(__xludf.DUMMYFUNCTION("""COMPUTED_VALUE"""),FALSE)</f>
        <v>0</v>
      </c>
      <c r="M795" s="49" t="b">
        <f>IFERROR(__xludf.DUMMYFUNCTION("""COMPUTED_VALUE"""),FALSE)</f>
        <v>0</v>
      </c>
      <c r="N795" s="49"/>
    </row>
    <row r="796">
      <c r="A796" s="49"/>
      <c r="B796" s="49"/>
      <c r="C796" s="49"/>
      <c r="D796" s="49"/>
      <c r="E796" s="49"/>
      <c r="F796" s="49"/>
      <c r="G796" s="49"/>
      <c r="H796" s="49"/>
      <c r="I796" s="49"/>
      <c r="J796" s="49" t="b">
        <f>IFERROR(__xludf.DUMMYFUNCTION("""COMPUTED_VALUE"""),FALSE)</f>
        <v>0</v>
      </c>
      <c r="K796" s="49"/>
      <c r="L796" s="49" t="b">
        <f>IFERROR(__xludf.DUMMYFUNCTION("""COMPUTED_VALUE"""),FALSE)</f>
        <v>0</v>
      </c>
      <c r="M796" s="49" t="b">
        <f>IFERROR(__xludf.DUMMYFUNCTION("""COMPUTED_VALUE"""),FALSE)</f>
        <v>0</v>
      </c>
      <c r="N796" s="49"/>
    </row>
    <row r="797">
      <c r="A797" s="49"/>
      <c r="B797" s="49"/>
      <c r="C797" s="49"/>
      <c r="D797" s="49"/>
      <c r="E797" s="49"/>
      <c r="F797" s="49"/>
      <c r="G797" s="49"/>
      <c r="H797" s="49"/>
      <c r="I797" s="49"/>
      <c r="J797" s="49" t="b">
        <f>IFERROR(__xludf.DUMMYFUNCTION("""COMPUTED_VALUE"""),FALSE)</f>
        <v>0</v>
      </c>
      <c r="K797" s="49"/>
      <c r="L797" s="49" t="b">
        <f>IFERROR(__xludf.DUMMYFUNCTION("""COMPUTED_VALUE"""),FALSE)</f>
        <v>0</v>
      </c>
      <c r="M797" s="49" t="b">
        <f>IFERROR(__xludf.DUMMYFUNCTION("""COMPUTED_VALUE"""),FALSE)</f>
        <v>0</v>
      </c>
      <c r="N797" s="49"/>
    </row>
    <row r="798">
      <c r="A798" s="49"/>
      <c r="B798" s="49"/>
      <c r="C798" s="49"/>
      <c r="D798" s="49"/>
      <c r="E798" s="49"/>
      <c r="F798" s="49"/>
      <c r="G798" s="49"/>
      <c r="H798" s="49"/>
      <c r="I798" s="49"/>
      <c r="J798" s="49" t="b">
        <f>IFERROR(__xludf.DUMMYFUNCTION("""COMPUTED_VALUE"""),FALSE)</f>
        <v>0</v>
      </c>
      <c r="K798" s="49"/>
      <c r="L798" s="49" t="b">
        <f>IFERROR(__xludf.DUMMYFUNCTION("""COMPUTED_VALUE"""),FALSE)</f>
        <v>0</v>
      </c>
      <c r="M798" s="49" t="b">
        <f>IFERROR(__xludf.DUMMYFUNCTION("""COMPUTED_VALUE"""),FALSE)</f>
        <v>0</v>
      </c>
      <c r="N798" s="49"/>
    </row>
    <row r="799">
      <c r="A799" s="49"/>
      <c r="B799" s="49"/>
      <c r="C799" s="49"/>
      <c r="D799" s="49"/>
      <c r="E799" s="49"/>
      <c r="F799" s="49"/>
      <c r="G799" s="49"/>
      <c r="H799" s="49"/>
      <c r="I799" s="49"/>
      <c r="J799" s="49" t="b">
        <f>IFERROR(__xludf.DUMMYFUNCTION("""COMPUTED_VALUE"""),FALSE)</f>
        <v>0</v>
      </c>
      <c r="K799" s="49"/>
      <c r="L799" s="49" t="b">
        <f>IFERROR(__xludf.DUMMYFUNCTION("""COMPUTED_VALUE"""),FALSE)</f>
        <v>0</v>
      </c>
      <c r="M799" s="49" t="b">
        <f>IFERROR(__xludf.DUMMYFUNCTION("""COMPUTED_VALUE"""),FALSE)</f>
        <v>0</v>
      </c>
      <c r="N799" s="49"/>
    </row>
    <row r="800">
      <c r="A800" s="49"/>
      <c r="B800" s="49"/>
      <c r="C800" s="49"/>
      <c r="D800" s="49"/>
      <c r="E800" s="49"/>
      <c r="F800" s="49"/>
      <c r="G800" s="49"/>
      <c r="H800" s="49"/>
      <c r="I800" s="49"/>
      <c r="J800" s="49" t="b">
        <f>IFERROR(__xludf.DUMMYFUNCTION("""COMPUTED_VALUE"""),FALSE)</f>
        <v>0</v>
      </c>
      <c r="K800" s="49"/>
      <c r="L800" s="49" t="b">
        <f>IFERROR(__xludf.DUMMYFUNCTION("""COMPUTED_VALUE"""),FALSE)</f>
        <v>0</v>
      </c>
      <c r="M800" s="49" t="b">
        <f>IFERROR(__xludf.DUMMYFUNCTION("""COMPUTED_VALUE"""),FALSE)</f>
        <v>0</v>
      </c>
      <c r="N800" s="49"/>
    </row>
    <row r="801">
      <c r="A801" s="49"/>
      <c r="B801" s="49"/>
      <c r="C801" s="49"/>
      <c r="D801" s="49"/>
      <c r="E801" s="49"/>
      <c r="F801" s="49"/>
      <c r="G801" s="49"/>
      <c r="H801" s="49"/>
      <c r="I801" s="49"/>
      <c r="J801" s="49" t="b">
        <f>IFERROR(__xludf.DUMMYFUNCTION("""COMPUTED_VALUE"""),FALSE)</f>
        <v>0</v>
      </c>
      <c r="K801" s="49"/>
      <c r="L801" s="49" t="b">
        <f>IFERROR(__xludf.DUMMYFUNCTION("""COMPUTED_VALUE"""),FALSE)</f>
        <v>0</v>
      </c>
      <c r="M801" s="49" t="b">
        <f>IFERROR(__xludf.DUMMYFUNCTION("""COMPUTED_VALUE"""),FALSE)</f>
        <v>0</v>
      </c>
      <c r="N801" s="49"/>
    </row>
    <row r="802">
      <c r="A802" s="49"/>
      <c r="B802" s="49"/>
      <c r="C802" s="49"/>
      <c r="D802" s="49"/>
      <c r="E802" s="49"/>
      <c r="F802" s="49"/>
      <c r="G802" s="49"/>
      <c r="H802" s="49"/>
      <c r="I802" s="49"/>
      <c r="J802" s="49" t="b">
        <f>IFERROR(__xludf.DUMMYFUNCTION("""COMPUTED_VALUE"""),FALSE)</f>
        <v>0</v>
      </c>
      <c r="K802" s="49"/>
      <c r="L802" s="49" t="b">
        <f>IFERROR(__xludf.DUMMYFUNCTION("""COMPUTED_VALUE"""),FALSE)</f>
        <v>0</v>
      </c>
      <c r="M802" s="49" t="b">
        <f>IFERROR(__xludf.DUMMYFUNCTION("""COMPUTED_VALUE"""),FALSE)</f>
        <v>0</v>
      </c>
      <c r="N802" s="49"/>
    </row>
    <row r="803">
      <c r="A803" s="49"/>
      <c r="B803" s="49"/>
      <c r="C803" s="49"/>
      <c r="D803" s="49"/>
      <c r="E803" s="49"/>
      <c r="F803" s="49"/>
      <c r="G803" s="49"/>
      <c r="H803" s="49"/>
      <c r="I803" s="49"/>
      <c r="J803" s="49" t="b">
        <f>IFERROR(__xludf.DUMMYFUNCTION("""COMPUTED_VALUE"""),FALSE)</f>
        <v>0</v>
      </c>
      <c r="K803" s="49"/>
      <c r="L803" s="49" t="b">
        <f>IFERROR(__xludf.DUMMYFUNCTION("""COMPUTED_VALUE"""),FALSE)</f>
        <v>0</v>
      </c>
      <c r="M803" s="49" t="b">
        <f>IFERROR(__xludf.DUMMYFUNCTION("""COMPUTED_VALUE"""),FALSE)</f>
        <v>0</v>
      </c>
      <c r="N803" s="49"/>
    </row>
    <row r="804">
      <c r="A804" s="49"/>
      <c r="B804" s="49"/>
      <c r="C804" s="49"/>
      <c r="D804" s="49"/>
      <c r="E804" s="49"/>
      <c r="F804" s="49"/>
      <c r="G804" s="49"/>
      <c r="H804" s="49"/>
      <c r="I804" s="49"/>
      <c r="J804" s="49" t="b">
        <f>IFERROR(__xludf.DUMMYFUNCTION("""COMPUTED_VALUE"""),FALSE)</f>
        <v>0</v>
      </c>
      <c r="K804" s="49"/>
      <c r="L804" s="49" t="b">
        <f>IFERROR(__xludf.DUMMYFUNCTION("""COMPUTED_VALUE"""),FALSE)</f>
        <v>0</v>
      </c>
      <c r="M804" s="49" t="b">
        <f>IFERROR(__xludf.DUMMYFUNCTION("""COMPUTED_VALUE"""),FALSE)</f>
        <v>0</v>
      </c>
      <c r="N804" s="49"/>
    </row>
    <row r="805">
      <c r="A805" s="49"/>
      <c r="B805" s="49"/>
      <c r="C805" s="49"/>
      <c r="D805" s="49"/>
      <c r="E805" s="49"/>
      <c r="F805" s="49"/>
      <c r="G805" s="49"/>
      <c r="H805" s="49"/>
      <c r="I805" s="49"/>
      <c r="J805" s="49" t="b">
        <f>IFERROR(__xludf.DUMMYFUNCTION("""COMPUTED_VALUE"""),FALSE)</f>
        <v>0</v>
      </c>
      <c r="K805" s="49"/>
      <c r="L805" s="49" t="b">
        <f>IFERROR(__xludf.DUMMYFUNCTION("""COMPUTED_VALUE"""),FALSE)</f>
        <v>0</v>
      </c>
      <c r="M805" s="49" t="b">
        <f>IFERROR(__xludf.DUMMYFUNCTION("""COMPUTED_VALUE"""),FALSE)</f>
        <v>0</v>
      </c>
      <c r="N805" s="49"/>
    </row>
    <row r="806">
      <c r="A806" s="49"/>
      <c r="B806" s="49"/>
      <c r="C806" s="49"/>
      <c r="D806" s="49"/>
      <c r="E806" s="49"/>
      <c r="F806" s="49"/>
      <c r="G806" s="49"/>
      <c r="H806" s="49"/>
      <c r="I806" s="49"/>
      <c r="J806" s="49" t="b">
        <f>IFERROR(__xludf.DUMMYFUNCTION("""COMPUTED_VALUE"""),FALSE)</f>
        <v>0</v>
      </c>
      <c r="K806" s="49"/>
      <c r="L806" s="49" t="b">
        <f>IFERROR(__xludf.DUMMYFUNCTION("""COMPUTED_VALUE"""),FALSE)</f>
        <v>0</v>
      </c>
      <c r="M806" s="49" t="b">
        <f>IFERROR(__xludf.DUMMYFUNCTION("""COMPUTED_VALUE"""),FALSE)</f>
        <v>0</v>
      </c>
      <c r="N806" s="49"/>
    </row>
    <row r="807">
      <c r="A807" s="49"/>
      <c r="B807" s="49"/>
      <c r="C807" s="49"/>
      <c r="D807" s="49"/>
      <c r="E807" s="49"/>
      <c r="F807" s="49"/>
      <c r="G807" s="49"/>
      <c r="H807" s="49"/>
      <c r="I807" s="49"/>
      <c r="J807" s="49" t="b">
        <f>IFERROR(__xludf.DUMMYFUNCTION("""COMPUTED_VALUE"""),FALSE)</f>
        <v>0</v>
      </c>
      <c r="K807" s="49"/>
      <c r="L807" s="49" t="b">
        <f>IFERROR(__xludf.DUMMYFUNCTION("""COMPUTED_VALUE"""),FALSE)</f>
        <v>0</v>
      </c>
      <c r="M807" s="49" t="b">
        <f>IFERROR(__xludf.DUMMYFUNCTION("""COMPUTED_VALUE"""),FALSE)</f>
        <v>0</v>
      </c>
      <c r="N807" s="49"/>
    </row>
    <row r="808">
      <c r="A808" s="49"/>
      <c r="B808" s="49"/>
      <c r="C808" s="49"/>
      <c r="D808" s="49"/>
      <c r="E808" s="49"/>
      <c r="F808" s="49"/>
      <c r="G808" s="49"/>
      <c r="H808" s="49"/>
      <c r="I808" s="49"/>
      <c r="J808" s="49" t="b">
        <f>IFERROR(__xludf.DUMMYFUNCTION("""COMPUTED_VALUE"""),FALSE)</f>
        <v>0</v>
      </c>
      <c r="K808" s="49"/>
      <c r="L808" s="49" t="b">
        <f>IFERROR(__xludf.DUMMYFUNCTION("""COMPUTED_VALUE"""),FALSE)</f>
        <v>0</v>
      </c>
      <c r="M808" s="49" t="b">
        <f>IFERROR(__xludf.DUMMYFUNCTION("""COMPUTED_VALUE"""),FALSE)</f>
        <v>0</v>
      </c>
      <c r="N808" s="49"/>
    </row>
    <row r="809">
      <c r="A809" s="49"/>
      <c r="B809" s="49"/>
      <c r="C809" s="49"/>
      <c r="D809" s="49"/>
      <c r="E809" s="49"/>
      <c r="F809" s="49"/>
      <c r="G809" s="49"/>
      <c r="H809" s="49"/>
      <c r="I809" s="49"/>
      <c r="J809" s="49" t="b">
        <f>IFERROR(__xludf.DUMMYFUNCTION("""COMPUTED_VALUE"""),FALSE)</f>
        <v>0</v>
      </c>
      <c r="K809" s="49"/>
      <c r="L809" s="49" t="b">
        <f>IFERROR(__xludf.DUMMYFUNCTION("""COMPUTED_VALUE"""),FALSE)</f>
        <v>0</v>
      </c>
      <c r="M809" s="49" t="b">
        <f>IFERROR(__xludf.DUMMYFUNCTION("""COMPUTED_VALUE"""),FALSE)</f>
        <v>0</v>
      </c>
      <c r="N809" s="49"/>
    </row>
    <row r="810">
      <c r="A810" s="49"/>
      <c r="B810" s="49"/>
      <c r="C810" s="49"/>
      <c r="D810" s="49"/>
      <c r="E810" s="49"/>
      <c r="F810" s="49"/>
      <c r="G810" s="49"/>
      <c r="H810" s="49"/>
      <c r="I810" s="49"/>
      <c r="J810" s="49" t="b">
        <f>IFERROR(__xludf.DUMMYFUNCTION("""COMPUTED_VALUE"""),FALSE)</f>
        <v>0</v>
      </c>
      <c r="K810" s="49"/>
      <c r="L810" s="49" t="b">
        <f>IFERROR(__xludf.DUMMYFUNCTION("""COMPUTED_VALUE"""),FALSE)</f>
        <v>0</v>
      </c>
      <c r="M810" s="49" t="b">
        <f>IFERROR(__xludf.DUMMYFUNCTION("""COMPUTED_VALUE"""),FALSE)</f>
        <v>0</v>
      </c>
      <c r="N810" s="49"/>
    </row>
    <row r="811">
      <c r="A811" s="49"/>
      <c r="B811" s="49"/>
      <c r="C811" s="49"/>
      <c r="D811" s="49"/>
      <c r="E811" s="49"/>
      <c r="F811" s="49"/>
      <c r="G811" s="49"/>
      <c r="H811" s="49"/>
      <c r="I811" s="49"/>
      <c r="J811" s="49" t="b">
        <f>IFERROR(__xludf.DUMMYFUNCTION("""COMPUTED_VALUE"""),FALSE)</f>
        <v>0</v>
      </c>
      <c r="K811" s="49"/>
      <c r="L811" s="49" t="b">
        <f>IFERROR(__xludf.DUMMYFUNCTION("""COMPUTED_VALUE"""),FALSE)</f>
        <v>0</v>
      </c>
      <c r="M811" s="49" t="b">
        <f>IFERROR(__xludf.DUMMYFUNCTION("""COMPUTED_VALUE"""),FALSE)</f>
        <v>0</v>
      </c>
      <c r="N811" s="49"/>
    </row>
    <row r="812">
      <c r="A812" s="49"/>
      <c r="B812" s="49"/>
      <c r="C812" s="49"/>
      <c r="D812" s="49"/>
      <c r="E812" s="49"/>
      <c r="F812" s="49"/>
      <c r="G812" s="49"/>
      <c r="H812" s="49"/>
      <c r="I812" s="49"/>
      <c r="J812" s="49" t="b">
        <f>IFERROR(__xludf.DUMMYFUNCTION("""COMPUTED_VALUE"""),FALSE)</f>
        <v>0</v>
      </c>
      <c r="K812" s="49"/>
      <c r="L812" s="49" t="b">
        <f>IFERROR(__xludf.DUMMYFUNCTION("""COMPUTED_VALUE"""),FALSE)</f>
        <v>0</v>
      </c>
      <c r="M812" s="49" t="b">
        <f>IFERROR(__xludf.DUMMYFUNCTION("""COMPUTED_VALUE"""),FALSE)</f>
        <v>0</v>
      </c>
      <c r="N812" s="49"/>
    </row>
    <row r="813">
      <c r="A813" s="49"/>
      <c r="B813" s="49"/>
      <c r="C813" s="49"/>
      <c r="D813" s="49"/>
      <c r="E813" s="49"/>
      <c r="F813" s="49"/>
      <c r="G813" s="49"/>
      <c r="H813" s="49"/>
      <c r="I813" s="49"/>
      <c r="J813" s="49" t="b">
        <f>IFERROR(__xludf.DUMMYFUNCTION("""COMPUTED_VALUE"""),FALSE)</f>
        <v>0</v>
      </c>
      <c r="K813" s="49"/>
      <c r="L813" s="49" t="b">
        <f>IFERROR(__xludf.DUMMYFUNCTION("""COMPUTED_VALUE"""),FALSE)</f>
        <v>0</v>
      </c>
      <c r="M813" s="49" t="b">
        <f>IFERROR(__xludf.DUMMYFUNCTION("""COMPUTED_VALUE"""),FALSE)</f>
        <v>0</v>
      </c>
      <c r="N813" s="49"/>
    </row>
    <row r="814">
      <c r="A814" s="49"/>
      <c r="B814" s="49"/>
      <c r="C814" s="49"/>
      <c r="D814" s="49"/>
      <c r="E814" s="49"/>
      <c r="F814" s="49"/>
      <c r="G814" s="49"/>
      <c r="H814" s="49"/>
      <c r="I814" s="49"/>
      <c r="J814" s="49" t="b">
        <f>IFERROR(__xludf.DUMMYFUNCTION("""COMPUTED_VALUE"""),FALSE)</f>
        <v>0</v>
      </c>
      <c r="K814" s="49"/>
      <c r="L814" s="49" t="b">
        <f>IFERROR(__xludf.DUMMYFUNCTION("""COMPUTED_VALUE"""),FALSE)</f>
        <v>0</v>
      </c>
      <c r="M814" s="49" t="b">
        <f>IFERROR(__xludf.DUMMYFUNCTION("""COMPUTED_VALUE"""),FALSE)</f>
        <v>0</v>
      </c>
      <c r="N814" s="49"/>
    </row>
    <row r="815">
      <c r="A815" s="49"/>
      <c r="B815" s="49"/>
      <c r="C815" s="49"/>
      <c r="D815" s="49"/>
      <c r="E815" s="49"/>
      <c r="F815" s="49"/>
      <c r="G815" s="49"/>
      <c r="H815" s="49"/>
      <c r="I815" s="49"/>
      <c r="J815" s="49" t="b">
        <f>IFERROR(__xludf.DUMMYFUNCTION("""COMPUTED_VALUE"""),FALSE)</f>
        <v>0</v>
      </c>
      <c r="K815" s="49"/>
      <c r="L815" s="49" t="b">
        <f>IFERROR(__xludf.DUMMYFUNCTION("""COMPUTED_VALUE"""),FALSE)</f>
        <v>0</v>
      </c>
      <c r="M815" s="49" t="b">
        <f>IFERROR(__xludf.DUMMYFUNCTION("""COMPUTED_VALUE"""),FALSE)</f>
        <v>0</v>
      </c>
      <c r="N815" s="49"/>
    </row>
    <row r="816">
      <c r="A816" s="49"/>
      <c r="B816" s="49"/>
      <c r="C816" s="49"/>
      <c r="D816" s="49"/>
      <c r="E816" s="49"/>
      <c r="F816" s="49"/>
      <c r="G816" s="49"/>
      <c r="H816" s="49"/>
      <c r="I816" s="49"/>
      <c r="J816" s="49" t="b">
        <f>IFERROR(__xludf.DUMMYFUNCTION("""COMPUTED_VALUE"""),FALSE)</f>
        <v>0</v>
      </c>
      <c r="K816" s="49"/>
      <c r="L816" s="49" t="b">
        <f>IFERROR(__xludf.DUMMYFUNCTION("""COMPUTED_VALUE"""),FALSE)</f>
        <v>0</v>
      </c>
      <c r="M816" s="49" t="b">
        <f>IFERROR(__xludf.DUMMYFUNCTION("""COMPUTED_VALUE"""),FALSE)</f>
        <v>0</v>
      </c>
      <c r="N816" s="49"/>
    </row>
    <row r="817">
      <c r="A817" s="49"/>
      <c r="B817" s="49"/>
      <c r="C817" s="49"/>
      <c r="D817" s="49"/>
      <c r="E817" s="49"/>
      <c r="F817" s="49"/>
      <c r="G817" s="49"/>
      <c r="H817" s="49"/>
      <c r="I817" s="49"/>
      <c r="J817" s="49" t="b">
        <f>IFERROR(__xludf.DUMMYFUNCTION("""COMPUTED_VALUE"""),FALSE)</f>
        <v>0</v>
      </c>
      <c r="K817" s="49"/>
      <c r="L817" s="49" t="b">
        <f>IFERROR(__xludf.DUMMYFUNCTION("""COMPUTED_VALUE"""),FALSE)</f>
        <v>0</v>
      </c>
      <c r="M817" s="49" t="b">
        <f>IFERROR(__xludf.DUMMYFUNCTION("""COMPUTED_VALUE"""),FALSE)</f>
        <v>0</v>
      </c>
      <c r="N817" s="49"/>
    </row>
    <row r="818">
      <c r="A818" s="49"/>
      <c r="B818" s="49"/>
      <c r="C818" s="49"/>
      <c r="D818" s="49"/>
      <c r="E818" s="49"/>
      <c r="F818" s="49"/>
      <c r="G818" s="49"/>
      <c r="H818" s="49"/>
      <c r="I818" s="49"/>
      <c r="J818" s="49" t="b">
        <f>IFERROR(__xludf.DUMMYFUNCTION("""COMPUTED_VALUE"""),FALSE)</f>
        <v>0</v>
      </c>
      <c r="K818" s="49"/>
      <c r="L818" s="49" t="b">
        <f>IFERROR(__xludf.DUMMYFUNCTION("""COMPUTED_VALUE"""),FALSE)</f>
        <v>0</v>
      </c>
      <c r="M818" s="49" t="b">
        <f>IFERROR(__xludf.DUMMYFUNCTION("""COMPUTED_VALUE"""),FALSE)</f>
        <v>0</v>
      </c>
      <c r="N818" s="49"/>
    </row>
    <row r="819">
      <c r="A819" s="49"/>
      <c r="B819" s="49"/>
      <c r="C819" s="49"/>
      <c r="D819" s="49"/>
      <c r="E819" s="49"/>
      <c r="F819" s="49"/>
      <c r="G819" s="49"/>
      <c r="H819" s="49"/>
      <c r="I819" s="49"/>
      <c r="J819" s="49" t="b">
        <f>IFERROR(__xludf.DUMMYFUNCTION("""COMPUTED_VALUE"""),FALSE)</f>
        <v>0</v>
      </c>
      <c r="K819" s="49"/>
      <c r="L819" s="49" t="b">
        <f>IFERROR(__xludf.DUMMYFUNCTION("""COMPUTED_VALUE"""),FALSE)</f>
        <v>0</v>
      </c>
      <c r="M819" s="49" t="b">
        <f>IFERROR(__xludf.DUMMYFUNCTION("""COMPUTED_VALUE"""),FALSE)</f>
        <v>0</v>
      </c>
      <c r="N819" s="49"/>
    </row>
    <row r="820">
      <c r="A820" s="49"/>
      <c r="B820" s="49"/>
      <c r="C820" s="49"/>
      <c r="D820" s="49"/>
      <c r="E820" s="49"/>
      <c r="F820" s="49"/>
      <c r="G820" s="49"/>
      <c r="H820" s="49"/>
      <c r="I820" s="49"/>
      <c r="J820" s="49" t="b">
        <f>IFERROR(__xludf.DUMMYFUNCTION("""COMPUTED_VALUE"""),FALSE)</f>
        <v>0</v>
      </c>
      <c r="K820" s="49"/>
      <c r="L820" s="49" t="b">
        <f>IFERROR(__xludf.DUMMYFUNCTION("""COMPUTED_VALUE"""),FALSE)</f>
        <v>0</v>
      </c>
      <c r="M820" s="49" t="b">
        <f>IFERROR(__xludf.DUMMYFUNCTION("""COMPUTED_VALUE"""),FALSE)</f>
        <v>0</v>
      </c>
      <c r="N820" s="49"/>
    </row>
    <row r="821">
      <c r="A821" s="49"/>
      <c r="B821" s="49"/>
      <c r="C821" s="49"/>
      <c r="D821" s="49"/>
      <c r="E821" s="49"/>
      <c r="F821" s="49"/>
      <c r="G821" s="49"/>
      <c r="H821" s="49"/>
      <c r="I821" s="49"/>
      <c r="J821" s="49" t="b">
        <f>IFERROR(__xludf.DUMMYFUNCTION("""COMPUTED_VALUE"""),FALSE)</f>
        <v>0</v>
      </c>
      <c r="K821" s="49"/>
      <c r="L821" s="49" t="b">
        <f>IFERROR(__xludf.DUMMYFUNCTION("""COMPUTED_VALUE"""),FALSE)</f>
        <v>0</v>
      </c>
      <c r="M821" s="49" t="b">
        <f>IFERROR(__xludf.DUMMYFUNCTION("""COMPUTED_VALUE"""),FALSE)</f>
        <v>0</v>
      </c>
      <c r="N821" s="49"/>
    </row>
    <row r="822">
      <c r="A822" s="49"/>
      <c r="B822" s="49"/>
      <c r="C822" s="49"/>
      <c r="D822" s="49"/>
      <c r="E822" s="49"/>
      <c r="F822" s="49"/>
      <c r="G822" s="49"/>
      <c r="H822" s="49"/>
      <c r="I822" s="49"/>
      <c r="J822" s="49" t="b">
        <f>IFERROR(__xludf.DUMMYFUNCTION("""COMPUTED_VALUE"""),FALSE)</f>
        <v>0</v>
      </c>
      <c r="K822" s="49"/>
      <c r="L822" s="49" t="b">
        <f>IFERROR(__xludf.DUMMYFUNCTION("""COMPUTED_VALUE"""),FALSE)</f>
        <v>0</v>
      </c>
      <c r="M822" s="49" t="b">
        <f>IFERROR(__xludf.DUMMYFUNCTION("""COMPUTED_VALUE"""),FALSE)</f>
        <v>0</v>
      </c>
      <c r="N822" s="49"/>
    </row>
    <row r="823">
      <c r="A823" s="49"/>
      <c r="B823" s="49"/>
      <c r="C823" s="49"/>
      <c r="D823" s="49"/>
      <c r="E823" s="49"/>
      <c r="F823" s="49"/>
      <c r="G823" s="49"/>
      <c r="H823" s="49"/>
      <c r="I823" s="49"/>
      <c r="J823" s="49" t="b">
        <f>IFERROR(__xludf.DUMMYFUNCTION("""COMPUTED_VALUE"""),FALSE)</f>
        <v>0</v>
      </c>
      <c r="K823" s="49"/>
      <c r="L823" s="49" t="b">
        <f>IFERROR(__xludf.DUMMYFUNCTION("""COMPUTED_VALUE"""),FALSE)</f>
        <v>0</v>
      </c>
      <c r="M823" s="49" t="b">
        <f>IFERROR(__xludf.DUMMYFUNCTION("""COMPUTED_VALUE"""),FALSE)</f>
        <v>0</v>
      </c>
      <c r="N823" s="49"/>
    </row>
    <row r="824">
      <c r="A824" s="49"/>
      <c r="B824" s="49"/>
      <c r="C824" s="49"/>
      <c r="D824" s="49"/>
      <c r="E824" s="49"/>
      <c r="F824" s="49"/>
      <c r="G824" s="49"/>
      <c r="H824" s="49"/>
      <c r="I824" s="49"/>
      <c r="J824" s="49" t="b">
        <f>IFERROR(__xludf.DUMMYFUNCTION("""COMPUTED_VALUE"""),FALSE)</f>
        <v>0</v>
      </c>
      <c r="K824" s="49"/>
      <c r="L824" s="49" t="b">
        <f>IFERROR(__xludf.DUMMYFUNCTION("""COMPUTED_VALUE"""),FALSE)</f>
        <v>0</v>
      </c>
      <c r="M824" s="49" t="b">
        <f>IFERROR(__xludf.DUMMYFUNCTION("""COMPUTED_VALUE"""),FALSE)</f>
        <v>0</v>
      </c>
      <c r="N824" s="49"/>
    </row>
    <row r="825">
      <c r="A825" s="49"/>
      <c r="B825" s="49"/>
      <c r="C825" s="49"/>
      <c r="D825" s="49"/>
      <c r="E825" s="49"/>
      <c r="F825" s="49"/>
      <c r="G825" s="49"/>
      <c r="H825" s="49"/>
      <c r="I825" s="49"/>
      <c r="J825" s="49" t="b">
        <f>IFERROR(__xludf.DUMMYFUNCTION("""COMPUTED_VALUE"""),FALSE)</f>
        <v>0</v>
      </c>
      <c r="K825" s="49"/>
      <c r="L825" s="49" t="b">
        <f>IFERROR(__xludf.DUMMYFUNCTION("""COMPUTED_VALUE"""),FALSE)</f>
        <v>0</v>
      </c>
      <c r="M825" s="49" t="b">
        <f>IFERROR(__xludf.DUMMYFUNCTION("""COMPUTED_VALUE"""),FALSE)</f>
        <v>0</v>
      </c>
      <c r="N825" s="49"/>
    </row>
    <row r="826">
      <c r="A826" s="49"/>
      <c r="B826" s="49"/>
      <c r="C826" s="49"/>
      <c r="D826" s="49"/>
      <c r="E826" s="49"/>
      <c r="F826" s="49"/>
      <c r="G826" s="49"/>
      <c r="H826" s="49"/>
      <c r="I826" s="49"/>
      <c r="J826" s="49" t="b">
        <f>IFERROR(__xludf.DUMMYFUNCTION("""COMPUTED_VALUE"""),FALSE)</f>
        <v>0</v>
      </c>
      <c r="K826" s="49"/>
      <c r="L826" s="49" t="b">
        <f>IFERROR(__xludf.DUMMYFUNCTION("""COMPUTED_VALUE"""),FALSE)</f>
        <v>0</v>
      </c>
      <c r="M826" s="49" t="b">
        <f>IFERROR(__xludf.DUMMYFUNCTION("""COMPUTED_VALUE"""),FALSE)</f>
        <v>0</v>
      </c>
      <c r="N826" s="49"/>
    </row>
    <row r="827">
      <c r="A827" s="49"/>
      <c r="B827" s="49"/>
      <c r="C827" s="49"/>
      <c r="D827" s="49"/>
      <c r="E827" s="49"/>
      <c r="F827" s="49"/>
      <c r="G827" s="49"/>
      <c r="H827" s="49"/>
      <c r="I827" s="49"/>
      <c r="J827" s="49" t="b">
        <f>IFERROR(__xludf.DUMMYFUNCTION("""COMPUTED_VALUE"""),FALSE)</f>
        <v>0</v>
      </c>
      <c r="K827" s="49"/>
      <c r="L827" s="49" t="b">
        <f>IFERROR(__xludf.DUMMYFUNCTION("""COMPUTED_VALUE"""),FALSE)</f>
        <v>0</v>
      </c>
      <c r="M827" s="49" t="b">
        <f>IFERROR(__xludf.DUMMYFUNCTION("""COMPUTED_VALUE"""),FALSE)</f>
        <v>0</v>
      </c>
      <c r="N827" s="49"/>
    </row>
    <row r="828">
      <c r="A828" s="49"/>
      <c r="B828" s="49"/>
      <c r="C828" s="49"/>
      <c r="D828" s="49"/>
      <c r="E828" s="49"/>
      <c r="F828" s="49"/>
      <c r="G828" s="49"/>
      <c r="H828" s="49"/>
      <c r="I828" s="49"/>
      <c r="J828" s="49" t="b">
        <f>IFERROR(__xludf.DUMMYFUNCTION("""COMPUTED_VALUE"""),FALSE)</f>
        <v>0</v>
      </c>
      <c r="K828" s="49"/>
      <c r="L828" s="49" t="b">
        <f>IFERROR(__xludf.DUMMYFUNCTION("""COMPUTED_VALUE"""),FALSE)</f>
        <v>0</v>
      </c>
      <c r="M828" s="49" t="b">
        <f>IFERROR(__xludf.DUMMYFUNCTION("""COMPUTED_VALUE"""),FALSE)</f>
        <v>0</v>
      </c>
      <c r="N828" s="49"/>
    </row>
    <row r="829">
      <c r="A829" s="49"/>
      <c r="B829" s="49"/>
      <c r="C829" s="49"/>
      <c r="D829" s="49"/>
      <c r="E829" s="49"/>
      <c r="F829" s="49"/>
      <c r="G829" s="49"/>
      <c r="H829" s="49"/>
      <c r="I829" s="49"/>
      <c r="J829" s="49" t="b">
        <f>IFERROR(__xludf.DUMMYFUNCTION("""COMPUTED_VALUE"""),FALSE)</f>
        <v>0</v>
      </c>
      <c r="K829" s="49"/>
      <c r="L829" s="49" t="b">
        <f>IFERROR(__xludf.DUMMYFUNCTION("""COMPUTED_VALUE"""),FALSE)</f>
        <v>0</v>
      </c>
      <c r="M829" s="49" t="b">
        <f>IFERROR(__xludf.DUMMYFUNCTION("""COMPUTED_VALUE"""),FALSE)</f>
        <v>0</v>
      </c>
      <c r="N829" s="49"/>
    </row>
    <row r="830">
      <c r="A830" s="49"/>
      <c r="B830" s="49"/>
      <c r="C830" s="49"/>
      <c r="D830" s="49"/>
      <c r="E830" s="49"/>
      <c r="F830" s="49"/>
      <c r="G830" s="49"/>
      <c r="H830" s="49"/>
      <c r="I830" s="49"/>
      <c r="J830" s="49" t="b">
        <f>IFERROR(__xludf.DUMMYFUNCTION("""COMPUTED_VALUE"""),FALSE)</f>
        <v>0</v>
      </c>
      <c r="K830" s="49"/>
      <c r="L830" s="49" t="b">
        <f>IFERROR(__xludf.DUMMYFUNCTION("""COMPUTED_VALUE"""),FALSE)</f>
        <v>0</v>
      </c>
      <c r="M830" s="49" t="b">
        <f>IFERROR(__xludf.DUMMYFUNCTION("""COMPUTED_VALUE"""),FALSE)</f>
        <v>0</v>
      </c>
      <c r="N830" s="49"/>
    </row>
    <row r="831">
      <c r="A831" s="49"/>
      <c r="B831" s="49"/>
      <c r="C831" s="49"/>
      <c r="D831" s="49"/>
      <c r="E831" s="49"/>
      <c r="F831" s="49"/>
      <c r="G831" s="49"/>
      <c r="H831" s="49"/>
      <c r="I831" s="49"/>
      <c r="J831" s="49" t="b">
        <f>IFERROR(__xludf.DUMMYFUNCTION("""COMPUTED_VALUE"""),FALSE)</f>
        <v>0</v>
      </c>
      <c r="K831" s="49"/>
      <c r="L831" s="49" t="b">
        <f>IFERROR(__xludf.DUMMYFUNCTION("""COMPUTED_VALUE"""),FALSE)</f>
        <v>0</v>
      </c>
      <c r="M831" s="49" t="b">
        <f>IFERROR(__xludf.DUMMYFUNCTION("""COMPUTED_VALUE"""),FALSE)</f>
        <v>0</v>
      </c>
      <c r="N831" s="49"/>
    </row>
    <row r="832">
      <c r="A832" s="49"/>
      <c r="B832" s="49"/>
      <c r="C832" s="49"/>
      <c r="D832" s="49"/>
      <c r="E832" s="49"/>
      <c r="F832" s="49"/>
      <c r="G832" s="49"/>
      <c r="H832" s="49"/>
      <c r="I832" s="49"/>
      <c r="J832" s="49" t="b">
        <f>IFERROR(__xludf.DUMMYFUNCTION("""COMPUTED_VALUE"""),FALSE)</f>
        <v>0</v>
      </c>
      <c r="K832" s="49"/>
      <c r="L832" s="49" t="b">
        <f>IFERROR(__xludf.DUMMYFUNCTION("""COMPUTED_VALUE"""),FALSE)</f>
        <v>0</v>
      </c>
      <c r="M832" s="49" t="b">
        <f>IFERROR(__xludf.DUMMYFUNCTION("""COMPUTED_VALUE"""),FALSE)</f>
        <v>0</v>
      </c>
      <c r="N832" s="49"/>
    </row>
    <row r="833">
      <c r="A833" s="49"/>
      <c r="B833" s="49"/>
      <c r="C833" s="49"/>
      <c r="D833" s="49"/>
      <c r="E833" s="49"/>
      <c r="F833" s="49"/>
      <c r="G833" s="49"/>
      <c r="H833" s="49"/>
      <c r="I833" s="49"/>
      <c r="J833" s="49" t="b">
        <f>IFERROR(__xludf.DUMMYFUNCTION("""COMPUTED_VALUE"""),FALSE)</f>
        <v>0</v>
      </c>
      <c r="K833" s="49"/>
      <c r="L833" s="49" t="b">
        <f>IFERROR(__xludf.DUMMYFUNCTION("""COMPUTED_VALUE"""),FALSE)</f>
        <v>0</v>
      </c>
      <c r="M833" s="49" t="b">
        <f>IFERROR(__xludf.DUMMYFUNCTION("""COMPUTED_VALUE"""),FALSE)</f>
        <v>0</v>
      </c>
      <c r="N833" s="49"/>
    </row>
    <row r="834">
      <c r="A834" s="49"/>
      <c r="B834" s="49"/>
      <c r="C834" s="49"/>
      <c r="D834" s="49"/>
      <c r="E834" s="49"/>
      <c r="F834" s="49"/>
      <c r="G834" s="49"/>
      <c r="H834" s="49"/>
      <c r="I834" s="49"/>
      <c r="J834" s="49" t="b">
        <f>IFERROR(__xludf.DUMMYFUNCTION("""COMPUTED_VALUE"""),FALSE)</f>
        <v>0</v>
      </c>
      <c r="K834" s="49"/>
      <c r="L834" s="49" t="b">
        <f>IFERROR(__xludf.DUMMYFUNCTION("""COMPUTED_VALUE"""),FALSE)</f>
        <v>0</v>
      </c>
      <c r="M834" s="49" t="b">
        <f>IFERROR(__xludf.DUMMYFUNCTION("""COMPUTED_VALUE"""),FALSE)</f>
        <v>0</v>
      </c>
      <c r="N834" s="49"/>
    </row>
    <row r="835">
      <c r="A835" s="49"/>
      <c r="B835" s="49"/>
      <c r="C835" s="49"/>
      <c r="D835" s="49"/>
      <c r="E835" s="49"/>
      <c r="F835" s="49"/>
      <c r="G835" s="49"/>
      <c r="H835" s="49"/>
      <c r="I835" s="49"/>
      <c r="J835" s="49" t="b">
        <f>IFERROR(__xludf.DUMMYFUNCTION("""COMPUTED_VALUE"""),FALSE)</f>
        <v>0</v>
      </c>
      <c r="K835" s="49"/>
      <c r="L835" s="49" t="b">
        <f>IFERROR(__xludf.DUMMYFUNCTION("""COMPUTED_VALUE"""),FALSE)</f>
        <v>0</v>
      </c>
      <c r="M835" s="49" t="b">
        <f>IFERROR(__xludf.DUMMYFUNCTION("""COMPUTED_VALUE"""),FALSE)</f>
        <v>0</v>
      </c>
      <c r="N835" s="49"/>
    </row>
    <row r="836">
      <c r="A836" s="49"/>
      <c r="B836" s="49"/>
      <c r="C836" s="49"/>
      <c r="D836" s="49"/>
      <c r="E836" s="49"/>
      <c r="F836" s="49"/>
      <c r="G836" s="49"/>
      <c r="H836" s="49"/>
      <c r="I836" s="49"/>
      <c r="J836" s="49" t="b">
        <f>IFERROR(__xludf.DUMMYFUNCTION("""COMPUTED_VALUE"""),FALSE)</f>
        <v>0</v>
      </c>
      <c r="K836" s="49"/>
      <c r="L836" s="49" t="b">
        <f>IFERROR(__xludf.DUMMYFUNCTION("""COMPUTED_VALUE"""),FALSE)</f>
        <v>0</v>
      </c>
      <c r="M836" s="49" t="b">
        <f>IFERROR(__xludf.DUMMYFUNCTION("""COMPUTED_VALUE"""),FALSE)</f>
        <v>0</v>
      </c>
      <c r="N836" s="49"/>
    </row>
    <row r="837">
      <c r="A837" s="49"/>
      <c r="B837" s="49"/>
      <c r="C837" s="49"/>
      <c r="D837" s="49"/>
      <c r="E837" s="49"/>
      <c r="F837" s="49"/>
      <c r="G837" s="49"/>
      <c r="H837" s="49"/>
      <c r="I837" s="49"/>
      <c r="J837" s="49" t="b">
        <f>IFERROR(__xludf.DUMMYFUNCTION("""COMPUTED_VALUE"""),FALSE)</f>
        <v>0</v>
      </c>
      <c r="K837" s="49"/>
      <c r="L837" s="49" t="b">
        <f>IFERROR(__xludf.DUMMYFUNCTION("""COMPUTED_VALUE"""),FALSE)</f>
        <v>0</v>
      </c>
      <c r="M837" s="49" t="b">
        <f>IFERROR(__xludf.DUMMYFUNCTION("""COMPUTED_VALUE"""),FALSE)</f>
        <v>0</v>
      </c>
      <c r="N837" s="49"/>
    </row>
    <row r="838">
      <c r="A838" s="49"/>
      <c r="B838" s="49"/>
      <c r="C838" s="49"/>
      <c r="D838" s="49"/>
      <c r="E838" s="49"/>
      <c r="F838" s="49"/>
      <c r="G838" s="49"/>
      <c r="H838" s="49"/>
      <c r="I838" s="49"/>
      <c r="J838" s="49" t="b">
        <f>IFERROR(__xludf.DUMMYFUNCTION("""COMPUTED_VALUE"""),FALSE)</f>
        <v>0</v>
      </c>
      <c r="K838" s="49"/>
      <c r="L838" s="49" t="b">
        <f>IFERROR(__xludf.DUMMYFUNCTION("""COMPUTED_VALUE"""),FALSE)</f>
        <v>0</v>
      </c>
      <c r="M838" s="49" t="b">
        <f>IFERROR(__xludf.DUMMYFUNCTION("""COMPUTED_VALUE"""),FALSE)</f>
        <v>0</v>
      </c>
      <c r="N838" s="49"/>
    </row>
    <row r="839">
      <c r="A839" s="49"/>
      <c r="B839" s="49"/>
      <c r="C839" s="49"/>
      <c r="D839" s="49"/>
      <c r="E839" s="49"/>
      <c r="F839" s="49"/>
      <c r="G839" s="49"/>
      <c r="H839" s="49"/>
      <c r="I839" s="49"/>
      <c r="J839" s="49" t="b">
        <f>IFERROR(__xludf.DUMMYFUNCTION("""COMPUTED_VALUE"""),FALSE)</f>
        <v>0</v>
      </c>
      <c r="K839" s="49"/>
      <c r="L839" s="49" t="b">
        <f>IFERROR(__xludf.DUMMYFUNCTION("""COMPUTED_VALUE"""),FALSE)</f>
        <v>0</v>
      </c>
      <c r="M839" s="49" t="b">
        <f>IFERROR(__xludf.DUMMYFUNCTION("""COMPUTED_VALUE"""),FALSE)</f>
        <v>0</v>
      </c>
      <c r="N839" s="49"/>
    </row>
    <row r="840">
      <c r="A840" s="49"/>
      <c r="B840" s="49"/>
      <c r="C840" s="49"/>
      <c r="D840" s="49"/>
      <c r="E840" s="49"/>
      <c r="F840" s="49"/>
      <c r="G840" s="49"/>
      <c r="H840" s="49"/>
      <c r="I840" s="49"/>
      <c r="J840" s="49" t="b">
        <f>IFERROR(__xludf.DUMMYFUNCTION("""COMPUTED_VALUE"""),FALSE)</f>
        <v>0</v>
      </c>
      <c r="K840" s="49"/>
      <c r="L840" s="49" t="b">
        <f>IFERROR(__xludf.DUMMYFUNCTION("""COMPUTED_VALUE"""),FALSE)</f>
        <v>0</v>
      </c>
      <c r="M840" s="49" t="b">
        <f>IFERROR(__xludf.DUMMYFUNCTION("""COMPUTED_VALUE"""),FALSE)</f>
        <v>0</v>
      </c>
      <c r="N840" s="49"/>
    </row>
    <row r="841">
      <c r="A841" s="49"/>
      <c r="B841" s="49"/>
      <c r="C841" s="49"/>
      <c r="D841" s="49"/>
      <c r="E841" s="49"/>
      <c r="F841" s="49"/>
      <c r="G841" s="49"/>
      <c r="H841" s="49"/>
      <c r="I841" s="49"/>
      <c r="J841" s="49" t="b">
        <f>IFERROR(__xludf.DUMMYFUNCTION("""COMPUTED_VALUE"""),FALSE)</f>
        <v>0</v>
      </c>
      <c r="K841" s="49"/>
      <c r="L841" s="49" t="b">
        <f>IFERROR(__xludf.DUMMYFUNCTION("""COMPUTED_VALUE"""),FALSE)</f>
        <v>0</v>
      </c>
      <c r="M841" s="49" t="b">
        <f>IFERROR(__xludf.DUMMYFUNCTION("""COMPUTED_VALUE"""),FALSE)</f>
        <v>0</v>
      </c>
      <c r="N841" s="49"/>
    </row>
    <row r="842">
      <c r="A842" s="49"/>
      <c r="B842" s="49"/>
      <c r="C842" s="49"/>
      <c r="D842" s="49"/>
      <c r="E842" s="49"/>
      <c r="F842" s="49"/>
      <c r="G842" s="49"/>
      <c r="H842" s="49"/>
      <c r="I842" s="49"/>
      <c r="J842" s="49" t="b">
        <f>IFERROR(__xludf.DUMMYFUNCTION("""COMPUTED_VALUE"""),FALSE)</f>
        <v>0</v>
      </c>
      <c r="K842" s="49"/>
      <c r="L842" s="49" t="b">
        <f>IFERROR(__xludf.DUMMYFUNCTION("""COMPUTED_VALUE"""),FALSE)</f>
        <v>0</v>
      </c>
      <c r="M842" s="49" t="b">
        <f>IFERROR(__xludf.DUMMYFUNCTION("""COMPUTED_VALUE"""),FALSE)</f>
        <v>0</v>
      </c>
      <c r="N842" s="49"/>
    </row>
    <row r="843">
      <c r="A843" s="49"/>
      <c r="B843" s="49"/>
      <c r="C843" s="49"/>
      <c r="D843" s="49"/>
      <c r="E843" s="49"/>
      <c r="F843" s="49"/>
      <c r="G843" s="49"/>
      <c r="H843" s="49"/>
      <c r="I843" s="49"/>
      <c r="J843" s="49" t="b">
        <f>IFERROR(__xludf.DUMMYFUNCTION("""COMPUTED_VALUE"""),FALSE)</f>
        <v>0</v>
      </c>
      <c r="K843" s="49"/>
      <c r="L843" s="49" t="b">
        <f>IFERROR(__xludf.DUMMYFUNCTION("""COMPUTED_VALUE"""),FALSE)</f>
        <v>0</v>
      </c>
      <c r="M843" s="49" t="b">
        <f>IFERROR(__xludf.DUMMYFUNCTION("""COMPUTED_VALUE"""),FALSE)</f>
        <v>0</v>
      </c>
      <c r="N843" s="49"/>
    </row>
    <row r="844">
      <c r="A844" s="49"/>
      <c r="B844" s="49"/>
      <c r="C844" s="49"/>
      <c r="D844" s="49"/>
      <c r="E844" s="49"/>
      <c r="F844" s="49"/>
      <c r="G844" s="49"/>
      <c r="H844" s="49"/>
      <c r="I844" s="49"/>
      <c r="J844" s="49" t="b">
        <f>IFERROR(__xludf.DUMMYFUNCTION("""COMPUTED_VALUE"""),FALSE)</f>
        <v>0</v>
      </c>
      <c r="K844" s="49"/>
      <c r="L844" s="49" t="b">
        <f>IFERROR(__xludf.DUMMYFUNCTION("""COMPUTED_VALUE"""),FALSE)</f>
        <v>0</v>
      </c>
      <c r="M844" s="49" t="b">
        <f>IFERROR(__xludf.DUMMYFUNCTION("""COMPUTED_VALUE"""),FALSE)</f>
        <v>0</v>
      </c>
      <c r="N844" s="49"/>
    </row>
    <row r="845">
      <c r="A845" s="49"/>
      <c r="B845" s="49"/>
      <c r="C845" s="49"/>
      <c r="D845" s="49"/>
      <c r="E845" s="49"/>
      <c r="F845" s="49"/>
      <c r="G845" s="49"/>
      <c r="H845" s="49"/>
      <c r="I845" s="49"/>
      <c r="J845" s="49" t="b">
        <f>IFERROR(__xludf.DUMMYFUNCTION("""COMPUTED_VALUE"""),FALSE)</f>
        <v>0</v>
      </c>
      <c r="K845" s="49"/>
      <c r="L845" s="49" t="b">
        <f>IFERROR(__xludf.DUMMYFUNCTION("""COMPUTED_VALUE"""),FALSE)</f>
        <v>0</v>
      </c>
      <c r="M845" s="49" t="b">
        <f>IFERROR(__xludf.DUMMYFUNCTION("""COMPUTED_VALUE"""),FALSE)</f>
        <v>0</v>
      </c>
      <c r="N845" s="49"/>
    </row>
    <row r="846">
      <c r="A846" s="49"/>
      <c r="B846" s="49"/>
      <c r="C846" s="49"/>
      <c r="D846" s="49"/>
      <c r="E846" s="49"/>
      <c r="F846" s="49"/>
      <c r="G846" s="49"/>
      <c r="H846" s="49"/>
      <c r="I846" s="49"/>
      <c r="J846" s="49" t="b">
        <f>IFERROR(__xludf.DUMMYFUNCTION("""COMPUTED_VALUE"""),FALSE)</f>
        <v>0</v>
      </c>
      <c r="K846" s="49"/>
      <c r="L846" s="49" t="b">
        <f>IFERROR(__xludf.DUMMYFUNCTION("""COMPUTED_VALUE"""),FALSE)</f>
        <v>0</v>
      </c>
      <c r="M846" s="49" t="b">
        <f>IFERROR(__xludf.DUMMYFUNCTION("""COMPUTED_VALUE"""),FALSE)</f>
        <v>0</v>
      </c>
      <c r="N846" s="49"/>
    </row>
    <row r="847">
      <c r="A847" s="49"/>
      <c r="B847" s="49"/>
      <c r="C847" s="49"/>
      <c r="D847" s="49"/>
      <c r="E847" s="49"/>
      <c r="F847" s="49"/>
      <c r="G847" s="49"/>
      <c r="H847" s="49"/>
      <c r="I847" s="49"/>
      <c r="J847" s="49" t="b">
        <f>IFERROR(__xludf.DUMMYFUNCTION("""COMPUTED_VALUE"""),FALSE)</f>
        <v>0</v>
      </c>
      <c r="K847" s="49"/>
      <c r="L847" s="49" t="b">
        <f>IFERROR(__xludf.DUMMYFUNCTION("""COMPUTED_VALUE"""),FALSE)</f>
        <v>0</v>
      </c>
      <c r="M847" s="49" t="b">
        <f>IFERROR(__xludf.DUMMYFUNCTION("""COMPUTED_VALUE"""),FALSE)</f>
        <v>0</v>
      </c>
      <c r="N847" s="49"/>
    </row>
    <row r="848">
      <c r="A848" s="49"/>
      <c r="B848" s="49"/>
      <c r="C848" s="49"/>
      <c r="D848" s="49"/>
      <c r="E848" s="49"/>
      <c r="F848" s="49"/>
      <c r="G848" s="49"/>
      <c r="H848" s="49"/>
      <c r="I848" s="49"/>
      <c r="J848" s="49" t="b">
        <f>IFERROR(__xludf.DUMMYFUNCTION("""COMPUTED_VALUE"""),FALSE)</f>
        <v>0</v>
      </c>
      <c r="K848" s="49"/>
      <c r="L848" s="49" t="b">
        <f>IFERROR(__xludf.DUMMYFUNCTION("""COMPUTED_VALUE"""),FALSE)</f>
        <v>0</v>
      </c>
      <c r="M848" s="49" t="b">
        <f>IFERROR(__xludf.DUMMYFUNCTION("""COMPUTED_VALUE"""),FALSE)</f>
        <v>0</v>
      </c>
      <c r="N848" s="49"/>
    </row>
    <row r="849">
      <c r="A849" s="49"/>
      <c r="B849" s="49"/>
      <c r="C849" s="49"/>
      <c r="D849" s="49"/>
      <c r="E849" s="49"/>
      <c r="F849" s="49"/>
      <c r="G849" s="49"/>
      <c r="H849" s="49"/>
      <c r="I849" s="49"/>
      <c r="J849" s="49" t="b">
        <f>IFERROR(__xludf.DUMMYFUNCTION("""COMPUTED_VALUE"""),FALSE)</f>
        <v>0</v>
      </c>
      <c r="K849" s="49"/>
      <c r="L849" s="49" t="b">
        <f>IFERROR(__xludf.DUMMYFUNCTION("""COMPUTED_VALUE"""),FALSE)</f>
        <v>0</v>
      </c>
      <c r="M849" s="49" t="b">
        <f>IFERROR(__xludf.DUMMYFUNCTION("""COMPUTED_VALUE"""),FALSE)</f>
        <v>0</v>
      </c>
      <c r="N849" s="49"/>
    </row>
    <row r="850">
      <c r="A850" s="49"/>
      <c r="B850" s="49"/>
      <c r="C850" s="49"/>
      <c r="D850" s="49"/>
      <c r="E850" s="49"/>
      <c r="F850" s="49"/>
      <c r="G850" s="49"/>
      <c r="H850" s="49"/>
      <c r="I850" s="49"/>
      <c r="J850" s="49" t="b">
        <f>IFERROR(__xludf.DUMMYFUNCTION("""COMPUTED_VALUE"""),FALSE)</f>
        <v>0</v>
      </c>
      <c r="K850" s="49"/>
      <c r="L850" s="49" t="b">
        <f>IFERROR(__xludf.DUMMYFUNCTION("""COMPUTED_VALUE"""),FALSE)</f>
        <v>0</v>
      </c>
      <c r="M850" s="49" t="b">
        <f>IFERROR(__xludf.DUMMYFUNCTION("""COMPUTED_VALUE"""),FALSE)</f>
        <v>0</v>
      </c>
      <c r="N850" s="49"/>
    </row>
    <row r="851">
      <c r="A851" s="49"/>
      <c r="B851" s="49"/>
      <c r="C851" s="49"/>
      <c r="D851" s="49"/>
      <c r="E851" s="49"/>
      <c r="F851" s="49"/>
      <c r="G851" s="49"/>
      <c r="H851" s="49"/>
      <c r="I851" s="49"/>
      <c r="J851" s="49" t="b">
        <f>IFERROR(__xludf.DUMMYFUNCTION("""COMPUTED_VALUE"""),FALSE)</f>
        <v>0</v>
      </c>
      <c r="K851" s="49"/>
      <c r="L851" s="49" t="b">
        <f>IFERROR(__xludf.DUMMYFUNCTION("""COMPUTED_VALUE"""),FALSE)</f>
        <v>0</v>
      </c>
      <c r="M851" s="49" t="b">
        <f>IFERROR(__xludf.DUMMYFUNCTION("""COMPUTED_VALUE"""),FALSE)</f>
        <v>0</v>
      </c>
      <c r="N851" s="49"/>
    </row>
    <row r="852">
      <c r="A852" s="49"/>
      <c r="B852" s="49"/>
      <c r="C852" s="49"/>
      <c r="D852" s="49"/>
      <c r="E852" s="49"/>
      <c r="F852" s="49"/>
      <c r="G852" s="49"/>
      <c r="H852" s="49"/>
      <c r="I852" s="49"/>
      <c r="J852" s="49" t="b">
        <f>IFERROR(__xludf.DUMMYFUNCTION("""COMPUTED_VALUE"""),FALSE)</f>
        <v>0</v>
      </c>
      <c r="K852" s="49"/>
      <c r="L852" s="49" t="b">
        <f>IFERROR(__xludf.DUMMYFUNCTION("""COMPUTED_VALUE"""),FALSE)</f>
        <v>0</v>
      </c>
      <c r="M852" s="49" t="b">
        <f>IFERROR(__xludf.DUMMYFUNCTION("""COMPUTED_VALUE"""),FALSE)</f>
        <v>0</v>
      </c>
      <c r="N852" s="49"/>
    </row>
    <row r="853">
      <c r="A853" s="49"/>
      <c r="B853" s="49"/>
      <c r="C853" s="49"/>
      <c r="D853" s="49"/>
      <c r="E853" s="49"/>
      <c r="F853" s="49"/>
      <c r="G853" s="49"/>
      <c r="H853" s="49"/>
      <c r="I853" s="49"/>
      <c r="J853" s="49" t="b">
        <f>IFERROR(__xludf.DUMMYFUNCTION("""COMPUTED_VALUE"""),FALSE)</f>
        <v>0</v>
      </c>
      <c r="K853" s="49"/>
      <c r="L853" s="49" t="b">
        <f>IFERROR(__xludf.DUMMYFUNCTION("""COMPUTED_VALUE"""),FALSE)</f>
        <v>0</v>
      </c>
      <c r="M853" s="49" t="b">
        <f>IFERROR(__xludf.DUMMYFUNCTION("""COMPUTED_VALUE"""),FALSE)</f>
        <v>0</v>
      </c>
      <c r="N853" s="49"/>
    </row>
    <row r="854">
      <c r="A854" s="49"/>
      <c r="B854" s="49"/>
      <c r="C854" s="49"/>
      <c r="D854" s="49"/>
      <c r="E854" s="49"/>
      <c r="F854" s="49"/>
      <c r="G854" s="49"/>
      <c r="H854" s="49"/>
      <c r="I854" s="49"/>
      <c r="J854" s="49" t="b">
        <f>IFERROR(__xludf.DUMMYFUNCTION("""COMPUTED_VALUE"""),FALSE)</f>
        <v>0</v>
      </c>
      <c r="K854" s="49"/>
      <c r="L854" s="49" t="b">
        <f>IFERROR(__xludf.DUMMYFUNCTION("""COMPUTED_VALUE"""),FALSE)</f>
        <v>0</v>
      </c>
      <c r="M854" s="49" t="b">
        <f>IFERROR(__xludf.DUMMYFUNCTION("""COMPUTED_VALUE"""),FALSE)</f>
        <v>0</v>
      </c>
      <c r="N854" s="49"/>
    </row>
    <row r="855">
      <c r="A855" s="49"/>
      <c r="B855" s="49"/>
      <c r="C855" s="49"/>
      <c r="D855" s="49"/>
      <c r="E855" s="49"/>
      <c r="F855" s="49"/>
      <c r="G855" s="49"/>
      <c r="H855" s="49"/>
      <c r="I855" s="49"/>
      <c r="J855" s="49" t="b">
        <f>IFERROR(__xludf.DUMMYFUNCTION("""COMPUTED_VALUE"""),FALSE)</f>
        <v>0</v>
      </c>
      <c r="K855" s="49"/>
      <c r="L855" s="49" t="b">
        <f>IFERROR(__xludf.DUMMYFUNCTION("""COMPUTED_VALUE"""),FALSE)</f>
        <v>0</v>
      </c>
      <c r="M855" s="49" t="b">
        <f>IFERROR(__xludf.DUMMYFUNCTION("""COMPUTED_VALUE"""),FALSE)</f>
        <v>0</v>
      </c>
      <c r="N855" s="49"/>
    </row>
    <row r="856">
      <c r="A856" s="49"/>
      <c r="B856" s="49"/>
      <c r="C856" s="49"/>
      <c r="D856" s="49"/>
      <c r="E856" s="49"/>
      <c r="F856" s="49"/>
      <c r="G856" s="49"/>
      <c r="H856" s="49"/>
      <c r="I856" s="49"/>
      <c r="J856" s="49" t="b">
        <f>IFERROR(__xludf.DUMMYFUNCTION("""COMPUTED_VALUE"""),FALSE)</f>
        <v>0</v>
      </c>
      <c r="K856" s="49"/>
      <c r="L856" s="49" t="b">
        <f>IFERROR(__xludf.DUMMYFUNCTION("""COMPUTED_VALUE"""),FALSE)</f>
        <v>0</v>
      </c>
      <c r="M856" s="49" t="b">
        <f>IFERROR(__xludf.DUMMYFUNCTION("""COMPUTED_VALUE"""),FALSE)</f>
        <v>0</v>
      </c>
      <c r="N856" s="49"/>
    </row>
    <row r="857">
      <c r="A857" s="49"/>
      <c r="B857" s="49"/>
      <c r="C857" s="49"/>
      <c r="D857" s="49"/>
      <c r="E857" s="49"/>
      <c r="F857" s="49"/>
      <c r="G857" s="49"/>
      <c r="H857" s="49"/>
      <c r="I857" s="49"/>
      <c r="J857" s="49" t="b">
        <f>IFERROR(__xludf.DUMMYFUNCTION("""COMPUTED_VALUE"""),FALSE)</f>
        <v>0</v>
      </c>
      <c r="K857" s="49"/>
      <c r="L857" s="49" t="b">
        <f>IFERROR(__xludf.DUMMYFUNCTION("""COMPUTED_VALUE"""),FALSE)</f>
        <v>0</v>
      </c>
      <c r="M857" s="49" t="b">
        <f>IFERROR(__xludf.DUMMYFUNCTION("""COMPUTED_VALUE"""),FALSE)</f>
        <v>0</v>
      </c>
      <c r="N857" s="49"/>
    </row>
    <row r="858">
      <c r="A858" s="49"/>
      <c r="B858" s="49"/>
      <c r="C858" s="49"/>
      <c r="D858" s="49"/>
      <c r="E858" s="49"/>
      <c r="F858" s="49"/>
      <c r="G858" s="49"/>
      <c r="H858" s="49"/>
      <c r="I858" s="49"/>
      <c r="J858" s="49" t="b">
        <f>IFERROR(__xludf.DUMMYFUNCTION("""COMPUTED_VALUE"""),FALSE)</f>
        <v>0</v>
      </c>
      <c r="K858" s="49"/>
      <c r="L858" s="49" t="b">
        <f>IFERROR(__xludf.DUMMYFUNCTION("""COMPUTED_VALUE"""),FALSE)</f>
        <v>0</v>
      </c>
      <c r="M858" s="49" t="b">
        <f>IFERROR(__xludf.DUMMYFUNCTION("""COMPUTED_VALUE"""),FALSE)</f>
        <v>0</v>
      </c>
      <c r="N858" s="49"/>
    </row>
    <row r="859">
      <c r="A859" s="49"/>
      <c r="B859" s="49"/>
      <c r="C859" s="49"/>
      <c r="D859" s="49"/>
      <c r="E859" s="49"/>
      <c r="F859" s="49"/>
      <c r="G859" s="49"/>
      <c r="H859" s="49"/>
      <c r="I859" s="49"/>
      <c r="J859" s="49" t="b">
        <f>IFERROR(__xludf.DUMMYFUNCTION("""COMPUTED_VALUE"""),FALSE)</f>
        <v>0</v>
      </c>
      <c r="K859" s="49"/>
      <c r="L859" s="49" t="b">
        <f>IFERROR(__xludf.DUMMYFUNCTION("""COMPUTED_VALUE"""),FALSE)</f>
        <v>0</v>
      </c>
      <c r="M859" s="49" t="b">
        <f>IFERROR(__xludf.DUMMYFUNCTION("""COMPUTED_VALUE"""),FALSE)</f>
        <v>0</v>
      </c>
      <c r="N859" s="49"/>
    </row>
    <row r="860">
      <c r="A860" s="49"/>
      <c r="B860" s="49"/>
      <c r="C860" s="49"/>
      <c r="D860" s="49"/>
      <c r="E860" s="49"/>
      <c r="F860" s="49"/>
      <c r="G860" s="49"/>
      <c r="H860" s="49"/>
      <c r="I860" s="49"/>
      <c r="J860" s="49" t="b">
        <f>IFERROR(__xludf.DUMMYFUNCTION("""COMPUTED_VALUE"""),FALSE)</f>
        <v>0</v>
      </c>
      <c r="K860" s="49"/>
      <c r="L860" s="49" t="b">
        <f>IFERROR(__xludf.DUMMYFUNCTION("""COMPUTED_VALUE"""),FALSE)</f>
        <v>0</v>
      </c>
      <c r="M860" s="49" t="b">
        <f>IFERROR(__xludf.DUMMYFUNCTION("""COMPUTED_VALUE"""),FALSE)</f>
        <v>0</v>
      </c>
      <c r="N860" s="49"/>
    </row>
    <row r="861">
      <c r="A861" s="49"/>
      <c r="B861" s="49"/>
      <c r="C861" s="49"/>
      <c r="D861" s="49"/>
      <c r="E861" s="49"/>
      <c r="F861" s="49"/>
      <c r="G861" s="49"/>
      <c r="H861" s="49"/>
      <c r="I861" s="49"/>
      <c r="J861" s="49" t="b">
        <f>IFERROR(__xludf.DUMMYFUNCTION("""COMPUTED_VALUE"""),FALSE)</f>
        <v>0</v>
      </c>
      <c r="K861" s="49"/>
      <c r="L861" s="49" t="b">
        <f>IFERROR(__xludf.DUMMYFUNCTION("""COMPUTED_VALUE"""),FALSE)</f>
        <v>0</v>
      </c>
      <c r="M861" s="49" t="b">
        <f>IFERROR(__xludf.DUMMYFUNCTION("""COMPUTED_VALUE"""),FALSE)</f>
        <v>0</v>
      </c>
      <c r="N861" s="49"/>
    </row>
    <row r="862">
      <c r="A862" s="49"/>
      <c r="B862" s="49"/>
      <c r="C862" s="49"/>
      <c r="D862" s="49"/>
      <c r="E862" s="49"/>
      <c r="F862" s="49"/>
      <c r="G862" s="49"/>
      <c r="H862" s="49"/>
      <c r="I862" s="49"/>
      <c r="J862" s="49" t="b">
        <f>IFERROR(__xludf.DUMMYFUNCTION("""COMPUTED_VALUE"""),FALSE)</f>
        <v>0</v>
      </c>
      <c r="K862" s="49"/>
      <c r="L862" s="49" t="b">
        <f>IFERROR(__xludf.DUMMYFUNCTION("""COMPUTED_VALUE"""),FALSE)</f>
        <v>0</v>
      </c>
      <c r="M862" s="49" t="b">
        <f>IFERROR(__xludf.DUMMYFUNCTION("""COMPUTED_VALUE"""),FALSE)</f>
        <v>0</v>
      </c>
      <c r="N862" s="49"/>
    </row>
    <row r="863">
      <c r="A863" s="49"/>
      <c r="B863" s="49"/>
      <c r="C863" s="49"/>
      <c r="D863" s="49"/>
      <c r="E863" s="49"/>
      <c r="F863" s="49"/>
      <c r="G863" s="49"/>
      <c r="H863" s="49"/>
      <c r="I863" s="49"/>
      <c r="J863" s="49" t="b">
        <f>IFERROR(__xludf.DUMMYFUNCTION("""COMPUTED_VALUE"""),FALSE)</f>
        <v>0</v>
      </c>
      <c r="K863" s="49"/>
      <c r="L863" s="49" t="b">
        <f>IFERROR(__xludf.DUMMYFUNCTION("""COMPUTED_VALUE"""),FALSE)</f>
        <v>0</v>
      </c>
      <c r="M863" s="49" t="b">
        <f>IFERROR(__xludf.DUMMYFUNCTION("""COMPUTED_VALUE"""),FALSE)</f>
        <v>0</v>
      </c>
      <c r="N863" s="49"/>
    </row>
    <row r="864">
      <c r="A864" s="49"/>
      <c r="B864" s="49"/>
      <c r="C864" s="49"/>
      <c r="D864" s="49"/>
      <c r="E864" s="49"/>
      <c r="F864" s="49"/>
      <c r="G864" s="49"/>
      <c r="H864" s="49"/>
      <c r="I864" s="49"/>
      <c r="J864" s="49" t="b">
        <f>IFERROR(__xludf.DUMMYFUNCTION("""COMPUTED_VALUE"""),FALSE)</f>
        <v>0</v>
      </c>
      <c r="K864" s="49"/>
      <c r="L864" s="49" t="b">
        <f>IFERROR(__xludf.DUMMYFUNCTION("""COMPUTED_VALUE"""),FALSE)</f>
        <v>0</v>
      </c>
      <c r="M864" s="49" t="b">
        <f>IFERROR(__xludf.DUMMYFUNCTION("""COMPUTED_VALUE"""),FALSE)</f>
        <v>0</v>
      </c>
      <c r="N864" s="49"/>
    </row>
    <row r="865">
      <c r="A865" s="49"/>
      <c r="B865" s="49"/>
      <c r="C865" s="49"/>
      <c r="D865" s="49"/>
      <c r="E865" s="49"/>
      <c r="F865" s="49"/>
      <c r="G865" s="49"/>
      <c r="H865" s="49"/>
      <c r="I865" s="49"/>
      <c r="J865" s="49" t="b">
        <f>IFERROR(__xludf.DUMMYFUNCTION("""COMPUTED_VALUE"""),FALSE)</f>
        <v>0</v>
      </c>
      <c r="K865" s="49"/>
      <c r="L865" s="49" t="b">
        <f>IFERROR(__xludf.DUMMYFUNCTION("""COMPUTED_VALUE"""),FALSE)</f>
        <v>0</v>
      </c>
      <c r="M865" s="49" t="b">
        <f>IFERROR(__xludf.DUMMYFUNCTION("""COMPUTED_VALUE"""),FALSE)</f>
        <v>0</v>
      </c>
      <c r="N865" s="49"/>
    </row>
    <row r="866">
      <c r="A866" s="49"/>
      <c r="B866" s="49"/>
      <c r="C866" s="49"/>
      <c r="D866" s="49"/>
      <c r="E866" s="49"/>
      <c r="F866" s="49"/>
      <c r="G866" s="49"/>
      <c r="H866" s="49"/>
      <c r="I866" s="49"/>
      <c r="J866" s="49" t="b">
        <f>IFERROR(__xludf.DUMMYFUNCTION("""COMPUTED_VALUE"""),FALSE)</f>
        <v>0</v>
      </c>
      <c r="K866" s="49"/>
      <c r="L866" s="49" t="b">
        <f>IFERROR(__xludf.DUMMYFUNCTION("""COMPUTED_VALUE"""),FALSE)</f>
        <v>0</v>
      </c>
      <c r="M866" s="49" t="b">
        <f>IFERROR(__xludf.DUMMYFUNCTION("""COMPUTED_VALUE"""),FALSE)</f>
        <v>0</v>
      </c>
      <c r="N866" s="49"/>
    </row>
    <row r="867">
      <c r="A867" s="49"/>
      <c r="B867" s="49"/>
      <c r="C867" s="49"/>
      <c r="D867" s="49"/>
      <c r="E867" s="49"/>
      <c r="F867" s="49"/>
      <c r="G867" s="49"/>
      <c r="H867" s="49"/>
      <c r="I867" s="49"/>
      <c r="J867" s="49" t="b">
        <f>IFERROR(__xludf.DUMMYFUNCTION("""COMPUTED_VALUE"""),FALSE)</f>
        <v>0</v>
      </c>
      <c r="K867" s="49"/>
      <c r="L867" s="49" t="b">
        <f>IFERROR(__xludf.DUMMYFUNCTION("""COMPUTED_VALUE"""),FALSE)</f>
        <v>0</v>
      </c>
      <c r="M867" s="49" t="b">
        <f>IFERROR(__xludf.DUMMYFUNCTION("""COMPUTED_VALUE"""),FALSE)</f>
        <v>0</v>
      </c>
      <c r="N867" s="49"/>
    </row>
    <row r="868">
      <c r="A868" s="49"/>
      <c r="B868" s="49"/>
      <c r="C868" s="49"/>
      <c r="D868" s="49"/>
      <c r="E868" s="49"/>
      <c r="F868" s="49"/>
      <c r="G868" s="49"/>
      <c r="H868" s="49"/>
      <c r="I868" s="49"/>
      <c r="J868" s="49" t="b">
        <f>IFERROR(__xludf.DUMMYFUNCTION("""COMPUTED_VALUE"""),FALSE)</f>
        <v>0</v>
      </c>
      <c r="K868" s="49"/>
      <c r="L868" s="49" t="b">
        <f>IFERROR(__xludf.DUMMYFUNCTION("""COMPUTED_VALUE"""),FALSE)</f>
        <v>0</v>
      </c>
      <c r="M868" s="49" t="b">
        <f>IFERROR(__xludf.DUMMYFUNCTION("""COMPUTED_VALUE"""),FALSE)</f>
        <v>0</v>
      </c>
      <c r="N868" s="49"/>
    </row>
    <row r="869">
      <c r="A869" s="49"/>
      <c r="B869" s="49"/>
      <c r="C869" s="49"/>
      <c r="D869" s="49"/>
      <c r="E869" s="49"/>
      <c r="F869" s="49"/>
      <c r="G869" s="49"/>
      <c r="H869" s="49"/>
      <c r="I869" s="49"/>
      <c r="J869" s="49" t="b">
        <f>IFERROR(__xludf.DUMMYFUNCTION("""COMPUTED_VALUE"""),FALSE)</f>
        <v>0</v>
      </c>
      <c r="K869" s="49"/>
      <c r="L869" s="49" t="b">
        <f>IFERROR(__xludf.DUMMYFUNCTION("""COMPUTED_VALUE"""),FALSE)</f>
        <v>0</v>
      </c>
      <c r="M869" s="49" t="b">
        <f>IFERROR(__xludf.DUMMYFUNCTION("""COMPUTED_VALUE"""),FALSE)</f>
        <v>0</v>
      </c>
      <c r="N869" s="49"/>
    </row>
    <row r="870">
      <c r="A870" s="49"/>
      <c r="B870" s="49"/>
      <c r="C870" s="49"/>
      <c r="D870" s="49"/>
      <c r="E870" s="49"/>
      <c r="F870" s="49"/>
      <c r="G870" s="49"/>
      <c r="H870" s="49"/>
      <c r="I870" s="49"/>
      <c r="J870" s="49" t="b">
        <f>IFERROR(__xludf.DUMMYFUNCTION("""COMPUTED_VALUE"""),FALSE)</f>
        <v>0</v>
      </c>
      <c r="K870" s="49"/>
      <c r="L870" s="49" t="b">
        <f>IFERROR(__xludf.DUMMYFUNCTION("""COMPUTED_VALUE"""),FALSE)</f>
        <v>0</v>
      </c>
      <c r="M870" s="49" t="b">
        <f>IFERROR(__xludf.DUMMYFUNCTION("""COMPUTED_VALUE"""),FALSE)</f>
        <v>0</v>
      </c>
      <c r="N870" s="49"/>
    </row>
    <row r="871">
      <c r="A871" s="49"/>
      <c r="B871" s="49"/>
      <c r="C871" s="49"/>
      <c r="D871" s="49"/>
      <c r="E871" s="49"/>
      <c r="F871" s="49"/>
      <c r="G871" s="49"/>
      <c r="H871" s="49"/>
      <c r="I871" s="49"/>
      <c r="J871" s="49" t="b">
        <f>IFERROR(__xludf.DUMMYFUNCTION("""COMPUTED_VALUE"""),FALSE)</f>
        <v>0</v>
      </c>
      <c r="K871" s="49"/>
      <c r="L871" s="49" t="b">
        <f>IFERROR(__xludf.DUMMYFUNCTION("""COMPUTED_VALUE"""),FALSE)</f>
        <v>0</v>
      </c>
      <c r="M871" s="49" t="b">
        <f>IFERROR(__xludf.DUMMYFUNCTION("""COMPUTED_VALUE"""),FALSE)</f>
        <v>0</v>
      </c>
      <c r="N871" s="49"/>
    </row>
    <row r="872">
      <c r="A872" s="49"/>
      <c r="B872" s="49"/>
      <c r="C872" s="49"/>
      <c r="D872" s="49"/>
      <c r="E872" s="49"/>
      <c r="F872" s="49"/>
      <c r="G872" s="49"/>
      <c r="H872" s="49"/>
      <c r="I872" s="49"/>
      <c r="J872" s="49" t="b">
        <f>IFERROR(__xludf.DUMMYFUNCTION("""COMPUTED_VALUE"""),FALSE)</f>
        <v>0</v>
      </c>
      <c r="K872" s="49"/>
      <c r="L872" s="49" t="b">
        <f>IFERROR(__xludf.DUMMYFUNCTION("""COMPUTED_VALUE"""),FALSE)</f>
        <v>0</v>
      </c>
      <c r="M872" s="49" t="b">
        <f>IFERROR(__xludf.DUMMYFUNCTION("""COMPUTED_VALUE"""),FALSE)</f>
        <v>0</v>
      </c>
      <c r="N872" s="49"/>
    </row>
    <row r="873">
      <c r="A873" s="49"/>
      <c r="B873" s="49"/>
      <c r="C873" s="49"/>
      <c r="D873" s="49"/>
      <c r="E873" s="49"/>
      <c r="F873" s="49"/>
      <c r="G873" s="49"/>
      <c r="H873" s="49"/>
      <c r="I873" s="49"/>
      <c r="J873" s="49" t="b">
        <f>IFERROR(__xludf.DUMMYFUNCTION("""COMPUTED_VALUE"""),FALSE)</f>
        <v>0</v>
      </c>
      <c r="K873" s="49"/>
      <c r="L873" s="49" t="b">
        <f>IFERROR(__xludf.DUMMYFUNCTION("""COMPUTED_VALUE"""),FALSE)</f>
        <v>0</v>
      </c>
      <c r="M873" s="49" t="b">
        <f>IFERROR(__xludf.DUMMYFUNCTION("""COMPUTED_VALUE"""),FALSE)</f>
        <v>0</v>
      </c>
      <c r="N873" s="49"/>
    </row>
    <row r="874">
      <c r="A874" s="49"/>
      <c r="B874" s="49"/>
      <c r="C874" s="49"/>
      <c r="D874" s="49"/>
      <c r="E874" s="49"/>
      <c r="F874" s="49"/>
      <c r="G874" s="49"/>
      <c r="H874" s="49"/>
      <c r="I874" s="49"/>
      <c r="J874" s="49" t="b">
        <f>IFERROR(__xludf.DUMMYFUNCTION("""COMPUTED_VALUE"""),FALSE)</f>
        <v>0</v>
      </c>
      <c r="K874" s="49"/>
      <c r="L874" s="49" t="b">
        <f>IFERROR(__xludf.DUMMYFUNCTION("""COMPUTED_VALUE"""),FALSE)</f>
        <v>0</v>
      </c>
      <c r="M874" s="49" t="b">
        <f>IFERROR(__xludf.DUMMYFUNCTION("""COMPUTED_VALUE"""),FALSE)</f>
        <v>0</v>
      </c>
      <c r="N874" s="49"/>
    </row>
    <row r="875">
      <c r="A875" s="49"/>
      <c r="B875" s="49"/>
      <c r="C875" s="49"/>
      <c r="D875" s="49"/>
      <c r="E875" s="49"/>
      <c r="F875" s="49"/>
      <c r="G875" s="49"/>
      <c r="H875" s="49"/>
      <c r="I875" s="49"/>
      <c r="J875" s="49" t="b">
        <f>IFERROR(__xludf.DUMMYFUNCTION("""COMPUTED_VALUE"""),FALSE)</f>
        <v>0</v>
      </c>
      <c r="K875" s="49"/>
      <c r="L875" s="49" t="b">
        <f>IFERROR(__xludf.DUMMYFUNCTION("""COMPUTED_VALUE"""),FALSE)</f>
        <v>0</v>
      </c>
      <c r="M875" s="49" t="b">
        <f>IFERROR(__xludf.DUMMYFUNCTION("""COMPUTED_VALUE"""),FALSE)</f>
        <v>0</v>
      </c>
      <c r="N875" s="49"/>
    </row>
    <row r="876">
      <c r="A876" s="49"/>
      <c r="B876" s="49"/>
      <c r="C876" s="49"/>
      <c r="D876" s="49"/>
      <c r="E876" s="49"/>
      <c r="F876" s="49"/>
      <c r="G876" s="49"/>
      <c r="H876" s="49"/>
      <c r="I876" s="49"/>
      <c r="J876" s="49" t="b">
        <f>IFERROR(__xludf.DUMMYFUNCTION("""COMPUTED_VALUE"""),FALSE)</f>
        <v>0</v>
      </c>
      <c r="K876" s="49"/>
      <c r="L876" s="49" t="b">
        <f>IFERROR(__xludf.DUMMYFUNCTION("""COMPUTED_VALUE"""),FALSE)</f>
        <v>0</v>
      </c>
      <c r="M876" s="49" t="b">
        <f>IFERROR(__xludf.DUMMYFUNCTION("""COMPUTED_VALUE"""),FALSE)</f>
        <v>0</v>
      </c>
      <c r="N876" s="49"/>
    </row>
    <row r="877">
      <c r="A877" s="49"/>
      <c r="B877" s="49"/>
      <c r="C877" s="49"/>
      <c r="D877" s="49"/>
      <c r="E877" s="49"/>
      <c r="F877" s="49"/>
      <c r="G877" s="49"/>
      <c r="H877" s="49"/>
      <c r="I877" s="49"/>
      <c r="J877" s="49" t="b">
        <f>IFERROR(__xludf.DUMMYFUNCTION("""COMPUTED_VALUE"""),FALSE)</f>
        <v>0</v>
      </c>
      <c r="K877" s="49"/>
      <c r="L877" s="49" t="b">
        <f>IFERROR(__xludf.DUMMYFUNCTION("""COMPUTED_VALUE"""),FALSE)</f>
        <v>0</v>
      </c>
      <c r="M877" s="49" t="b">
        <f>IFERROR(__xludf.DUMMYFUNCTION("""COMPUTED_VALUE"""),FALSE)</f>
        <v>0</v>
      </c>
      <c r="N877" s="49"/>
    </row>
    <row r="878">
      <c r="A878" s="49"/>
      <c r="B878" s="49"/>
      <c r="C878" s="49"/>
      <c r="D878" s="49"/>
      <c r="E878" s="49"/>
      <c r="F878" s="49"/>
      <c r="G878" s="49"/>
      <c r="H878" s="49"/>
      <c r="I878" s="49"/>
      <c r="J878" s="49" t="b">
        <f>IFERROR(__xludf.DUMMYFUNCTION("""COMPUTED_VALUE"""),FALSE)</f>
        <v>0</v>
      </c>
      <c r="K878" s="49"/>
      <c r="L878" s="49" t="b">
        <f>IFERROR(__xludf.DUMMYFUNCTION("""COMPUTED_VALUE"""),FALSE)</f>
        <v>0</v>
      </c>
      <c r="M878" s="49" t="b">
        <f>IFERROR(__xludf.DUMMYFUNCTION("""COMPUTED_VALUE"""),FALSE)</f>
        <v>0</v>
      </c>
      <c r="N878" s="49"/>
    </row>
    <row r="879">
      <c r="A879" s="49"/>
      <c r="B879" s="49"/>
      <c r="C879" s="49"/>
      <c r="D879" s="49"/>
      <c r="E879" s="49"/>
      <c r="F879" s="49"/>
      <c r="G879" s="49"/>
      <c r="H879" s="49"/>
      <c r="I879" s="49"/>
      <c r="J879" s="49" t="b">
        <f>IFERROR(__xludf.DUMMYFUNCTION("""COMPUTED_VALUE"""),FALSE)</f>
        <v>0</v>
      </c>
      <c r="K879" s="49"/>
      <c r="L879" s="49" t="b">
        <f>IFERROR(__xludf.DUMMYFUNCTION("""COMPUTED_VALUE"""),FALSE)</f>
        <v>0</v>
      </c>
      <c r="M879" s="49" t="b">
        <f>IFERROR(__xludf.DUMMYFUNCTION("""COMPUTED_VALUE"""),FALSE)</f>
        <v>0</v>
      </c>
      <c r="N879" s="49"/>
    </row>
    <row r="880">
      <c r="A880" s="49"/>
      <c r="B880" s="49"/>
      <c r="C880" s="49"/>
      <c r="D880" s="49"/>
      <c r="E880" s="49"/>
      <c r="F880" s="49"/>
      <c r="G880" s="49"/>
      <c r="H880" s="49"/>
      <c r="I880" s="49"/>
      <c r="J880" s="49" t="b">
        <f>IFERROR(__xludf.DUMMYFUNCTION("""COMPUTED_VALUE"""),FALSE)</f>
        <v>0</v>
      </c>
      <c r="K880" s="49"/>
      <c r="L880" s="49" t="b">
        <f>IFERROR(__xludf.DUMMYFUNCTION("""COMPUTED_VALUE"""),FALSE)</f>
        <v>0</v>
      </c>
      <c r="M880" s="49" t="b">
        <f>IFERROR(__xludf.DUMMYFUNCTION("""COMPUTED_VALUE"""),FALSE)</f>
        <v>0</v>
      </c>
      <c r="N880" s="49"/>
    </row>
    <row r="881">
      <c r="A881" s="49"/>
      <c r="B881" s="49"/>
      <c r="C881" s="49"/>
      <c r="D881" s="49"/>
      <c r="E881" s="49"/>
      <c r="F881" s="49"/>
      <c r="G881" s="49"/>
      <c r="H881" s="49"/>
      <c r="I881" s="49"/>
      <c r="J881" s="49" t="b">
        <f>IFERROR(__xludf.DUMMYFUNCTION("""COMPUTED_VALUE"""),FALSE)</f>
        <v>0</v>
      </c>
      <c r="K881" s="49"/>
      <c r="L881" s="49" t="b">
        <f>IFERROR(__xludf.DUMMYFUNCTION("""COMPUTED_VALUE"""),FALSE)</f>
        <v>0</v>
      </c>
      <c r="M881" s="49" t="b">
        <f>IFERROR(__xludf.DUMMYFUNCTION("""COMPUTED_VALUE"""),FALSE)</f>
        <v>0</v>
      </c>
      <c r="N881" s="49"/>
    </row>
    <row r="882">
      <c r="A882" s="49"/>
      <c r="B882" s="49"/>
      <c r="C882" s="49"/>
      <c r="D882" s="49"/>
      <c r="E882" s="49"/>
      <c r="F882" s="49"/>
      <c r="G882" s="49"/>
      <c r="H882" s="49"/>
      <c r="I882" s="49"/>
      <c r="J882" s="49" t="b">
        <f>IFERROR(__xludf.DUMMYFUNCTION("""COMPUTED_VALUE"""),FALSE)</f>
        <v>0</v>
      </c>
      <c r="K882" s="49"/>
      <c r="L882" s="49" t="b">
        <f>IFERROR(__xludf.DUMMYFUNCTION("""COMPUTED_VALUE"""),FALSE)</f>
        <v>0</v>
      </c>
      <c r="M882" s="49" t="b">
        <f>IFERROR(__xludf.DUMMYFUNCTION("""COMPUTED_VALUE"""),FALSE)</f>
        <v>0</v>
      </c>
      <c r="N882" s="49"/>
    </row>
    <row r="883">
      <c r="A883" s="49"/>
      <c r="B883" s="49"/>
      <c r="C883" s="49"/>
      <c r="D883" s="49"/>
      <c r="E883" s="49"/>
      <c r="F883" s="49"/>
      <c r="G883" s="49"/>
      <c r="H883" s="49"/>
      <c r="I883" s="49"/>
      <c r="J883" s="49" t="b">
        <f>IFERROR(__xludf.DUMMYFUNCTION("""COMPUTED_VALUE"""),FALSE)</f>
        <v>0</v>
      </c>
      <c r="K883" s="49"/>
      <c r="L883" s="49" t="b">
        <f>IFERROR(__xludf.DUMMYFUNCTION("""COMPUTED_VALUE"""),FALSE)</f>
        <v>0</v>
      </c>
      <c r="M883" s="49" t="b">
        <f>IFERROR(__xludf.DUMMYFUNCTION("""COMPUTED_VALUE"""),FALSE)</f>
        <v>0</v>
      </c>
      <c r="N883" s="49"/>
    </row>
    <row r="884">
      <c r="A884" s="49"/>
      <c r="B884" s="49"/>
      <c r="C884" s="49"/>
      <c r="D884" s="49"/>
      <c r="E884" s="49"/>
      <c r="F884" s="49"/>
      <c r="G884" s="49"/>
      <c r="H884" s="49"/>
      <c r="I884" s="49"/>
      <c r="J884" s="49" t="b">
        <f>IFERROR(__xludf.DUMMYFUNCTION("""COMPUTED_VALUE"""),FALSE)</f>
        <v>0</v>
      </c>
      <c r="K884" s="49"/>
      <c r="L884" s="49" t="b">
        <f>IFERROR(__xludf.DUMMYFUNCTION("""COMPUTED_VALUE"""),FALSE)</f>
        <v>0</v>
      </c>
      <c r="M884" s="49" t="b">
        <f>IFERROR(__xludf.DUMMYFUNCTION("""COMPUTED_VALUE"""),FALSE)</f>
        <v>0</v>
      </c>
      <c r="N884" s="49"/>
    </row>
    <row r="885">
      <c r="A885" s="49"/>
      <c r="B885" s="49"/>
      <c r="C885" s="49"/>
      <c r="D885" s="49"/>
      <c r="E885" s="49"/>
      <c r="F885" s="49"/>
      <c r="G885" s="49"/>
      <c r="H885" s="49"/>
      <c r="I885" s="49"/>
      <c r="J885" s="49" t="b">
        <f>IFERROR(__xludf.DUMMYFUNCTION("""COMPUTED_VALUE"""),FALSE)</f>
        <v>0</v>
      </c>
      <c r="K885" s="49"/>
      <c r="L885" s="49" t="b">
        <f>IFERROR(__xludf.DUMMYFUNCTION("""COMPUTED_VALUE"""),FALSE)</f>
        <v>0</v>
      </c>
      <c r="M885" s="49" t="b">
        <f>IFERROR(__xludf.DUMMYFUNCTION("""COMPUTED_VALUE"""),FALSE)</f>
        <v>0</v>
      </c>
      <c r="N885" s="49"/>
    </row>
    <row r="886">
      <c r="A886" s="49"/>
      <c r="B886" s="49"/>
      <c r="C886" s="49"/>
      <c r="D886" s="49"/>
      <c r="E886" s="49"/>
      <c r="F886" s="49"/>
      <c r="G886" s="49"/>
      <c r="H886" s="49"/>
      <c r="I886" s="49"/>
      <c r="J886" s="49" t="b">
        <f>IFERROR(__xludf.DUMMYFUNCTION("""COMPUTED_VALUE"""),FALSE)</f>
        <v>0</v>
      </c>
      <c r="K886" s="49"/>
      <c r="L886" s="49" t="b">
        <f>IFERROR(__xludf.DUMMYFUNCTION("""COMPUTED_VALUE"""),FALSE)</f>
        <v>0</v>
      </c>
      <c r="M886" s="49" t="b">
        <f>IFERROR(__xludf.DUMMYFUNCTION("""COMPUTED_VALUE"""),FALSE)</f>
        <v>0</v>
      </c>
      <c r="N886" s="49"/>
    </row>
    <row r="887">
      <c r="A887" s="49"/>
      <c r="B887" s="49"/>
      <c r="C887" s="49"/>
      <c r="D887" s="49"/>
      <c r="E887" s="49"/>
      <c r="F887" s="49"/>
      <c r="G887" s="49"/>
      <c r="H887" s="49"/>
      <c r="I887" s="49"/>
      <c r="J887" s="49" t="b">
        <f>IFERROR(__xludf.DUMMYFUNCTION("""COMPUTED_VALUE"""),FALSE)</f>
        <v>0</v>
      </c>
      <c r="K887" s="49"/>
      <c r="L887" s="49" t="b">
        <f>IFERROR(__xludf.DUMMYFUNCTION("""COMPUTED_VALUE"""),FALSE)</f>
        <v>0</v>
      </c>
      <c r="M887" s="49" t="b">
        <f>IFERROR(__xludf.DUMMYFUNCTION("""COMPUTED_VALUE"""),FALSE)</f>
        <v>0</v>
      </c>
      <c r="N887" s="49"/>
    </row>
    <row r="888">
      <c r="A888" s="49"/>
      <c r="B888" s="49"/>
      <c r="C888" s="49"/>
      <c r="D888" s="49"/>
      <c r="E888" s="49"/>
      <c r="F888" s="49"/>
      <c r="G888" s="49"/>
      <c r="H888" s="49"/>
      <c r="I888" s="49"/>
      <c r="J888" s="49" t="b">
        <f>IFERROR(__xludf.DUMMYFUNCTION("""COMPUTED_VALUE"""),FALSE)</f>
        <v>0</v>
      </c>
      <c r="K888" s="49"/>
      <c r="L888" s="49" t="b">
        <f>IFERROR(__xludf.DUMMYFUNCTION("""COMPUTED_VALUE"""),FALSE)</f>
        <v>0</v>
      </c>
      <c r="M888" s="49" t="b">
        <f>IFERROR(__xludf.DUMMYFUNCTION("""COMPUTED_VALUE"""),FALSE)</f>
        <v>0</v>
      </c>
      <c r="N888" s="49"/>
    </row>
    <row r="889">
      <c r="A889" s="49"/>
      <c r="B889" s="49"/>
      <c r="C889" s="49"/>
      <c r="D889" s="49"/>
      <c r="E889" s="49"/>
      <c r="F889" s="49"/>
      <c r="G889" s="49"/>
      <c r="H889" s="49"/>
      <c r="I889" s="49"/>
      <c r="J889" s="49" t="b">
        <f>IFERROR(__xludf.DUMMYFUNCTION("""COMPUTED_VALUE"""),FALSE)</f>
        <v>0</v>
      </c>
      <c r="K889" s="49"/>
      <c r="L889" s="49" t="b">
        <f>IFERROR(__xludf.DUMMYFUNCTION("""COMPUTED_VALUE"""),FALSE)</f>
        <v>0</v>
      </c>
      <c r="M889" s="49" t="b">
        <f>IFERROR(__xludf.DUMMYFUNCTION("""COMPUTED_VALUE"""),FALSE)</f>
        <v>0</v>
      </c>
      <c r="N889" s="49"/>
    </row>
    <row r="890">
      <c r="A890" s="49"/>
      <c r="B890" s="49"/>
      <c r="C890" s="49"/>
      <c r="D890" s="49"/>
      <c r="E890" s="49"/>
      <c r="F890" s="49"/>
      <c r="G890" s="49"/>
      <c r="H890" s="49"/>
      <c r="I890" s="49"/>
      <c r="J890" s="49" t="b">
        <f>IFERROR(__xludf.DUMMYFUNCTION("""COMPUTED_VALUE"""),FALSE)</f>
        <v>0</v>
      </c>
      <c r="K890" s="49"/>
      <c r="L890" s="49" t="b">
        <f>IFERROR(__xludf.DUMMYFUNCTION("""COMPUTED_VALUE"""),FALSE)</f>
        <v>0</v>
      </c>
      <c r="M890" s="49" t="b">
        <f>IFERROR(__xludf.DUMMYFUNCTION("""COMPUTED_VALUE"""),FALSE)</f>
        <v>0</v>
      </c>
      <c r="N890" s="49"/>
    </row>
    <row r="891">
      <c r="A891" s="49"/>
      <c r="B891" s="49"/>
      <c r="C891" s="49"/>
      <c r="D891" s="49"/>
      <c r="E891" s="49"/>
      <c r="F891" s="49"/>
      <c r="G891" s="49"/>
      <c r="H891" s="49"/>
      <c r="I891" s="49"/>
      <c r="J891" s="49" t="b">
        <f>IFERROR(__xludf.DUMMYFUNCTION("""COMPUTED_VALUE"""),FALSE)</f>
        <v>0</v>
      </c>
      <c r="K891" s="49"/>
      <c r="L891" s="49" t="b">
        <f>IFERROR(__xludf.DUMMYFUNCTION("""COMPUTED_VALUE"""),FALSE)</f>
        <v>0</v>
      </c>
      <c r="M891" s="49" t="b">
        <f>IFERROR(__xludf.DUMMYFUNCTION("""COMPUTED_VALUE"""),FALSE)</f>
        <v>0</v>
      </c>
      <c r="N891" s="49"/>
    </row>
    <row r="892">
      <c r="A892" s="49"/>
      <c r="B892" s="49"/>
      <c r="C892" s="49"/>
      <c r="D892" s="49"/>
      <c r="E892" s="49"/>
      <c r="F892" s="49"/>
      <c r="G892" s="49"/>
      <c r="H892" s="49"/>
      <c r="I892" s="49"/>
      <c r="J892" s="49" t="b">
        <f>IFERROR(__xludf.DUMMYFUNCTION("""COMPUTED_VALUE"""),FALSE)</f>
        <v>0</v>
      </c>
      <c r="K892" s="49"/>
      <c r="L892" s="49" t="b">
        <f>IFERROR(__xludf.DUMMYFUNCTION("""COMPUTED_VALUE"""),FALSE)</f>
        <v>0</v>
      </c>
      <c r="M892" s="49" t="b">
        <f>IFERROR(__xludf.DUMMYFUNCTION("""COMPUTED_VALUE"""),FALSE)</f>
        <v>0</v>
      </c>
      <c r="N892" s="49"/>
    </row>
    <row r="893">
      <c r="A893" s="49"/>
      <c r="B893" s="49"/>
      <c r="C893" s="49"/>
      <c r="D893" s="49"/>
      <c r="E893" s="49"/>
      <c r="F893" s="49"/>
      <c r="G893" s="49"/>
      <c r="H893" s="49"/>
      <c r="I893" s="49"/>
      <c r="J893" s="49" t="b">
        <f>IFERROR(__xludf.DUMMYFUNCTION("""COMPUTED_VALUE"""),FALSE)</f>
        <v>0</v>
      </c>
      <c r="K893" s="49"/>
      <c r="L893" s="49" t="b">
        <f>IFERROR(__xludf.DUMMYFUNCTION("""COMPUTED_VALUE"""),FALSE)</f>
        <v>0</v>
      </c>
      <c r="M893" s="49" t="b">
        <f>IFERROR(__xludf.DUMMYFUNCTION("""COMPUTED_VALUE"""),FALSE)</f>
        <v>0</v>
      </c>
      <c r="N893" s="49"/>
    </row>
    <row r="894">
      <c r="A894" s="49"/>
      <c r="B894" s="49"/>
      <c r="C894" s="49"/>
      <c r="D894" s="49"/>
      <c r="E894" s="49"/>
      <c r="F894" s="49"/>
      <c r="G894" s="49"/>
      <c r="H894" s="49"/>
      <c r="I894" s="49"/>
      <c r="J894" s="49" t="b">
        <f>IFERROR(__xludf.DUMMYFUNCTION("""COMPUTED_VALUE"""),FALSE)</f>
        <v>0</v>
      </c>
      <c r="K894" s="49"/>
      <c r="L894" s="49" t="b">
        <f>IFERROR(__xludf.DUMMYFUNCTION("""COMPUTED_VALUE"""),FALSE)</f>
        <v>0</v>
      </c>
      <c r="M894" s="49" t="b">
        <f>IFERROR(__xludf.DUMMYFUNCTION("""COMPUTED_VALUE"""),FALSE)</f>
        <v>0</v>
      </c>
      <c r="N894" s="49"/>
    </row>
    <row r="895">
      <c r="A895" s="49"/>
      <c r="B895" s="49"/>
      <c r="C895" s="49"/>
      <c r="D895" s="49"/>
      <c r="E895" s="49"/>
      <c r="F895" s="49"/>
      <c r="G895" s="49"/>
      <c r="H895" s="49"/>
      <c r="I895" s="49"/>
      <c r="J895" s="49" t="b">
        <f>IFERROR(__xludf.DUMMYFUNCTION("""COMPUTED_VALUE"""),FALSE)</f>
        <v>0</v>
      </c>
      <c r="K895" s="49"/>
      <c r="L895" s="49" t="b">
        <f>IFERROR(__xludf.DUMMYFUNCTION("""COMPUTED_VALUE"""),FALSE)</f>
        <v>0</v>
      </c>
      <c r="M895" s="49" t="b">
        <f>IFERROR(__xludf.DUMMYFUNCTION("""COMPUTED_VALUE"""),FALSE)</f>
        <v>0</v>
      </c>
      <c r="N895" s="49"/>
    </row>
    <row r="896">
      <c r="A896" s="49"/>
      <c r="B896" s="49"/>
      <c r="C896" s="49"/>
      <c r="D896" s="49"/>
      <c r="E896" s="49"/>
      <c r="F896" s="49"/>
      <c r="G896" s="49"/>
      <c r="H896" s="49"/>
      <c r="I896" s="49"/>
      <c r="J896" s="49" t="b">
        <f>IFERROR(__xludf.DUMMYFUNCTION("""COMPUTED_VALUE"""),FALSE)</f>
        <v>0</v>
      </c>
      <c r="K896" s="49"/>
      <c r="L896" s="49" t="b">
        <f>IFERROR(__xludf.DUMMYFUNCTION("""COMPUTED_VALUE"""),FALSE)</f>
        <v>0</v>
      </c>
      <c r="M896" s="49" t="b">
        <f>IFERROR(__xludf.DUMMYFUNCTION("""COMPUTED_VALUE"""),FALSE)</f>
        <v>0</v>
      </c>
      <c r="N896" s="49"/>
    </row>
    <row r="897">
      <c r="A897" s="49"/>
      <c r="B897" s="49"/>
      <c r="C897" s="49"/>
      <c r="D897" s="49"/>
      <c r="E897" s="49"/>
      <c r="F897" s="49"/>
      <c r="G897" s="49"/>
      <c r="H897" s="49"/>
      <c r="I897" s="49"/>
      <c r="J897" s="49" t="b">
        <f>IFERROR(__xludf.DUMMYFUNCTION("""COMPUTED_VALUE"""),FALSE)</f>
        <v>0</v>
      </c>
      <c r="K897" s="49"/>
      <c r="L897" s="49" t="b">
        <f>IFERROR(__xludf.DUMMYFUNCTION("""COMPUTED_VALUE"""),FALSE)</f>
        <v>0</v>
      </c>
      <c r="M897" s="49" t="b">
        <f>IFERROR(__xludf.DUMMYFUNCTION("""COMPUTED_VALUE"""),FALSE)</f>
        <v>0</v>
      </c>
      <c r="N897" s="49"/>
    </row>
    <row r="898">
      <c r="A898" s="49"/>
      <c r="B898" s="49"/>
      <c r="C898" s="49"/>
      <c r="D898" s="49"/>
      <c r="E898" s="49"/>
      <c r="F898" s="49"/>
      <c r="G898" s="49"/>
      <c r="H898" s="49"/>
      <c r="I898" s="49"/>
      <c r="J898" s="49" t="b">
        <f>IFERROR(__xludf.DUMMYFUNCTION("""COMPUTED_VALUE"""),FALSE)</f>
        <v>0</v>
      </c>
      <c r="K898" s="49"/>
      <c r="L898" s="49" t="b">
        <f>IFERROR(__xludf.DUMMYFUNCTION("""COMPUTED_VALUE"""),FALSE)</f>
        <v>0</v>
      </c>
      <c r="M898" s="49" t="b">
        <f>IFERROR(__xludf.DUMMYFUNCTION("""COMPUTED_VALUE"""),FALSE)</f>
        <v>0</v>
      </c>
      <c r="N898" s="49"/>
    </row>
    <row r="899">
      <c r="A899" s="49"/>
      <c r="B899" s="49"/>
      <c r="C899" s="49"/>
      <c r="D899" s="49"/>
      <c r="E899" s="49"/>
      <c r="F899" s="49"/>
      <c r="G899" s="49"/>
      <c r="H899" s="49"/>
      <c r="I899" s="49"/>
      <c r="J899" s="49" t="b">
        <f>IFERROR(__xludf.DUMMYFUNCTION("""COMPUTED_VALUE"""),FALSE)</f>
        <v>0</v>
      </c>
      <c r="K899" s="49"/>
      <c r="L899" s="49" t="b">
        <f>IFERROR(__xludf.DUMMYFUNCTION("""COMPUTED_VALUE"""),FALSE)</f>
        <v>0</v>
      </c>
      <c r="M899" s="49" t="b">
        <f>IFERROR(__xludf.DUMMYFUNCTION("""COMPUTED_VALUE"""),FALSE)</f>
        <v>0</v>
      </c>
      <c r="N899" s="49"/>
    </row>
    <row r="900">
      <c r="A900" s="49"/>
      <c r="B900" s="49"/>
      <c r="C900" s="49"/>
      <c r="D900" s="49"/>
      <c r="E900" s="49"/>
      <c r="F900" s="49"/>
      <c r="G900" s="49"/>
      <c r="H900" s="49"/>
      <c r="I900" s="49"/>
      <c r="J900" s="49" t="b">
        <f>IFERROR(__xludf.DUMMYFUNCTION("""COMPUTED_VALUE"""),FALSE)</f>
        <v>0</v>
      </c>
      <c r="K900" s="49"/>
      <c r="L900" s="49" t="b">
        <f>IFERROR(__xludf.DUMMYFUNCTION("""COMPUTED_VALUE"""),FALSE)</f>
        <v>0</v>
      </c>
      <c r="M900" s="49" t="b">
        <f>IFERROR(__xludf.DUMMYFUNCTION("""COMPUTED_VALUE"""),FALSE)</f>
        <v>0</v>
      </c>
      <c r="N900" s="49"/>
    </row>
    <row r="901">
      <c r="A901" s="49"/>
      <c r="B901" s="49"/>
      <c r="C901" s="49"/>
      <c r="D901" s="49"/>
      <c r="E901" s="49"/>
      <c r="F901" s="49"/>
      <c r="G901" s="49"/>
      <c r="H901" s="49"/>
      <c r="I901" s="49"/>
      <c r="J901" s="49" t="b">
        <f>IFERROR(__xludf.DUMMYFUNCTION("""COMPUTED_VALUE"""),FALSE)</f>
        <v>0</v>
      </c>
      <c r="K901" s="49"/>
      <c r="L901" s="49" t="b">
        <f>IFERROR(__xludf.DUMMYFUNCTION("""COMPUTED_VALUE"""),FALSE)</f>
        <v>0</v>
      </c>
      <c r="M901" s="49" t="b">
        <f>IFERROR(__xludf.DUMMYFUNCTION("""COMPUTED_VALUE"""),FALSE)</f>
        <v>0</v>
      </c>
      <c r="N901" s="49"/>
    </row>
    <row r="902">
      <c r="A902" s="49"/>
      <c r="B902" s="49"/>
      <c r="C902" s="49"/>
      <c r="D902" s="49"/>
      <c r="E902" s="49"/>
      <c r="F902" s="49"/>
      <c r="G902" s="49"/>
      <c r="H902" s="49"/>
      <c r="I902" s="49"/>
      <c r="J902" s="49" t="b">
        <f>IFERROR(__xludf.DUMMYFUNCTION("""COMPUTED_VALUE"""),FALSE)</f>
        <v>0</v>
      </c>
      <c r="K902" s="49"/>
      <c r="L902" s="49" t="b">
        <f>IFERROR(__xludf.DUMMYFUNCTION("""COMPUTED_VALUE"""),FALSE)</f>
        <v>0</v>
      </c>
      <c r="M902" s="49" t="b">
        <f>IFERROR(__xludf.DUMMYFUNCTION("""COMPUTED_VALUE"""),FALSE)</f>
        <v>0</v>
      </c>
      <c r="N902" s="49"/>
    </row>
    <row r="903">
      <c r="A903" s="49"/>
      <c r="B903" s="49"/>
      <c r="C903" s="49"/>
      <c r="D903" s="49"/>
      <c r="E903" s="49"/>
      <c r="F903" s="49"/>
      <c r="G903" s="49"/>
      <c r="H903" s="49"/>
      <c r="I903" s="49"/>
      <c r="J903" s="49" t="b">
        <f>IFERROR(__xludf.DUMMYFUNCTION("""COMPUTED_VALUE"""),FALSE)</f>
        <v>0</v>
      </c>
      <c r="K903" s="49"/>
      <c r="L903" s="49" t="b">
        <f>IFERROR(__xludf.DUMMYFUNCTION("""COMPUTED_VALUE"""),FALSE)</f>
        <v>0</v>
      </c>
      <c r="M903" s="49" t="b">
        <f>IFERROR(__xludf.DUMMYFUNCTION("""COMPUTED_VALUE"""),FALSE)</f>
        <v>0</v>
      </c>
      <c r="N903" s="49"/>
    </row>
    <row r="904">
      <c r="A904" s="49"/>
      <c r="B904" s="49"/>
      <c r="C904" s="49"/>
      <c r="D904" s="49"/>
      <c r="E904" s="49"/>
      <c r="F904" s="49"/>
      <c r="G904" s="49"/>
      <c r="H904" s="49"/>
      <c r="I904" s="49"/>
      <c r="J904" s="49" t="b">
        <f>IFERROR(__xludf.DUMMYFUNCTION("""COMPUTED_VALUE"""),FALSE)</f>
        <v>0</v>
      </c>
      <c r="K904" s="49"/>
      <c r="L904" s="49" t="b">
        <f>IFERROR(__xludf.DUMMYFUNCTION("""COMPUTED_VALUE"""),FALSE)</f>
        <v>0</v>
      </c>
      <c r="M904" s="49" t="b">
        <f>IFERROR(__xludf.DUMMYFUNCTION("""COMPUTED_VALUE"""),FALSE)</f>
        <v>0</v>
      </c>
      <c r="N904" s="49"/>
    </row>
    <row r="905">
      <c r="A905" s="49"/>
      <c r="B905" s="49"/>
      <c r="C905" s="49"/>
      <c r="D905" s="49"/>
      <c r="E905" s="49"/>
      <c r="F905" s="49"/>
      <c r="G905" s="49"/>
      <c r="H905" s="49"/>
      <c r="I905" s="49"/>
      <c r="J905" s="49" t="b">
        <f>IFERROR(__xludf.DUMMYFUNCTION("""COMPUTED_VALUE"""),FALSE)</f>
        <v>0</v>
      </c>
      <c r="K905" s="49"/>
      <c r="L905" s="49" t="b">
        <f>IFERROR(__xludf.DUMMYFUNCTION("""COMPUTED_VALUE"""),FALSE)</f>
        <v>0</v>
      </c>
      <c r="M905" s="49" t="b">
        <f>IFERROR(__xludf.DUMMYFUNCTION("""COMPUTED_VALUE"""),FALSE)</f>
        <v>0</v>
      </c>
      <c r="N905" s="49"/>
    </row>
    <row r="906">
      <c r="A906" s="49"/>
      <c r="B906" s="49"/>
      <c r="C906" s="49"/>
      <c r="D906" s="49"/>
      <c r="E906" s="49"/>
      <c r="F906" s="49"/>
      <c r="G906" s="49"/>
      <c r="H906" s="49"/>
      <c r="I906" s="49"/>
      <c r="J906" s="49" t="b">
        <f>IFERROR(__xludf.DUMMYFUNCTION("""COMPUTED_VALUE"""),FALSE)</f>
        <v>0</v>
      </c>
      <c r="K906" s="49"/>
      <c r="L906" s="49" t="b">
        <f>IFERROR(__xludf.DUMMYFUNCTION("""COMPUTED_VALUE"""),FALSE)</f>
        <v>0</v>
      </c>
      <c r="M906" s="49" t="b">
        <f>IFERROR(__xludf.DUMMYFUNCTION("""COMPUTED_VALUE"""),FALSE)</f>
        <v>0</v>
      </c>
      <c r="N906" s="49"/>
    </row>
    <row r="907">
      <c r="A907" s="49"/>
      <c r="B907" s="49"/>
      <c r="C907" s="49"/>
      <c r="D907" s="49"/>
      <c r="E907" s="49"/>
      <c r="F907" s="49"/>
      <c r="G907" s="49"/>
      <c r="H907" s="49"/>
      <c r="I907" s="49"/>
      <c r="J907" s="49" t="b">
        <f>IFERROR(__xludf.DUMMYFUNCTION("""COMPUTED_VALUE"""),FALSE)</f>
        <v>0</v>
      </c>
      <c r="K907" s="49"/>
      <c r="L907" s="49" t="b">
        <f>IFERROR(__xludf.DUMMYFUNCTION("""COMPUTED_VALUE"""),FALSE)</f>
        <v>0</v>
      </c>
      <c r="M907" s="49" t="b">
        <f>IFERROR(__xludf.DUMMYFUNCTION("""COMPUTED_VALUE"""),FALSE)</f>
        <v>0</v>
      </c>
      <c r="N907" s="49"/>
    </row>
    <row r="908">
      <c r="A908" s="49"/>
      <c r="B908" s="49"/>
      <c r="C908" s="49"/>
      <c r="D908" s="49"/>
      <c r="E908" s="49"/>
      <c r="F908" s="49"/>
      <c r="G908" s="49"/>
      <c r="H908" s="49"/>
      <c r="I908" s="49"/>
      <c r="J908" s="49" t="b">
        <f>IFERROR(__xludf.DUMMYFUNCTION("""COMPUTED_VALUE"""),FALSE)</f>
        <v>0</v>
      </c>
      <c r="K908" s="49"/>
      <c r="L908" s="49" t="b">
        <f>IFERROR(__xludf.DUMMYFUNCTION("""COMPUTED_VALUE"""),FALSE)</f>
        <v>0</v>
      </c>
      <c r="M908" s="49" t="b">
        <f>IFERROR(__xludf.DUMMYFUNCTION("""COMPUTED_VALUE"""),FALSE)</f>
        <v>0</v>
      </c>
      <c r="N908" s="49"/>
    </row>
    <row r="909">
      <c r="A909" s="49"/>
      <c r="B909" s="49"/>
      <c r="C909" s="49"/>
      <c r="D909" s="49"/>
      <c r="E909" s="49"/>
      <c r="F909" s="49"/>
      <c r="G909" s="49"/>
      <c r="H909" s="49"/>
      <c r="I909" s="49"/>
      <c r="J909" s="49" t="b">
        <f>IFERROR(__xludf.DUMMYFUNCTION("""COMPUTED_VALUE"""),FALSE)</f>
        <v>0</v>
      </c>
      <c r="K909" s="49"/>
      <c r="L909" s="49" t="b">
        <f>IFERROR(__xludf.DUMMYFUNCTION("""COMPUTED_VALUE"""),FALSE)</f>
        <v>0</v>
      </c>
      <c r="M909" s="49" t="b">
        <f>IFERROR(__xludf.DUMMYFUNCTION("""COMPUTED_VALUE"""),FALSE)</f>
        <v>0</v>
      </c>
      <c r="N909" s="49"/>
    </row>
    <row r="910">
      <c r="A910" s="49"/>
      <c r="B910" s="49"/>
      <c r="C910" s="49"/>
      <c r="D910" s="49"/>
      <c r="E910" s="49"/>
      <c r="F910" s="49"/>
      <c r="G910" s="49"/>
      <c r="H910" s="49"/>
      <c r="I910" s="49"/>
      <c r="J910" s="49" t="b">
        <f>IFERROR(__xludf.DUMMYFUNCTION("""COMPUTED_VALUE"""),FALSE)</f>
        <v>0</v>
      </c>
      <c r="K910" s="49"/>
      <c r="L910" s="49" t="b">
        <f>IFERROR(__xludf.DUMMYFUNCTION("""COMPUTED_VALUE"""),FALSE)</f>
        <v>0</v>
      </c>
      <c r="M910" s="49" t="b">
        <f>IFERROR(__xludf.DUMMYFUNCTION("""COMPUTED_VALUE"""),FALSE)</f>
        <v>0</v>
      </c>
      <c r="N910" s="49"/>
    </row>
    <row r="911">
      <c r="A911" s="49"/>
      <c r="B911" s="49"/>
      <c r="C911" s="49"/>
      <c r="D911" s="49"/>
      <c r="E911" s="49"/>
      <c r="F911" s="49"/>
      <c r="G911" s="49"/>
      <c r="H911" s="49"/>
      <c r="I911" s="49"/>
      <c r="J911" s="49" t="b">
        <f>IFERROR(__xludf.DUMMYFUNCTION("""COMPUTED_VALUE"""),FALSE)</f>
        <v>0</v>
      </c>
      <c r="K911" s="49"/>
      <c r="L911" s="49" t="b">
        <f>IFERROR(__xludf.DUMMYFUNCTION("""COMPUTED_VALUE"""),FALSE)</f>
        <v>0</v>
      </c>
      <c r="M911" s="49" t="b">
        <f>IFERROR(__xludf.DUMMYFUNCTION("""COMPUTED_VALUE"""),FALSE)</f>
        <v>0</v>
      </c>
      <c r="N911" s="49"/>
    </row>
    <row r="912">
      <c r="A912" s="49"/>
      <c r="B912" s="49"/>
      <c r="C912" s="49"/>
      <c r="D912" s="49"/>
      <c r="E912" s="49"/>
      <c r="F912" s="49"/>
      <c r="G912" s="49"/>
      <c r="H912" s="49"/>
      <c r="I912" s="49"/>
      <c r="J912" s="49" t="b">
        <f>IFERROR(__xludf.DUMMYFUNCTION("""COMPUTED_VALUE"""),FALSE)</f>
        <v>0</v>
      </c>
      <c r="K912" s="49"/>
      <c r="L912" s="49" t="b">
        <f>IFERROR(__xludf.DUMMYFUNCTION("""COMPUTED_VALUE"""),FALSE)</f>
        <v>0</v>
      </c>
      <c r="M912" s="49" t="b">
        <f>IFERROR(__xludf.DUMMYFUNCTION("""COMPUTED_VALUE"""),FALSE)</f>
        <v>0</v>
      </c>
      <c r="N912" s="49"/>
    </row>
    <row r="913">
      <c r="A913" s="49"/>
      <c r="B913" s="49"/>
      <c r="C913" s="49"/>
      <c r="D913" s="49"/>
      <c r="E913" s="49"/>
      <c r="F913" s="49"/>
      <c r="G913" s="49"/>
      <c r="H913" s="49"/>
      <c r="I913" s="49"/>
      <c r="J913" s="49" t="b">
        <f>IFERROR(__xludf.DUMMYFUNCTION("""COMPUTED_VALUE"""),FALSE)</f>
        <v>0</v>
      </c>
      <c r="K913" s="49"/>
      <c r="L913" s="49" t="b">
        <f>IFERROR(__xludf.DUMMYFUNCTION("""COMPUTED_VALUE"""),FALSE)</f>
        <v>0</v>
      </c>
      <c r="M913" s="49" t="b">
        <f>IFERROR(__xludf.DUMMYFUNCTION("""COMPUTED_VALUE"""),FALSE)</f>
        <v>0</v>
      </c>
      <c r="N913" s="49"/>
    </row>
    <row r="914">
      <c r="A914" s="49"/>
      <c r="B914" s="49"/>
      <c r="C914" s="49"/>
      <c r="D914" s="49"/>
      <c r="E914" s="49"/>
      <c r="F914" s="49"/>
      <c r="G914" s="49"/>
      <c r="H914" s="49"/>
      <c r="I914" s="49"/>
      <c r="J914" s="49" t="b">
        <f>IFERROR(__xludf.DUMMYFUNCTION("""COMPUTED_VALUE"""),FALSE)</f>
        <v>0</v>
      </c>
      <c r="K914" s="49"/>
      <c r="L914" s="49" t="b">
        <f>IFERROR(__xludf.DUMMYFUNCTION("""COMPUTED_VALUE"""),FALSE)</f>
        <v>0</v>
      </c>
      <c r="M914" s="49" t="b">
        <f>IFERROR(__xludf.DUMMYFUNCTION("""COMPUTED_VALUE"""),FALSE)</f>
        <v>0</v>
      </c>
      <c r="N914" s="49"/>
    </row>
    <row r="915">
      <c r="A915" s="49"/>
      <c r="B915" s="49"/>
      <c r="C915" s="49"/>
      <c r="D915" s="49"/>
      <c r="E915" s="49"/>
      <c r="F915" s="49"/>
      <c r="G915" s="49"/>
      <c r="H915" s="49"/>
      <c r="I915" s="49"/>
      <c r="J915" s="49" t="b">
        <f>IFERROR(__xludf.DUMMYFUNCTION("""COMPUTED_VALUE"""),FALSE)</f>
        <v>0</v>
      </c>
      <c r="K915" s="49"/>
      <c r="L915" s="49" t="b">
        <f>IFERROR(__xludf.DUMMYFUNCTION("""COMPUTED_VALUE"""),FALSE)</f>
        <v>0</v>
      </c>
      <c r="M915" s="49" t="b">
        <f>IFERROR(__xludf.DUMMYFUNCTION("""COMPUTED_VALUE"""),FALSE)</f>
        <v>0</v>
      </c>
      <c r="N915" s="49"/>
    </row>
    <row r="916">
      <c r="A916" s="49"/>
      <c r="B916" s="49"/>
      <c r="C916" s="49"/>
      <c r="D916" s="49"/>
      <c r="E916" s="49"/>
      <c r="F916" s="49"/>
      <c r="G916" s="49"/>
      <c r="H916" s="49"/>
      <c r="I916" s="49"/>
      <c r="J916" s="49" t="b">
        <f>IFERROR(__xludf.DUMMYFUNCTION("""COMPUTED_VALUE"""),FALSE)</f>
        <v>0</v>
      </c>
      <c r="K916" s="49"/>
      <c r="L916" s="49" t="b">
        <f>IFERROR(__xludf.DUMMYFUNCTION("""COMPUTED_VALUE"""),FALSE)</f>
        <v>0</v>
      </c>
      <c r="M916" s="49" t="b">
        <f>IFERROR(__xludf.DUMMYFUNCTION("""COMPUTED_VALUE"""),FALSE)</f>
        <v>0</v>
      </c>
      <c r="N916" s="49"/>
    </row>
    <row r="917">
      <c r="A917" s="49"/>
      <c r="B917" s="49"/>
      <c r="C917" s="49"/>
      <c r="D917" s="49"/>
      <c r="E917" s="49"/>
      <c r="F917" s="49"/>
      <c r="G917" s="49"/>
      <c r="H917" s="49"/>
      <c r="I917" s="49"/>
      <c r="J917" s="49" t="b">
        <f>IFERROR(__xludf.DUMMYFUNCTION("""COMPUTED_VALUE"""),FALSE)</f>
        <v>0</v>
      </c>
      <c r="K917" s="49"/>
      <c r="L917" s="49" t="b">
        <f>IFERROR(__xludf.DUMMYFUNCTION("""COMPUTED_VALUE"""),FALSE)</f>
        <v>0</v>
      </c>
      <c r="M917" s="49" t="b">
        <f>IFERROR(__xludf.DUMMYFUNCTION("""COMPUTED_VALUE"""),FALSE)</f>
        <v>0</v>
      </c>
      <c r="N917" s="49"/>
    </row>
    <row r="918">
      <c r="A918" s="49"/>
      <c r="B918" s="49"/>
      <c r="C918" s="49"/>
      <c r="D918" s="49"/>
      <c r="E918" s="49"/>
      <c r="F918" s="49"/>
      <c r="G918" s="49"/>
      <c r="H918" s="49"/>
      <c r="I918" s="49"/>
      <c r="J918" s="49" t="b">
        <f>IFERROR(__xludf.DUMMYFUNCTION("""COMPUTED_VALUE"""),FALSE)</f>
        <v>0</v>
      </c>
      <c r="K918" s="49"/>
      <c r="L918" s="49" t="b">
        <f>IFERROR(__xludf.DUMMYFUNCTION("""COMPUTED_VALUE"""),FALSE)</f>
        <v>0</v>
      </c>
      <c r="M918" s="49" t="b">
        <f>IFERROR(__xludf.DUMMYFUNCTION("""COMPUTED_VALUE"""),FALSE)</f>
        <v>0</v>
      </c>
      <c r="N918" s="49"/>
    </row>
    <row r="919">
      <c r="A919" s="49"/>
      <c r="B919" s="49"/>
      <c r="C919" s="49"/>
      <c r="D919" s="49"/>
      <c r="E919" s="49"/>
      <c r="F919" s="49"/>
      <c r="G919" s="49"/>
      <c r="H919" s="49"/>
      <c r="I919" s="49"/>
      <c r="J919" s="49" t="b">
        <f>IFERROR(__xludf.DUMMYFUNCTION("""COMPUTED_VALUE"""),FALSE)</f>
        <v>0</v>
      </c>
      <c r="K919" s="49"/>
      <c r="L919" s="49" t="b">
        <f>IFERROR(__xludf.DUMMYFUNCTION("""COMPUTED_VALUE"""),FALSE)</f>
        <v>0</v>
      </c>
      <c r="M919" s="49" t="b">
        <f>IFERROR(__xludf.DUMMYFUNCTION("""COMPUTED_VALUE"""),FALSE)</f>
        <v>0</v>
      </c>
      <c r="N919" s="49"/>
    </row>
    <row r="920">
      <c r="A920" s="49"/>
      <c r="B920" s="49"/>
      <c r="C920" s="49"/>
      <c r="D920" s="49"/>
      <c r="E920" s="49"/>
      <c r="F920" s="49"/>
      <c r="G920" s="49"/>
      <c r="H920" s="49"/>
      <c r="I920" s="49"/>
      <c r="J920" s="49" t="b">
        <f>IFERROR(__xludf.DUMMYFUNCTION("""COMPUTED_VALUE"""),FALSE)</f>
        <v>0</v>
      </c>
      <c r="K920" s="49"/>
      <c r="L920" s="49" t="b">
        <f>IFERROR(__xludf.DUMMYFUNCTION("""COMPUTED_VALUE"""),FALSE)</f>
        <v>0</v>
      </c>
      <c r="M920" s="49" t="b">
        <f>IFERROR(__xludf.DUMMYFUNCTION("""COMPUTED_VALUE"""),FALSE)</f>
        <v>0</v>
      </c>
      <c r="N920" s="49"/>
    </row>
    <row r="921">
      <c r="A921" s="49"/>
      <c r="B921" s="49"/>
      <c r="C921" s="49"/>
      <c r="D921" s="49"/>
      <c r="E921" s="49"/>
      <c r="F921" s="49"/>
      <c r="G921" s="49"/>
      <c r="H921" s="49"/>
      <c r="I921" s="49"/>
      <c r="J921" s="49" t="b">
        <f>IFERROR(__xludf.DUMMYFUNCTION("""COMPUTED_VALUE"""),FALSE)</f>
        <v>0</v>
      </c>
      <c r="K921" s="49"/>
      <c r="L921" s="49" t="b">
        <f>IFERROR(__xludf.DUMMYFUNCTION("""COMPUTED_VALUE"""),FALSE)</f>
        <v>0</v>
      </c>
      <c r="M921" s="49" t="b">
        <f>IFERROR(__xludf.DUMMYFUNCTION("""COMPUTED_VALUE"""),FALSE)</f>
        <v>0</v>
      </c>
      <c r="N921" s="49"/>
    </row>
    <row r="922">
      <c r="A922" s="49"/>
      <c r="B922" s="49"/>
      <c r="C922" s="49"/>
      <c r="D922" s="49"/>
      <c r="E922" s="49"/>
      <c r="F922" s="49"/>
      <c r="G922" s="49"/>
      <c r="H922" s="49"/>
      <c r="I922" s="49"/>
      <c r="J922" s="49" t="b">
        <f>IFERROR(__xludf.DUMMYFUNCTION("""COMPUTED_VALUE"""),FALSE)</f>
        <v>0</v>
      </c>
      <c r="K922" s="49"/>
      <c r="L922" s="49" t="b">
        <f>IFERROR(__xludf.DUMMYFUNCTION("""COMPUTED_VALUE"""),FALSE)</f>
        <v>0</v>
      </c>
      <c r="M922" s="49" t="b">
        <f>IFERROR(__xludf.DUMMYFUNCTION("""COMPUTED_VALUE"""),FALSE)</f>
        <v>0</v>
      </c>
      <c r="N922" s="49"/>
    </row>
    <row r="923">
      <c r="A923" s="49"/>
      <c r="B923" s="49"/>
      <c r="C923" s="49"/>
      <c r="D923" s="49"/>
      <c r="E923" s="49"/>
      <c r="F923" s="49"/>
      <c r="G923" s="49"/>
      <c r="H923" s="49"/>
      <c r="I923" s="49"/>
      <c r="J923" s="49" t="b">
        <f>IFERROR(__xludf.DUMMYFUNCTION("""COMPUTED_VALUE"""),FALSE)</f>
        <v>0</v>
      </c>
      <c r="K923" s="49"/>
      <c r="L923" s="49" t="b">
        <f>IFERROR(__xludf.DUMMYFUNCTION("""COMPUTED_VALUE"""),FALSE)</f>
        <v>0</v>
      </c>
      <c r="M923" s="49" t="b">
        <f>IFERROR(__xludf.DUMMYFUNCTION("""COMPUTED_VALUE"""),FALSE)</f>
        <v>0</v>
      </c>
      <c r="N923" s="49"/>
    </row>
    <row r="924">
      <c r="A924" s="49"/>
      <c r="B924" s="49"/>
      <c r="C924" s="49"/>
      <c r="D924" s="49"/>
      <c r="E924" s="49"/>
      <c r="F924" s="49"/>
      <c r="G924" s="49"/>
      <c r="H924" s="49"/>
      <c r="I924" s="49"/>
      <c r="J924" s="49" t="b">
        <f>IFERROR(__xludf.DUMMYFUNCTION("""COMPUTED_VALUE"""),FALSE)</f>
        <v>0</v>
      </c>
      <c r="K924" s="49"/>
      <c r="L924" s="49" t="b">
        <f>IFERROR(__xludf.DUMMYFUNCTION("""COMPUTED_VALUE"""),FALSE)</f>
        <v>0</v>
      </c>
      <c r="M924" s="49" t="b">
        <f>IFERROR(__xludf.DUMMYFUNCTION("""COMPUTED_VALUE"""),FALSE)</f>
        <v>0</v>
      </c>
      <c r="N924" s="49"/>
    </row>
    <row r="925">
      <c r="A925" s="49"/>
      <c r="B925" s="49"/>
      <c r="C925" s="49"/>
      <c r="D925" s="49"/>
      <c r="E925" s="49"/>
      <c r="F925" s="49"/>
      <c r="G925" s="49"/>
      <c r="H925" s="49"/>
      <c r="I925" s="49"/>
      <c r="J925" s="49" t="b">
        <f>IFERROR(__xludf.DUMMYFUNCTION("""COMPUTED_VALUE"""),FALSE)</f>
        <v>0</v>
      </c>
      <c r="K925" s="49"/>
      <c r="L925" s="49" t="b">
        <f>IFERROR(__xludf.DUMMYFUNCTION("""COMPUTED_VALUE"""),FALSE)</f>
        <v>0</v>
      </c>
      <c r="M925" s="49" t="b">
        <f>IFERROR(__xludf.DUMMYFUNCTION("""COMPUTED_VALUE"""),FALSE)</f>
        <v>0</v>
      </c>
      <c r="N925" s="49"/>
    </row>
    <row r="926">
      <c r="A926" s="49"/>
      <c r="B926" s="49"/>
      <c r="C926" s="49"/>
      <c r="D926" s="49"/>
      <c r="E926" s="49"/>
      <c r="F926" s="49"/>
      <c r="G926" s="49"/>
      <c r="H926" s="49"/>
      <c r="I926" s="49"/>
      <c r="J926" s="49" t="b">
        <f>IFERROR(__xludf.DUMMYFUNCTION("""COMPUTED_VALUE"""),FALSE)</f>
        <v>0</v>
      </c>
      <c r="K926" s="49"/>
      <c r="L926" s="49" t="b">
        <f>IFERROR(__xludf.DUMMYFUNCTION("""COMPUTED_VALUE"""),FALSE)</f>
        <v>0</v>
      </c>
      <c r="M926" s="49" t="b">
        <f>IFERROR(__xludf.DUMMYFUNCTION("""COMPUTED_VALUE"""),FALSE)</f>
        <v>0</v>
      </c>
      <c r="N926" s="49"/>
    </row>
    <row r="927">
      <c r="A927" s="49"/>
      <c r="B927" s="49"/>
      <c r="C927" s="49"/>
      <c r="D927" s="49"/>
      <c r="E927" s="49"/>
      <c r="F927" s="49"/>
      <c r="G927" s="49"/>
      <c r="H927" s="49"/>
      <c r="I927" s="49"/>
      <c r="J927" s="49" t="b">
        <f>IFERROR(__xludf.DUMMYFUNCTION("""COMPUTED_VALUE"""),FALSE)</f>
        <v>0</v>
      </c>
      <c r="K927" s="49"/>
      <c r="L927" s="49" t="b">
        <f>IFERROR(__xludf.DUMMYFUNCTION("""COMPUTED_VALUE"""),FALSE)</f>
        <v>0</v>
      </c>
      <c r="M927" s="49" t="b">
        <f>IFERROR(__xludf.DUMMYFUNCTION("""COMPUTED_VALUE"""),FALSE)</f>
        <v>0</v>
      </c>
      <c r="N927" s="49"/>
    </row>
    <row r="928">
      <c r="A928" s="49"/>
      <c r="B928" s="49"/>
      <c r="C928" s="49"/>
      <c r="D928" s="49"/>
      <c r="E928" s="49"/>
      <c r="F928" s="49"/>
      <c r="G928" s="49"/>
      <c r="H928" s="49"/>
      <c r="I928" s="49"/>
      <c r="J928" s="49" t="b">
        <f>IFERROR(__xludf.DUMMYFUNCTION("""COMPUTED_VALUE"""),FALSE)</f>
        <v>0</v>
      </c>
      <c r="K928" s="49"/>
      <c r="L928" s="49" t="b">
        <f>IFERROR(__xludf.DUMMYFUNCTION("""COMPUTED_VALUE"""),FALSE)</f>
        <v>0</v>
      </c>
      <c r="M928" s="49" t="b">
        <f>IFERROR(__xludf.DUMMYFUNCTION("""COMPUTED_VALUE"""),FALSE)</f>
        <v>0</v>
      </c>
      <c r="N928" s="49"/>
    </row>
    <row r="929">
      <c r="A929" s="49"/>
      <c r="B929" s="49"/>
      <c r="C929" s="49"/>
      <c r="D929" s="49"/>
      <c r="E929" s="49"/>
      <c r="F929" s="49"/>
      <c r="G929" s="49"/>
      <c r="H929" s="49"/>
      <c r="I929" s="49"/>
      <c r="J929" s="49" t="b">
        <f>IFERROR(__xludf.DUMMYFUNCTION("""COMPUTED_VALUE"""),FALSE)</f>
        <v>0</v>
      </c>
      <c r="K929" s="49"/>
      <c r="L929" s="49" t="b">
        <f>IFERROR(__xludf.DUMMYFUNCTION("""COMPUTED_VALUE"""),FALSE)</f>
        <v>0</v>
      </c>
      <c r="M929" s="49" t="b">
        <f>IFERROR(__xludf.DUMMYFUNCTION("""COMPUTED_VALUE"""),FALSE)</f>
        <v>0</v>
      </c>
      <c r="N929" s="49"/>
    </row>
    <row r="930">
      <c r="A930" s="49"/>
      <c r="B930" s="49"/>
      <c r="C930" s="49"/>
      <c r="D930" s="49"/>
      <c r="E930" s="49"/>
      <c r="F930" s="49"/>
      <c r="G930" s="49"/>
      <c r="H930" s="49"/>
      <c r="I930" s="49"/>
      <c r="J930" s="49" t="b">
        <f>IFERROR(__xludf.DUMMYFUNCTION("""COMPUTED_VALUE"""),FALSE)</f>
        <v>0</v>
      </c>
      <c r="K930" s="49"/>
      <c r="L930" s="49" t="b">
        <f>IFERROR(__xludf.DUMMYFUNCTION("""COMPUTED_VALUE"""),FALSE)</f>
        <v>0</v>
      </c>
      <c r="M930" s="49" t="b">
        <f>IFERROR(__xludf.DUMMYFUNCTION("""COMPUTED_VALUE"""),FALSE)</f>
        <v>0</v>
      </c>
      <c r="N930" s="49"/>
    </row>
    <row r="931">
      <c r="A931" s="49"/>
      <c r="B931" s="49"/>
      <c r="C931" s="49"/>
      <c r="D931" s="49"/>
      <c r="E931" s="49"/>
      <c r="F931" s="49"/>
      <c r="G931" s="49"/>
      <c r="H931" s="49"/>
      <c r="I931" s="49"/>
      <c r="J931" s="49" t="b">
        <f>IFERROR(__xludf.DUMMYFUNCTION("""COMPUTED_VALUE"""),FALSE)</f>
        <v>0</v>
      </c>
      <c r="K931" s="49"/>
      <c r="L931" s="49" t="b">
        <f>IFERROR(__xludf.DUMMYFUNCTION("""COMPUTED_VALUE"""),FALSE)</f>
        <v>0</v>
      </c>
      <c r="M931" s="49" t="b">
        <f>IFERROR(__xludf.DUMMYFUNCTION("""COMPUTED_VALUE"""),FALSE)</f>
        <v>0</v>
      </c>
      <c r="N931" s="49"/>
    </row>
    <row r="932">
      <c r="A932" s="49"/>
      <c r="B932" s="49"/>
      <c r="C932" s="49"/>
      <c r="D932" s="49"/>
      <c r="E932" s="49"/>
      <c r="F932" s="49"/>
      <c r="G932" s="49"/>
      <c r="H932" s="49"/>
      <c r="I932" s="49"/>
      <c r="J932" s="49" t="b">
        <f>IFERROR(__xludf.DUMMYFUNCTION("""COMPUTED_VALUE"""),FALSE)</f>
        <v>0</v>
      </c>
      <c r="K932" s="49"/>
      <c r="L932" s="49" t="b">
        <f>IFERROR(__xludf.DUMMYFUNCTION("""COMPUTED_VALUE"""),FALSE)</f>
        <v>0</v>
      </c>
      <c r="M932" s="49" t="b">
        <f>IFERROR(__xludf.DUMMYFUNCTION("""COMPUTED_VALUE"""),FALSE)</f>
        <v>0</v>
      </c>
      <c r="N932" s="49"/>
    </row>
    <row r="933">
      <c r="A933" s="49"/>
      <c r="B933" s="49"/>
      <c r="C933" s="49"/>
      <c r="D933" s="49"/>
      <c r="E933" s="49"/>
      <c r="F933" s="49"/>
      <c r="G933" s="49"/>
      <c r="H933" s="49"/>
      <c r="I933" s="49"/>
      <c r="J933" s="49" t="b">
        <f>IFERROR(__xludf.DUMMYFUNCTION("""COMPUTED_VALUE"""),FALSE)</f>
        <v>0</v>
      </c>
      <c r="K933" s="49"/>
      <c r="L933" s="49" t="b">
        <f>IFERROR(__xludf.DUMMYFUNCTION("""COMPUTED_VALUE"""),FALSE)</f>
        <v>0</v>
      </c>
      <c r="M933" s="49" t="b">
        <f>IFERROR(__xludf.DUMMYFUNCTION("""COMPUTED_VALUE"""),FALSE)</f>
        <v>0</v>
      </c>
      <c r="N933" s="49"/>
    </row>
    <row r="934">
      <c r="A934" s="49"/>
      <c r="B934" s="49"/>
      <c r="C934" s="49"/>
      <c r="D934" s="49"/>
      <c r="E934" s="49"/>
      <c r="F934" s="49"/>
      <c r="G934" s="49"/>
      <c r="H934" s="49"/>
      <c r="I934" s="49"/>
      <c r="J934" s="49" t="b">
        <f>IFERROR(__xludf.DUMMYFUNCTION("""COMPUTED_VALUE"""),FALSE)</f>
        <v>0</v>
      </c>
      <c r="K934" s="49"/>
      <c r="L934" s="49" t="b">
        <f>IFERROR(__xludf.DUMMYFUNCTION("""COMPUTED_VALUE"""),FALSE)</f>
        <v>0</v>
      </c>
      <c r="M934" s="49" t="b">
        <f>IFERROR(__xludf.DUMMYFUNCTION("""COMPUTED_VALUE"""),FALSE)</f>
        <v>0</v>
      </c>
      <c r="N934" s="49"/>
    </row>
    <row r="935">
      <c r="A935" s="49"/>
      <c r="B935" s="49"/>
      <c r="C935" s="49"/>
      <c r="D935" s="49"/>
      <c r="E935" s="49"/>
      <c r="F935" s="49"/>
      <c r="G935" s="49"/>
      <c r="H935" s="49"/>
      <c r="I935" s="49"/>
      <c r="J935" s="49" t="b">
        <f>IFERROR(__xludf.DUMMYFUNCTION("""COMPUTED_VALUE"""),FALSE)</f>
        <v>0</v>
      </c>
      <c r="K935" s="49"/>
      <c r="L935" s="49" t="b">
        <f>IFERROR(__xludf.DUMMYFUNCTION("""COMPUTED_VALUE"""),FALSE)</f>
        <v>0</v>
      </c>
      <c r="M935" s="49" t="b">
        <f>IFERROR(__xludf.DUMMYFUNCTION("""COMPUTED_VALUE"""),FALSE)</f>
        <v>0</v>
      </c>
      <c r="N935" s="49"/>
    </row>
    <row r="936">
      <c r="A936" s="49"/>
      <c r="B936" s="49"/>
      <c r="C936" s="49"/>
      <c r="D936" s="49"/>
      <c r="E936" s="49"/>
      <c r="F936" s="49"/>
      <c r="G936" s="49"/>
      <c r="H936" s="49"/>
      <c r="I936" s="49"/>
      <c r="J936" s="49" t="b">
        <f>IFERROR(__xludf.DUMMYFUNCTION("""COMPUTED_VALUE"""),FALSE)</f>
        <v>0</v>
      </c>
      <c r="K936" s="49"/>
      <c r="L936" s="49" t="b">
        <f>IFERROR(__xludf.DUMMYFUNCTION("""COMPUTED_VALUE"""),FALSE)</f>
        <v>0</v>
      </c>
      <c r="M936" s="49" t="b">
        <f>IFERROR(__xludf.DUMMYFUNCTION("""COMPUTED_VALUE"""),FALSE)</f>
        <v>0</v>
      </c>
      <c r="N936" s="49"/>
    </row>
    <row r="937">
      <c r="A937" s="49"/>
      <c r="B937" s="49"/>
      <c r="C937" s="49"/>
      <c r="D937" s="49"/>
      <c r="E937" s="49"/>
      <c r="F937" s="49"/>
      <c r="G937" s="49"/>
      <c r="H937" s="49"/>
      <c r="I937" s="49"/>
      <c r="J937" s="49" t="b">
        <f>IFERROR(__xludf.DUMMYFUNCTION("""COMPUTED_VALUE"""),FALSE)</f>
        <v>0</v>
      </c>
      <c r="K937" s="49"/>
      <c r="L937" s="49" t="b">
        <f>IFERROR(__xludf.DUMMYFUNCTION("""COMPUTED_VALUE"""),FALSE)</f>
        <v>0</v>
      </c>
      <c r="M937" s="49" t="b">
        <f>IFERROR(__xludf.DUMMYFUNCTION("""COMPUTED_VALUE"""),FALSE)</f>
        <v>0</v>
      </c>
      <c r="N937" s="49"/>
    </row>
    <row r="938">
      <c r="A938" s="49"/>
      <c r="B938" s="49"/>
      <c r="C938" s="49"/>
      <c r="D938" s="49"/>
      <c r="E938" s="49"/>
      <c r="F938" s="49"/>
      <c r="G938" s="49"/>
      <c r="H938" s="49"/>
      <c r="I938" s="49"/>
      <c r="J938" s="49" t="b">
        <f>IFERROR(__xludf.DUMMYFUNCTION("""COMPUTED_VALUE"""),FALSE)</f>
        <v>0</v>
      </c>
      <c r="K938" s="49"/>
      <c r="L938" s="49" t="b">
        <f>IFERROR(__xludf.DUMMYFUNCTION("""COMPUTED_VALUE"""),FALSE)</f>
        <v>0</v>
      </c>
      <c r="M938" s="49" t="b">
        <f>IFERROR(__xludf.DUMMYFUNCTION("""COMPUTED_VALUE"""),FALSE)</f>
        <v>0</v>
      </c>
      <c r="N938" s="49"/>
    </row>
    <row r="939">
      <c r="A939" s="49"/>
      <c r="B939" s="49"/>
      <c r="C939" s="49"/>
      <c r="D939" s="49"/>
      <c r="E939" s="49"/>
      <c r="F939" s="49"/>
      <c r="G939" s="49"/>
      <c r="H939" s="49"/>
      <c r="I939" s="49"/>
      <c r="J939" s="49" t="b">
        <f>IFERROR(__xludf.DUMMYFUNCTION("""COMPUTED_VALUE"""),FALSE)</f>
        <v>0</v>
      </c>
      <c r="K939" s="49"/>
      <c r="L939" s="49" t="b">
        <f>IFERROR(__xludf.DUMMYFUNCTION("""COMPUTED_VALUE"""),FALSE)</f>
        <v>0</v>
      </c>
      <c r="M939" s="49" t="b">
        <f>IFERROR(__xludf.DUMMYFUNCTION("""COMPUTED_VALUE"""),FALSE)</f>
        <v>0</v>
      </c>
      <c r="N939" s="49"/>
    </row>
    <row r="940">
      <c r="A940" s="49"/>
      <c r="B940" s="49"/>
      <c r="C940" s="49"/>
      <c r="D940" s="49"/>
      <c r="E940" s="49"/>
      <c r="F940" s="49"/>
      <c r="G940" s="49"/>
      <c r="H940" s="49"/>
      <c r="I940" s="49"/>
      <c r="J940" s="49" t="b">
        <f>IFERROR(__xludf.DUMMYFUNCTION("""COMPUTED_VALUE"""),FALSE)</f>
        <v>0</v>
      </c>
      <c r="K940" s="49"/>
      <c r="L940" s="49" t="b">
        <f>IFERROR(__xludf.DUMMYFUNCTION("""COMPUTED_VALUE"""),FALSE)</f>
        <v>0</v>
      </c>
      <c r="M940" s="49" t="b">
        <f>IFERROR(__xludf.DUMMYFUNCTION("""COMPUTED_VALUE"""),FALSE)</f>
        <v>0</v>
      </c>
      <c r="N940" s="49"/>
    </row>
    <row r="941">
      <c r="A941" s="49"/>
      <c r="B941" s="49"/>
      <c r="C941" s="49"/>
      <c r="D941" s="49"/>
      <c r="E941" s="49"/>
      <c r="F941" s="49"/>
      <c r="G941" s="49"/>
      <c r="H941" s="49"/>
      <c r="I941" s="49"/>
      <c r="J941" s="49" t="b">
        <f>IFERROR(__xludf.DUMMYFUNCTION("""COMPUTED_VALUE"""),FALSE)</f>
        <v>0</v>
      </c>
      <c r="K941" s="49"/>
      <c r="L941" s="49" t="b">
        <f>IFERROR(__xludf.DUMMYFUNCTION("""COMPUTED_VALUE"""),FALSE)</f>
        <v>0</v>
      </c>
      <c r="M941" s="49" t="b">
        <f>IFERROR(__xludf.DUMMYFUNCTION("""COMPUTED_VALUE"""),FALSE)</f>
        <v>0</v>
      </c>
      <c r="N941" s="49"/>
    </row>
    <row r="942">
      <c r="A942" s="49"/>
      <c r="B942" s="49"/>
      <c r="C942" s="49"/>
      <c r="D942" s="49"/>
      <c r="E942" s="49"/>
      <c r="F942" s="49"/>
      <c r="G942" s="49"/>
      <c r="H942" s="49"/>
      <c r="I942" s="49"/>
      <c r="J942" s="49" t="b">
        <f>IFERROR(__xludf.DUMMYFUNCTION("""COMPUTED_VALUE"""),FALSE)</f>
        <v>0</v>
      </c>
      <c r="K942" s="49"/>
      <c r="L942" s="49" t="b">
        <f>IFERROR(__xludf.DUMMYFUNCTION("""COMPUTED_VALUE"""),FALSE)</f>
        <v>0</v>
      </c>
      <c r="M942" s="49" t="b">
        <f>IFERROR(__xludf.DUMMYFUNCTION("""COMPUTED_VALUE"""),FALSE)</f>
        <v>0</v>
      </c>
      <c r="N942" s="49"/>
    </row>
    <row r="943">
      <c r="A943" s="49"/>
      <c r="B943" s="49"/>
      <c r="C943" s="49"/>
      <c r="D943" s="49"/>
      <c r="E943" s="49"/>
      <c r="F943" s="49"/>
      <c r="G943" s="49"/>
      <c r="H943" s="49"/>
      <c r="I943" s="49"/>
      <c r="J943" s="49" t="b">
        <f>IFERROR(__xludf.DUMMYFUNCTION("""COMPUTED_VALUE"""),FALSE)</f>
        <v>0</v>
      </c>
      <c r="K943" s="49"/>
      <c r="L943" s="49" t="b">
        <f>IFERROR(__xludf.DUMMYFUNCTION("""COMPUTED_VALUE"""),FALSE)</f>
        <v>0</v>
      </c>
      <c r="M943" s="49" t="b">
        <f>IFERROR(__xludf.DUMMYFUNCTION("""COMPUTED_VALUE"""),FALSE)</f>
        <v>0</v>
      </c>
      <c r="N943" s="49"/>
    </row>
    <row r="944">
      <c r="A944" s="49"/>
      <c r="B944" s="49"/>
      <c r="C944" s="49"/>
      <c r="D944" s="49"/>
      <c r="E944" s="49"/>
      <c r="F944" s="49"/>
      <c r="G944" s="49"/>
      <c r="H944" s="49"/>
      <c r="I944" s="49"/>
      <c r="J944" s="49" t="b">
        <f>IFERROR(__xludf.DUMMYFUNCTION("""COMPUTED_VALUE"""),FALSE)</f>
        <v>0</v>
      </c>
      <c r="K944" s="49"/>
      <c r="L944" s="49" t="b">
        <f>IFERROR(__xludf.DUMMYFUNCTION("""COMPUTED_VALUE"""),FALSE)</f>
        <v>0</v>
      </c>
      <c r="M944" s="49" t="b">
        <f>IFERROR(__xludf.DUMMYFUNCTION("""COMPUTED_VALUE"""),FALSE)</f>
        <v>0</v>
      </c>
      <c r="N944" s="49"/>
    </row>
    <row r="945">
      <c r="A945" s="49"/>
      <c r="B945" s="49"/>
      <c r="C945" s="49"/>
      <c r="D945" s="49"/>
      <c r="E945" s="49"/>
      <c r="F945" s="49"/>
      <c r="G945" s="49"/>
      <c r="H945" s="49"/>
      <c r="I945" s="49"/>
      <c r="J945" s="49" t="b">
        <f>IFERROR(__xludf.DUMMYFUNCTION("""COMPUTED_VALUE"""),FALSE)</f>
        <v>0</v>
      </c>
      <c r="K945" s="49"/>
      <c r="L945" s="49" t="b">
        <f>IFERROR(__xludf.DUMMYFUNCTION("""COMPUTED_VALUE"""),FALSE)</f>
        <v>0</v>
      </c>
      <c r="M945" s="49" t="b">
        <f>IFERROR(__xludf.DUMMYFUNCTION("""COMPUTED_VALUE"""),FALSE)</f>
        <v>0</v>
      </c>
      <c r="N945" s="49"/>
    </row>
    <row r="946">
      <c r="A946" s="49"/>
      <c r="B946" s="49"/>
      <c r="C946" s="49"/>
      <c r="D946" s="49"/>
      <c r="E946" s="49"/>
      <c r="F946" s="49"/>
      <c r="G946" s="49"/>
      <c r="H946" s="49"/>
      <c r="I946" s="49"/>
      <c r="J946" s="49" t="b">
        <f>IFERROR(__xludf.DUMMYFUNCTION("""COMPUTED_VALUE"""),FALSE)</f>
        <v>0</v>
      </c>
      <c r="K946" s="49"/>
      <c r="L946" s="49" t="b">
        <f>IFERROR(__xludf.DUMMYFUNCTION("""COMPUTED_VALUE"""),FALSE)</f>
        <v>0</v>
      </c>
      <c r="M946" s="49" t="b">
        <f>IFERROR(__xludf.DUMMYFUNCTION("""COMPUTED_VALUE"""),FALSE)</f>
        <v>0</v>
      </c>
      <c r="N946" s="49"/>
    </row>
    <row r="947">
      <c r="A947" s="49"/>
      <c r="B947" s="49"/>
      <c r="C947" s="49"/>
      <c r="D947" s="49"/>
      <c r="E947" s="49"/>
      <c r="F947" s="49"/>
      <c r="G947" s="49"/>
      <c r="H947" s="49"/>
      <c r="I947" s="49"/>
      <c r="J947" s="49" t="b">
        <f>IFERROR(__xludf.DUMMYFUNCTION("""COMPUTED_VALUE"""),FALSE)</f>
        <v>0</v>
      </c>
      <c r="K947" s="49"/>
      <c r="L947" s="49" t="b">
        <f>IFERROR(__xludf.DUMMYFUNCTION("""COMPUTED_VALUE"""),FALSE)</f>
        <v>0</v>
      </c>
      <c r="M947" s="49" t="b">
        <f>IFERROR(__xludf.DUMMYFUNCTION("""COMPUTED_VALUE"""),FALSE)</f>
        <v>0</v>
      </c>
      <c r="N947" s="49"/>
    </row>
    <row r="948">
      <c r="A948" s="49"/>
      <c r="B948" s="49"/>
      <c r="C948" s="49"/>
      <c r="D948" s="49"/>
      <c r="E948" s="49"/>
      <c r="F948" s="49"/>
      <c r="G948" s="49"/>
      <c r="H948" s="49"/>
      <c r="I948" s="49"/>
      <c r="J948" s="49" t="b">
        <f>IFERROR(__xludf.DUMMYFUNCTION("""COMPUTED_VALUE"""),FALSE)</f>
        <v>0</v>
      </c>
      <c r="K948" s="49"/>
      <c r="L948" s="49" t="b">
        <f>IFERROR(__xludf.DUMMYFUNCTION("""COMPUTED_VALUE"""),FALSE)</f>
        <v>0</v>
      </c>
      <c r="M948" s="49" t="b">
        <f>IFERROR(__xludf.DUMMYFUNCTION("""COMPUTED_VALUE"""),FALSE)</f>
        <v>0</v>
      </c>
      <c r="N948" s="49"/>
    </row>
    <row r="949">
      <c r="A949" s="49"/>
      <c r="B949" s="49"/>
      <c r="C949" s="49"/>
      <c r="D949" s="49"/>
      <c r="E949" s="49"/>
      <c r="F949" s="49"/>
      <c r="G949" s="49"/>
      <c r="H949" s="49"/>
      <c r="I949" s="49"/>
      <c r="J949" s="49" t="b">
        <f>IFERROR(__xludf.DUMMYFUNCTION("""COMPUTED_VALUE"""),FALSE)</f>
        <v>0</v>
      </c>
      <c r="K949" s="49"/>
      <c r="L949" s="49" t="b">
        <f>IFERROR(__xludf.DUMMYFUNCTION("""COMPUTED_VALUE"""),FALSE)</f>
        <v>0</v>
      </c>
      <c r="M949" s="49" t="b">
        <f>IFERROR(__xludf.DUMMYFUNCTION("""COMPUTED_VALUE"""),FALSE)</f>
        <v>0</v>
      </c>
      <c r="N949" s="49"/>
    </row>
    <row r="950">
      <c r="A950" s="49"/>
      <c r="B950" s="49"/>
      <c r="C950" s="49"/>
      <c r="D950" s="49"/>
      <c r="E950" s="49"/>
      <c r="F950" s="49"/>
      <c r="G950" s="49"/>
      <c r="H950" s="49"/>
      <c r="I950" s="49"/>
      <c r="J950" s="49" t="b">
        <f>IFERROR(__xludf.DUMMYFUNCTION("""COMPUTED_VALUE"""),FALSE)</f>
        <v>0</v>
      </c>
      <c r="K950" s="49"/>
      <c r="L950" s="49" t="b">
        <f>IFERROR(__xludf.DUMMYFUNCTION("""COMPUTED_VALUE"""),FALSE)</f>
        <v>0</v>
      </c>
      <c r="M950" s="49" t="b">
        <f>IFERROR(__xludf.DUMMYFUNCTION("""COMPUTED_VALUE"""),FALSE)</f>
        <v>0</v>
      </c>
      <c r="N950" s="49"/>
    </row>
    <row r="951">
      <c r="A951" s="49"/>
      <c r="B951" s="49"/>
      <c r="C951" s="49"/>
      <c r="D951" s="49"/>
      <c r="E951" s="49"/>
      <c r="F951" s="49"/>
      <c r="G951" s="49"/>
      <c r="H951" s="49"/>
      <c r="I951" s="49"/>
      <c r="J951" s="49" t="b">
        <f>IFERROR(__xludf.DUMMYFUNCTION("""COMPUTED_VALUE"""),FALSE)</f>
        <v>0</v>
      </c>
      <c r="K951" s="49"/>
      <c r="L951" s="49" t="b">
        <f>IFERROR(__xludf.DUMMYFUNCTION("""COMPUTED_VALUE"""),FALSE)</f>
        <v>0</v>
      </c>
      <c r="M951" s="49" t="b">
        <f>IFERROR(__xludf.DUMMYFUNCTION("""COMPUTED_VALUE"""),FALSE)</f>
        <v>0</v>
      </c>
      <c r="N951" s="49"/>
    </row>
    <row r="952">
      <c r="A952" s="49"/>
      <c r="B952" s="49"/>
      <c r="C952" s="49"/>
      <c r="D952" s="49"/>
      <c r="E952" s="49"/>
      <c r="F952" s="49"/>
      <c r="G952" s="49"/>
      <c r="H952" s="49"/>
      <c r="I952" s="49"/>
      <c r="J952" s="49" t="b">
        <f>IFERROR(__xludf.DUMMYFUNCTION("""COMPUTED_VALUE"""),FALSE)</f>
        <v>0</v>
      </c>
      <c r="K952" s="49"/>
      <c r="L952" s="49" t="b">
        <f>IFERROR(__xludf.DUMMYFUNCTION("""COMPUTED_VALUE"""),FALSE)</f>
        <v>0</v>
      </c>
      <c r="M952" s="49" t="b">
        <f>IFERROR(__xludf.DUMMYFUNCTION("""COMPUTED_VALUE"""),FALSE)</f>
        <v>0</v>
      </c>
      <c r="N952" s="49"/>
    </row>
    <row r="953">
      <c r="A953" s="49"/>
      <c r="B953" s="49"/>
      <c r="C953" s="49"/>
      <c r="D953" s="49"/>
      <c r="E953" s="49"/>
      <c r="F953" s="49"/>
      <c r="G953" s="49"/>
      <c r="H953" s="49"/>
      <c r="I953" s="49"/>
      <c r="J953" s="49" t="b">
        <f>IFERROR(__xludf.DUMMYFUNCTION("""COMPUTED_VALUE"""),FALSE)</f>
        <v>0</v>
      </c>
      <c r="K953" s="49"/>
      <c r="L953" s="49" t="b">
        <f>IFERROR(__xludf.DUMMYFUNCTION("""COMPUTED_VALUE"""),FALSE)</f>
        <v>0</v>
      </c>
      <c r="M953" s="49" t="b">
        <f>IFERROR(__xludf.DUMMYFUNCTION("""COMPUTED_VALUE"""),FALSE)</f>
        <v>0</v>
      </c>
      <c r="N953" s="49"/>
    </row>
    <row r="954">
      <c r="A954" s="49"/>
      <c r="B954" s="49"/>
      <c r="C954" s="49"/>
      <c r="D954" s="49"/>
      <c r="E954" s="49"/>
      <c r="F954" s="49"/>
      <c r="G954" s="49"/>
      <c r="H954" s="49"/>
      <c r="I954" s="49"/>
      <c r="J954" s="49" t="b">
        <f>IFERROR(__xludf.DUMMYFUNCTION("""COMPUTED_VALUE"""),FALSE)</f>
        <v>0</v>
      </c>
      <c r="K954" s="49"/>
      <c r="L954" s="49" t="b">
        <f>IFERROR(__xludf.DUMMYFUNCTION("""COMPUTED_VALUE"""),FALSE)</f>
        <v>0</v>
      </c>
      <c r="M954" s="49" t="b">
        <f>IFERROR(__xludf.DUMMYFUNCTION("""COMPUTED_VALUE"""),FALSE)</f>
        <v>0</v>
      </c>
      <c r="N954" s="49"/>
    </row>
    <row r="955">
      <c r="A955" s="49"/>
      <c r="B955" s="49"/>
      <c r="C955" s="49"/>
      <c r="D955" s="49"/>
      <c r="E955" s="49"/>
      <c r="F955" s="49"/>
      <c r="G955" s="49"/>
      <c r="H955" s="49"/>
      <c r="I955" s="49"/>
      <c r="J955" s="49" t="b">
        <f>IFERROR(__xludf.DUMMYFUNCTION("""COMPUTED_VALUE"""),FALSE)</f>
        <v>0</v>
      </c>
      <c r="K955" s="49"/>
      <c r="L955" s="49" t="b">
        <f>IFERROR(__xludf.DUMMYFUNCTION("""COMPUTED_VALUE"""),FALSE)</f>
        <v>0</v>
      </c>
      <c r="M955" s="49" t="b">
        <f>IFERROR(__xludf.DUMMYFUNCTION("""COMPUTED_VALUE"""),FALSE)</f>
        <v>0</v>
      </c>
      <c r="N955" s="49"/>
    </row>
    <row r="956">
      <c r="A956" s="49"/>
      <c r="B956" s="49"/>
      <c r="C956" s="49"/>
      <c r="D956" s="49"/>
      <c r="E956" s="49"/>
      <c r="F956" s="49"/>
      <c r="G956" s="49"/>
      <c r="H956" s="49"/>
      <c r="I956" s="49"/>
      <c r="J956" s="49" t="b">
        <f>IFERROR(__xludf.DUMMYFUNCTION("""COMPUTED_VALUE"""),FALSE)</f>
        <v>0</v>
      </c>
      <c r="K956" s="49"/>
      <c r="L956" s="49" t="b">
        <f>IFERROR(__xludf.DUMMYFUNCTION("""COMPUTED_VALUE"""),FALSE)</f>
        <v>0</v>
      </c>
      <c r="M956" s="49" t="b">
        <f>IFERROR(__xludf.DUMMYFUNCTION("""COMPUTED_VALUE"""),FALSE)</f>
        <v>0</v>
      </c>
      <c r="N956" s="49"/>
    </row>
    <row r="957">
      <c r="A957" s="49"/>
      <c r="B957" s="49"/>
      <c r="C957" s="49"/>
      <c r="D957" s="49"/>
      <c r="E957" s="49"/>
      <c r="F957" s="49"/>
      <c r="G957" s="49"/>
      <c r="H957" s="49"/>
      <c r="I957" s="49"/>
      <c r="J957" s="49" t="b">
        <f>IFERROR(__xludf.DUMMYFUNCTION("""COMPUTED_VALUE"""),FALSE)</f>
        <v>0</v>
      </c>
      <c r="K957" s="49"/>
      <c r="L957" s="49" t="b">
        <f>IFERROR(__xludf.DUMMYFUNCTION("""COMPUTED_VALUE"""),FALSE)</f>
        <v>0</v>
      </c>
      <c r="M957" s="49" t="b">
        <f>IFERROR(__xludf.DUMMYFUNCTION("""COMPUTED_VALUE"""),FALSE)</f>
        <v>0</v>
      </c>
      <c r="N957" s="49"/>
    </row>
    <row r="958">
      <c r="A958" s="49"/>
      <c r="B958" s="49"/>
      <c r="C958" s="49"/>
      <c r="D958" s="49"/>
      <c r="E958" s="49"/>
      <c r="F958" s="49"/>
      <c r="G958" s="49"/>
      <c r="H958" s="49"/>
      <c r="I958" s="49"/>
      <c r="J958" s="49" t="b">
        <f>IFERROR(__xludf.DUMMYFUNCTION("""COMPUTED_VALUE"""),FALSE)</f>
        <v>0</v>
      </c>
      <c r="K958" s="49"/>
      <c r="L958" s="49" t="b">
        <f>IFERROR(__xludf.DUMMYFUNCTION("""COMPUTED_VALUE"""),FALSE)</f>
        <v>0</v>
      </c>
      <c r="M958" s="49" t="b">
        <f>IFERROR(__xludf.DUMMYFUNCTION("""COMPUTED_VALUE"""),FALSE)</f>
        <v>0</v>
      </c>
      <c r="N958" s="49"/>
    </row>
    <row r="959">
      <c r="A959" s="49"/>
      <c r="B959" s="49"/>
      <c r="C959" s="49"/>
      <c r="D959" s="49"/>
      <c r="E959" s="49"/>
      <c r="F959" s="49"/>
      <c r="G959" s="49"/>
      <c r="H959" s="49"/>
      <c r="I959" s="49"/>
      <c r="J959" s="49" t="b">
        <f>IFERROR(__xludf.DUMMYFUNCTION("""COMPUTED_VALUE"""),FALSE)</f>
        <v>0</v>
      </c>
      <c r="K959" s="49"/>
      <c r="L959" s="49" t="b">
        <f>IFERROR(__xludf.DUMMYFUNCTION("""COMPUTED_VALUE"""),FALSE)</f>
        <v>0</v>
      </c>
      <c r="M959" s="49" t="b">
        <f>IFERROR(__xludf.DUMMYFUNCTION("""COMPUTED_VALUE"""),FALSE)</f>
        <v>0</v>
      </c>
      <c r="N959" s="49"/>
    </row>
    <row r="960">
      <c r="A960" s="49"/>
      <c r="B960" s="49"/>
      <c r="C960" s="49"/>
      <c r="D960" s="49"/>
      <c r="E960" s="49"/>
      <c r="F960" s="49"/>
      <c r="G960" s="49"/>
      <c r="H960" s="49"/>
      <c r="I960" s="49"/>
      <c r="J960" s="49" t="b">
        <f>IFERROR(__xludf.DUMMYFUNCTION("""COMPUTED_VALUE"""),FALSE)</f>
        <v>0</v>
      </c>
      <c r="K960" s="49"/>
      <c r="L960" s="49" t="b">
        <f>IFERROR(__xludf.DUMMYFUNCTION("""COMPUTED_VALUE"""),FALSE)</f>
        <v>0</v>
      </c>
      <c r="M960" s="49" t="b">
        <f>IFERROR(__xludf.DUMMYFUNCTION("""COMPUTED_VALUE"""),FALSE)</f>
        <v>0</v>
      </c>
      <c r="N960" s="49"/>
    </row>
    <row r="961">
      <c r="A961" s="49"/>
      <c r="B961" s="49"/>
      <c r="C961" s="49"/>
      <c r="D961" s="49"/>
      <c r="E961" s="49"/>
      <c r="F961" s="49"/>
      <c r="G961" s="49"/>
      <c r="H961" s="49"/>
      <c r="I961" s="49"/>
      <c r="J961" s="49" t="b">
        <f>IFERROR(__xludf.DUMMYFUNCTION("""COMPUTED_VALUE"""),FALSE)</f>
        <v>0</v>
      </c>
      <c r="K961" s="49"/>
      <c r="L961" s="49" t="b">
        <f>IFERROR(__xludf.DUMMYFUNCTION("""COMPUTED_VALUE"""),FALSE)</f>
        <v>0</v>
      </c>
      <c r="M961" s="49" t="b">
        <f>IFERROR(__xludf.DUMMYFUNCTION("""COMPUTED_VALUE"""),FALSE)</f>
        <v>0</v>
      </c>
      <c r="N961" s="49"/>
    </row>
    <row r="962">
      <c r="A962" s="49"/>
      <c r="B962" s="49"/>
      <c r="C962" s="49"/>
      <c r="D962" s="49"/>
      <c r="E962" s="49"/>
      <c r="F962" s="49"/>
      <c r="G962" s="49"/>
      <c r="H962" s="49"/>
      <c r="I962" s="49"/>
      <c r="J962" s="49" t="b">
        <f>IFERROR(__xludf.DUMMYFUNCTION("""COMPUTED_VALUE"""),FALSE)</f>
        <v>0</v>
      </c>
      <c r="K962" s="49"/>
      <c r="L962" s="49" t="b">
        <f>IFERROR(__xludf.DUMMYFUNCTION("""COMPUTED_VALUE"""),FALSE)</f>
        <v>0</v>
      </c>
      <c r="M962" s="49" t="b">
        <f>IFERROR(__xludf.DUMMYFUNCTION("""COMPUTED_VALUE"""),FALSE)</f>
        <v>0</v>
      </c>
      <c r="N962" s="49"/>
    </row>
    <row r="963">
      <c r="A963" s="49"/>
      <c r="B963" s="49"/>
      <c r="C963" s="49"/>
      <c r="D963" s="49"/>
      <c r="E963" s="49"/>
      <c r="F963" s="49"/>
      <c r="G963" s="49"/>
      <c r="H963" s="49"/>
      <c r="I963" s="49"/>
      <c r="J963" s="49" t="b">
        <f>IFERROR(__xludf.DUMMYFUNCTION("""COMPUTED_VALUE"""),FALSE)</f>
        <v>0</v>
      </c>
      <c r="K963" s="49"/>
      <c r="L963" s="49" t="b">
        <f>IFERROR(__xludf.DUMMYFUNCTION("""COMPUTED_VALUE"""),FALSE)</f>
        <v>0</v>
      </c>
      <c r="M963" s="49" t="b">
        <f>IFERROR(__xludf.DUMMYFUNCTION("""COMPUTED_VALUE"""),FALSE)</f>
        <v>0</v>
      </c>
      <c r="N963" s="49"/>
    </row>
    <row r="964">
      <c r="A964" s="49"/>
      <c r="B964" s="49"/>
      <c r="C964" s="49"/>
      <c r="D964" s="49"/>
      <c r="E964" s="49"/>
      <c r="F964" s="49"/>
      <c r="G964" s="49"/>
      <c r="H964" s="49"/>
      <c r="I964" s="49"/>
      <c r="J964" s="49" t="b">
        <f>IFERROR(__xludf.DUMMYFUNCTION("""COMPUTED_VALUE"""),FALSE)</f>
        <v>0</v>
      </c>
      <c r="K964" s="49"/>
      <c r="L964" s="49" t="b">
        <f>IFERROR(__xludf.DUMMYFUNCTION("""COMPUTED_VALUE"""),FALSE)</f>
        <v>0</v>
      </c>
      <c r="M964" s="49" t="b">
        <f>IFERROR(__xludf.DUMMYFUNCTION("""COMPUTED_VALUE"""),FALSE)</f>
        <v>0</v>
      </c>
      <c r="N964" s="49"/>
    </row>
    <row r="965">
      <c r="A965" s="49"/>
      <c r="B965" s="49"/>
      <c r="C965" s="49"/>
      <c r="D965" s="49"/>
      <c r="E965" s="49"/>
      <c r="F965" s="49"/>
      <c r="G965" s="49"/>
      <c r="H965" s="49"/>
      <c r="I965" s="49"/>
      <c r="J965" s="49" t="b">
        <f>IFERROR(__xludf.DUMMYFUNCTION("""COMPUTED_VALUE"""),FALSE)</f>
        <v>0</v>
      </c>
      <c r="K965" s="49"/>
      <c r="L965" s="49" t="b">
        <f>IFERROR(__xludf.DUMMYFUNCTION("""COMPUTED_VALUE"""),FALSE)</f>
        <v>0</v>
      </c>
      <c r="M965" s="49" t="b">
        <f>IFERROR(__xludf.DUMMYFUNCTION("""COMPUTED_VALUE"""),FALSE)</f>
        <v>0</v>
      </c>
      <c r="N965" s="49"/>
    </row>
    <row r="966">
      <c r="A966" s="49"/>
      <c r="B966" s="49"/>
      <c r="C966" s="49"/>
      <c r="D966" s="49"/>
      <c r="E966" s="49"/>
      <c r="F966" s="49"/>
      <c r="G966" s="49"/>
      <c r="H966" s="49"/>
      <c r="I966" s="49"/>
      <c r="J966" s="49" t="b">
        <f>IFERROR(__xludf.DUMMYFUNCTION("""COMPUTED_VALUE"""),FALSE)</f>
        <v>0</v>
      </c>
      <c r="K966" s="49"/>
      <c r="L966" s="49" t="b">
        <f>IFERROR(__xludf.DUMMYFUNCTION("""COMPUTED_VALUE"""),FALSE)</f>
        <v>0</v>
      </c>
      <c r="M966" s="49" t="b">
        <f>IFERROR(__xludf.DUMMYFUNCTION("""COMPUTED_VALUE"""),FALSE)</f>
        <v>0</v>
      </c>
      <c r="N966" s="49"/>
    </row>
    <row r="967">
      <c r="A967" s="49"/>
      <c r="B967" s="49"/>
      <c r="C967" s="49"/>
      <c r="D967" s="49"/>
      <c r="E967" s="49"/>
      <c r="F967" s="49"/>
      <c r="G967" s="49"/>
      <c r="H967" s="49"/>
      <c r="I967" s="49"/>
      <c r="J967" s="49" t="b">
        <f>IFERROR(__xludf.DUMMYFUNCTION("""COMPUTED_VALUE"""),FALSE)</f>
        <v>0</v>
      </c>
      <c r="K967" s="49"/>
      <c r="L967" s="49" t="b">
        <f>IFERROR(__xludf.DUMMYFUNCTION("""COMPUTED_VALUE"""),FALSE)</f>
        <v>0</v>
      </c>
      <c r="M967" s="49" t="b">
        <f>IFERROR(__xludf.DUMMYFUNCTION("""COMPUTED_VALUE"""),FALSE)</f>
        <v>0</v>
      </c>
      <c r="N967" s="49"/>
    </row>
    <row r="968">
      <c r="A968" s="49"/>
      <c r="B968" s="49"/>
      <c r="C968" s="49"/>
      <c r="D968" s="49"/>
      <c r="E968" s="49"/>
      <c r="F968" s="49"/>
      <c r="G968" s="49"/>
      <c r="H968" s="49"/>
      <c r="I968" s="49"/>
      <c r="J968" s="49" t="b">
        <f>IFERROR(__xludf.DUMMYFUNCTION("""COMPUTED_VALUE"""),FALSE)</f>
        <v>0</v>
      </c>
      <c r="K968" s="49"/>
      <c r="L968" s="49" t="b">
        <f>IFERROR(__xludf.DUMMYFUNCTION("""COMPUTED_VALUE"""),FALSE)</f>
        <v>0</v>
      </c>
      <c r="M968" s="49" t="b">
        <f>IFERROR(__xludf.DUMMYFUNCTION("""COMPUTED_VALUE"""),FALSE)</f>
        <v>0</v>
      </c>
      <c r="N968" s="49"/>
    </row>
    <row r="969">
      <c r="A969" s="49"/>
      <c r="B969" s="49"/>
      <c r="C969" s="49"/>
      <c r="D969" s="49"/>
      <c r="E969" s="49"/>
      <c r="F969" s="49"/>
      <c r="G969" s="49"/>
      <c r="H969" s="49"/>
      <c r="I969" s="49"/>
      <c r="J969" s="49" t="b">
        <f>IFERROR(__xludf.DUMMYFUNCTION("""COMPUTED_VALUE"""),FALSE)</f>
        <v>0</v>
      </c>
      <c r="K969" s="49"/>
      <c r="L969" s="49" t="b">
        <f>IFERROR(__xludf.DUMMYFUNCTION("""COMPUTED_VALUE"""),FALSE)</f>
        <v>0</v>
      </c>
      <c r="M969" s="49" t="b">
        <f>IFERROR(__xludf.DUMMYFUNCTION("""COMPUTED_VALUE"""),FALSE)</f>
        <v>0</v>
      </c>
      <c r="N969" s="49"/>
    </row>
    <row r="970">
      <c r="A970" s="49"/>
      <c r="B970" s="49"/>
      <c r="C970" s="49"/>
      <c r="D970" s="49"/>
      <c r="E970" s="49"/>
      <c r="F970" s="49"/>
      <c r="G970" s="49"/>
      <c r="H970" s="49"/>
      <c r="I970" s="49"/>
      <c r="J970" s="49" t="b">
        <f>IFERROR(__xludf.DUMMYFUNCTION("""COMPUTED_VALUE"""),FALSE)</f>
        <v>0</v>
      </c>
      <c r="K970" s="49"/>
      <c r="L970" s="49" t="b">
        <f>IFERROR(__xludf.DUMMYFUNCTION("""COMPUTED_VALUE"""),FALSE)</f>
        <v>0</v>
      </c>
      <c r="M970" s="49" t="b">
        <f>IFERROR(__xludf.DUMMYFUNCTION("""COMPUTED_VALUE"""),FALSE)</f>
        <v>0</v>
      </c>
      <c r="N970" s="49"/>
    </row>
    <row r="971">
      <c r="A971" s="49"/>
      <c r="B971" s="49"/>
      <c r="C971" s="49"/>
      <c r="D971" s="49"/>
      <c r="E971" s="49"/>
      <c r="F971" s="49"/>
      <c r="G971" s="49"/>
      <c r="H971" s="49"/>
      <c r="I971" s="49"/>
      <c r="J971" s="49" t="b">
        <f>IFERROR(__xludf.DUMMYFUNCTION("""COMPUTED_VALUE"""),FALSE)</f>
        <v>0</v>
      </c>
      <c r="K971" s="49"/>
      <c r="L971" s="49" t="b">
        <f>IFERROR(__xludf.DUMMYFUNCTION("""COMPUTED_VALUE"""),FALSE)</f>
        <v>0</v>
      </c>
      <c r="M971" s="49" t="b">
        <f>IFERROR(__xludf.DUMMYFUNCTION("""COMPUTED_VALUE"""),FALSE)</f>
        <v>0</v>
      </c>
      <c r="N971" s="49"/>
    </row>
    <row r="972">
      <c r="A972" s="49"/>
      <c r="B972" s="49"/>
      <c r="C972" s="49"/>
      <c r="D972" s="49"/>
      <c r="E972" s="49"/>
      <c r="F972" s="49"/>
      <c r="G972" s="49"/>
      <c r="H972" s="49"/>
      <c r="I972" s="49"/>
      <c r="J972" s="49" t="b">
        <f>IFERROR(__xludf.DUMMYFUNCTION("""COMPUTED_VALUE"""),FALSE)</f>
        <v>0</v>
      </c>
      <c r="K972" s="49"/>
      <c r="L972" s="49" t="b">
        <f>IFERROR(__xludf.DUMMYFUNCTION("""COMPUTED_VALUE"""),FALSE)</f>
        <v>0</v>
      </c>
      <c r="M972" s="49" t="b">
        <f>IFERROR(__xludf.DUMMYFUNCTION("""COMPUTED_VALUE"""),FALSE)</f>
        <v>0</v>
      </c>
      <c r="N972" s="49"/>
    </row>
    <row r="973">
      <c r="A973" s="49"/>
      <c r="B973" s="49"/>
      <c r="C973" s="49"/>
      <c r="D973" s="49"/>
      <c r="E973" s="49"/>
      <c r="F973" s="49"/>
      <c r="G973" s="49"/>
      <c r="H973" s="49"/>
      <c r="I973" s="49"/>
      <c r="J973" s="49" t="b">
        <f>IFERROR(__xludf.DUMMYFUNCTION("""COMPUTED_VALUE"""),FALSE)</f>
        <v>0</v>
      </c>
      <c r="K973" s="49"/>
      <c r="L973" s="49" t="b">
        <f>IFERROR(__xludf.DUMMYFUNCTION("""COMPUTED_VALUE"""),FALSE)</f>
        <v>0</v>
      </c>
      <c r="M973" s="49" t="b">
        <f>IFERROR(__xludf.DUMMYFUNCTION("""COMPUTED_VALUE"""),FALSE)</f>
        <v>0</v>
      </c>
      <c r="N973" s="49"/>
    </row>
    <row r="974">
      <c r="A974" s="49"/>
      <c r="B974" s="49"/>
      <c r="C974" s="49"/>
      <c r="D974" s="49"/>
      <c r="E974" s="49"/>
      <c r="F974" s="49"/>
      <c r="G974" s="49"/>
      <c r="H974" s="49"/>
      <c r="I974" s="49"/>
      <c r="J974" s="49" t="b">
        <f>IFERROR(__xludf.DUMMYFUNCTION("""COMPUTED_VALUE"""),FALSE)</f>
        <v>0</v>
      </c>
      <c r="K974" s="49"/>
      <c r="L974" s="49" t="b">
        <f>IFERROR(__xludf.DUMMYFUNCTION("""COMPUTED_VALUE"""),FALSE)</f>
        <v>0</v>
      </c>
      <c r="M974" s="49" t="b">
        <f>IFERROR(__xludf.DUMMYFUNCTION("""COMPUTED_VALUE"""),FALSE)</f>
        <v>0</v>
      </c>
      <c r="N974" s="49"/>
    </row>
    <row r="975">
      <c r="A975" s="49"/>
      <c r="B975" s="49"/>
      <c r="C975" s="49"/>
      <c r="D975" s="49"/>
      <c r="E975" s="49"/>
      <c r="F975" s="49"/>
      <c r="G975" s="49"/>
      <c r="H975" s="49"/>
      <c r="I975" s="49"/>
      <c r="J975" s="49" t="b">
        <f>IFERROR(__xludf.DUMMYFUNCTION("""COMPUTED_VALUE"""),FALSE)</f>
        <v>0</v>
      </c>
      <c r="K975" s="49"/>
      <c r="L975" s="49" t="b">
        <f>IFERROR(__xludf.DUMMYFUNCTION("""COMPUTED_VALUE"""),FALSE)</f>
        <v>0</v>
      </c>
      <c r="M975" s="49" t="b">
        <f>IFERROR(__xludf.DUMMYFUNCTION("""COMPUTED_VALUE"""),FALSE)</f>
        <v>0</v>
      </c>
      <c r="N975" s="49"/>
    </row>
    <row r="976">
      <c r="A976" s="49"/>
      <c r="B976" s="49"/>
      <c r="C976" s="49"/>
      <c r="D976" s="49"/>
      <c r="E976" s="49"/>
      <c r="F976" s="49"/>
      <c r="G976" s="49"/>
      <c r="H976" s="49"/>
      <c r="I976" s="49"/>
      <c r="J976" s="49" t="b">
        <f>IFERROR(__xludf.DUMMYFUNCTION("""COMPUTED_VALUE"""),FALSE)</f>
        <v>0</v>
      </c>
      <c r="K976" s="49"/>
      <c r="L976" s="49" t="b">
        <f>IFERROR(__xludf.DUMMYFUNCTION("""COMPUTED_VALUE"""),FALSE)</f>
        <v>0</v>
      </c>
      <c r="M976" s="49" t="b">
        <f>IFERROR(__xludf.DUMMYFUNCTION("""COMPUTED_VALUE"""),FALSE)</f>
        <v>0</v>
      </c>
      <c r="N976" s="49"/>
    </row>
    <row r="977">
      <c r="A977" s="49"/>
      <c r="B977" s="49"/>
      <c r="C977" s="49"/>
      <c r="D977" s="49"/>
      <c r="E977" s="49"/>
      <c r="F977" s="49"/>
      <c r="G977" s="49"/>
      <c r="H977" s="49"/>
      <c r="I977" s="49"/>
      <c r="J977" s="49" t="b">
        <f>IFERROR(__xludf.DUMMYFUNCTION("""COMPUTED_VALUE"""),FALSE)</f>
        <v>0</v>
      </c>
      <c r="K977" s="49"/>
      <c r="L977" s="49" t="b">
        <f>IFERROR(__xludf.DUMMYFUNCTION("""COMPUTED_VALUE"""),FALSE)</f>
        <v>0</v>
      </c>
      <c r="M977" s="49" t="b">
        <f>IFERROR(__xludf.DUMMYFUNCTION("""COMPUTED_VALUE"""),FALSE)</f>
        <v>0</v>
      </c>
      <c r="N977" s="49"/>
    </row>
    <row r="978">
      <c r="A978" s="49"/>
      <c r="B978" s="49"/>
      <c r="C978" s="49"/>
      <c r="D978" s="49"/>
      <c r="E978" s="49"/>
      <c r="F978" s="49"/>
      <c r="G978" s="49"/>
      <c r="H978" s="49"/>
      <c r="I978" s="49"/>
      <c r="J978" s="49" t="b">
        <f>IFERROR(__xludf.DUMMYFUNCTION("""COMPUTED_VALUE"""),FALSE)</f>
        <v>0</v>
      </c>
      <c r="K978" s="49"/>
      <c r="L978" s="49" t="b">
        <f>IFERROR(__xludf.DUMMYFUNCTION("""COMPUTED_VALUE"""),FALSE)</f>
        <v>0</v>
      </c>
      <c r="M978" s="49" t="b">
        <f>IFERROR(__xludf.DUMMYFUNCTION("""COMPUTED_VALUE"""),FALSE)</f>
        <v>0</v>
      </c>
      <c r="N978" s="49"/>
    </row>
    <row r="979">
      <c r="A979" s="49"/>
      <c r="B979" s="49"/>
      <c r="C979" s="49"/>
      <c r="D979" s="49"/>
      <c r="E979" s="49"/>
      <c r="F979" s="49"/>
      <c r="G979" s="49"/>
      <c r="H979" s="49"/>
      <c r="I979" s="49"/>
      <c r="J979" s="49" t="b">
        <f>IFERROR(__xludf.DUMMYFUNCTION("""COMPUTED_VALUE"""),FALSE)</f>
        <v>0</v>
      </c>
      <c r="K979" s="49"/>
      <c r="L979" s="49" t="b">
        <f>IFERROR(__xludf.DUMMYFUNCTION("""COMPUTED_VALUE"""),FALSE)</f>
        <v>0</v>
      </c>
      <c r="M979" s="49" t="b">
        <f>IFERROR(__xludf.DUMMYFUNCTION("""COMPUTED_VALUE"""),FALSE)</f>
        <v>0</v>
      </c>
      <c r="N979" s="49"/>
    </row>
    <row r="980">
      <c r="A980" s="49"/>
      <c r="B980" s="49"/>
      <c r="C980" s="49"/>
      <c r="D980" s="49"/>
      <c r="E980" s="49"/>
      <c r="F980" s="49"/>
      <c r="G980" s="49"/>
      <c r="H980" s="49"/>
      <c r="I980" s="49"/>
      <c r="J980" s="49" t="b">
        <f>IFERROR(__xludf.DUMMYFUNCTION("""COMPUTED_VALUE"""),FALSE)</f>
        <v>0</v>
      </c>
      <c r="K980" s="49"/>
      <c r="L980" s="49" t="b">
        <f>IFERROR(__xludf.DUMMYFUNCTION("""COMPUTED_VALUE"""),FALSE)</f>
        <v>0</v>
      </c>
      <c r="M980" s="49" t="b">
        <f>IFERROR(__xludf.DUMMYFUNCTION("""COMPUTED_VALUE"""),FALSE)</f>
        <v>0</v>
      </c>
      <c r="N980" s="49"/>
    </row>
    <row r="981">
      <c r="A981" s="49"/>
      <c r="B981" s="49"/>
      <c r="C981" s="49"/>
      <c r="D981" s="49"/>
      <c r="E981" s="49"/>
      <c r="F981" s="49"/>
      <c r="G981" s="49"/>
      <c r="H981" s="49"/>
      <c r="I981" s="49"/>
      <c r="J981" s="49" t="b">
        <f>IFERROR(__xludf.DUMMYFUNCTION("""COMPUTED_VALUE"""),FALSE)</f>
        <v>0</v>
      </c>
      <c r="K981" s="49"/>
      <c r="L981" s="49" t="b">
        <f>IFERROR(__xludf.DUMMYFUNCTION("""COMPUTED_VALUE"""),FALSE)</f>
        <v>0</v>
      </c>
      <c r="M981" s="49" t="b">
        <f>IFERROR(__xludf.DUMMYFUNCTION("""COMPUTED_VALUE"""),FALSE)</f>
        <v>0</v>
      </c>
      <c r="N981" s="49"/>
    </row>
    <row r="982">
      <c r="A982" s="49"/>
      <c r="B982" s="49"/>
      <c r="C982" s="49"/>
      <c r="D982" s="49"/>
      <c r="E982" s="49"/>
      <c r="F982" s="49"/>
      <c r="G982" s="49"/>
      <c r="H982" s="49"/>
      <c r="I982" s="49"/>
      <c r="J982" s="49" t="b">
        <f>IFERROR(__xludf.DUMMYFUNCTION("""COMPUTED_VALUE"""),FALSE)</f>
        <v>0</v>
      </c>
      <c r="K982" s="49"/>
      <c r="L982" s="49" t="b">
        <f>IFERROR(__xludf.DUMMYFUNCTION("""COMPUTED_VALUE"""),FALSE)</f>
        <v>0</v>
      </c>
      <c r="M982" s="49" t="b">
        <f>IFERROR(__xludf.DUMMYFUNCTION("""COMPUTED_VALUE"""),FALSE)</f>
        <v>0</v>
      </c>
      <c r="N982" s="49"/>
    </row>
    <row r="983">
      <c r="A983" s="49"/>
      <c r="B983" s="49"/>
      <c r="C983" s="49"/>
      <c r="D983" s="49"/>
      <c r="E983" s="49"/>
      <c r="F983" s="49"/>
      <c r="G983" s="49"/>
      <c r="H983" s="49"/>
      <c r="I983" s="49"/>
      <c r="J983" s="49" t="b">
        <f>IFERROR(__xludf.DUMMYFUNCTION("""COMPUTED_VALUE"""),FALSE)</f>
        <v>0</v>
      </c>
      <c r="K983" s="49"/>
      <c r="L983" s="49" t="b">
        <f>IFERROR(__xludf.DUMMYFUNCTION("""COMPUTED_VALUE"""),FALSE)</f>
        <v>0</v>
      </c>
      <c r="M983" s="49" t="b">
        <f>IFERROR(__xludf.DUMMYFUNCTION("""COMPUTED_VALUE"""),FALSE)</f>
        <v>0</v>
      </c>
      <c r="N983" s="49"/>
    </row>
    <row r="984">
      <c r="A984" s="49"/>
      <c r="B984" s="49"/>
      <c r="C984" s="49"/>
      <c r="D984" s="49"/>
      <c r="E984" s="49"/>
      <c r="F984" s="49"/>
      <c r="G984" s="49"/>
      <c r="H984" s="49"/>
      <c r="I984" s="49"/>
      <c r="J984" s="49" t="b">
        <f>IFERROR(__xludf.DUMMYFUNCTION("""COMPUTED_VALUE"""),FALSE)</f>
        <v>0</v>
      </c>
      <c r="K984" s="49"/>
      <c r="L984" s="49" t="b">
        <f>IFERROR(__xludf.DUMMYFUNCTION("""COMPUTED_VALUE"""),FALSE)</f>
        <v>0</v>
      </c>
      <c r="M984" s="49" t="b">
        <f>IFERROR(__xludf.DUMMYFUNCTION("""COMPUTED_VALUE"""),FALSE)</f>
        <v>0</v>
      </c>
      <c r="N984" s="49"/>
    </row>
    <row r="985">
      <c r="A985" s="49"/>
      <c r="B985" s="49"/>
      <c r="C985" s="49"/>
      <c r="D985" s="49"/>
      <c r="E985" s="49"/>
      <c r="F985" s="49"/>
      <c r="G985" s="49"/>
      <c r="H985" s="49"/>
      <c r="I985" s="49"/>
      <c r="J985" s="49" t="b">
        <f>IFERROR(__xludf.DUMMYFUNCTION("""COMPUTED_VALUE"""),FALSE)</f>
        <v>0</v>
      </c>
      <c r="K985" s="49"/>
      <c r="L985" s="49" t="b">
        <f>IFERROR(__xludf.DUMMYFUNCTION("""COMPUTED_VALUE"""),FALSE)</f>
        <v>0</v>
      </c>
      <c r="M985" s="49" t="b">
        <f>IFERROR(__xludf.DUMMYFUNCTION("""COMPUTED_VALUE"""),FALSE)</f>
        <v>0</v>
      </c>
      <c r="N985" s="49"/>
    </row>
    <row r="986">
      <c r="A986" s="49"/>
      <c r="B986" s="49"/>
      <c r="C986" s="49"/>
      <c r="D986" s="49"/>
      <c r="E986" s="49"/>
      <c r="F986" s="49"/>
      <c r="G986" s="49"/>
      <c r="H986" s="49"/>
      <c r="I986" s="49"/>
      <c r="J986" s="49" t="b">
        <f>IFERROR(__xludf.DUMMYFUNCTION("""COMPUTED_VALUE"""),FALSE)</f>
        <v>0</v>
      </c>
      <c r="K986" s="49"/>
      <c r="L986" s="49" t="b">
        <f>IFERROR(__xludf.DUMMYFUNCTION("""COMPUTED_VALUE"""),FALSE)</f>
        <v>0</v>
      </c>
      <c r="M986" s="49" t="b">
        <f>IFERROR(__xludf.DUMMYFUNCTION("""COMPUTED_VALUE"""),FALSE)</f>
        <v>0</v>
      </c>
      <c r="N986" s="49"/>
    </row>
    <row r="987">
      <c r="A987" s="49"/>
      <c r="B987" s="49"/>
      <c r="C987" s="49"/>
      <c r="D987" s="49"/>
      <c r="E987" s="49"/>
      <c r="F987" s="49"/>
      <c r="G987" s="49"/>
      <c r="H987" s="49"/>
      <c r="I987" s="49"/>
      <c r="J987" s="49" t="b">
        <f>IFERROR(__xludf.DUMMYFUNCTION("""COMPUTED_VALUE"""),FALSE)</f>
        <v>0</v>
      </c>
      <c r="K987" s="49"/>
      <c r="L987" s="49" t="b">
        <f>IFERROR(__xludf.DUMMYFUNCTION("""COMPUTED_VALUE"""),FALSE)</f>
        <v>0</v>
      </c>
      <c r="M987" s="49" t="b">
        <f>IFERROR(__xludf.DUMMYFUNCTION("""COMPUTED_VALUE"""),FALSE)</f>
        <v>0</v>
      </c>
      <c r="N987" s="49"/>
    </row>
    <row r="988">
      <c r="A988" s="49"/>
      <c r="B988" s="49"/>
      <c r="C988" s="49"/>
      <c r="D988" s="49"/>
      <c r="E988" s="49"/>
      <c r="F988" s="49"/>
      <c r="G988" s="49"/>
      <c r="H988" s="49"/>
      <c r="I988" s="49"/>
      <c r="J988" s="49" t="b">
        <f>IFERROR(__xludf.DUMMYFUNCTION("""COMPUTED_VALUE"""),FALSE)</f>
        <v>0</v>
      </c>
      <c r="K988" s="49"/>
      <c r="L988" s="49" t="b">
        <f>IFERROR(__xludf.DUMMYFUNCTION("""COMPUTED_VALUE"""),FALSE)</f>
        <v>0</v>
      </c>
      <c r="M988" s="49" t="b">
        <f>IFERROR(__xludf.DUMMYFUNCTION("""COMPUTED_VALUE"""),FALSE)</f>
        <v>0</v>
      </c>
      <c r="N988" s="49"/>
    </row>
    <row r="989">
      <c r="A989" s="49"/>
      <c r="B989" s="49"/>
      <c r="C989" s="49"/>
      <c r="D989" s="49"/>
      <c r="E989" s="49"/>
      <c r="F989" s="49"/>
      <c r="G989" s="49"/>
      <c r="H989" s="49"/>
      <c r="I989" s="49"/>
      <c r="J989" s="49" t="b">
        <f>IFERROR(__xludf.DUMMYFUNCTION("""COMPUTED_VALUE"""),FALSE)</f>
        <v>0</v>
      </c>
      <c r="K989" s="49"/>
      <c r="L989" s="49" t="b">
        <f>IFERROR(__xludf.DUMMYFUNCTION("""COMPUTED_VALUE"""),FALSE)</f>
        <v>0</v>
      </c>
      <c r="M989" s="49" t="b">
        <f>IFERROR(__xludf.DUMMYFUNCTION("""COMPUTED_VALUE"""),FALSE)</f>
        <v>0</v>
      </c>
      <c r="N989" s="49"/>
    </row>
    <row r="990">
      <c r="A990" s="49"/>
      <c r="B990" s="49"/>
      <c r="C990" s="49"/>
      <c r="D990" s="49"/>
      <c r="E990" s="49"/>
      <c r="F990" s="49"/>
      <c r="G990" s="49"/>
      <c r="H990" s="49"/>
      <c r="I990" s="49"/>
      <c r="J990" s="49" t="b">
        <f>IFERROR(__xludf.DUMMYFUNCTION("""COMPUTED_VALUE"""),FALSE)</f>
        <v>0</v>
      </c>
      <c r="K990" s="49"/>
      <c r="L990" s="49" t="b">
        <f>IFERROR(__xludf.DUMMYFUNCTION("""COMPUTED_VALUE"""),FALSE)</f>
        <v>0</v>
      </c>
      <c r="M990" s="49" t="b">
        <f>IFERROR(__xludf.DUMMYFUNCTION("""COMPUTED_VALUE"""),FALSE)</f>
        <v>0</v>
      </c>
      <c r="N990" s="49"/>
    </row>
    <row r="991">
      <c r="A991" s="49"/>
      <c r="B991" s="49"/>
      <c r="C991" s="49"/>
      <c r="D991" s="49"/>
      <c r="E991" s="49"/>
      <c r="F991" s="49"/>
      <c r="G991" s="49"/>
      <c r="H991" s="49"/>
      <c r="I991" s="49"/>
      <c r="J991" s="49" t="b">
        <f>IFERROR(__xludf.DUMMYFUNCTION("""COMPUTED_VALUE"""),FALSE)</f>
        <v>0</v>
      </c>
      <c r="K991" s="49"/>
      <c r="L991" s="49" t="b">
        <f>IFERROR(__xludf.DUMMYFUNCTION("""COMPUTED_VALUE"""),FALSE)</f>
        <v>0</v>
      </c>
      <c r="M991" s="49" t="b">
        <f>IFERROR(__xludf.DUMMYFUNCTION("""COMPUTED_VALUE"""),FALSE)</f>
        <v>0</v>
      </c>
      <c r="N991" s="49"/>
    </row>
    <row r="992">
      <c r="A992" s="49"/>
      <c r="B992" s="49"/>
      <c r="C992" s="49"/>
      <c r="D992" s="49"/>
      <c r="E992" s="49"/>
      <c r="F992" s="49"/>
      <c r="G992" s="49"/>
      <c r="H992" s="49"/>
      <c r="I992" s="49"/>
      <c r="J992" s="49" t="b">
        <f>IFERROR(__xludf.DUMMYFUNCTION("""COMPUTED_VALUE"""),FALSE)</f>
        <v>0</v>
      </c>
      <c r="K992" s="49"/>
      <c r="L992" s="49" t="b">
        <f>IFERROR(__xludf.DUMMYFUNCTION("""COMPUTED_VALUE"""),FALSE)</f>
        <v>0</v>
      </c>
      <c r="M992" s="49" t="b">
        <f>IFERROR(__xludf.DUMMYFUNCTION("""COMPUTED_VALUE"""),FALSE)</f>
        <v>0</v>
      </c>
      <c r="N992" s="49"/>
    </row>
    <row r="993">
      <c r="A993" s="49"/>
      <c r="B993" s="49"/>
      <c r="C993" s="49"/>
      <c r="D993" s="49"/>
      <c r="E993" s="49"/>
      <c r="F993" s="49"/>
      <c r="G993" s="49"/>
      <c r="H993" s="49"/>
      <c r="I993" s="49"/>
      <c r="J993" s="49" t="b">
        <f>IFERROR(__xludf.DUMMYFUNCTION("""COMPUTED_VALUE"""),FALSE)</f>
        <v>0</v>
      </c>
      <c r="K993" s="49"/>
      <c r="L993" s="49" t="b">
        <f>IFERROR(__xludf.DUMMYFUNCTION("""COMPUTED_VALUE"""),FALSE)</f>
        <v>0</v>
      </c>
      <c r="M993" s="49" t="b">
        <f>IFERROR(__xludf.DUMMYFUNCTION("""COMPUTED_VALUE"""),FALSE)</f>
        <v>0</v>
      </c>
      <c r="N993" s="49"/>
    </row>
    <row r="994">
      <c r="A994" s="49"/>
      <c r="B994" s="49"/>
      <c r="C994" s="49"/>
      <c r="D994" s="49"/>
      <c r="E994" s="49"/>
      <c r="F994" s="49"/>
      <c r="G994" s="49"/>
      <c r="H994" s="49"/>
      <c r="I994" s="49"/>
      <c r="J994" s="49" t="b">
        <f>IFERROR(__xludf.DUMMYFUNCTION("""COMPUTED_VALUE"""),FALSE)</f>
        <v>0</v>
      </c>
      <c r="K994" s="49"/>
      <c r="L994" s="49" t="b">
        <f>IFERROR(__xludf.DUMMYFUNCTION("""COMPUTED_VALUE"""),FALSE)</f>
        <v>0</v>
      </c>
      <c r="M994" s="49" t="b">
        <f>IFERROR(__xludf.DUMMYFUNCTION("""COMPUTED_VALUE"""),FALSE)</f>
        <v>0</v>
      </c>
      <c r="N994" s="49"/>
    </row>
    <row r="995">
      <c r="A995" s="49"/>
      <c r="B995" s="49"/>
      <c r="C995" s="49"/>
      <c r="D995" s="49"/>
      <c r="E995" s="49"/>
      <c r="F995" s="49"/>
      <c r="G995" s="49"/>
      <c r="H995" s="49"/>
      <c r="I995" s="49"/>
      <c r="J995" s="49" t="b">
        <f>IFERROR(__xludf.DUMMYFUNCTION("""COMPUTED_VALUE"""),FALSE)</f>
        <v>0</v>
      </c>
      <c r="K995" s="49"/>
      <c r="L995" s="49" t="b">
        <f>IFERROR(__xludf.DUMMYFUNCTION("""COMPUTED_VALUE"""),FALSE)</f>
        <v>0</v>
      </c>
      <c r="M995" s="49" t="b">
        <f>IFERROR(__xludf.DUMMYFUNCTION("""COMPUTED_VALUE"""),FALSE)</f>
        <v>0</v>
      </c>
      <c r="N995" s="49"/>
    </row>
    <row r="996">
      <c r="A996" s="49"/>
      <c r="B996" s="49"/>
      <c r="C996" s="49"/>
      <c r="D996" s="49"/>
      <c r="E996" s="49"/>
      <c r="F996" s="49"/>
      <c r="G996" s="49"/>
      <c r="H996" s="49"/>
      <c r="I996" s="49"/>
      <c r="J996" s="49" t="b">
        <f>IFERROR(__xludf.DUMMYFUNCTION("""COMPUTED_VALUE"""),FALSE)</f>
        <v>0</v>
      </c>
      <c r="K996" s="49"/>
      <c r="L996" s="49" t="b">
        <f>IFERROR(__xludf.DUMMYFUNCTION("""COMPUTED_VALUE"""),FALSE)</f>
        <v>0</v>
      </c>
      <c r="M996" s="49" t="b">
        <f>IFERROR(__xludf.DUMMYFUNCTION("""COMPUTED_VALUE"""),FALSE)</f>
        <v>0</v>
      </c>
      <c r="N996" s="49"/>
    </row>
    <row r="997">
      <c r="A997" s="49"/>
      <c r="B997" s="49"/>
      <c r="C997" s="49"/>
      <c r="D997" s="49"/>
      <c r="E997" s="49"/>
      <c r="F997" s="49"/>
      <c r="G997" s="49"/>
      <c r="H997" s="49"/>
      <c r="I997" s="49"/>
      <c r="J997" s="49" t="b">
        <f>IFERROR(__xludf.DUMMYFUNCTION("""COMPUTED_VALUE"""),FALSE)</f>
        <v>0</v>
      </c>
      <c r="K997" s="49"/>
      <c r="L997" s="49" t="b">
        <f>IFERROR(__xludf.DUMMYFUNCTION("""COMPUTED_VALUE"""),FALSE)</f>
        <v>0</v>
      </c>
      <c r="M997" s="49" t="b">
        <f>IFERROR(__xludf.DUMMYFUNCTION("""COMPUTED_VALUE"""),FALSE)</f>
        <v>0</v>
      </c>
      <c r="N997" s="49"/>
    </row>
    <row r="998">
      <c r="A998" s="49"/>
      <c r="B998" s="49"/>
      <c r="C998" s="49"/>
      <c r="D998" s="49"/>
      <c r="E998" s="49"/>
      <c r="F998" s="49"/>
      <c r="G998" s="49"/>
      <c r="H998" s="49"/>
      <c r="I998" s="49"/>
      <c r="J998" s="49" t="b">
        <f>IFERROR(__xludf.DUMMYFUNCTION("""COMPUTED_VALUE"""),FALSE)</f>
        <v>0</v>
      </c>
      <c r="K998" s="49"/>
      <c r="L998" s="49" t="b">
        <f>IFERROR(__xludf.DUMMYFUNCTION("""COMPUTED_VALUE"""),FALSE)</f>
        <v>0</v>
      </c>
      <c r="M998" s="49" t="b">
        <f>IFERROR(__xludf.DUMMYFUNCTION("""COMPUTED_VALUE"""),FALSE)</f>
        <v>0</v>
      </c>
      <c r="N998" s="49"/>
    </row>
    <row r="999">
      <c r="A999" s="49"/>
      <c r="B999" s="49"/>
      <c r="C999" s="49"/>
      <c r="D999" s="49"/>
      <c r="E999" s="49"/>
      <c r="F999" s="49"/>
      <c r="G999" s="49"/>
      <c r="H999" s="49"/>
      <c r="I999" s="49"/>
      <c r="J999" s="49" t="b">
        <f>IFERROR(__xludf.DUMMYFUNCTION("""COMPUTED_VALUE"""),FALSE)</f>
        <v>0</v>
      </c>
      <c r="K999" s="49"/>
      <c r="L999" s="49" t="b">
        <f>IFERROR(__xludf.DUMMYFUNCTION("""COMPUTED_VALUE"""),FALSE)</f>
        <v>0</v>
      </c>
      <c r="M999" s="49" t="b">
        <f>IFERROR(__xludf.DUMMYFUNCTION("""COMPUTED_VALUE"""),FALSE)</f>
        <v>0</v>
      </c>
      <c r="N999" s="49"/>
    </row>
    <row r="1000">
      <c r="A1000" s="49"/>
      <c r="B1000" s="49"/>
      <c r="C1000" s="49"/>
      <c r="D1000" s="49"/>
      <c r="E1000" s="49"/>
      <c r="F1000" s="49"/>
      <c r="G1000" s="49"/>
      <c r="H1000" s="49"/>
      <c r="I1000" s="49"/>
      <c r="J1000" s="49" t="b">
        <f>IFERROR(__xludf.DUMMYFUNCTION("""COMPUTED_VALUE"""),FALSE)</f>
        <v>0</v>
      </c>
      <c r="K1000" s="49"/>
      <c r="L1000" s="49" t="b">
        <f>IFERROR(__xludf.DUMMYFUNCTION("""COMPUTED_VALUE"""),FALSE)</f>
        <v>0</v>
      </c>
      <c r="M1000" s="49" t="b">
        <f>IFERROR(__xludf.DUMMYFUNCTION("""COMPUTED_VALUE"""),FALSE)</f>
        <v>0</v>
      </c>
      <c r="N1000" s="49"/>
    </row>
    <row r="1001">
      <c r="A1001" s="49"/>
      <c r="B1001" s="49"/>
      <c r="C1001" s="49"/>
      <c r="D1001" s="49"/>
      <c r="E1001" s="49"/>
      <c r="F1001" s="49"/>
      <c r="G1001" s="49"/>
      <c r="H1001" s="49"/>
      <c r="I1001" s="49"/>
      <c r="J1001" s="49" t="b">
        <f>IFERROR(__xludf.DUMMYFUNCTION("""COMPUTED_VALUE"""),FALSE)</f>
        <v>0</v>
      </c>
      <c r="K1001" s="49"/>
      <c r="L1001" s="49" t="b">
        <f>IFERROR(__xludf.DUMMYFUNCTION("""COMPUTED_VALUE"""),FALSE)</f>
        <v>0</v>
      </c>
      <c r="M1001" s="49" t="b">
        <f>IFERROR(__xludf.DUMMYFUNCTION("""COMPUTED_VALUE"""),FALSE)</f>
        <v>0</v>
      </c>
      <c r="N1001" s="49"/>
    </row>
    <row r="1002">
      <c r="A1002" s="49"/>
      <c r="B1002" s="49"/>
      <c r="C1002" s="49"/>
      <c r="D1002" s="49"/>
      <c r="E1002" s="49"/>
      <c r="F1002" s="49"/>
      <c r="G1002" s="49"/>
      <c r="H1002" s="49"/>
      <c r="I1002" s="49"/>
      <c r="J1002" s="49" t="b">
        <f>IFERROR(__xludf.DUMMYFUNCTION("""COMPUTED_VALUE"""),FALSE)</f>
        <v>0</v>
      </c>
      <c r="K1002" s="49"/>
      <c r="L1002" s="49" t="b">
        <f>IFERROR(__xludf.DUMMYFUNCTION("""COMPUTED_VALUE"""),FALSE)</f>
        <v>0</v>
      </c>
      <c r="M1002" s="49" t="b">
        <f>IFERROR(__xludf.DUMMYFUNCTION("""COMPUTED_VALUE"""),FALSE)</f>
        <v>0</v>
      </c>
      <c r="N1002" s="49"/>
    </row>
    <row r="1003">
      <c r="A1003" s="49"/>
      <c r="B1003" s="49"/>
      <c r="C1003" s="49"/>
      <c r="D1003" s="49"/>
      <c r="E1003" s="49"/>
      <c r="F1003" s="49"/>
      <c r="G1003" s="49"/>
      <c r="H1003" s="49"/>
      <c r="I1003" s="49"/>
      <c r="J1003" s="49" t="b">
        <f>IFERROR(__xludf.DUMMYFUNCTION("""COMPUTED_VALUE"""),FALSE)</f>
        <v>0</v>
      </c>
      <c r="K1003" s="49"/>
      <c r="L1003" s="49" t="b">
        <f>IFERROR(__xludf.DUMMYFUNCTION("""COMPUTED_VALUE"""),FALSE)</f>
        <v>0</v>
      </c>
      <c r="M1003" s="49" t="b">
        <f>IFERROR(__xludf.DUMMYFUNCTION("""COMPUTED_VALUE"""),FALSE)</f>
        <v>0</v>
      </c>
      <c r="N1003" s="49"/>
    </row>
    <row r="1004">
      <c r="A1004" s="49"/>
      <c r="B1004" s="49"/>
      <c r="C1004" s="49"/>
      <c r="D1004" s="49"/>
      <c r="E1004" s="49"/>
      <c r="F1004" s="49"/>
      <c r="G1004" s="49"/>
      <c r="H1004" s="49"/>
      <c r="I1004" s="49"/>
      <c r="J1004" s="49" t="b">
        <f>IFERROR(__xludf.DUMMYFUNCTION("""COMPUTED_VALUE"""),FALSE)</f>
        <v>0</v>
      </c>
      <c r="K1004" s="49"/>
      <c r="L1004" s="49" t="b">
        <f>IFERROR(__xludf.DUMMYFUNCTION("""COMPUTED_VALUE"""),FALSE)</f>
        <v>0</v>
      </c>
      <c r="M1004" s="49" t="b">
        <f>IFERROR(__xludf.DUMMYFUNCTION("""COMPUTED_VALUE"""),FALSE)</f>
        <v>0</v>
      </c>
      <c r="N1004" s="49"/>
    </row>
    <row r="1005">
      <c r="A1005" s="49"/>
      <c r="B1005" s="49"/>
      <c r="C1005" s="49"/>
      <c r="D1005" s="49"/>
      <c r="E1005" s="49"/>
      <c r="F1005" s="49"/>
      <c r="G1005" s="49"/>
      <c r="H1005" s="49"/>
      <c r="I1005" s="49"/>
      <c r="J1005" s="49" t="b">
        <f>IFERROR(__xludf.DUMMYFUNCTION("""COMPUTED_VALUE"""),FALSE)</f>
        <v>0</v>
      </c>
      <c r="K1005" s="49"/>
      <c r="L1005" s="49" t="b">
        <f>IFERROR(__xludf.DUMMYFUNCTION("""COMPUTED_VALUE"""),FALSE)</f>
        <v>0</v>
      </c>
      <c r="M1005" s="49" t="b">
        <f>IFERROR(__xludf.DUMMYFUNCTION("""COMPUTED_VALUE"""),FALSE)</f>
        <v>0</v>
      </c>
      <c r="N1005" s="49"/>
    </row>
    <row r="1006">
      <c r="A1006" s="49"/>
      <c r="B1006" s="49"/>
      <c r="C1006" s="49"/>
      <c r="D1006" s="49"/>
      <c r="E1006" s="49"/>
      <c r="F1006" s="49"/>
      <c r="G1006" s="49"/>
      <c r="H1006" s="49"/>
      <c r="I1006" s="49"/>
      <c r="J1006" s="49" t="b">
        <f>IFERROR(__xludf.DUMMYFUNCTION("""COMPUTED_VALUE"""),FALSE)</f>
        <v>0</v>
      </c>
      <c r="K1006" s="49"/>
      <c r="L1006" s="49" t="b">
        <f>IFERROR(__xludf.DUMMYFUNCTION("""COMPUTED_VALUE"""),FALSE)</f>
        <v>0</v>
      </c>
      <c r="M1006" s="49" t="b">
        <f>IFERROR(__xludf.DUMMYFUNCTION("""COMPUTED_VALUE"""),FALSE)</f>
        <v>0</v>
      </c>
      <c r="N1006" s="49"/>
    </row>
    <row r="1007">
      <c r="A1007" s="49"/>
      <c r="B1007" s="49"/>
      <c r="C1007" s="49"/>
      <c r="D1007" s="49"/>
      <c r="E1007" s="49"/>
      <c r="F1007" s="49"/>
      <c r="G1007" s="49"/>
      <c r="H1007" s="49"/>
      <c r="I1007" s="49"/>
      <c r="J1007" s="49" t="b">
        <f>IFERROR(__xludf.DUMMYFUNCTION("""COMPUTED_VALUE"""),FALSE)</f>
        <v>0</v>
      </c>
      <c r="K1007" s="49"/>
      <c r="L1007" s="49" t="b">
        <f>IFERROR(__xludf.DUMMYFUNCTION("""COMPUTED_VALUE"""),FALSE)</f>
        <v>0</v>
      </c>
      <c r="M1007" s="49" t="b">
        <f>IFERROR(__xludf.DUMMYFUNCTION("""COMPUTED_VALUE"""),FALSE)</f>
        <v>0</v>
      </c>
      <c r="N1007" s="49"/>
    </row>
    <row r="1008">
      <c r="A1008" s="49"/>
      <c r="B1008" s="49"/>
      <c r="C1008" s="49"/>
      <c r="D1008" s="49"/>
      <c r="E1008" s="49"/>
      <c r="F1008" s="49"/>
      <c r="G1008" s="49"/>
      <c r="H1008" s="49"/>
      <c r="I1008" s="49"/>
      <c r="J1008" s="49" t="b">
        <f>IFERROR(__xludf.DUMMYFUNCTION("""COMPUTED_VALUE"""),FALSE)</f>
        <v>0</v>
      </c>
      <c r="K1008" s="49"/>
      <c r="L1008" s="49" t="b">
        <f>IFERROR(__xludf.DUMMYFUNCTION("""COMPUTED_VALUE"""),FALSE)</f>
        <v>0</v>
      </c>
      <c r="M1008" s="49" t="b">
        <f>IFERROR(__xludf.DUMMYFUNCTION("""COMPUTED_VALUE"""),FALSE)</f>
        <v>0</v>
      </c>
      <c r="N1008" s="49"/>
    </row>
    <row r="1009">
      <c r="A1009" s="49"/>
      <c r="B1009" s="49"/>
      <c r="C1009" s="49"/>
      <c r="D1009" s="49"/>
      <c r="E1009" s="49"/>
      <c r="F1009" s="49"/>
      <c r="G1009" s="49"/>
      <c r="H1009" s="49"/>
      <c r="I1009" s="49"/>
      <c r="J1009" s="49" t="b">
        <f>IFERROR(__xludf.DUMMYFUNCTION("""COMPUTED_VALUE"""),FALSE)</f>
        <v>0</v>
      </c>
      <c r="K1009" s="49"/>
      <c r="L1009" s="49" t="b">
        <f>IFERROR(__xludf.DUMMYFUNCTION("""COMPUTED_VALUE"""),FALSE)</f>
        <v>0</v>
      </c>
      <c r="M1009" s="49" t="b">
        <f>IFERROR(__xludf.DUMMYFUNCTION("""COMPUTED_VALUE"""),FALSE)</f>
        <v>0</v>
      </c>
      <c r="N1009" s="49"/>
    </row>
    <row r="1010">
      <c r="A1010" s="49"/>
      <c r="B1010" s="49"/>
      <c r="C1010" s="49"/>
      <c r="D1010" s="49"/>
      <c r="E1010" s="49"/>
      <c r="F1010" s="49"/>
      <c r="G1010" s="49"/>
      <c r="H1010" s="49"/>
      <c r="I1010" s="49"/>
      <c r="J1010" s="49" t="b">
        <f>IFERROR(__xludf.DUMMYFUNCTION("""COMPUTED_VALUE"""),FALSE)</f>
        <v>0</v>
      </c>
      <c r="K1010" s="49"/>
      <c r="L1010" s="49" t="b">
        <f>IFERROR(__xludf.DUMMYFUNCTION("""COMPUTED_VALUE"""),FALSE)</f>
        <v>0</v>
      </c>
      <c r="M1010" s="49" t="b">
        <f>IFERROR(__xludf.DUMMYFUNCTION("""COMPUTED_VALUE"""),FALSE)</f>
        <v>0</v>
      </c>
      <c r="N1010" s="49"/>
    </row>
    <row r="1011">
      <c r="A1011" s="49"/>
      <c r="B1011" s="49"/>
      <c r="C1011" s="49"/>
      <c r="D1011" s="49"/>
      <c r="E1011" s="49"/>
      <c r="F1011" s="49"/>
      <c r="G1011" s="49"/>
      <c r="H1011" s="49"/>
      <c r="I1011" s="49"/>
      <c r="J1011" s="49" t="b">
        <f>IFERROR(__xludf.DUMMYFUNCTION("""COMPUTED_VALUE"""),FALSE)</f>
        <v>0</v>
      </c>
      <c r="K1011" s="49"/>
      <c r="L1011" s="49" t="b">
        <f>IFERROR(__xludf.DUMMYFUNCTION("""COMPUTED_VALUE"""),FALSE)</f>
        <v>0</v>
      </c>
      <c r="M1011" s="49" t="b">
        <f>IFERROR(__xludf.DUMMYFUNCTION("""COMPUTED_VALUE"""),FALSE)</f>
        <v>0</v>
      </c>
      <c r="N1011" s="49"/>
    </row>
    <row r="1012">
      <c r="A1012" s="49"/>
      <c r="B1012" s="49"/>
      <c r="C1012" s="49"/>
      <c r="D1012" s="49"/>
      <c r="E1012" s="49"/>
      <c r="F1012" s="49"/>
      <c r="G1012" s="49"/>
      <c r="H1012" s="49"/>
      <c r="I1012" s="49"/>
      <c r="J1012" s="49" t="b">
        <f>IFERROR(__xludf.DUMMYFUNCTION("""COMPUTED_VALUE"""),FALSE)</f>
        <v>0</v>
      </c>
      <c r="K1012" s="49"/>
      <c r="L1012" s="49" t="b">
        <f>IFERROR(__xludf.DUMMYFUNCTION("""COMPUTED_VALUE"""),FALSE)</f>
        <v>0</v>
      </c>
      <c r="M1012" s="49" t="b">
        <f>IFERROR(__xludf.DUMMYFUNCTION("""COMPUTED_VALUE"""),FALSE)</f>
        <v>0</v>
      </c>
      <c r="N1012" s="49"/>
    </row>
    <row r="1013">
      <c r="A1013" s="49"/>
      <c r="B1013" s="49"/>
      <c r="C1013" s="49"/>
      <c r="D1013" s="49"/>
      <c r="E1013" s="49"/>
      <c r="F1013" s="49"/>
      <c r="G1013" s="49"/>
      <c r="H1013" s="49"/>
      <c r="I1013" s="49"/>
      <c r="J1013" s="49" t="b">
        <f>IFERROR(__xludf.DUMMYFUNCTION("""COMPUTED_VALUE"""),FALSE)</f>
        <v>0</v>
      </c>
      <c r="K1013" s="49"/>
      <c r="L1013" s="49" t="b">
        <f>IFERROR(__xludf.DUMMYFUNCTION("""COMPUTED_VALUE"""),FALSE)</f>
        <v>0</v>
      </c>
      <c r="M1013" s="49" t="b">
        <f>IFERROR(__xludf.DUMMYFUNCTION("""COMPUTED_VALUE"""),FALSE)</f>
        <v>0</v>
      </c>
      <c r="N1013" s="49"/>
    </row>
    <row r="1014">
      <c r="A1014" s="49"/>
      <c r="B1014" s="49"/>
      <c r="C1014" s="49"/>
      <c r="D1014" s="49"/>
      <c r="E1014" s="49"/>
      <c r="F1014" s="49"/>
      <c r="G1014" s="49"/>
      <c r="H1014" s="49"/>
      <c r="I1014" s="49"/>
      <c r="J1014" s="49" t="b">
        <f>IFERROR(__xludf.DUMMYFUNCTION("""COMPUTED_VALUE"""),FALSE)</f>
        <v>0</v>
      </c>
      <c r="K1014" s="49"/>
      <c r="L1014" s="49" t="b">
        <f>IFERROR(__xludf.DUMMYFUNCTION("""COMPUTED_VALUE"""),FALSE)</f>
        <v>0</v>
      </c>
      <c r="M1014" s="49" t="b">
        <f>IFERROR(__xludf.DUMMYFUNCTION("""COMPUTED_VALUE"""),FALSE)</f>
        <v>0</v>
      </c>
      <c r="N1014" s="49"/>
    </row>
    <row r="1015">
      <c r="A1015" s="49"/>
      <c r="B1015" s="49"/>
      <c r="C1015" s="49"/>
      <c r="D1015" s="49"/>
      <c r="E1015" s="49"/>
      <c r="F1015" s="49"/>
      <c r="G1015" s="49"/>
      <c r="H1015" s="49"/>
      <c r="I1015" s="49"/>
      <c r="J1015" s="49" t="b">
        <f>IFERROR(__xludf.DUMMYFUNCTION("""COMPUTED_VALUE"""),FALSE)</f>
        <v>0</v>
      </c>
      <c r="K1015" s="49"/>
      <c r="L1015" s="49" t="b">
        <f>IFERROR(__xludf.DUMMYFUNCTION("""COMPUTED_VALUE"""),FALSE)</f>
        <v>0</v>
      </c>
      <c r="M1015" s="49" t="b">
        <f>IFERROR(__xludf.DUMMYFUNCTION("""COMPUTED_VALUE"""),FALSE)</f>
        <v>0</v>
      </c>
      <c r="N1015" s="49"/>
    </row>
    <row r="1016">
      <c r="A1016" s="49"/>
      <c r="B1016" s="49"/>
      <c r="C1016" s="49"/>
      <c r="D1016" s="49"/>
      <c r="E1016" s="49"/>
      <c r="F1016" s="49"/>
      <c r="G1016" s="49"/>
      <c r="H1016" s="49"/>
      <c r="I1016" s="49"/>
      <c r="J1016" s="49" t="b">
        <f>IFERROR(__xludf.DUMMYFUNCTION("""COMPUTED_VALUE"""),FALSE)</f>
        <v>0</v>
      </c>
      <c r="K1016" s="49"/>
      <c r="L1016" s="49" t="b">
        <f>IFERROR(__xludf.DUMMYFUNCTION("""COMPUTED_VALUE"""),FALSE)</f>
        <v>0</v>
      </c>
      <c r="M1016" s="49" t="b">
        <f>IFERROR(__xludf.DUMMYFUNCTION("""COMPUTED_VALUE"""),FALSE)</f>
        <v>0</v>
      </c>
      <c r="N1016" s="49"/>
    </row>
    <row r="1017">
      <c r="A1017" s="49"/>
      <c r="B1017" s="49"/>
      <c r="C1017" s="49"/>
      <c r="D1017" s="49"/>
      <c r="E1017" s="49"/>
      <c r="F1017" s="49"/>
      <c r="G1017" s="49"/>
      <c r="H1017" s="49"/>
      <c r="I1017" s="49"/>
      <c r="J1017" s="49" t="b">
        <f>IFERROR(__xludf.DUMMYFUNCTION("""COMPUTED_VALUE"""),FALSE)</f>
        <v>0</v>
      </c>
      <c r="K1017" s="49"/>
      <c r="L1017" s="49" t="b">
        <f>IFERROR(__xludf.DUMMYFUNCTION("""COMPUTED_VALUE"""),FALSE)</f>
        <v>0</v>
      </c>
      <c r="M1017" s="49" t="b">
        <f>IFERROR(__xludf.DUMMYFUNCTION("""COMPUTED_VALUE"""),FALSE)</f>
        <v>0</v>
      </c>
      <c r="N1017" s="49"/>
    </row>
    <row r="1018">
      <c r="A1018" s="49"/>
      <c r="B1018" s="49"/>
      <c r="C1018" s="49"/>
      <c r="D1018" s="49"/>
      <c r="E1018" s="49"/>
      <c r="F1018" s="49"/>
      <c r="G1018" s="49"/>
      <c r="H1018" s="49"/>
      <c r="I1018" s="49"/>
      <c r="J1018" s="49" t="b">
        <f>IFERROR(__xludf.DUMMYFUNCTION("""COMPUTED_VALUE"""),FALSE)</f>
        <v>0</v>
      </c>
      <c r="K1018" s="49"/>
      <c r="L1018" s="49" t="b">
        <f>IFERROR(__xludf.DUMMYFUNCTION("""COMPUTED_VALUE"""),FALSE)</f>
        <v>0</v>
      </c>
      <c r="M1018" s="49" t="b">
        <f>IFERROR(__xludf.DUMMYFUNCTION("""COMPUTED_VALUE"""),FALSE)</f>
        <v>0</v>
      </c>
      <c r="N1018" s="49"/>
    </row>
    <row r="1019">
      <c r="A1019" s="49"/>
      <c r="B1019" s="49"/>
      <c r="C1019" s="49"/>
      <c r="D1019" s="49"/>
      <c r="E1019" s="49"/>
      <c r="F1019" s="49"/>
      <c r="G1019" s="49"/>
      <c r="H1019" s="49"/>
      <c r="I1019" s="49"/>
      <c r="J1019" s="49" t="b">
        <f>IFERROR(__xludf.DUMMYFUNCTION("""COMPUTED_VALUE"""),FALSE)</f>
        <v>0</v>
      </c>
      <c r="K1019" s="49"/>
      <c r="L1019" s="49" t="b">
        <f>IFERROR(__xludf.DUMMYFUNCTION("""COMPUTED_VALUE"""),FALSE)</f>
        <v>0</v>
      </c>
      <c r="M1019" s="49" t="b">
        <f>IFERROR(__xludf.DUMMYFUNCTION("""COMPUTED_VALUE"""),FALSE)</f>
        <v>0</v>
      </c>
      <c r="N1019" s="49"/>
    </row>
    <row r="1020">
      <c r="A1020" s="49"/>
      <c r="B1020" s="49"/>
      <c r="C1020" s="49"/>
      <c r="D1020" s="49"/>
      <c r="E1020" s="49"/>
      <c r="F1020" s="49"/>
      <c r="G1020" s="49"/>
      <c r="H1020" s="49"/>
      <c r="I1020" s="49"/>
      <c r="J1020" s="49" t="b">
        <f>IFERROR(__xludf.DUMMYFUNCTION("""COMPUTED_VALUE"""),FALSE)</f>
        <v>0</v>
      </c>
      <c r="K1020" s="49"/>
      <c r="L1020" s="49" t="b">
        <f>IFERROR(__xludf.DUMMYFUNCTION("""COMPUTED_VALUE"""),FALSE)</f>
        <v>0</v>
      </c>
      <c r="M1020" s="49" t="b">
        <f>IFERROR(__xludf.DUMMYFUNCTION("""COMPUTED_VALUE"""),FALSE)</f>
        <v>0</v>
      </c>
      <c r="N1020" s="49"/>
    </row>
    <row r="1021">
      <c r="A1021" s="49"/>
      <c r="B1021" s="49"/>
      <c r="C1021" s="49"/>
      <c r="D1021" s="49"/>
      <c r="E1021" s="49"/>
      <c r="F1021" s="49"/>
      <c r="G1021" s="49"/>
      <c r="H1021" s="49"/>
      <c r="I1021" s="49"/>
      <c r="J1021" s="49" t="b">
        <f>IFERROR(__xludf.DUMMYFUNCTION("""COMPUTED_VALUE"""),FALSE)</f>
        <v>0</v>
      </c>
      <c r="K1021" s="49"/>
      <c r="L1021" s="49" t="b">
        <f>IFERROR(__xludf.DUMMYFUNCTION("""COMPUTED_VALUE"""),FALSE)</f>
        <v>0</v>
      </c>
      <c r="M1021" s="49" t="b">
        <f>IFERROR(__xludf.DUMMYFUNCTION("""COMPUTED_VALUE"""),FALSE)</f>
        <v>0</v>
      </c>
      <c r="N1021" s="49"/>
    </row>
    <row r="1022">
      <c r="A1022" s="49"/>
      <c r="B1022" s="49"/>
      <c r="C1022" s="49"/>
      <c r="D1022" s="49"/>
      <c r="E1022" s="49"/>
      <c r="F1022" s="49"/>
      <c r="G1022" s="49"/>
      <c r="H1022" s="49"/>
      <c r="I1022" s="49"/>
      <c r="J1022" s="49" t="b">
        <f>IFERROR(__xludf.DUMMYFUNCTION("""COMPUTED_VALUE"""),FALSE)</f>
        <v>0</v>
      </c>
      <c r="K1022" s="49"/>
      <c r="L1022" s="49" t="b">
        <f>IFERROR(__xludf.DUMMYFUNCTION("""COMPUTED_VALUE"""),FALSE)</f>
        <v>0</v>
      </c>
      <c r="M1022" s="49" t="b">
        <f>IFERROR(__xludf.DUMMYFUNCTION("""COMPUTED_VALUE"""),FALSE)</f>
        <v>0</v>
      </c>
      <c r="N1022" s="49"/>
    </row>
    <row r="1023">
      <c r="A1023" s="49"/>
      <c r="B1023" s="49"/>
      <c r="C1023" s="49"/>
      <c r="D1023" s="49"/>
      <c r="E1023" s="49"/>
      <c r="F1023" s="49"/>
      <c r="G1023" s="49"/>
      <c r="H1023" s="49"/>
      <c r="I1023" s="49"/>
      <c r="J1023" s="49" t="b">
        <f>IFERROR(__xludf.DUMMYFUNCTION("""COMPUTED_VALUE"""),FALSE)</f>
        <v>0</v>
      </c>
      <c r="K1023" s="49"/>
      <c r="L1023" s="49" t="b">
        <f>IFERROR(__xludf.DUMMYFUNCTION("""COMPUTED_VALUE"""),FALSE)</f>
        <v>0</v>
      </c>
      <c r="M1023" s="49" t="b">
        <f>IFERROR(__xludf.DUMMYFUNCTION("""COMPUTED_VALUE"""),FALSE)</f>
        <v>0</v>
      </c>
      <c r="N1023" s="49"/>
    </row>
    <row r="1024">
      <c r="A1024" s="49"/>
      <c r="B1024" s="49"/>
      <c r="C1024" s="49"/>
      <c r="D1024" s="49"/>
      <c r="E1024" s="49"/>
      <c r="F1024" s="49"/>
      <c r="G1024" s="49"/>
      <c r="H1024" s="49"/>
      <c r="I1024" s="49"/>
      <c r="J1024" s="49" t="b">
        <f>IFERROR(__xludf.DUMMYFUNCTION("""COMPUTED_VALUE"""),FALSE)</f>
        <v>0</v>
      </c>
      <c r="K1024" s="49"/>
      <c r="L1024" s="49" t="b">
        <f>IFERROR(__xludf.DUMMYFUNCTION("""COMPUTED_VALUE"""),FALSE)</f>
        <v>0</v>
      </c>
      <c r="M1024" s="49" t="b">
        <f>IFERROR(__xludf.DUMMYFUNCTION("""COMPUTED_VALUE"""),FALSE)</f>
        <v>0</v>
      </c>
      <c r="N1024" s="49"/>
    </row>
    <row r="1025">
      <c r="A1025" s="49"/>
      <c r="B1025" s="49"/>
      <c r="C1025" s="49"/>
      <c r="D1025" s="49"/>
      <c r="E1025" s="49"/>
      <c r="F1025" s="49"/>
      <c r="G1025" s="49"/>
      <c r="H1025" s="49"/>
      <c r="I1025" s="49"/>
      <c r="J1025" s="49" t="b">
        <f>IFERROR(__xludf.DUMMYFUNCTION("""COMPUTED_VALUE"""),FALSE)</f>
        <v>0</v>
      </c>
      <c r="K1025" s="49"/>
      <c r="L1025" s="49" t="b">
        <f>IFERROR(__xludf.DUMMYFUNCTION("""COMPUTED_VALUE"""),FALSE)</f>
        <v>0</v>
      </c>
      <c r="M1025" s="49" t="b">
        <f>IFERROR(__xludf.DUMMYFUNCTION("""COMPUTED_VALUE"""),FALSE)</f>
        <v>0</v>
      </c>
      <c r="N1025" s="49"/>
    </row>
    <row r="1026">
      <c r="A1026" s="49"/>
      <c r="B1026" s="49"/>
      <c r="C1026" s="49"/>
      <c r="D1026" s="49"/>
      <c r="E1026" s="49"/>
      <c r="F1026" s="49"/>
      <c r="G1026" s="49"/>
      <c r="H1026" s="49"/>
      <c r="I1026" s="49"/>
      <c r="J1026" s="49" t="b">
        <f>IFERROR(__xludf.DUMMYFUNCTION("""COMPUTED_VALUE"""),FALSE)</f>
        <v>0</v>
      </c>
      <c r="K1026" s="49"/>
      <c r="L1026" s="49" t="b">
        <f>IFERROR(__xludf.DUMMYFUNCTION("""COMPUTED_VALUE"""),FALSE)</f>
        <v>0</v>
      </c>
      <c r="M1026" s="49" t="b">
        <f>IFERROR(__xludf.DUMMYFUNCTION("""COMPUTED_VALUE"""),FALSE)</f>
        <v>0</v>
      </c>
      <c r="N1026" s="49"/>
    </row>
    <row r="1027">
      <c r="A1027" s="49"/>
      <c r="B1027" s="49"/>
      <c r="C1027" s="49"/>
      <c r="D1027" s="49"/>
      <c r="E1027" s="49"/>
      <c r="F1027" s="49"/>
      <c r="G1027" s="49"/>
      <c r="H1027" s="49"/>
      <c r="I1027" s="49"/>
      <c r="J1027" s="49" t="b">
        <f>IFERROR(__xludf.DUMMYFUNCTION("""COMPUTED_VALUE"""),FALSE)</f>
        <v>0</v>
      </c>
      <c r="K1027" s="49"/>
      <c r="L1027" s="49" t="b">
        <f>IFERROR(__xludf.DUMMYFUNCTION("""COMPUTED_VALUE"""),FALSE)</f>
        <v>0</v>
      </c>
      <c r="M1027" s="49" t="b">
        <f>IFERROR(__xludf.DUMMYFUNCTION("""COMPUTED_VALUE"""),FALSE)</f>
        <v>0</v>
      </c>
      <c r="N1027" s="49"/>
    </row>
    <row r="1028">
      <c r="A1028" s="49"/>
      <c r="B1028" s="49"/>
      <c r="C1028" s="49"/>
      <c r="D1028" s="49"/>
      <c r="E1028" s="49"/>
      <c r="F1028" s="49"/>
      <c r="G1028" s="49"/>
      <c r="H1028" s="49"/>
      <c r="I1028" s="49"/>
      <c r="J1028" s="49" t="b">
        <f>IFERROR(__xludf.DUMMYFUNCTION("""COMPUTED_VALUE"""),FALSE)</f>
        <v>0</v>
      </c>
      <c r="K1028" s="49"/>
      <c r="L1028" s="49" t="b">
        <f>IFERROR(__xludf.DUMMYFUNCTION("""COMPUTED_VALUE"""),FALSE)</f>
        <v>0</v>
      </c>
      <c r="M1028" s="49" t="b">
        <f>IFERROR(__xludf.DUMMYFUNCTION("""COMPUTED_VALUE"""),FALSE)</f>
        <v>0</v>
      </c>
      <c r="N1028" s="49"/>
    </row>
    <row r="1029">
      <c r="A1029" s="49"/>
      <c r="B1029" s="49"/>
      <c r="C1029" s="49"/>
      <c r="D1029" s="49"/>
      <c r="E1029" s="49"/>
      <c r="F1029" s="49"/>
      <c r="G1029" s="49"/>
      <c r="H1029" s="49"/>
      <c r="I1029" s="49"/>
      <c r="J1029" s="49" t="b">
        <f>IFERROR(__xludf.DUMMYFUNCTION("""COMPUTED_VALUE"""),FALSE)</f>
        <v>0</v>
      </c>
      <c r="K1029" s="49"/>
      <c r="L1029" s="49" t="b">
        <f>IFERROR(__xludf.DUMMYFUNCTION("""COMPUTED_VALUE"""),FALSE)</f>
        <v>0</v>
      </c>
      <c r="M1029" s="49" t="b">
        <f>IFERROR(__xludf.DUMMYFUNCTION("""COMPUTED_VALUE"""),FALSE)</f>
        <v>0</v>
      </c>
      <c r="N1029" s="49"/>
    </row>
    <row r="1030">
      <c r="A1030" s="49"/>
      <c r="B1030" s="49"/>
      <c r="C1030" s="49"/>
      <c r="D1030" s="49"/>
      <c r="E1030" s="49"/>
      <c r="F1030" s="49"/>
      <c r="G1030" s="49"/>
      <c r="H1030" s="49"/>
      <c r="I1030" s="49"/>
      <c r="J1030" s="49" t="b">
        <f>IFERROR(__xludf.DUMMYFUNCTION("""COMPUTED_VALUE"""),FALSE)</f>
        <v>0</v>
      </c>
      <c r="K1030" s="49"/>
      <c r="L1030" s="49" t="b">
        <f>IFERROR(__xludf.DUMMYFUNCTION("""COMPUTED_VALUE"""),FALSE)</f>
        <v>0</v>
      </c>
      <c r="M1030" s="49" t="b">
        <f>IFERROR(__xludf.DUMMYFUNCTION("""COMPUTED_VALUE"""),FALSE)</f>
        <v>0</v>
      </c>
      <c r="N1030" s="49"/>
    </row>
    <row r="1031">
      <c r="A1031" s="49"/>
      <c r="B1031" s="49"/>
      <c r="C1031" s="49"/>
      <c r="D1031" s="49"/>
      <c r="E1031" s="49"/>
      <c r="F1031" s="49"/>
      <c r="G1031" s="49"/>
      <c r="H1031" s="49"/>
      <c r="I1031" s="49"/>
      <c r="J1031" s="49" t="b">
        <f>IFERROR(__xludf.DUMMYFUNCTION("""COMPUTED_VALUE"""),FALSE)</f>
        <v>0</v>
      </c>
      <c r="K1031" s="49"/>
      <c r="L1031" s="49" t="b">
        <f>IFERROR(__xludf.DUMMYFUNCTION("""COMPUTED_VALUE"""),FALSE)</f>
        <v>0</v>
      </c>
      <c r="M1031" s="49" t="b">
        <f>IFERROR(__xludf.DUMMYFUNCTION("""COMPUTED_VALUE"""),FALSE)</f>
        <v>0</v>
      </c>
      <c r="N1031" s="49"/>
    </row>
    <row r="1032">
      <c r="A1032" s="49"/>
      <c r="B1032" s="49"/>
      <c r="C1032" s="49"/>
      <c r="D1032" s="49"/>
      <c r="E1032" s="49"/>
      <c r="F1032" s="49"/>
      <c r="G1032" s="49"/>
      <c r="H1032" s="49"/>
      <c r="I1032" s="49"/>
      <c r="J1032" s="49" t="b">
        <f>IFERROR(__xludf.DUMMYFUNCTION("""COMPUTED_VALUE"""),FALSE)</f>
        <v>0</v>
      </c>
      <c r="K1032" s="49"/>
      <c r="L1032" s="49" t="b">
        <f>IFERROR(__xludf.DUMMYFUNCTION("""COMPUTED_VALUE"""),FALSE)</f>
        <v>0</v>
      </c>
      <c r="M1032" s="49" t="b">
        <f>IFERROR(__xludf.DUMMYFUNCTION("""COMPUTED_VALUE"""),FALSE)</f>
        <v>0</v>
      </c>
      <c r="N1032" s="49"/>
    </row>
    <row r="1033">
      <c r="A1033" s="49"/>
      <c r="B1033" s="49"/>
      <c r="C1033" s="49"/>
      <c r="D1033" s="49"/>
      <c r="E1033" s="49"/>
      <c r="F1033" s="49"/>
      <c r="G1033" s="49"/>
      <c r="H1033" s="49"/>
      <c r="I1033" s="49"/>
      <c r="J1033" s="49" t="b">
        <f>IFERROR(__xludf.DUMMYFUNCTION("""COMPUTED_VALUE"""),FALSE)</f>
        <v>0</v>
      </c>
      <c r="K1033" s="49"/>
      <c r="L1033" s="49" t="b">
        <f>IFERROR(__xludf.DUMMYFUNCTION("""COMPUTED_VALUE"""),FALSE)</f>
        <v>0</v>
      </c>
      <c r="M1033" s="49" t="b">
        <f>IFERROR(__xludf.DUMMYFUNCTION("""COMPUTED_VALUE"""),FALSE)</f>
        <v>0</v>
      </c>
      <c r="N1033" s="49"/>
    </row>
    <row r="1034">
      <c r="A1034" s="49"/>
      <c r="B1034" s="49"/>
      <c r="C1034" s="49"/>
      <c r="D1034" s="49"/>
      <c r="E1034" s="49"/>
      <c r="F1034" s="49"/>
      <c r="G1034" s="49"/>
      <c r="H1034" s="49"/>
      <c r="I1034" s="49"/>
      <c r="J1034" s="49" t="b">
        <f>IFERROR(__xludf.DUMMYFUNCTION("""COMPUTED_VALUE"""),FALSE)</f>
        <v>0</v>
      </c>
      <c r="K1034" s="49"/>
      <c r="L1034" s="49" t="b">
        <f>IFERROR(__xludf.DUMMYFUNCTION("""COMPUTED_VALUE"""),FALSE)</f>
        <v>0</v>
      </c>
      <c r="M1034" s="49" t="b">
        <f>IFERROR(__xludf.DUMMYFUNCTION("""COMPUTED_VALUE"""),FALSE)</f>
        <v>0</v>
      </c>
      <c r="N1034" s="49"/>
    </row>
    <row r="1035">
      <c r="A1035" s="49"/>
      <c r="B1035" s="49"/>
      <c r="C1035" s="49"/>
      <c r="D1035" s="49"/>
      <c r="E1035" s="49"/>
      <c r="F1035" s="49"/>
      <c r="G1035" s="49"/>
      <c r="H1035" s="49"/>
      <c r="I1035" s="49"/>
      <c r="J1035" s="49" t="b">
        <f>IFERROR(__xludf.DUMMYFUNCTION("""COMPUTED_VALUE"""),FALSE)</f>
        <v>0</v>
      </c>
      <c r="K1035" s="49"/>
      <c r="L1035" s="49" t="b">
        <f>IFERROR(__xludf.DUMMYFUNCTION("""COMPUTED_VALUE"""),FALSE)</f>
        <v>0</v>
      </c>
      <c r="M1035" s="49" t="b">
        <f>IFERROR(__xludf.DUMMYFUNCTION("""COMPUTED_VALUE"""),FALSE)</f>
        <v>0</v>
      </c>
      <c r="N1035" s="49"/>
    </row>
    <row r="1036">
      <c r="A1036" s="49"/>
      <c r="B1036" s="49"/>
      <c r="C1036" s="49"/>
      <c r="D1036" s="49"/>
      <c r="E1036" s="49"/>
      <c r="F1036" s="49"/>
      <c r="G1036" s="49"/>
      <c r="H1036" s="49"/>
      <c r="I1036" s="49"/>
      <c r="J1036" s="49" t="b">
        <f>IFERROR(__xludf.DUMMYFUNCTION("""COMPUTED_VALUE"""),FALSE)</f>
        <v>0</v>
      </c>
      <c r="K1036" s="49"/>
      <c r="L1036" s="49" t="b">
        <f>IFERROR(__xludf.DUMMYFUNCTION("""COMPUTED_VALUE"""),FALSE)</f>
        <v>0</v>
      </c>
      <c r="M1036" s="49" t="b">
        <f>IFERROR(__xludf.DUMMYFUNCTION("""COMPUTED_VALUE"""),FALSE)</f>
        <v>0</v>
      </c>
      <c r="N1036" s="49"/>
    </row>
    <row r="1037">
      <c r="A1037" s="49"/>
      <c r="B1037" s="49"/>
      <c r="C1037" s="49"/>
      <c r="D1037" s="49"/>
      <c r="E1037" s="49"/>
      <c r="F1037" s="49"/>
      <c r="G1037" s="49"/>
      <c r="H1037" s="49"/>
      <c r="I1037" s="49"/>
      <c r="J1037" s="49" t="b">
        <f>IFERROR(__xludf.DUMMYFUNCTION("""COMPUTED_VALUE"""),FALSE)</f>
        <v>0</v>
      </c>
      <c r="K1037" s="49"/>
      <c r="L1037" s="49" t="b">
        <f>IFERROR(__xludf.DUMMYFUNCTION("""COMPUTED_VALUE"""),FALSE)</f>
        <v>0</v>
      </c>
      <c r="M1037" s="49" t="b">
        <f>IFERROR(__xludf.DUMMYFUNCTION("""COMPUTED_VALUE"""),FALSE)</f>
        <v>0</v>
      </c>
      <c r="N1037" s="49"/>
    </row>
    <row r="1038">
      <c r="A1038" s="49"/>
      <c r="B1038" s="49"/>
      <c r="C1038" s="49"/>
      <c r="D1038" s="49"/>
      <c r="E1038" s="49"/>
      <c r="F1038" s="49"/>
      <c r="G1038" s="49"/>
      <c r="H1038" s="49"/>
      <c r="I1038" s="49"/>
      <c r="J1038" s="49" t="b">
        <f>IFERROR(__xludf.DUMMYFUNCTION("""COMPUTED_VALUE"""),FALSE)</f>
        <v>0</v>
      </c>
      <c r="K1038" s="49"/>
      <c r="L1038" s="49" t="b">
        <f>IFERROR(__xludf.DUMMYFUNCTION("""COMPUTED_VALUE"""),FALSE)</f>
        <v>0</v>
      </c>
      <c r="M1038" s="49" t="b">
        <f>IFERROR(__xludf.DUMMYFUNCTION("""COMPUTED_VALUE"""),FALSE)</f>
        <v>0</v>
      </c>
      <c r="N1038" s="49"/>
    </row>
    <row r="1039">
      <c r="A1039" s="49"/>
      <c r="B1039" s="49"/>
      <c r="C1039" s="49"/>
      <c r="D1039" s="49"/>
      <c r="E1039" s="49"/>
      <c r="F1039" s="49"/>
      <c r="G1039" s="49"/>
      <c r="H1039" s="49"/>
      <c r="I1039" s="49"/>
      <c r="J1039" s="49" t="b">
        <f>IFERROR(__xludf.DUMMYFUNCTION("""COMPUTED_VALUE"""),FALSE)</f>
        <v>0</v>
      </c>
      <c r="K1039" s="49"/>
      <c r="L1039" s="49" t="b">
        <f>IFERROR(__xludf.DUMMYFUNCTION("""COMPUTED_VALUE"""),FALSE)</f>
        <v>0</v>
      </c>
      <c r="M1039" s="49" t="b">
        <f>IFERROR(__xludf.DUMMYFUNCTION("""COMPUTED_VALUE"""),FALSE)</f>
        <v>0</v>
      </c>
      <c r="N1039" s="49"/>
    </row>
    <row r="1040">
      <c r="A1040" s="49"/>
      <c r="B1040" s="49"/>
      <c r="C1040" s="49"/>
      <c r="D1040" s="49"/>
      <c r="E1040" s="49"/>
      <c r="F1040" s="49"/>
      <c r="G1040" s="49"/>
      <c r="H1040" s="49"/>
      <c r="I1040" s="49"/>
      <c r="J1040" s="49" t="b">
        <f>IFERROR(__xludf.DUMMYFUNCTION("""COMPUTED_VALUE"""),FALSE)</f>
        <v>0</v>
      </c>
      <c r="K1040" s="49"/>
      <c r="L1040" s="49" t="b">
        <f>IFERROR(__xludf.DUMMYFUNCTION("""COMPUTED_VALUE"""),FALSE)</f>
        <v>0</v>
      </c>
      <c r="M1040" s="49" t="b">
        <f>IFERROR(__xludf.DUMMYFUNCTION("""COMPUTED_VALUE"""),FALSE)</f>
        <v>0</v>
      </c>
      <c r="N1040" s="49"/>
    </row>
    <row r="1041">
      <c r="A1041" s="49"/>
      <c r="B1041" s="49"/>
      <c r="C1041" s="49"/>
      <c r="D1041" s="49"/>
      <c r="E1041" s="49"/>
      <c r="F1041" s="49"/>
      <c r="G1041" s="49"/>
      <c r="H1041" s="49"/>
      <c r="I1041" s="49"/>
      <c r="J1041" s="49" t="b">
        <f>IFERROR(__xludf.DUMMYFUNCTION("""COMPUTED_VALUE"""),FALSE)</f>
        <v>0</v>
      </c>
      <c r="K1041" s="49"/>
      <c r="L1041" s="49" t="b">
        <f>IFERROR(__xludf.DUMMYFUNCTION("""COMPUTED_VALUE"""),FALSE)</f>
        <v>0</v>
      </c>
      <c r="M1041" s="49" t="b">
        <f>IFERROR(__xludf.DUMMYFUNCTION("""COMPUTED_VALUE"""),FALSE)</f>
        <v>0</v>
      </c>
      <c r="N1041" s="49"/>
    </row>
    <row r="1042">
      <c r="A1042" s="49"/>
      <c r="B1042" s="49"/>
      <c r="C1042" s="49"/>
      <c r="D1042" s="49"/>
      <c r="E1042" s="49"/>
      <c r="F1042" s="49"/>
      <c r="G1042" s="49"/>
      <c r="H1042" s="49"/>
      <c r="I1042" s="49"/>
      <c r="J1042" s="49" t="b">
        <f>IFERROR(__xludf.DUMMYFUNCTION("""COMPUTED_VALUE"""),FALSE)</f>
        <v>0</v>
      </c>
      <c r="K1042" s="49"/>
      <c r="L1042" s="49" t="b">
        <f>IFERROR(__xludf.DUMMYFUNCTION("""COMPUTED_VALUE"""),FALSE)</f>
        <v>0</v>
      </c>
      <c r="M1042" s="49" t="b">
        <f>IFERROR(__xludf.DUMMYFUNCTION("""COMPUTED_VALUE"""),FALSE)</f>
        <v>0</v>
      </c>
      <c r="N1042" s="49"/>
    </row>
    <row r="1043">
      <c r="A1043" s="49"/>
      <c r="B1043" s="49"/>
      <c r="C1043" s="49"/>
      <c r="D1043" s="49"/>
      <c r="E1043" s="49"/>
      <c r="F1043" s="49"/>
      <c r="G1043" s="49"/>
      <c r="H1043" s="49"/>
      <c r="I1043" s="49"/>
      <c r="J1043" s="49" t="b">
        <f>IFERROR(__xludf.DUMMYFUNCTION("""COMPUTED_VALUE"""),FALSE)</f>
        <v>0</v>
      </c>
      <c r="K1043" s="49"/>
      <c r="L1043" s="49" t="b">
        <f>IFERROR(__xludf.DUMMYFUNCTION("""COMPUTED_VALUE"""),FALSE)</f>
        <v>0</v>
      </c>
      <c r="M1043" s="49" t="b">
        <f>IFERROR(__xludf.DUMMYFUNCTION("""COMPUTED_VALUE"""),FALSE)</f>
        <v>0</v>
      </c>
      <c r="N1043" s="49"/>
    </row>
    <row r="1044">
      <c r="A1044" s="49"/>
      <c r="B1044" s="49"/>
      <c r="C1044" s="49"/>
      <c r="D1044" s="49"/>
      <c r="E1044" s="49"/>
      <c r="F1044" s="49"/>
      <c r="G1044" s="49"/>
      <c r="H1044" s="49"/>
      <c r="I1044" s="49"/>
      <c r="J1044" s="49" t="b">
        <f>IFERROR(__xludf.DUMMYFUNCTION("""COMPUTED_VALUE"""),FALSE)</f>
        <v>0</v>
      </c>
      <c r="K1044" s="49"/>
      <c r="L1044" s="49" t="b">
        <f>IFERROR(__xludf.DUMMYFUNCTION("""COMPUTED_VALUE"""),FALSE)</f>
        <v>0</v>
      </c>
      <c r="M1044" s="49" t="b">
        <f>IFERROR(__xludf.DUMMYFUNCTION("""COMPUTED_VALUE"""),FALSE)</f>
        <v>0</v>
      </c>
      <c r="N1044" s="49"/>
    </row>
    <row r="1045">
      <c r="A1045" s="49"/>
      <c r="B1045" s="49"/>
      <c r="C1045" s="49"/>
      <c r="D1045" s="49"/>
      <c r="E1045" s="49"/>
      <c r="F1045" s="49"/>
      <c r="G1045" s="49"/>
      <c r="H1045" s="49"/>
      <c r="I1045" s="49"/>
      <c r="J1045" s="49" t="b">
        <f>IFERROR(__xludf.DUMMYFUNCTION("""COMPUTED_VALUE"""),FALSE)</f>
        <v>0</v>
      </c>
      <c r="K1045" s="49"/>
      <c r="L1045" s="49" t="b">
        <f>IFERROR(__xludf.DUMMYFUNCTION("""COMPUTED_VALUE"""),FALSE)</f>
        <v>0</v>
      </c>
      <c r="M1045" s="49" t="b">
        <f>IFERROR(__xludf.DUMMYFUNCTION("""COMPUTED_VALUE"""),FALSE)</f>
        <v>0</v>
      </c>
      <c r="N1045" s="49"/>
    </row>
    <row r="1046">
      <c r="A1046" s="49"/>
      <c r="B1046" s="49"/>
      <c r="C1046" s="49"/>
      <c r="D1046" s="49"/>
      <c r="E1046" s="49"/>
      <c r="F1046" s="49"/>
      <c r="G1046" s="49"/>
      <c r="H1046" s="49"/>
      <c r="I1046" s="49"/>
      <c r="J1046" s="49" t="b">
        <f>IFERROR(__xludf.DUMMYFUNCTION("""COMPUTED_VALUE"""),FALSE)</f>
        <v>0</v>
      </c>
      <c r="K1046" s="49"/>
      <c r="L1046" s="49" t="b">
        <f>IFERROR(__xludf.DUMMYFUNCTION("""COMPUTED_VALUE"""),FALSE)</f>
        <v>0</v>
      </c>
      <c r="M1046" s="49" t="b">
        <f>IFERROR(__xludf.DUMMYFUNCTION("""COMPUTED_VALUE"""),FALSE)</f>
        <v>0</v>
      </c>
      <c r="N1046" s="49"/>
    </row>
    <row r="1047">
      <c r="A1047" s="49"/>
      <c r="B1047" s="49"/>
      <c r="C1047" s="49"/>
      <c r="D1047" s="49"/>
      <c r="E1047" s="49"/>
      <c r="F1047" s="49"/>
      <c r="G1047" s="49"/>
      <c r="H1047" s="49"/>
      <c r="I1047" s="49"/>
      <c r="J1047" s="49" t="b">
        <f>IFERROR(__xludf.DUMMYFUNCTION("""COMPUTED_VALUE"""),FALSE)</f>
        <v>0</v>
      </c>
      <c r="K1047" s="49"/>
      <c r="L1047" s="49" t="b">
        <f>IFERROR(__xludf.DUMMYFUNCTION("""COMPUTED_VALUE"""),FALSE)</f>
        <v>0</v>
      </c>
      <c r="M1047" s="49" t="b">
        <f>IFERROR(__xludf.DUMMYFUNCTION("""COMPUTED_VALUE"""),FALSE)</f>
        <v>0</v>
      </c>
      <c r="N1047" s="49"/>
    </row>
    <row r="1048">
      <c r="A1048" s="49"/>
      <c r="B1048" s="49"/>
      <c r="C1048" s="49"/>
      <c r="D1048" s="49"/>
      <c r="E1048" s="49"/>
      <c r="F1048" s="49"/>
      <c r="G1048" s="49"/>
      <c r="H1048" s="49"/>
      <c r="I1048" s="49"/>
      <c r="J1048" s="49" t="b">
        <f>IFERROR(__xludf.DUMMYFUNCTION("""COMPUTED_VALUE"""),FALSE)</f>
        <v>0</v>
      </c>
      <c r="K1048" s="49"/>
      <c r="L1048" s="49" t="b">
        <f>IFERROR(__xludf.DUMMYFUNCTION("""COMPUTED_VALUE"""),FALSE)</f>
        <v>0</v>
      </c>
      <c r="M1048" s="49" t="b">
        <f>IFERROR(__xludf.DUMMYFUNCTION("""COMPUTED_VALUE"""),FALSE)</f>
        <v>0</v>
      </c>
      <c r="N1048" s="49"/>
    </row>
    <row r="1049">
      <c r="A1049" s="49"/>
      <c r="B1049" s="49"/>
      <c r="C1049" s="49"/>
      <c r="D1049" s="49"/>
      <c r="E1049" s="49"/>
      <c r="F1049" s="49"/>
      <c r="G1049" s="49"/>
      <c r="H1049" s="49"/>
      <c r="I1049" s="49"/>
      <c r="J1049" s="49" t="b">
        <f>IFERROR(__xludf.DUMMYFUNCTION("""COMPUTED_VALUE"""),FALSE)</f>
        <v>0</v>
      </c>
      <c r="K1049" s="49"/>
      <c r="L1049" s="49" t="b">
        <f>IFERROR(__xludf.DUMMYFUNCTION("""COMPUTED_VALUE"""),FALSE)</f>
        <v>0</v>
      </c>
      <c r="M1049" s="49" t="b">
        <f>IFERROR(__xludf.DUMMYFUNCTION("""COMPUTED_VALUE"""),FALSE)</f>
        <v>0</v>
      </c>
      <c r="N1049" s="49"/>
    </row>
    <row r="1050">
      <c r="A1050" s="49"/>
      <c r="B1050" s="49"/>
      <c r="C1050" s="49"/>
      <c r="D1050" s="49"/>
      <c r="E1050" s="49"/>
      <c r="F1050" s="49"/>
      <c r="G1050" s="49"/>
      <c r="H1050" s="49"/>
      <c r="I1050" s="49"/>
      <c r="J1050" s="49" t="b">
        <f>IFERROR(__xludf.DUMMYFUNCTION("""COMPUTED_VALUE"""),FALSE)</f>
        <v>0</v>
      </c>
      <c r="K1050" s="49"/>
      <c r="L1050" s="49" t="b">
        <f>IFERROR(__xludf.DUMMYFUNCTION("""COMPUTED_VALUE"""),FALSE)</f>
        <v>0</v>
      </c>
      <c r="M1050" s="49" t="b">
        <f>IFERROR(__xludf.DUMMYFUNCTION("""COMPUTED_VALUE"""),FALSE)</f>
        <v>0</v>
      </c>
      <c r="N1050" s="49"/>
    </row>
    <row r="1051">
      <c r="A1051" s="49"/>
      <c r="B1051" s="49"/>
      <c r="C1051" s="49"/>
      <c r="D1051" s="49"/>
      <c r="E1051" s="49"/>
      <c r="F1051" s="49"/>
      <c r="G1051" s="49"/>
      <c r="H1051" s="49"/>
      <c r="I1051" s="49"/>
      <c r="J1051" s="49" t="b">
        <f>IFERROR(__xludf.DUMMYFUNCTION("""COMPUTED_VALUE"""),FALSE)</f>
        <v>0</v>
      </c>
      <c r="K1051" s="49"/>
      <c r="L1051" s="49" t="b">
        <f>IFERROR(__xludf.DUMMYFUNCTION("""COMPUTED_VALUE"""),FALSE)</f>
        <v>0</v>
      </c>
      <c r="M1051" s="49" t="b">
        <f>IFERROR(__xludf.DUMMYFUNCTION("""COMPUTED_VALUE"""),FALSE)</f>
        <v>0</v>
      </c>
      <c r="N1051" s="49"/>
    </row>
    <row r="1052">
      <c r="A1052" s="49"/>
      <c r="B1052" s="49"/>
      <c r="C1052" s="49"/>
      <c r="D1052" s="49"/>
      <c r="E1052" s="49"/>
      <c r="F1052" s="49"/>
      <c r="G1052" s="49"/>
      <c r="H1052" s="49"/>
      <c r="I1052" s="49"/>
      <c r="J1052" s="49" t="b">
        <f>IFERROR(__xludf.DUMMYFUNCTION("""COMPUTED_VALUE"""),FALSE)</f>
        <v>0</v>
      </c>
      <c r="K1052" s="49"/>
      <c r="L1052" s="49" t="b">
        <f>IFERROR(__xludf.DUMMYFUNCTION("""COMPUTED_VALUE"""),FALSE)</f>
        <v>0</v>
      </c>
      <c r="M1052" s="49" t="b">
        <f>IFERROR(__xludf.DUMMYFUNCTION("""COMPUTED_VALUE"""),FALSE)</f>
        <v>0</v>
      </c>
      <c r="N1052" s="49"/>
    </row>
    <row r="1053">
      <c r="A1053" s="49"/>
      <c r="B1053" s="49"/>
      <c r="C1053" s="49"/>
      <c r="D1053" s="49"/>
      <c r="E1053" s="49"/>
      <c r="F1053" s="49"/>
      <c r="G1053" s="49"/>
      <c r="H1053" s="49"/>
      <c r="I1053" s="49"/>
      <c r="J1053" s="49" t="b">
        <f>IFERROR(__xludf.DUMMYFUNCTION("""COMPUTED_VALUE"""),FALSE)</f>
        <v>0</v>
      </c>
      <c r="K1053" s="49"/>
      <c r="L1053" s="49" t="b">
        <f>IFERROR(__xludf.DUMMYFUNCTION("""COMPUTED_VALUE"""),FALSE)</f>
        <v>0</v>
      </c>
      <c r="M1053" s="49" t="b">
        <f>IFERROR(__xludf.DUMMYFUNCTION("""COMPUTED_VALUE"""),FALSE)</f>
        <v>0</v>
      </c>
      <c r="N1053" s="49"/>
    </row>
    <row r="1054">
      <c r="A1054" s="49"/>
      <c r="B1054" s="49"/>
      <c r="C1054" s="49"/>
      <c r="D1054" s="49"/>
      <c r="E1054" s="49"/>
      <c r="F1054" s="49"/>
      <c r="G1054" s="49"/>
      <c r="H1054" s="49"/>
      <c r="I1054" s="49"/>
      <c r="J1054" s="49" t="b">
        <f>IFERROR(__xludf.DUMMYFUNCTION("""COMPUTED_VALUE"""),FALSE)</f>
        <v>0</v>
      </c>
      <c r="K1054" s="49"/>
      <c r="L1054" s="49" t="b">
        <f>IFERROR(__xludf.DUMMYFUNCTION("""COMPUTED_VALUE"""),FALSE)</f>
        <v>0</v>
      </c>
      <c r="M1054" s="49" t="b">
        <f>IFERROR(__xludf.DUMMYFUNCTION("""COMPUTED_VALUE"""),FALSE)</f>
        <v>0</v>
      </c>
      <c r="N1054" s="49"/>
    </row>
    <row r="1055">
      <c r="A1055" s="49"/>
      <c r="B1055" s="49"/>
      <c r="C1055" s="49"/>
      <c r="D1055" s="49"/>
      <c r="E1055" s="49"/>
      <c r="F1055" s="49"/>
      <c r="G1055" s="49"/>
      <c r="H1055" s="49"/>
      <c r="I1055" s="49"/>
      <c r="J1055" s="49" t="b">
        <f>IFERROR(__xludf.DUMMYFUNCTION("""COMPUTED_VALUE"""),FALSE)</f>
        <v>0</v>
      </c>
      <c r="K1055" s="49"/>
      <c r="L1055" s="49" t="b">
        <f>IFERROR(__xludf.DUMMYFUNCTION("""COMPUTED_VALUE"""),FALSE)</f>
        <v>0</v>
      </c>
      <c r="M1055" s="49" t="b">
        <f>IFERROR(__xludf.DUMMYFUNCTION("""COMPUTED_VALUE"""),FALSE)</f>
        <v>0</v>
      </c>
      <c r="N1055" s="49"/>
    </row>
    <row r="1056">
      <c r="A1056" s="49"/>
      <c r="B1056" s="49"/>
      <c r="C1056" s="49"/>
      <c r="D1056" s="49"/>
      <c r="E1056" s="49"/>
      <c r="F1056" s="49"/>
      <c r="G1056" s="49"/>
      <c r="H1056" s="49"/>
      <c r="I1056" s="49"/>
      <c r="J1056" s="49" t="b">
        <f>IFERROR(__xludf.DUMMYFUNCTION("""COMPUTED_VALUE"""),FALSE)</f>
        <v>0</v>
      </c>
      <c r="K1056" s="49"/>
      <c r="L1056" s="49" t="b">
        <f>IFERROR(__xludf.DUMMYFUNCTION("""COMPUTED_VALUE"""),FALSE)</f>
        <v>0</v>
      </c>
      <c r="M1056" s="49" t="b">
        <f>IFERROR(__xludf.DUMMYFUNCTION("""COMPUTED_VALUE"""),FALSE)</f>
        <v>0</v>
      </c>
      <c r="N1056" s="49"/>
    </row>
    <row r="1057">
      <c r="A1057" s="49"/>
      <c r="B1057" s="49"/>
      <c r="C1057" s="49"/>
      <c r="D1057" s="49"/>
      <c r="E1057" s="49"/>
      <c r="F1057" s="49"/>
      <c r="G1057" s="49"/>
      <c r="H1057" s="49"/>
      <c r="I1057" s="49"/>
      <c r="J1057" s="49" t="b">
        <f>IFERROR(__xludf.DUMMYFUNCTION("""COMPUTED_VALUE"""),FALSE)</f>
        <v>0</v>
      </c>
      <c r="K1057" s="49"/>
      <c r="L1057" s="49" t="b">
        <f>IFERROR(__xludf.DUMMYFUNCTION("""COMPUTED_VALUE"""),FALSE)</f>
        <v>0</v>
      </c>
      <c r="M1057" s="49" t="b">
        <f>IFERROR(__xludf.DUMMYFUNCTION("""COMPUTED_VALUE"""),FALSE)</f>
        <v>0</v>
      </c>
      <c r="N1057" s="49"/>
    </row>
    <row r="1058">
      <c r="A1058" s="49"/>
      <c r="B1058" s="49"/>
      <c r="C1058" s="49"/>
      <c r="D1058" s="49"/>
      <c r="E1058" s="49"/>
      <c r="F1058" s="49"/>
      <c r="G1058" s="49"/>
      <c r="H1058" s="49"/>
      <c r="I1058" s="49"/>
      <c r="J1058" s="49" t="b">
        <f>IFERROR(__xludf.DUMMYFUNCTION("""COMPUTED_VALUE"""),FALSE)</f>
        <v>0</v>
      </c>
      <c r="K1058" s="49"/>
      <c r="L1058" s="49" t="b">
        <f>IFERROR(__xludf.DUMMYFUNCTION("""COMPUTED_VALUE"""),FALSE)</f>
        <v>0</v>
      </c>
      <c r="M1058" s="49" t="b">
        <f>IFERROR(__xludf.DUMMYFUNCTION("""COMPUTED_VALUE"""),FALSE)</f>
        <v>0</v>
      </c>
      <c r="N1058" s="49"/>
    </row>
    <row r="1059">
      <c r="A1059" s="49"/>
      <c r="B1059" s="49"/>
      <c r="C1059" s="49"/>
      <c r="D1059" s="49"/>
      <c r="E1059" s="49"/>
      <c r="F1059" s="49"/>
      <c r="G1059" s="49"/>
      <c r="H1059" s="49"/>
      <c r="I1059" s="49"/>
      <c r="J1059" s="49" t="b">
        <f>IFERROR(__xludf.DUMMYFUNCTION("""COMPUTED_VALUE"""),FALSE)</f>
        <v>0</v>
      </c>
      <c r="K1059" s="49"/>
      <c r="L1059" s="49" t="b">
        <f>IFERROR(__xludf.DUMMYFUNCTION("""COMPUTED_VALUE"""),FALSE)</f>
        <v>0</v>
      </c>
      <c r="M1059" s="49" t="b">
        <f>IFERROR(__xludf.DUMMYFUNCTION("""COMPUTED_VALUE"""),FALSE)</f>
        <v>0</v>
      </c>
      <c r="N1059" s="49"/>
    </row>
    <row r="1060">
      <c r="A1060" s="49"/>
      <c r="B1060" s="49"/>
      <c r="C1060" s="49"/>
      <c r="D1060" s="49"/>
      <c r="E1060" s="49"/>
      <c r="F1060" s="49"/>
      <c r="G1060" s="49"/>
      <c r="H1060" s="49"/>
      <c r="I1060" s="49"/>
      <c r="J1060" s="49" t="b">
        <f>IFERROR(__xludf.DUMMYFUNCTION("""COMPUTED_VALUE"""),FALSE)</f>
        <v>0</v>
      </c>
      <c r="K1060" s="49"/>
      <c r="L1060" s="49" t="b">
        <f>IFERROR(__xludf.DUMMYFUNCTION("""COMPUTED_VALUE"""),FALSE)</f>
        <v>0</v>
      </c>
      <c r="M1060" s="49" t="b">
        <f>IFERROR(__xludf.DUMMYFUNCTION("""COMPUTED_VALUE"""),FALSE)</f>
        <v>0</v>
      </c>
      <c r="N1060" s="49"/>
    </row>
    <row r="1061">
      <c r="A1061" s="49"/>
      <c r="B1061" s="49"/>
      <c r="C1061" s="49"/>
      <c r="D1061" s="49"/>
      <c r="E1061" s="49"/>
      <c r="F1061" s="49"/>
      <c r="G1061" s="49"/>
      <c r="H1061" s="49"/>
      <c r="I1061" s="49"/>
      <c r="J1061" s="49" t="b">
        <f>IFERROR(__xludf.DUMMYFUNCTION("""COMPUTED_VALUE"""),FALSE)</f>
        <v>0</v>
      </c>
      <c r="K1061" s="49"/>
      <c r="L1061" s="49" t="b">
        <f>IFERROR(__xludf.DUMMYFUNCTION("""COMPUTED_VALUE"""),FALSE)</f>
        <v>0</v>
      </c>
      <c r="M1061" s="49" t="b">
        <f>IFERROR(__xludf.DUMMYFUNCTION("""COMPUTED_VALUE"""),FALSE)</f>
        <v>0</v>
      </c>
      <c r="N1061" s="49"/>
    </row>
    <row r="1062">
      <c r="A1062" s="49"/>
      <c r="B1062" s="49"/>
      <c r="C1062" s="49"/>
      <c r="D1062" s="49"/>
      <c r="E1062" s="49"/>
      <c r="F1062" s="49"/>
      <c r="G1062" s="49"/>
      <c r="H1062" s="49"/>
      <c r="I1062" s="49"/>
      <c r="J1062" s="49" t="b">
        <f>IFERROR(__xludf.DUMMYFUNCTION("""COMPUTED_VALUE"""),FALSE)</f>
        <v>0</v>
      </c>
      <c r="K1062" s="49"/>
      <c r="L1062" s="49" t="b">
        <f>IFERROR(__xludf.DUMMYFUNCTION("""COMPUTED_VALUE"""),FALSE)</f>
        <v>0</v>
      </c>
      <c r="M1062" s="49" t="b">
        <f>IFERROR(__xludf.DUMMYFUNCTION("""COMPUTED_VALUE"""),FALSE)</f>
        <v>0</v>
      </c>
      <c r="N1062" s="49"/>
    </row>
    <row r="1063">
      <c r="A1063" s="49"/>
      <c r="B1063" s="49"/>
      <c r="C1063" s="49"/>
      <c r="D1063" s="49"/>
      <c r="E1063" s="49"/>
      <c r="F1063" s="49"/>
      <c r="G1063" s="49"/>
      <c r="H1063" s="49"/>
      <c r="I1063" s="49"/>
      <c r="J1063" s="49" t="b">
        <f>IFERROR(__xludf.DUMMYFUNCTION("""COMPUTED_VALUE"""),FALSE)</f>
        <v>0</v>
      </c>
      <c r="K1063" s="49"/>
      <c r="L1063" s="49" t="b">
        <f>IFERROR(__xludf.DUMMYFUNCTION("""COMPUTED_VALUE"""),FALSE)</f>
        <v>0</v>
      </c>
      <c r="M1063" s="49" t="b">
        <f>IFERROR(__xludf.DUMMYFUNCTION("""COMPUTED_VALUE"""),FALSE)</f>
        <v>0</v>
      </c>
      <c r="N1063" s="49"/>
    </row>
    <row r="1064">
      <c r="A1064" s="49"/>
      <c r="B1064" s="49"/>
      <c r="C1064" s="49"/>
      <c r="D1064" s="49"/>
      <c r="E1064" s="49"/>
      <c r="F1064" s="49"/>
      <c r="G1064" s="49"/>
      <c r="H1064" s="49"/>
      <c r="I1064" s="49"/>
      <c r="J1064" s="49" t="b">
        <f>IFERROR(__xludf.DUMMYFUNCTION("""COMPUTED_VALUE"""),FALSE)</f>
        <v>0</v>
      </c>
      <c r="K1064" s="49"/>
      <c r="L1064" s="49" t="b">
        <f>IFERROR(__xludf.DUMMYFUNCTION("""COMPUTED_VALUE"""),FALSE)</f>
        <v>0</v>
      </c>
      <c r="M1064" s="49" t="b">
        <f>IFERROR(__xludf.DUMMYFUNCTION("""COMPUTED_VALUE"""),FALSE)</f>
        <v>0</v>
      </c>
      <c r="N1064" s="49"/>
    </row>
    <row r="1065">
      <c r="A1065" s="49"/>
      <c r="B1065" s="49"/>
      <c r="C1065" s="49"/>
      <c r="D1065" s="49"/>
      <c r="E1065" s="49"/>
      <c r="F1065" s="49"/>
      <c r="G1065" s="49"/>
      <c r="H1065" s="49"/>
      <c r="I1065" s="49"/>
      <c r="J1065" s="49" t="b">
        <f>IFERROR(__xludf.DUMMYFUNCTION("""COMPUTED_VALUE"""),FALSE)</f>
        <v>0</v>
      </c>
      <c r="K1065" s="49"/>
      <c r="L1065" s="49" t="b">
        <f>IFERROR(__xludf.DUMMYFUNCTION("""COMPUTED_VALUE"""),FALSE)</f>
        <v>0</v>
      </c>
      <c r="M1065" s="49" t="b">
        <f>IFERROR(__xludf.DUMMYFUNCTION("""COMPUTED_VALUE"""),FALSE)</f>
        <v>0</v>
      </c>
      <c r="N1065" s="49"/>
    </row>
    <row r="1066">
      <c r="A1066" s="49"/>
      <c r="B1066" s="49"/>
      <c r="C1066" s="49"/>
      <c r="D1066" s="49"/>
      <c r="E1066" s="49"/>
      <c r="F1066" s="49"/>
      <c r="G1066" s="49"/>
      <c r="H1066" s="49"/>
      <c r="I1066" s="49"/>
      <c r="J1066" s="49" t="b">
        <f>IFERROR(__xludf.DUMMYFUNCTION("""COMPUTED_VALUE"""),FALSE)</f>
        <v>0</v>
      </c>
      <c r="K1066" s="49"/>
      <c r="L1066" s="49" t="b">
        <f>IFERROR(__xludf.DUMMYFUNCTION("""COMPUTED_VALUE"""),FALSE)</f>
        <v>0</v>
      </c>
      <c r="M1066" s="49" t="b">
        <f>IFERROR(__xludf.DUMMYFUNCTION("""COMPUTED_VALUE"""),FALSE)</f>
        <v>0</v>
      </c>
      <c r="N1066" s="49"/>
    </row>
    <row r="1067">
      <c r="A1067" s="49"/>
      <c r="B1067" s="49"/>
      <c r="C1067" s="49"/>
      <c r="D1067" s="49"/>
      <c r="E1067" s="49"/>
      <c r="F1067" s="49"/>
      <c r="G1067" s="49"/>
      <c r="H1067" s="49"/>
      <c r="I1067" s="49"/>
      <c r="J1067" s="49" t="b">
        <f>IFERROR(__xludf.DUMMYFUNCTION("""COMPUTED_VALUE"""),FALSE)</f>
        <v>0</v>
      </c>
      <c r="K1067" s="49"/>
      <c r="L1067" s="49" t="b">
        <f>IFERROR(__xludf.DUMMYFUNCTION("""COMPUTED_VALUE"""),FALSE)</f>
        <v>0</v>
      </c>
      <c r="M1067" s="49" t="b">
        <f>IFERROR(__xludf.DUMMYFUNCTION("""COMPUTED_VALUE"""),FALSE)</f>
        <v>0</v>
      </c>
      <c r="N1067" s="49"/>
    </row>
    <row r="1068">
      <c r="A1068" s="49"/>
      <c r="B1068" s="49"/>
      <c r="C1068" s="49"/>
      <c r="D1068" s="49"/>
      <c r="E1068" s="49"/>
      <c r="F1068" s="49"/>
      <c r="G1068" s="49"/>
      <c r="H1068" s="49"/>
      <c r="I1068" s="49"/>
      <c r="J1068" s="49" t="b">
        <f>IFERROR(__xludf.DUMMYFUNCTION("""COMPUTED_VALUE"""),FALSE)</f>
        <v>0</v>
      </c>
      <c r="K1068" s="49"/>
      <c r="L1068" s="49" t="b">
        <f>IFERROR(__xludf.DUMMYFUNCTION("""COMPUTED_VALUE"""),FALSE)</f>
        <v>0</v>
      </c>
      <c r="M1068" s="49" t="b">
        <f>IFERROR(__xludf.DUMMYFUNCTION("""COMPUTED_VALUE"""),FALSE)</f>
        <v>0</v>
      </c>
      <c r="N1068" s="49"/>
    </row>
    <row r="1069">
      <c r="A1069" s="49"/>
      <c r="B1069" s="49"/>
      <c r="C1069" s="49"/>
      <c r="D1069" s="49"/>
      <c r="E1069" s="49"/>
      <c r="F1069" s="49"/>
      <c r="G1069" s="49"/>
      <c r="H1069" s="49"/>
      <c r="I1069" s="49"/>
      <c r="J1069" s="49" t="b">
        <f>IFERROR(__xludf.DUMMYFUNCTION("""COMPUTED_VALUE"""),FALSE)</f>
        <v>0</v>
      </c>
      <c r="K1069" s="49"/>
      <c r="L1069" s="49" t="b">
        <f>IFERROR(__xludf.DUMMYFUNCTION("""COMPUTED_VALUE"""),FALSE)</f>
        <v>0</v>
      </c>
      <c r="M1069" s="49" t="b">
        <f>IFERROR(__xludf.DUMMYFUNCTION("""COMPUTED_VALUE"""),FALSE)</f>
        <v>0</v>
      </c>
      <c r="N1069" s="49"/>
    </row>
    <row r="1070">
      <c r="A1070" s="49"/>
      <c r="B1070" s="49"/>
      <c r="C1070" s="49"/>
      <c r="D1070" s="49"/>
      <c r="E1070" s="49"/>
      <c r="F1070" s="49"/>
      <c r="G1070" s="49"/>
      <c r="H1070" s="49"/>
      <c r="I1070" s="49"/>
      <c r="J1070" s="49" t="b">
        <f>IFERROR(__xludf.DUMMYFUNCTION("""COMPUTED_VALUE"""),FALSE)</f>
        <v>0</v>
      </c>
      <c r="K1070" s="49"/>
      <c r="L1070" s="49" t="b">
        <f>IFERROR(__xludf.DUMMYFUNCTION("""COMPUTED_VALUE"""),FALSE)</f>
        <v>0</v>
      </c>
      <c r="M1070" s="49" t="b">
        <f>IFERROR(__xludf.DUMMYFUNCTION("""COMPUTED_VALUE"""),FALSE)</f>
        <v>0</v>
      </c>
      <c r="N1070" s="49"/>
    </row>
    <row r="1071">
      <c r="A1071" s="49"/>
      <c r="B1071" s="49"/>
      <c r="C1071" s="49"/>
      <c r="D1071" s="49"/>
      <c r="E1071" s="49"/>
      <c r="F1071" s="49"/>
      <c r="G1071" s="49"/>
      <c r="H1071" s="49"/>
      <c r="I1071" s="49"/>
      <c r="J1071" s="49" t="b">
        <f>IFERROR(__xludf.DUMMYFUNCTION("""COMPUTED_VALUE"""),FALSE)</f>
        <v>0</v>
      </c>
      <c r="K1071" s="49"/>
      <c r="L1071" s="49" t="b">
        <f>IFERROR(__xludf.DUMMYFUNCTION("""COMPUTED_VALUE"""),FALSE)</f>
        <v>0</v>
      </c>
      <c r="M1071" s="49" t="b">
        <f>IFERROR(__xludf.DUMMYFUNCTION("""COMPUTED_VALUE"""),FALSE)</f>
        <v>0</v>
      </c>
      <c r="N1071" s="49"/>
    </row>
    <row r="1072">
      <c r="A1072" s="49"/>
      <c r="B1072" s="49"/>
      <c r="C1072" s="49"/>
      <c r="D1072" s="49"/>
      <c r="E1072" s="49"/>
      <c r="F1072" s="49"/>
      <c r="G1072" s="49"/>
      <c r="H1072" s="49"/>
      <c r="I1072" s="49"/>
      <c r="J1072" s="49" t="b">
        <f>IFERROR(__xludf.DUMMYFUNCTION("""COMPUTED_VALUE"""),FALSE)</f>
        <v>0</v>
      </c>
      <c r="K1072" s="49"/>
      <c r="L1072" s="49" t="b">
        <f>IFERROR(__xludf.DUMMYFUNCTION("""COMPUTED_VALUE"""),FALSE)</f>
        <v>0</v>
      </c>
      <c r="M1072" s="49" t="b">
        <f>IFERROR(__xludf.DUMMYFUNCTION("""COMPUTED_VALUE"""),FALSE)</f>
        <v>0</v>
      </c>
      <c r="N1072" s="49"/>
    </row>
    <row r="1073">
      <c r="A1073" s="49"/>
      <c r="B1073" s="49"/>
      <c r="C1073" s="49"/>
      <c r="D1073" s="49"/>
      <c r="E1073" s="49"/>
      <c r="F1073" s="49"/>
      <c r="G1073" s="49"/>
      <c r="H1073" s="49"/>
      <c r="I1073" s="49"/>
      <c r="J1073" s="49" t="b">
        <f>IFERROR(__xludf.DUMMYFUNCTION("""COMPUTED_VALUE"""),FALSE)</f>
        <v>0</v>
      </c>
      <c r="K1073" s="49"/>
      <c r="L1073" s="49" t="b">
        <f>IFERROR(__xludf.DUMMYFUNCTION("""COMPUTED_VALUE"""),FALSE)</f>
        <v>0</v>
      </c>
      <c r="M1073" s="49" t="b">
        <f>IFERROR(__xludf.DUMMYFUNCTION("""COMPUTED_VALUE"""),FALSE)</f>
        <v>0</v>
      </c>
      <c r="N1073" s="49"/>
    </row>
    <row r="1074">
      <c r="A1074" s="49"/>
      <c r="B1074" s="49"/>
      <c r="C1074" s="49"/>
      <c r="D1074" s="49"/>
      <c r="E1074" s="49"/>
      <c r="F1074" s="49"/>
      <c r="G1074" s="49"/>
      <c r="H1074" s="49"/>
      <c r="I1074" s="49"/>
      <c r="J1074" s="49" t="b">
        <f>IFERROR(__xludf.DUMMYFUNCTION("""COMPUTED_VALUE"""),FALSE)</f>
        <v>0</v>
      </c>
      <c r="K1074" s="49"/>
      <c r="L1074" s="49" t="b">
        <f>IFERROR(__xludf.DUMMYFUNCTION("""COMPUTED_VALUE"""),FALSE)</f>
        <v>0</v>
      </c>
      <c r="M1074" s="49" t="b">
        <f>IFERROR(__xludf.DUMMYFUNCTION("""COMPUTED_VALUE"""),FALSE)</f>
        <v>0</v>
      </c>
      <c r="N1074" s="49"/>
    </row>
    <row r="1075">
      <c r="A1075" s="49"/>
      <c r="B1075" s="49"/>
      <c r="C1075" s="49"/>
      <c r="D1075" s="49"/>
      <c r="E1075" s="49"/>
      <c r="F1075" s="49"/>
      <c r="G1075" s="49"/>
      <c r="H1075" s="49"/>
      <c r="I1075" s="49"/>
      <c r="J1075" s="49" t="b">
        <f>IFERROR(__xludf.DUMMYFUNCTION("""COMPUTED_VALUE"""),FALSE)</f>
        <v>0</v>
      </c>
      <c r="K1075" s="49"/>
      <c r="L1075" s="49" t="b">
        <f>IFERROR(__xludf.DUMMYFUNCTION("""COMPUTED_VALUE"""),FALSE)</f>
        <v>0</v>
      </c>
      <c r="M1075" s="49" t="b">
        <f>IFERROR(__xludf.DUMMYFUNCTION("""COMPUTED_VALUE"""),FALSE)</f>
        <v>0</v>
      </c>
      <c r="N1075" s="49"/>
    </row>
    <row r="1076">
      <c r="A1076" s="49"/>
      <c r="B1076" s="49"/>
      <c r="C1076" s="49"/>
      <c r="D1076" s="49"/>
      <c r="E1076" s="49"/>
      <c r="F1076" s="49"/>
      <c r="G1076" s="49"/>
      <c r="H1076" s="49"/>
      <c r="I1076" s="49"/>
      <c r="J1076" s="49" t="b">
        <f>IFERROR(__xludf.DUMMYFUNCTION("""COMPUTED_VALUE"""),FALSE)</f>
        <v>0</v>
      </c>
      <c r="K1076" s="49"/>
      <c r="L1076" s="49" t="b">
        <f>IFERROR(__xludf.DUMMYFUNCTION("""COMPUTED_VALUE"""),FALSE)</f>
        <v>0</v>
      </c>
      <c r="M1076" s="49" t="b">
        <f>IFERROR(__xludf.DUMMYFUNCTION("""COMPUTED_VALUE"""),FALSE)</f>
        <v>0</v>
      </c>
      <c r="N1076" s="49"/>
    </row>
    <row r="1077">
      <c r="A1077" s="49"/>
      <c r="B1077" s="49"/>
      <c r="C1077" s="49"/>
      <c r="D1077" s="49"/>
      <c r="E1077" s="49"/>
      <c r="F1077" s="49"/>
      <c r="G1077" s="49"/>
      <c r="H1077" s="49"/>
      <c r="I1077" s="49"/>
      <c r="J1077" s="49" t="b">
        <f>IFERROR(__xludf.DUMMYFUNCTION("""COMPUTED_VALUE"""),FALSE)</f>
        <v>0</v>
      </c>
      <c r="K1077" s="49"/>
      <c r="L1077" s="49" t="b">
        <f>IFERROR(__xludf.DUMMYFUNCTION("""COMPUTED_VALUE"""),FALSE)</f>
        <v>0</v>
      </c>
      <c r="M1077" s="49" t="b">
        <f>IFERROR(__xludf.DUMMYFUNCTION("""COMPUTED_VALUE"""),FALSE)</f>
        <v>0</v>
      </c>
      <c r="N1077" s="49"/>
    </row>
    <row r="1078">
      <c r="A1078" s="49"/>
      <c r="B1078" s="49"/>
      <c r="C1078" s="49"/>
      <c r="D1078" s="49"/>
      <c r="E1078" s="49"/>
      <c r="F1078" s="49"/>
      <c r="G1078" s="49"/>
      <c r="H1078" s="49"/>
      <c r="I1078" s="49"/>
      <c r="J1078" s="49" t="b">
        <f>IFERROR(__xludf.DUMMYFUNCTION("""COMPUTED_VALUE"""),FALSE)</f>
        <v>0</v>
      </c>
      <c r="K1078" s="49"/>
      <c r="L1078" s="49" t="b">
        <f>IFERROR(__xludf.DUMMYFUNCTION("""COMPUTED_VALUE"""),FALSE)</f>
        <v>0</v>
      </c>
      <c r="M1078" s="49" t="b">
        <f>IFERROR(__xludf.DUMMYFUNCTION("""COMPUTED_VALUE"""),FALSE)</f>
        <v>0</v>
      </c>
      <c r="N1078" s="49"/>
    </row>
    <row r="1079">
      <c r="A1079" s="49"/>
      <c r="B1079" s="49"/>
      <c r="C1079" s="49"/>
      <c r="D1079" s="49"/>
      <c r="E1079" s="49"/>
      <c r="F1079" s="49"/>
      <c r="G1079" s="49"/>
      <c r="H1079" s="49"/>
      <c r="I1079" s="49"/>
      <c r="J1079" s="49" t="b">
        <f>IFERROR(__xludf.DUMMYFUNCTION("""COMPUTED_VALUE"""),FALSE)</f>
        <v>0</v>
      </c>
      <c r="K1079" s="49"/>
      <c r="L1079" s="49" t="b">
        <f>IFERROR(__xludf.DUMMYFUNCTION("""COMPUTED_VALUE"""),FALSE)</f>
        <v>0</v>
      </c>
      <c r="M1079" s="49" t="b">
        <f>IFERROR(__xludf.DUMMYFUNCTION("""COMPUTED_VALUE"""),FALSE)</f>
        <v>0</v>
      </c>
      <c r="N1079" s="49"/>
    </row>
    <row r="1080">
      <c r="A1080" s="49"/>
      <c r="B1080" s="49"/>
      <c r="C1080" s="49"/>
      <c r="D1080" s="49"/>
      <c r="E1080" s="49"/>
      <c r="F1080" s="49"/>
      <c r="G1080" s="49"/>
      <c r="H1080" s="49"/>
      <c r="I1080" s="49"/>
      <c r="J1080" s="49" t="b">
        <f>IFERROR(__xludf.DUMMYFUNCTION("""COMPUTED_VALUE"""),FALSE)</f>
        <v>0</v>
      </c>
      <c r="K1080" s="49"/>
      <c r="L1080" s="49" t="b">
        <f>IFERROR(__xludf.DUMMYFUNCTION("""COMPUTED_VALUE"""),FALSE)</f>
        <v>0</v>
      </c>
      <c r="M1080" s="49" t="b">
        <f>IFERROR(__xludf.DUMMYFUNCTION("""COMPUTED_VALUE"""),FALSE)</f>
        <v>0</v>
      </c>
      <c r="N1080" s="49"/>
    </row>
    <row r="1081">
      <c r="A1081" s="49"/>
      <c r="B1081" s="49"/>
      <c r="C1081" s="49"/>
      <c r="D1081" s="49"/>
      <c r="E1081" s="49"/>
      <c r="F1081" s="49"/>
      <c r="G1081" s="49"/>
      <c r="H1081" s="49"/>
      <c r="I1081" s="49"/>
      <c r="J1081" s="49" t="b">
        <f>IFERROR(__xludf.DUMMYFUNCTION("""COMPUTED_VALUE"""),FALSE)</f>
        <v>0</v>
      </c>
      <c r="K1081" s="49"/>
      <c r="L1081" s="49" t="b">
        <f>IFERROR(__xludf.DUMMYFUNCTION("""COMPUTED_VALUE"""),FALSE)</f>
        <v>0</v>
      </c>
      <c r="M1081" s="49" t="b">
        <f>IFERROR(__xludf.DUMMYFUNCTION("""COMPUTED_VALUE"""),FALSE)</f>
        <v>0</v>
      </c>
      <c r="N1081" s="49"/>
    </row>
    <row r="1082">
      <c r="A1082" s="49"/>
      <c r="B1082" s="49"/>
      <c r="C1082" s="49"/>
      <c r="D1082" s="49"/>
      <c r="E1082" s="49"/>
      <c r="F1082" s="49"/>
      <c r="G1082" s="49"/>
      <c r="H1082" s="49"/>
      <c r="I1082" s="49"/>
      <c r="J1082" s="49" t="b">
        <f>IFERROR(__xludf.DUMMYFUNCTION("""COMPUTED_VALUE"""),FALSE)</f>
        <v>0</v>
      </c>
      <c r="K1082" s="49"/>
      <c r="L1082" s="49" t="b">
        <f>IFERROR(__xludf.DUMMYFUNCTION("""COMPUTED_VALUE"""),FALSE)</f>
        <v>0</v>
      </c>
      <c r="M1082" s="49" t="b">
        <f>IFERROR(__xludf.DUMMYFUNCTION("""COMPUTED_VALUE"""),FALSE)</f>
        <v>0</v>
      </c>
      <c r="N1082" s="49"/>
    </row>
    <row r="1083">
      <c r="A1083" s="49"/>
      <c r="B1083" s="49"/>
      <c r="C1083" s="49"/>
      <c r="D1083" s="49"/>
      <c r="E1083" s="49"/>
      <c r="F1083" s="49"/>
      <c r="G1083" s="49"/>
      <c r="H1083" s="49"/>
      <c r="I1083" s="49"/>
      <c r="J1083" s="49" t="b">
        <f>IFERROR(__xludf.DUMMYFUNCTION("""COMPUTED_VALUE"""),FALSE)</f>
        <v>0</v>
      </c>
      <c r="K1083" s="49"/>
      <c r="L1083" s="49" t="b">
        <f>IFERROR(__xludf.DUMMYFUNCTION("""COMPUTED_VALUE"""),FALSE)</f>
        <v>0</v>
      </c>
      <c r="M1083" s="49" t="b">
        <f>IFERROR(__xludf.DUMMYFUNCTION("""COMPUTED_VALUE"""),FALSE)</f>
        <v>0</v>
      </c>
      <c r="N1083" s="49"/>
    </row>
    <row r="1084">
      <c r="A1084" s="49"/>
      <c r="B1084" s="49"/>
      <c r="C1084" s="49"/>
      <c r="D1084" s="49"/>
      <c r="E1084" s="49"/>
      <c r="F1084" s="49"/>
      <c r="G1084" s="49"/>
      <c r="H1084" s="49"/>
      <c r="I1084" s="49"/>
      <c r="J1084" s="49" t="b">
        <f>IFERROR(__xludf.DUMMYFUNCTION("""COMPUTED_VALUE"""),FALSE)</f>
        <v>0</v>
      </c>
      <c r="K1084" s="49"/>
      <c r="L1084" s="49" t="b">
        <f>IFERROR(__xludf.DUMMYFUNCTION("""COMPUTED_VALUE"""),FALSE)</f>
        <v>0</v>
      </c>
      <c r="M1084" s="49" t="b">
        <f>IFERROR(__xludf.DUMMYFUNCTION("""COMPUTED_VALUE"""),FALSE)</f>
        <v>0</v>
      </c>
      <c r="N1084" s="49"/>
    </row>
    <row r="1085">
      <c r="A1085" s="49"/>
      <c r="B1085" s="49"/>
      <c r="C1085" s="49"/>
      <c r="D1085" s="49"/>
      <c r="E1085" s="49"/>
      <c r="F1085" s="49"/>
      <c r="G1085" s="49"/>
      <c r="H1085" s="49"/>
      <c r="I1085" s="49"/>
      <c r="J1085" s="49" t="b">
        <f>IFERROR(__xludf.DUMMYFUNCTION("""COMPUTED_VALUE"""),FALSE)</f>
        <v>0</v>
      </c>
      <c r="K1085" s="49"/>
      <c r="L1085" s="49" t="b">
        <f>IFERROR(__xludf.DUMMYFUNCTION("""COMPUTED_VALUE"""),FALSE)</f>
        <v>0</v>
      </c>
      <c r="M1085" s="49" t="b">
        <f>IFERROR(__xludf.DUMMYFUNCTION("""COMPUTED_VALUE"""),FALSE)</f>
        <v>0</v>
      </c>
      <c r="N1085" s="49"/>
    </row>
    <row r="1086">
      <c r="A1086" s="49"/>
      <c r="B1086" s="49"/>
      <c r="C1086" s="49"/>
      <c r="D1086" s="49"/>
      <c r="E1086" s="49"/>
      <c r="F1086" s="49"/>
      <c r="G1086" s="49"/>
      <c r="H1086" s="49"/>
      <c r="I1086" s="49"/>
      <c r="J1086" s="49" t="b">
        <f>IFERROR(__xludf.DUMMYFUNCTION("""COMPUTED_VALUE"""),FALSE)</f>
        <v>0</v>
      </c>
      <c r="K1086" s="49"/>
      <c r="L1086" s="49" t="b">
        <f>IFERROR(__xludf.DUMMYFUNCTION("""COMPUTED_VALUE"""),FALSE)</f>
        <v>0</v>
      </c>
      <c r="M1086" s="49" t="b">
        <f>IFERROR(__xludf.DUMMYFUNCTION("""COMPUTED_VALUE"""),FALSE)</f>
        <v>0</v>
      </c>
      <c r="N1086" s="49"/>
    </row>
    <row r="1087">
      <c r="A1087" s="49"/>
      <c r="B1087" s="49"/>
      <c r="C1087" s="49"/>
      <c r="D1087" s="49"/>
      <c r="E1087" s="49"/>
      <c r="F1087" s="49"/>
      <c r="G1087" s="49"/>
      <c r="H1087" s="49"/>
      <c r="I1087" s="49"/>
      <c r="J1087" s="49" t="b">
        <f>IFERROR(__xludf.DUMMYFUNCTION("""COMPUTED_VALUE"""),FALSE)</f>
        <v>0</v>
      </c>
      <c r="K1087" s="49"/>
      <c r="L1087" s="49" t="b">
        <f>IFERROR(__xludf.DUMMYFUNCTION("""COMPUTED_VALUE"""),FALSE)</f>
        <v>0</v>
      </c>
      <c r="M1087" s="49" t="b">
        <f>IFERROR(__xludf.DUMMYFUNCTION("""COMPUTED_VALUE"""),FALSE)</f>
        <v>0</v>
      </c>
      <c r="N1087" s="49"/>
    </row>
    <row r="1088">
      <c r="A1088" s="49"/>
      <c r="B1088" s="49"/>
      <c r="C1088" s="49"/>
      <c r="D1088" s="49"/>
      <c r="E1088" s="49"/>
      <c r="F1088" s="49"/>
      <c r="G1088" s="49"/>
      <c r="H1088" s="49"/>
      <c r="I1088" s="49"/>
      <c r="J1088" s="49" t="b">
        <f>IFERROR(__xludf.DUMMYFUNCTION("""COMPUTED_VALUE"""),FALSE)</f>
        <v>0</v>
      </c>
      <c r="K1088" s="49"/>
      <c r="L1088" s="49" t="b">
        <f>IFERROR(__xludf.DUMMYFUNCTION("""COMPUTED_VALUE"""),FALSE)</f>
        <v>0</v>
      </c>
      <c r="M1088" s="49" t="b">
        <f>IFERROR(__xludf.DUMMYFUNCTION("""COMPUTED_VALUE"""),FALSE)</f>
        <v>0</v>
      </c>
      <c r="N1088" s="49"/>
    </row>
    <row r="1089">
      <c r="A1089" s="49"/>
      <c r="B1089" s="49"/>
      <c r="C1089" s="49"/>
      <c r="D1089" s="49"/>
      <c r="E1089" s="49"/>
      <c r="F1089" s="49"/>
      <c r="G1089" s="49"/>
      <c r="H1089" s="49"/>
      <c r="I1089" s="49"/>
      <c r="J1089" s="49" t="b">
        <f>IFERROR(__xludf.DUMMYFUNCTION("""COMPUTED_VALUE"""),FALSE)</f>
        <v>0</v>
      </c>
      <c r="K1089" s="49"/>
      <c r="L1089" s="49" t="b">
        <f>IFERROR(__xludf.DUMMYFUNCTION("""COMPUTED_VALUE"""),FALSE)</f>
        <v>0</v>
      </c>
      <c r="M1089" s="49" t="b">
        <f>IFERROR(__xludf.DUMMYFUNCTION("""COMPUTED_VALUE"""),FALSE)</f>
        <v>0</v>
      </c>
      <c r="N1089" s="49"/>
    </row>
    <row r="1090">
      <c r="A1090" s="49"/>
      <c r="B1090" s="49"/>
      <c r="C1090" s="49"/>
      <c r="D1090" s="49"/>
      <c r="E1090" s="49"/>
      <c r="F1090" s="49"/>
      <c r="G1090" s="49"/>
      <c r="H1090" s="49"/>
      <c r="I1090" s="49"/>
      <c r="J1090" s="49" t="b">
        <f>IFERROR(__xludf.DUMMYFUNCTION("""COMPUTED_VALUE"""),FALSE)</f>
        <v>0</v>
      </c>
      <c r="K1090" s="49"/>
      <c r="L1090" s="49" t="b">
        <f>IFERROR(__xludf.DUMMYFUNCTION("""COMPUTED_VALUE"""),FALSE)</f>
        <v>0</v>
      </c>
      <c r="M1090" s="49" t="b">
        <f>IFERROR(__xludf.DUMMYFUNCTION("""COMPUTED_VALUE"""),FALSE)</f>
        <v>0</v>
      </c>
      <c r="N1090" s="49"/>
    </row>
    <row r="1091">
      <c r="A1091" s="49"/>
      <c r="B1091" s="49"/>
      <c r="C1091" s="49"/>
      <c r="D1091" s="49"/>
      <c r="E1091" s="49"/>
      <c r="F1091" s="49"/>
      <c r="G1091" s="49"/>
      <c r="H1091" s="49"/>
      <c r="I1091" s="49"/>
      <c r="J1091" s="49" t="b">
        <f>IFERROR(__xludf.DUMMYFUNCTION("""COMPUTED_VALUE"""),FALSE)</f>
        <v>0</v>
      </c>
      <c r="K1091" s="49"/>
      <c r="L1091" s="49" t="b">
        <f>IFERROR(__xludf.DUMMYFUNCTION("""COMPUTED_VALUE"""),FALSE)</f>
        <v>0</v>
      </c>
      <c r="M1091" s="49" t="b">
        <f>IFERROR(__xludf.DUMMYFUNCTION("""COMPUTED_VALUE"""),FALSE)</f>
        <v>0</v>
      </c>
      <c r="N1091" s="49"/>
    </row>
    <row r="1092">
      <c r="A1092" s="49"/>
      <c r="B1092" s="49"/>
      <c r="C1092" s="49"/>
      <c r="D1092" s="49"/>
      <c r="E1092" s="49"/>
      <c r="F1092" s="49"/>
      <c r="G1092" s="49"/>
      <c r="H1092" s="49"/>
      <c r="I1092" s="49"/>
      <c r="J1092" s="49" t="b">
        <f>IFERROR(__xludf.DUMMYFUNCTION("""COMPUTED_VALUE"""),FALSE)</f>
        <v>0</v>
      </c>
      <c r="K1092" s="49"/>
      <c r="L1092" s="49" t="b">
        <f>IFERROR(__xludf.DUMMYFUNCTION("""COMPUTED_VALUE"""),FALSE)</f>
        <v>0</v>
      </c>
      <c r="M1092" s="49" t="b">
        <f>IFERROR(__xludf.DUMMYFUNCTION("""COMPUTED_VALUE"""),FALSE)</f>
        <v>0</v>
      </c>
      <c r="N1092" s="49"/>
    </row>
    <row r="1093">
      <c r="A1093" s="49"/>
      <c r="B1093" s="49"/>
      <c r="C1093" s="49"/>
      <c r="D1093" s="49"/>
      <c r="E1093" s="49"/>
      <c r="F1093" s="49"/>
      <c r="G1093" s="49"/>
      <c r="H1093" s="49"/>
      <c r="I1093" s="49"/>
      <c r="J1093" s="49" t="b">
        <f>IFERROR(__xludf.DUMMYFUNCTION("""COMPUTED_VALUE"""),FALSE)</f>
        <v>0</v>
      </c>
      <c r="K1093" s="49"/>
      <c r="L1093" s="49" t="b">
        <f>IFERROR(__xludf.DUMMYFUNCTION("""COMPUTED_VALUE"""),FALSE)</f>
        <v>0</v>
      </c>
      <c r="M1093" s="49" t="b">
        <f>IFERROR(__xludf.DUMMYFUNCTION("""COMPUTED_VALUE"""),FALSE)</f>
        <v>0</v>
      </c>
      <c r="N1093" s="49"/>
    </row>
    <row r="1094">
      <c r="A1094" s="49"/>
      <c r="B1094" s="49"/>
      <c r="C1094" s="49"/>
      <c r="D1094" s="49"/>
      <c r="E1094" s="49"/>
      <c r="F1094" s="49"/>
      <c r="G1094" s="49"/>
      <c r="H1094" s="49"/>
      <c r="I1094" s="49"/>
      <c r="J1094" s="49" t="b">
        <f>IFERROR(__xludf.DUMMYFUNCTION("""COMPUTED_VALUE"""),FALSE)</f>
        <v>0</v>
      </c>
      <c r="K1094" s="49"/>
      <c r="L1094" s="49" t="b">
        <f>IFERROR(__xludf.DUMMYFUNCTION("""COMPUTED_VALUE"""),FALSE)</f>
        <v>0</v>
      </c>
      <c r="M1094" s="49" t="b">
        <f>IFERROR(__xludf.DUMMYFUNCTION("""COMPUTED_VALUE"""),FALSE)</f>
        <v>0</v>
      </c>
      <c r="N1094" s="49"/>
    </row>
    <row r="1095">
      <c r="A1095" s="49"/>
      <c r="B1095" s="49"/>
      <c r="C1095" s="49"/>
      <c r="D1095" s="49"/>
      <c r="E1095" s="49"/>
      <c r="F1095" s="49"/>
      <c r="G1095" s="49"/>
      <c r="H1095" s="49"/>
      <c r="I1095" s="49"/>
      <c r="J1095" s="49" t="b">
        <f>IFERROR(__xludf.DUMMYFUNCTION("""COMPUTED_VALUE"""),FALSE)</f>
        <v>0</v>
      </c>
      <c r="K1095" s="49"/>
      <c r="L1095" s="49" t="b">
        <f>IFERROR(__xludf.DUMMYFUNCTION("""COMPUTED_VALUE"""),FALSE)</f>
        <v>0</v>
      </c>
      <c r="M1095" s="49" t="b">
        <f>IFERROR(__xludf.DUMMYFUNCTION("""COMPUTED_VALUE"""),FALSE)</f>
        <v>0</v>
      </c>
      <c r="N1095" s="49"/>
    </row>
    <row r="1096">
      <c r="A1096" s="49"/>
      <c r="B1096" s="49"/>
      <c r="C1096" s="49"/>
      <c r="D1096" s="49"/>
      <c r="E1096" s="49"/>
      <c r="F1096" s="49"/>
      <c r="G1096" s="49"/>
      <c r="H1096" s="49"/>
      <c r="I1096" s="49"/>
      <c r="J1096" s="49" t="b">
        <f>IFERROR(__xludf.DUMMYFUNCTION("""COMPUTED_VALUE"""),FALSE)</f>
        <v>0</v>
      </c>
      <c r="K1096" s="49"/>
      <c r="L1096" s="49" t="b">
        <f>IFERROR(__xludf.DUMMYFUNCTION("""COMPUTED_VALUE"""),FALSE)</f>
        <v>0</v>
      </c>
      <c r="M1096" s="49" t="b">
        <f>IFERROR(__xludf.DUMMYFUNCTION("""COMPUTED_VALUE"""),FALSE)</f>
        <v>0</v>
      </c>
      <c r="N1096" s="49"/>
    </row>
    <row r="1097">
      <c r="A1097" s="49"/>
      <c r="B1097" s="49"/>
      <c r="C1097" s="49"/>
      <c r="D1097" s="49"/>
      <c r="E1097" s="49"/>
      <c r="F1097" s="49"/>
      <c r="G1097" s="49"/>
      <c r="H1097" s="49"/>
      <c r="I1097" s="49"/>
      <c r="J1097" s="49" t="b">
        <f>IFERROR(__xludf.DUMMYFUNCTION("""COMPUTED_VALUE"""),FALSE)</f>
        <v>0</v>
      </c>
      <c r="K1097" s="49"/>
      <c r="L1097" s="49" t="b">
        <f>IFERROR(__xludf.DUMMYFUNCTION("""COMPUTED_VALUE"""),FALSE)</f>
        <v>0</v>
      </c>
      <c r="M1097" s="49" t="b">
        <f>IFERROR(__xludf.DUMMYFUNCTION("""COMPUTED_VALUE"""),FALSE)</f>
        <v>0</v>
      </c>
      <c r="N1097" s="49"/>
    </row>
    <row r="1098">
      <c r="A1098" s="49"/>
      <c r="B1098" s="49"/>
      <c r="C1098" s="49"/>
      <c r="D1098" s="49"/>
      <c r="E1098" s="49"/>
      <c r="F1098" s="49"/>
      <c r="G1098" s="49"/>
      <c r="H1098" s="49"/>
      <c r="I1098" s="49"/>
      <c r="J1098" s="49" t="b">
        <f>IFERROR(__xludf.DUMMYFUNCTION("""COMPUTED_VALUE"""),FALSE)</f>
        <v>0</v>
      </c>
      <c r="K1098" s="49"/>
      <c r="L1098" s="49" t="b">
        <f>IFERROR(__xludf.DUMMYFUNCTION("""COMPUTED_VALUE"""),FALSE)</f>
        <v>0</v>
      </c>
      <c r="M1098" s="49" t="b">
        <f>IFERROR(__xludf.DUMMYFUNCTION("""COMPUTED_VALUE"""),FALSE)</f>
        <v>0</v>
      </c>
      <c r="N1098" s="49"/>
    </row>
    <row r="1099">
      <c r="A1099" s="49"/>
      <c r="B1099" s="49"/>
      <c r="C1099" s="49"/>
      <c r="D1099" s="49"/>
      <c r="E1099" s="49"/>
      <c r="F1099" s="49"/>
      <c r="G1099" s="49"/>
      <c r="H1099" s="49"/>
      <c r="I1099" s="49"/>
      <c r="J1099" s="49" t="b">
        <f>IFERROR(__xludf.DUMMYFUNCTION("""COMPUTED_VALUE"""),FALSE)</f>
        <v>0</v>
      </c>
      <c r="K1099" s="49"/>
      <c r="L1099" s="49" t="b">
        <f>IFERROR(__xludf.DUMMYFUNCTION("""COMPUTED_VALUE"""),FALSE)</f>
        <v>0</v>
      </c>
      <c r="M1099" s="49" t="b">
        <f>IFERROR(__xludf.DUMMYFUNCTION("""COMPUTED_VALUE"""),FALSE)</f>
        <v>0</v>
      </c>
      <c r="N1099" s="49"/>
    </row>
    <row r="1100">
      <c r="A1100" s="49"/>
      <c r="B1100" s="49"/>
      <c r="C1100" s="49"/>
      <c r="D1100" s="49"/>
      <c r="E1100" s="49"/>
      <c r="F1100" s="49"/>
      <c r="G1100" s="49"/>
      <c r="H1100" s="49"/>
      <c r="I1100" s="49"/>
      <c r="J1100" s="49" t="b">
        <f>IFERROR(__xludf.DUMMYFUNCTION("""COMPUTED_VALUE"""),FALSE)</f>
        <v>0</v>
      </c>
      <c r="K1100" s="49"/>
      <c r="L1100" s="49" t="b">
        <f>IFERROR(__xludf.DUMMYFUNCTION("""COMPUTED_VALUE"""),FALSE)</f>
        <v>0</v>
      </c>
      <c r="M1100" s="49" t="b">
        <f>IFERROR(__xludf.DUMMYFUNCTION("""COMPUTED_VALUE"""),FALSE)</f>
        <v>0</v>
      </c>
      <c r="N1100" s="49"/>
    </row>
    <row r="1101">
      <c r="A1101" s="49"/>
      <c r="B1101" s="49"/>
      <c r="C1101" s="49"/>
      <c r="D1101" s="49"/>
      <c r="E1101" s="49"/>
      <c r="F1101" s="49"/>
      <c r="G1101" s="49"/>
      <c r="H1101" s="49"/>
      <c r="I1101" s="49"/>
      <c r="J1101" s="49" t="b">
        <f>IFERROR(__xludf.DUMMYFUNCTION("""COMPUTED_VALUE"""),FALSE)</f>
        <v>0</v>
      </c>
      <c r="K1101" s="49"/>
      <c r="L1101" s="49" t="b">
        <f>IFERROR(__xludf.DUMMYFUNCTION("""COMPUTED_VALUE"""),FALSE)</f>
        <v>0</v>
      </c>
      <c r="M1101" s="49" t="b">
        <f>IFERROR(__xludf.DUMMYFUNCTION("""COMPUTED_VALUE"""),FALSE)</f>
        <v>0</v>
      </c>
      <c r="N1101" s="49"/>
    </row>
    <row r="1102">
      <c r="A1102" s="49"/>
      <c r="B1102" s="49"/>
      <c r="C1102" s="49"/>
      <c r="D1102" s="49"/>
      <c r="E1102" s="49"/>
      <c r="F1102" s="49"/>
      <c r="G1102" s="49"/>
      <c r="H1102" s="49"/>
      <c r="I1102" s="49"/>
      <c r="J1102" s="49" t="b">
        <f>IFERROR(__xludf.DUMMYFUNCTION("""COMPUTED_VALUE"""),FALSE)</f>
        <v>0</v>
      </c>
      <c r="K1102" s="49"/>
      <c r="L1102" s="49" t="b">
        <f>IFERROR(__xludf.DUMMYFUNCTION("""COMPUTED_VALUE"""),FALSE)</f>
        <v>0</v>
      </c>
      <c r="M1102" s="49" t="b">
        <f>IFERROR(__xludf.DUMMYFUNCTION("""COMPUTED_VALUE"""),FALSE)</f>
        <v>0</v>
      </c>
      <c r="N1102" s="49"/>
    </row>
    <row r="1103">
      <c r="A1103" s="49"/>
      <c r="B1103" s="49"/>
      <c r="C1103" s="49"/>
      <c r="D1103" s="49"/>
      <c r="E1103" s="49"/>
      <c r="F1103" s="49"/>
      <c r="G1103" s="49"/>
      <c r="H1103" s="49"/>
      <c r="I1103" s="49"/>
      <c r="J1103" s="49" t="b">
        <f>IFERROR(__xludf.DUMMYFUNCTION("""COMPUTED_VALUE"""),FALSE)</f>
        <v>0</v>
      </c>
      <c r="K1103" s="49"/>
      <c r="L1103" s="49" t="b">
        <f>IFERROR(__xludf.DUMMYFUNCTION("""COMPUTED_VALUE"""),FALSE)</f>
        <v>0</v>
      </c>
      <c r="M1103" s="49" t="b">
        <f>IFERROR(__xludf.DUMMYFUNCTION("""COMPUTED_VALUE"""),FALSE)</f>
        <v>0</v>
      </c>
      <c r="N1103" s="49"/>
    </row>
    <row r="1104">
      <c r="A1104" s="49"/>
      <c r="B1104" s="49"/>
      <c r="C1104" s="49"/>
      <c r="D1104" s="49"/>
      <c r="E1104" s="49"/>
      <c r="F1104" s="49"/>
      <c r="G1104" s="49"/>
      <c r="H1104" s="49"/>
      <c r="I1104" s="49"/>
      <c r="J1104" s="49" t="b">
        <f>IFERROR(__xludf.DUMMYFUNCTION("""COMPUTED_VALUE"""),FALSE)</f>
        <v>0</v>
      </c>
      <c r="K1104" s="49"/>
      <c r="L1104" s="49" t="b">
        <f>IFERROR(__xludf.DUMMYFUNCTION("""COMPUTED_VALUE"""),FALSE)</f>
        <v>0</v>
      </c>
      <c r="M1104" s="49" t="b">
        <f>IFERROR(__xludf.DUMMYFUNCTION("""COMPUTED_VALUE"""),FALSE)</f>
        <v>0</v>
      </c>
      <c r="N1104" s="49"/>
    </row>
    <row r="1105">
      <c r="A1105" s="49"/>
      <c r="B1105" s="49"/>
      <c r="C1105" s="49"/>
      <c r="D1105" s="49"/>
      <c r="E1105" s="49"/>
      <c r="F1105" s="49"/>
      <c r="G1105" s="49"/>
      <c r="H1105" s="49"/>
      <c r="I1105" s="49"/>
      <c r="J1105" s="49" t="b">
        <f>IFERROR(__xludf.DUMMYFUNCTION("""COMPUTED_VALUE"""),FALSE)</f>
        <v>0</v>
      </c>
      <c r="K1105" s="49"/>
      <c r="L1105" s="49" t="b">
        <f>IFERROR(__xludf.DUMMYFUNCTION("""COMPUTED_VALUE"""),FALSE)</f>
        <v>0</v>
      </c>
      <c r="M1105" s="49" t="b">
        <f>IFERROR(__xludf.DUMMYFUNCTION("""COMPUTED_VALUE"""),FALSE)</f>
        <v>0</v>
      </c>
      <c r="N1105" s="49"/>
    </row>
    <row r="1106">
      <c r="A1106" s="49"/>
      <c r="B1106" s="49"/>
      <c r="C1106" s="49"/>
      <c r="D1106" s="49"/>
      <c r="E1106" s="49"/>
      <c r="F1106" s="49"/>
      <c r="G1106" s="49"/>
      <c r="H1106" s="49"/>
      <c r="I1106" s="49"/>
      <c r="J1106" s="49" t="b">
        <f>IFERROR(__xludf.DUMMYFUNCTION("""COMPUTED_VALUE"""),FALSE)</f>
        <v>0</v>
      </c>
      <c r="K1106" s="49"/>
      <c r="L1106" s="49" t="b">
        <f>IFERROR(__xludf.DUMMYFUNCTION("""COMPUTED_VALUE"""),FALSE)</f>
        <v>0</v>
      </c>
      <c r="M1106" s="49" t="b">
        <f>IFERROR(__xludf.DUMMYFUNCTION("""COMPUTED_VALUE"""),FALSE)</f>
        <v>0</v>
      </c>
      <c r="N1106" s="49"/>
    </row>
    <row r="1107">
      <c r="A1107" s="49"/>
      <c r="B1107" s="49"/>
      <c r="C1107" s="49"/>
      <c r="D1107" s="49"/>
      <c r="E1107" s="49"/>
      <c r="F1107" s="49"/>
      <c r="G1107" s="49"/>
      <c r="H1107" s="49"/>
      <c r="I1107" s="49"/>
      <c r="J1107" s="49" t="b">
        <f>IFERROR(__xludf.DUMMYFUNCTION("""COMPUTED_VALUE"""),FALSE)</f>
        <v>0</v>
      </c>
      <c r="K1107" s="49"/>
      <c r="L1107" s="49" t="b">
        <f>IFERROR(__xludf.DUMMYFUNCTION("""COMPUTED_VALUE"""),FALSE)</f>
        <v>0</v>
      </c>
      <c r="M1107" s="49" t="b">
        <f>IFERROR(__xludf.DUMMYFUNCTION("""COMPUTED_VALUE"""),FALSE)</f>
        <v>0</v>
      </c>
      <c r="N1107" s="49"/>
    </row>
    <row r="1108">
      <c r="A1108" s="49"/>
      <c r="B1108" s="49"/>
      <c r="C1108" s="49"/>
      <c r="D1108" s="49"/>
      <c r="E1108" s="49"/>
      <c r="F1108" s="49"/>
      <c r="G1108" s="49"/>
      <c r="H1108" s="49"/>
      <c r="I1108" s="49"/>
      <c r="J1108" s="49" t="b">
        <f>IFERROR(__xludf.DUMMYFUNCTION("""COMPUTED_VALUE"""),FALSE)</f>
        <v>0</v>
      </c>
      <c r="K1108" s="49"/>
      <c r="L1108" s="49" t="b">
        <f>IFERROR(__xludf.DUMMYFUNCTION("""COMPUTED_VALUE"""),FALSE)</f>
        <v>0</v>
      </c>
      <c r="M1108" s="49" t="b">
        <f>IFERROR(__xludf.DUMMYFUNCTION("""COMPUTED_VALUE"""),FALSE)</f>
        <v>0</v>
      </c>
      <c r="N1108" s="49"/>
    </row>
    <row r="1109">
      <c r="A1109" s="49"/>
      <c r="B1109" s="49"/>
      <c r="C1109" s="49"/>
      <c r="D1109" s="49"/>
      <c r="E1109" s="49"/>
      <c r="F1109" s="49"/>
      <c r="G1109" s="49"/>
      <c r="H1109" s="49"/>
      <c r="I1109" s="49"/>
      <c r="J1109" s="49" t="b">
        <f>IFERROR(__xludf.DUMMYFUNCTION("""COMPUTED_VALUE"""),FALSE)</f>
        <v>0</v>
      </c>
      <c r="K1109" s="49"/>
      <c r="L1109" s="49" t="b">
        <f>IFERROR(__xludf.DUMMYFUNCTION("""COMPUTED_VALUE"""),FALSE)</f>
        <v>0</v>
      </c>
      <c r="M1109" s="49" t="b">
        <f>IFERROR(__xludf.DUMMYFUNCTION("""COMPUTED_VALUE"""),FALSE)</f>
        <v>0</v>
      </c>
      <c r="N1109" s="49"/>
    </row>
    <row r="1110">
      <c r="A1110" s="49"/>
      <c r="B1110" s="49"/>
      <c r="C1110" s="49"/>
      <c r="D1110" s="49"/>
      <c r="E1110" s="49"/>
      <c r="F1110" s="49"/>
      <c r="G1110" s="49"/>
      <c r="H1110" s="49"/>
      <c r="I1110" s="49"/>
      <c r="J1110" s="49" t="b">
        <f>IFERROR(__xludf.DUMMYFUNCTION("""COMPUTED_VALUE"""),FALSE)</f>
        <v>0</v>
      </c>
      <c r="K1110" s="49"/>
      <c r="L1110" s="49" t="b">
        <f>IFERROR(__xludf.DUMMYFUNCTION("""COMPUTED_VALUE"""),FALSE)</f>
        <v>0</v>
      </c>
      <c r="M1110" s="49" t="b">
        <f>IFERROR(__xludf.DUMMYFUNCTION("""COMPUTED_VALUE"""),FALSE)</f>
        <v>0</v>
      </c>
      <c r="N1110" s="49"/>
    </row>
    <row r="1111">
      <c r="A1111" s="49"/>
      <c r="B1111" s="49"/>
      <c r="C1111" s="49"/>
      <c r="D1111" s="49"/>
      <c r="E1111" s="49"/>
      <c r="F1111" s="49"/>
      <c r="G1111" s="49"/>
      <c r="H1111" s="49"/>
      <c r="I1111" s="49"/>
      <c r="J1111" s="49" t="b">
        <f>IFERROR(__xludf.DUMMYFUNCTION("""COMPUTED_VALUE"""),FALSE)</f>
        <v>0</v>
      </c>
      <c r="K1111" s="49"/>
      <c r="L1111" s="49" t="b">
        <f>IFERROR(__xludf.DUMMYFUNCTION("""COMPUTED_VALUE"""),FALSE)</f>
        <v>0</v>
      </c>
      <c r="M1111" s="49" t="b">
        <f>IFERROR(__xludf.DUMMYFUNCTION("""COMPUTED_VALUE"""),FALSE)</f>
        <v>0</v>
      </c>
      <c r="N1111" s="49"/>
    </row>
    <row r="1112">
      <c r="A1112" s="49"/>
      <c r="B1112" s="49"/>
      <c r="C1112" s="49"/>
      <c r="D1112" s="49"/>
      <c r="E1112" s="49"/>
      <c r="F1112" s="49"/>
      <c r="G1112" s="49"/>
      <c r="H1112" s="49"/>
      <c r="I1112" s="49"/>
      <c r="J1112" s="49" t="b">
        <f>IFERROR(__xludf.DUMMYFUNCTION("""COMPUTED_VALUE"""),FALSE)</f>
        <v>0</v>
      </c>
      <c r="K1112" s="49"/>
      <c r="L1112" s="49" t="b">
        <f>IFERROR(__xludf.DUMMYFUNCTION("""COMPUTED_VALUE"""),FALSE)</f>
        <v>0</v>
      </c>
      <c r="M1112" s="49" t="b">
        <f>IFERROR(__xludf.DUMMYFUNCTION("""COMPUTED_VALUE"""),FALSE)</f>
        <v>0</v>
      </c>
      <c r="N1112" s="49"/>
    </row>
    <row r="1113">
      <c r="A1113" s="49"/>
      <c r="B1113" s="49"/>
      <c r="C1113" s="49"/>
      <c r="D1113" s="49"/>
      <c r="E1113" s="49"/>
      <c r="F1113" s="49"/>
      <c r="G1113" s="49"/>
      <c r="H1113" s="49"/>
      <c r="I1113" s="49"/>
      <c r="J1113" s="49" t="b">
        <f>IFERROR(__xludf.DUMMYFUNCTION("""COMPUTED_VALUE"""),FALSE)</f>
        <v>0</v>
      </c>
      <c r="K1113" s="49"/>
      <c r="L1113" s="49" t="b">
        <f>IFERROR(__xludf.DUMMYFUNCTION("""COMPUTED_VALUE"""),FALSE)</f>
        <v>0</v>
      </c>
      <c r="M1113" s="49" t="b">
        <f>IFERROR(__xludf.DUMMYFUNCTION("""COMPUTED_VALUE"""),FALSE)</f>
        <v>0</v>
      </c>
      <c r="N1113" s="49"/>
    </row>
    <row r="1114">
      <c r="A1114" s="49"/>
      <c r="B1114" s="49"/>
      <c r="C1114" s="49"/>
      <c r="D1114" s="49"/>
      <c r="E1114" s="49"/>
      <c r="F1114" s="49"/>
      <c r="G1114" s="49"/>
      <c r="H1114" s="49"/>
      <c r="I1114" s="49"/>
      <c r="J1114" s="49" t="b">
        <f>IFERROR(__xludf.DUMMYFUNCTION("""COMPUTED_VALUE"""),FALSE)</f>
        <v>0</v>
      </c>
      <c r="K1114" s="49"/>
      <c r="L1114" s="49" t="b">
        <f>IFERROR(__xludf.DUMMYFUNCTION("""COMPUTED_VALUE"""),FALSE)</f>
        <v>0</v>
      </c>
      <c r="M1114" s="49" t="b">
        <f>IFERROR(__xludf.DUMMYFUNCTION("""COMPUTED_VALUE"""),FALSE)</f>
        <v>0</v>
      </c>
      <c r="N1114" s="49"/>
    </row>
    <row r="1115">
      <c r="A1115" s="49"/>
      <c r="B1115" s="49"/>
      <c r="C1115" s="49"/>
      <c r="D1115" s="49"/>
      <c r="E1115" s="49"/>
      <c r="F1115" s="49"/>
      <c r="G1115" s="49"/>
      <c r="H1115" s="49"/>
      <c r="I1115" s="49"/>
      <c r="J1115" s="49" t="b">
        <f>IFERROR(__xludf.DUMMYFUNCTION("""COMPUTED_VALUE"""),FALSE)</f>
        <v>0</v>
      </c>
      <c r="K1115" s="49"/>
      <c r="L1115" s="49" t="b">
        <f>IFERROR(__xludf.DUMMYFUNCTION("""COMPUTED_VALUE"""),FALSE)</f>
        <v>0</v>
      </c>
      <c r="M1115" s="49" t="b">
        <f>IFERROR(__xludf.DUMMYFUNCTION("""COMPUTED_VALUE"""),FALSE)</f>
        <v>0</v>
      </c>
      <c r="N1115" s="49"/>
    </row>
    <row r="1116">
      <c r="A1116" s="49"/>
      <c r="B1116" s="49"/>
      <c r="C1116" s="49"/>
      <c r="D1116" s="49"/>
      <c r="E1116" s="49"/>
      <c r="F1116" s="49"/>
      <c r="G1116" s="49"/>
      <c r="H1116" s="49"/>
      <c r="I1116" s="49"/>
      <c r="J1116" s="49" t="b">
        <f>IFERROR(__xludf.DUMMYFUNCTION("""COMPUTED_VALUE"""),FALSE)</f>
        <v>0</v>
      </c>
      <c r="K1116" s="49"/>
      <c r="L1116" s="49" t="b">
        <f>IFERROR(__xludf.DUMMYFUNCTION("""COMPUTED_VALUE"""),FALSE)</f>
        <v>0</v>
      </c>
      <c r="M1116" s="49" t="b">
        <f>IFERROR(__xludf.DUMMYFUNCTION("""COMPUTED_VALUE"""),FALSE)</f>
        <v>0</v>
      </c>
      <c r="N1116" s="49"/>
    </row>
    <row r="1117">
      <c r="A1117" s="49"/>
      <c r="B1117" s="49"/>
      <c r="C1117" s="49"/>
      <c r="D1117" s="49"/>
      <c r="E1117" s="49"/>
      <c r="F1117" s="49"/>
      <c r="G1117" s="49"/>
      <c r="H1117" s="49"/>
      <c r="I1117" s="49"/>
      <c r="J1117" s="49" t="b">
        <f>IFERROR(__xludf.DUMMYFUNCTION("""COMPUTED_VALUE"""),FALSE)</f>
        <v>0</v>
      </c>
      <c r="K1117" s="49"/>
      <c r="L1117" s="49" t="b">
        <f>IFERROR(__xludf.DUMMYFUNCTION("""COMPUTED_VALUE"""),FALSE)</f>
        <v>0</v>
      </c>
      <c r="M1117" s="49" t="b">
        <f>IFERROR(__xludf.DUMMYFUNCTION("""COMPUTED_VALUE"""),FALSE)</f>
        <v>0</v>
      </c>
      <c r="N1117" s="49"/>
    </row>
    <row r="1118">
      <c r="A1118" s="49"/>
      <c r="B1118" s="49"/>
      <c r="C1118" s="49"/>
      <c r="D1118" s="49"/>
      <c r="E1118" s="49"/>
      <c r="F1118" s="49"/>
      <c r="G1118" s="49"/>
      <c r="H1118" s="49"/>
      <c r="I1118" s="49"/>
      <c r="J1118" s="49" t="b">
        <f>IFERROR(__xludf.DUMMYFUNCTION("""COMPUTED_VALUE"""),FALSE)</f>
        <v>0</v>
      </c>
      <c r="K1118" s="49"/>
      <c r="L1118" s="49" t="b">
        <f>IFERROR(__xludf.DUMMYFUNCTION("""COMPUTED_VALUE"""),FALSE)</f>
        <v>0</v>
      </c>
      <c r="M1118" s="49" t="b">
        <f>IFERROR(__xludf.DUMMYFUNCTION("""COMPUTED_VALUE"""),FALSE)</f>
        <v>0</v>
      </c>
      <c r="N1118" s="49"/>
    </row>
    <row r="1119">
      <c r="A1119" s="49"/>
      <c r="B1119" s="49"/>
      <c r="C1119" s="49"/>
      <c r="D1119" s="49"/>
      <c r="E1119" s="49"/>
      <c r="F1119" s="49"/>
      <c r="G1119" s="49"/>
      <c r="H1119" s="49"/>
      <c r="I1119" s="49"/>
      <c r="J1119" s="49" t="b">
        <f>IFERROR(__xludf.DUMMYFUNCTION("""COMPUTED_VALUE"""),FALSE)</f>
        <v>0</v>
      </c>
      <c r="K1119" s="49"/>
      <c r="L1119" s="49" t="b">
        <f>IFERROR(__xludf.DUMMYFUNCTION("""COMPUTED_VALUE"""),FALSE)</f>
        <v>0</v>
      </c>
      <c r="M1119" s="49" t="b">
        <f>IFERROR(__xludf.DUMMYFUNCTION("""COMPUTED_VALUE"""),FALSE)</f>
        <v>0</v>
      </c>
      <c r="N1119" s="49"/>
    </row>
    <row r="1120">
      <c r="A1120" s="49"/>
      <c r="B1120" s="49"/>
      <c r="C1120" s="49"/>
      <c r="D1120" s="49"/>
      <c r="E1120" s="49"/>
      <c r="F1120" s="49"/>
      <c r="G1120" s="49"/>
      <c r="H1120" s="49"/>
      <c r="I1120" s="49"/>
      <c r="J1120" s="49" t="b">
        <f>IFERROR(__xludf.DUMMYFUNCTION("""COMPUTED_VALUE"""),FALSE)</f>
        <v>0</v>
      </c>
      <c r="K1120" s="49"/>
      <c r="L1120" s="49" t="b">
        <f>IFERROR(__xludf.DUMMYFUNCTION("""COMPUTED_VALUE"""),FALSE)</f>
        <v>0</v>
      </c>
      <c r="M1120" s="49" t="b">
        <f>IFERROR(__xludf.DUMMYFUNCTION("""COMPUTED_VALUE"""),FALSE)</f>
        <v>0</v>
      </c>
      <c r="N1120" s="49"/>
    </row>
    <row r="1121">
      <c r="A1121" s="49"/>
      <c r="B1121" s="49"/>
      <c r="C1121" s="49"/>
      <c r="D1121" s="49"/>
      <c r="E1121" s="49"/>
      <c r="F1121" s="49"/>
      <c r="G1121" s="49"/>
      <c r="H1121" s="49"/>
      <c r="I1121" s="49"/>
      <c r="J1121" s="49" t="b">
        <f>IFERROR(__xludf.DUMMYFUNCTION("""COMPUTED_VALUE"""),FALSE)</f>
        <v>0</v>
      </c>
      <c r="K1121" s="49"/>
      <c r="L1121" s="49" t="b">
        <f>IFERROR(__xludf.DUMMYFUNCTION("""COMPUTED_VALUE"""),FALSE)</f>
        <v>0</v>
      </c>
      <c r="M1121" s="49" t="b">
        <f>IFERROR(__xludf.DUMMYFUNCTION("""COMPUTED_VALUE"""),FALSE)</f>
        <v>0</v>
      </c>
      <c r="N1121" s="49"/>
    </row>
    <row r="1122">
      <c r="A1122" s="49"/>
      <c r="B1122" s="49"/>
      <c r="C1122" s="49"/>
      <c r="D1122" s="49"/>
      <c r="E1122" s="49"/>
      <c r="F1122" s="49"/>
      <c r="G1122" s="49"/>
      <c r="H1122" s="49"/>
      <c r="I1122" s="49"/>
      <c r="J1122" s="49" t="b">
        <f>IFERROR(__xludf.DUMMYFUNCTION("""COMPUTED_VALUE"""),FALSE)</f>
        <v>0</v>
      </c>
      <c r="K1122" s="49"/>
      <c r="L1122" s="49" t="b">
        <f>IFERROR(__xludf.DUMMYFUNCTION("""COMPUTED_VALUE"""),FALSE)</f>
        <v>0</v>
      </c>
      <c r="M1122" s="49" t="b">
        <f>IFERROR(__xludf.DUMMYFUNCTION("""COMPUTED_VALUE"""),FALSE)</f>
        <v>0</v>
      </c>
      <c r="N1122" s="49"/>
    </row>
    <row r="1123">
      <c r="A1123" s="49"/>
      <c r="B1123" s="49"/>
      <c r="C1123" s="49"/>
      <c r="D1123" s="49"/>
      <c r="E1123" s="49"/>
      <c r="F1123" s="49"/>
      <c r="G1123" s="49"/>
      <c r="H1123" s="49"/>
      <c r="I1123" s="49"/>
      <c r="J1123" s="49" t="b">
        <f>IFERROR(__xludf.DUMMYFUNCTION("""COMPUTED_VALUE"""),FALSE)</f>
        <v>0</v>
      </c>
      <c r="K1123" s="49"/>
      <c r="L1123" s="49" t="b">
        <f>IFERROR(__xludf.DUMMYFUNCTION("""COMPUTED_VALUE"""),FALSE)</f>
        <v>0</v>
      </c>
      <c r="M1123" s="49" t="b">
        <f>IFERROR(__xludf.DUMMYFUNCTION("""COMPUTED_VALUE"""),FALSE)</f>
        <v>0</v>
      </c>
      <c r="N1123" s="49"/>
    </row>
    <row r="1124">
      <c r="A1124" s="49"/>
      <c r="B1124" s="49"/>
      <c r="C1124" s="49"/>
      <c r="D1124" s="49"/>
      <c r="E1124" s="49"/>
      <c r="F1124" s="49"/>
      <c r="G1124" s="49"/>
      <c r="H1124" s="49"/>
      <c r="I1124" s="49"/>
      <c r="J1124" s="49" t="b">
        <f>IFERROR(__xludf.DUMMYFUNCTION("""COMPUTED_VALUE"""),FALSE)</f>
        <v>0</v>
      </c>
      <c r="K1124" s="49"/>
      <c r="L1124" s="49" t="b">
        <f>IFERROR(__xludf.DUMMYFUNCTION("""COMPUTED_VALUE"""),FALSE)</f>
        <v>0</v>
      </c>
      <c r="M1124" s="49" t="b">
        <f>IFERROR(__xludf.DUMMYFUNCTION("""COMPUTED_VALUE"""),FALSE)</f>
        <v>0</v>
      </c>
      <c r="N1124" s="49"/>
    </row>
    <row r="1125">
      <c r="A1125" s="49"/>
      <c r="B1125" s="49"/>
      <c r="C1125" s="49"/>
      <c r="D1125" s="49"/>
      <c r="E1125" s="49"/>
      <c r="F1125" s="49"/>
      <c r="G1125" s="49"/>
      <c r="H1125" s="49"/>
      <c r="I1125" s="49"/>
      <c r="J1125" s="49" t="b">
        <f>IFERROR(__xludf.DUMMYFUNCTION("""COMPUTED_VALUE"""),FALSE)</f>
        <v>0</v>
      </c>
      <c r="K1125" s="49"/>
      <c r="L1125" s="49" t="b">
        <f>IFERROR(__xludf.DUMMYFUNCTION("""COMPUTED_VALUE"""),FALSE)</f>
        <v>0</v>
      </c>
      <c r="M1125" s="49" t="b">
        <f>IFERROR(__xludf.DUMMYFUNCTION("""COMPUTED_VALUE"""),FALSE)</f>
        <v>0</v>
      </c>
      <c r="N1125" s="49"/>
    </row>
    <row r="1126">
      <c r="A1126" s="49"/>
      <c r="B1126" s="49"/>
      <c r="C1126" s="49"/>
      <c r="D1126" s="49"/>
      <c r="E1126" s="49"/>
      <c r="F1126" s="49"/>
      <c r="G1126" s="49"/>
      <c r="H1126" s="49"/>
      <c r="I1126" s="49"/>
      <c r="J1126" s="49" t="b">
        <f>IFERROR(__xludf.DUMMYFUNCTION("""COMPUTED_VALUE"""),FALSE)</f>
        <v>0</v>
      </c>
      <c r="K1126" s="49"/>
      <c r="L1126" s="49" t="b">
        <f>IFERROR(__xludf.DUMMYFUNCTION("""COMPUTED_VALUE"""),FALSE)</f>
        <v>0</v>
      </c>
      <c r="M1126" s="49" t="b">
        <f>IFERROR(__xludf.DUMMYFUNCTION("""COMPUTED_VALUE"""),FALSE)</f>
        <v>0</v>
      </c>
      <c r="N1126" s="49"/>
    </row>
    <row r="1127">
      <c r="A1127" s="49"/>
      <c r="B1127" s="49"/>
      <c r="C1127" s="49"/>
      <c r="D1127" s="49"/>
      <c r="E1127" s="49"/>
      <c r="F1127" s="49"/>
      <c r="G1127" s="49"/>
      <c r="H1127" s="49"/>
      <c r="I1127" s="49"/>
      <c r="J1127" s="49" t="b">
        <f>IFERROR(__xludf.DUMMYFUNCTION("""COMPUTED_VALUE"""),FALSE)</f>
        <v>0</v>
      </c>
      <c r="K1127" s="49"/>
      <c r="L1127" s="49" t="b">
        <f>IFERROR(__xludf.DUMMYFUNCTION("""COMPUTED_VALUE"""),FALSE)</f>
        <v>0</v>
      </c>
      <c r="M1127" s="49" t="b">
        <f>IFERROR(__xludf.DUMMYFUNCTION("""COMPUTED_VALUE"""),FALSE)</f>
        <v>0</v>
      </c>
      <c r="N1127" s="49"/>
    </row>
    <row r="1128">
      <c r="A1128" s="49"/>
      <c r="B1128" s="49"/>
      <c r="C1128" s="49"/>
      <c r="D1128" s="49"/>
      <c r="E1128" s="49"/>
      <c r="F1128" s="49"/>
      <c r="G1128" s="49"/>
      <c r="H1128" s="49"/>
      <c r="I1128" s="49"/>
      <c r="J1128" s="49" t="b">
        <f>IFERROR(__xludf.DUMMYFUNCTION("""COMPUTED_VALUE"""),FALSE)</f>
        <v>0</v>
      </c>
      <c r="K1128" s="49"/>
      <c r="L1128" s="49" t="b">
        <f>IFERROR(__xludf.DUMMYFUNCTION("""COMPUTED_VALUE"""),FALSE)</f>
        <v>0</v>
      </c>
      <c r="M1128" s="49" t="b">
        <f>IFERROR(__xludf.DUMMYFUNCTION("""COMPUTED_VALUE"""),FALSE)</f>
        <v>0</v>
      </c>
      <c r="N1128" s="49"/>
    </row>
    <row r="1129">
      <c r="A1129" s="49"/>
      <c r="B1129" s="49"/>
      <c r="C1129" s="49"/>
      <c r="D1129" s="49"/>
      <c r="E1129" s="49"/>
      <c r="F1129" s="49"/>
      <c r="G1129" s="49"/>
      <c r="H1129" s="49"/>
      <c r="I1129" s="49"/>
      <c r="J1129" s="49" t="b">
        <f>IFERROR(__xludf.DUMMYFUNCTION("""COMPUTED_VALUE"""),FALSE)</f>
        <v>0</v>
      </c>
      <c r="K1129" s="49"/>
      <c r="L1129" s="49" t="b">
        <f>IFERROR(__xludf.DUMMYFUNCTION("""COMPUTED_VALUE"""),FALSE)</f>
        <v>0</v>
      </c>
      <c r="M1129" s="49" t="b">
        <f>IFERROR(__xludf.DUMMYFUNCTION("""COMPUTED_VALUE"""),FALSE)</f>
        <v>0</v>
      </c>
      <c r="N1129" s="49"/>
    </row>
    <row r="1130">
      <c r="A1130" s="49"/>
      <c r="B1130" s="49"/>
      <c r="C1130" s="49"/>
      <c r="D1130" s="49"/>
      <c r="E1130" s="49"/>
      <c r="F1130" s="49"/>
      <c r="G1130" s="49"/>
      <c r="H1130" s="49"/>
      <c r="I1130" s="49"/>
      <c r="J1130" s="49" t="b">
        <f>IFERROR(__xludf.DUMMYFUNCTION("""COMPUTED_VALUE"""),FALSE)</f>
        <v>0</v>
      </c>
      <c r="K1130" s="49"/>
      <c r="L1130" s="49" t="b">
        <f>IFERROR(__xludf.DUMMYFUNCTION("""COMPUTED_VALUE"""),FALSE)</f>
        <v>0</v>
      </c>
      <c r="M1130" s="49" t="b">
        <f>IFERROR(__xludf.DUMMYFUNCTION("""COMPUTED_VALUE"""),FALSE)</f>
        <v>0</v>
      </c>
      <c r="N1130" s="49"/>
    </row>
    <row r="1131">
      <c r="A1131" s="49"/>
      <c r="B1131" s="49"/>
      <c r="C1131" s="49"/>
      <c r="D1131" s="49"/>
      <c r="E1131" s="49"/>
      <c r="F1131" s="49"/>
      <c r="G1131" s="49"/>
      <c r="H1131" s="49"/>
      <c r="I1131" s="49"/>
      <c r="J1131" s="49" t="b">
        <f>IFERROR(__xludf.DUMMYFUNCTION("""COMPUTED_VALUE"""),FALSE)</f>
        <v>0</v>
      </c>
      <c r="K1131" s="49"/>
      <c r="L1131" s="49" t="b">
        <f>IFERROR(__xludf.DUMMYFUNCTION("""COMPUTED_VALUE"""),FALSE)</f>
        <v>0</v>
      </c>
      <c r="M1131" s="49" t="b">
        <f>IFERROR(__xludf.DUMMYFUNCTION("""COMPUTED_VALUE"""),FALSE)</f>
        <v>0</v>
      </c>
      <c r="N1131" s="49"/>
    </row>
    <row r="1132">
      <c r="A1132" s="49"/>
      <c r="B1132" s="49"/>
      <c r="C1132" s="49"/>
      <c r="D1132" s="49"/>
      <c r="E1132" s="49"/>
      <c r="F1132" s="49"/>
      <c r="G1132" s="49"/>
      <c r="H1132" s="49"/>
      <c r="I1132" s="49"/>
      <c r="J1132" s="49" t="b">
        <f>IFERROR(__xludf.DUMMYFUNCTION("""COMPUTED_VALUE"""),FALSE)</f>
        <v>0</v>
      </c>
      <c r="K1132" s="49"/>
      <c r="L1132" s="49" t="b">
        <f>IFERROR(__xludf.DUMMYFUNCTION("""COMPUTED_VALUE"""),FALSE)</f>
        <v>0</v>
      </c>
      <c r="M1132" s="49" t="b">
        <f>IFERROR(__xludf.DUMMYFUNCTION("""COMPUTED_VALUE"""),FALSE)</f>
        <v>0</v>
      </c>
      <c r="N1132" s="49"/>
    </row>
    <row r="1133">
      <c r="A1133" s="49"/>
      <c r="B1133" s="49"/>
      <c r="C1133" s="49"/>
      <c r="D1133" s="49"/>
      <c r="E1133" s="49"/>
      <c r="F1133" s="49"/>
      <c r="G1133" s="49"/>
      <c r="H1133" s="49"/>
      <c r="I1133" s="49"/>
      <c r="J1133" s="49" t="b">
        <f>IFERROR(__xludf.DUMMYFUNCTION("""COMPUTED_VALUE"""),FALSE)</f>
        <v>0</v>
      </c>
      <c r="K1133" s="49"/>
      <c r="L1133" s="49" t="b">
        <f>IFERROR(__xludf.DUMMYFUNCTION("""COMPUTED_VALUE"""),FALSE)</f>
        <v>0</v>
      </c>
      <c r="M1133" s="49" t="b">
        <f>IFERROR(__xludf.DUMMYFUNCTION("""COMPUTED_VALUE"""),FALSE)</f>
        <v>0</v>
      </c>
      <c r="N1133" s="49"/>
    </row>
    <row r="1134">
      <c r="A1134" s="49"/>
      <c r="B1134" s="49"/>
      <c r="C1134" s="49"/>
      <c r="D1134" s="49"/>
      <c r="E1134" s="49"/>
      <c r="F1134" s="49"/>
      <c r="G1134" s="49"/>
      <c r="H1134" s="49"/>
      <c r="I1134" s="49"/>
      <c r="J1134" s="49" t="b">
        <f>IFERROR(__xludf.DUMMYFUNCTION("""COMPUTED_VALUE"""),FALSE)</f>
        <v>0</v>
      </c>
      <c r="K1134" s="49"/>
      <c r="L1134" s="49" t="b">
        <f>IFERROR(__xludf.DUMMYFUNCTION("""COMPUTED_VALUE"""),FALSE)</f>
        <v>0</v>
      </c>
      <c r="M1134" s="49" t="b">
        <f>IFERROR(__xludf.DUMMYFUNCTION("""COMPUTED_VALUE"""),FALSE)</f>
        <v>0</v>
      </c>
      <c r="N1134" s="49"/>
    </row>
    <row r="1135">
      <c r="A1135" s="49"/>
      <c r="B1135" s="49"/>
      <c r="C1135" s="49"/>
      <c r="D1135" s="49"/>
      <c r="E1135" s="49"/>
      <c r="F1135" s="49"/>
      <c r="G1135" s="49"/>
      <c r="H1135" s="49"/>
      <c r="I1135" s="49"/>
      <c r="J1135" s="49" t="b">
        <f>IFERROR(__xludf.DUMMYFUNCTION("""COMPUTED_VALUE"""),FALSE)</f>
        <v>0</v>
      </c>
      <c r="K1135" s="49"/>
      <c r="L1135" s="49" t="b">
        <f>IFERROR(__xludf.DUMMYFUNCTION("""COMPUTED_VALUE"""),FALSE)</f>
        <v>0</v>
      </c>
      <c r="M1135" s="49" t="b">
        <f>IFERROR(__xludf.DUMMYFUNCTION("""COMPUTED_VALUE"""),FALSE)</f>
        <v>0</v>
      </c>
      <c r="N1135" s="49"/>
    </row>
    <row r="1136">
      <c r="A1136" s="49"/>
      <c r="B1136" s="49"/>
      <c r="C1136" s="49"/>
      <c r="D1136" s="49"/>
      <c r="E1136" s="49"/>
      <c r="F1136" s="49"/>
      <c r="G1136" s="49"/>
      <c r="H1136" s="49"/>
      <c r="I1136" s="49"/>
      <c r="J1136" s="49" t="b">
        <f>IFERROR(__xludf.DUMMYFUNCTION("""COMPUTED_VALUE"""),FALSE)</f>
        <v>0</v>
      </c>
      <c r="K1136" s="49"/>
      <c r="L1136" s="49" t="b">
        <f>IFERROR(__xludf.DUMMYFUNCTION("""COMPUTED_VALUE"""),FALSE)</f>
        <v>0</v>
      </c>
      <c r="M1136" s="49" t="b">
        <f>IFERROR(__xludf.DUMMYFUNCTION("""COMPUTED_VALUE"""),FALSE)</f>
        <v>0</v>
      </c>
      <c r="N1136" s="49"/>
    </row>
    <row r="1137">
      <c r="A1137" s="49"/>
      <c r="B1137" s="49"/>
      <c r="C1137" s="49"/>
      <c r="D1137" s="49"/>
      <c r="E1137" s="49"/>
      <c r="F1137" s="49"/>
      <c r="G1137" s="49"/>
      <c r="H1137" s="49"/>
      <c r="I1137" s="49"/>
      <c r="J1137" s="49" t="b">
        <f>IFERROR(__xludf.DUMMYFUNCTION("""COMPUTED_VALUE"""),FALSE)</f>
        <v>0</v>
      </c>
      <c r="K1137" s="49"/>
      <c r="L1137" s="49" t="b">
        <f>IFERROR(__xludf.DUMMYFUNCTION("""COMPUTED_VALUE"""),FALSE)</f>
        <v>0</v>
      </c>
      <c r="M1137" s="49" t="b">
        <f>IFERROR(__xludf.DUMMYFUNCTION("""COMPUTED_VALUE"""),FALSE)</f>
        <v>0</v>
      </c>
      <c r="N1137" s="49"/>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8" width="20.38"/>
  </cols>
  <sheetData>
    <row r="1">
      <c r="A1" s="49" t="str">
        <f>IFERROR(__xludf.DUMMYFUNCTION("IMPORTRANGE(""https://docs.google.com/spreadsheets/d/""&amp;Config!B1,""ClassCombo!A:AX"")"),"")</f>
        <v/>
      </c>
      <c r="B1" s="49"/>
      <c r="C1" s="49" t="str">
        <f>IFERROR(__xludf.DUMMYFUNCTION("""COMPUTED_VALUE"""),"Fire")</f>
        <v>Fire</v>
      </c>
      <c r="D1" s="49" t="str">
        <f>IFERROR(__xludf.DUMMYFUNCTION("""COMPUTED_VALUE"""),"Water")</f>
        <v>Water</v>
      </c>
      <c r="E1" s="49" t="str">
        <f>IFERROR(__xludf.DUMMYFUNCTION("""COMPUTED_VALUE"""),"Storm")</f>
        <v>Storm</v>
      </c>
      <c r="F1" s="49" t="str">
        <f>IFERROR(__xludf.DUMMYFUNCTION("""COMPUTED_VALUE"""),"Earth")</f>
        <v>Earth</v>
      </c>
      <c r="G1" s="49" t="str">
        <f>IFERROR(__xludf.DUMMYFUNCTION("""COMPUTED_VALUE"""),"Light")</f>
        <v>Light</v>
      </c>
      <c r="H1" s="49" t="str">
        <f>IFERROR(__xludf.DUMMYFUNCTION("""COMPUTED_VALUE"""),"Dark")</f>
        <v>Dark</v>
      </c>
      <c r="I1" s="49" t="str">
        <f>IFERROR(__xludf.DUMMYFUNCTION("""COMPUTED_VALUE"""),"Spirit")</f>
        <v>Spirit</v>
      </c>
      <c r="J1" s="49" t="str">
        <f>IFERROR(__xludf.DUMMYFUNCTION("""COMPUTED_VALUE"""),"Order")</f>
        <v>Order</v>
      </c>
      <c r="K1" s="49" t="str">
        <f>IFERROR(__xludf.DUMMYFUNCTION("""COMPUTED_VALUE"""),"Chaos")</f>
        <v>Chaos</v>
      </c>
      <c r="L1" s="49" t="str">
        <f>IFERROR(__xludf.DUMMYFUNCTION("""COMPUTED_VALUE"""),"Nature")</f>
        <v>Nature</v>
      </c>
      <c r="M1" s="49" t="str">
        <f>IFERROR(__xludf.DUMMYFUNCTION("""COMPUTED_VALUE"""),"Physical")</f>
        <v>Physical</v>
      </c>
      <c r="N1" s="49" t="str">
        <f>IFERROR(__xludf.DUMMYFUNCTION("""COMPUTED_VALUE"""),"Melee")</f>
        <v>Melee</v>
      </c>
      <c r="O1" s="49" t="str">
        <f>IFERROR(__xludf.DUMMYFUNCTION("""COMPUTED_VALUE"""),"Ranged")</f>
        <v>Ranged</v>
      </c>
      <c r="P1" s="49" t="str">
        <f>IFERROR(__xludf.DUMMYFUNCTION("""COMPUTED_VALUE"""),"Stasis")</f>
        <v>Stasis</v>
      </c>
      <c r="Q1" s="49" t="str">
        <f>IFERROR(__xludf.DUMMYFUNCTION("""COMPUTED_VALUE"""),"Twilight")</f>
        <v>Twilight</v>
      </c>
      <c r="R1" s="49" t="str">
        <f>IFERROR(__xludf.DUMMYFUNCTION("""COMPUTED_VALUE"""),"Voodoo")</f>
        <v>Voodoo</v>
      </c>
      <c r="S1" s="49" t="str">
        <f>IFERROR(__xludf.DUMMYFUNCTION("""COMPUTED_VALUE"""),"Blood")</f>
        <v>Blood</v>
      </c>
      <c r="T1" s="49" t="str">
        <f>IFERROR(__xludf.DUMMYFUNCTION("""COMPUTED_VALUE"""),"Delta")</f>
        <v>Delta</v>
      </c>
      <c r="U1" s="49" t="str">
        <f>IFERROR(__xludf.DUMMYFUNCTION("""COMPUTED_VALUE"""),"Zen")</f>
        <v>Zen</v>
      </c>
      <c r="V1" s="49" t="str">
        <f>IFERROR(__xludf.DUMMYFUNCTION("""COMPUTED_VALUE"""),"Time")</f>
        <v>Time</v>
      </c>
      <c r="W1" s="49" t="str">
        <f>IFERROR(__xludf.DUMMYFUNCTION("""COMPUTED_VALUE"""),"Astral")</f>
        <v>Astral</v>
      </c>
      <c r="X1" s="49" t="str">
        <f>IFERROR(__xludf.DUMMYFUNCTION("""COMPUTED_VALUE"""),"Celestial")</f>
        <v>Celestial</v>
      </c>
      <c r="Y1" s="49" t="str">
        <f>IFERROR(__xludf.DUMMYFUNCTION("""COMPUTED_VALUE"""),"Acoustic")</f>
        <v>Acoustic</v>
      </c>
      <c r="Z1" s="49"/>
      <c r="AA1" s="49"/>
      <c r="AB1" s="49"/>
      <c r="AC1" s="49"/>
      <c r="AD1" s="49"/>
      <c r="AE1" s="49"/>
      <c r="AF1" s="49"/>
      <c r="AG1" s="49"/>
      <c r="AH1" s="49"/>
      <c r="AI1" s="49"/>
      <c r="AJ1" s="49"/>
      <c r="AK1" s="49"/>
      <c r="AL1" s="49"/>
      <c r="AM1" s="49"/>
      <c r="AN1" s="49"/>
      <c r="AO1" s="49"/>
      <c r="AP1" s="49"/>
      <c r="AQ1" s="49"/>
      <c r="AR1" s="49"/>
      <c r="AS1" s="49"/>
      <c r="AT1" s="49"/>
      <c r="AU1" s="49"/>
      <c r="AV1" s="49"/>
      <c r="AW1" s="49"/>
      <c r="AX1" s="49"/>
    </row>
    <row r="2">
      <c r="A2" s="49" t="str">
        <f>IFERROR(__xludf.DUMMYFUNCTION("""COMPUTED_VALUE"""),"Archer")</f>
        <v>Archer</v>
      </c>
      <c r="B2" s="49" t="str">
        <f>IFERROR(__xludf.DUMMYFUNCTION("""COMPUTED_VALUE"""),"Skilled Archer")</f>
        <v>Skilled Archer</v>
      </c>
      <c r="C2" s="49"/>
      <c r="D2" s="49"/>
      <c r="E2" s="49"/>
      <c r="F2" s="49"/>
      <c r="G2" s="49"/>
      <c r="H2" s="49"/>
      <c r="I2" s="49"/>
      <c r="J2" s="49"/>
      <c r="K2" s="49"/>
      <c r="L2" s="49"/>
      <c r="M2" s="49">
        <f>IFERROR(__xludf.DUMMYFUNCTION("""COMPUTED_VALUE"""),9.0)</f>
        <v>9</v>
      </c>
      <c r="N2" s="49"/>
      <c r="O2" s="49">
        <f>IFERROR(__xludf.DUMMYFUNCTION("""COMPUTED_VALUE"""),9.0)</f>
        <v>9</v>
      </c>
      <c r="P2" s="49"/>
      <c r="Q2" s="49"/>
      <c r="R2" s="49"/>
      <c r="S2" s="49"/>
      <c r="T2" s="49"/>
      <c r="U2" s="49"/>
      <c r="V2" s="49"/>
      <c r="W2" s="49"/>
      <c r="X2" s="49"/>
      <c r="Y2" s="49"/>
      <c r="Z2" s="49"/>
      <c r="AA2" s="49"/>
      <c r="AB2" s="49"/>
      <c r="AC2" s="49"/>
      <c r="AD2" s="49"/>
      <c r="AE2" s="49"/>
      <c r="AF2" s="49"/>
      <c r="AG2" s="49"/>
      <c r="AH2" s="49"/>
      <c r="AI2" s="49"/>
      <c r="AJ2" s="49"/>
      <c r="AK2" s="49"/>
      <c r="AL2" s="49"/>
      <c r="AM2" s="49"/>
      <c r="AN2" s="49"/>
      <c r="AO2" s="49"/>
      <c r="AP2" s="49"/>
      <c r="AQ2" s="49"/>
      <c r="AR2" s="49"/>
      <c r="AS2" s="49"/>
      <c r="AT2" s="49"/>
      <c r="AU2" s="49"/>
      <c r="AV2" s="49"/>
      <c r="AW2" s="49"/>
      <c r="AX2" s="49"/>
    </row>
    <row r="3">
      <c r="A3" s="49" t="str">
        <f>IFERROR(__xludf.DUMMYFUNCTION("""COMPUTED_VALUE"""),"Archer")</f>
        <v>Archer</v>
      </c>
      <c r="B3" s="49" t="str">
        <f>IFERROR(__xludf.DUMMYFUNCTION("""COMPUTED_VALUE"""),"Javelineer")</f>
        <v>Javelineer</v>
      </c>
      <c r="C3" s="49"/>
      <c r="D3" s="49"/>
      <c r="E3" s="49"/>
      <c r="F3" s="49"/>
      <c r="G3" s="49"/>
      <c r="H3" s="49"/>
      <c r="I3" s="49"/>
      <c r="J3" s="49"/>
      <c r="K3" s="49"/>
      <c r="L3" s="49"/>
      <c r="M3" s="49">
        <f>IFERROR(__xludf.DUMMYFUNCTION("""COMPUTED_VALUE"""),9.0)</f>
        <v>9</v>
      </c>
      <c r="N3" s="49"/>
      <c r="O3" s="49">
        <f>IFERROR(__xludf.DUMMYFUNCTION("""COMPUTED_VALUE"""),9.0)</f>
        <v>9</v>
      </c>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49"/>
      <c r="AW3" s="49"/>
      <c r="AX3" s="49"/>
    </row>
    <row r="4">
      <c r="A4" s="49" t="str">
        <f>IFERROR(__xludf.DUMMYFUNCTION("""COMPUTED_VALUE"""),"Bard")</f>
        <v>Bard</v>
      </c>
      <c r="B4" s="49" t="str">
        <f>IFERROR(__xludf.DUMMYFUNCTION("""COMPUTED_VALUE"""),"Master Bard")</f>
        <v>Master Bard</v>
      </c>
      <c r="C4" s="49">
        <f>IFERROR(__xludf.DUMMYFUNCTION("""COMPUTED_VALUE"""),9.0)</f>
        <v>9</v>
      </c>
      <c r="D4" s="49">
        <f>IFERROR(__xludf.DUMMYFUNCTION("""COMPUTED_VALUE"""),9.0)</f>
        <v>9</v>
      </c>
      <c r="E4" s="49">
        <f>IFERROR(__xludf.DUMMYFUNCTION("""COMPUTED_VALUE"""),9.0)</f>
        <v>9</v>
      </c>
      <c r="F4" s="49">
        <f>IFERROR(__xludf.DUMMYFUNCTION("""COMPUTED_VALUE"""),9.0)</f>
        <v>9</v>
      </c>
      <c r="G4" s="49">
        <f>IFERROR(__xludf.DUMMYFUNCTION("""COMPUTED_VALUE"""),9.0)</f>
        <v>9</v>
      </c>
      <c r="H4" s="49">
        <f>IFERROR(__xludf.DUMMYFUNCTION("""COMPUTED_VALUE"""),9.0)</f>
        <v>9</v>
      </c>
      <c r="I4" s="49">
        <f>IFERROR(__xludf.DUMMYFUNCTION("""COMPUTED_VALUE"""),9.0)</f>
        <v>9</v>
      </c>
      <c r="J4" s="49">
        <f>IFERROR(__xludf.DUMMYFUNCTION("""COMPUTED_VALUE"""),9.0)</f>
        <v>9</v>
      </c>
      <c r="K4" s="49">
        <f>IFERROR(__xludf.DUMMYFUNCTION("""COMPUTED_VALUE"""),9.0)</f>
        <v>9</v>
      </c>
      <c r="L4" s="49">
        <f>IFERROR(__xludf.DUMMYFUNCTION("""COMPUTED_VALUE"""),9.0)</f>
        <v>9</v>
      </c>
      <c r="M4" s="49">
        <f>IFERROR(__xludf.DUMMYFUNCTION("""COMPUTED_VALUE"""),9.0)</f>
        <v>9</v>
      </c>
      <c r="N4" s="49">
        <f>IFERROR(__xludf.DUMMYFUNCTION("""COMPUTED_VALUE"""),9.0)</f>
        <v>9</v>
      </c>
      <c r="O4" s="49">
        <f>IFERROR(__xludf.DUMMYFUNCTION("""COMPUTED_VALUE"""),9.0)</f>
        <v>9</v>
      </c>
      <c r="P4" s="49">
        <f>IFERROR(__xludf.DUMMYFUNCTION("""COMPUTED_VALUE"""),9.0)</f>
        <v>9</v>
      </c>
      <c r="Q4" s="49">
        <f>IFERROR(__xludf.DUMMYFUNCTION("""COMPUTED_VALUE"""),9.0)</f>
        <v>9</v>
      </c>
      <c r="R4" s="49">
        <f>IFERROR(__xludf.DUMMYFUNCTION("""COMPUTED_VALUE"""),9.0)</f>
        <v>9</v>
      </c>
      <c r="S4" s="49">
        <f>IFERROR(__xludf.DUMMYFUNCTION("""COMPUTED_VALUE"""),9.0)</f>
        <v>9</v>
      </c>
      <c r="T4" s="49">
        <f>IFERROR(__xludf.DUMMYFUNCTION("""COMPUTED_VALUE"""),9.0)</f>
        <v>9</v>
      </c>
      <c r="U4" s="49"/>
      <c r="V4" s="49"/>
      <c r="W4" s="49">
        <f>IFERROR(__xludf.DUMMYFUNCTION("""COMPUTED_VALUE"""),9.0)</f>
        <v>9</v>
      </c>
      <c r="X4" s="49"/>
      <c r="Y4" s="49">
        <f>IFERROR(__xludf.DUMMYFUNCTION("""COMPUTED_VALUE"""),9.0)</f>
        <v>9</v>
      </c>
      <c r="Z4" s="49"/>
      <c r="AA4" s="49"/>
      <c r="AB4" s="49"/>
      <c r="AC4" s="49"/>
      <c r="AD4" s="49"/>
      <c r="AE4" s="49"/>
      <c r="AF4" s="49"/>
      <c r="AG4" s="49"/>
      <c r="AH4" s="49"/>
      <c r="AI4" s="49"/>
      <c r="AJ4" s="49"/>
      <c r="AK4" s="49"/>
      <c r="AL4" s="49"/>
      <c r="AM4" s="49"/>
      <c r="AN4" s="49"/>
      <c r="AO4" s="49"/>
      <c r="AP4" s="49"/>
      <c r="AQ4" s="49"/>
      <c r="AR4" s="49"/>
      <c r="AS4" s="49"/>
      <c r="AT4" s="49"/>
      <c r="AU4" s="49"/>
      <c r="AV4" s="49"/>
      <c r="AW4" s="49"/>
      <c r="AX4" s="49"/>
    </row>
    <row r="5">
      <c r="A5" s="49" t="str">
        <f>IFERROR(__xludf.DUMMYFUNCTION("""COMPUTED_VALUE"""),"Bombadier")</f>
        <v>Bombadier</v>
      </c>
      <c r="B5" s="49" t="str">
        <f>IFERROR(__xludf.DUMMYFUNCTION("""COMPUTED_VALUE"""),"Grenadier")</f>
        <v>Grenadier</v>
      </c>
      <c r="C5" s="49">
        <f>IFERROR(__xludf.DUMMYFUNCTION("""COMPUTED_VALUE"""),9.0)</f>
        <v>9</v>
      </c>
      <c r="D5" s="49"/>
      <c r="E5" s="49"/>
      <c r="F5" s="49"/>
      <c r="G5" s="49"/>
      <c r="H5" s="49"/>
      <c r="I5" s="49"/>
      <c r="J5" s="49"/>
      <c r="K5" s="49"/>
      <c r="L5" s="49"/>
      <c r="M5" s="49">
        <f>IFERROR(__xludf.DUMMYFUNCTION("""COMPUTED_VALUE"""),9.0)</f>
        <v>9</v>
      </c>
      <c r="N5" s="49">
        <f>IFERROR(__xludf.DUMMYFUNCTION("""COMPUTED_VALUE"""),9.0)</f>
        <v>9</v>
      </c>
      <c r="O5" s="49">
        <f>IFERROR(__xludf.DUMMYFUNCTION("""COMPUTED_VALUE"""),9.0)</f>
        <v>9</v>
      </c>
      <c r="P5" s="49"/>
      <c r="Q5" s="49"/>
      <c r="R5" s="49"/>
      <c r="S5" s="49"/>
      <c r="T5" s="49"/>
      <c r="U5" s="49"/>
      <c r="V5" s="49"/>
      <c r="W5" s="49"/>
      <c r="X5" s="49"/>
      <c r="Y5" s="49"/>
      <c r="Z5" s="49"/>
      <c r="AA5" s="49"/>
      <c r="AB5" s="49"/>
      <c r="AC5" s="49"/>
      <c r="AD5" s="49"/>
      <c r="AE5" s="49"/>
      <c r="AF5" s="49"/>
      <c r="AG5" s="49"/>
      <c r="AH5" s="49"/>
      <c r="AI5" s="49"/>
      <c r="AJ5" s="49"/>
      <c r="AK5" s="49"/>
      <c r="AL5" s="49"/>
      <c r="AM5" s="49"/>
      <c r="AN5" s="49"/>
      <c r="AO5" s="49"/>
      <c r="AP5" s="49"/>
      <c r="AQ5" s="49"/>
      <c r="AR5" s="49"/>
      <c r="AS5" s="49"/>
      <c r="AT5" s="49"/>
      <c r="AU5" s="49"/>
      <c r="AV5" s="49"/>
      <c r="AW5" s="49"/>
      <c r="AX5" s="49"/>
    </row>
    <row r="6">
      <c r="A6" s="49" t="str">
        <f>IFERROR(__xludf.DUMMYFUNCTION("""COMPUTED_VALUE"""),"Bombadier")</f>
        <v>Bombadier</v>
      </c>
      <c r="B6" s="49" t="str">
        <f>IFERROR(__xludf.DUMMYFUNCTION("""COMPUTED_VALUE"""),"Cannonier")</f>
        <v>Cannonier</v>
      </c>
      <c r="C6" s="49"/>
      <c r="D6" s="49"/>
      <c r="E6" s="49"/>
      <c r="F6" s="49"/>
      <c r="G6" s="49">
        <f>IFERROR(__xludf.DUMMYFUNCTION("""COMPUTED_VALUE"""),9.0)</f>
        <v>9</v>
      </c>
      <c r="H6" s="49"/>
      <c r="I6" s="49"/>
      <c r="J6" s="49"/>
      <c r="K6" s="49"/>
      <c r="L6" s="49"/>
      <c r="M6" s="49">
        <f>IFERROR(__xludf.DUMMYFUNCTION("""COMPUTED_VALUE"""),9.0)</f>
        <v>9</v>
      </c>
      <c r="N6" s="49">
        <f>IFERROR(__xludf.DUMMYFUNCTION("""COMPUTED_VALUE"""),9.0)</f>
        <v>9</v>
      </c>
      <c r="O6" s="49">
        <f>IFERROR(__xludf.DUMMYFUNCTION("""COMPUTED_VALUE"""),9.0)</f>
        <v>9</v>
      </c>
      <c r="P6" s="49"/>
      <c r="Q6" s="49"/>
      <c r="R6" s="49"/>
      <c r="S6" s="49"/>
      <c r="T6" s="49"/>
      <c r="U6" s="49"/>
      <c r="V6" s="49"/>
      <c r="W6" s="49"/>
      <c r="X6" s="49"/>
      <c r="Y6" s="49"/>
      <c r="Z6" s="49"/>
      <c r="AA6" s="49"/>
      <c r="AB6" s="49"/>
      <c r="AC6" s="49"/>
      <c r="AD6" s="49"/>
      <c r="AE6" s="49"/>
      <c r="AF6" s="49"/>
      <c r="AG6" s="49"/>
      <c r="AH6" s="49"/>
      <c r="AI6" s="49"/>
      <c r="AJ6" s="49"/>
      <c r="AK6" s="49"/>
      <c r="AL6" s="49"/>
      <c r="AM6" s="49"/>
      <c r="AN6" s="49"/>
      <c r="AO6" s="49"/>
      <c r="AP6" s="49"/>
      <c r="AQ6" s="49"/>
      <c r="AR6" s="49"/>
      <c r="AS6" s="49"/>
      <c r="AT6" s="49"/>
      <c r="AU6" s="49"/>
      <c r="AV6" s="49"/>
      <c r="AW6" s="49"/>
      <c r="AX6" s="49"/>
    </row>
    <row r="7">
      <c r="A7" s="49" t="str">
        <f>IFERROR(__xludf.DUMMYFUNCTION("""COMPUTED_VALUE"""),"Brawler")</f>
        <v>Brawler</v>
      </c>
      <c r="B7" s="49" t="str">
        <f>IFERROR(__xludf.DUMMYFUNCTION("""COMPUTED_VALUE"""),"Skilled Fighter")</f>
        <v>Skilled Fighter</v>
      </c>
      <c r="C7" s="49"/>
      <c r="D7" s="49"/>
      <c r="E7" s="49"/>
      <c r="F7" s="49"/>
      <c r="G7" s="49"/>
      <c r="H7" s="49"/>
      <c r="I7" s="49"/>
      <c r="J7" s="49"/>
      <c r="K7" s="49"/>
      <c r="L7" s="49"/>
      <c r="M7" s="49">
        <f>IFERROR(__xludf.DUMMYFUNCTION("""COMPUTED_VALUE"""),9.0)</f>
        <v>9</v>
      </c>
      <c r="N7" s="49">
        <f>IFERROR(__xludf.DUMMYFUNCTION("""COMPUTED_VALUE"""),9.0)</f>
        <v>9</v>
      </c>
      <c r="O7" s="49">
        <f>IFERROR(__xludf.DUMMYFUNCTION("""COMPUTED_VALUE"""),9.0)</f>
        <v>9</v>
      </c>
      <c r="P7" s="49"/>
      <c r="Q7" s="49"/>
      <c r="R7" s="49"/>
      <c r="S7" s="49"/>
      <c r="T7" s="49"/>
      <c r="U7" s="49"/>
      <c r="V7" s="49"/>
      <c r="W7" s="49"/>
      <c r="X7" s="49"/>
      <c r="Y7" s="49"/>
      <c r="Z7" s="49"/>
      <c r="AA7" s="49"/>
      <c r="AB7" s="49"/>
      <c r="AC7" s="49"/>
      <c r="AD7" s="49"/>
      <c r="AE7" s="49"/>
      <c r="AF7" s="49"/>
      <c r="AG7" s="49"/>
      <c r="AH7" s="49"/>
      <c r="AI7" s="49"/>
      <c r="AJ7" s="49"/>
      <c r="AK7" s="49"/>
      <c r="AL7" s="49"/>
      <c r="AM7" s="49"/>
      <c r="AN7" s="49"/>
      <c r="AO7" s="49"/>
      <c r="AP7" s="49"/>
      <c r="AQ7" s="49"/>
      <c r="AR7" s="49"/>
      <c r="AS7" s="49"/>
      <c r="AT7" s="49"/>
      <c r="AU7" s="49"/>
      <c r="AV7" s="49"/>
      <c r="AW7" s="49"/>
      <c r="AX7" s="49"/>
    </row>
    <row r="8">
      <c r="A8" s="49" t="str">
        <f>IFERROR(__xludf.DUMMYFUNCTION("""COMPUTED_VALUE"""),"Cavalier")</f>
        <v>Cavalier</v>
      </c>
      <c r="B8" s="49" t="str">
        <f>IFERROR(__xludf.DUMMYFUNCTION("""COMPUTED_VALUE"""),"Dragon Rider")</f>
        <v>Dragon Rider</v>
      </c>
      <c r="C8" s="49">
        <f>IFERROR(__xludf.DUMMYFUNCTION("""COMPUTED_VALUE"""),3.0)</f>
        <v>3</v>
      </c>
      <c r="D8" s="49">
        <f>IFERROR(__xludf.DUMMYFUNCTION("""COMPUTED_VALUE"""),3.0)</f>
        <v>3</v>
      </c>
      <c r="E8" s="49">
        <f>IFERROR(__xludf.DUMMYFUNCTION("""COMPUTED_VALUE"""),3.0)</f>
        <v>3</v>
      </c>
      <c r="F8" s="49">
        <f>IFERROR(__xludf.DUMMYFUNCTION("""COMPUTED_VALUE"""),3.0)</f>
        <v>3</v>
      </c>
      <c r="G8" s="49">
        <f>IFERROR(__xludf.DUMMYFUNCTION("""COMPUTED_VALUE"""),3.0)</f>
        <v>3</v>
      </c>
      <c r="H8" s="49">
        <f>IFERROR(__xludf.DUMMYFUNCTION("""COMPUTED_VALUE"""),3.0)</f>
        <v>3</v>
      </c>
      <c r="I8" s="49">
        <f>IFERROR(__xludf.DUMMYFUNCTION("""COMPUTED_VALUE"""),3.0)</f>
        <v>3</v>
      </c>
      <c r="J8" s="49">
        <f>IFERROR(__xludf.DUMMYFUNCTION("""COMPUTED_VALUE"""),3.0)</f>
        <v>3</v>
      </c>
      <c r="K8" s="49">
        <f>IFERROR(__xludf.DUMMYFUNCTION("""COMPUTED_VALUE"""),3.0)</f>
        <v>3</v>
      </c>
      <c r="L8" s="49">
        <f>IFERROR(__xludf.DUMMYFUNCTION("""COMPUTED_VALUE"""),3.0)</f>
        <v>3</v>
      </c>
      <c r="M8" s="49">
        <f>IFERROR(__xludf.DUMMYFUNCTION("""COMPUTED_VALUE"""),3.0)</f>
        <v>3</v>
      </c>
      <c r="N8" s="49">
        <f>IFERROR(__xludf.DUMMYFUNCTION("""COMPUTED_VALUE"""),3.0)</f>
        <v>3</v>
      </c>
      <c r="O8" s="49">
        <f>IFERROR(__xludf.DUMMYFUNCTION("""COMPUTED_VALUE"""),3.0)</f>
        <v>3</v>
      </c>
      <c r="P8" s="49">
        <f>IFERROR(__xludf.DUMMYFUNCTION("""COMPUTED_VALUE"""),3.0)</f>
        <v>3</v>
      </c>
      <c r="Q8" s="49">
        <f>IFERROR(__xludf.DUMMYFUNCTION("""COMPUTED_VALUE"""),3.0)</f>
        <v>3</v>
      </c>
      <c r="R8" s="49">
        <f>IFERROR(__xludf.DUMMYFUNCTION("""COMPUTED_VALUE"""),3.0)</f>
        <v>3</v>
      </c>
      <c r="S8" s="49">
        <f>IFERROR(__xludf.DUMMYFUNCTION("""COMPUTED_VALUE"""),3.0)</f>
        <v>3</v>
      </c>
      <c r="T8" s="49">
        <f>IFERROR(__xludf.DUMMYFUNCTION("""COMPUTED_VALUE"""),3.0)</f>
        <v>3</v>
      </c>
      <c r="U8" s="49"/>
      <c r="V8" s="49"/>
      <c r="W8" s="49">
        <f>IFERROR(__xludf.DUMMYFUNCTION("""COMPUTED_VALUE"""),3.0)</f>
        <v>3</v>
      </c>
      <c r="X8" s="49"/>
      <c r="Y8" s="49"/>
      <c r="Z8" s="49"/>
      <c r="AA8" s="49"/>
      <c r="AB8" s="49"/>
      <c r="AC8" s="49"/>
      <c r="AD8" s="49"/>
      <c r="AE8" s="49"/>
      <c r="AF8" s="49"/>
      <c r="AG8" s="49"/>
      <c r="AH8" s="49"/>
      <c r="AI8" s="49"/>
      <c r="AJ8" s="49"/>
      <c r="AK8" s="49"/>
      <c r="AL8" s="49"/>
      <c r="AM8" s="49"/>
      <c r="AN8" s="49"/>
      <c r="AO8" s="49"/>
      <c r="AP8" s="49"/>
      <c r="AQ8" s="49"/>
      <c r="AR8" s="49"/>
      <c r="AS8" s="49"/>
      <c r="AT8" s="49"/>
      <c r="AU8" s="49"/>
      <c r="AV8" s="49"/>
      <c r="AW8" s="49"/>
      <c r="AX8" s="49"/>
    </row>
    <row r="9">
      <c r="A9" s="49" t="str">
        <f>IFERROR(__xludf.DUMMYFUNCTION("""COMPUTED_VALUE"""),"Cavalier")</f>
        <v>Cavalier</v>
      </c>
      <c r="B9" s="49" t="str">
        <f>IFERROR(__xludf.DUMMYFUNCTION("""COMPUTED_VALUE"""),"Beast Master")</f>
        <v>Beast Master</v>
      </c>
      <c r="C9" s="49">
        <f>IFERROR(__xludf.DUMMYFUNCTION("""COMPUTED_VALUE"""),3.0)</f>
        <v>3</v>
      </c>
      <c r="D9" s="49">
        <f>IFERROR(__xludf.DUMMYFUNCTION("""COMPUTED_VALUE"""),3.0)</f>
        <v>3</v>
      </c>
      <c r="E9" s="49">
        <f>IFERROR(__xludf.DUMMYFUNCTION("""COMPUTED_VALUE"""),3.0)</f>
        <v>3</v>
      </c>
      <c r="F9" s="49">
        <f>IFERROR(__xludf.DUMMYFUNCTION("""COMPUTED_VALUE"""),3.0)</f>
        <v>3</v>
      </c>
      <c r="G9" s="49">
        <f>IFERROR(__xludf.DUMMYFUNCTION("""COMPUTED_VALUE"""),3.0)</f>
        <v>3</v>
      </c>
      <c r="H9" s="49">
        <f>IFERROR(__xludf.DUMMYFUNCTION("""COMPUTED_VALUE"""),3.0)</f>
        <v>3</v>
      </c>
      <c r="I9" s="49">
        <f>IFERROR(__xludf.DUMMYFUNCTION("""COMPUTED_VALUE"""),3.0)</f>
        <v>3</v>
      </c>
      <c r="J9" s="49">
        <f>IFERROR(__xludf.DUMMYFUNCTION("""COMPUTED_VALUE"""),3.0)</f>
        <v>3</v>
      </c>
      <c r="K9" s="49">
        <f>IFERROR(__xludf.DUMMYFUNCTION("""COMPUTED_VALUE"""),3.0)</f>
        <v>3</v>
      </c>
      <c r="L9" s="49">
        <f>IFERROR(__xludf.DUMMYFUNCTION("""COMPUTED_VALUE"""),3.0)</f>
        <v>3</v>
      </c>
      <c r="M9" s="49">
        <f>IFERROR(__xludf.DUMMYFUNCTION("""COMPUTED_VALUE"""),3.0)</f>
        <v>3</v>
      </c>
      <c r="N9" s="49">
        <f>IFERROR(__xludf.DUMMYFUNCTION("""COMPUTED_VALUE"""),3.0)</f>
        <v>3</v>
      </c>
      <c r="O9" s="49">
        <f>IFERROR(__xludf.DUMMYFUNCTION("""COMPUTED_VALUE"""),3.0)</f>
        <v>3</v>
      </c>
      <c r="P9" s="49">
        <f>IFERROR(__xludf.DUMMYFUNCTION("""COMPUTED_VALUE"""),3.0)</f>
        <v>3</v>
      </c>
      <c r="Q9" s="49">
        <f>IFERROR(__xludf.DUMMYFUNCTION("""COMPUTED_VALUE"""),3.0)</f>
        <v>3</v>
      </c>
      <c r="R9" s="49">
        <f>IFERROR(__xludf.DUMMYFUNCTION("""COMPUTED_VALUE"""),3.0)</f>
        <v>3</v>
      </c>
      <c r="S9" s="49">
        <f>IFERROR(__xludf.DUMMYFUNCTION("""COMPUTED_VALUE"""),3.0)</f>
        <v>3</v>
      </c>
      <c r="T9" s="49">
        <f>IFERROR(__xludf.DUMMYFUNCTION("""COMPUTED_VALUE"""),3.0)</f>
        <v>3</v>
      </c>
      <c r="U9" s="49"/>
      <c r="V9" s="49"/>
      <c r="W9" s="49">
        <f>IFERROR(__xludf.DUMMYFUNCTION("""COMPUTED_VALUE"""),3.0)</f>
        <v>3</v>
      </c>
      <c r="X9" s="49"/>
      <c r="Y9" s="49"/>
      <c r="Z9" s="49"/>
      <c r="AA9" s="49"/>
      <c r="AB9" s="49"/>
      <c r="AC9" s="49"/>
      <c r="AD9" s="49"/>
      <c r="AE9" s="49"/>
      <c r="AF9" s="49"/>
      <c r="AG9" s="49"/>
      <c r="AH9" s="49"/>
      <c r="AI9" s="49"/>
      <c r="AJ9" s="49"/>
      <c r="AK9" s="49"/>
      <c r="AL9" s="49"/>
      <c r="AM9" s="49"/>
      <c r="AN9" s="49"/>
      <c r="AO9" s="49"/>
      <c r="AP9" s="49"/>
      <c r="AQ9" s="49"/>
      <c r="AR9" s="49"/>
      <c r="AS9" s="49"/>
      <c r="AT9" s="49"/>
      <c r="AU9" s="49"/>
      <c r="AV9" s="49"/>
      <c r="AW9" s="49"/>
      <c r="AX9" s="49"/>
    </row>
    <row r="10">
      <c r="A10" s="49" t="str">
        <f>IFERROR(__xludf.DUMMYFUNCTION("""COMPUTED_VALUE"""),"Cavalier")</f>
        <v>Cavalier</v>
      </c>
      <c r="B10" s="49" t="str">
        <f>IFERROR(__xludf.DUMMYFUNCTION("""COMPUTED_VALUE"""),"Blood Bound")</f>
        <v>Blood Bound</v>
      </c>
      <c r="C10" s="49">
        <f>IFERROR(__xludf.DUMMYFUNCTION("""COMPUTED_VALUE"""),3.0)</f>
        <v>3</v>
      </c>
      <c r="D10" s="49">
        <f>IFERROR(__xludf.DUMMYFUNCTION("""COMPUTED_VALUE"""),3.0)</f>
        <v>3</v>
      </c>
      <c r="E10" s="49">
        <f>IFERROR(__xludf.DUMMYFUNCTION("""COMPUTED_VALUE"""),3.0)</f>
        <v>3</v>
      </c>
      <c r="F10" s="49">
        <f>IFERROR(__xludf.DUMMYFUNCTION("""COMPUTED_VALUE"""),3.0)</f>
        <v>3</v>
      </c>
      <c r="G10" s="49">
        <f>IFERROR(__xludf.DUMMYFUNCTION("""COMPUTED_VALUE"""),3.0)</f>
        <v>3</v>
      </c>
      <c r="H10" s="49">
        <f>IFERROR(__xludf.DUMMYFUNCTION("""COMPUTED_VALUE"""),3.0)</f>
        <v>3</v>
      </c>
      <c r="I10" s="49">
        <f>IFERROR(__xludf.DUMMYFUNCTION("""COMPUTED_VALUE"""),3.0)</f>
        <v>3</v>
      </c>
      <c r="J10" s="49">
        <f>IFERROR(__xludf.DUMMYFUNCTION("""COMPUTED_VALUE"""),3.0)</f>
        <v>3</v>
      </c>
      <c r="K10" s="49">
        <f>IFERROR(__xludf.DUMMYFUNCTION("""COMPUTED_VALUE"""),3.0)</f>
        <v>3</v>
      </c>
      <c r="L10" s="49">
        <f>IFERROR(__xludf.DUMMYFUNCTION("""COMPUTED_VALUE"""),3.0)</f>
        <v>3</v>
      </c>
      <c r="M10" s="49">
        <f>IFERROR(__xludf.DUMMYFUNCTION("""COMPUTED_VALUE"""),3.0)</f>
        <v>3</v>
      </c>
      <c r="N10" s="49">
        <f>IFERROR(__xludf.DUMMYFUNCTION("""COMPUTED_VALUE"""),3.0)</f>
        <v>3</v>
      </c>
      <c r="O10" s="49">
        <f>IFERROR(__xludf.DUMMYFUNCTION("""COMPUTED_VALUE"""),3.0)</f>
        <v>3</v>
      </c>
      <c r="P10" s="49">
        <f>IFERROR(__xludf.DUMMYFUNCTION("""COMPUTED_VALUE"""),3.0)</f>
        <v>3</v>
      </c>
      <c r="Q10" s="49">
        <f>IFERROR(__xludf.DUMMYFUNCTION("""COMPUTED_VALUE"""),3.0)</f>
        <v>3</v>
      </c>
      <c r="R10" s="49">
        <f>IFERROR(__xludf.DUMMYFUNCTION("""COMPUTED_VALUE"""),3.0)</f>
        <v>3</v>
      </c>
      <c r="S10" s="49">
        <f>IFERROR(__xludf.DUMMYFUNCTION("""COMPUTED_VALUE"""),3.0)</f>
        <v>3</v>
      </c>
      <c r="T10" s="49">
        <f>IFERROR(__xludf.DUMMYFUNCTION("""COMPUTED_VALUE"""),3.0)</f>
        <v>3</v>
      </c>
      <c r="U10" s="49"/>
      <c r="V10" s="49"/>
      <c r="W10" s="49">
        <f>IFERROR(__xludf.DUMMYFUNCTION("""COMPUTED_VALUE"""),3.0)</f>
        <v>3</v>
      </c>
      <c r="X10" s="49"/>
      <c r="Y10" s="49"/>
      <c r="Z10" s="49"/>
      <c r="AA10" s="49"/>
      <c r="AB10" s="49"/>
      <c r="AC10" s="49"/>
      <c r="AD10" s="49"/>
      <c r="AE10" s="49"/>
      <c r="AF10" s="49"/>
      <c r="AG10" s="49"/>
      <c r="AH10" s="49"/>
      <c r="AI10" s="49"/>
      <c r="AJ10" s="49"/>
      <c r="AK10" s="49"/>
      <c r="AL10" s="49"/>
      <c r="AM10" s="49"/>
      <c r="AN10" s="49"/>
      <c r="AO10" s="49"/>
      <c r="AP10" s="49"/>
      <c r="AQ10" s="49"/>
      <c r="AR10" s="49"/>
      <c r="AS10" s="49"/>
      <c r="AT10" s="49"/>
      <c r="AU10" s="49"/>
      <c r="AV10" s="49"/>
      <c r="AW10" s="49"/>
      <c r="AX10" s="49"/>
    </row>
    <row r="11">
      <c r="A11" s="49" t="str">
        <f>IFERROR(__xludf.DUMMYFUNCTION("""COMPUTED_VALUE"""),"Cavalier")</f>
        <v>Cavalier</v>
      </c>
      <c r="B11" s="49" t="str">
        <f>IFERROR(__xludf.DUMMYFUNCTION("""COMPUTED_VALUE"""),"Heavenly Herald")</f>
        <v>Heavenly Herald</v>
      </c>
      <c r="C11" s="49">
        <f>IFERROR(__xludf.DUMMYFUNCTION("""COMPUTED_VALUE"""),3.0)</f>
        <v>3</v>
      </c>
      <c r="D11" s="49">
        <f>IFERROR(__xludf.DUMMYFUNCTION("""COMPUTED_VALUE"""),3.0)</f>
        <v>3</v>
      </c>
      <c r="E11" s="49">
        <f>IFERROR(__xludf.DUMMYFUNCTION("""COMPUTED_VALUE"""),3.0)</f>
        <v>3</v>
      </c>
      <c r="F11" s="49">
        <f>IFERROR(__xludf.DUMMYFUNCTION("""COMPUTED_VALUE"""),3.0)</f>
        <v>3</v>
      </c>
      <c r="G11" s="49">
        <f>IFERROR(__xludf.DUMMYFUNCTION("""COMPUTED_VALUE"""),3.0)</f>
        <v>3</v>
      </c>
      <c r="H11" s="49">
        <f>IFERROR(__xludf.DUMMYFUNCTION("""COMPUTED_VALUE"""),3.0)</f>
        <v>3</v>
      </c>
      <c r="I11" s="49">
        <f>IFERROR(__xludf.DUMMYFUNCTION("""COMPUTED_VALUE"""),3.0)</f>
        <v>3</v>
      </c>
      <c r="J11" s="49">
        <f>IFERROR(__xludf.DUMMYFUNCTION("""COMPUTED_VALUE"""),3.0)</f>
        <v>3</v>
      </c>
      <c r="K11" s="49">
        <f>IFERROR(__xludf.DUMMYFUNCTION("""COMPUTED_VALUE"""),3.0)</f>
        <v>3</v>
      </c>
      <c r="L11" s="49">
        <f>IFERROR(__xludf.DUMMYFUNCTION("""COMPUTED_VALUE"""),3.0)</f>
        <v>3</v>
      </c>
      <c r="M11" s="49">
        <f>IFERROR(__xludf.DUMMYFUNCTION("""COMPUTED_VALUE"""),3.0)</f>
        <v>3</v>
      </c>
      <c r="N11" s="49">
        <f>IFERROR(__xludf.DUMMYFUNCTION("""COMPUTED_VALUE"""),3.0)</f>
        <v>3</v>
      </c>
      <c r="O11" s="49">
        <f>IFERROR(__xludf.DUMMYFUNCTION("""COMPUTED_VALUE"""),3.0)</f>
        <v>3</v>
      </c>
      <c r="P11" s="49">
        <f>IFERROR(__xludf.DUMMYFUNCTION("""COMPUTED_VALUE"""),3.0)</f>
        <v>3</v>
      </c>
      <c r="Q11" s="49">
        <f>IFERROR(__xludf.DUMMYFUNCTION("""COMPUTED_VALUE"""),3.0)</f>
        <v>3</v>
      </c>
      <c r="R11" s="49">
        <f>IFERROR(__xludf.DUMMYFUNCTION("""COMPUTED_VALUE"""),3.0)</f>
        <v>3</v>
      </c>
      <c r="S11" s="49">
        <f>IFERROR(__xludf.DUMMYFUNCTION("""COMPUTED_VALUE"""),3.0)</f>
        <v>3</v>
      </c>
      <c r="T11" s="49">
        <f>IFERROR(__xludf.DUMMYFUNCTION("""COMPUTED_VALUE"""),3.0)</f>
        <v>3</v>
      </c>
      <c r="U11" s="49"/>
      <c r="V11" s="49"/>
      <c r="W11" s="49">
        <f>IFERROR(__xludf.DUMMYFUNCTION("""COMPUTED_VALUE"""),3.0)</f>
        <v>3</v>
      </c>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V11" s="49"/>
      <c r="AW11" s="49"/>
      <c r="AX11" s="49"/>
    </row>
    <row r="12">
      <c r="A12" s="49" t="str">
        <f>IFERROR(__xludf.DUMMYFUNCTION("""COMPUTED_VALUE"""),"Cultist")</f>
        <v>Cultist</v>
      </c>
      <c r="B12" s="49" t="str">
        <f>IFERROR(__xludf.DUMMYFUNCTION("""COMPUTED_VALUE"""),"Disciple of Darkness")</f>
        <v>Disciple of Darkness</v>
      </c>
      <c r="C12" s="49"/>
      <c r="D12" s="49"/>
      <c r="E12" s="49"/>
      <c r="F12" s="49"/>
      <c r="G12" s="49"/>
      <c r="H12" s="49">
        <f>IFERROR(__xludf.DUMMYFUNCTION("""COMPUTED_VALUE"""),9.0)</f>
        <v>9</v>
      </c>
      <c r="I12" s="49"/>
      <c r="J12" s="49"/>
      <c r="K12" s="49">
        <f>IFERROR(__xludf.DUMMYFUNCTION("""COMPUTED_VALUE"""),9.0)</f>
        <v>9</v>
      </c>
      <c r="L12" s="49"/>
      <c r="M12" s="49"/>
      <c r="N12" s="49"/>
      <c r="O12" s="49"/>
      <c r="P12" s="49"/>
      <c r="Q12" s="49"/>
      <c r="R12" s="49">
        <f>IFERROR(__xludf.DUMMYFUNCTION("""COMPUTED_VALUE"""),9.0)</f>
        <v>9</v>
      </c>
      <c r="S12" s="49">
        <f>IFERROR(__xludf.DUMMYFUNCTION("""COMPUTED_VALUE"""),9.0)</f>
        <v>9</v>
      </c>
      <c r="T12" s="49"/>
      <c r="U12" s="49"/>
      <c r="V12" s="49"/>
      <c r="W12" s="49"/>
      <c r="X12" s="49"/>
      <c r="Y12" s="49"/>
      <c r="Z12" s="49"/>
      <c r="AA12" s="49"/>
      <c r="AB12" s="49"/>
      <c r="AC12" s="49"/>
      <c r="AD12" s="49"/>
      <c r="AE12" s="49"/>
      <c r="AF12" s="49"/>
      <c r="AG12" s="49"/>
      <c r="AH12" s="49"/>
      <c r="AI12" s="49"/>
      <c r="AJ12" s="49"/>
      <c r="AK12" s="49"/>
      <c r="AL12" s="49"/>
      <c r="AM12" s="49"/>
      <c r="AN12" s="49"/>
      <c r="AO12" s="49"/>
      <c r="AP12" s="49"/>
      <c r="AQ12" s="49"/>
      <c r="AR12" s="49"/>
      <c r="AS12" s="49"/>
      <c r="AT12" s="49"/>
      <c r="AU12" s="49"/>
      <c r="AV12" s="49"/>
      <c r="AW12" s="49"/>
      <c r="AX12" s="49"/>
    </row>
    <row r="13">
      <c r="A13" s="49" t="str">
        <f>IFERROR(__xludf.DUMMYFUNCTION("""COMPUTED_VALUE"""),"Cultist")</f>
        <v>Cultist</v>
      </c>
      <c r="B13" s="49" t="str">
        <f>IFERROR(__xludf.DUMMYFUNCTION("""COMPUTED_VALUE"""),"Elemental Cultist")</f>
        <v>Elemental Cultist</v>
      </c>
      <c r="C13" s="49">
        <f>IFERROR(__xludf.DUMMYFUNCTION("""COMPUTED_VALUE"""),9.0)</f>
        <v>9</v>
      </c>
      <c r="D13" s="49">
        <f>IFERROR(__xludf.DUMMYFUNCTION("""COMPUTED_VALUE"""),9.0)</f>
        <v>9</v>
      </c>
      <c r="E13" s="49"/>
      <c r="F13" s="49">
        <f>IFERROR(__xludf.DUMMYFUNCTION("""COMPUTED_VALUE"""),9.0)</f>
        <v>9</v>
      </c>
      <c r="G13" s="49"/>
      <c r="H13" s="49">
        <f>IFERROR(__xludf.DUMMYFUNCTION("""COMPUTED_VALUE"""),9.0)</f>
        <v>9</v>
      </c>
      <c r="I13" s="49"/>
      <c r="J13" s="49"/>
      <c r="K13" s="49">
        <f>IFERROR(__xludf.DUMMYFUNCTION("""COMPUTED_VALUE"""),9.0)</f>
        <v>9</v>
      </c>
      <c r="L13" s="49"/>
      <c r="M13" s="49"/>
      <c r="N13" s="49"/>
      <c r="O13" s="49"/>
      <c r="P13" s="49"/>
      <c r="Q13" s="49"/>
      <c r="R13" s="49"/>
      <c r="S13" s="49">
        <f>IFERROR(__xludf.DUMMYFUNCTION("""COMPUTED_VALUE"""),6.0)</f>
        <v>6</v>
      </c>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row>
    <row r="14">
      <c r="A14" s="49" t="str">
        <f>IFERROR(__xludf.DUMMYFUNCTION("""COMPUTED_VALUE"""),"Cultist")</f>
        <v>Cultist</v>
      </c>
      <c r="B14" s="49" t="str">
        <f>IFERROR(__xludf.DUMMYFUNCTION("""COMPUTED_VALUE"""),"Necromancer")</f>
        <v>Necromancer</v>
      </c>
      <c r="C14" s="49"/>
      <c r="D14" s="49"/>
      <c r="E14" s="49"/>
      <c r="F14" s="49"/>
      <c r="G14" s="49"/>
      <c r="H14" s="49">
        <f>IFERROR(__xludf.DUMMYFUNCTION("""COMPUTED_VALUE"""),9.0)</f>
        <v>9</v>
      </c>
      <c r="I14" s="49"/>
      <c r="J14" s="49"/>
      <c r="K14" s="49">
        <f>IFERROR(__xludf.DUMMYFUNCTION("""COMPUTED_VALUE"""),9.0)</f>
        <v>9</v>
      </c>
      <c r="L14" s="49"/>
      <c r="M14" s="49"/>
      <c r="N14" s="49"/>
      <c r="O14" s="49"/>
      <c r="P14" s="49"/>
      <c r="Q14" s="49"/>
      <c r="R14" s="49">
        <f>IFERROR(__xludf.DUMMYFUNCTION("""COMPUTED_VALUE"""),9.0)</f>
        <v>9</v>
      </c>
      <c r="S14" s="49">
        <f>IFERROR(__xludf.DUMMYFUNCTION("""COMPUTED_VALUE"""),9.0)</f>
        <v>9</v>
      </c>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9"/>
      <c r="AU14" s="49"/>
      <c r="AV14" s="49"/>
      <c r="AW14" s="49"/>
      <c r="AX14" s="49"/>
    </row>
    <row r="15">
      <c r="A15" s="49" t="str">
        <f>IFERROR(__xludf.DUMMYFUNCTION("""COMPUTED_VALUE"""),"Druid")</f>
        <v>Druid</v>
      </c>
      <c r="B15" s="49" t="str">
        <f>IFERROR(__xludf.DUMMYFUNCTION("""COMPUTED_VALUE"""),"High Druid")</f>
        <v>High Druid</v>
      </c>
      <c r="C15" s="49"/>
      <c r="D15" s="49">
        <f>IFERROR(__xludf.DUMMYFUNCTION("""COMPUTED_VALUE"""),9.0)</f>
        <v>9</v>
      </c>
      <c r="E15" s="49"/>
      <c r="F15" s="49">
        <f>IFERROR(__xludf.DUMMYFUNCTION("""COMPUTED_VALUE"""),9.0)</f>
        <v>9</v>
      </c>
      <c r="G15" s="49">
        <f>IFERROR(__xludf.DUMMYFUNCTION("""COMPUTED_VALUE"""),9.0)</f>
        <v>9</v>
      </c>
      <c r="H15" s="49"/>
      <c r="I15" s="49"/>
      <c r="J15" s="49">
        <f>IFERROR(__xludf.DUMMYFUNCTION("""COMPUTED_VALUE"""),9.0)</f>
        <v>9</v>
      </c>
      <c r="K15" s="49"/>
      <c r="L15" s="49">
        <f>IFERROR(__xludf.DUMMYFUNCTION("""COMPUTED_VALUE"""),9.0)</f>
        <v>9</v>
      </c>
      <c r="M15" s="49"/>
      <c r="N15" s="49"/>
      <c r="O15" s="49">
        <f>IFERROR(__xludf.DUMMYFUNCTION("""COMPUTED_VALUE"""),9.0)</f>
        <v>9</v>
      </c>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9"/>
      <c r="AU15" s="49"/>
      <c r="AV15" s="49"/>
      <c r="AW15" s="49"/>
      <c r="AX15" s="49"/>
    </row>
    <row r="16">
      <c r="A16" s="49" t="str">
        <f>IFERROR(__xludf.DUMMYFUNCTION("""COMPUTED_VALUE"""),"Gunslinger")</f>
        <v>Gunslinger</v>
      </c>
      <c r="B16" s="49" t="str">
        <f>IFERROR(__xludf.DUMMYFUNCTION("""COMPUTED_VALUE"""),"Dead Eye")</f>
        <v>Dead Eye</v>
      </c>
      <c r="C16" s="49"/>
      <c r="D16" s="49"/>
      <c r="E16" s="49"/>
      <c r="F16" s="49"/>
      <c r="G16" s="49"/>
      <c r="H16" s="49"/>
      <c r="I16" s="49"/>
      <c r="J16" s="49"/>
      <c r="K16" s="49"/>
      <c r="L16" s="49"/>
      <c r="M16" s="49">
        <f>IFERROR(__xludf.DUMMYFUNCTION("""COMPUTED_VALUE"""),9.0)</f>
        <v>9</v>
      </c>
      <c r="N16" s="49">
        <f>IFERROR(__xludf.DUMMYFUNCTION("""COMPUTED_VALUE"""),9.0)</f>
        <v>9</v>
      </c>
      <c r="O16" s="49">
        <f>IFERROR(__xludf.DUMMYFUNCTION("""COMPUTED_VALUE"""),9.0)</f>
        <v>9</v>
      </c>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row>
    <row r="17">
      <c r="A17" s="49" t="str">
        <f>IFERROR(__xludf.DUMMYFUNCTION("""COMPUTED_VALUE"""),"Hunter")</f>
        <v>Hunter</v>
      </c>
      <c r="B17" s="49" t="str">
        <f>IFERROR(__xludf.DUMMYFUNCTION("""COMPUTED_VALUE"""),"Hunting Specialist")</f>
        <v>Hunting Specialist</v>
      </c>
      <c r="C17" s="49"/>
      <c r="D17" s="49"/>
      <c r="E17" s="49"/>
      <c r="F17" s="49"/>
      <c r="G17" s="49"/>
      <c r="H17" s="49"/>
      <c r="I17" s="49"/>
      <c r="J17" s="49"/>
      <c r="K17" s="49"/>
      <c r="L17" s="49">
        <f>IFERROR(__xludf.DUMMYFUNCTION("""COMPUTED_VALUE"""),9.0)</f>
        <v>9</v>
      </c>
      <c r="M17" s="49">
        <f>IFERROR(__xludf.DUMMYFUNCTION("""COMPUTED_VALUE"""),9.0)</f>
        <v>9</v>
      </c>
      <c r="N17" s="49">
        <f>IFERROR(__xludf.DUMMYFUNCTION("""COMPUTED_VALUE"""),9.0)</f>
        <v>9</v>
      </c>
      <c r="O17" s="49">
        <f>IFERROR(__xludf.DUMMYFUNCTION("""COMPUTED_VALUE"""),9.0)</f>
        <v>9</v>
      </c>
      <c r="P17" s="49"/>
      <c r="Q17" s="49"/>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row>
    <row r="18">
      <c r="A18" s="49" t="str">
        <f>IFERROR(__xludf.DUMMYFUNCTION("""COMPUTED_VALUE"""),"Jack of all Trades")</f>
        <v>Jack of all Trades</v>
      </c>
      <c r="B18" s="49" t="str">
        <f>IFERROR(__xludf.DUMMYFUNCTION("""COMPUTED_VALUE"""),"Master of all Trades")</f>
        <v>Master of all Trades</v>
      </c>
      <c r="C18" s="49">
        <f>IFERROR(__xludf.DUMMYFUNCTION("""COMPUTED_VALUE"""),9.0)</f>
        <v>9</v>
      </c>
      <c r="D18" s="49">
        <f>IFERROR(__xludf.DUMMYFUNCTION("""COMPUTED_VALUE"""),9.0)</f>
        <v>9</v>
      </c>
      <c r="E18" s="49">
        <f>IFERROR(__xludf.DUMMYFUNCTION("""COMPUTED_VALUE"""),9.0)</f>
        <v>9</v>
      </c>
      <c r="F18" s="49">
        <f>IFERROR(__xludf.DUMMYFUNCTION("""COMPUTED_VALUE"""),9.0)</f>
        <v>9</v>
      </c>
      <c r="G18" s="49">
        <f>IFERROR(__xludf.DUMMYFUNCTION("""COMPUTED_VALUE"""),9.0)</f>
        <v>9</v>
      </c>
      <c r="H18" s="49">
        <f>IFERROR(__xludf.DUMMYFUNCTION("""COMPUTED_VALUE"""),9.0)</f>
        <v>9</v>
      </c>
      <c r="I18" s="49">
        <f>IFERROR(__xludf.DUMMYFUNCTION("""COMPUTED_VALUE"""),9.0)</f>
        <v>9</v>
      </c>
      <c r="J18" s="49">
        <f>IFERROR(__xludf.DUMMYFUNCTION("""COMPUTED_VALUE"""),9.0)</f>
        <v>9</v>
      </c>
      <c r="K18" s="49">
        <f>IFERROR(__xludf.DUMMYFUNCTION("""COMPUTED_VALUE"""),9.0)</f>
        <v>9</v>
      </c>
      <c r="L18" s="49">
        <f>IFERROR(__xludf.DUMMYFUNCTION("""COMPUTED_VALUE"""),9.0)</f>
        <v>9</v>
      </c>
      <c r="M18" s="49">
        <f>IFERROR(__xludf.DUMMYFUNCTION("""COMPUTED_VALUE"""),9.0)</f>
        <v>9</v>
      </c>
      <c r="N18" s="49">
        <f>IFERROR(__xludf.DUMMYFUNCTION("""COMPUTED_VALUE"""),9.0)</f>
        <v>9</v>
      </c>
      <c r="O18" s="49">
        <f>IFERROR(__xludf.DUMMYFUNCTION("""COMPUTED_VALUE"""),9.0)</f>
        <v>9</v>
      </c>
      <c r="P18" s="49">
        <f>IFERROR(__xludf.DUMMYFUNCTION("""COMPUTED_VALUE"""),9.0)</f>
        <v>9</v>
      </c>
      <c r="Q18" s="49">
        <f>IFERROR(__xludf.DUMMYFUNCTION("""COMPUTED_VALUE"""),9.0)</f>
        <v>9</v>
      </c>
      <c r="R18" s="49">
        <f>IFERROR(__xludf.DUMMYFUNCTION("""COMPUTED_VALUE"""),9.0)</f>
        <v>9</v>
      </c>
      <c r="S18" s="49">
        <f>IFERROR(__xludf.DUMMYFUNCTION("""COMPUTED_VALUE"""),9.0)</f>
        <v>9</v>
      </c>
      <c r="T18" s="49">
        <f>IFERROR(__xludf.DUMMYFUNCTION("""COMPUTED_VALUE"""),9.0)</f>
        <v>9</v>
      </c>
      <c r="U18" s="49">
        <f>IFERROR(__xludf.DUMMYFUNCTION("""COMPUTED_VALUE"""),6.0)</f>
        <v>6</v>
      </c>
      <c r="V18" s="49"/>
      <c r="W18" s="49">
        <f>IFERROR(__xludf.DUMMYFUNCTION("""COMPUTED_VALUE"""),9.0)</f>
        <v>9</v>
      </c>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row>
    <row r="19">
      <c r="A19" s="49" t="str">
        <f>IFERROR(__xludf.DUMMYFUNCTION("""COMPUTED_VALUE"""),"Knight")</f>
        <v>Knight</v>
      </c>
      <c r="B19" s="49" t="str">
        <f>IFERROR(__xludf.DUMMYFUNCTION("""COMPUTED_VALUE"""),"Elemental Knight")</f>
        <v>Elemental Knight</v>
      </c>
      <c r="C19" s="49">
        <f>IFERROR(__xludf.DUMMYFUNCTION("""COMPUTED_VALUE"""),9.0)</f>
        <v>9</v>
      </c>
      <c r="D19" s="49">
        <f>IFERROR(__xludf.DUMMYFUNCTION("""COMPUTED_VALUE"""),9.0)</f>
        <v>9</v>
      </c>
      <c r="E19" s="49">
        <f>IFERROR(__xludf.DUMMYFUNCTION("""COMPUTED_VALUE"""),9.0)</f>
        <v>9</v>
      </c>
      <c r="F19" s="49">
        <f>IFERROR(__xludf.DUMMYFUNCTION("""COMPUTED_VALUE"""),9.0)</f>
        <v>9</v>
      </c>
      <c r="G19" s="49">
        <f>IFERROR(__xludf.DUMMYFUNCTION("""COMPUTED_VALUE"""),9.0)</f>
        <v>9</v>
      </c>
      <c r="H19" s="49"/>
      <c r="I19" s="49"/>
      <c r="J19" s="49">
        <f>IFERROR(__xludf.DUMMYFUNCTION("""COMPUTED_VALUE"""),9.0)</f>
        <v>9</v>
      </c>
      <c r="K19" s="49"/>
      <c r="L19" s="49">
        <f>IFERROR(__xludf.DUMMYFUNCTION("""COMPUTED_VALUE"""),9.0)</f>
        <v>9</v>
      </c>
      <c r="M19" s="49">
        <f>IFERROR(__xludf.DUMMYFUNCTION("""COMPUTED_VALUE"""),6.0)</f>
        <v>6</v>
      </c>
      <c r="N19" s="49">
        <f>IFERROR(__xludf.DUMMYFUNCTION("""COMPUTED_VALUE"""),6.0)</f>
        <v>6</v>
      </c>
      <c r="O19" s="49">
        <f>IFERROR(__xludf.DUMMYFUNCTION("""COMPUTED_VALUE"""),6.0)</f>
        <v>6</v>
      </c>
      <c r="P19" s="49"/>
      <c r="Q19" s="49"/>
      <c r="R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row>
    <row r="20">
      <c r="A20" s="49" t="str">
        <f>IFERROR(__xludf.DUMMYFUNCTION("""COMPUTED_VALUE"""),"Knight")</f>
        <v>Knight</v>
      </c>
      <c r="B20" s="49" t="str">
        <f>IFERROR(__xludf.DUMMYFUNCTION("""COMPUTED_VALUE"""),"Defensive Knight")</f>
        <v>Defensive Knight</v>
      </c>
      <c r="C20" s="49"/>
      <c r="D20" s="49"/>
      <c r="E20" s="49"/>
      <c r="F20" s="49"/>
      <c r="G20" s="49">
        <f>IFERROR(__xludf.DUMMYFUNCTION("""COMPUTED_VALUE"""),9.0)</f>
        <v>9</v>
      </c>
      <c r="H20" s="49"/>
      <c r="I20" s="49"/>
      <c r="J20" s="49">
        <f>IFERROR(__xludf.DUMMYFUNCTION("""COMPUTED_VALUE"""),9.0)</f>
        <v>9</v>
      </c>
      <c r="K20" s="49"/>
      <c r="L20" s="49"/>
      <c r="M20" s="49">
        <f>IFERROR(__xludf.DUMMYFUNCTION("""COMPUTED_VALUE"""),9.0)</f>
        <v>9</v>
      </c>
      <c r="N20" s="49">
        <f>IFERROR(__xludf.DUMMYFUNCTION("""COMPUTED_VALUE"""),9.0)</f>
        <v>9</v>
      </c>
      <c r="O20" s="49">
        <f>IFERROR(__xludf.DUMMYFUNCTION("""COMPUTED_VALUE"""),9.0)</f>
        <v>9</v>
      </c>
      <c r="P20" s="49"/>
      <c r="Q20" s="49"/>
      <c r="R20" s="49"/>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row>
    <row r="21">
      <c r="A21" s="49" t="str">
        <f>IFERROR(__xludf.DUMMYFUNCTION("""COMPUTED_VALUE"""),"Knight")</f>
        <v>Knight</v>
      </c>
      <c r="B21" s="49" t="str">
        <f>IFERROR(__xludf.DUMMYFUNCTION("""COMPUTED_VALUE"""),"Offensive Knight")</f>
        <v>Offensive Knight</v>
      </c>
      <c r="C21" s="49"/>
      <c r="D21" s="49"/>
      <c r="E21" s="49"/>
      <c r="F21" s="49"/>
      <c r="G21" s="49">
        <f>IFERROR(__xludf.DUMMYFUNCTION("""COMPUTED_VALUE"""),9.0)</f>
        <v>9</v>
      </c>
      <c r="H21" s="49"/>
      <c r="I21" s="49"/>
      <c r="J21" s="49">
        <f>IFERROR(__xludf.DUMMYFUNCTION("""COMPUTED_VALUE"""),9.0)</f>
        <v>9</v>
      </c>
      <c r="K21" s="49"/>
      <c r="L21" s="49"/>
      <c r="M21" s="49">
        <f>IFERROR(__xludf.DUMMYFUNCTION("""COMPUTED_VALUE"""),9.0)</f>
        <v>9</v>
      </c>
      <c r="N21" s="49">
        <f>IFERROR(__xludf.DUMMYFUNCTION("""COMPUTED_VALUE"""),9.0)</f>
        <v>9</v>
      </c>
      <c r="O21" s="49">
        <f>IFERROR(__xludf.DUMMYFUNCTION("""COMPUTED_VALUE"""),9.0)</f>
        <v>9</v>
      </c>
      <c r="P21" s="49"/>
      <c r="Q21" s="49"/>
      <c r="R21" s="49"/>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row>
    <row r="22">
      <c r="A22" s="49" t="str">
        <f>IFERROR(__xludf.DUMMYFUNCTION("""COMPUTED_VALUE"""),"Knight")</f>
        <v>Knight</v>
      </c>
      <c r="B22" s="49" t="str">
        <f>IFERROR(__xludf.DUMMYFUNCTION("""COMPUTED_VALUE"""),"Warden")</f>
        <v>Warden</v>
      </c>
      <c r="C22" s="49"/>
      <c r="D22" s="49"/>
      <c r="E22" s="49"/>
      <c r="F22" s="49"/>
      <c r="G22" s="49">
        <f>IFERROR(__xludf.DUMMYFUNCTION("""COMPUTED_VALUE"""),6.0)</f>
        <v>6</v>
      </c>
      <c r="H22" s="49"/>
      <c r="I22" s="49"/>
      <c r="J22" s="49">
        <f>IFERROR(__xludf.DUMMYFUNCTION("""COMPUTED_VALUE"""),6.0)</f>
        <v>6</v>
      </c>
      <c r="K22" s="49"/>
      <c r="L22" s="49"/>
      <c r="M22" s="49">
        <f>IFERROR(__xludf.DUMMYFUNCTION("""COMPUTED_VALUE"""),9.0)</f>
        <v>9</v>
      </c>
      <c r="N22" s="49">
        <f>IFERROR(__xludf.DUMMYFUNCTION("""COMPUTED_VALUE"""),9.0)</f>
        <v>9</v>
      </c>
      <c r="O22" s="49">
        <f>IFERROR(__xludf.DUMMYFUNCTION("""COMPUTED_VALUE"""),9.0)</f>
        <v>9</v>
      </c>
      <c r="P22" s="49">
        <f>IFERROR(__xludf.DUMMYFUNCTION("""COMPUTED_VALUE"""),9.0)</f>
        <v>9</v>
      </c>
      <c r="Q22" s="49">
        <f>IFERROR(__xludf.DUMMYFUNCTION("""COMPUTED_VALUE"""),9.0)</f>
        <v>9</v>
      </c>
      <c r="R22" s="49"/>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row>
    <row r="23">
      <c r="A23" s="49" t="str">
        <f>IFERROR(__xludf.DUMMYFUNCTION("""COMPUTED_VALUE"""),"Knight")</f>
        <v>Knight</v>
      </c>
      <c r="B23" s="49" t="str">
        <f>IFERROR(__xludf.DUMMYFUNCTION("""COMPUTED_VALUE"""),"Dark Knight")</f>
        <v>Dark Knight</v>
      </c>
      <c r="C23" s="49"/>
      <c r="D23" s="49"/>
      <c r="E23" s="49"/>
      <c r="F23" s="49"/>
      <c r="G23" s="49">
        <f>IFERROR(__xludf.DUMMYFUNCTION("""COMPUTED_VALUE"""),6.0)</f>
        <v>6</v>
      </c>
      <c r="H23" s="49">
        <f>IFERROR(__xludf.DUMMYFUNCTION("""COMPUTED_VALUE"""),9.0)</f>
        <v>9</v>
      </c>
      <c r="I23" s="49"/>
      <c r="J23" s="49">
        <f>IFERROR(__xludf.DUMMYFUNCTION("""COMPUTED_VALUE"""),6.0)</f>
        <v>6</v>
      </c>
      <c r="K23" s="49"/>
      <c r="L23" s="49"/>
      <c r="M23" s="49">
        <f>IFERROR(__xludf.DUMMYFUNCTION("""COMPUTED_VALUE"""),9.0)</f>
        <v>9</v>
      </c>
      <c r="N23" s="49">
        <f>IFERROR(__xludf.DUMMYFUNCTION("""COMPUTED_VALUE"""),9.0)</f>
        <v>9</v>
      </c>
      <c r="O23" s="49">
        <f>IFERROR(__xludf.DUMMYFUNCTION("""COMPUTED_VALUE"""),9.0)</f>
        <v>9</v>
      </c>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row>
    <row r="24">
      <c r="A24" s="49" t="str">
        <f>IFERROR(__xludf.DUMMYFUNCTION("""COMPUTED_VALUE"""),"Mage")</f>
        <v>Mage</v>
      </c>
      <c r="B24" s="49" t="str">
        <f>IFERROR(__xludf.DUMMYFUNCTION("""COMPUTED_VALUE"""),"Grand Mage")</f>
        <v>Grand Mage</v>
      </c>
      <c r="C24" s="49">
        <f>IFERROR(__xludf.DUMMYFUNCTION("""COMPUTED_VALUE"""),9.0)</f>
        <v>9</v>
      </c>
      <c r="D24" s="49">
        <f>IFERROR(__xludf.DUMMYFUNCTION("""COMPUTED_VALUE"""),9.0)</f>
        <v>9</v>
      </c>
      <c r="E24" s="49">
        <f>IFERROR(__xludf.DUMMYFUNCTION("""COMPUTED_VALUE"""),9.0)</f>
        <v>9</v>
      </c>
      <c r="F24" s="49">
        <f>IFERROR(__xludf.DUMMYFUNCTION("""COMPUTED_VALUE"""),9.0)</f>
        <v>9</v>
      </c>
      <c r="G24" s="49">
        <f>IFERROR(__xludf.DUMMYFUNCTION("""COMPUTED_VALUE"""),9.0)</f>
        <v>9</v>
      </c>
      <c r="H24" s="49">
        <f>IFERROR(__xludf.DUMMYFUNCTION("""COMPUTED_VALUE"""),9.0)</f>
        <v>9</v>
      </c>
      <c r="I24" s="49">
        <f>IFERROR(__xludf.DUMMYFUNCTION("""COMPUTED_VALUE"""),9.0)</f>
        <v>9</v>
      </c>
      <c r="J24" s="49">
        <f>IFERROR(__xludf.DUMMYFUNCTION("""COMPUTED_VALUE"""),9.0)</f>
        <v>9</v>
      </c>
      <c r="K24" s="49">
        <f>IFERROR(__xludf.DUMMYFUNCTION("""COMPUTED_VALUE"""),9.0)</f>
        <v>9</v>
      </c>
      <c r="L24" s="49">
        <f>IFERROR(__xludf.DUMMYFUNCTION("""COMPUTED_VALUE"""),9.0)</f>
        <v>9</v>
      </c>
      <c r="M24" s="49">
        <f>IFERROR(__xludf.DUMMYFUNCTION("""COMPUTED_VALUE"""),9.0)</f>
        <v>9</v>
      </c>
      <c r="N24" s="49">
        <f>IFERROR(__xludf.DUMMYFUNCTION("""COMPUTED_VALUE"""),9.0)</f>
        <v>9</v>
      </c>
      <c r="O24" s="49">
        <f>IFERROR(__xludf.DUMMYFUNCTION("""COMPUTED_VALUE"""),9.0)</f>
        <v>9</v>
      </c>
      <c r="P24" s="49">
        <f>IFERROR(__xludf.DUMMYFUNCTION("""COMPUTED_VALUE"""),9.0)</f>
        <v>9</v>
      </c>
      <c r="Q24" s="49">
        <f>IFERROR(__xludf.DUMMYFUNCTION("""COMPUTED_VALUE"""),9.0)</f>
        <v>9</v>
      </c>
      <c r="R24" s="49">
        <f>IFERROR(__xludf.DUMMYFUNCTION("""COMPUTED_VALUE"""),9.0)</f>
        <v>9</v>
      </c>
      <c r="S24" s="49">
        <f>IFERROR(__xludf.DUMMYFUNCTION("""COMPUTED_VALUE"""),9.0)</f>
        <v>9</v>
      </c>
      <c r="T24" s="49">
        <f>IFERROR(__xludf.DUMMYFUNCTION("""COMPUTED_VALUE"""),9.0)</f>
        <v>9</v>
      </c>
      <c r="U24" s="49"/>
      <c r="V24" s="49"/>
      <c r="W24" s="49">
        <f>IFERROR(__xludf.DUMMYFUNCTION("""COMPUTED_VALUE"""),9.0)</f>
        <v>9</v>
      </c>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row>
    <row r="25">
      <c r="A25" s="49" t="str">
        <f>IFERROR(__xludf.DUMMYFUNCTION("""COMPUTED_VALUE"""),"Mage")</f>
        <v>Mage</v>
      </c>
      <c r="B25" s="49" t="str">
        <f>IFERROR(__xludf.DUMMYFUNCTION("""COMPUTED_VALUE"""),"Chrono Mage")</f>
        <v>Chrono Mage</v>
      </c>
      <c r="C25" s="49">
        <f>IFERROR(__xludf.DUMMYFUNCTION("""COMPUTED_VALUE"""),9.0)</f>
        <v>9</v>
      </c>
      <c r="D25" s="49">
        <f>IFERROR(__xludf.DUMMYFUNCTION("""COMPUTED_VALUE"""),9.0)</f>
        <v>9</v>
      </c>
      <c r="E25" s="49">
        <f>IFERROR(__xludf.DUMMYFUNCTION("""COMPUTED_VALUE"""),9.0)</f>
        <v>9</v>
      </c>
      <c r="F25" s="49">
        <f>IFERROR(__xludf.DUMMYFUNCTION("""COMPUTED_VALUE"""),9.0)</f>
        <v>9</v>
      </c>
      <c r="G25" s="49">
        <f>IFERROR(__xludf.DUMMYFUNCTION("""COMPUTED_VALUE"""),9.0)</f>
        <v>9</v>
      </c>
      <c r="H25" s="49">
        <f>IFERROR(__xludf.DUMMYFUNCTION("""COMPUTED_VALUE"""),9.0)</f>
        <v>9</v>
      </c>
      <c r="I25" s="49">
        <f>IFERROR(__xludf.DUMMYFUNCTION("""COMPUTED_VALUE"""),9.0)</f>
        <v>9</v>
      </c>
      <c r="J25" s="49">
        <f>IFERROR(__xludf.DUMMYFUNCTION("""COMPUTED_VALUE"""),9.0)</f>
        <v>9</v>
      </c>
      <c r="K25" s="49">
        <f>IFERROR(__xludf.DUMMYFUNCTION("""COMPUTED_VALUE"""),9.0)</f>
        <v>9</v>
      </c>
      <c r="L25" s="49">
        <f>IFERROR(__xludf.DUMMYFUNCTION("""COMPUTED_VALUE"""),9.0)</f>
        <v>9</v>
      </c>
      <c r="M25" s="49">
        <f>IFERROR(__xludf.DUMMYFUNCTION("""COMPUTED_VALUE"""),9.0)</f>
        <v>9</v>
      </c>
      <c r="N25" s="49">
        <f>IFERROR(__xludf.DUMMYFUNCTION("""COMPUTED_VALUE"""),9.0)</f>
        <v>9</v>
      </c>
      <c r="O25" s="49">
        <f>IFERROR(__xludf.DUMMYFUNCTION("""COMPUTED_VALUE"""),9.0)</f>
        <v>9</v>
      </c>
      <c r="P25" s="49">
        <f>IFERROR(__xludf.DUMMYFUNCTION("""COMPUTED_VALUE"""),9.0)</f>
        <v>9</v>
      </c>
      <c r="Q25" s="49">
        <f>IFERROR(__xludf.DUMMYFUNCTION("""COMPUTED_VALUE"""),9.0)</f>
        <v>9</v>
      </c>
      <c r="R25" s="49">
        <f>IFERROR(__xludf.DUMMYFUNCTION("""COMPUTED_VALUE"""),9.0)</f>
        <v>9</v>
      </c>
      <c r="S25" s="49">
        <f>IFERROR(__xludf.DUMMYFUNCTION("""COMPUTED_VALUE"""),9.0)</f>
        <v>9</v>
      </c>
      <c r="T25" s="49">
        <f>IFERROR(__xludf.DUMMYFUNCTION("""COMPUTED_VALUE"""),9.0)</f>
        <v>9</v>
      </c>
      <c r="U25" s="49"/>
      <c r="V25" s="49">
        <f>IFERROR(__xludf.DUMMYFUNCTION("""COMPUTED_VALUE"""),1.0)</f>
        <v>1</v>
      </c>
      <c r="W25" s="49">
        <f>IFERROR(__xludf.DUMMYFUNCTION("""COMPUTED_VALUE"""),9.0)</f>
        <v>9</v>
      </c>
      <c r="X25" s="49"/>
      <c r="Y25" s="49"/>
      <c r="Z25" s="49"/>
      <c r="AA25" s="49"/>
      <c r="AB25" s="49"/>
      <c r="AC25" s="49"/>
      <c r="AD25" s="49"/>
      <c r="AE25" s="49"/>
      <c r="AF25" s="49"/>
      <c r="AG25" s="49"/>
      <c r="AH25" s="49"/>
      <c r="AI25" s="49"/>
      <c r="AJ25" s="49"/>
      <c r="AK25" s="49"/>
      <c r="AL25" s="49"/>
      <c r="AM25" s="49"/>
      <c r="AN25" s="49"/>
      <c r="AO25" s="49"/>
      <c r="AP25" s="49"/>
      <c r="AQ25" s="49"/>
      <c r="AR25" s="49"/>
      <c r="AS25" s="49"/>
      <c r="AT25" s="49"/>
      <c r="AU25" s="49"/>
      <c r="AV25" s="49"/>
      <c r="AW25" s="49"/>
      <c r="AX25" s="49"/>
    </row>
    <row r="26">
      <c r="A26" s="49" t="str">
        <f>IFERROR(__xludf.DUMMYFUNCTION("""COMPUTED_VALUE"""),"Marauder ")</f>
        <v>Marauder </v>
      </c>
      <c r="B26" s="49" t="str">
        <f>IFERROR(__xludf.DUMMYFUNCTION("""COMPUTED_VALUE"""),"Master Marauder ")</f>
        <v>Master Marauder </v>
      </c>
      <c r="C26" s="49"/>
      <c r="D26" s="49"/>
      <c r="E26" s="49"/>
      <c r="F26" s="49"/>
      <c r="G26" s="49"/>
      <c r="H26" s="49">
        <f>IFERROR(__xludf.DUMMYFUNCTION("""COMPUTED_VALUE"""),9.0)</f>
        <v>9</v>
      </c>
      <c r="I26" s="49"/>
      <c r="J26" s="49"/>
      <c r="K26" s="49"/>
      <c r="L26" s="49"/>
      <c r="M26" s="49">
        <f>IFERROR(__xludf.DUMMYFUNCTION("""COMPUTED_VALUE"""),9.0)</f>
        <v>9</v>
      </c>
      <c r="N26" s="49">
        <f>IFERROR(__xludf.DUMMYFUNCTION("""COMPUTED_VALUE"""),9.0)</f>
        <v>9</v>
      </c>
      <c r="O26" s="49">
        <f>IFERROR(__xludf.DUMMYFUNCTION("""COMPUTED_VALUE"""),9.0)</f>
        <v>9</v>
      </c>
      <c r="P26" s="49"/>
      <c r="Q26" s="49"/>
      <c r="R26" s="49"/>
      <c r="S26" s="49"/>
      <c r="T26" s="49"/>
      <c r="U26" s="49"/>
      <c r="V26" s="49"/>
      <c r="W26" s="49"/>
      <c r="X26" s="49"/>
      <c r="Y26" s="49"/>
      <c r="Z26" s="49"/>
      <c r="AA26" s="49"/>
      <c r="AB26" s="49"/>
      <c r="AC26" s="49"/>
      <c r="AD26" s="49"/>
      <c r="AE26" s="49"/>
      <c r="AF26" s="49"/>
      <c r="AG26" s="49"/>
      <c r="AH26" s="49"/>
      <c r="AI26" s="49"/>
      <c r="AJ26" s="49"/>
      <c r="AK26" s="49"/>
      <c r="AL26" s="49"/>
      <c r="AM26" s="49"/>
      <c r="AN26" s="49"/>
      <c r="AO26" s="49"/>
      <c r="AP26" s="49"/>
      <c r="AQ26" s="49"/>
      <c r="AR26" s="49"/>
      <c r="AS26" s="49"/>
      <c r="AT26" s="49"/>
      <c r="AU26" s="49"/>
      <c r="AV26" s="49"/>
      <c r="AW26" s="49"/>
      <c r="AX26" s="49"/>
    </row>
    <row r="27">
      <c r="A27" s="49" t="str">
        <f>IFERROR(__xludf.DUMMYFUNCTION("""COMPUTED_VALUE"""),"Merchant")</f>
        <v>Merchant</v>
      </c>
      <c r="B27" s="49" t="str">
        <f>IFERROR(__xludf.DUMMYFUNCTION("""COMPUTED_VALUE"""),"Traveling Merchant")</f>
        <v>Traveling Merchant</v>
      </c>
      <c r="C27" s="49"/>
      <c r="D27" s="49"/>
      <c r="E27" s="49"/>
      <c r="F27" s="49"/>
      <c r="G27" s="49"/>
      <c r="H27" s="49"/>
      <c r="I27" s="49"/>
      <c r="J27" s="49"/>
      <c r="K27" s="49"/>
      <c r="L27" s="49"/>
      <c r="M27" s="49">
        <f>IFERROR(__xludf.DUMMYFUNCTION("""COMPUTED_VALUE"""),9.0)</f>
        <v>9</v>
      </c>
      <c r="N27" s="49">
        <f>IFERROR(__xludf.DUMMYFUNCTION("""COMPUTED_VALUE"""),9.0)</f>
        <v>9</v>
      </c>
      <c r="O27" s="49">
        <f>IFERROR(__xludf.DUMMYFUNCTION("""COMPUTED_VALUE"""),9.0)</f>
        <v>9</v>
      </c>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9"/>
      <c r="AU27" s="49"/>
      <c r="AV27" s="49"/>
      <c r="AW27" s="49"/>
      <c r="AX27" s="49"/>
    </row>
    <row r="28">
      <c r="A28" s="49" t="str">
        <f>IFERROR(__xludf.DUMMYFUNCTION("""COMPUTED_VALUE"""),"Monk")</f>
        <v>Monk</v>
      </c>
      <c r="B28" s="49" t="str">
        <f>IFERROR(__xludf.DUMMYFUNCTION("""COMPUTED_VALUE"""),"Grand Abbot")</f>
        <v>Grand Abbot</v>
      </c>
      <c r="C28" s="49">
        <f>IFERROR(__xludf.DUMMYFUNCTION("""COMPUTED_VALUE"""),9.0)</f>
        <v>9</v>
      </c>
      <c r="D28" s="49">
        <f>IFERROR(__xludf.DUMMYFUNCTION("""COMPUTED_VALUE"""),9.0)</f>
        <v>9</v>
      </c>
      <c r="E28" s="49">
        <f>IFERROR(__xludf.DUMMYFUNCTION("""COMPUTED_VALUE"""),9.0)</f>
        <v>9</v>
      </c>
      <c r="F28" s="49">
        <f>IFERROR(__xludf.DUMMYFUNCTION("""COMPUTED_VALUE"""),9.0)</f>
        <v>9</v>
      </c>
      <c r="G28" s="49">
        <f>IFERROR(__xludf.DUMMYFUNCTION("""COMPUTED_VALUE"""),9.0)</f>
        <v>9</v>
      </c>
      <c r="H28" s="49">
        <f>IFERROR(__xludf.DUMMYFUNCTION("""COMPUTED_VALUE"""),9.0)</f>
        <v>9</v>
      </c>
      <c r="I28" s="49">
        <f>IFERROR(__xludf.DUMMYFUNCTION("""COMPUTED_VALUE"""),9.0)</f>
        <v>9</v>
      </c>
      <c r="J28" s="49">
        <f>IFERROR(__xludf.DUMMYFUNCTION("""COMPUTED_VALUE"""),9.0)</f>
        <v>9</v>
      </c>
      <c r="K28" s="49">
        <f>IFERROR(__xludf.DUMMYFUNCTION("""COMPUTED_VALUE"""),9.0)</f>
        <v>9</v>
      </c>
      <c r="L28" s="49">
        <f>IFERROR(__xludf.DUMMYFUNCTION("""COMPUTED_VALUE"""),9.0)</f>
        <v>9</v>
      </c>
      <c r="M28" s="49">
        <f>IFERROR(__xludf.DUMMYFUNCTION("""COMPUTED_VALUE"""),9.0)</f>
        <v>9</v>
      </c>
      <c r="N28" s="49">
        <f>IFERROR(__xludf.DUMMYFUNCTION("""COMPUTED_VALUE"""),9.0)</f>
        <v>9</v>
      </c>
      <c r="O28" s="49">
        <f>IFERROR(__xludf.DUMMYFUNCTION("""COMPUTED_VALUE"""),9.0)</f>
        <v>9</v>
      </c>
      <c r="P28" s="49">
        <f>IFERROR(__xludf.DUMMYFUNCTION("""COMPUTED_VALUE"""),9.0)</f>
        <v>9</v>
      </c>
      <c r="Q28" s="49">
        <f>IFERROR(__xludf.DUMMYFUNCTION("""COMPUTED_VALUE"""),9.0)</f>
        <v>9</v>
      </c>
      <c r="R28" s="49">
        <f>IFERROR(__xludf.DUMMYFUNCTION("""COMPUTED_VALUE"""),9.0)</f>
        <v>9</v>
      </c>
      <c r="S28" s="49">
        <f>IFERROR(__xludf.DUMMYFUNCTION("""COMPUTED_VALUE"""),9.0)</f>
        <v>9</v>
      </c>
      <c r="T28" s="49">
        <f>IFERROR(__xludf.DUMMYFUNCTION("""COMPUTED_VALUE"""),9.0)</f>
        <v>9</v>
      </c>
      <c r="U28" s="49">
        <f>IFERROR(__xludf.DUMMYFUNCTION("""COMPUTED_VALUE"""),9.0)</f>
        <v>9</v>
      </c>
      <c r="V28" s="49"/>
      <c r="W28" s="49">
        <f>IFERROR(__xludf.DUMMYFUNCTION("""COMPUTED_VALUE"""),9.0)</f>
        <v>9</v>
      </c>
      <c r="X28" s="49"/>
      <c r="Y28" s="49"/>
      <c r="Z28" s="49"/>
      <c r="AA28" s="49"/>
      <c r="AB28" s="49"/>
      <c r="AC28" s="49"/>
      <c r="AD28" s="49"/>
      <c r="AE28" s="49"/>
      <c r="AF28" s="49"/>
      <c r="AG28" s="49"/>
      <c r="AH28" s="49"/>
      <c r="AI28" s="49"/>
      <c r="AJ28" s="49"/>
      <c r="AK28" s="49"/>
      <c r="AL28" s="49"/>
      <c r="AM28" s="49"/>
      <c r="AN28" s="49"/>
      <c r="AO28" s="49"/>
      <c r="AP28" s="49"/>
      <c r="AQ28" s="49"/>
      <c r="AR28" s="49"/>
      <c r="AS28" s="49"/>
      <c r="AT28" s="49"/>
      <c r="AU28" s="49"/>
      <c r="AV28" s="49"/>
      <c r="AW28" s="49"/>
      <c r="AX28" s="49"/>
    </row>
    <row r="29">
      <c r="A29" s="49" t="str">
        <f>IFERROR(__xludf.DUMMYFUNCTION("""COMPUTED_VALUE"""),"Ninja")</f>
        <v>Ninja</v>
      </c>
      <c r="B29" s="49" t="str">
        <f>IFERROR(__xludf.DUMMYFUNCTION("""COMPUTED_VALUE"""),"Sensei of Dark Arts")</f>
        <v>Sensei of Dark Arts</v>
      </c>
      <c r="C29" s="49"/>
      <c r="D29" s="49"/>
      <c r="E29" s="49"/>
      <c r="F29" s="49"/>
      <c r="G29" s="49"/>
      <c r="H29" s="49">
        <f>IFERROR(__xludf.DUMMYFUNCTION("""COMPUTED_VALUE"""),9.0)</f>
        <v>9</v>
      </c>
      <c r="I29" s="49"/>
      <c r="J29" s="49"/>
      <c r="K29" s="49">
        <f>IFERROR(__xludf.DUMMYFUNCTION("""COMPUTED_VALUE"""),9.0)</f>
        <v>9</v>
      </c>
      <c r="L29" s="49"/>
      <c r="M29" s="49">
        <f>IFERROR(__xludf.DUMMYFUNCTION("""COMPUTED_VALUE"""),9.0)</f>
        <v>9</v>
      </c>
      <c r="N29" s="49">
        <f>IFERROR(__xludf.DUMMYFUNCTION("""COMPUTED_VALUE"""),9.0)</f>
        <v>9</v>
      </c>
      <c r="O29" s="49">
        <f>IFERROR(__xludf.DUMMYFUNCTION("""COMPUTED_VALUE"""),9.0)</f>
        <v>9</v>
      </c>
      <c r="P29" s="49"/>
      <c r="Q29" s="49"/>
      <c r="R29" s="49">
        <f>IFERROR(__xludf.DUMMYFUNCTION("""COMPUTED_VALUE"""),9.0)</f>
        <v>9</v>
      </c>
      <c r="S29" s="49"/>
      <c r="T29" s="49"/>
      <c r="U29" s="49">
        <f>IFERROR(__xludf.DUMMYFUNCTION("""COMPUTED_VALUE"""),9.0)</f>
        <v>9</v>
      </c>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9"/>
      <c r="AU29" s="49"/>
      <c r="AV29" s="49"/>
      <c r="AW29" s="49"/>
      <c r="AX29" s="49"/>
    </row>
    <row r="30">
      <c r="A30" s="49" t="str">
        <f>IFERROR(__xludf.DUMMYFUNCTION("""COMPUTED_VALUE"""),"Ninja")</f>
        <v>Ninja</v>
      </c>
      <c r="B30" s="49" t="str">
        <f>IFERROR(__xludf.DUMMYFUNCTION("""COMPUTED_VALUE"""),"Assassin")</f>
        <v>Assassin</v>
      </c>
      <c r="C30" s="49"/>
      <c r="D30" s="49"/>
      <c r="E30" s="49"/>
      <c r="F30" s="49"/>
      <c r="G30" s="49"/>
      <c r="H30" s="49">
        <f>IFERROR(__xludf.DUMMYFUNCTION("""COMPUTED_VALUE"""),9.0)</f>
        <v>9</v>
      </c>
      <c r="I30" s="49"/>
      <c r="J30" s="49"/>
      <c r="K30" s="49">
        <f>IFERROR(__xludf.DUMMYFUNCTION("""COMPUTED_VALUE"""),9.0)</f>
        <v>9</v>
      </c>
      <c r="L30" s="49"/>
      <c r="M30" s="49">
        <f>IFERROR(__xludf.DUMMYFUNCTION("""COMPUTED_VALUE"""),9.0)</f>
        <v>9</v>
      </c>
      <c r="N30" s="49">
        <f>IFERROR(__xludf.DUMMYFUNCTION("""COMPUTED_VALUE"""),9.0)</f>
        <v>9</v>
      </c>
      <c r="O30" s="49">
        <f>IFERROR(__xludf.DUMMYFUNCTION("""COMPUTED_VALUE"""),9.0)</f>
        <v>9</v>
      </c>
      <c r="P30" s="49"/>
      <c r="Q30" s="49"/>
      <c r="R30" s="49">
        <f>IFERROR(__xludf.DUMMYFUNCTION("""COMPUTED_VALUE"""),9.0)</f>
        <v>9</v>
      </c>
      <c r="S30" s="49"/>
      <c r="T30" s="49"/>
      <c r="U30" s="49">
        <f>IFERROR(__xludf.DUMMYFUNCTION("""COMPUTED_VALUE"""),9.0)</f>
        <v>9</v>
      </c>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9"/>
      <c r="AU30" s="49"/>
      <c r="AV30" s="49"/>
      <c r="AW30" s="49"/>
      <c r="AX30" s="49"/>
    </row>
    <row r="31">
      <c r="A31" s="49" t="str">
        <f>IFERROR(__xludf.DUMMYFUNCTION("""COMPUTED_VALUE"""),"Pirate")</f>
        <v>Pirate</v>
      </c>
      <c r="B31" s="49" t="str">
        <f>IFERROR(__xludf.DUMMYFUNCTION("""COMPUTED_VALUE"""),"Swashbuckler")</f>
        <v>Swashbuckler</v>
      </c>
      <c r="C31" s="49"/>
      <c r="D31" s="49">
        <f>IFERROR(__xludf.DUMMYFUNCTION("""COMPUTED_VALUE"""),9.0)</f>
        <v>9</v>
      </c>
      <c r="E31" s="49"/>
      <c r="F31" s="49"/>
      <c r="G31" s="49"/>
      <c r="H31" s="49"/>
      <c r="I31" s="49"/>
      <c r="J31" s="49"/>
      <c r="K31" s="49"/>
      <c r="L31" s="49"/>
      <c r="M31" s="49"/>
      <c r="N31" s="49">
        <f>IFERROR(__xludf.DUMMYFUNCTION("""COMPUTED_VALUE"""),9.0)</f>
        <v>9</v>
      </c>
      <c r="O31" s="49"/>
      <c r="P31" s="49"/>
      <c r="Q31" s="49"/>
      <c r="R31" s="49"/>
      <c r="S31" s="49"/>
      <c r="T31" s="49"/>
      <c r="U31" s="49"/>
      <c r="V31" s="49"/>
      <c r="W31" s="49"/>
      <c r="X31" s="49"/>
      <c r="Y31" s="49"/>
      <c r="Z31" s="49"/>
      <c r="AA31" s="49"/>
      <c r="AB31" s="49"/>
      <c r="AC31" s="49"/>
      <c r="AD31" s="49"/>
      <c r="AE31" s="49"/>
      <c r="AF31" s="49"/>
      <c r="AG31" s="49"/>
      <c r="AH31" s="49"/>
      <c r="AI31" s="49"/>
      <c r="AJ31" s="49"/>
      <c r="AK31" s="49"/>
      <c r="AL31" s="49"/>
      <c r="AM31" s="49"/>
      <c r="AN31" s="49"/>
      <c r="AO31" s="49"/>
      <c r="AP31" s="49"/>
      <c r="AQ31" s="49"/>
      <c r="AR31" s="49"/>
      <c r="AS31" s="49"/>
      <c r="AT31" s="49"/>
      <c r="AU31" s="49"/>
      <c r="AV31" s="49"/>
      <c r="AW31" s="49"/>
      <c r="AX31" s="49"/>
    </row>
    <row r="32">
      <c r="A32" s="49" t="str">
        <f>IFERROR(__xludf.DUMMYFUNCTION("""COMPUTED_VALUE"""),"Pirate")</f>
        <v>Pirate</v>
      </c>
      <c r="B32" s="49" t="str">
        <f>IFERROR(__xludf.DUMMYFUNCTION("""COMPUTED_VALUE"""),"Buccaneer")</f>
        <v>Buccaneer</v>
      </c>
      <c r="C32" s="49"/>
      <c r="D32" s="49">
        <f>IFERROR(__xludf.DUMMYFUNCTION("""COMPUTED_VALUE"""),9.0)</f>
        <v>9</v>
      </c>
      <c r="E32" s="49"/>
      <c r="F32" s="49"/>
      <c r="G32" s="49"/>
      <c r="H32" s="49"/>
      <c r="I32" s="49"/>
      <c r="J32" s="49"/>
      <c r="K32" s="49"/>
      <c r="L32" s="49"/>
      <c r="M32" s="49"/>
      <c r="N32" s="49"/>
      <c r="O32" s="49">
        <f>IFERROR(__xludf.DUMMYFUNCTION("""COMPUTED_VALUE"""),9.0)</f>
        <v>9</v>
      </c>
      <c r="P32" s="49"/>
      <c r="Q32" s="49"/>
      <c r="R32" s="49"/>
      <c r="S32" s="49"/>
      <c r="T32" s="49"/>
      <c r="U32" s="49"/>
      <c r="V32" s="49"/>
      <c r="W32" s="49"/>
      <c r="X32" s="49"/>
      <c r="Y32" s="49"/>
      <c r="Z32" s="49"/>
      <c r="AA32" s="49"/>
      <c r="AB32" s="49"/>
      <c r="AC32" s="49"/>
      <c r="AD32" s="49"/>
      <c r="AE32" s="49"/>
      <c r="AF32" s="49"/>
      <c r="AG32" s="49"/>
      <c r="AH32" s="49"/>
      <c r="AI32" s="49"/>
      <c r="AJ32" s="49"/>
      <c r="AK32" s="49"/>
      <c r="AL32" s="49"/>
      <c r="AM32" s="49"/>
      <c r="AN32" s="49"/>
      <c r="AO32" s="49"/>
      <c r="AP32" s="49"/>
      <c r="AQ32" s="49"/>
      <c r="AR32" s="49"/>
      <c r="AS32" s="49"/>
      <c r="AT32" s="49"/>
      <c r="AU32" s="49"/>
      <c r="AV32" s="49"/>
      <c r="AW32" s="49"/>
      <c r="AX32" s="49"/>
    </row>
    <row r="33">
      <c r="A33" s="49" t="str">
        <f>IFERROR(__xludf.DUMMYFUNCTION("""COMPUTED_VALUE"""),"Priest")</f>
        <v>Priest</v>
      </c>
      <c r="B33" s="49" t="str">
        <f>IFERROR(__xludf.DUMMYFUNCTION("""COMPUTED_VALUE"""),"Apostle of Light")</f>
        <v>Apostle of Light</v>
      </c>
      <c r="C33" s="49"/>
      <c r="D33" s="49"/>
      <c r="E33" s="49"/>
      <c r="F33" s="49"/>
      <c r="G33" s="49">
        <f>IFERROR(__xludf.DUMMYFUNCTION("""COMPUTED_VALUE"""),9.0)</f>
        <v>9</v>
      </c>
      <c r="H33" s="49"/>
      <c r="I33" s="49"/>
      <c r="J33" s="49">
        <f>IFERROR(__xludf.DUMMYFUNCTION("""COMPUTED_VALUE"""),9.0)</f>
        <v>9</v>
      </c>
      <c r="K33" s="49"/>
      <c r="L33" s="49">
        <f>IFERROR(__xludf.DUMMYFUNCTION("""COMPUTED_VALUE"""),9.0)</f>
        <v>9</v>
      </c>
      <c r="M33" s="49"/>
      <c r="N33" s="49"/>
      <c r="O33" s="49"/>
      <c r="P33" s="49"/>
      <c r="Q33" s="49"/>
      <c r="R33" s="49"/>
      <c r="S33" s="49"/>
      <c r="T33" s="49"/>
      <c r="U33" s="49"/>
      <c r="V33" s="49"/>
      <c r="W33" s="49"/>
      <c r="X33" s="49"/>
      <c r="Y33" s="49"/>
      <c r="Z33" s="49"/>
      <c r="AA33" s="49"/>
      <c r="AB33" s="49"/>
      <c r="AC33" s="49"/>
      <c r="AD33" s="49"/>
      <c r="AE33" s="49"/>
      <c r="AF33" s="49"/>
      <c r="AG33" s="49"/>
      <c r="AH33" s="49"/>
      <c r="AI33" s="49"/>
      <c r="AJ33" s="49"/>
      <c r="AK33" s="49"/>
      <c r="AL33" s="49"/>
      <c r="AM33" s="49"/>
      <c r="AN33" s="49"/>
      <c r="AO33" s="49"/>
      <c r="AP33" s="49"/>
      <c r="AQ33" s="49"/>
      <c r="AR33" s="49"/>
      <c r="AS33" s="49"/>
      <c r="AT33" s="49"/>
      <c r="AU33" s="49"/>
      <c r="AV33" s="49"/>
      <c r="AW33" s="49"/>
      <c r="AX33" s="49"/>
    </row>
    <row r="34">
      <c r="A34" s="49" t="str">
        <f>IFERROR(__xludf.DUMMYFUNCTION("""COMPUTED_VALUE"""),"Priest")</f>
        <v>Priest</v>
      </c>
      <c r="B34" s="49" t="str">
        <f>IFERROR(__xludf.DUMMYFUNCTION("""COMPUTED_VALUE"""),"Cleric")</f>
        <v>Cleric</v>
      </c>
      <c r="C34" s="49"/>
      <c r="D34" s="49"/>
      <c r="E34" s="49"/>
      <c r="F34" s="49"/>
      <c r="G34" s="49">
        <f>IFERROR(__xludf.DUMMYFUNCTION("""COMPUTED_VALUE"""),9.0)</f>
        <v>9</v>
      </c>
      <c r="H34" s="49"/>
      <c r="I34" s="49"/>
      <c r="J34" s="49">
        <f>IFERROR(__xludf.DUMMYFUNCTION("""COMPUTED_VALUE"""),9.0)</f>
        <v>9</v>
      </c>
      <c r="K34" s="49"/>
      <c r="L34" s="49">
        <f>IFERROR(__xludf.DUMMYFUNCTION("""COMPUTED_VALUE"""),9.0)</f>
        <v>9</v>
      </c>
      <c r="M34" s="49"/>
      <c r="N34" s="49"/>
      <c r="O34" s="49"/>
      <c r="P34" s="49"/>
      <c r="Q34" s="49"/>
      <c r="R34" s="49"/>
      <c r="S34" s="49"/>
      <c r="T34" s="49"/>
      <c r="U34" s="49"/>
      <c r="V34" s="49"/>
      <c r="W34" s="49"/>
      <c r="X34" s="49"/>
      <c r="Y34" s="49"/>
      <c r="Z34" s="49"/>
      <c r="AA34" s="49"/>
      <c r="AB34" s="49"/>
      <c r="AC34" s="49"/>
      <c r="AD34" s="49"/>
      <c r="AE34" s="49"/>
      <c r="AF34" s="49"/>
      <c r="AG34" s="49"/>
      <c r="AH34" s="49"/>
      <c r="AI34" s="49"/>
      <c r="AJ34" s="49"/>
      <c r="AK34" s="49"/>
      <c r="AL34" s="49"/>
      <c r="AM34" s="49"/>
      <c r="AN34" s="49"/>
      <c r="AO34" s="49"/>
      <c r="AP34" s="49"/>
      <c r="AQ34" s="49"/>
      <c r="AR34" s="49"/>
      <c r="AS34" s="49"/>
      <c r="AT34" s="49"/>
      <c r="AU34" s="49"/>
      <c r="AV34" s="49"/>
      <c r="AW34" s="49"/>
      <c r="AX34" s="49"/>
    </row>
    <row r="35">
      <c r="A35" s="49" t="str">
        <f>IFERROR(__xludf.DUMMYFUNCTION("""COMPUTED_VALUE"""),"Priest")</f>
        <v>Priest</v>
      </c>
      <c r="B35" s="49" t="str">
        <f>IFERROR(__xludf.DUMMYFUNCTION("""COMPUTED_VALUE"""),"Acolyte of The Shattered Moon")</f>
        <v>Acolyte of The Shattered Moon</v>
      </c>
      <c r="C35" s="49"/>
      <c r="D35" s="49"/>
      <c r="E35" s="49"/>
      <c r="F35" s="49"/>
      <c r="G35" s="49">
        <f>IFERROR(__xludf.DUMMYFUNCTION("""COMPUTED_VALUE"""),9.0)</f>
        <v>9</v>
      </c>
      <c r="H35" s="49"/>
      <c r="I35" s="49"/>
      <c r="J35" s="49">
        <f>IFERROR(__xludf.DUMMYFUNCTION("""COMPUTED_VALUE"""),9.0)</f>
        <v>9</v>
      </c>
      <c r="K35" s="49"/>
      <c r="L35" s="49"/>
      <c r="M35" s="49"/>
      <c r="N35" s="49"/>
      <c r="O35" s="49"/>
      <c r="P35" s="49"/>
      <c r="Q35" s="49"/>
      <c r="R35" s="49"/>
      <c r="S35" s="49"/>
      <c r="T35" s="49"/>
      <c r="U35" s="49"/>
      <c r="V35" s="49"/>
      <c r="W35" s="49">
        <f>IFERROR(__xludf.DUMMYFUNCTION("""COMPUTED_VALUE"""),9.0)</f>
        <v>9</v>
      </c>
      <c r="X35" s="49"/>
      <c r="Y35" s="49"/>
      <c r="Z35" s="49"/>
      <c r="AA35" s="49"/>
      <c r="AB35" s="49"/>
      <c r="AC35" s="49"/>
      <c r="AD35" s="49"/>
      <c r="AE35" s="49"/>
      <c r="AF35" s="49"/>
      <c r="AG35" s="49"/>
      <c r="AH35" s="49"/>
      <c r="AI35" s="49"/>
      <c r="AJ35" s="49"/>
      <c r="AK35" s="49"/>
      <c r="AL35" s="49"/>
      <c r="AM35" s="49"/>
      <c r="AN35" s="49"/>
      <c r="AO35" s="49"/>
      <c r="AP35" s="49"/>
      <c r="AQ35" s="49"/>
      <c r="AR35" s="49"/>
      <c r="AS35" s="49"/>
      <c r="AT35" s="49"/>
      <c r="AU35" s="49"/>
      <c r="AV35" s="49"/>
      <c r="AW35" s="49"/>
      <c r="AX35" s="49"/>
    </row>
    <row r="36">
      <c r="A36" s="49" t="str">
        <f>IFERROR(__xludf.DUMMYFUNCTION("""COMPUTED_VALUE"""),"Reaper")</f>
        <v>Reaper</v>
      </c>
      <c r="B36" s="49" t="str">
        <f>IFERROR(__xludf.DUMMYFUNCTION("""COMPUTED_VALUE"""),"Shadow Walker")</f>
        <v>Shadow Walker</v>
      </c>
      <c r="C36" s="49"/>
      <c r="D36" s="49"/>
      <c r="E36" s="49"/>
      <c r="F36" s="49"/>
      <c r="G36" s="49"/>
      <c r="H36" s="49">
        <f>IFERROR(__xludf.DUMMYFUNCTION("""COMPUTED_VALUE"""),9.0)</f>
        <v>9</v>
      </c>
      <c r="I36" s="49">
        <f>IFERROR(__xludf.DUMMYFUNCTION("""COMPUTED_VALUE"""),9.0)</f>
        <v>9</v>
      </c>
      <c r="J36" s="49"/>
      <c r="K36" s="49">
        <f>IFERROR(__xludf.DUMMYFUNCTION("""COMPUTED_VALUE"""),9.0)</f>
        <v>9</v>
      </c>
      <c r="L36" s="49"/>
      <c r="M36" s="49"/>
      <c r="N36" s="49">
        <f>IFERROR(__xludf.DUMMYFUNCTION("""COMPUTED_VALUE"""),6.0)</f>
        <v>6</v>
      </c>
      <c r="O36" s="49"/>
      <c r="P36" s="49"/>
      <c r="Q36" s="49"/>
      <c r="R36" s="49"/>
      <c r="S36" s="49"/>
      <c r="T36" s="49"/>
      <c r="U36" s="49"/>
      <c r="V36" s="49"/>
      <c r="W36" s="49"/>
      <c r="X36" s="49"/>
      <c r="Y36" s="49"/>
      <c r="Z36" s="49"/>
      <c r="AA36" s="49"/>
      <c r="AB36" s="49"/>
      <c r="AC36" s="49"/>
      <c r="AD36" s="49"/>
      <c r="AE36" s="49"/>
      <c r="AF36" s="49"/>
      <c r="AG36" s="49"/>
      <c r="AH36" s="49"/>
      <c r="AI36" s="49"/>
      <c r="AJ36" s="49"/>
      <c r="AK36" s="49"/>
      <c r="AL36" s="49"/>
      <c r="AM36" s="49"/>
      <c r="AN36" s="49"/>
      <c r="AO36" s="49"/>
      <c r="AP36" s="49"/>
      <c r="AQ36" s="49"/>
      <c r="AR36" s="49"/>
      <c r="AS36" s="49"/>
      <c r="AT36" s="49"/>
      <c r="AU36" s="49"/>
      <c r="AV36" s="49"/>
      <c r="AW36" s="49"/>
      <c r="AX36" s="49"/>
    </row>
    <row r="37">
      <c r="A37" s="49" t="str">
        <f>IFERROR(__xludf.DUMMYFUNCTION("""COMPUTED_VALUE"""),"Reaper")</f>
        <v>Reaper</v>
      </c>
      <c r="B37" s="49" t="str">
        <f>IFERROR(__xludf.DUMMYFUNCTION("""COMPUTED_VALUE"""),"Grim Reaper")</f>
        <v>Grim Reaper</v>
      </c>
      <c r="C37" s="49"/>
      <c r="D37" s="49"/>
      <c r="E37" s="49"/>
      <c r="F37" s="49"/>
      <c r="G37" s="49"/>
      <c r="H37" s="49">
        <f>IFERROR(__xludf.DUMMYFUNCTION("""COMPUTED_VALUE"""),9.0)</f>
        <v>9</v>
      </c>
      <c r="I37" s="49">
        <f>IFERROR(__xludf.DUMMYFUNCTION("""COMPUTED_VALUE"""),9.0)</f>
        <v>9</v>
      </c>
      <c r="J37" s="49"/>
      <c r="K37" s="49"/>
      <c r="L37" s="49"/>
      <c r="M37" s="49">
        <f>IFERROR(__xludf.DUMMYFUNCTION("""COMPUTED_VALUE"""),9.0)</f>
        <v>9</v>
      </c>
      <c r="N37" s="49">
        <f>IFERROR(__xludf.DUMMYFUNCTION("""COMPUTED_VALUE"""),9.0)</f>
        <v>9</v>
      </c>
      <c r="O37" s="49">
        <f>IFERROR(__xludf.DUMMYFUNCTION("""COMPUTED_VALUE"""),9.0)</f>
        <v>9</v>
      </c>
      <c r="P37" s="49"/>
      <c r="Q37" s="49"/>
      <c r="R37" s="49"/>
      <c r="S37" s="49"/>
      <c r="T37" s="49"/>
      <c r="U37" s="49"/>
      <c r="V37" s="49"/>
      <c r="W37" s="49"/>
      <c r="X37" s="49"/>
      <c r="Y37" s="49"/>
      <c r="Z37" s="49"/>
      <c r="AA37" s="49"/>
      <c r="AB37" s="49"/>
      <c r="AC37" s="49"/>
      <c r="AD37" s="49"/>
      <c r="AE37" s="49"/>
      <c r="AF37" s="49"/>
      <c r="AG37" s="49"/>
      <c r="AH37" s="49"/>
      <c r="AI37" s="49"/>
      <c r="AJ37" s="49"/>
      <c r="AK37" s="49"/>
      <c r="AL37" s="49"/>
      <c r="AM37" s="49"/>
      <c r="AN37" s="49"/>
      <c r="AO37" s="49"/>
      <c r="AP37" s="49"/>
      <c r="AQ37" s="49"/>
      <c r="AR37" s="49"/>
      <c r="AS37" s="49"/>
      <c r="AT37" s="49"/>
      <c r="AU37" s="49"/>
      <c r="AV37" s="49"/>
      <c r="AW37" s="49"/>
      <c r="AX37" s="49"/>
    </row>
    <row r="38">
      <c r="A38" s="49" t="str">
        <f>IFERROR(__xludf.DUMMYFUNCTION("""COMPUTED_VALUE"""),"Samurai")</f>
        <v>Samurai</v>
      </c>
      <c r="B38" s="49" t="str">
        <f>IFERROR(__xludf.DUMMYFUNCTION("""COMPUTED_VALUE"""),"Cursed Samurai")</f>
        <v>Cursed Samurai</v>
      </c>
      <c r="C38" s="49"/>
      <c r="D38" s="49"/>
      <c r="E38" s="49">
        <f>IFERROR(__xludf.DUMMYFUNCTION("""COMPUTED_VALUE"""),9.0)</f>
        <v>9</v>
      </c>
      <c r="F38" s="49"/>
      <c r="G38" s="49"/>
      <c r="H38" s="49"/>
      <c r="I38" s="49"/>
      <c r="J38" s="49">
        <f>IFERROR(__xludf.DUMMYFUNCTION("""COMPUTED_VALUE"""),9.0)</f>
        <v>9</v>
      </c>
      <c r="K38" s="49"/>
      <c r="L38" s="49"/>
      <c r="M38" s="49">
        <f>IFERROR(__xludf.DUMMYFUNCTION("""COMPUTED_VALUE"""),9.0)</f>
        <v>9</v>
      </c>
      <c r="N38" s="49">
        <f>IFERROR(__xludf.DUMMYFUNCTION("""COMPUTED_VALUE"""),9.0)</f>
        <v>9</v>
      </c>
      <c r="O38" s="49"/>
      <c r="P38" s="49"/>
      <c r="Q38" s="49"/>
      <c r="R38" s="49"/>
      <c r="S38" s="49"/>
      <c r="T38" s="49"/>
      <c r="U38" s="49">
        <f>IFERROR(__xludf.DUMMYFUNCTION("""COMPUTED_VALUE"""),9.0)</f>
        <v>9</v>
      </c>
      <c r="V38" s="49"/>
      <c r="W38" s="49"/>
      <c r="X38" s="49"/>
      <c r="Y38" s="49"/>
      <c r="Z38" s="49"/>
      <c r="AA38" s="49"/>
      <c r="AB38" s="49"/>
      <c r="AC38" s="49"/>
      <c r="AD38" s="49"/>
      <c r="AE38" s="49"/>
      <c r="AF38" s="49"/>
      <c r="AG38" s="49"/>
      <c r="AH38" s="49"/>
      <c r="AI38" s="49"/>
      <c r="AJ38" s="49"/>
      <c r="AK38" s="49"/>
      <c r="AL38" s="49"/>
      <c r="AM38" s="49"/>
      <c r="AN38" s="49"/>
      <c r="AO38" s="49"/>
      <c r="AP38" s="49"/>
      <c r="AQ38" s="49"/>
      <c r="AR38" s="49"/>
      <c r="AS38" s="49"/>
      <c r="AT38" s="49"/>
      <c r="AU38" s="49"/>
      <c r="AV38" s="49"/>
      <c r="AW38" s="49"/>
      <c r="AX38" s="49"/>
    </row>
    <row r="39">
      <c r="A39" s="49" t="str">
        <f>IFERROR(__xludf.DUMMYFUNCTION("""COMPUTED_VALUE"""),"Shaman")</f>
        <v>Shaman</v>
      </c>
      <c r="B39" s="49" t="str">
        <f>IFERROR(__xludf.DUMMYFUNCTION("""COMPUTED_VALUE"""),"Master Shaman")</f>
        <v>Master Shaman</v>
      </c>
      <c r="C39" s="49"/>
      <c r="D39" s="49"/>
      <c r="E39" s="49"/>
      <c r="F39" s="49"/>
      <c r="G39" s="49"/>
      <c r="H39" s="49"/>
      <c r="I39" s="49">
        <f>IFERROR(__xludf.DUMMYFUNCTION("""COMPUTED_VALUE"""),6.0)</f>
        <v>6</v>
      </c>
      <c r="J39" s="49">
        <f>IFERROR(__xludf.DUMMYFUNCTION("""COMPUTED_VALUE"""),9.0)</f>
        <v>9</v>
      </c>
      <c r="K39" s="49">
        <f>IFERROR(__xludf.DUMMYFUNCTION("""COMPUTED_VALUE"""),6.0)</f>
        <v>6</v>
      </c>
      <c r="L39" s="49">
        <f>IFERROR(__xludf.DUMMYFUNCTION("""COMPUTED_VALUE"""),9.0)</f>
        <v>9</v>
      </c>
      <c r="M39" s="49"/>
      <c r="N39" s="49"/>
      <c r="O39" s="49"/>
      <c r="P39" s="49"/>
      <c r="Q39" s="49"/>
      <c r="R39" s="49"/>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9"/>
      <c r="AU39" s="49"/>
      <c r="AV39" s="49"/>
      <c r="AW39" s="49"/>
      <c r="AX39" s="49"/>
    </row>
    <row r="40">
      <c r="A40" s="49" t="str">
        <f>IFERROR(__xludf.DUMMYFUNCTION("""COMPUTED_VALUE"""),"Sorcerer")</f>
        <v>Sorcerer</v>
      </c>
      <c r="B40" s="49" t="str">
        <f>IFERROR(__xludf.DUMMYFUNCTION("""COMPUTED_VALUE"""),"Master Sorcerer")</f>
        <v>Master Sorcerer</v>
      </c>
      <c r="C40" s="49">
        <f>IFERROR(__xludf.DUMMYFUNCTION("""COMPUTED_VALUE"""),9.0)</f>
        <v>9</v>
      </c>
      <c r="D40" s="49">
        <f>IFERROR(__xludf.DUMMYFUNCTION("""COMPUTED_VALUE"""),9.0)</f>
        <v>9</v>
      </c>
      <c r="E40" s="49">
        <f>IFERROR(__xludf.DUMMYFUNCTION("""COMPUTED_VALUE"""),9.0)</f>
        <v>9</v>
      </c>
      <c r="F40" s="49">
        <f>IFERROR(__xludf.DUMMYFUNCTION("""COMPUTED_VALUE"""),9.0)</f>
        <v>9</v>
      </c>
      <c r="G40" s="49">
        <f>IFERROR(__xludf.DUMMYFUNCTION("""COMPUTED_VALUE"""),9.0)</f>
        <v>9</v>
      </c>
      <c r="H40" s="49">
        <f>IFERROR(__xludf.DUMMYFUNCTION("""COMPUTED_VALUE"""),9.0)</f>
        <v>9</v>
      </c>
      <c r="I40" s="49">
        <f>IFERROR(__xludf.DUMMYFUNCTION("""COMPUTED_VALUE"""),9.0)</f>
        <v>9</v>
      </c>
      <c r="J40" s="49">
        <f>IFERROR(__xludf.DUMMYFUNCTION("""COMPUTED_VALUE"""),9.0)</f>
        <v>9</v>
      </c>
      <c r="K40" s="49">
        <f>IFERROR(__xludf.DUMMYFUNCTION("""COMPUTED_VALUE"""),9.0)</f>
        <v>9</v>
      </c>
      <c r="L40" s="49">
        <f>IFERROR(__xludf.DUMMYFUNCTION("""COMPUTED_VALUE"""),9.0)</f>
        <v>9</v>
      </c>
      <c r="M40" s="49">
        <f>IFERROR(__xludf.DUMMYFUNCTION("""COMPUTED_VALUE"""),9.0)</f>
        <v>9</v>
      </c>
      <c r="N40" s="49">
        <f>IFERROR(__xludf.DUMMYFUNCTION("""COMPUTED_VALUE"""),9.0)</f>
        <v>9</v>
      </c>
      <c r="O40" s="49">
        <f>IFERROR(__xludf.DUMMYFUNCTION("""COMPUTED_VALUE"""),9.0)</f>
        <v>9</v>
      </c>
      <c r="P40" s="49">
        <f>IFERROR(__xludf.DUMMYFUNCTION("""COMPUTED_VALUE"""),9.0)</f>
        <v>9</v>
      </c>
      <c r="Q40" s="49">
        <f>IFERROR(__xludf.DUMMYFUNCTION("""COMPUTED_VALUE"""),9.0)</f>
        <v>9</v>
      </c>
      <c r="R40" s="49">
        <f>IFERROR(__xludf.DUMMYFUNCTION("""COMPUTED_VALUE"""),9.0)</f>
        <v>9</v>
      </c>
      <c r="S40" s="49">
        <f>IFERROR(__xludf.DUMMYFUNCTION("""COMPUTED_VALUE"""),9.0)</f>
        <v>9</v>
      </c>
      <c r="T40" s="49">
        <f>IFERROR(__xludf.DUMMYFUNCTION("""COMPUTED_VALUE"""),9.0)</f>
        <v>9</v>
      </c>
      <c r="U40" s="49"/>
      <c r="V40" s="49"/>
      <c r="W40" s="49">
        <f>IFERROR(__xludf.DUMMYFUNCTION("""COMPUTED_VALUE"""),9.0)</f>
        <v>9</v>
      </c>
      <c r="X40" s="49">
        <f>IFERROR(__xludf.DUMMYFUNCTION("""COMPUTED_VALUE"""),6.0)</f>
        <v>6</v>
      </c>
      <c r="Y40" s="49"/>
      <c r="Z40" s="49"/>
      <c r="AA40" s="49"/>
      <c r="AB40" s="49"/>
      <c r="AC40" s="49"/>
      <c r="AD40" s="49"/>
      <c r="AE40" s="49"/>
      <c r="AF40" s="49"/>
      <c r="AG40" s="49"/>
      <c r="AH40" s="49"/>
      <c r="AI40" s="49"/>
      <c r="AJ40" s="49"/>
      <c r="AK40" s="49"/>
      <c r="AL40" s="49"/>
      <c r="AM40" s="49"/>
      <c r="AN40" s="49"/>
      <c r="AO40" s="49"/>
      <c r="AP40" s="49"/>
      <c r="AQ40" s="49"/>
      <c r="AR40" s="49"/>
      <c r="AS40" s="49"/>
      <c r="AT40" s="49"/>
      <c r="AU40" s="49"/>
      <c r="AV40" s="49"/>
      <c r="AW40" s="49"/>
      <c r="AX40" s="49"/>
    </row>
    <row r="41">
      <c r="A41" s="49" t="str">
        <f>IFERROR(__xludf.DUMMYFUNCTION("""COMPUTED_VALUE"""),"Viking")</f>
        <v>Viking</v>
      </c>
      <c r="B41" s="49" t="str">
        <f>IFERROR(__xludf.DUMMYFUNCTION("""COMPUTED_VALUE"""),"Warlord")</f>
        <v>Warlord</v>
      </c>
      <c r="C41" s="49"/>
      <c r="D41" s="49"/>
      <c r="E41" s="49"/>
      <c r="F41" s="49"/>
      <c r="G41" s="49"/>
      <c r="H41" s="49"/>
      <c r="I41" s="49"/>
      <c r="J41" s="49"/>
      <c r="K41" s="49"/>
      <c r="L41" s="49">
        <f>IFERROR(__xludf.DUMMYFUNCTION("""COMPUTED_VALUE"""),9.0)</f>
        <v>9</v>
      </c>
      <c r="M41" s="49">
        <f>IFERROR(__xludf.DUMMYFUNCTION("""COMPUTED_VALUE"""),9.0)</f>
        <v>9</v>
      </c>
      <c r="N41" s="49">
        <f>IFERROR(__xludf.DUMMYFUNCTION("""COMPUTED_VALUE"""),9.0)</f>
        <v>9</v>
      </c>
      <c r="O41" s="49"/>
      <c r="P41" s="49"/>
      <c r="Q41" s="49"/>
      <c r="R41" s="49"/>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9"/>
      <c r="AU41" s="49"/>
      <c r="AV41" s="49"/>
      <c r="AW41" s="49"/>
      <c r="AX41" s="49"/>
    </row>
    <row r="42">
      <c r="A42" s="49" t="str">
        <f>IFERROR(__xludf.DUMMYFUNCTION("""COMPUTED_VALUE"""),"Viking")</f>
        <v>Viking</v>
      </c>
      <c r="B42" s="49" t="str">
        <f>IFERROR(__xludf.DUMMYFUNCTION("""COMPUTED_VALUE"""),"Warlock")</f>
        <v>Warlock</v>
      </c>
      <c r="C42" s="49"/>
      <c r="D42" s="49"/>
      <c r="E42" s="49"/>
      <c r="F42" s="49"/>
      <c r="G42" s="49"/>
      <c r="H42" s="49">
        <f>IFERROR(__xludf.DUMMYFUNCTION("""COMPUTED_VALUE"""),9.0)</f>
        <v>9</v>
      </c>
      <c r="I42" s="49"/>
      <c r="J42" s="49"/>
      <c r="K42" s="49"/>
      <c r="L42" s="49">
        <f>IFERROR(__xludf.DUMMYFUNCTION("""COMPUTED_VALUE"""),6.0)</f>
        <v>6</v>
      </c>
      <c r="M42" s="49">
        <f>IFERROR(__xludf.DUMMYFUNCTION("""COMPUTED_VALUE"""),9.0)</f>
        <v>9</v>
      </c>
      <c r="N42" s="49">
        <f>IFERROR(__xludf.DUMMYFUNCTION("""COMPUTED_VALUE"""),9.0)</f>
        <v>9</v>
      </c>
      <c r="O42" s="49"/>
      <c r="P42" s="49"/>
      <c r="Q42" s="49"/>
      <c r="R42" s="49"/>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9"/>
      <c r="AU42" s="49"/>
      <c r="AV42" s="49"/>
      <c r="AW42" s="49"/>
      <c r="AX42" s="49"/>
    </row>
    <row r="43">
      <c r="A43" s="49" t="str">
        <f>IFERROR(__xludf.DUMMYFUNCTION("""COMPUTED_VALUE"""),"Warrior")</f>
        <v>Warrior</v>
      </c>
      <c r="B43" s="49" t="str">
        <f>IFERROR(__xludf.DUMMYFUNCTION("""COMPUTED_VALUE"""),"Soldier")</f>
        <v>Soldier</v>
      </c>
      <c r="C43" s="49"/>
      <c r="D43" s="49"/>
      <c r="E43" s="49"/>
      <c r="F43" s="49"/>
      <c r="G43" s="49"/>
      <c r="H43" s="49"/>
      <c r="I43" s="49"/>
      <c r="J43" s="49"/>
      <c r="K43" s="49"/>
      <c r="L43" s="49"/>
      <c r="M43" s="49">
        <f>IFERROR(__xludf.DUMMYFUNCTION("""COMPUTED_VALUE"""),9.0)</f>
        <v>9</v>
      </c>
      <c r="N43" s="49">
        <f>IFERROR(__xludf.DUMMYFUNCTION("""COMPUTED_VALUE"""),9.0)</f>
        <v>9</v>
      </c>
      <c r="O43" s="49">
        <f>IFERROR(__xludf.DUMMYFUNCTION("""COMPUTED_VALUE"""),9.0)</f>
        <v>9</v>
      </c>
      <c r="P43" s="49"/>
      <c r="Q43" s="49"/>
      <c r="R43" s="49"/>
      <c r="S43" s="49"/>
      <c r="T43" s="49"/>
      <c r="U43" s="49"/>
      <c r="V43" s="49"/>
      <c r="W43" s="49"/>
      <c r="X43" s="49"/>
      <c r="Y43" s="49"/>
      <c r="Z43" s="49"/>
      <c r="AA43" s="49"/>
      <c r="AB43" s="49"/>
      <c r="AC43" s="49"/>
      <c r="AD43" s="49"/>
      <c r="AE43" s="49"/>
      <c r="AF43" s="49"/>
      <c r="AG43" s="49"/>
      <c r="AH43" s="49"/>
      <c r="AI43" s="49"/>
      <c r="AJ43" s="49"/>
      <c r="AK43" s="49"/>
      <c r="AL43" s="49"/>
      <c r="AM43" s="49"/>
      <c r="AN43" s="49"/>
      <c r="AO43" s="49"/>
      <c r="AP43" s="49"/>
      <c r="AQ43" s="49"/>
      <c r="AR43" s="49"/>
      <c r="AS43" s="49"/>
      <c r="AT43" s="49"/>
      <c r="AU43" s="49"/>
      <c r="AV43" s="49"/>
      <c r="AW43" s="49"/>
      <c r="AX43" s="49"/>
    </row>
    <row r="44">
      <c r="A44" s="49" t="str">
        <f>IFERROR(__xludf.DUMMYFUNCTION("""COMPUTED_VALUE"""),"WeaponMaster")</f>
        <v>WeaponMaster</v>
      </c>
      <c r="B44" s="49" t="str">
        <f>IFERROR(__xludf.DUMMYFUNCTION("""COMPUTED_VALUE"""),"Weapon Purist")</f>
        <v>Weapon Purist</v>
      </c>
      <c r="C44" s="49"/>
      <c r="D44" s="49"/>
      <c r="E44" s="49"/>
      <c r="F44" s="49"/>
      <c r="G44" s="49"/>
      <c r="H44" s="49"/>
      <c r="I44" s="49"/>
      <c r="J44" s="49"/>
      <c r="K44" s="49"/>
      <c r="L44" s="49"/>
      <c r="M44" s="49">
        <f>IFERROR(__xludf.DUMMYFUNCTION("""COMPUTED_VALUE"""),9.0)</f>
        <v>9</v>
      </c>
      <c r="N44" s="49">
        <f>IFERROR(__xludf.DUMMYFUNCTION("""COMPUTED_VALUE"""),9.0)</f>
        <v>9</v>
      </c>
      <c r="O44" s="49">
        <f>IFERROR(__xludf.DUMMYFUNCTION("""COMPUTED_VALUE"""),9.0)</f>
        <v>9</v>
      </c>
      <c r="P44" s="49"/>
      <c r="Q44" s="49"/>
      <c r="R44" s="49"/>
      <c r="S44" s="49"/>
      <c r="T44" s="49"/>
      <c r="U44" s="49"/>
      <c r="V44" s="49"/>
      <c r="W44" s="49"/>
      <c r="X44" s="49"/>
      <c r="Y44" s="49"/>
      <c r="Z44" s="49"/>
      <c r="AA44" s="49"/>
      <c r="AB44" s="49"/>
      <c r="AC44" s="49"/>
      <c r="AD44" s="49"/>
      <c r="AE44" s="49"/>
      <c r="AF44" s="49"/>
      <c r="AG44" s="49"/>
      <c r="AH44" s="49"/>
      <c r="AI44" s="49"/>
      <c r="AJ44" s="49"/>
      <c r="AK44" s="49"/>
      <c r="AL44" s="49"/>
      <c r="AM44" s="49"/>
      <c r="AN44" s="49"/>
      <c r="AO44" s="49"/>
      <c r="AP44" s="49"/>
      <c r="AQ44" s="49"/>
      <c r="AR44" s="49"/>
      <c r="AS44" s="49"/>
      <c r="AT44" s="49"/>
      <c r="AU44" s="49"/>
      <c r="AV44" s="49"/>
      <c r="AW44" s="49"/>
      <c r="AX44" s="49"/>
    </row>
    <row r="45">
      <c r="A45" s="49" t="str">
        <f>IFERROR(__xludf.DUMMYFUNCTION("""COMPUTED_VALUE"""),"Witch")</f>
        <v>Witch</v>
      </c>
      <c r="B45" s="49" t="str">
        <f>IFERROR(__xludf.DUMMYFUNCTION("""COMPUTED_VALUE"""),"Hag")</f>
        <v>Hag</v>
      </c>
      <c r="C45" s="49">
        <f>IFERROR(__xludf.DUMMYFUNCTION("""COMPUTED_VALUE"""),9.0)</f>
        <v>9</v>
      </c>
      <c r="D45" s="49">
        <f>IFERROR(__xludf.DUMMYFUNCTION("""COMPUTED_VALUE"""),9.0)</f>
        <v>9</v>
      </c>
      <c r="E45" s="49">
        <f>IFERROR(__xludf.DUMMYFUNCTION("""COMPUTED_VALUE"""),9.0)</f>
        <v>9</v>
      </c>
      <c r="F45" s="49">
        <f>IFERROR(__xludf.DUMMYFUNCTION("""COMPUTED_VALUE"""),9.0)</f>
        <v>9</v>
      </c>
      <c r="G45" s="49">
        <f>IFERROR(__xludf.DUMMYFUNCTION("""COMPUTED_VALUE"""),9.0)</f>
        <v>9</v>
      </c>
      <c r="H45" s="49">
        <f>IFERROR(__xludf.DUMMYFUNCTION("""COMPUTED_VALUE"""),9.0)</f>
        <v>9</v>
      </c>
      <c r="I45" s="49">
        <f>IFERROR(__xludf.DUMMYFUNCTION("""COMPUTED_VALUE"""),9.0)</f>
        <v>9</v>
      </c>
      <c r="J45" s="49">
        <f>IFERROR(__xludf.DUMMYFUNCTION("""COMPUTED_VALUE"""),9.0)</f>
        <v>9</v>
      </c>
      <c r="K45" s="49">
        <f>IFERROR(__xludf.DUMMYFUNCTION("""COMPUTED_VALUE"""),9.0)</f>
        <v>9</v>
      </c>
      <c r="L45" s="49">
        <f>IFERROR(__xludf.DUMMYFUNCTION("""COMPUTED_VALUE"""),9.0)</f>
        <v>9</v>
      </c>
      <c r="M45" s="49">
        <f>IFERROR(__xludf.DUMMYFUNCTION("""COMPUTED_VALUE"""),9.0)</f>
        <v>9</v>
      </c>
      <c r="N45" s="49">
        <f>IFERROR(__xludf.DUMMYFUNCTION("""COMPUTED_VALUE"""),9.0)</f>
        <v>9</v>
      </c>
      <c r="O45" s="49">
        <f>IFERROR(__xludf.DUMMYFUNCTION("""COMPUTED_VALUE"""),9.0)</f>
        <v>9</v>
      </c>
      <c r="P45" s="49">
        <f>IFERROR(__xludf.DUMMYFUNCTION("""COMPUTED_VALUE"""),9.0)</f>
        <v>9</v>
      </c>
      <c r="Q45" s="49">
        <f>IFERROR(__xludf.DUMMYFUNCTION("""COMPUTED_VALUE"""),9.0)</f>
        <v>9</v>
      </c>
      <c r="R45" s="49">
        <f>IFERROR(__xludf.DUMMYFUNCTION("""COMPUTED_VALUE"""),9.0)</f>
        <v>9</v>
      </c>
      <c r="S45" s="49">
        <f>IFERROR(__xludf.DUMMYFUNCTION("""COMPUTED_VALUE"""),9.0)</f>
        <v>9</v>
      </c>
      <c r="T45" s="49">
        <f>IFERROR(__xludf.DUMMYFUNCTION("""COMPUTED_VALUE"""),9.0)</f>
        <v>9</v>
      </c>
      <c r="U45" s="49"/>
      <c r="V45" s="49"/>
      <c r="W45" s="49">
        <f>IFERROR(__xludf.DUMMYFUNCTION("""COMPUTED_VALUE"""),9.0)</f>
        <v>9</v>
      </c>
      <c r="X45" s="49"/>
      <c r="Y45" s="49"/>
      <c r="Z45" s="49"/>
      <c r="AA45" s="49"/>
      <c r="AB45" s="49"/>
      <c r="AC45" s="49"/>
      <c r="AD45" s="49"/>
      <c r="AE45" s="49"/>
      <c r="AF45" s="49"/>
      <c r="AG45" s="49"/>
      <c r="AH45" s="49"/>
      <c r="AI45" s="49"/>
      <c r="AJ45" s="49"/>
      <c r="AK45" s="49"/>
      <c r="AL45" s="49"/>
      <c r="AM45" s="49"/>
      <c r="AN45" s="49"/>
      <c r="AO45" s="49"/>
      <c r="AP45" s="49"/>
      <c r="AQ45" s="49"/>
      <c r="AR45" s="49"/>
      <c r="AS45" s="49"/>
      <c r="AT45" s="49"/>
      <c r="AU45" s="49"/>
      <c r="AV45" s="49"/>
      <c r="AW45" s="49"/>
      <c r="AX45" s="49"/>
    </row>
    <row r="46">
      <c r="A46" s="49" t="str">
        <f>IFERROR(__xludf.DUMMYFUNCTION("""COMPUTED_VALUE"""),"Wizard")</f>
        <v>Wizard</v>
      </c>
      <c r="B46" s="49" t="str">
        <f>IFERROR(__xludf.DUMMYFUNCTION("""COMPUTED_VALUE"""),"Elemental Wizard")</f>
        <v>Elemental Wizard</v>
      </c>
      <c r="C46" s="49">
        <f>IFERROR(__xludf.DUMMYFUNCTION("""COMPUTED_VALUE"""),9.0)</f>
        <v>9</v>
      </c>
      <c r="D46" s="49">
        <f>IFERROR(__xludf.DUMMYFUNCTION("""COMPUTED_VALUE"""),9.0)</f>
        <v>9</v>
      </c>
      <c r="E46" s="49">
        <f>IFERROR(__xludf.DUMMYFUNCTION("""COMPUTED_VALUE"""),9.0)</f>
        <v>9</v>
      </c>
      <c r="F46" s="49">
        <f>IFERROR(__xludf.DUMMYFUNCTION("""COMPUTED_VALUE"""),9.0)</f>
        <v>9</v>
      </c>
      <c r="G46" s="49">
        <f>IFERROR(__xludf.DUMMYFUNCTION("""COMPUTED_VALUE"""),9.0)</f>
        <v>9</v>
      </c>
      <c r="H46" s="49">
        <f>IFERROR(__xludf.DUMMYFUNCTION("""COMPUTED_VALUE"""),9.0)</f>
        <v>9</v>
      </c>
      <c r="I46" s="49">
        <f>IFERROR(__xludf.DUMMYFUNCTION("""COMPUTED_VALUE"""),9.0)</f>
        <v>9</v>
      </c>
      <c r="J46" s="49">
        <f>IFERROR(__xludf.DUMMYFUNCTION("""COMPUTED_VALUE"""),9.0)</f>
        <v>9</v>
      </c>
      <c r="K46" s="49">
        <f>IFERROR(__xludf.DUMMYFUNCTION("""COMPUTED_VALUE"""),9.0)</f>
        <v>9</v>
      </c>
      <c r="L46" s="49">
        <f>IFERROR(__xludf.DUMMYFUNCTION("""COMPUTED_VALUE"""),9.0)</f>
        <v>9</v>
      </c>
      <c r="M46" s="49">
        <f>IFERROR(__xludf.DUMMYFUNCTION("""COMPUTED_VALUE"""),9.0)</f>
        <v>9</v>
      </c>
      <c r="N46" s="49">
        <f>IFERROR(__xludf.DUMMYFUNCTION("""COMPUTED_VALUE"""),9.0)</f>
        <v>9</v>
      </c>
      <c r="O46" s="49">
        <f>IFERROR(__xludf.DUMMYFUNCTION("""COMPUTED_VALUE"""),9.0)</f>
        <v>9</v>
      </c>
      <c r="P46" s="49">
        <f>IFERROR(__xludf.DUMMYFUNCTION("""COMPUTED_VALUE"""),9.0)</f>
        <v>9</v>
      </c>
      <c r="Q46" s="49">
        <f>IFERROR(__xludf.DUMMYFUNCTION("""COMPUTED_VALUE"""),9.0)</f>
        <v>9</v>
      </c>
      <c r="R46" s="49">
        <f>IFERROR(__xludf.DUMMYFUNCTION("""COMPUTED_VALUE"""),9.0)</f>
        <v>9</v>
      </c>
      <c r="S46" s="49">
        <f>IFERROR(__xludf.DUMMYFUNCTION("""COMPUTED_VALUE"""),9.0)</f>
        <v>9</v>
      </c>
      <c r="T46" s="49">
        <f>IFERROR(__xludf.DUMMYFUNCTION("""COMPUTED_VALUE"""),9.0)</f>
        <v>9</v>
      </c>
      <c r="U46" s="49"/>
      <c r="V46" s="49"/>
      <c r="W46" s="49">
        <f>IFERROR(__xludf.DUMMYFUNCTION("""COMPUTED_VALUE"""),9.0)</f>
        <v>9</v>
      </c>
      <c r="X46" s="49"/>
      <c r="Y46" s="49"/>
      <c r="Z46" s="49"/>
      <c r="AA46" s="49"/>
      <c r="AB46" s="49"/>
      <c r="AC46" s="49"/>
      <c r="AD46" s="49"/>
      <c r="AE46" s="49"/>
      <c r="AF46" s="49"/>
      <c r="AG46" s="49"/>
      <c r="AH46" s="49"/>
      <c r="AI46" s="49"/>
      <c r="AJ46" s="49"/>
      <c r="AK46" s="49"/>
      <c r="AL46" s="49"/>
      <c r="AM46" s="49"/>
      <c r="AN46" s="49"/>
      <c r="AO46" s="49"/>
      <c r="AP46" s="49"/>
      <c r="AQ46" s="49"/>
      <c r="AR46" s="49"/>
      <c r="AS46" s="49"/>
      <c r="AT46" s="49"/>
      <c r="AU46" s="49"/>
      <c r="AV46" s="49"/>
      <c r="AW46" s="49"/>
      <c r="AX46" s="49"/>
    </row>
    <row r="47">
      <c r="A47" s="49"/>
      <c r="B47" s="49"/>
      <c r="C47" s="49" t="str">
        <f>IFERROR(__xludf.DUMMYFUNCTION("""COMPUTED_VALUE"""),"")</f>
        <v/>
      </c>
      <c r="D47" s="49" t="str">
        <f>IFERROR(__xludf.DUMMYFUNCTION("""COMPUTED_VALUE"""),"")</f>
        <v/>
      </c>
      <c r="E47" s="49" t="str">
        <f>IFERROR(__xludf.DUMMYFUNCTION("""COMPUTED_VALUE"""),"")</f>
        <v/>
      </c>
      <c r="F47" s="49" t="str">
        <f>IFERROR(__xludf.DUMMYFUNCTION("""COMPUTED_VALUE"""),"")</f>
        <v/>
      </c>
      <c r="G47" s="49" t="str">
        <f>IFERROR(__xludf.DUMMYFUNCTION("""COMPUTED_VALUE"""),"")</f>
        <v/>
      </c>
      <c r="H47" s="49" t="str">
        <f>IFERROR(__xludf.DUMMYFUNCTION("""COMPUTED_VALUE"""),"")</f>
        <v/>
      </c>
      <c r="I47" s="49" t="str">
        <f>IFERROR(__xludf.DUMMYFUNCTION("""COMPUTED_VALUE"""),"")</f>
        <v/>
      </c>
      <c r="J47" s="49" t="str">
        <f>IFERROR(__xludf.DUMMYFUNCTION("""COMPUTED_VALUE"""),"")</f>
        <v/>
      </c>
      <c r="K47" s="49" t="str">
        <f>IFERROR(__xludf.DUMMYFUNCTION("""COMPUTED_VALUE"""),"")</f>
        <v/>
      </c>
      <c r="L47" s="49" t="str">
        <f>IFERROR(__xludf.DUMMYFUNCTION("""COMPUTED_VALUE"""),"")</f>
        <v/>
      </c>
      <c r="M47" s="49" t="str">
        <f>IFERROR(__xludf.DUMMYFUNCTION("""COMPUTED_VALUE"""),"")</f>
        <v/>
      </c>
      <c r="N47" s="49" t="str">
        <f>IFERROR(__xludf.DUMMYFUNCTION("""COMPUTED_VALUE"""),"")</f>
        <v/>
      </c>
      <c r="O47" s="49" t="str">
        <f>IFERROR(__xludf.DUMMYFUNCTION("""COMPUTED_VALUE"""),"")</f>
        <v/>
      </c>
      <c r="P47" s="49" t="str">
        <f>IFERROR(__xludf.DUMMYFUNCTION("""COMPUTED_VALUE"""),"")</f>
        <v/>
      </c>
      <c r="Q47" s="49" t="str">
        <f>IFERROR(__xludf.DUMMYFUNCTION("""COMPUTED_VALUE"""),"")</f>
        <v/>
      </c>
      <c r="R47" s="49" t="str">
        <f>IFERROR(__xludf.DUMMYFUNCTION("""COMPUTED_VALUE"""),"")</f>
        <v/>
      </c>
      <c r="S47" s="49" t="str">
        <f>IFERROR(__xludf.DUMMYFUNCTION("""COMPUTED_VALUE"""),"")</f>
        <v/>
      </c>
      <c r="T47" s="49" t="str">
        <f>IFERROR(__xludf.DUMMYFUNCTION("""COMPUTED_VALUE"""),"")</f>
        <v/>
      </c>
      <c r="U47" s="49" t="str">
        <f>IFERROR(__xludf.DUMMYFUNCTION("""COMPUTED_VALUE"""),"")</f>
        <v/>
      </c>
      <c r="V47" s="49" t="str">
        <f>IFERROR(__xludf.DUMMYFUNCTION("""COMPUTED_VALUE"""),"")</f>
        <v/>
      </c>
      <c r="W47" s="49" t="str">
        <f>IFERROR(__xludf.DUMMYFUNCTION("""COMPUTED_VALUE"""),"")</f>
        <v/>
      </c>
      <c r="X47" s="49" t="str">
        <f>IFERROR(__xludf.DUMMYFUNCTION("""COMPUTED_VALUE"""),"")</f>
        <v/>
      </c>
      <c r="Y47" s="49" t="str">
        <f>IFERROR(__xludf.DUMMYFUNCTION("""COMPUTED_VALUE"""),"")</f>
        <v/>
      </c>
      <c r="Z47" s="49"/>
      <c r="AA47" s="49"/>
      <c r="AB47" s="49"/>
      <c r="AC47" s="49"/>
      <c r="AD47" s="49"/>
      <c r="AE47" s="49"/>
      <c r="AF47" s="49"/>
      <c r="AG47" s="49"/>
      <c r="AH47" s="49"/>
      <c r="AI47" s="49"/>
      <c r="AJ47" s="49"/>
      <c r="AK47" s="49"/>
      <c r="AL47" s="49"/>
      <c r="AM47" s="49"/>
      <c r="AN47" s="49"/>
      <c r="AO47" s="49"/>
      <c r="AP47" s="49"/>
      <c r="AQ47" s="49"/>
      <c r="AR47" s="49"/>
      <c r="AS47" s="49"/>
      <c r="AT47" s="49"/>
      <c r="AU47" s="49"/>
      <c r="AV47" s="49"/>
      <c r="AW47" s="49"/>
      <c r="AX47" s="49"/>
    </row>
    <row r="48">
      <c r="A48" s="49"/>
      <c r="B48" s="49"/>
      <c r="C48" s="49" t="str">
        <f>IFERROR(__xludf.DUMMYFUNCTION("""COMPUTED_VALUE"""),"")</f>
        <v/>
      </c>
      <c r="D48" s="49" t="str">
        <f>IFERROR(__xludf.DUMMYFUNCTION("""COMPUTED_VALUE"""),"")</f>
        <v/>
      </c>
      <c r="E48" s="49" t="str">
        <f>IFERROR(__xludf.DUMMYFUNCTION("""COMPUTED_VALUE"""),"")</f>
        <v/>
      </c>
      <c r="F48" s="49" t="str">
        <f>IFERROR(__xludf.DUMMYFUNCTION("""COMPUTED_VALUE"""),"")</f>
        <v/>
      </c>
      <c r="G48" s="49" t="str">
        <f>IFERROR(__xludf.DUMMYFUNCTION("""COMPUTED_VALUE"""),"")</f>
        <v/>
      </c>
      <c r="H48" s="49" t="str">
        <f>IFERROR(__xludf.DUMMYFUNCTION("""COMPUTED_VALUE"""),"")</f>
        <v/>
      </c>
      <c r="I48" s="49" t="str">
        <f>IFERROR(__xludf.DUMMYFUNCTION("""COMPUTED_VALUE"""),"")</f>
        <v/>
      </c>
      <c r="J48" s="49" t="str">
        <f>IFERROR(__xludf.DUMMYFUNCTION("""COMPUTED_VALUE"""),"")</f>
        <v/>
      </c>
      <c r="K48" s="49" t="str">
        <f>IFERROR(__xludf.DUMMYFUNCTION("""COMPUTED_VALUE"""),"")</f>
        <v/>
      </c>
      <c r="L48" s="49" t="str">
        <f>IFERROR(__xludf.DUMMYFUNCTION("""COMPUTED_VALUE"""),"")</f>
        <v/>
      </c>
      <c r="M48" s="49" t="str">
        <f>IFERROR(__xludf.DUMMYFUNCTION("""COMPUTED_VALUE"""),"")</f>
        <v/>
      </c>
      <c r="N48" s="49" t="str">
        <f>IFERROR(__xludf.DUMMYFUNCTION("""COMPUTED_VALUE"""),"")</f>
        <v/>
      </c>
      <c r="O48" s="49" t="str">
        <f>IFERROR(__xludf.DUMMYFUNCTION("""COMPUTED_VALUE"""),"")</f>
        <v/>
      </c>
      <c r="P48" s="49" t="str">
        <f>IFERROR(__xludf.DUMMYFUNCTION("""COMPUTED_VALUE"""),"")</f>
        <v/>
      </c>
      <c r="Q48" s="49" t="str">
        <f>IFERROR(__xludf.DUMMYFUNCTION("""COMPUTED_VALUE"""),"")</f>
        <v/>
      </c>
      <c r="R48" s="49" t="str">
        <f>IFERROR(__xludf.DUMMYFUNCTION("""COMPUTED_VALUE"""),"")</f>
        <v/>
      </c>
      <c r="S48" s="49" t="str">
        <f>IFERROR(__xludf.DUMMYFUNCTION("""COMPUTED_VALUE"""),"")</f>
        <v/>
      </c>
      <c r="T48" s="49" t="str">
        <f>IFERROR(__xludf.DUMMYFUNCTION("""COMPUTED_VALUE"""),"")</f>
        <v/>
      </c>
      <c r="U48" s="49" t="str">
        <f>IFERROR(__xludf.DUMMYFUNCTION("""COMPUTED_VALUE"""),"")</f>
        <v/>
      </c>
      <c r="V48" s="49" t="str">
        <f>IFERROR(__xludf.DUMMYFUNCTION("""COMPUTED_VALUE"""),"")</f>
        <v/>
      </c>
      <c r="W48" s="49" t="str">
        <f>IFERROR(__xludf.DUMMYFUNCTION("""COMPUTED_VALUE"""),"")</f>
        <v/>
      </c>
      <c r="X48" s="49" t="str">
        <f>IFERROR(__xludf.DUMMYFUNCTION("""COMPUTED_VALUE"""),"")</f>
        <v/>
      </c>
      <c r="Y48" s="49" t="str">
        <f>IFERROR(__xludf.DUMMYFUNCTION("""COMPUTED_VALUE"""),"")</f>
        <v/>
      </c>
      <c r="Z48" s="49"/>
      <c r="AA48" s="49"/>
      <c r="AB48" s="49"/>
      <c r="AC48" s="49"/>
      <c r="AD48" s="49"/>
      <c r="AE48" s="49"/>
      <c r="AF48" s="49"/>
      <c r="AG48" s="49"/>
      <c r="AH48" s="49"/>
      <c r="AI48" s="49"/>
      <c r="AJ48" s="49"/>
      <c r="AK48" s="49"/>
      <c r="AL48" s="49"/>
      <c r="AM48" s="49"/>
      <c r="AN48" s="49"/>
      <c r="AO48" s="49"/>
      <c r="AP48" s="49"/>
      <c r="AQ48" s="49"/>
      <c r="AR48" s="49"/>
      <c r="AS48" s="49"/>
      <c r="AT48" s="49"/>
      <c r="AU48" s="49"/>
      <c r="AV48" s="49"/>
      <c r="AW48" s="49"/>
      <c r="AX48" s="49"/>
    </row>
    <row r="49">
      <c r="A49" s="49"/>
      <c r="B49" s="49"/>
      <c r="C49" s="49" t="str">
        <f>IFERROR(__xludf.DUMMYFUNCTION("""COMPUTED_VALUE"""),"")</f>
        <v/>
      </c>
      <c r="D49" s="49" t="str">
        <f>IFERROR(__xludf.DUMMYFUNCTION("""COMPUTED_VALUE"""),"")</f>
        <v/>
      </c>
      <c r="E49" s="49" t="str">
        <f>IFERROR(__xludf.DUMMYFUNCTION("""COMPUTED_VALUE"""),"")</f>
        <v/>
      </c>
      <c r="F49" s="49" t="str">
        <f>IFERROR(__xludf.DUMMYFUNCTION("""COMPUTED_VALUE"""),"")</f>
        <v/>
      </c>
      <c r="G49" s="49" t="str">
        <f>IFERROR(__xludf.DUMMYFUNCTION("""COMPUTED_VALUE"""),"")</f>
        <v/>
      </c>
      <c r="H49" s="49" t="str">
        <f>IFERROR(__xludf.DUMMYFUNCTION("""COMPUTED_VALUE"""),"")</f>
        <v/>
      </c>
      <c r="I49" s="49" t="str">
        <f>IFERROR(__xludf.DUMMYFUNCTION("""COMPUTED_VALUE"""),"")</f>
        <v/>
      </c>
      <c r="J49" s="49" t="str">
        <f>IFERROR(__xludf.DUMMYFUNCTION("""COMPUTED_VALUE"""),"")</f>
        <v/>
      </c>
      <c r="K49" s="49" t="str">
        <f>IFERROR(__xludf.DUMMYFUNCTION("""COMPUTED_VALUE"""),"")</f>
        <v/>
      </c>
      <c r="L49" s="49" t="str">
        <f>IFERROR(__xludf.DUMMYFUNCTION("""COMPUTED_VALUE"""),"")</f>
        <v/>
      </c>
      <c r="M49" s="49" t="str">
        <f>IFERROR(__xludf.DUMMYFUNCTION("""COMPUTED_VALUE"""),"")</f>
        <v/>
      </c>
      <c r="N49" s="49" t="str">
        <f>IFERROR(__xludf.DUMMYFUNCTION("""COMPUTED_VALUE"""),"")</f>
        <v/>
      </c>
      <c r="O49" s="49" t="str">
        <f>IFERROR(__xludf.DUMMYFUNCTION("""COMPUTED_VALUE"""),"")</f>
        <v/>
      </c>
      <c r="P49" s="49" t="str">
        <f>IFERROR(__xludf.DUMMYFUNCTION("""COMPUTED_VALUE"""),"")</f>
        <v/>
      </c>
      <c r="Q49" s="49" t="str">
        <f>IFERROR(__xludf.DUMMYFUNCTION("""COMPUTED_VALUE"""),"")</f>
        <v/>
      </c>
      <c r="R49" s="49" t="str">
        <f>IFERROR(__xludf.DUMMYFUNCTION("""COMPUTED_VALUE"""),"")</f>
        <v/>
      </c>
      <c r="S49" s="49" t="str">
        <f>IFERROR(__xludf.DUMMYFUNCTION("""COMPUTED_VALUE"""),"")</f>
        <v/>
      </c>
      <c r="T49" s="49" t="str">
        <f>IFERROR(__xludf.DUMMYFUNCTION("""COMPUTED_VALUE"""),"")</f>
        <v/>
      </c>
      <c r="U49" s="49" t="str">
        <f>IFERROR(__xludf.DUMMYFUNCTION("""COMPUTED_VALUE"""),"")</f>
        <v/>
      </c>
      <c r="V49" s="49" t="str">
        <f>IFERROR(__xludf.DUMMYFUNCTION("""COMPUTED_VALUE"""),"")</f>
        <v/>
      </c>
      <c r="W49" s="49" t="str">
        <f>IFERROR(__xludf.DUMMYFUNCTION("""COMPUTED_VALUE"""),"")</f>
        <v/>
      </c>
      <c r="X49" s="49" t="str">
        <f>IFERROR(__xludf.DUMMYFUNCTION("""COMPUTED_VALUE"""),"")</f>
        <v/>
      </c>
      <c r="Y49" s="49" t="str">
        <f>IFERROR(__xludf.DUMMYFUNCTION("""COMPUTED_VALUE"""),"")</f>
        <v/>
      </c>
      <c r="Z49" s="49"/>
      <c r="AA49" s="49"/>
      <c r="AB49" s="49"/>
      <c r="AC49" s="49"/>
      <c r="AD49" s="49"/>
      <c r="AE49" s="49"/>
      <c r="AF49" s="49"/>
      <c r="AG49" s="49"/>
      <c r="AH49" s="49"/>
      <c r="AI49" s="49"/>
      <c r="AJ49" s="49"/>
      <c r="AK49" s="49"/>
      <c r="AL49" s="49"/>
      <c r="AM49" s="49"/>
      <c r="AN49" s="49"/>
      <c r="AO49" s="49"/>
      <c r="AP49" s="49"/>
      <c r="AQ49" s="49"/>
      <c r="AR49" s="49"/>
      <c r="AS49" s="49"/>
      <c r="AT49" s="49"/>
      <c r="AU49" s="49"/>
      <c r="AV49" s="49"/>
      <c r="AW49" s="49"/>
      <c r="AX49" s="49"/>
    </row>
    <row r="50">
      <c r="A50" s="49"/>
      <c r="B50" s="49"/>
      <c r="C50" s="49" t="str">
        <f>IFERROR(__xludf.DUMMYFUNCTION("""COMPUTED_VALUE"""),"")</f>
        <v/>
      </c>
      <c r="D50" s="49" t="str">
        <f>IFERROR(__xludf.DUMMYFUNCTION("""COMPUTED_VALUE"""),"")</f>
        <v/>
      </c>
      <c r="E50" s="49" t="str">
        <f>IFERROR(__xludf.DUMMYFUNCTION("""COMPUTED_VALUE"""),"")</f>
        <v/>
      </c>
      <c r="F50" s="49" t="str">
        <f>IFERROR(__xludf.DUMMYFUNCTION("""COMPUTED_VALUE"""),"")</f>
        <v/>
      </c>
      <c r="G50" s="49" t="str">
        <f>IFERROR(__xludf.DUMMYFUNCTION("""COMPUTED_VALUE"""),"")</f>
        <v/>
      </c>
      <c r="H50" s="49" t="str">
        <f>IFERROR(__xludf.DUMMYFUNCTION("""COMPUTED_VALUE"""),"")</f>
        <v/>
      </c>
      <c r="I50" s="49" t="str">
        <f>IFERROR(__xludf.DUMMYFUNCTION("""COMPUTED_VALUE"""),"")</f>
        <v/>
      </c>
      <c r="J50" s="49" t="str">
        <f>IFERROR(__xludf.DUMMYFUNCTION("""COMPUTED_VALUE"""),"")</f>
        <v/>
      </c>
      <c r="K50" s="49" t="str">
        <f>IFERROR(__xludf.DUMMYFUNCTION("""COMPUTED_VALUE"""),"")</f>
        <v/>
      </c>
      <c r="L50" s="49" t="str">
        <f>IFERROR(__xludf.DUMMYFUNCTION("""COMPUTED_VALUE"""),"")</f>
        <v/>
      </c>
      <c r="M50" s="49" t="str">
        <f>IFERROR(__xludf.DUMMYFUNCTION("""COMPUTED_VALUE"""),"")</f>
        <v/>
      </c>
      <c r="N50" s="49" t="str">
        <f>IFERROR(__xludf.DUMMYFUNCTION("""COMPUTED_VALUE"""),"")</f>
        <v/>
      </c>
      <c r="O50" s="49" t="str">
        <f>IFERROR(__xludf.DUMMYFUNCTION("""COMPUTED_VALUE"""),"")</f>
        <v/>
      </c>
      <c r="P50" s="49" t="str">
        <f>IFERROR(__xludf.DUMMYFUNCTION("""COMPUTED_VALUE"""),"")</f>
        <v/>
      </c>
      <c r="Q50" s="49" t="str">
        <f>IFERROR(__xludf.DUMMYFUNCTION("""COMPUTED_VALUE"""),"")</f>
        <v/>
      </c>
      <c r="R50" s="49" t="str">
        <f>IFERROR(__xludf.DUMMYFUNCTION("""COMPUTED_VALUE"""),"")</f>
        <v/>
      </c>
      <c r="S50" s="49" t="str">
        <f>IFERROR(__xludf.DUMMYFUNCTION("""COMPUTED_VALUE"""),"")</f>
        <v/>
      </c>
      <c r="T50" s="49" t="str">
        <f>IFERROR(__xludf.DUMMYFUNCTION("""COMPUTED_VALUE"""),"")</f>
        <v/>
      </c>
      <c r="U50" s="49" t="str">
        <f>IFERROR(__xludf.DUMMYFUNCTION("""COMPUTED_VALUE"""),"")</f>
        <v/>
      </c>
      <c r="V50" s="49" t="str">
        <f>IFERROR(__xludf.DUMMYFUNCTION("""COMPUTED_VALUE"""),"")</f>
        <v/>
      </c>
      <c r="W50" s="49" t="str">
        <f>IFERROR(__xludf.DUMMYFUNCTION("""COMPUTED_VALUE"""),"")</f>
        <v/>
      </c>
      <c r="X50" s="49" t="str">
        <f>IFERROR(__xludf.DUMMYFUNCTION("""COMPUTED_VALUE"""),"")</f>
        <v/>
      </c>
      <c r="Y50" s="49" t="str">
        <f>IFERROR(__xludf.DUMMYFUNCTION("""COMPUTED_VALUE"""),"")</f>
        <v/>
      </c>
      <c r="Z50" s="49"/>
      <c r="AA50" s="49"/>
      <c r="AB50" s="49"/>
      <c r="AC50" s="49"/>
      <c r="AD50" s="49"/>
      <c r="AE50" s="49"/>
      <c r="AF50" s="49"/>
      <c r="AG50" s="49"/>
      <c r="AH50" s="49"/>
      <c r="AI50" s="49"/>
      <c r="AJ50" s="49"/>
      <c r="AK50" s="49"/>
      <c r="AL50" s="49"/>
      <c r="AM50" s="49"/>
      <c r="AN50" s="49"/>
      <c r="AO50" s="49"/>
      <c r="AP50" s="49"/>
      <c r="AQ50" s="49"/>
      <c r="AR50" s="49"/>
      <c r="AS50" s="49"/>
      <c r="AT50" s="49"/>
      <c r="AU50" s="49"/>
      <c r="AV50" s="49"/>
      <c r="AW50" s="49"/>
      <c r="AX50" s="49"/>
    </row>
    <row r="51">
      <c r="A51" s="49"/>
      <c r="B51" s="49"/>
      <c r="C51" s="49" t="str">
        <f>IFERROR(__xludf.DUMMYFUNCTION("""COMPUTED_VALUE"""),"")</f>
        <v/>
      </c>
      <c r="D51" s="49" t="str">
        <f>IFERROR(__xludf.DUMMYFUNCTION("""COMPUTED_VALUE"""),"")</f>
        <v/>
      </c>
      <c r="E51" s="49" t="str">
        <f>IFERROR(__xludf.DUMMYFUNCTION("""COMPUTED_VALUE"""),"")</f>
        <v/>
      </c>
      <c r="F51" s="49" t="str">
        <f>IFERROR(__xludf.DUMMYFUNCTION("""COMPUTED_VALUE"""),"")</f>
        <v/>
      </c>
      <c r="G51" s="49" t="str">
        <f>IFERROR(__xludf.DUMMYFUNCTION("""COMPUTED_VALUE"""),"")</f>
        <v/>
      </c>
      <c r="H51" s="49" t="str">
        <f>IFERROR(__xludf.DUMMYFUNCTION("""COMPUTED_VALUE"""),"")</f>
        <v/>
      </c>
      <c r="I51" s="49" t="str">
        <f>IFERROR(__xludf.DUMMYFUNCTION("""COMPUTED_VALUE"""),"")</f>
        <v/>
      </c>
      <c r="J51" s="49" t="str">
        <f>IFERROR(__xludf.DUMMYFUNCTION("""COMPUTED_VALUE"""),"")</f>
        <v/>
      </c>
      <c r="K51" s="49" t="str">
        <f>IFERROR(__xludf.DUMMYFUNCTION("""COMPUTED_VALUE"""),"")</f>
        <v/>
      </c>
      <c r="L51" s="49" t="str">
        <f>IFERROR(__xludf.DUMMYFUNCTION("""COMPUTED_VALUE"""),"")</f>
        <v/>
      </c>
      <c r="M51" s="49" t="str">
        <f>IFERROR(__xludf.DUMMYFUNCTION("""COMPUTED_VALUE"""),"")</f>
        <v/>
      </c>
      <c r="N51" s="49" t="str">
        <f>IFERROR(__xludf.DUMMYFUNCTION("""COMPUTED_VALUE"""),"")</f>
        <v/>
      </c>
      <c r="O51" s="49" t="str">
        <f>IFERROR(__xludf.DUMMYFUNCTION("""COMPUTED_VALUE"""),"")</f>
        <v/>
      </c>
      <c r="P51" s="49" t="str">
        <f>IFERROR(__xludf.DUMMYFUNCTION("""COMPUTED_VALUE"""),"")</f>
        <v/>
      </c>
      <c r="Q51" s="49" t="str">
        <f>IFERROR(__xludf.DUMMYFUNCTION("""COMPUTED_VALUE"""),"")</f>
        <v/>
      </c>
      <c r="R51" s="49" t="str">
        <f>IFERROR(__xludf.DUMMYFUNCTION("""COMPUTED_VALUE"""),"")</f>
        <v/>
      </c>
      <c r="S51" s="49" t="str">
        <f>IFERROR(__xludf.DUMMYFUNCTION("""COMPUTED_VALUE"""),"")</f>
        <v/>
      </c>
      <c r="T51" s="49" t="str">
        <f>IFERROR(__xludf.DUMMYFUNCTION("""COMPUTED_VALUE"""),"")</f>
        <v/>
      </c>
      <c r="U51" s="49" t="str">
        <f>IFERROR(__xludf.DUMMYFUNCTION("""COMPUTED_VALUE"""),"")</f>
        <v/>
      </c>
      <c r="V51" s="49" t="str">
        <f>IFERROR(__xludf.DUMMYFUNCTION("""COMPUTED_VALUE"""),"")</f>
        <v/>
      </c>
      <c r="W51" s="49" t="str">
        <f>IFERROR(__xludf.DUMMYFUNCTION("""COMPUTED_VALUE"""),"")</f>
        <v/>
      </c>
      <c r="X51" s="49" t="str">
        <f>IFERROR(__xludf.DUMMYFUNCTION("""COMPUTED_VALUE"""),"")</f>
        <v/>
      </c>
      <c r="Y51" s="49" t="str">
        <f>IFERROR(__xludf.DUMMYFUNCTION("""COMPUTED_VALUE"""),"")</f>
        <v/>
      </c>
      <c r="Z51" s="49"/>
      <c r="AA51" s="49"/>
      <c r="AB51" s="49"/>
      <c r="AC51" s="49"/>
      <c r="AD51" s="49"/>
      <c r="AE51" s="49"/>
      <c r="AF51" s="49"/>
      <c r="AG51" s="49"/>
      <c r="AH51" s="49"/>
      <c r="AI51" s="49"/>
      <c r="AJ51" s="49"/>
      <c r="AK51" s="49"/>
      <c r="AL51" s="49"/>
      <c r="AM51" s="49"/>
      <c r="AN51" s="49"/>
      <c r="AO51" s="49"/>
      <c r="AP51" s="49"/>
      <c r="AQ51" s="49"/>
      <c r="AR51" s="49"/>
      <c r="AS51" s="49"/>
      <c r="AT51" s="49"/>
      <c r="AU51" s="49"/>
      <c r="AV51" s="49"/>
      <c r="AW51" s="49"/>
      <c r="AX51" s="49"/>
    </row>
    <row r="52">
      <c r="A52" s="49"/>
      <c r="B52" s="49"/>
      <c r="C52" s="49" t="str">
        <f>IFERROR(__xludf.DUMMYFUNCTION("""COMPUTED_VALUE"""),"")</f>
        <v/>
      </c>
      <c r="D52" s="49" t="str">
        <f>IFERROR(__xludf.DUMMYFUNCTION("""COMPUTED_VALUE"""),"")</f>
        <v/>
      </c>
      <c r="E52" s="49" t="str">
        <f>IFERROR(__xludf.DUMMYFUNCTION("""COMPUTED_VALUE"""),"")</f>
        <v/>
      </c>
      <c r="F52" s="49" t="str">
        <f>IFERROR(__xludf.DUMMYFUNCTION("""COMPUTED_VALUE"""),"")</f>
        <v/>
      </c>
      <c r="G52" s="49" t="str">
        <f>IFERROR(__xludf.DUMMYFUNCTION("""COMPUTED_VALUE"""),"")</f>
        <v/>
      </c>
      <c r="H52" s="49" t="str">
        <f>IFERROR(__xludf.DUMMYFUNCTION("""COMPUTED_VALUE"""),"")</f>
        <v/>
      </c>
      <c r="I52" s="49" t="str">
        <f>IFERROR(__xludf.DUMMYFUNCTION("""COMPUTED_VALUE"""),"")</f>
        <v/>
      </c>
      <c r="J52" s="49" t="str">
        <f>IFERROR(__xludf.DUMMYFUNCTION("""COMPUTED_VALUE"""),"")</f>
        <v/>
      </c>
      <c r="K52" s="49" t="str">
        <f>IFERROR(__xludf.DUMMYFUNCTION("""COMPUTED_VALUE"""),"")</f>
        <v/>
      </c>
      <c r="L52" s="49" t="str">
        <f>IFERROR(__xludf.DUMMYFUNCTION("""COMPUTED_VALUE"""),"")</f>
        <v/>
      </c>
      <c r="M52" s="49" t="str">
        <f>IFERROR(__xludf.DUMMYFUNCTION("""COMPUTED_VALUE"""),"")</f>
        <v/>
      </c>
      <c r="N52" s="49" t="str">
        <f>IFERROR(__xludf.DUMMYFUNCTION("""COMPUTED_VALUE"""),"")</f>
        <v/>
      </c>
      <c r="O52" s="49" t="str">
        <f>IFERROR(__xludf.DUMMYFUNCTION("""COMPUTED_VALUE"""),"")</f>
        <v/>
      </c>
      <c r="P52" s="49" t="str">
        <f>IFERROR(__xludf.DUMMYFUNCTION("""COMPUTED_VALUE"""),"")</f>
        <v/>
      </c>
      <c r="Q52" s="49" t="str">
        <f>IFERROR(__xludf.DUMMYFUNCTION("""COMPUTED_VALUE"""),"")</f>
        <v/>
      </c>
      <c r="R52" s="49" t="str">
        <f>IFERROR(__xludf.DUMMYFUNCTION("""COMPUTED_VALUE"""),"")</f>
        <v/>
      </c>
      <c r="S52" s="49" t="str">
        <f>IFERROR(__xludf.DUMMYFUNCTION("""COMPUTED_VALUE"""),"")</f>
        <v/>
      </c>
      <c r="T52" s="49" t="str">
        <f>IFERROR(__xludf.DUMMYFUNCTION("""COMPUTED_VALUE"""),"")</f>
        <v/>
      </c>
      <c r="U52" s="49" t="str">
        <f>IFERROR(__xludf.DUMMYFUNCTION("""COMPUTED_VALUE"""),"")</f>
        <v/>
      </c>
      <c r="V52" s="49" t="str">
        <f>IFERROR(__xludf.DUMMYFUNCTION("""COMPUTED_VALUE"""),"")</f>
        <v/>
      </c>
      <c r="W52" s="49" t="str">
        <f>IFERROR(__xludf.DUMMYFUNCTION("""COMPUTED_VALUE"""),"")</f>
        <v/>
      </c>
      <c r="X52" s="49" t="str">
        <f>IFERROR(__xludf.DUMMYFUNCTION("""COMPUTED_VALUE"""),"")</f>
        <v/>
      </c>
      <c r="Y52" s="49" t="str">
        <f>IFERROR(__xludf.DUMMYFUNCTION("""COMPUTED_VALUE"""),"")</f>
        <v/>
      </c>
      <c r="Z52" s="49"/>
      <c r="AA52" s="49"/>
      <c r="AB52" s="49"/>
      <c r="AC52" s="49"/>
      <c r="AD52" s="49"/>
      <c r="AE52" s="49"/>
      <c r="AF52" s="49"/>
      <c r="AG52" s="49"/>
      <c r="AH52" s="49"/>
      <c r="AI52" s="49"/>
      <c r="AJ52" s="49"/>
      <c r="AK52" s="49"/>
      <c r="AL52" s="49"/>
      <c r="AM52" s="49"/>
      <c r="AN52" s="49"/>
      <c r="AO52" s="49"/>
      <c r="AP52" s="49"/>
      <c r="AQ52" s="49"/>
      <c r="AR52" s="49"/>
      <c r="AS52" s="49"/>
      <c r="AT52" s="49"/>
      <c r="AU52" s="49"/>
      <c r="AV52" s="49"/>
      <c r="AW52" s="49"/>
      <c r="AX52" s="49"/>
    </row>
    <row r="53">
      <c r="A53" s="49"/>
      <c r="B53" s="49"/>
      <c r="C53" s="49" t="str">
        <f>IFERROR(__xludf.DUMMYFUNCTION("""COMPUTED_VALUE"""),"")</f>
        <v/>
      </c>
      <c r="D53" s="49" t="str">
        <f>IFERROR(__xludf.DUMMYFUNCTION("""COMPUTED_VALUE"""),"")</f>
        <v/>
      </c>
      <c r="E53" s="49" t="str">
        <f>IFERROR(__xludf.DUMMYFUNCTION("""COMPUTED_VALUE"""),"")</f>
        <v/>
      </c>
      <c r="F53" s="49" t="str">
        <f>IFERROR(__xludf.DUMMYFUNCTION("""COMPUTED_VALUE"""),"")</f>
        <v/>
      </c>
      <c r="G53" s="49" t="str">
        <f>IFERROR(__xludf.DUMMYFUNCTION("""COMPUTED_VALUE"""),"")</f>
        <v/>
      </c>
      <c r="H53" s="49" t="str">
        <f>IFERROR(__xludf.DUMMYFUNCTION("""COMPUTED_VALUE"""),"")</f>
        <v/>
      </c>
      <c r="I53" s="49" t="str">
        <f>IFERROR(__xludf.DUMMYFUNCTION("""COMPUTED_VALUE"""),"")</f>
        <v/>
      </c>
      <c r="J53" s="49" t="str">
        <f>IFERROR(__xludf.DUMMYFUNCTION("""COMPUTED_VALUE"""),"")</f>
        <v/>
      </c>
      <c r="K53" s="49" t="str">
        <f>IFERROR(__xludf.DUMMYFUNCTION("""COMPUTED_VALUE"""),"")</f>
        <v/>
      </c>
      <c r="L53" s="49" t="str">
        <f>IFERROR(__xludf.DUMMYFUNCTION("""COMPUTED_VALUE"""),"")</f>
        <v/>
      </c>
      <c r="M53" s="49" t="str">
        <f>IFERROR(__xludf.DUMMYFUNCTION("""COMPUTED_VALUE"""),"")</f>
        <v/>
      </c>
      <c r="N53" s="49" t="str">
        <f>IFERROR(__xludf.DUMMYFUNCTION("""COMPUTED_VALUE"""),"")</f>
        <v/>
      </c>
      <c r="O53" s="49" t="str">
        <f>IFERROR(__xludf.DUMMYFUNCTION("""COMPUTED_VALUE"""),"")</f>
        <v/>
      </c>
      <c r="P53" s="49" t="str">
        <f>IFERROR(__xludf.DUMMYFUNCTION("""COMPUTED_VALUE"""),"")</f>
        <v/>
      </c>
      <c r="Q53" s="49" t="str">
        <f>IFERROR(__xludf.DUMMYFUNCTION("""COMPUTED_VALUE"""),"")</f>
        <v/>
      </c>
      <c r="R53" s="49" t="str">
        <f>IFERROR(__xludf.DUMMYFUNCTION("""COMPUTED_VALUE"""),"")</f>
        <v/>
      </c>
      <c r="S53" s="49" t="str">
        <f>IFERROR(__xludf.DUMMYFUNCTION("""COMPUTED_VALUE"""),"")</f>
        <v/>
      </c>
      <c r="T53" s="49" t="str">
        <f>IFERROR(__xludf.DUMMYFUNCTION("""COMPUTED_VALUE"""),"")</f>
        <v/>
      </c>
      <c r="U53" s="49" t="str">
        <f>IFERROR(__xludf.DUMMYFUNCTION("""COMPUTED_VALUE"""),"")</f>
        <v/>
      </c>
      <c r="V53" s="49" t="str">
        <f>IFERROR(__xludf.DUMMYFUNCTION("""COMPUTED_VALUE"""),"")</f>
        <v/>
      </c>
      <c r="W53" s="49" t="str">
        <f>IFERROR(__xludf.DUMMYFUNCTION("""COMPUTED_VALUE"""),"")</f>
        <v/>
      </c>
      <c r="X53" s="49" t="str">
        <f>IFERROR(__xludf.DUMMYFUNCTION("""COMPUTED_VALUE"""),"")</f>
        <v/>
      </c>
      <c r="Y53" s="49" t="str">
        <f>IFERROR(__xludf.DUMMYFUNCTION("""COMPUTED_VALUE"""),"")</f>
        <v/>
      </c>
      <c r="Z53" s="49"/>
      <c r="AA53" s="49"/>
      <c r="AB53" s="49"/>
      <c r="AC53" s="49"/>
      <c r="AD53" s="49"/>
      <c r="AE53" s="49"/>
      <c r="AF53" s="49"/>
      <c r="AG53" s="49"/>
      <c r="AH53" s="49"/>
      <c r="AI53" s="49"/>
      <c r="AJ53" s="49"/>
      <c r="AK53" s="49"/>
      <c r="AL53" s="49"/>
      <c r="AM53" s="49"/>
      <c r="AN53" s="49"/>
      <c r="AO53" s="49"/>
      <c r="AP53" s="49"/>
      <c r="AQ53" s="49"/>
      <c r="AR53" s="49"/>
      <c r="AS53" s="49"/>
      <c r="AT53" s="49"/>
      <c r="AU53" s="49"/>
      <c r="AV53" s="49"/>
      <c r="AW53" s="49"/>
      <c r="AX53" s="49"/>
    </row>
    <row r="54">
      <c r="A54" s="49"/>
      <c r="B54" s="49"/>
      <c r="C54" s="49" t="str">
        <f>IFERROR(__xludf.DUMMYFUNCTION("""COMPUTED_VALUE"""),"")</f>
        <v/>
      </c>
      <c r="D54" s="49" t="str">
        <f>IFERROR(__xludf.DUMMYFUNCTION("""COMPUTED_VALUE"""),"")</f>
        <v/>
      </c>
      <c r="E54" s="49" t="str">
        <f>IFERROR(__xludf.DUMMYFUNCTION("""COMPUTED_VALUE"""),"")</f>
        <v/>
      </c>
      <c r="F54" s="49" t="str">
        <f>IFERROR(__xludf.DUMMYFUNCTION("""COMPUTED_VALUE"""),"")</f>
        <v/>
      </c>
      <c r="G54" s="49" t="str">
        <f>IFERROR(__xludf.DUMMYFUNCTION("""COMPUTED_VALUE"""),"")</f>
        <v/>
      </c>
      <c r="H54" s="49" t="str">
        <f>IFERROR(__xludf.DUMMYFUNCTION("""COMPUTED_VALUE"""),"")</f>
        <v/>
      </c>
      <c r="I54" s="49" t="str">
        <f>IFERROR(__xludf.DUMMYFUNCTION("""COMPUTED_VALUE"""),"")</f>
        <v/>
      </c>
      <c r="J54" s="49" t="str">
        <f>IFERROR(__xludf.DUMMYFUNCTION("""COMPUTED_VALUE"""),"")</f>
        <v/>
      </c>
      <c r="K54" s="49" t="str">
        <f>IFERROR(__xludf.DUMMYFUNCTION("""COMPUTED_VALUE"""),"")</f>
        <v/>
      </c>
      <c r="L54" s="49" t="str">
        <f>IFERROR(__xludf.DUMMYFUNCTION("""COMPUTED_VALUE"""),"")</f>
        <v/>
      </c>
      <c r="M54" s="49" t="str">
        <f>IFERROR(__xludf.DUMMYFUNCTION("""COMPUTED_VALUE"""),"")</f>
        <v/>
      </c>
      <c r="N54" s="49" t="str">
        <f>IFERROR(__xludf.DUMMYFUNCTION("""COMPUTED_VALUE"""),"")</f>
        <v/>
      </c>
      <c r="O54" s="49" t="str">
        <f>IFERROR(__xludf.DUMMYFUNCTION("""COMPUTED_VALUE"""),"")</f>
        <v/>
      </c>
      <c r="P54" s="49" t="str">
        <f>IFERROR(__xludf.DUMMYFUNCTION("""COMPUTED_VALUE"""),"")</f>
        <v/>
      </c>
      <c r="Q54" s="49" t="str">
        <f>IFERROR(__xludf.DUMMYFUNCTION("""COMPUTED_VALUE"""),"")</f>
        <v/>
      </c>
      <c r="R54" s="49" t="str">
        <f>IFERROR(__xludf.DUMMYFUNCTION("""COMPUTED_VALUE"""),"")</f>
        <v/>
      </c>
      <c r="S54" s="49" t="str">
        <f>IFERROR(__xludf.DUMMYFUNCTION("""COMPUTED_VALUE"""),"")</f>
        <v/>
      </c>
      <c r="T54" s="49" t="str">
        <f>IFERROR(__xludf.DUMMYFUNCTION("""COMPUTED_VALUE"""),"")</f>
        <v/>
      </c>
      <c r="U54" s="49" t="str">
        <f>IFERROR(__xludf.DUMMYFUNCTION("""COMPUTED_VALUE"""),"")</f>
        <v/>
      </c>
      <c r="V54" s="49" t="str">
        <f>IFERROR(__xludf.DUMMYFUNCTION("""COMPUTED_VALUE"""),"")</f>
        <v/>
      </c>
      <c r="W54" s="49" t="str">
        <f>IFERROR(__xludf.DUMMYFUNCTION("""COMPUTED_VALUE"""),"")</f>
        <v/>
      </c>
      <c r="X54" s="49" t="str">
        <f>IFERROR(__xludf.DUMMYFUNCTION("""COMPUTED_VALUE"""),"")</f>
        <v/>
      </c>
      <c r="Y54" s="49" t="str">
        <f>IFERROR(__xludf.DUMMYFUNCTION("""COMPUTED_VALUE"""),"")</f>
        <v/>
      </c>
      <c r="Z54" s="49"/>
      <c r="AA54" s="49"/>
      <c r="AB54" s="49"/>
      <c r="AC54" s="49"/>
      <c r="AD54" s="49"/>
      <c r="AE54" s="49"/>
      <c r="AF54" s="49"/>
      <c r="AG54" s="49"/>
      <c r="AH54" s="49"/>
      <c r="AI54" s="49"/>
      <c r="AJ54" s="49"/>
      <c r="AK54" s="49"/>
      <c r="AL54" s="49"/>
      <c r="AM54" s="49"/>
      <c r="AN54" s="49"/>
      <c r="AO54" s="49"/>
      <c r="AP54" s="49"/>
      <c r="AQ54" s="49"/>
      <c r="AR54" s="49"/>
      <c r="AS54" s="49"/>
      <c r="AT54" s="49"/>
      <c r="AU54" s="49"/>
      <c r="AV54" s="49"/>
      <c r="AW54" s="49"/>
      <c r="AX54" s="49"/>
    </row>
    <row r="55">
      <c r="A55" s="49"/>
      <c r="B55" s="49"/>
      <c r="C55" s="49" t="str">
        <f>IFERROR(__xludf.DUMMYFUNCTION("""COMPUTED_VALUE"""),"")</f>
        <v/>
      </c>
      <c r="D55" s="49" t="str">
        <f>IFERROR(__xludf.DUMMYFUNCTION("""COMPUTED_VALUE"""),"")</f>
        <v/>
      </c>
      <c r="E55" s="49" t="str">
        <f>IFERROR(__xludf.DUMMYFUNCTION("""COMPUTED_VALUE"""),"")</f>
        <v/>
      </c>
      <c r="F55" s="49" t="str">
        <f>IFERROR(__xludf.DUMMYFUNCTION("""COMPUTED_VALUE"""),"")</f>
        <v/>
      </c>
      <c r="G55" s="49" t="str">
        <f>IFERROR(__xludf.DUMMYFUNCTION("""COMPUTED_VALUE"""),"")</f>
        <v/>
      </c>
      <c r="H55" s="49" t="str">
        <f>IFERROR(__xludf.DUMMYFUNCTION("""COMPUTED_VALUE"""),"")</f>
        <v/>
      </c>
      <c r="I55" s="49" t="str">
        <f>IFERROR(__xludf.DUMMYFUNCTION("""COMPUTED_VALUE"""),"")</f>
        <v/>
      </c>
      <c r="J55" s="49" t="str">
        <f>IFERROR(__xludf.DUMMYFUNCTION("""COMPUTED_VALUE"""),"")</f>
        <v/>
      </c>
      <c r="K55" s="49" t="str">
        <f>IFERROR(__xludf.DUMMYFUNCTION("""COMPUTED_VALUE"""),"")</f>
        <v/>
      </c>
      <c r="L55" s="49" t="str">
        <f>IFERROR(__xludf.DUMMYFUNCTION("""COMPUTED_VALUE"""),"")</f>
        <v/>
      </c>
      <c r="M55" s="49" t="str">
        <f>IFERROR(__xludf.DUMMYFUNCTION("""COMPUTED_VALUE"""),"")</f>
        <v/>
      </c>
      <c r="N55" s="49" t="str">
        <f>IFERROR(__xludf.DUMMYFUNCTION("""COMPUTED_VALUE"""),"")</f>
        <v/>
      </c>
      <c r="O55" s="49" t="str">
        <f>IFERROR(__xludf.DUMMYFUNCTION("""COMPUTED_VALUE"""),"")</f>
        <v/>
      </c>
      <c r="P55" s="49" t="str">
        <f>IFERROR(__xludf.DUMMYFUNCTION("""COMPUTED_VALUE"""),"")</f>
        <v/>
      </c>
      <c r="Q55" s="49" t="str">
        <f>IFERROR(__xludf.DUMMYFUNCTION("""COMPUTED_VALUE"""),"")</f>
        <v/>
      </c>
      <c r="R55" s="49" t="str">
        <f>IFERROR(__xludf.DUMMYFUNCTION("""COMPUTED_VALUE"""),"")</f>
        <v/>
      </c>
      <c r="S55" s="49" t="str">
        <f>IFERROR(__xludf.DUMMYFUNCTION("""COMPUTED_VALUE"""),"")</f>
        <v/>
      </c>
      <c r="T55" s="49" t="str">
        <f>IFERROR(__xludf.DUMMYFUNCTION("""COMPUTED_VALUE"""),"")</f>
        <v/>
      </c>
      <c r="U55" s="49" t="str">
        <f>IFERROR(__xludf.DUMMYFUNCTION("""COMPUTED_VALUE"""),"")</f>
        <v/>
      </c>
      <c r="V55" s="49" t="str">
        <f>IFERROR(__xludf.DUMMYFUNCTION("""COMPUTED_VALUE"""),"")</f>
        <v/>
      </c>
      <c r="W55" s="49" t="str">
        <f>IFERROR(__xludf.DUMMYFUNCTION("""COMPUTED_VALUE"""),"")</f>
        <v/>
      </c>
      <c r="X55" s="49" t="str">
        <f>IFERROR(__xludf.DUMMYFUNCTION("""COMPUTED_VALUE"""),"")</f>
        <v/>
      </c>
      <c r="Y55" s="49" t="str">
        <f>IFERROR(__xludf.DUMMYFUNCTION("""COMPUTED_VALUE"""),"")</f>
        <v/>
      </c>
      <c r="Z55" s="49"/>
      <c r="AA55" s="49"/>
      <c r="AB55" s="49"/>
      <c r="AC55" s="49"/>
      <c r="AD55" s="49"/>
      <c r="AE55" s="49"/>
      <c r="AF55" s="49"/>
      <c r="AG55" s="49"/>
      <c r="AH55" s="49"/>
      <c r="AI55" s="49"/>
      <c r="AJ55" s="49"/>
      <c r="AK55" s="49"/>
      <c r="AL55" s="49"/>
      <c r="AM55" s="49"/>
      <c r="AN55" s="49"/>
      <c r="AO55" s="49"/>
      <c r="AP55" s="49"/>
      <c r="AQ55" s="49"/>
      <c r="AR55" s="49"/>
      <c r="AS55" s="49"/>
      <c r="AT55" s="49"/>
      <c r="AU55" s="49"/>
      <c r="AV55" s="49"/>
      <c r="AW55" s="49"/>
      <c r="AX55" s="49"/>
    </row>
    <row r="56">
      <c r="A56" s="49"/>
      <c r="B56" s="49"/>
      <c r="C56" s="49" t="str">
        <f>IFERROR(__xludf.DUMMYFUNCTION("""COMPUTED_VALUE"""),"")</f>
        <v/>
      </c>
      <c r="D56" s="49" t="str">
        <f>IFERROR(__xludf.DUMMYFUNCTION("""COMPUTED_VALUE"""),"")</f>
        <v/>
      </c>
      <c r="E56" s="49" t="str">
        <f>IFERROR(__xludf.DUMMYFUNCTION("""COMPUTED_VALUE"""),"")</f>
        <v/>
      </c>
      <c r="F56" s="49" t="str">
        <f>IFERROR(__xludf.DUMMYFUNCTION("""COMPUTED_VALUE"""),"")</f>
        <v/>
      </c>
      <c r="G56" s="49" t="str">
        <f>IFERROR(__xludf.DUMMYFUNCTION("""COMPUTED_VALUE"""),"")</f>
        <v/>
      </c>
      <c r="H56" s="49" t="str">
        <f>IFERROR(__xludf.DUMMYFUNCTION("""COMPUTED_VALUE"""),"")</f>
        <v/>
      </c>
      <c r="I56" s="49" t="str">
        <f>IFERROR(__xludf.DUMMYFUNCTION("""COMPUTED_VALUE"""),"")</f>
        <v/>
      </c>
      <c r="J56" s="49" t="str">
        <f>IFERROR(__xludf.DUMMYFUNCTION("""COMPUTED_VALUE"""),"")</f>
        <v/>
      </c>
      <c r="K56" s="49" t="str">
        <f>IFERROR(__xludf.DUMMYFUNCTION("""COMPUTED_VALUE"""),"")</f>
        <v/>
      </c>
      <c r="L56" s="49" t="str">
        <f>IFERROR(__xludf.DUMMYFUNCTION("""COMPUTED_VALUE"""),"")</f>
        <v/>
      </c>
      <c r="M56" s="49" t="str">
        <f>IFERROR(__xludf.DUMMYFUNCTION("""COMPUTED_VALUE"""),"")</f>
        <v/>
      </c>
      <c r="N56" s="49" t="str">
        <f>IFERROR(__xludf.DUMMYFUNCTION("""COMPUTED_VALUE"""),"")</f>
        <v/>
      </c>
      <c r="O56" s="49" t="str">
        <f>IFERROR(__xludf.DUMMYFUNCTION("""COMPUTED_VALUE"""),"")</f>
        <v/>
      </c>
      <c r="P56" s="49" t="str">
        <f>IFERROR(__xludf.DUMMYFUNCTION("""COMPUTED_VALUE"""),"")</f>
        <v/>
      </c>
      <c r="Q56" s="49" t="str">
        <f>IFERROR(__xludf.DUMMYFUNCTION("""COMPUTED_VALUE"""),"")</f>
        <v/>
      </c>
      <c r="R56" s="49" t="str">
        <f>IFERROR(__xludf.DUMMYFUNCTION("""COMPUTED_VALUE"""),"")</f>
        <v/>
      </c>
      <c r="S56" s="49" t="str">
        <f>IFERROR(__xludf.DUMMYFUNCTION("""COMPUTED_VALUE"""),"")</f>
        <v/>
      </c>
      <c r="T56" s="49" t="str">
        <f>IFERROR(__xludf.DUMMYFUNCTION("""COMPUTED_VALUE"""),"")</f>
        <v/>
      </c>
      <c r="U56" s="49" t="str">
        <f>IFERROR(__xludf.DUMMYFUNCTION("""COMPUTED_VALUE"""),"")</f>
        <v/>
      </c>
      <c r="V56" s="49" t="str">
        <f>IFERROR(__xludf.DUMMYFUNCTION("""COMPUTED_VALUE"""),"")</f>
        <v/>
      </c>
      <c r="W56" s="49" t="str">
        <f>IFERROR(__xludf.DUMMYFUNCTION("""COMPUTED_VALUE"""),"")</f>
        <v/>
      </c>
      <c r="X56" s="49" t="str">
        <f>IFERROR(__xludf.DUMMYFUNCTION("""COMPUTED_VALUE"""),"")</f>
        <v/>
      </c>
      <c r="Y56" s="49" t="str">
        <f>IFERROR(__xludf.DUMMYFUNCTION("""COMPUTED_VALUE"""),"")</f>
        <v/>
      </c>
      <c r="Z56" s="49"/>
      <c r="AA56" s="49"/>
      <c r="AB56" s="49"/>
      <c r="AC56" s="49"/>
      <c r="AD56" s="49"/>
      <c r="AE56" s="49"/>
      <c r="AF56" s="49"/>
      <c r="AG56" s="49"/>
      <c r="AH56" s="49"/>
      <c r="AI56" s="49"/>
      <c r="AJ56" s="49"/>
      <c r="AK56" s="49"/>
      <c r="AL56" s="49"/>
      <c r="AM56" s="49"/>
      <c r="AN56" s="49"/>
      <c r="AO56" s="49"/>
      <c r="AP56" s="49"/>
      <c r="AQ56" s="49"/>
      <c r="AR56" s="49"/>
      <c r="AS56" s="49"/>
      <c r="AT56" s="49"/>
      <c r="AU56" s="49"/>
      <c r="AV56" s="49"/>
      <c r="AW56" s="49"/>
      <c r="AX56" s="49"/>
    </row>
    <row r="57">
      <c r="A57" s="49"/>
      <c r="B57" s="49"/>
      <c r="C57" s="49" t="str">
        <f>IFERROR(__xludf.DUMMYFUNCTION("""COMPUTED_VALUE"""),"")</f>
        <v/>
      </c>
      <c r="D57" s="49" t="str">
        <f>IFERROR(__xludf.DUMMYFUNCTION("""COMPUTED_VALUE"""),"")</f>
        <v/>
      </c>
      <c r="E57" s="49" t="str">
        <f>IFERROR(__xludf.DUMMYFUNCTION("""COMPUTED_VALUE"""),"")</f>
        <v/>
      </c>
      <c r="F57" s="49" t="str">
        <f>IFERROR(__xludf.DUMMYFUNCTION("""COMPUTED_VALUE"""),"")</f>
        <v/>
      </c>
      <c r="G57" s="49" t="str">
        <f>IFERROR(__xludf.DUMMYFUNCTION("""COMPUTED_VALUE"""),"")</f>
        <v/>
      </c>
      <c r="H57" s="49" t="str">
        <f>IFERROR(__xludf.DUMMYFUNCTION("""COMPUTED_VALUE"""),"")</f>
        <v/>
      </c>
      <c r="I57" s="49" t="str">
        <f>IFERROR(__xludf.DUMMYFUNCTION("""COMPUTED_VALUE"""),"")</f>
        <v/>
      </c>
      <c r="J57" s="49" t="str">
        <f>IFERROR(__xludf.DUMMYFUNCTION("""COMPUTED_VALUE"""),"")</f>
        <v/>
      </c>
      <c r="K57" s="49" t="str">
        <f>IFERROR(__xludf.DUMMYFUNCTION("""COMPUTED_VALUE"""),"")</f>
        <v/>
      </c>
      <c r="L57" s="49" t="str">
        <f>IFERROR(__xludf.DUMMYFUNCTION("""COMPUTED_VALUE"""),"")</f>
        <v/>
      </c>
      <c r="M57" s="49" t="str">
        <f>IFERROR(__xludf.DUMMYFUNCTION("""COMPUTED_VALUE"""),"")</f>
        <v/>
      </c>
      <c r="N57" s="49" t="str">
        <f>IFERROR(__xludf.DUMMYFUNCTION("""COMPUTED_VALUE"""),"")</f>
        <v/>
      </c>
      <c r="O57" s="49" t="str">
        <f>IFERROR(__xludf.DUMMYFUNCTION("""COMPUTED_VALUE"""),"")</f>
        <v/>
      </c>
      <c r="P57" s="49" t="str">
        <f>IFERROR(__xludf.DUMMYFUNCTION("""COMPUTED_VALUE"""),"")</f>
        <v/>
      </c>
      <c r="Q57" s="49" t="str">
        <f>IFERROR(__xludf.DUMMYFUNCTION("""COMPUTED_VALUE"""),"")</f>
        <v/>
      </c>
      <c r="R57" s="49" t="str">
        <f>IFERROR(__xludf.DUMMYFUNCTION("""COMPUTED_VALUE"""),"")</f>
        <v/>
      </c>
      <c r="S57" s="49" t="str">
        <f>IFERROR(__xludf.DUMMYFUNCTION("""COMPUTED_VALUE"""),"")</f>
        <v/>
      </c>
      <c r="T57" s="49" t="str">
        <f>IFERROR(__xludf.DUMMYFUNCTION("""COMPUTED_VALUE"""),"")</f>
        <v/>
      </c>
      <c r="U57" s="49" t="str">
        <f>IFERROR(__xludf.DUMMYFUNCTION("""COMPUTED_VALUE"""),"")</f>
        <v/>
      </c>
      <c r="V57" s="49" t="str">
        <f>IFERROR(__xludf.DUMMYFUNCTION("""COMPUTED_VALUE"""),"")</f>
        <v/>
      </c>
      <c r="W57" s="49" t="str">
        <f>IFERROR(__xludf.DUMMYFUNCTION("""COMPUTED_VALUE"""),"")</f>
        <v/>
      </c>
      <c r="X57" s="49" t="str">
        <f>IFERROR(__xludf.DUMMYFUNCTION("""COMPUTED_VALUE"""),"")</f>
        <v/>
      </c>
      <c r="Y57" s="49" t="str">
        <f>IFERROR(__xludf.DUMMYFUNCTION("""COMPUTED_VALUE"""),"")</f>
        <v/>
      </c>
      <c r="Z57" s="49"/>
      <c r="AA57" s="49"/>
      <c r="AB57" s="49"/>
      <c r="AC57" s="49"/>
      <c r="AD57" s="49"/>
      <c r="AE57" s="49"/>
      <c r="AF57" s="49"/>
      <c r="AG57" s="49"/>
      <c r="AH57" s="49"/>
      <c r="AI57" s="49"/>
      <c r="AJ57" s="49"/>
      <c r="AK57" s="49"/>
      <c r="AL57" s="49"/>
      <c r="AM57" s="49"/>
      <c r="AN57" s="49"/>
      <c r="AO57" s="49"/>
      <c r="AP57" s="49"/>
      <c r="AQ57" s="49"/>
      <c r="AR57" s="49"/>
      <c r="AS57" s="49"/>
      <c r="AT57" s="49"/>
      <c r="AU57" s="49"/>
      <c r="AV57" s="49"/>
      <c r="AW57" s="49"/>
      <c r="AX57" s="49"/>
    </row>
    <row r="58">
      <c r="A58" s="49"/>
      <c r="B58" s="49"/>
      <c r="C58" s="49" t="str">
        <f>IFERROR(__xludf.DUMMYFUNCTION("""COMPUTED_VALUE"""),"")</f>
        <v/>
      </c>
      <c r="D58" s="49" t="str">
        <f>IFERROR(__xludf.DUMMYFUNCTION("""COMPUTED_VALUE"""),"")</f>
        <v/>
      </c>
      <c r="E58" s="49" t="str">
        <f>IFERROR(__xludf.DUMMYFUNCTION("""COMPUTED_VALUE"""),"")</f>
        <v/>
      </c>
      <c r="F58" s="49" t="str">
        <f>IFERROR(__xludf.DUMMYFUNCTION("""COMPUTED_VALUE"""),"")</f>
        <v/>
      </c>
      <c r="G58" s="49" t="str">
        <f>IFERROR(__xludf.DUMMYFUNCTION("""COMPUTED_VALUE"""),"")</f>
        <v/>
      </c>
      <c r="H58" s="49" t="str">
        <f>IFERROR(__xludf.DUMMYFUNCTION("""COMPUTED_VALUE"""),"")</f>
        <v/>
      </c>
      <c r="I58" s="49" t="str">
        <f>IFERROR(__xludf.DUMMYFUNCTION("""COMPUTED_VALUE"""),"")</f>
        <v/>
      </c>
      <c r="J58" s="49" t="str">
        <f>IFERROR(__xludf.DUMMYFUNCTION("""COMPUTED_VALUE"""),"")</f>
        <v/>
      </c>
      <c r="K58" s="49" t="str">
        <f>IFERROR(__xludf.DUMMYFUNCTION("""COMPUTED_VALUE"""),"")</f>
        <v/>
      </c>
      <c r="L58" s="49" t="str">
        <f>IFERROR(__xludf.DUMMYFUNCTION("""COMPUTED_VALUE"""),"")</f>
        <v/>
      </c>
      <c r="M58" s="49" t="str">
        <f>IFERROR(__xludf.DUMMYFUNCTION("""COMPUTED_VALUE"""),"")</f>
        <v/>
      </c>
      <c r="N58" s="49" t="str">
        <f>IFERROR(__xludf.DUMMYFUNCTION("""COMPUTED_VALUE"""),"")</f>
        <v/>
      </c>
      <c r="O58" s="49" t="str">
        <f>IFERROR(__xludf.DUMMYFUNCTION("""COMPUTED_VALUE"""),"")</f>
        <v/>
      </c>
      <c r="P58" s="49" t="str">
        <f>IFERROR(__xludf.DUMMYFUNCTION("""COMPUTED_VALUE"""),"")</f>
        <v/>
      </c>
      <c r="Q58" s="49" t="str">
        <f>IFERROR(__xludf.DUMMYFUNCTION("""COMPUTED_VALUE"""),"")</f>
        <v/>
      </c>
      <c r="R58" s="49" t="str">
        <f>IFERROR(__xludf.DUMMYFUNCTION("""COMPUTED_VALUE"""),"")</f>
        <v/>
      </c>
      <c r="S58" s="49" t="str">
        <f>IFERROR(__xludf.DUMMYFUNCTION("""COMPUTED_VALUE"""),"")</f>
        <v/>
      </c>
      <c r="T58" s="49" t="str">
        <f>IFERROR(__xludf.DUMMYFUNCTION("""COMPUTED_VALUE"""),"")</f>
        <v/>
      </c>
      <c r="U58" s="49" t="str">
        <f>IFERROR(__xludf.DUMMYFUNCTION("""COMPUTED_VALUE"""),"")</f>
        <v/>
      </c>
      <c r="V58" s="49" t="str">
        <f>IFERROR(__xludf.DUMMYFUNCTION("""COMPUTED_VALUE"""),"")</f>
        <v/>
      </c>
      <c r="W58" s="49" t="str">
        <f>IFERROR(__xludf.DUMMYFUNCTION("""COMPUTED_VALUE"""),"")</f>
        <v/>
      </c>
      <c r="X58" s="49" t="str">
        <f>IFERROR(__xludf.DUMMYFUNCTION("""COMPUTED_VALUE"""),"")</f>
        <v/>
      </c>
      <c r="Y58" s="49" t="str">
        <f>IFERROR(__xludf.DUMMYFUNCTION("""COMPUTED_VALUE"""),"")</f>
        <v/>
      </c>
      <c r="Z58" s="49"/>
      <c r="AA58" s="49"/>
      <c r="AB58" s="49"/>
      <c r="AC58" s="49"/>
      <c r="AD58" s="49"/>
      <c r="AE58" s="49"/>
      <c r="AF58" s="49"/>
      <c r="AG58" s="49"/>
      <c r="AH58" s="49"/>
      <c r="AI58" s="49"/>
      <c r="AJ58" s="49"/>
      <c r="AK58" s="49"/>
      <c r="AL58" s="49"/>
      <c r="AM58" s="49"/>
      <c r="AN58" s="49"/>
      <c r="AO58" s="49"/>
      <c r="AP58" s="49"/>
      <c r="AQ58" s="49"/>
      <c r="AR58" s="49"/>
      <c r="AS58" s="49"/>
      <c r="AT58" s="49"/>
      <c r="AU58" s="49"/>
      <c r="AV58" s="49"/>
      <c r="AW58" s="49"/>
      <c r="AX58" s="49"/>
    </row>
    <row r="59">
      <c r="A59" s="49"/>
      <c r="B59" s="49"/>
      <c r="C59" s="49" t="str">
        <f>IFERROR(__xludf.DUMMYFUNCTION("""COMPUTED_VALUE"""),"")</f>
        <v/>
      </c>
      <c r="D59" s="49" t="str">
        <f>IFERROR(__xludf.DUMMYFUNCTION("""COMPUTED_VALUE"""),"")</f>
        <v/>
      </c>
      <c r="E59" s="49" t="str">
        <f>IFERROR(__xludf.DUMMYFUNCTION("""COMPUTED_VALUE"""),"")</f>
        <v/>
      </c>
      <c r="F59" s="49" t="str">
        <f>IFERROR(__xludf.DUMMYFUNCTION("""COMPUTED_VALUE"""),"")</f>
        <v/>
      </c>
      <c r="G59" s="49" t="str">
        <f>IFERROR(__xludf.DUMMYFUNCTION("""COMPUTED_VALUE"""),"")</f>
        <v/>
      </c>
      <c r="H59" s="49" t="str">
        <f>IFERROR(__xludf.DUMMYFUNCTION("""COMPUTED_VALUE"""),"")</f>
        <v/>
      </c>
      <c r="I59" s="49" t="str">
        <f>IFERROR(__xludf.DUMMYFUNCTION("""COMPUTED_VALUE"""),"")</f>
        <v/>
      </c>
      <c r="J59" s="49" t="str">
        <f>IFERROR(__xludf.DUMMYFUNCTION("""COMPUTED_VALUE"""),"")</f>
        <v/>
      </c>
      <c r="K59" s="49" t="str">
        <f>IFERROR(__xludf.DUMMYFUNCTION("""COMPUTED_VALUE"""),"")</f>
        <v/>
      </c>
      <c r="L59" s="49" t="str">
        <f>IFERROR(__xludf.DUMMYFUNCTION("""COMPUTED_VALUE"""),"")</f>
        <v/>
      </c>
      <c r="M59" s="49" t="str">
        <f>IFERROR(__xludf.DUMMYFUNCTION("""COMPUTED_VALUE"""),"")</f>
        <v/>
      </c>
      <c r="N59" s="49" t="str">
        <f>IFERROR(__xludf.DUMMYFUNCTION("""COMPUTED_VALUE"""),"")</f>
        <v/>
      </c>
      <c r="O59" s="49" t="str">
        <f>IFERROR(__xludf.DUMMYFUNCTION("""COMPUTED_VALUE"""),"")</f>
        <v/>
      </c>
      <c r="P59" s="49" t="str">
        <f>IFERROR(__xludf.DUMMYFUNCTION("""COMPUTED_VALUE"""),"")</f>
        <v/>
      </c>
      <c r="Q59" s="49" t="str">
        <f>IFERROR(__xludf.DUMMYFUNCTION("""COMPUTED_VALUE"""),"")</f>
        <v/>
      </c>
      <c r="R59" s="49" t="str">
        <f>IFERROR(__xludf.DUMMYFUNCTION("""COMPUTED_VALUE"""),"")</f>
        <v/>
      </c>
      <c r="S59" s="49" t="str">
        <f>IFERROR(__xludf.DUMMYFUNCTION("""COMPUTED_VALUE"""),"")</f>
        <v/>
      </c>
      <c r="T59" s="49" t="str">
        <f>IFERROR(__xludf.DUMMYFUNCTION("""COMPUTED_VALUE"""),"")</f>
        <v/>
      </c>
      <c r="U59" s="49" t="str">
        <f>IFERROR(__xludf.DUMMYFUNCTION("""COMPUTED_VALUE"""),"")</f>
        <v/>
      </c>
      <c r="V59" s="49" t="str">
        <f>IFERROR(__xludf.DUMMYFUNCTION("""COMPUTED_VALUE"""),"")</f>
        <v/>
      </c>
      <c r="W59" s="49" t="str">
        <f>IFERROR(__xludf.DUMMYFUNCTION("""COMPUTED_VALUE"""),"")</f>
        <v/>
      </c>
      <c r="X59" s="49" t="str">
        <f>IFERROR(__xludf.DUMMYFUNCTION("""COMPUTED_VALUE"""),"")</f>
        <v/>
      </c>
      <c r="Y59" s="49" t="str">
        <f>IFERROR(__xludf.DUMMYFUNCTION("""COMPUTED_VALUE"""),"")</f>
        <v/>
      </c>
      <c r="Z59" s="49"/>
      <c r="AA59" s="49"/>
      <c r="AB59" s="49"/>
      <c r="AC59" s="49"/>
      <c r="AD59" s="49"/>
      <c r="AE59" s="49"/>
      <c r="AF59" s="49"/>
      <c r="AG59" s="49"/>
      <c r="AH59" s="49"/>
      <c r="AI59" s="49"/>
      <c r="AJ59" s="49"/>
      <c r="AK59" s="49"/>
      <c r="AL59" s="49"/>
      <c r="AM59" s="49"/>
      <c r="AN59" s="49"/>
      <c r="AO59" s="49"/>
      <c r="AP59" s="49"/>
      <c r="AQ59" s="49"/>
      <c r="AR59" s="49"/>
      <c r="AS59" s="49"/>
      <c r="AT59" s="49"/>
      <c r="AU59" s="49"/>
      <c r="AV59" s="49"/>
      <c r="AW59" s="49"/>
      <c r="AX59" s="49"/>
    </row>
    <row r="60">
      <c r="A60" s="49"/>
      <c r="B60" s="49"/>
      <c r="C60" s="49" t="str">
        <f>IFERROR(__xludf.DUMMYFUNCTION("""COMPUTED_VALUE"""),"")</f>
        <v/>
      </c>
      <c r="D60" s="49" t="str">
        <f>IFERROR(__xludf.DUMMYFUNCTION("""COMPUTED_VALUE"""),"")</f>
        <v/>
      </c>
      <c r="E60" s="49" t="str">
        <f>IFERROR(__xludf.DUMMYFUNCTION("""COMPUTED_VALUE"""),"")</f>
        <v/>
      </c>
      <c r="F60" s="49" t="str">
        <f>IFERROR(__xludf.DUMMYFUNCTION("""COMPUTED_VALUE"""),"")</f>
        <v/>
      </c>
      <c r="G60" s="49" t="str">
        <f>IFERROR(__xludf.DUMMYFUNCTION("""COMPUTED_VALUE"""),"")</f>
        <v/>
      </c>
      <c r="H60" s="49" t="str">
        <f>IFERROR(__xludf.DUMMYFUNCTION("""COMPUTED_VALUE"""),"")</f>
        <v/>
      </c>
      <c r="I60" s="49" t="str">
        <f>IFERROR(__xludf.DUMMYFUNCTION("""COMPUTED_VALUE"""),"")</f>
        <v/>
      </c>
      <c r="J60" s="49" t="str">
        <f>IFERROR(__xludf.DUMMYFUNCTION("""COMPUTED_VALUE"""),"")</f>
        <v/>
      </c>
      <c r="K60" s="49" t="str">
        <f>IFERROR(__xludf.DUMMYFUNCTION("""COMPUTED_VALUE"""),"")</f>
        <v/>
      </c>
      <c r="L60" s="49" t="str">
        <f>IFERROR(__xludf.DUMMYFUNCTION("""COMPUTED_VALUE"""),"")</f>
        <v/>
      </c>
      <c r="M60" s="49" t="str">
        <f>IFERROR(__xludf.DUMMYFUNCTION("""COMPUTED_VALUE"""),"")</f>
        <v/>
      </c>
      <c r="N60" s="49" t="str">
        <f>IFERROR(__xludf.DUMMYFUNCTION("""COMPUTED_VALUE"""),"")</f>
        <v/>
      </c>
      <c r="O60" s="49" t="str">
        <f>IFERROR(__xludf.DUMMYFUNCTION("""COMPUTED_VALUE"""),"")</f>
        <v/>
      </c>
      <c r="P60" s="49" t="str">
        <f>IFERROR(__xludf.DUMMYFUNCTION("""COMPUTED_VALUE"""),"")</f>
        <v/>
      </c>
      <c r="Q60" s="49" t="str">
        <f>IFERROR(__xludf.DUMMYFUNCTION("""COMPUTED_VALUE"""),"")</f>
        <v/>
      </c>
      <c r="R60" s="49" t="str">
        <f>IFERROR(__xludf.DUMMYFUNCTION("""COMPUTED_VALUE"""),"")</f>
        <v/>
      </c>
      <c r="S60" s="49" t="str">
        <f>IFERROR(__xludf.DUMMYFUNCTION("""COMPUTED_VALUE"""),"")</f>
        <v/>
      </c>
      <c r="T60" s="49" t="str">
        <f>IFERROR(__xludf.DUMMYFUNCTION("""COMPUTED_VALUE"""),"")</f>
        <v/>
      </c>
      <c r="U60" s="49" t="str">
        <f>IFERROR(__xludf.DUMMYFUNCTION("""COMPUTED_VALUE"""),"")</f>
        <v/>
      </c>
      <c r="V60" s="49" t="str">
        <f>IFERROR(__xludf.DUMMYFUNCTION("""COMPUTED_VALUE"""),"")</f>
        <v/>
      </c>
      <c r="W60" s="49" t="str">
        <f>IFERROR(__xludf.DUMMYFUNCTION("""COMPUTED_VALUE"""),"")</f>
        <v/>
      </c>
      <c r="X60" s="49" t="str">
        <f>IFERROR(__xludf.DUMMYFUNCTION("""COMPUTED_VALUE"""),"")</f>
        <v/>
      </c>
      <c r="Y60" s="49" t="str">
        <f>IFERROR(__xludf.DUMMYFUNCTION("""COMPUTED_VALUE"""),"")</f>
        <v/>
      </c>
      <c r="Z60" s="49"/>
      <c r="AA60" s="49"/>
      <c r="AB60" s="49"/>
      <c r="AC60" s="49"/>
      <c r="AD60" s="49"/>
      <c r="AE60" s="49"/>
      <c r="AF60" s="49"/>
      <c r="AG60" s="49"/>
      <c r="AH60" s="49"/>
      <c r="AI60" s="49"/>
      <c r="AJ60" s="49"/>
      <c r="AK60" s="49"/>
      <c r="AL60" s="49"/>
      <c r="AM60" s="49"/>
      <c r="AN60" s="49"/>
      <c r="AO60" s="49"/>
      <c r="AP60" s="49"/>
      <c r="AQ60" s="49"/>
      <c r="AR60" s="49"/>
      <c r="AS60" s="49"/>
      <c r="AT60" s="49"/>
      <c r="AU60" s="49"/>
      <c r="AV60" s="49"/>
      <c r="AW60" s="49"/>
      <c r="AX60" s="49"/>
    </row>
    <row r="61">
      <c r="A61" s="49"/>
      <c r="B61" s="49"/>
      <c r="C61" s="49" t="str">
        <f>IFERROR(__xludf.DUMMYFUNCTION("""COMPUTED_VALUE"""),"")</f>
        <v/>
      </c>
      <c r="D61" s="49" t="str">
        <f>IFERROR(__xludf.DUMMYFUNCTION("""COMPUTED_VALUE"""),"")</f>
        <v/>
      </c>
      <c r="E61" s="49" t="str">
        <f>IFERROR(__xludf.DUMMYFUNCTION("""COMPUTED_VALUE"""),"")</f>
        <v/>
      </c>
      <c r="F61" s="49" t="str">
        <f>IFERROR(__xludf.DUMMYFUNCTION("""COMPUTED_VALUE"""),"")</f>
        <v/>
      </c>
      <c r="G61" s="49" t="str">
        <f>IFERROR(__xludf.DUMMYFUNCTION("""COMPUTED_VALUE"""),"")</f>
        <v/>
      </c>
      <c r="H61" s="49" t="str">
        <f>IFERROR(__xludf.DUMMYFUNCTION("""COMPUTED_VALUE"""),"")</f>
        <v/>
      </c>
      <c r="I61" s="49" t="str">
        <f>IFERROR(__xludf.DUMMYFUNCTION("""COMPUTED_VALUE"""),"")</f>
        <v/>
      </c>
      <c r="J61" s="49" t="str">
        <f>IFERROR(__xludf.DUMMYFUNCTION("""COMPUTED_VALUE"""),"")</f>
        <v/>
      </c>
      <c r="K61" s="49" t="str">
        <f>IFERROR(__xludf.DUMMYFUNCTION("""COMPUTED_VALUE"""),"")</f>
        <v/>
      </c>
      <c r="L61" s="49" t="str">
        <f>IFERROR(__xludf.DUMMYFUNCTION("""COMPUTED_VALUE"""),"")</f>
        <v/>
      </c>
      <c r="M61" s="49" t="str">
        <f>IFERROR(__xludf.DUMMYFUNCTION("""COMPUTED_VALUE"""),"")</f>
        <v/>
      </c>
      <c r="N61" s="49" t="str">
        <f>IFERROR(__xludf.DUMMYFUNCTION("""COMPUTED_VALUE"""),"")</f>
        <v/>
      </c>
      <c r="O61" s="49" t="str">
        <f>IFERROR(__xludf.DUMMYFUNCTION("""COMPUTED_VALUE"""),"")</f>
        <v/>
      </c>
      <c r="P61" s="49" t="str">
        <f>IFERROR(__xludf.DUMMYFUNCTION("""COMPUTED_VALUE"""),"")</f>
        <v/>
      </c>
      <c r="Q61" s="49" t="str">
        <f>IFERROR(__xludf.DUMMYFUNCTION("""COMPUTED_VALUE"""),"")</f>
        <v/>
      </c>
      <c r="R61" s="49" t="str">
        <f>IFERROR(__xludf.DUMMYFUNCTION("""COMPUTED_VALUE"""),"")</f>
        <v/>
      </c>
      <c r="S61" s="49" t="str">
        <f>IFERROR(__xludf.DUMMYFUNCTION("""COMPUTED_VALUE"""),"")</f>
        <v/>
      </c>
      <c r="T61" s="49" t="str">
        <f>IFERROR(__xludf.DUMMYFUNCTION("""COMPUTED_VALUE"""),"")</f>
        <v/>
      </c>
      <c r="U61" s="49" t="str">
        <f>IFERROR(__xludf.DUMMYFUNCTION("""COMPUTED_VALUE"""),"")</f>
        <v/>
      </c>
      <c r="V61" s="49" t="str">
        <f>IFERROR(__xludf.DUMMYFUNCTION("""COMPUTED_VALUE"""),"")</f>
        <v/>
      </c>
      <c r="W61" s="49" t="str">
        <f>IFERROR(__xludf.DUMMYFUNCTION("""COMPUTED_VALUE"""),"")</f>
        <v/>
      </c>
      <c r="X61" s="49" t="str">
        <f>IFERROR(__xludf.DUMMYFUNCTION("""COMPUTED_VALUE"""),"")</f>
        <v/>
      </c>
      <c r="Y61" s="49" t="str">
        <f>IFERROR(__xludf.DUMMYFUNCTION("""COMPUTED_VALUE"""),"")</f>
        <v/>
      </c>
      <c r="Z61" s="49"/>
      <c r="AA61" s="49"/>
      <c r="AB61" s="49"/>
      <c r="AC61" s="49"/>
      <c r="AD61" s="49"/>
      <c r="AE61" s="49"/>
      <c r="AF61" s="49"/>
      <c r="AG61" s="49"/>
      <c r="AH61" s="49"/>
      <c r="AI61" s="49"/>
      <c r="AJ61" s="49"/>
      <c r="AK61" s="49"/>
      <c r="AL61" s="49"/>
      <c r="AM61" s="49"/>
      <c r="AN61" s="49"/>
      <c r="AO61" s="49"/>
      <c r="AP61" s="49"/>
      <c r="AQ61" s="49"/>
      <c r="AR61" s="49"/>
      <c r="AS61" s="49"/>
      <c r="AT61" s="49"/>
      <c r="AU61" s="49"/>
      <c r="AV61" s="49"/>
      <c r="AW61" s="49"/>
      <c r="AX61" s="49"/>
    </row>
    <row r="62">
      <c r="A62" s="49"/>
      <c r="B62" s="49"/>
      <c r="C62" s="49" t="str">
        <f>IFERROR(__xludf.DUMMYFUNCTION("""COMPUTED_VALUE"""),"")</f>
        <v/>
      </c>
      <c r="D62" s="49" t="str">
        <f>IFERROR(__xludf.DUMMYFUNCTION("""COMPUTED_VALUE"""),"")</f>
        <v/>
      </c>
      <c r="E62" s="49" t="str">
        <f>IFERROR(__xludf.DUMMYFUNCTION("""COMPUTED_VALUE"""),"")</f>
        <v/>
      </c>
      <c r="F62" s="49" t="str">
        <f>IFERROR(__xludf.DUMMYFUNCTION("""COMPUTED_VALUE"""),"")</f>
        <v/>
      </c>
      <c r="G62" s="49" t="str">
        <f>IFERROR(__xludf.DUMMYFUNCTION("""COMPUTED_VALUE"""),"")</f>
        <v/>
      </c>
      <c r="H62" s="49" t="str">
        <f>IFERROR(__xludf.DUMMYFUNCTION("""COMPUTED_VALUE"""),"")</f>
        <v/>
      </c>
      <c r="I62" s="49" t="str">
        <f>IFERROR(__xludf.DUMMYFUNCTION("""COMPUTED_VALUE"""),"")</f>
        <v/>
      </c>
      <c r="J62" s="49" t="str">
        <f>IFERROR(__xludf.DUMMYFUNCTION("""COMPUTED_VALUE"""),"")</f>
        <v/>
      </c>
      <c r="K62" s="49" t="str">
        <f>IFERROR(__xludf.DUMMYFUNCTION("""COMPUTED_VALUE"""),"")</f>
        <v/>
      </c>
      <c r="L62" s="49" t="str">
        <f>IFERROR(__xludf.DUMMYFUNCTION("""COMPUTED_VALUE"""),"")</f>
        <v/>
      </c>
      <c r="M62" s="49" t="str">
        <f>IFERROR(__xludf.DUMMYFUNCTION("""COMPUTED_VALUE"""),"")</f>
        <v/>
      </c>
      <c r="N62" s="49" t="str">
        <f>IFERROR(__xludf.DUMMYFUNCTION("""COMPUTED_VALUE"""),"")</f>
        <v/>
      </c>
      <c r="O62" s="49" t="str">
        <f>IFERROR(__xludf.DUMMYFUNCTION("""COMPUTED_VALUE"""),"")</f>
        <v/>
      </c>
      <c r="P62" s="49" t="str">
        <f>IFERROR(__xludf.DUMMYFUNCTION("""COMPUTED_VALUE"""),"")</f>
        <v/>
      </c>
      <c r="Q62" s="49" t="str">
        <f>IFERROR(__xludf.DUMMYFUNCTION("""COMPUTED_VALUE"""),"")</f>
        <v/>
      </c>
      <c r="R62" s="49" t="str">
        <f>IFERROR(__xludf.DUMMYFUNCTION("""COMPUTED_VALUE"""),"")</f>
        <v/>
      </c>
      <c r="S62" s="49" t="str">
        <f>IFERROR(__xludf.DUMMYFUNCTION("""COMPUTED_VALUE"""),"")</f>
        <v/>
      </c>
      <c r="T62" s="49" t="str">
        <f>IFERROR(__xludf.DUMMYFUNCTION("""COMPUTED_VALUE"""),"")</f>
        <v/>
      </c>
      <c r="U62" s="49" t="str">
        <f>IFERROR(__xludf.DUMMYFUNCTION("""COMPUTED_VALUE"""),"")</f>
        <v/>
      </c>
      <c r="V62" s="49" t="str">
        <f>IFERROR(__xludf.DUMMYFUNCTION("""COMPUTED_VALUE"""),"")</f>
        <v/>
      </c>
      <c r="W62" s="49" t="str">
        <f>IFERROR(__xludf.DUMMYFUNCTION("""COMPUTED_VALUE"""),"")</f>
        <v/>
      </c>
      <c r="X62" s="49" t="str">
        <f>IFERROR(__xludf.DUMMYFUNCTION("""COMPUTED_VALUE"""),"")</f>
        <v/>
      </c>
      <c r="Y62" s="49" t="str">
        <f>IFERROR(__xludf.DUMMYFUNCTION("""COMPUTED_VALUE"""),"")</f>
        <v/>
      </c>
      <c r="Z62" s="49"/>
      <c r="AA62" s="49"/>
      <c r="AB62" s="49"/>
      <c r="AC62" s="49"/>
      <c r="AD62" s="49"/>
      <c r="AE62" s="49"/>
      <c r="AF62" s="49"/>
      <c r="AG62" s="49"/>
      <c r="AH62" s="49"/>
      <c r="AI62" s="49"/>
      <c r="AJ62" s="49"/>
      <c r="AK62" s="49"/>
      <c r="AL62" s="49"/>
      <c r="AM62" s="49"/>
      <c r="AN62" s="49"/>
      <c r="AO62" s="49"/>
      <c r="AP62" s="49"/>
      <c r="AQ62" s="49"/>
      <c r="AR62" s="49"/>
      <c r="AS62" s="49"/>
      <c r="AT62" s="49"/>
      <c r="AU62" s="49"/>
      <c r="AV62" s="49"/>
      <c r="AW62" s="49"/>
      <c r="AX62" s="49"/>
    </row>
    <row r="63">
      <c r="A63" s="49"/>
      <c r="B63" s="49"/>
      <c r="C63" s="49" t="str">
        <f>IFERROR(__xludf.DUMMYFUNCTION("""COMPUTED_VALUE"""),"")</f>
        <v/>
      </c>
      <c r="D63" s="49" t="str">
        <f>IFERROR(__xludf.DUMMYFUNCTION("""COMPUTED_VALUE"""),"")</f>
        <v/>
      </c>
      <c r="E63" s="49" t="str">
        <f>IFERROR(__xludf.DUMMYFUNCTION("""COMPUTED_VALUE"""),"")</f>
        <v/>
      </c>
      <c r="F63" s="49" t="str">
        <f>IFERROR(__xludf.DUMMYFUNCTION("""COMPUTED_VALUE"""),"")</f>
        <v/>
      </c>
      <c r="G63" s="49" t="str">
        <f>IFERROR(__xludf.DUMMYFUNCTION("""COMPUTED_VALUE"""),"")</f>
        <v/>
      </c>
      <c r="H63" s="49" t="str">
        <f>IFERROR(__xludf.DUMMYFUNCTION("""COMPUTED_VALUE"""),"")</f>
        <v/>
      </c>
      <c r="I63" s="49" t="str">
        <f>IFERROR(__xludf.DUMMYFUNCTION("""COMPUTED_VALUE"""),"")</f>
        <v/>
      </c>
      <c r="J63" s="49" t="str">
        <f>IFERROR(__xludf.DUMMYFUNCTION("""COMPUTED_VALUE"""),"")</f>
        <v/>
      </c>
      <c r="K63" s="49" t="str">
        <f>IFERROR(__xludf.DUMMYFUNCTION("""COMPUTED_VALUE"""),"")</f>
        <v/>
      </c>
      <c r="L63" s="49" t="str">
        <f>IFERROR(__xludf.DUMMYFUNCTION("""COMPUTED_VALUE"""),"")</f>
        <v/>
      </c>
      <c r="M63" s="49" t="str">
        <f>IFERROR(__xludf.DUMMYFUNCTION("""COMPUTED_VALUE"""),"")</f>
        <v/>
      </c>
      <c r="N63" s="49" t="str">
        <f>IFERROR(__xludf.DUMMYFUNCTION("""COMPUTED_VALUE"""),"")</f>
        <v/>
      </c>
      <c r="O63" s="49" t="str">
        <f>IFERROR(__xludf.DUMMYFUNCTION("""COMPUTED_VALUE"""),"")</f>
        <v/>
      </c>
      <c r="P63" s="49" t="str">
        <f>IFERROR(__xludf.DUMMYFUNCTION("""COMPUTED_VALUE"""),"")</f>
        <v/>
      </c>
      <c r="Q63" s="49" t="str">
        <f>IFERROR(__xludf.DUMMYFUNCTION("""COMPUTED_VALUE"""),"")</f>
        <v/>
      </c>
      <c r="R63" s="49" t="str">
        <f>IFERROR(__xludf.DUMMYFUNCTION("""COMPUTED_VALUE"""),"")</f>
        <v/>
      </c>
      <c r="S63" s="49" t="str">
        <f>IFERROR(__xludf.DUMMYFUNCTION("""COMPUTED_VALUE"""),"")</f>
        <v/>
      </c>
      <c r="T63" s="49" t="str">
        <f>IFERROR(__xludf.DUMMYFUNCTION("""COMPUTED_VALUE"""),"")</f>
        <v/>
      </c>
      <c r="U63" s="49" t="str">
        <f>IFERROR(__xludf.DUMMYFUNCTION("""COMPUTED_VALUE"""),"")</f>
        <v/>
      </c>
      <c r="V63" s="49" t="str">
        <f>IFERROR(__xludf.DUMMYFUNCTION("""COMPUTED_VALUE"""),"")</f>
        <v/>
      </c>
      <c r="W63" s="49" t="str">
        <f>IFERROR(__xludf.DUMMYFUNCTION("""COMPUTED_VALUE"""),"")</f>
        <v/>
      </c>
      <c r="X63" s="49" t="str">
        <f>IFERROR(__xludf.DUMMYFUNCTION("""COMPUTED_VALUE"""),"")</f>
        <v/>
      </c>
      <c r="Y63" s="49" t="str">
        <f>IFERROR(__xludf.DUMMYFUNCTION("""COMPUTED_VALUE"""),"")</f>
        <v/>
      </c>
      <c r="Z63" s="49"/>
      <c r="AA63" s="49"/>
      <c r="AB63" s="49"/>
      <c r="AC63" s="49"/>
      <c r="AD63" s="49"/>
      <c r="AE63" s="49"/>
      <c r="AF63" s="49"/>
      <c r="AG63" s="49"/>
      <c r="AH63" s="49"/>
      <c r="AI63" s="49"/>
      <c r="AJ63" s="49"/>
      <c r="AK63" s="49"/>
      <c r="AL63" s="49"/>
      <c r="AM63" s="49"/>
      <c r="AN63" s="49"/>
      <c r="AO63" s="49"/>
      <c r="AP63" s="49"/>
      <c r="AQ63" s="49"/>
      <c r="AR63" s="49"/>
      <c r="AS63" s="49"/>
      <c r="AT63" s="49"/>
      <c r="AU63" s="49"/>
      <c r="AV63" s="49"/>
      <c r="AW63" s="49"/>
      <c r="AX63" s="49"/>
    </row>
    <row r="64">
      <c r="A64" s="49"/>
      <c r="B64" s="49"/>
      <c r="C64" s="49" t="str">
        <f>IFERROR(__xludf.DUMMYFUNCTION("""COMPUTED_VALUE"""),"")</f>
        <v/>
      </c>
      <c r="D64" s="49" t="str">
        <f>IFERROR(__xludf.DUMMYFUNCTION("""COMPUTED_VALUE"""),"")</f>
        <v/>
      </c>
      <c r="E64" s="49" t="str">
        <f>IFERROR(__xludf.DUMMYFUNCTION("""COMPUTED_VALUE"""),"")</f>
        <v/>
      </c>
      <c r="F64" s="49" t="str">
        <f>IFERROR(__xludf.DUMMYFUNCTION("""COMPUTED_VALUE"""),"")</f>
        <v/>
      </c>
      <c r="G64" s="49" t="str">
        <f>IFERROR(__xludf.DUMMYFUNCTION("""COMPUTED_VALUE"""),"")</f>
        <v/>
      </c>
      <c r="H64" s="49" t="str">
        <f>IFERROR(__xludf.DUMMYFUNCTION("""COMPUTED_VALUE"""),"")</f>
        <v/>
      </c>
      <c r="I64" s="49" t="str">
        <f>IFERROR(__xludf.DUMMYFUNCTION("""COMPUTED_VALUE"""),"")</f>
        <v/>
      </c>
      <c r="J64" s="49" t="str">
        <f>IFERROR(__xludf.DUMMYFUNCTION("""COMPUTED_VALUE"""),"")</f>
        <v/>
      </c>
      <c r="K64" s="49" t="str">
        <f>IFERROR(__xludf.DUMMYFUNCTION("""COMPUTED_VALUE"""),"")</f>
        <v/>
      </c>
      <c r="L64" s="49" t="str">
        <f>IFERROR(__xludf.DUMMYFUNCTION("""COMPUTED_VALUE"""),"")</f>
        <v/>
      </c>
      <c r="M64" s="49" t="str">
        <f>IFERROR(__xludf.DUMMYFUNCTION("""COMPUTED_VALUE"""),"")</f>
        <v/>
      </c>
      <c r="N64" s="49" t="str">
        <f>IFERROR(__xludf.DUMMYFUNCTION("""COMPUTED_VALUE"""),"")</f>
        <v/>
      </c>
      <c r="O64" s="49" t="str">
        <f>IFERROR(__xludf.DUMMYFUNCTION("""COMPUTED_VALUE"""),"")</f>
        <v/>
      </c>
      <c r="P64" s="49" t="str">
        <f>IFERROR(__xludf.DUMMYFUNCTION("""COMPUTED_VALUE"""),"")</f>
        <v/>
      </c>
      <c r="Q64" s="49" t="str">
        <f>IFERROR(__xludf.DUMMYFUNCTION("""COMPUTED_VALUE"""),"")</f>
        <v/>
      </c>
      <c r="R64" s="49" t="str">
        <f>IFERROR(__xludf.DUMMYFUNCTION("""COMPUTED_VALUE"""),"")</f>
        <v/>
      </c>
      <c r="S64" s="49" t="str">
        <f>IFERROR(__xludf.DUMMYFUNCTION("""COMPUTED_VALUE"""),"")</f>
        <v/>
      </c>
      <c r="T64" s="49" t="str">
        <f>IFERROR(__xludf.DUMMYFUNCTION("""COMPUTED_VALUE"""),"")</f>
        <v/>
      </c>
      <c r="U64" s="49" t="str">
        <f>IFERROR(__xludf.DUMMYFUNCTION("""COMPUTED_VALUE"""),"")</f>
        <v/>
      </c>
      <c r="V64" s="49" t="str">
        <f>IFERROR(__xludf.DUMMYFUNCTION("""COMPUTED_VALUE"""),"")</f>
        <v/>
      </c>
      <c r="W64" s="49" t="str">
        <f>IFERROR(__xludf.DUMMYFUNCTION("""COMPUTED_VALUE"""),"")</f>
        <v/>
      </c>
      <c r="X64" s="49" t="str">
        <f>IFERROR(__xludf.DUMMYFUNCTION("""COMPUTED_VALUE"""),"")</f>
        <v/>
      </c>
      <c r="Y64" s="49" t="str">
        <f>IFERROR(__xludf.DUMMYFUNCTION("""COMPUTED_VALUE"""),"")</f>
        <v/>
      </c>
      <c r="Z64" s="49"/>
      <c r="AA64" s="49"/>
      <c r="AB64" s="49"/>
      <c r="AC64" s="49"/>
      <c r="AD64" s="49"/>
      <c r="AE64" s="49"/>
      <c r="AF64" s="49"/>
      <c r="AG64" s="49"/>
      <c r="AH64" s="49"/>
      <c r="AI64" s="49"/>
      <c r="AJ64" s="49"/>
      <c r="AK64" s="49"/>
      <c r="AL64" s="49"/>
      <c r="AM64" s="49"/>
      <c r="AN64" s="49"/>
      <c r="AO64" s="49"/>
      <c r="AP64" s="49"/>
      <c r="AQ64" s="49"/>
      <c r="AR64" s="49"/>
      <c r="AS64" s="49"/>
      <c r="AT64" s="49"/>
      <c r="AU64" s="49"/>
      <c r="AV64" s="49"/>
      <c r="AW64" s="49"/>
      <c r="AX64" s="49"/>
    </row>
    <row r="65">
      <c r="A65" s="49"/>
      <c r="B65" s="49"/>
      <c r="C65" s="49" t="str">
        <f>IFERROR(__xludf.DUMMYFUNCTION("""COMPUTED_VALUE"""),"")</f>
        <v/>
      </c>
      <c r="D65" s="49" t="str">
        <f>IFERROR(__xludf.DUMMYFUNCTION("""COMPUTED_VALUE"""),"")</f>
        <v/>
      </c>
      <c r="E65" s="49" t="str">
        <f>IFERROR(__xludf.DUMMYFUNCTION("""COMPUTED_VALUE"""),"")</f>
        <v/>
      </c>
      <c r="F65" s="49" t="str">
        <f>IFERROR(__xludf.DUMMYFUNCTION("""COMPUTED_VALUE"""),"")</f>
        <v/>
      </c>
      <c r="G65" s="49" t="str">
        <f>IFERROR(__xludf.DUMMYFUNCTION("""COMPUTED_VALUE"""),"")</f>
        <v/>
      </c>
      <c r="H65" s="49" t="str">
        <f>IFERROR(__xludf.DUMMYFUNCTION("""COMPUTED_VALUE"""),"")</f>
        <v/>
      </c>
      <c r="I65" s="49" t="str">
        <f>IFERROR(__xludf.DUMMYFUNCTION("""COMPUTED_VALUE"""),"")</f>
        <v/>
      </c>
      <c r="J65" s="49" t="str">
        <f>IFERROR(__xludf.DUMMYFUNCTION("""COMPUTED_VALUE"""),"")</f>
        <v/>
      </c>
      <c r="K65" s="49" t="str">
        <f>IFERROR(__xludf.DUMMYFUNCTION("""COMPUTED_VALUE"""),"")</f>
        <v/>
      </c>
      <c r="L65" s="49" t="str">
        <f>IFERROR(__xludf.DUMMYFUNCTION("""COMPUTED_VALUE"""),"")</f>
        <v/>
      </c>
      <c r="M65" s="49" t="str">
        <f>IFERROR(__xludf.DUMMYFUNCTION("""COMPUTED_VALUE"""),"")</f>
        <v/>
      </c>
      <c r="N65" s="49" t="str">
        <f>IFERROR(__xludf.DUMMYFUNCTION("""COMPUTED_VALUE"""),"")</f>
        <v/>
      </c>
      <c r="O65" s="49" t="str">
        <f>IFERROR(__xludf.DUMMYFUNCTION("""COMPUTED_VALUE"""),"")</f>
        <v/>
      </c>
      <c r="P65" s="49" t="str">
        <f>IFERROR(__xludf.DUMMYFUNCTION("""COMPUTED_VALUE"""),"")</f>
        <v/>
      </c>
      <c r="Q65" s="49" t="str">
        <f>IFERROR(__xludf.DUMMYFUNCTION("""COMPUTED_VALUE"""),"")</f>
        <v/>
      </c>
      <c r="R65" s="49" t="str">
        <f>IFERROR(__xludf.DUMMYFUNCTION("""COMPUTED_VALUE"""),"")</f>
        <v/>
      </c>
      <c r="S65" s="49" t="str">
        <f>IFERROR(__xludf.DUMMYFUNCTION("""COMPUTED_VALUE"""),"")</f>
        <v/>
      </c>
      <c r="T65" s="49" t="str">
        <f>IFERROR(__xludf.DUMMYFUNCTION("""COMPUTED_VALUE"""),"")</f>
        <v/>
      </c>
      <c r="U65" s="49" t="str">
        <f>IFERROR(__xludf.DUMMYFUNCTION("""COMPUTED_VALUE"""),"")</f>
        <v/>
      </c>
      <c r="V65" s="49" t="str">
        <f>IFERROR(__xludf.DUMMYFUNCTION("""COMPUTED_VALUE"""),"")</f>
        <v/>
      </c>
      <c r="W65" s="49" t="str">
        <f>IFERROR(__xludf.DUMMYFUNCTION("""COMPUTED_VALUE"""),"")</f>
        <v/>
      </c>
      <c r="X65" s="49" t="str">
        <f>IFERROR(__xludf.DUMMYFUNCTION("""COMPUTED_VALUE"""),"")</f>
        <v/>
      </c>
      <c r="Y65" s="49" t="str">
        <f>IFERROR(__xludf.DUMMYFUNCTION("""COMPUTED_VALUE"""),"")</f>
        <v/>
      </c>
      <c r="Z65" s="49"/>
      <c r="AA65" s="49"/>
      <c r="AB65" s="49"/>
      <c r="AC65" s="49"/>
      <c r="AD65" s="49"/>
      <c r="AE65" s="49"/>
      <c r="AF65" s="49"/>
      <c r="AG65" s="49"/>
      <c r="AH65" s="49"/>
      <c r="AI65" s="49"/>
      <c r="AJ65" s="49"/>
      <c r="AK65" s="49"/>
      <c r="AL65" s="49"/>
      <c r="AM65" s="49"/>
      <c r="AN65" s="49"/>
      <c r="AO65" s="49"/>
      <c r="AP65" s="49"/>
      <c r="AQ65" s="49"/>
      <c r="AR65" s="49"/>
      <c r="AS65" s="49"/>
      <c r="AT65" s="49"/>
      <c r="AU65" s="49"/>
      <c r="AV65" s="49"/>
      <c r="AW65" s="49"/>
      <c r="AX65" s="49"/>
    </row>
    <row r="66">
      <c r="A66" s="49"/>
      <c r="B66" s="49"/>
      <c r="C66" s="49" t="str">
        <f>IFERROR(__xludf.DUMMYFUNCTION("""COMPUTED_VALUE"""),"")</f>
        <v/>
      </c>
      <c r="D66" s="49" t="str">
        <f>IFERROR(__xludf.DUMMYFUNCTION("""COMPUTED_VALUE"""),"")</f>
        <v/>
      </c>
      <c r="E66" s="49" t="str">
        <f>IFERROR(__xludf.DUMMYFUNCTION("""COMPUTED_VALUE"""),"")</f>
        <v/>
      </c>
      <c r="F66" s="49" t="str">
        <f>IFERROR(__xludf.DUMMYFUNCTION("""COMPUTED_VALUE"""),"")</f>
        <v/>
      </c>
      <c r="G66" s="49" t="str">
        <f>IFERROR(__xludf.DUMMYFUNCTION("""COMPUTED_VALUE"""),"")</f>
        <v/>
      </c>
      <c r="H66" s="49" t="str">
        <f>IFERROR(__xludf.DUMMYFUNCTION("""COMPUTED_VALUE"""),"")</f>
        <v/>
      </c>
      <c r="I66" s="49" t="str">
        <f>IFERROR(__xludf.DUMMYFUNCTION("""COMPUTED_VALUE"""),"")</f>
        <v/>
      </c>
      <c r="J66" s="49" t="str">
        <f>IFERROR(__xludf.DUMMYFUNCTION("""COMPUTED_VALUE"""),"")</f>
        <v/>
      </c>
      <c r="K66" s="49" t="str">
        <f>IFERROR(__xludf.DUMMYFUNCTION("""COMPUTED_VALUE"""),"")</f>
        <v/>
      </c>
      <c r="L66" s="49" t="str">
        <f>IFERROR(__xludf.DUMMYFUNCTION("""COMPUTED_VALUE"""),"")</f>
        <v/>
      </c>
      <c r="M66" s="49" t="str">
        <f>IFERROR(__xludf.DUMMYFUNCTION("""COMPUTED_VALUE"""),"")</f>
        <v/>
      </c>
      <c r="N66" s="49" t="str">
        <f>IFERROR(__xludf.DUMMYFUNCTION("""COMPUTED_VALUE"""),"")</f>
        <v/>
      </c>
      <c r="O66" s="49" t="str">
        <f>IFERROR(__xludf.DUMMYFUNCTION("""COMPUTED_VALUE"""),"")</f>
        <v/>
      </c>
      <c r="P66" s="49" t="str">
        <f>IFERROR(__xludf.DUMMYFUNCTION("""COMPUTED_VALUE"""),"")</f>
        <v/>
      </c>
      <c r="Q66" s="49" t="str">
        <f>IFERROR(__xludf.DUMMYFUNCTION("""COMPUTED_VALUE"""),"")</f>
        <v/>
      </c>
      <c r="R66" s="49" t="str">
        <f>IFERROR(__xludf.DUMMYFUNCTION("""COMPUTED_VALUE"""),"")</f>
        <v/>
      </c>
      <c r="S66" s="49" t="str">
        <f>IFERROR(__xludf.DUMMYFUNCTION("""COMPUTED_VALUE"""),"")</f>
        <v/>
      </c>
      <c r="T66" s="49" t="str">
        <f>IFERROR(__xludf.DUMMYFUNCTION("""COMPUTED_VALUE"""),"")</f>
        <v/>
      </c>
      <c r="U66" s="49" t="str">
        <f>IFERROR(__xludf.DUMMYFUNCTION("""COMPUTED_VALUE"""),"")</f>
        <v/>
      </c>
      <c r="V66" s="49" t="str">
        <f>IFERROR(__xludf.DUMMYFUNCTION("""COMPUTED_VALUE"""),"")</f>
        <v/>
      </c>
      <c r="W66" s="49" t="str">
        <f>IFERROR(__xludf.DUMMYFUNCTION("""COMPUTED_VALUE"""),"")</f>
        <v/>
      </c>
      <c r="X66" s="49" t="str">
        <f>IFERROR(__xludf.DUMMYFUNCTION("""COMPUTED_VALUE"""),"")</f>
        <v/>
      </c>
      <c r="Y66" s="49" t="str">
        <f>IFERROR(__xludf.DUMMYFUNCTION("""COMPUTED_VALUE"""),"")</f>
        <v/>
      </c>
      <c r="Z66" s="49"/>
      <c r="AA66" s="49"/>
      <c r="AB66" s="49"/>
      <c r="AC66" s="49"/>
      <c r="AD66" s="49"/>
      <c r="AE66" s="49"/>
      <c r="AF66" s="49"/>
      <c r="AG66" s="49"/>
      <c r="AH66" s="49"/>
      <c r="AI66" s="49"/>
      <c r="AJ66" s="49"/>
      <c r="AK66" s="49"/>
      <c r="AL66" s="49"/>
      <c r="AM66" s="49"/>
      <c r="AN66" s="49"/>
      <c r="AO66" s="49"/>
      <c r="AP66" s="49"/>
      <c r="AQ66" s="49"/>
      <c r="AR66" s="49"/>
      <c r="AS66" s="49"/>
      <c r="AT66" s="49"/>
      <c r="AU66" s="49"/>
      <c r="AV66" s="49"/>
      <c r="AW66" s="49"/>
      <c r="AX66" s="49"/>
    </row>
    <row r="67">
      <c r="A67" s="49"/>
      <c r="B67" s="49"/>
      <c r="C67" s="49" t="str">
        <f>IFERROR(__xludf.DUMMYFUNCTION("""COMPUTED_VALUE"""),"")</f>
        <v/>
      </c>
      <c r="D67" s="49" t="str">
        <f>IFERROR(__xludf.DUMMYFUNCTION("""COMPUTED_VALUE"""),"")</f>
        <v/>
      </c>
      <c r="E67" s="49" t="str">
        <f>IFERROR(__xludf.DUMMYFUNCTION("""COMPUTED_VALUE"""),"")</f>
        <v/>
      </c>
      <c r="F67" s="49" t="str">
        <f>IFERROR(__xludf.DUMMYFUNCTION("""COMPUTED_VALUE"""),"")</f>
        <v/>
      </c>
      <c r="G67" s="49" t="str">
        <f>IFERROR(__xludf.DUMMYFUNCTION("""COMPUTED_VALUE"""),"")</f>
        <v/>
      </c>
      <c r="H67" s="49" t="str">
        <f>IFERROR(__xludf.DUMMYFUNCTION("""COMPUTED_VALUE"""),"")</f>
        <v/>
      </c>
      <c r="I67" s="49" t="str">
        <f>IFERROR(__xludf.DUMMYFUNCTION("""COMPUTED_VALUE"""),"")</f>
        <v/>
      </c>
      <c r="J67" s="49" t="str">
        <f>IFERROR(__xludf.DUMMYFUNCTION("""COMPUTED_VALUE"""),"")</f>
        <v/>
      </c>
      <c r="K67" s="49" t="str">
        <f>IFERROR(__xludf.DUMMYFUNCTION("""COMPUTED_VALUE"""),"")</f>
        <v/>
      </c>
      <c r="L67" s="49" t="str">
        <f>IFERROR(__xludf.DUMMYFUNCTION("""COMPUTED_VALUE"""),"")</f>
        <v/>
      </c>
      <c r="M67" s="49" t="str">
        <f>IFERROR(__xludf.DUMMYFUNCTION("""COMPUTED_VALUE"""),"")</f>
        <v/>
      </c>
      <c r="N67" s="49" t="str">
        <f>IFERROR(__xludf.DUMMYFUNCTION("""COMPUTED_VALUE"""),"")</f>
        <v/>
      </c>
      <c r="O67" s="49" t="str">
        <f>IFERROR(__xludf.DUMMYFUNCTION("""COMPUTED_VALUE"""),"")</f>
        <v/>
      </c>
      <c r="P67" s="49" t="str">
        <f>IFERROR(__xludf.DUMMYFUNCTION("""COMPUTED_VALUE"""),"")</f>
        <v/>
      </c>
      <c r="Q67" s="49" t="str">
        <f>IFERROR(__xludf.DUMMYFUNCTION("""COMPUTED_VALUE"""),"")</f>
        <v/>
      </c>
      <c r="R67" s="49" t="str">
        <f>IFERROR(__xludf.DUMMYFUNCTION("""COMPUTED_VALUE"""),"")</f>
        <v/>
      </c>
      <c r="S67" s="49" t="str">
        <f>IFERROR(__xludf.DUMMYFUNCTION("""COMPUTED_VALUE"""),"")</f>
        <v/>
      </c>
      <c r="T67" s="49" t="str">
        <f>IFERROR(__xludf.DUMMYFUNCTION("""COMPUTED_VALUE"""),"")</f>
        <v/>
      </c>
      <c r="U67" s="49" t="str">
        <f>IFERROR(__xludf.DUMMYFUNCTION("""COMPUTED_VALUE"""),"")</f>
        <v/>
      </c>
      <c r="V67" s="49" t="str">
        <f>IFERROR(__xludf.DUMMYFUNCTION("""COMPUTED_VALUE"""),"")</f>
        <v/>
      </c>
      <c r="W67" s="49" t="str">
        <f>IFERROR(__xludf.DUMMYFUNCTION("""COMPUTED_VALUE"""),"")</f>
        <v/>
      </c>
      <c r="X67" s="49" t="str">
        <f>IFERROR(__xludf.DUMMYFUNCTION("""COMPUTED_VALUE"""),"")</f>
        <v/>
      </c>
      <c r="Y67" s="49" t="str">
        <f>IFERROR(__xludf.DUMMYFUNCTION("""COMPUTED_VALUE"""),"")</f>
        <v/>
      </c>
      <c r="Z67" s="49"/>
      <c r="AA67" s="49"/>
      <c r="AB67" s="49"/>
      <c r="AC67" s="49"/>
      <c r="AD67" s="49"/>
      <c r="AE67" s="49"/>
      <c r="AF67" s="49"/>
      <c r="AG67" s="49"/>
      <c r="AH67" s="49"/>
      <c r="AI67" s="49"/>
      <c r="AJ67" s="49"/>
      <c r="AK67" s="49"/>
      <c r="AL67" s="49"/>
      <c r="AM67" s="49"/>
      <c r="AN67" s="49"/>
      <c r="AO67" s="49"/>
      <c r="AP67" s="49"/>
      <c r="AQ67" s="49"/>
      <c r="AR67" s="49"/>
      <c r="AS67" s="49"/>
      <c r="AT67" s="49"/>
      <c r="AU67" s="49"/>
      <c r="AV67" s="49"/>
      <c r="AW67" s="49"/>
      <c r="AX67" s="49"/>
    </row>
    <row r="68">
      <c r="A68" s="49"/>
      <c r="B68" s="49"/>
      <c r="C68" s="49" t="str">
        <f>IFERROR(__xludf.DUMMYFUNCTION("""COMPUTED_VALUE"""),"")</f>
        <v/>
      </c>
      <c r="D68" s="49" t="str">
        <f>IFERROR(__xludf.DUMMYFUNCTION("""COMPUTED_VALUE"""),"")</f>
        <v/>
      </c>
      <c r="E68" s="49" t="str">
        <f>IFERROR(__xludf.DUMMYFUNCTION("""COMPUTED_VALUE"""),"")</f>
        <v/>
      </c>
      <c r="F68" s="49" t="str">
        <f>IFERROR(__xludf.DUMMYFUNCTION("""COMPUTED_VALUE"""),"")</f>
        <v/>
      </c>
      <c r="G68" s="49" t="str">
        <f>IFERROR(__xludf.DUMMYFUNCTION("""COMPUTED_VALUE"""),"")</f>
        <v/>
      </c>
      <c r="H68" s="49" t="str">
        <f>IFERROR(__xludf.DUMMYFUNCTION("""COMPUTED_VALUE"""),"")</f>
        <v/>
      </c>
      <c r="I68" s="49" t="str">
        <f>IFERROR(__xludf.DUMMYFUNCTION("""COMPUTED_VALUE"""),"")</f>
        <v/>
      </c>
      <c r="J68" s="49" t="str">
        <f>IFERROR(__xludf.DUMMYFUNCTION("""COMPUTED_VALUE"""),"")</f>
        <v/>
      </c>
      <c r="K68" s="49" t="str">
        <f>IFERROR(__xludf.DUMMYFUNCTION("""COMPUTED_VALUE"""),"")</f>
        <v/>
      </c>
      <c r="L68" s="49" t="str">
        <f>IFERROR(__xludf.DUMMYFUNCTION("""COMPUTED_VALUE"""),"")</f>
        <v/>
      </c>
      <c r="M68" s="49" t="str">
        <f>IFERROR(__xludf.DUMMYFUNCTION("""COMPUTED_VALUE"""),"")</f>
        <v/>
      </c>
      <c r="N68" s="49" t="str">
        <f>IFERROR(__xludf.DUMMYFUNCTION("""COMPUTED_VALUE"""),"")</f>
        <v/>
      </c>
      <c r="O68" s="49" t="str">
        <f>IFERROR(__xludf.DUMMYFUNCTION("""COMPUTED_VALUE"""),"")</f>
        <v/>
      </c>
      <c r="P68" s="49" t="str">
        <f>IFERROR(__xludf.DUMMYFUNCTION("""COMPUTED_VALUE"""),"")</f>
        <v/>
      </c>
      <c r="Q68" s="49" t="str">
        <f>IFERROR(__xludf.DUMMYFUNCTION("""COMPUTED_VALUE"""),"")</f>
        <v/>
      </c>
      <c r="R68" s="49" t="str">
        <f>IFERROR(__xludf.DUMMYFUNCTION("""COMPUTED_VALUE"""),"")</f>
        <v/>
      </c>
      <c r="S68" s="49" t="str">
        <f>IFERROR(__xludf.DUMMYFUNCTION("""COMPUTED_VALUE"""),"")</f>
        <v/>
      </c>
      <c r="T68" s="49" t="str">
        <f>IFERROR(__xludf.DUMMYFUNCTION("""COMPUTED_VALUE"""),"")</f>
        <v/>
      </c>
      <c r="U68" s="49" t="str">
        <f>IFERROR(__xludf.DUMMYFUNCTION("""COMPUTED_VALUE"""),"")</f>
        <v/>
      </c>
      <c r="V68" s="49" t="str">
        <f>IFERROR(__xludf.DUMMYFUNCTION("""COMPUTED_VALUE"""),"")</f>
        <v/>
      </c>
      <c r="W68" s="49" t="str">
        <f>IFERROR(__xludf.DUMMYFUNCTION("""COMPUTED_VALUE"""),"")</f>
        <v/>
      </c>
      <c r="X68" s="49" t="str">
        <f>IFERROR(__xludf.DUMMYFUNCTION("""COMPUTED_VALUE"""),"")</f>
        <v/>
      </c>
      <c r="Y68" s="49" t="str">
        <f>IFERROR(__xludf.DUMMYFUNCTION("""COMPUTED_VALUE"""),"")</f>
        <v/>
      </c>
      <c r="Z68" s="49"/>
      <c r="AA68" s="49"/>
      <c r="AB68" s="49"/>
      <c r="AC68" s="49"/>
      <c r="AD68" s="49"/>
      <c r="AE68" s="49"/>
      <c r="AF68" s="49"/>
      <c r="AG68" s="49"/>
      <c r="AH68" s="49"/>
      <c r="AI68" s="49"/>
      <c r="AJ68" s="49"/>
      <c r="AK68" s="49"/>
      <c r="AL68" s="49"/>
      <c r="AM68" s="49"/>
      <c r="AN68" s="49"/>
      <c r="AO68" s="49"/>
      <c r="AP68" s="49"/>
      <c r="AQ68" s="49"/>
      <c r="AR68" s="49"/>
      <c r="AS68" s="49"/>
      <c r="AT68" s="49"/>
      <c r="AU68" s="49"/>
      <c r="AV68" s="49"/>
      <c r="AW68" s="49"/>
      <c r="AX68" s="49"/>
    </row>
    <row r="69">
      <c r="A69" s="49"/>
      <c r="B69" s="49"/>
      <c r="C69" s="49" t="str">
        <f>IFERROR(__xludf.DUMMYFUNCTION("""COMPUTED_VALUE"""),"")</f>
        <v/>
      </c>
      <c r="D69" s="49" t="str">
        <f>IFERROR(__xludf.DUMMYFUNCTION("""COMPUTED_VALUE"""),"")</f>
        <v/>
      </c>
      <c r="E69" s="49" t="str">
        <f>IFERROR(__xludf.DUMMYFUNCTION("""COMPUTED_VALUE"""),"")</f>
        <v/>
      </c>
      <c r="F69" s="49" t="str">
        <f>IFERROR(__xludf.DUMMYFUNCTION("""COMPUTED_VALUE"""),"")</f>
        <v/>
      </c>
      <c r="G69" s="49" t="str">
        <f>IFERROR(__xludf.DUMMYFUNCTION("""COMPUTED_VALUE"""),"")</f>
        <v/>
      </c>
      <c r="H69" s="49" t="str">
        <f>IFERROR(__xludf.DUMMYFUNCTION("""COMPUTED_VALUE"""),"")</f>
        <v/>
      </c>
      <c r="I69" s="49" t="str">
        <f>IFERROR(__xludf.DUMMYFUNCTION("""COMPUTED_VALUE"""),"")</f>
        <v/>
      </c>
      <c r="J69" s="49" t="str">
        <f>IFERROR(__xludf.DUMMYFUNCTION("""COMPUTED_VALUE"""),"")</f>
        <v/>
      </c>
      <c r="K69" s="49" t="str">
        <f>IFERROR(__xludf.DUMMYFUNCTION("""COMPUTED_VALUE"""),"")</f>
        <v/>
      </c>
      <c r="L69" s="49" t="str">
        <f>IFERROR(__xludf.DUMMYFUNCTION("""COMPUTED_VALUE"""),"")</f>
        <v/>
      </c>
      <c r="M69" s="49" t="str">
        <f>IFERROR(__xludf.DUMMYFUNCTION("""COMPUTED_VALUE"""),"")</f>
        <v/>
      </c>
      <c r="N69" s="49" t="str">
        <f>IFERROR(__xludf.DUMMYFUNCTION("""COMPUTED_VALUE"""),"")</f>
        <v/>
      </c>
      <c r="O69" s="49" t="str">
        <f>IFERROR(__xludf.DUMMYFUNCTION("""COMPUTED_VALUE"""),"")</f>
        <v/>
      </c>
      <c r="P69" s="49" t="str">
        <f>IFERROR(__xludf.DUMMYFUNCTION("""COMPUTED_VALUE"""),"")</f>
        <v/>
      </c>
      <c r="Q69" s="49" t="str">
        <f>IFERROR(__xludf.DUMMYFUNCTION("""COMPUTED_VALUE"""),"")</f>
        <v/>
      </c>
      <c r="R69" s="49" t="str">
        <f>IFERROR(__xludf.DUMMYFUNCTION("""COMPUTED_VALUE"""),"")</f>
        <v/>
      </c>
      <c r="S69" s="49" t="str">
        <f>IFERROR(__xludf.DUMMYFUNCTION("""COMPUTED_VALUE"""),"")</f>
        <v/>
      </c>
      <c r="T69" s="49" t="str">
        <f>IFERROR(__xludf.DUMMYFUNCTION("""COMPUTED_VALUE"""),"")</f>
        <v/>
      </c>
      <c r="U69" s="49" t="str">
        <f>IFERROR(__xludf.DUMMYFUNCTION("""COMPUTED_VALUE"""),"")</f>
        <v/>
      </c>
      <c r="V69" s="49" t="str">
        <f>IFERROR(__xludf.DUMMYFUNCTION("""COMPUTED_VALUE"""),"")</f>
        <v/>
      </c>
      <c r="W69" s="49" t="str">
        <f>IFERROR(__xludf.DUMMYFUNCTION("""COMPUTED_VALUE"""),"")</f>
        <v/>
      </c>
      <c r="X69" s="49" t="str">
        <f>IFERROR(__xludf.DUMMYFUNCTION("""COMPUTED_VALUE"""),"")</f>
        <v/>
      </c>
      <c r="Y69" s="49" t="str">
        <f>IFERROR(__xludf.DUMMYFUNCTION("""COMPUTED_VALUE"""),"")</f>
        <v/>
      </c>
      <c r="Z69" s="49"/>
      <c r="AA69" s="49"/>
      <c r="AB69" s="49"/>
      <c r="AC69" s="49"/>
      <c r="AD69" s="49"/>
      <c r="AE69" s="49"/>
      <c r="AF69" s="49"/>
      <c r="AG69" s="49"/>
      <c r="AH69" s="49"/>
      <c r="AI69" s="49"/>
      <c r="AJ69" s="49"/>
      <c r="AK69" s="49"/>
      <c r="AL69" s="49"/>
      <c r="AM69" s="49"/>
      <c r="AN69" s="49"/>
      <c r="AO69" s="49"/>
      <c r="AP69" s="49"/>
      <c r="AQ69" s="49"/>
      <c r="AR69" s="49"/>
      <c r="AS69" s="49"/>
      <c r="AT69" s="49"/>
      <c r="AU69" s="49"/>
      <c r="AV69" s="49"/>
      <c r="AW69" s="49"/>
      <c r="AX69" s="49"/>
    </row>
    <row r="70">
      <c r="A70" s="49"/>
      <c r="B70" s="49"/>
      <c r="C70" s="49" t="str">
        <f>IFERROR(__xludf.DUMMYFUNCTION("""COMPUTED_VALUE"""),"")</f>
        <v/>
      </c>
      <c r="D70" s="49" t="str">
        <f>IFERROR(__xludf.DUMMYFUNCTION("""COMPUTED_VALUE"""),"")</f>
        <v/>
      </c>
      <c r="E70" s="49" t="str">
        <f>IFERROR(__xludf.DUMMYFUNCTION("""COMPUTED_VALUE"""),"")</f>
        <v/>
      </c>
      <c r="F70" s="49" t="str">
        <f>IFERROR(__xludf.DUMMYFUNCTION("""COMPUTED_VALUE"""),"")</f>
        <v/>
      </c>
      <c r="G70" s="49" t="str">
        <f>IFERROR(__xludf.DUMMYFUNCTION("""COMPUTED_VALUE"""),"")</f>
        <v/>
      </c>
      <c r="H70" s="49" t="str">
        <f>IFERROR(__xludf.DUMMYFUNCTION("""COMPUTED_VALUE"""),"")</f>
        <v/>
      </c>
      <c r="I70" s="49" t="str">
        <f>IFERROR(__xludf.DUMMYFUNCTION("""COMPUTED_VALUE"""),"")</f>
        <v/>
      </c>
      <c r="J70" s="49" t="str">
        <f>IFERROR(__xludf.DUMMYFUNCTION("""COMPUTED_VALUE"""),"")</f>
        <v/>
      </c>
      <c r="K70" s="49" t="str">
        <f>IFERROR(__xludf.DUMMYFUNCTION("""COMPUTED_VALUE"""),"")</f>
        <v/>
      </c>
      <c r="L70" s="49" t="str">
        <f>IFERROR(__xludf.DUMMYFUNCTION("""COMPUTED_VALUE"""),"")</f>
        <v/>
      </c>
      <c r="M70" s="49" t="str">
        <f>IFERROR(__xludf.DUMMYFUNCTION("""COMPUTED_VALUE"""),"")</f>
        <v/>
      </c>
      <c r="N70" s="49" t="str">
        <f>IFERROR(__xludf.DUMMYFUNCTION("""COMPUTED_VALUE"""),"")</f>
        <v/>
      </c>
      <c r="O70" s="49" t="str">
        <f>IFERROR(__xludf.DUMMYFUNCTION("""COMPUTED_VALUE"""),"")</f>
        <v/>
      </c>
      <c r="P70" s="49" t="str">
        <f>IFERROR(__xludf.DUMMYFUNCTION("""COMPUTED_VALUE"""),"")</f>
        <v/>
      </c>
      <c r="Q70" s="49" t="str">
        <f>IFERROR(__xludf.DUMMYFUNCTION("""COMPUTED_VALUE"""),"")</f>
        <v/>
      </c>
      <c r="R70" s="49" t="str">
        <f>IFERROR(__xludf.DUMMYFUNCTION("""COMPUTED_VALUE"""),"")</f>
        <v/>
      </c>
      <c r="S70" s="49" t="str">
        <f>IFERROR(__xludf.DUMMYFUNCTION("""COMPUTED_VALUE"""),"")</f>
        <v/>
      </c>
      <c r="T70" s="49" t="str">
        <f>IFERROR(__xludf.DUMMYFUNCTION("""COMPUTED_VALUE"""),"")</f>
        <v/>
      </c>
      <c r="U70" s="49" t="str">
        <f>IFERROR(__xludf.DUMMYFUNCTION("""COMPUTED_VALUE"""),"")</f>
        <v/>
      </c>
      <c r="V70" s="49" t="str">
        <f>IFERROR(__xludf.DUMMYFUNCTION("""COMPUTED_VALUE"""),"")</f>
        <v/>
      </c>
      <c r="W70" s="49" t="str">
        <f>IFERROR(__xludf.DUMMYFUNCTION("""COMPUTED_VALUE"""),"")</f>
        <v/>
      </c>
      <c r="X70" s="49" t="str">
        <f>IFERROR(__xludf.DUMMYFUNCTION("""COMPUTED_VALUE"""),"")</f>
        <v/>
      </c>
      <c r="Y70" s="49" t="str">
        <f>IFERROR(__xludf.DUMMYFUNCTION("""COMPUTED_VALUE"""),"")</f>
        <v/>
      </c>
      <c r="Z70" s="49"/>
      <c r="AA70" s="49"/>
      <c r="AB70" s="49"/>
      <c r="AC70" s="49"/>
      <c r="AD70" s="49"/>
      <c r="AE70" s="49"/>
      <c r="AF70" s="49"/>
      <c r="AG70" s="49"/>
      <c r="AH70" s="49"/>
      <c r="AI70" s="49"/>
      <c r="AJ70" s="49"/>
      <c r="AK70" s="49"/>
      <c r="AL70" s="49"/>
      <c r="AM70" s="49"/>
      <c r="AN70" s="49"/>
      <c r="AO70" s="49"/>
      <c r="AP70" s="49"/>
      <c r="AQ70" s="49"/>
      <c r="AR70" s="49"/>
      <c r="AS70" s="49"/>
      <c r="AT70" s="49"/>
      <c r="AU70" s="49"/>
      <c r="AV70" s="49"/>
      <c r="AW70" s="49"/>
      <c r="AX70" s="49"/>
    </row>
    <row r="71">
      <c r="A71" s="49"/>
      <c r="B71" s="49"/>
      <c r="C71" s="49" t="str">
        <f>IFERROR(__xludf.DUMMYFUNCTION("""COMPUTED_VALUE"""),"")</f>
        <v/>
      </c>
      <c r="D71" s="49" t="str">
        <f>IFERROR(__xludf.DUMMYFUNCTION("""COMPUTED_VALUE"""),"")</f>
        <v/>
      </c>
      <c r="E71" s="49" t="str">
        <f>IFERROR(__xludf.DUMMYFUNCTION("""COMPUTED_VALUE"""),"")</f>
        <v/>
      </c>
      <c r="F71" s="49" t="str">
        <f>IFERROR(__xludf.DUMMYFUNCTION("""COMPUTED_VALUE"""),"")</f>
        <v/>
      </c>
      <c r="G71" s="49" t="str">
        <f>IFERROR(__xludf.DUMMYFUNCTION("""COMPUTED_VALUE"""),"")</f>
        <v/>
      </c>
      <c r="H71" s="49" t="str">
        <f>IFERROR(__xludf.DUMMYFUNCTION("""COMPUTED_VALUE"""),"")</f>
        <v/>
      </c>
      <c r="I71" s="49" t="str">
        <f>IFERROR(__xludf.DUMMYFUNCTION("""COMPUTED_VALUE"""),"")</f>
        <v/>
      </c>
      <c r="J71" s="49" t="str">
        <f>IFERROR(__xludf.DUMMYFUNCTION("""COMPUTED_VALUE"""),"")</f>
        <v/>
      </c>
      <c r="K71" s="49" t="str">
        <f>IFERROR(__xludf.DUMMYFUNCTION("""COMPUTED_VALUE"""),"")</f>
        <v/>
      </c>
      <c r="L71" s="49" t="str">
        <f>IFERROR(__xludf.DUMMYFUNCTION("""COMPUTED_VALUE"""),"")</f>
        <v/>
      </c>
      <c r="M71" s="49" t="str">
        <f>IFERROR(__xludf.DUMMYFUNCTION("""COMPUTED_VALUE"""),"")</f>
        <v/>
      </c>
      <c r="N71" s="49" t="str">
        <f>IFERROR(__xludf.DUMMYFUNCTION("""COMPUTED_VALUE"""),"")</f>
        <v/>
      </c>
      <c r="O71" s="49" t="str">
        <f>IFERROR(__xludf.DUMMYFUNCTION("""COMPUTED_VALUE"""),"")</f>
        <v/>
      </c>
      <c r="P71" s="49" t="str">
        <f>IFERROR(__xludf.DUMMYFUNCTION("""COMPUTED_VALUE"""),"")</f>
        <v/>
      </c>
      <c r="Q71" s="49" t="str">
        <f>IFERROR(__xludf.DUMMYFUNCTION("""COMPUTED_VALUE"""),"")</f>
        <v/>
      </c>
      <c r="R71" s="49" t="str">
        <f>IFERROR(__xludf.DUMMYFUNCTION("""COMPUTED_VALUE"""),"")</f>
        <v/>
      </c>
      <c r="S71" s="49" t="str">
        <f>IFERROR(__xludf.DUMMYFUNCTION("""COMPUTED_VALUE"""),"")</f>
        <v/>
      </c>
      <c r="T71" s="49" t="str">
        <f>IFERROR(__xludf.DUMMYFUNCTION("""COMPUTED_VALUE"""),"")</f>
        <v/>
      </c>
      <c r="U71" s="49" t="str">
        <f>IFERROR(__xludf.DUMMYFUNCTION("""COMPUTED_VALUE"""),"")</f>
        <v/>
      </c>
      <c r="V71" s="49" t="str">
        <f>IFERROR(__xludf.DUMMYFUNCTION("""COMPUTED_VALUE"""),"")</f>
        <v/>
      </c>
      <c r="W71" s="49" t="str">
        <f>IFERROR(__xludf.DUMMYFUNCTION("""COMPUTED_VALUE"""),"")</f>
        <v/>
      </c>
      <c r="X71" s="49" t="str">
        <f>IFERROR(__xludf.DUMMYFUNCTION("""COMPUTED_VALUE"""),"")</f>
        <v/>
      </c>
      <c r="Y71" s="49" t="str">
        <f>IFERROR(__xludf.DUMMYFUNCTION("""COMPUTED_VALUE"""),"")</f>
        <v/>
      </c>
      <c r="Z71" s="49"/>
      <c r="AA71" s="49"/>
      <c r="AB71" s="49"/>
      <c r="AC71" s="49"/>
      <c r="AD71" s="49"/>
      <c r="AE71" s="49"/>
      <c r="AF71" s="49"/>
      <c r="AG71" s="49"/>
      <c r="AH71" s="49"/>
      <c r="AI71" s="49"/>
      <c r="AJ71" s="49"/>
      <c r="AK71" s="49"/>
      <c r="AL71" s="49"/>
      <c r="AM71" s="49"/>
      <c r="AN71" s="49"/>
      <c r="AO71" s="49"/>
      <c r="AP71" s="49"/>
      <c r="AQ71" s="49"/>
      <c r="AR71" s="49"/>
      <c r="AS71" s="49"/>
      <c r="AT71" s="49"/>
      <c r="AU71" s="49"/>
      <c r="AV71" s="49"/>
      <c r="AW71" s="49"/>
      <c r="AX71" s="49"/>
    </row>
    <row r="72">
      <c r="A72" s="49"/>
      <c r="B72" s="49"/>
      <c r="C72" s="49" t="str">
        <f>IFERROR(__xludf.DUMMYFUNCTION("""COMPUTED_VALUE"""),"")</f>
        <v/>
      </c>
      <c r="D72" s="49" t="str">
        <f>IFERROR(__xludf.DUMMYFUNCTION("""COMPUTED_VALUE"""),"")</f>
        <v/>
      </c>
      <c r="E72" s="49" t="str">
        <f>IFERROR(__xludf.DUMMYFUNCTION("""COMPUTED_VALUE"""),"")</f>
        <v/>
      </c>
      <c r="F72" s="49" t="str">
        <f>IFERROR(__xludf.DUMMYFUNCTION("""COMPUTED_VALUE"""),"")</f>
        <v/>
      </c>
      <c r="G72" s="49" t="str">
        <f>IFERROR(__xludf.DUMMYFUNCTION("""COMPUTED_VALUE"""),"")</f>
        <v/>
      </c>
      <c r="H72" s="49" t="str">
        <f>IFERROR(__xludf.DUMMYFUNCTION("""COMPUTED_VALUE"""),"")</f>
        <v/>
      </c>
      <c r="I72" s="49" t="str">
        <f>IFERROR(__xludf.DUMMYFUNCTION("""COMPUTED_VALUE"""),"")</f>
        <v/>
      </c>
      <c r="J72" s="49" t="str">
        <f>IFERROR(__xludf.DUMMYFUNCTION("""COMPUTED_VALUE"""),"")</f>
        <v/>
      </c>
      <c r="K72" s="49" t="str">
        <f>IFERROR(__xludf.DUMMYFUNCTION("""COMPUTED_VALUE"""),"")</f>
        <v/>
      </c>
      <c r="L72" s="49" t="str">
        <f>IFERROR(__xludf.DUMMYFUNCTION("""COMPUTED_VALUE"""),"")</f>
        <v/>
      </c>
      <c r="M72" s="49" t="str">
        <f>IFERROR(__xludf.DUMMYFUNCTION("""COMPUTED_VALUE"""),"")</f>
        <v/>
      </c>
      <c r="N72" s="49" t="str">
        <f>IFERROR(__xludf.DUMMYFUNCTION("""COMPUTED_VALUE"""),"")</f>
        <v/>
      </c>
      <c r="O72" s="49" t="str">
        <f>IFERROR(__xludf.DUMMYFUNCTION("""COMPUTED_VALUE"""),"")</f>
        <v/>
      </c>
      <c r="P72" s="49" t="str">
        <f>IFERROR(__xludf.DUMMYFUNCTION("""COMPUTED_VALUE"""),"")</f>
        <v/>
      </c>
      <c r="Q72" s="49" t="str">
        <f>IFERROR(__xludf.DUMMYFUNCTION("""COMPUTED_VALUE"""),"")</f>
        <v/>
      </c>
      <c r="R72" s="49" t="str">
        <f>IFERROR(__xludf.DUMMYFUNCTION("""COMPUTED_VALUE"""),"")</f>
        <v/>
      </c>
      <c r="S72" s="49" t="str">
        <f>IFERROR(__xludf.DUMMYFUNCTION("""COMPUTED_VALUE"""),"")</f>
        <v/>
      </c>
      <c r="T72" s="49" t="str">
        <f>IFERROR(__xludf.DUMMYFUNCTION("""COMPUTED_VALUE"""),"")</f>
        <v/>
      </c>
      <c r="U72" s="49" t="str">
        <f>IFERROR(__xludf.DUMMYFUNCTION("""COMPUTED_VALUE"""),"")</f>
        <v/>
      </c>
      <c r="V72" s="49" t="str">
        <f>IFERROR(__xludf.DUMMYFUNCTION("""COMPUTED_VALUE"""),"")</f>
        <v/>
      </c>
      <c r="W72" s="49" t="str">
        <f>IFERROR(__xludf.DUMMYFUNCTION("""COMPUTED_VALUE"""),"")</f>
        <v/>
      </c>
      <c r="X72" s="49" t="str">
        <f>IFERROR(__xludf.DUMMYFUNCTION("""COMPUTED_VALUE"""),"")</f>
        <v/>
      </c>
      <c r="Y72" s="49" t="str">
        <f>IFERROR(__xludf.DUMMYFUNCTION("""COMPUTED_VALUE"""),"")</f>
        <v/>
      </c>
      <c r="Z72" s="49"/>
      <c r="AA72" s="49"/>
      <c r="AB72" s="49"/>
      <c r="AC72" s="49"/>
      <c r="AD72" s="49"/>
      <c r="AE72" s="49"/>
      <c r="AF72" s="49"/>
      <c r="AG72" s="49"/>
      <c r="AH72" s="49"/>
      <c r="AI72" s="49"/>
      <c r="AJ72" s="49"/>
      <c r="AK72" s="49"/>
      <c r="AL72" s="49"/>
      <c r="AM72" s="49"/>
      <c r="AN72" s="49"/>
      <c r="AO72" s="49"/>
      <c r="AP72" s="49"/>
      <c r="AQ72" s="49"/>
      <c r="AR72" s="49"/>
      <c r="AS72" s="49"/>
      <c r="AT72" s="49"/>
      <c r="AU72" s="49"/>
      <c r="AV72" s="49"/>
      <c r="AW72" s="49"/>
      <c r="AX72" s="49"/>
    </row>
    <row r="73">
      <c r="A73" s="49"/>
      <c r="B73" s="49"/>
      <c r="C73" s="49" t="str">
        <f>IFERROR(__xludf.DUMMYFUNCTION("""COMPUTED_VALUE"""),"")</f>
        <v/>
      </c>
      <c r="D73" s="49" t="str">
        <f>IFERROR(__xludf.DUMMYFUNCTION("""COMPUTED_VALUE"""),"")</f>
        <v/>
      </c>
      <c r="E73" s="49" t="str">
        <f>IFERROR(__xludf.DUMMYFUNCTION("""COMPUTED_VALUE"""),"")</f>
        <v/>
      </c>
      <c r="F73" s="49" t="str">
        <f>IFERROR(__xludf.DUMMYFUNCTION("""COMPUTED_VALUE"""),"")</f>
        <v/>
      </c>
      <c r="G73" s="49" t="str">
        <f>IFERROR(__xludf.DUMMYFUNCTION("""COMPUTED_VALUE"""),"")</f>
        <v/>
      </c>
      <c r="H73" s="49" t="str">
        <f>IFERROR(__xludf.DUMMYFUNCTION("""COMPUTED_VALUE"""),"")</f>
        <v/>
      </c>
      <c r="I73" s="49" t="str">
        <f>IFERROR(__xludf.DUMMYFUNCTION("""COMPUTED_VALUE"""),"")</f>
        <v/>
      </c>
      <c r="J73" s="49" t="str">
        <f>IFERROR(__xludf.DUMMYFUNCTION("""COMPUTED_VALUE"""),"")</f>
        <v/>
      </c>
      <c r="K73" s="49" t="str">
        <f>IFERROR(__xludf.DUMMYFUNCTION("""COMPUTED_VALUE"""),"")</f>
        <v/>
      </c>
      <c r="L73" s="49" t="str">
        <f>IFERROR(__xludf.DUMMYFUNCTION("""COMPUTED_VALUE"""),"")</f>
        <v/>
      </c>
      <c r="M73" s="49" t="str">
        <f>IFERROR(__xludf.DUMMYFUNCTION("""COMPUTED_VALUE"""),"")</f>
        <v/>
      </c>
      <c r="N73" s="49" t="str">
        <f>IFERROR(__xludf.DUMMYFUNCTION("""COMPUTED_VALUE"""),"")</f>
        <v/>
      </c>
      <c r="O73" s="49" t="str">
        <f>IFERROR(__xludf.DUMMYFUNCTION("""COMPUTED_VALUE"""),"")</f>
        <v/>
      </c>
      <c r="P73" s="49" t="str">
        <f>IFERROR(__xludf.DUMMYFUNCTION("""COMPUTED_VALUE"""),"")</f>
        <v/>
      </c>
      <c r="Q73" s="49" t="str">
        <f>IFERROR(__xludf.DUMMYFUNCTION("""COMPUTED_VALUE"""),"")</f>
        <v/>
      </c>
      <c r="R73" s="49" t="str">
        <f>IFERROR(__xludf.DUMMYFUNCTION("""COMPUTED_VALUE"""),"")</f>
        <v/>
      </c>
      <c r="S73" s="49" t="str">
        <f>IFERROR(__xludf.DUMMYFUNCTION("""COMPUTED_VALUE"""),"")</f>
        <v/>
      </c>
      <c r="T73" s="49" t="str">
        <f>IFERROR(__xludf.DUMMYFUNCTION("""COMPUTED_VALUE"""),"")</f>
        <v/>
      </c>
      <c r="U73" s="49" t="str">
        <f>IFERROR(__xludf.DUMMYFUNCTION("""COMPUTED_VALUE"""),"")</f>
        <v/>
      </c>
      <c r="V73" s="49" t="str">
        <f>IFERROR(__xludf.DUMMYFUNCTION("""COMPUTED_VALUE"""),"")</f>
        <v/>
      </c>
      <c r="W73" s="49" t="str">
        <f>IFERROR(__xludf.DUMMYFUNCTION("""COMPUTED_VALUE"""),"")</f>
        <v/>
      </c>
      <c r="X73" s="49" t="str">
        <f>IFERROR(__xludf.DUMMYFUNCTION("""COMPUTED_VALUE"""),"")</f>
        <v/>
      </c>
      <c r="Y73" s="49" t="str">
        <f>IFERROR(__xludf.DUMMYFUNCTION("""COMPUTED_VALUE"""),"")</f>
        <v/>
      </c>
      <c r="Z73" s="49"/>
      <c r="AA73" s="49"/>
      <c r="AB73" s="49"/>
      <c r="AC73" s="49"/>
      <c r="AD73" s="49"/>
      <c r="AE73" s="49"/>
      <c r="AF73" s="49"/>
      <c r="AG73" s="49"/>
      <c r="AH73" s="49"/>
      <c r="AI73" s="49"/>
      <c r="AJ73" s="49"/>
      <c r="AK73" s="49"/>
      <c r="AL73" s="49"/>
      <c r="AM73" s="49"/>
      <c r="AN73" s="49"/>
      <c r="AO73" s="49"/>
      <c r="AP73" s="49"/>
      <c r="AQ73" s="49"/>
      <c r="AR73" s="49"/>
      <c r="AS73" s="49"/>
      <c r="AT73" s="49"/>
      <c r="AU73" s="49"/>
      <c r="AV73" s="49"/>
      <c r="AW73" s="49"/>
      <c r="AX73" s="49"/>
    </row>
    <row r="74">
      <c r="A74" s="49"/>
      <c r="B74" s="49"/>
      <c r="C74" s="49" t="str">
        <f>IFERROR(__xludf.DUMMYFUNCTION("""COMPUTED_VALUE"""),"")</f>
        <v/>
      </c>
      <c r="D74" s="49" t="str">
        <f>IFERROR(__xludf.DUMMYFUNCTION("""COMPUTED_VALUE"""),"")</f>
        <v/>
      </c>
      <c r="E74" s="49" t="str">
        <f>IFERROR(__xludf.DUMMYFUNCTION("""COMPUTED_VALUE"""),"")</f>
        <v/>
      </c>
      <c r="F74" s="49" t="str">
        <f>IFERROR(__xludf.DUMMYFUNCTION("""COMPUTED_VALUE"""),"")</f>
        <v/>
      </c>
      <c r="G74" s="49" t="str">
        <f>IFERROR(__xludf.DUMMYFUNCTION("""COMPUTED_VALUE"""),"")</f>
        <v/>
      </c>
      <c r="H74" s="49" t="str">
        <f>IFERROR(__xludf.DUMMYFUNCTION("""COMPUTED_VALUE"""),"")</f>
        <v/>
      </c>
      <c r="I74" s="49" t="str">
        <f>IFERROR(__xludf.DUMMYFUNCTION("""COMPUTED_VALUE"""),"")</f>
        <v/>
      </c>
      <c r="J74" s="49" t="str">
        <f>IFERROR(__xludf.DUMMYFUNCTION("""COMPUTED_VALUE"""),"")</f>
        <v/>
      </c>
      <c r="K74" s="49" t="str">
        <f>IFERROR(__xludf.DUMMYFUNCTION("""COMPUTED_VALUE"""),"")</f>
        <v/>
      </c>
      <c r="L74" s="49" t="str">
        <f>IFERROR(__xludf.DUMMYFUNCTION("""COMPUTED_VALUE"""),"")</f>
        <v/>
      </c>
      <c r="M74" s="49" t="str">
        <f>IFERROR(__xludf.DUMMYFUNCTION("""COMPUTED_VALUE"""),"")</f>
        <v/>
      </c>
      <c r="N74" s="49" t="str">
        <f>IFERROR(__xludf.DUMMYFUNCTION("""COMPUTED_VALUE"""),"")</f>
        <v/>
      </c>
      <c r="O74" s="49" t="str">
        <f>IFERROR(__xludf.DUMMYFUNCTION("""COMPUTED_VALUE"""),"")</f>
        <v/>
      </c>
      <c r="P74" s="49" t="str">
        <f>IFERROR(__xludf.DUMMYFUNCTION("""COMPUTED_VALUE"""),"")</f>
        <v/>
      </c>
      <c r="Q74" s="49" t="str">
        <f>IFERROR(__xludf.DUMMYFUNCTION("""COMPUTED_VALUE"""),"")</f>
        <v/>
      </c>
      <c r="R74" s="49" t="str">
        <f>IFERROR(__xludf.DUMMYFUNCTION("""COMPUTED_VALUE"""),"")</f>
        <v/>
      </c>
      <c r="S74" s="49" t="str">
        <f>IFERROR(__xludf.DUMMYFUNCTION("""COMPUTED_VALUE"""),"")</f>
        <v/>
      </c>
      <c r="T74" s="49" t="str">
        <f>IFERROR(__xludf.DUMMYFUNCTION("""COMPUTED_VALUE"""),"")</f>
        <v/>
      </c>
      <c r="U74" s="49" t="str">
        <f>IFERROR(__xludf.DUMMYFUNCTION("""COMPUTED_VALUE"""),"")</f>
        <v/>
      </c>
      <c r="V74" s="49" t="str">
        <f>IFERROR(__xludf.DUMMYFUNCTION("""COMPUTED_VALUE"""),"")</f>
        <v/>
      </c>
      <c r="W74" s="49" t="str">
        <f>IFERROR(__xludf.DUMMYFUNCTION("""COMPUTED_VALUE"""),"")</f>
        <v/>
      </c>
      <c r="X74" s="49" t="str">
        <f>IFERROR(__xludf.DUMMYFUNCTION("""COMPUTED_VALUE"""),"")</f>
        <v/>
      </c>
      <c r="Y74" s="49" t="str">
        <f>IFERROR(__xludf.DUMMYFUNCTION("""COMPUTED_VALUE"""),"")</f>
        <v/>
      </c>
      <c r="Z74" s="49"/>
      <c r="AA74" s="49"/>
      <c r="AB74" s="49"/>
      <c r="AC74" s="49"/>
      <c r="AD74" s="49"/>
      <c r="AE74" s="49"/>
      <c r="AF74" s="49"/>
      <c r="AG74" s="49"/>
      <c r="AH74" s="49"/>
      <c r="AI74" s="49"/>
      <c r="AJ74" s="49"/>
      <c r="AK74" s="49"/>
      <c r="AL74" s="49"/>
      <c r="AM74" s="49"/>
      <c r="AN74" s="49"/>
      <c r="AO74" s="49"/>
      <c r="AP74" s="49"/>
      <c r="AQ74" s="49"/>
      <c r="AR74" s="49"/>
      <c r="AS74" s="49"/>
      <c r="AT74" s="49"/>
      <c r="AU74" s="49"/>
      <c r="AV74" s="49"/>
      <c r="AW74" s="49"/>
      <c r="AX74" s="49"/>
    </row>
    <row r="75">
      <c r="A75" s="49"/>
      <c r="B75" s="49"/>
      <c r="C75" s="49" t="str">
        <f>IFERROR(__xludf.DUMMYFUNCTION("""COMPUTED_VALUE"""),"")</f>
        <v/>
      </c>
      <c r="D75" s="49" t="str">
        <f>IFERROR(__xludf.DUMMYFUNCTION("""COMPUTED_VALUE"""),"")</f>
        <v/>
      </c>
      <c r="E75" s="49" t="str">
        <f>IFERROR(__xludf.DUMMYFUNCTION("""COMPUTED_VALUE"""),"")</f>
        <v/>
      </c>
      <c r="F75" s="49" t="str">
        <f>IFERROR(__xludf.DUMMYFUNCTION("""COMPUTED_VALUE"""),"")</f>
        <v/>
      </c>
      <c r="G75" s="49" t="str">
        <f>IFERROR(__xludf.DUMMYFUNCTION("""COMPUTED_VALUE"""),"")</f>
        <v/>
      </c>
      <c r="H75" s="49" t="str">
        <f>IFERROR(__xludf.DUMMYFUNCTION("""COMPUTED_VALUE"""),"")</f>
        <v/>
      </c>
      <c r="I75" s="49" t="str">
        <f>IFERROR(__xludf.DUMMYFUNCTION("""COMPUTED_VALUE"""),"")</f>
        <v/>
      </c>
      <c r="J75" s="49" t="str">
        <f>IFERROR(__xludf.DUMMYFUNCTION("""COMPUTED_VALUE"""),"")</f>
        <v/>
      </c>
      <c r="K75" s="49" t="str">
        <f>IFERROR(__xludf.DUMMYFUNCTION("""COMPUTED_VALUE"""),"")</f>
        <v/>
      </c>
      <c r="L75" s="49" t="str">
        <f>IFERROR(__xludf.DUMMYFUNCTION("""COMPUTED_VALUE"""),"")</f>
        <v/>
      </c>
      <c r="M75" s="49" t="str">
        <f>IFERROR(__xludf.DUMMYFUNCTION("""COMPUTED_VALUE"""),"")</f>
        <v/>
      </c>
      <c r="N75" s="49" t="str">
        <f>IFERROR(__xludf.DUMMYFUNCTION("""COMPUTED_VALUE"""),"")</f>
        <v/>
      </c>
      <c r="O75" s="49" t="str">
        <f>IFERROR(__xludf.DUMMYFUNCTION("""COMPUTED_VALUE"""),"")</f>
        <v/>
      </c>
      <c r="P75" s="49" t="str">
        <f>IFERROR(__xludf.DUMMYFUNCTION("""COMPUTED_VALUE"""),"")</f>
        <v/>
      </c>
      <c r="Q75" s="49" t="str">
        <f>IFERROR(__xludf.DUMMYFUNCTION("""COMPUTED_VALUE"""),"")</f>
        <v/>
      </c>
      <c r="R75" s="49" t="str">
        <f>IFERROR(__xludf.DUMMYFUNCTION("""COMPUTED_VALUE"""),"")</f>
        <v/>
      </c>
      <c r="S75" s="49" t="str">
        <f>IFERROR(__xludf.DUMMYFUNCTION("""COMPUTED_VALUE"""),"")</f>
        <v/>
      </c>
      <c r="T75" s="49" t="str">
        <f>IFERROR(__xludf.DUMMYFUNCTION("""COMPUTED_VALUE"""),"")</f>
        <v/>
      </c>
      <c r="U75" s="49" t="str">
        <f>IFERROR(__xludf.DUMMYFUNCTION("""COMPUTED_VALUE"""),"")</f>
        <v/>
      </c>
      <c r="V75" s="49" t="str">
        <f>IFERROR(__xludf.DUMMYFUNCTION("""COMPUTED_VALUE"""),"")</f>
        <v/>
      </c>
      <c r="W75" s="49" t="str">
        <f>IFERROR(__xludf.DUMMYFUNCTION("""COMPUTED_VALUE"""),"")</f>
        <v/>
      </c>
      <c r="X75" s="49" t="str">
        <f>IFERROR(__xludf.DUMMYFUNCTION("""COMPUTED_VALUE"""),"")</f>
        <v/>
      </c>
      <c r="Y75" s="49" t="str">
        <f>IFERROR(__xludf.DUMMYFUNCTION("""COMPUTED_VALUE"""),"")</f>
        <v/>
      </c>
      <c r="Z75" s="49"/>
      <c r="AA75" s="49"/>
      <c r="AB75" s="49"/>
      <c r="AC75" s="49"/>
      <c r="AD75" s="49"/>
      <c r="AE75" s="49"/>
      <c r="AF75" s="49"/>
      <c r="AG75" s="49"/>
      <c r="AH75" s="49"/>
      <c r="AI75" s="49"/>
      <c r="AJ75" s="49"/>
      <c r="AK75" s="49"/>
      <c r="AL75" s="49"/>
      <c r="AM75" s="49"/>
      <c r="AN75" s="49"/>
      <c r="AO75" s="49"/>
      <c r="AP75" s="49"/>
      <c r="AQ75" s="49"/>
      <c r="AR75" s="49"/>
      <c r="AS75" s="49"/>
      <c r="AT75" s="49"/>
      <c r="AU75" s="49"/>
      <c r="AV75" s="49"/>
      <c r="AW75" s="49"/>
      <c r="AX75" s="49"/>
    </row>
    <row r="76">
      <c r="A76" s="49"/>
      <c r="B76" s="49"/>
      <c r="C76" s="49" t="str">
        <f>IFERROR(__xludf.DUMMYFUNCTION("""COMPUTED_VALUE"""),"")</f>
        <v/>
      </c>
      <c r="D76" s="49" t="str">
        <f>IFERROR(__xludf.DUMMYFUNCTION("""COMPUTED_VALUE"""),"")</f>
        <v/>
      </c>
      <c r="E76" s="49" t="str">
        <f>IFERROR(__xludf.DUMMYFUNCTION("""COMPUTED_VALUE"""),"")</f>
        <v/>
      </c>
      <c r="F76" s="49" t="str">
        <f>IFERROR(__xludf.DUMMYFUNCTION("""COMPUTED_VALUE"""),"")</f>
        <v/>
      </c>
      <c r="G76" s="49" t="str">
        <f>IFERROR(__xludf.DUMMYFUNCTION("""COMPUTED_VALUE"""),"")</f>
        <v/>
      </c>
      <c r="H76" s="49" t="str">
        <f>IFERROR(__xludf.DUMMYFUNCTION("""COMPUTED_VALUE"""),"")</f>
        <v/>
      </c>
      <c r="I76" s="49" t="str">
        <f>IFERROR(__xludf.DUMMYFUNCTION("""COMPUTED_VALUE"""),"")</f>
        <v/>
      </c>
      <c r="J76" s="49" t="str">
        <f>IFERROR(__xludf.DUMMYFUNCTION("""COMPUTED_VALUE"""),"")</f>
        <v/>
      </c>
      <c r="K76" s="49" t="str">
        <f>IFERROR(__xludf.DUMMYFUNCTION("""COMPUTED_VALUE"""),"")</f>
        <v/>
      </c>
      <c r="L76" s="49" t="str">
        <f>IFERROR(__xludf.DUMMYFUNCTION("""COMPUTED_VALUE"""),"")</f>
        <v/>
      </c>
      <c r="M76" s="49" t="str">
        <f>IFERROR(__xludf.DUMMYFUNCTION("""COMPUTED_VALUE"""),"")</f>
        <v/>
      </c>
      <c r="N76" s="49" t="str">
        <f>IFERROR(__xludf.DUMMYFUNCTION("""COMPUTED_VALUE"""),"")</f>
        <v/>
      </c>
      <c r="O76" s="49" t="str">
        <f>IFERROR(__xludf.DUMMYFUNCTION("""COMPUTED_VALUE"""),"")</f>
        <v/>
      </c>
      <c r="P76" s="49" t="str">
        <f>IFERROR(__xludf.DUMMYFUNCTION("""COMPUTED_VALUE"""),"")</f>
        <v/>
      </c>
      <c r="Q76" s="49" t="str">
        <f>IFERROR(__xludf.DUMMYFUNCTION("""COMPUTED_VALUE"""),"")</f>
        <v/>
      </c>
      <c r="R76" s="49" t="str">
        <f>IFERROR(__xludf.DUMMYFUNCTION("""COMPUTED_VALUE"""),"")</f>
        <v/>
      </c>
      <c r="S76" s="49" t="str">
        <f>IFERROR(__xludf.DUMMYFUNCTION("""COMPUTED_VALUE"""),"")</f>
        <v/>
      </c>
      <c r="T76" s="49" t="str">
        <f>IFERROR(__xludf.DUMMYFUNCTION("""COMPUTED_VALUE"""),"")</f>
        <v/>
      </c>
      <c r="U76" s="49" t="str">
        <f>IFERROR(__xludf.DUMMYFUNCTION("""COMPUTED_VALUE"""),"")</f>
        <v/>
      </c>
      <c r="V76" s="49" t="str">
        <f>IFERROR(__xludf.DUMMYFUNCTION("""COMPUTED_VALUE"""),"")</f>
        <v/>
      </c>
      <c r="W76" s="49" t="str">
        <f>IFERROR(__xludf.DUMMYFUNCTION("""COMPUTED_VALUE"""),"")</f>
        <v/>
      </c>
      <c r="X76" s="49" t="str">
        <f>IFERROR(__xludf.DUMMYFUNCTION("""COMPUTED_VALUE"""),"")</f>
        <v/>
      </c>
      <c r="Y76" s="49" t="str">
        <f>IFERROR(__xludf.DUMMYFUNCTION("""COMPUTED_VALUE"""),"")</f>
        <v/>
      </c>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row>
    <row r="77">
      <c r="A77" s="49"/>
      <c r="B77" s="49"/>
      <c r="C77" s="49" t="str">
        <f>IFERROR(__xludf.DUMMYFUNCTION("""COMPUTED_VALUE"""),"")</f>
        <v/>
      </c>
      <c r="D77" s="49" t="str">
        <f>IFERROR(__xludf.DUMMYFUNCTION("""COMPUTED_VALUE"""),"")</f>
        <v/>
      </c>
      <c r="E77" s="49" t="str">
        <f>IFERROR(__xludf.DUMMYFUNCTION("""COMPUTED_VALUE"""),"")</f>
        <v/>
      </c>
      <c r="F77" s="49" t="str">
        <f>IFERROR(__xludf.DUMMYFUNCTION("""COMPUTED_VALUE"""),"")</f>
        <v/>
      </c>
      <c r="G77" s="49" t="str">
        <f>IFERROR(__xludf.DUMMYFUNCTION("""COMPUTED_VALUE"""),"")</f>
        <v/>
      </c>
      <c r="H77" s="49" t="str">
        <f>IFERROR(__xludf.DUMMYFUNCTION("""COMPUTED_VALUE"""),"")</f>
        <v/>
      </c>
      <c r="I77" s="49" t="str">
        <f>IFERROR(__xludf.DUMMYFUNCTION("""COMPUTED_VALUE"""),"")</f>
        <v/>
      </c>
      <c r="J77" s="49" t="str">
        <f>IFERROR(__xludf.DUMMYFUNCTION("""COMPUTED_VALUE"""),"")</f>
        <v/>
      </c>
      <c r="K77" s="49" t="str">
        <f>IFERROR(__xludf.DUMMYFUNCTION("""COMPUTED_VALUE"""),"")</f>
        <v/>
      </c>
      <c r="L77" s="49" t="str">
        <f>IFERROR(__xludf.DUMMYFUNCTION("""COMPUTED_VALUE"""),"")</f>
        <v/>
      </c>
      <c r="M77" s="49" t="str">
        <f>IFERROR(__xludf.DUMMYFUNCTION("""COMPUTED_VALUE"""),"")</f>
        <v/>
      </c>
      <c r="N77" s="49" t="str">
        <f>IFERROR(__xludf.DUMMYFUNCTION("""COMPUTED_VALUE"""),"")</f>
        <v/>
      </c>
      <c r="O77" s="49" t="str">
        <f>IFERROR(__xludf.DUMMYFUNCTION("""COMPUTED_VALUE"""),"")</f>
        <v/>
      </c>
      <c r="P77" s="49" t="str">
        <f>IFERROR(__xludf.DUMMYFUNCTION("""COMPUTED_VALUE"""),"")</f>
        <v/>
      </c>
      <c r="Q77" s="49" t="str">
        <f>IFERROR(__xludf.DUMMYFUNCTION("""COMPUTED_VALUE"""),"")</f>
        <v/>
      </c>
      <c r="R77" s="49" t="str">
        <f>IFERROR(__xludf.DUMMYFUNCTION("""COMPUTED_VALUE"""),"")</f>
        <v/>
      </c>
      <c r="S77" s="49" t="str">
        <f>IFERROR(__xludf.DUMMYFUNCTION("""COMPUTED_VALUE"""),"")</f>
        <v/>
      </c>
      <c r="T77" s="49" t="str">
        <f>IFERROR(__xludf.DUMMYFUNCTION("""COMPUTED_VALUE"""),"")</f>
        <v/>
      </c>
      <c r="U77" s="49" t="str">
        <f>IFERROR(__xludf.DUMMYFUNCTION("""COMPUTED_VALUE"""),"")</f>
        <v/>
      </c>
      <c r="V77" s="49" t="str">
        <f>IFERROR(__xludf.DUMMYFUNCTION("""COMPUTED_VALUE"""),"")</f>
        <v/>
      </c>
      <c r="W77" s="49" t="str">
        <f>IFERROR(__xludf.DUMMYFUNCTION("""COMPUTED_VALUE"""),"")</f>
        <v/>
      </c>
      <c r="X77" s="49" t="str">
        <f>IFERROR(__xludf.DUMMYFUNCTION("""COMPUTED_VALUE"""),"")</f>
        <v/>
      </c>
      <c r="Y77" s="49" t="str">
        <f>IFERROR(__xludf.DUMMYFUNCTION("""COMPUTED_VALUE"""),"")</f>
        <v/>
      </c>
      <c r="Z77" s="49"/>
      <c r="AA77" s="49"/>
      <c r="AB77" s="49"/>
      <c r="AC77" s="49"/>
      <c r="AD77" s="49"/>
      <c r="AE77" s="49"/>
      <c r="AF77" s="49"/>
      <c r="AG77" s="49"/>
      <c r="AH77" s="49"/>
      <c r="AI77" s="49"/>
      <c r="AJ77" s="49"/>
      <c r="AK77" s="49"/>
      <c r="AL77" s="49"/>
      <c r="AM77" s="49"/>
      <c r="AN77" s="49"/>
      <c r="AO77" s="49"/>
      <c r="AP77" s="49"/>
      <c r="AQ77" s="49"/>
      <c r="AR77" s="49"/>
      <c r="AS77" s="49"/>
      <c r="AT77" s="49"/>
      <c r="AU77" s="49"/>
      <c r="AV77" s="49"/>
      <c r="AW77" s="49"/>
      <c r="AX77" s="49"/>
    </row>
    <row r="78">
      <c r="A78" s="49"/>
      <c r="B78" s="49"/>
      <c r="C78" s="49" t="str">
        <f>IFERROR(__xludf.DUMMYFUNCTION("""COMPUTED_VALUE"""),"")</f>
        <v/>
      </c>
      <c r="D78" s="49" t="str">
        <f>IFERROR(__xludf.DUMMYFUNCTION("""COMPUTED_VALUE"""),"")</f>
        <v/>
      </c>
      <c r="E78" s="49" t="str">
        <f>IFERROR(__xludf.DUMMYFUNCTION("""COMPUTED_VALUE"""),"")</f>
        <v/>
      </c>
      <c r="F78" s="49" t="str">
        <f>IFERROR(__xludf.DUMMYFUNCTION("""COMPUTED_VALUE"""),"")</f>
        <v/>
      </c>
      <c r="G78" s="49" t="str">
        <f>IFERROR(__xludf.DUMMYFUNCTION("""COMPUTED_VALUE"""),"")</f>
        <v/>
      </c>
      <c r="H78" s="49" t="str">
        <f>IFERROR(__xludf.DUMMYFUNCTION("""COMPUTED_VALUE"""),"")</f>
        <v/>
      </c>
      <c r="I78" s="49" t="str">
        <f>IFERROR(__xludf.DUMMYFUNCTION("""COMPUTED_VALUE"""),"")</f>
        <v/>
      </c>
      <c r="J78" s="49" t="str">
        <f>IFERROR(__xludf.DUMMYFUNCTION("""COMPUTED_VALUE"""),"")</f>
        <v/>
      </c>
      <c r="K78" s="49" t="str">
        <f>IFERROR(__xludf.DUMMYFUNCTION("""COMPUTED_VALUE"""),"")</f>
        <v/>
      </c>
      <c r="L78" s="49" t="str">
        <f>IFERROR(__xludf.DUMMYFUNCTION("""COMPUTED_VALUE"""),"")</f>
        <v/>
      </c>
      <c r="M78" s="49" t="str">
        <f>IFERROR(__xludf.DUMMYFUNCTION("""COMPUTED_VALUE"""),"")</f>
        <v/>
      </c>
      <c r="N78" s="49" t="str">
        <f>IFERROR(__xludf.DUMMYFUNCTION("""COMPUTED_VALUE"""),"")</f>
        <v/>
      </c>
      <c r="O78" s="49" t="str">
        <f>IFERROR(__xludf.DUMMYFUNCTION("""COMPUTED_VALUE"""),"")</f>
        <v/>
      </c>
      <c r="P78" s="49" t="str">
        <f>IFERROR(__xludf.DUMMYFUNCTION("""COMPUTED_VALUE"""),"")</f>
        <v/>
      </c>
      <c r="Q78" s="49" t="str">
        <f>IFERROR(__xludf.DUMMYFUNCTION("""COMPUTED_VALUE"""),"")</f>
        <v/>
      </c>
      <c r="R78" s="49" t="str">
        <f>IFERROR(__xludf.DUMMYFUNCTION("""COMPUTED_VALUE"""),"")</f>
        <v/>
      </c>
      <c r="S78" s="49" t="str">
        <f>IFERROR(__xludf.DUMMYFUNCTION("""COMPUTED_VALUE"""),"")</f>
        <v/>
      </c>
      <c r="T78" s="49" t="str">
        <f>IFERROR(__xludf.DUMMYFUNCTION("""COMPUTED_VALUE"""),"")</f>
        <v/>
      </c>
      <c r="U78" s="49" t="str">
        <f>IFERROR(__xludf.DUMMYFUNCTION("""COMPUTED_VALUE"""),"")</f>
        <v/>
      </c>
      <c r="V78" s="49" t="str">
        <f>IFERROR(__xludf.DUMMYFUNCTION("""COMPUTED_VALUE"""),"")</f>
        <v/>
      </c>
      <c r="W78" s="49" t="str">
        <f>IFERROR(__xludf.DUMMYFUNCTION("""COMPUTED_VALUE"""),"")</f>
        <v/>
      </c>
      <c r="X78" s="49" t="str">
        <f>IFERROR(__xludf.DUMMYFUNCTION("""COMPUTED_VALUE"""),"")</f>
        <v/>
      </c>
      <c r="Y78" s="49" t="str">
        <f>IFERROR(__xludf.DUMMYFUNCTION("""COMPUTED_VALUE"""),"")</f>
        <v/>
      </c>
      <c r="Z78" s="49"/>
      <c r="AA78" s="49"/>
      <c r="AB78" s="49"/>
      <c r="AC78" s="49"/>
      <c r="AD78" s="49"/>
      <c r="AE78" s="49"/>
      <c r="AF78" s="49"/>
      <c r="AG78" s="49"/>
      <c r="AH78" s="49"/>
      <c r="AI78" s="49"/>
      <c r="AJ78" s="49"/>
      <c r="AK78" s="49"/>
      <c r="AL78" s="49"/>
      <c r="AM78" s="49"/>
      <c r="AN78" s="49"/>
      <c r="AO78" s="49"/>
      <c r="AP78" s="49"/>
      <c r="AQ78" s="49"/>
      <c r="AR78" s="49"/>
      <c r="AS78" s="49"/>
      <c r="AT78" s="49"/>
      <c r="AU78" s="49"/>
      <c r="AV78" s="49"/>
      <c r="AW78" s="49"/>
      <c r="AX78" s="49"/>
    </row>
    <row r="79">
      <c r="A79" s="49"/>
      <c r="B79" s="49"/>
      <c r="C79" s="49" t="str">
        <f>IFERROR(__xludf.DUMMYFUNCTION("""COMPUTED_VALUE"""),"")</f>
        <v/>
      </c>
      <c r="D79" s="49" t="str">
        <f>IFERROR(__xludf.DUMMYFUNCTION("""COMPUTED_VALUE"""),"")</f>
        <v/>
      </c>
      <c r="E79" s="49" t="str">
        <f>IFERROR(__xludf.DUMMYFUNCTION("""COMPUTED_VALUE"""),"")</f>
        <v/>
      </c>
      <c r="F79" s="49" t="str">
        <f>IFERROR(__xludf.DUMMYFUNCTION("""COMPUTED_VALUE"""),"")</f>
        <v/>
      </c>
      <c r="G79" s="49" t="str">
        <f>IFERROR(__xludf.DUMMYFUNCTION("""COMPUTED_VALUE"""),"")</f>
        <v/>
      </c>
      <c r="H79" s="49" t="str">
        <f>IFERROR(__xludf.DUMMYFUNCTION("""COMPUTED_VALUE"""),"")</f>
        <v/>
      </c>
      <c r="I79" s="49" t="str">
        <f>IFERROR(__xludf.DUMMYFUNCTION("""COMPUTED_VALUE"""),"")</f>
        <v/>
      </c>
      <c r="J79" s="49" t="str">
        <f>IFERROR(__xludf.DUMMYFUNCTION("""COMPUTED_VALUE"""),"")</f>
        <v/>
      </c>
      <c r="K79" s="49" t="str">
        <f>IFERROR(__xludf.DUMMYFUNCTION("""COMPUTED_VALUE"""),"")</f>
        <v/>
      </c>
      <c r="L79" s="49" t="str">
        <f>IFERROR(__xludf.DUMMYFUNCTION("""COMPUTED_VALUE"""),"")</f>
        <v/>
      </c>
      <c r="M79" s="49" t="str">
        <f>IFERROR(__xludf.DUMMYFUNCTION("""COMPUTED_VALUE"""),"")</f>
        <v/>
      </c>
      <c r="N79" s="49" t="str">
        <f>IFERROR(__xludf.DUMMYFUNCTION("""COMPUTED_VALUE"""),"")</f>
        <v/>
      </c>
      <c r="O79" s="49" t="str">
        <f>IFERROR(__xludf.DUMMYFUNCTION("""COMPUTED_VALUE"""),"")</f>
        <v/>
      </c>
      <c r="P79" s="49" t="str">
        <f>IFERROR(__xludf.DUMMYFUNCTION("""COMPUTED_VALUE"""),"")</f>
        <v/>
      </c>
      <c r="Q79" s="49" t="str">
        <f>IFERROR(__xludf.DUMMYFUNCTION("""COMPUTED_VALUE"""),"")</f>
        <v/>
      </c>
      <c r="R79" s="49" t="str">
        <f>IFERROR(__xludf.DUMMYFUNCTION("""COMPUTED_VALUE"""),"")</f>
        <v/>
      </c>
      <c r="S79" s="49" t="str">
        <f>IFERROR(__xludf.DUMMYFUNCTION("""COMPUTED_VALUE"""),"")</f>
        <v/>
      </c>
      <c r="T79" s="49" t="str">
        <f>IFERROR(__xludf.DUMMYFUNCTION("""COMPUTED_VALUE"""),"")</f>
        <v/>
      </c>
      <c r="U79" s="49" t="str">
        <f>IFERROR(__xludf.DUMMYFUNCTION("""COMPUTED_VALUE"""),"")</f>
        <v/>
      </c>
      <c r="V79" s="49" t="str">
        <f>IFERROR(__xludf.DUMMYFUNCTION("""COMPUTED_VALUE"""),"")</f>
        <v/>
      </c>
      <c r="W79" s="49" t="str">
        <f>IFERROR(__xludf.DUMMYFUNCTION("""COMPUTED_VALUE"""),"")</f>
        <v/>
      </c>
      <c r="X79" s="49" t="str">
        <f>IFERROR(__xludf.DUMMYFUNCTION("""COMPUTED_VALUE"""),"")</f>
        <v/>
      </c>
      <c r="Y79" s="49" t="str">
        <f>IFERROR(__xludf.DUMMYFUNCTION("""COMPUTED_VALUE"""),"")</f>
        <v/>
      </c>
      <c r="Z79" s="49"/>
      <c r="AA79" s="49"/>
      <c r="AB79" s="49"/>
      <c r="AC79" s="49"/>
      <c r="AD79" s="49"/>
      <c r="AE79" s="49"/>
      <c r="AF79" s="49"/>
      <c r="AG79" s="49"/>
      <c r="AH79" s="49"/>
      <c r="AI79" s="49"/>
      <c r="AJ79" s="49"/>
      <c r="AK79" s="49"/>
      <c r="AL79" s="49"/>
      <c r="AM79" s="49"/>
      <c r="AN79" s="49"/>
      <c r="AO79" s="49"/>
      <c r="AP79" s="49"/>
      <c r="AQ79" s="49"/>
      <c r="AR79" s="49"/>
      <c r="AS79" s="49"/>
      <c r="AT79" s="49"/>
      <c r="AU79" s="49"/>
      <c r="AV79" s="49"/>
      <c r="AW79" s="49"/>
      <c r="AX79" s="49"/>
    </row>
    <row r="80">
      <c r="A80" s="49"/>
      <c r="B80" s="49"/>
      <c r="C80" s="49" t="str">
        <f>IFERROR(__xludf.DUMMYFUNCTION("""COMPUTED_VALUE"""),"")</f>
        <v/>
      </c>
      <c r="D80" s="49" t="str">
        <f>IFERROR(__xludf.DUMMYFUNCTION("""COMPUTED_VALUE"""),"")</f>
        <v/>
      </c>
      <c r="E80" s="49" t="str">
        <f>IFERROR(__xludf.DUMMYFUNCTION("""COMPUTED_VALUE"""),"")</f>
        <v/>
      </c>
      <c r="F80" s="49" t="str">
        <f>IFERROR(__xludf.DUMMYFUNCTION("""COMPUTED_VALUE"""),"")</f>
        <v/>
      </c>
      <c r="G80" s="49" t="str">
        <f>IFERROR(__xludf.DUMMYFUNCTION("""COMPUTED_VALUE"""),"")</f>
        <v/>
      </c>
      <c r="H80" s="49" t="str">
        <f>IFERROR(__xludf.DUMMYFUNCTION("""COMPUTED_VALUE"""),"")</f>
        <v/>
      </c>
      <c r="I80" s="49" t="str">
        <f>IFERROR(__xludf.DUMMYFUNCTION("""COMPUTED_VALUE"""),"")</f>
        <v/>
      </c>
      <c r="J80" s="49" t="str">
        <f>IFERROR(__xludf.DUMMYFUNCTION("""COMPUTED_VALUE"""),"")</f>
        <v/>
      </c>
      <c r="K80" s="49" t="str">
        <f>IFERROR(__xludf.DUMMYFUNCTION("""COMPUTED_VALUE"""),"")</f>
        <v/>
      </c>
      <c r="L80" s="49" t="str">
        <f>IFERROR(__xludf.DUMMYFUNCTION("""COMPUTED_VALUE"""),"")</f>
        <v/>
      </c>
      <c r="M80" s="49" t="str">
        <f>IFERROR(__xludf.DUMMYFUNCTION("""COMPUTED_VALUE"""),"")</f>
        <v/>
      </c>
      <c r="N80" s="49" t="str">
        <f>IFERROR(__xludf.DUMMYFUNCTION("""COMPUTED_VALUE"""),"")</f>
        <v/>
      </c>
      <c r="O80" s="49" t="str">
        <f>IFERROR(__xludf.DUMMYFUNCTION("""COMPUTED_VALUE"""),"")</f>
        <v/>
      </c>
      <c r="P80" s="49" t="str">
        <f>IFERROR(__xludf.DUMMYFUNCTION("""COMPUTED_VALUE"""),"")</f>
        <v/>
      </c>
      <c r="Q80" s="49" t="str">
        <f>IFERROR(__xludf.DUMMYFUNCTION("""COMPUTED_VALUE"""),"")</f>
        <v/>
      </c>
      <c r="R80" s="49" t="str">
        <f>IFERROR(__xludf.DUMMYFUNCTION("""COMPUTED_VALUE"""),"")</f>
        <v/>
      </c>
      <c r="S80" s="49" t="str">
        <f>IFERROR(__xludf.DUMMYFUNCTION("""COMPUTED_VALUE"""),"")</f>
        <v/>
      </c>
      <c r="T80" s="49" t="str">
        <f>IFERROR(__xludf.DUMMYFUNCTION("""COMPUTED_VALUE"""),"")</f>
        <v/>
      </c>
      <c r="U80" s="49" t="str">
        <f>IFERROR(__xludf.DUMMYFUNCTION("""COMPUTED_VALUE"""),"")</f>
        <v/>
      </c>
      <c r="V80" s="49" t="str">
        <f>IFERROR(__xludf.DUMMYFUNCTION("""COMPUTED_VALUE"""),"")</f>
        <v/>
      </c>
      <c r="W80" s="49" t="str">
        <f>IFERROR(__xludf.DUMMYFUNCTION("""COMPUTED_VALUE"""),"")</f>
        <v/>
      </c>
      <c r="X80" s="49" t="str">
        <f>IFERROR(__xludf.DUMMYFUNCTION("""COMPUTED_VALUE"""),"")</f>
        <v/>
      </c>
      <c r="Y80" s="49" t="str">
        <f>IFERROR(__xludf.DUMMYFUNCTION("""COMPUTED_VALUE"""),"")</f>
        <v/>
      </c>
      <c r="Z80" s="49"/>
      <c r="AA80" s="49"/>
      <c r="AB80" s="49"/>
      <c r="AC80" s="49"/>
      <c r="AD80" s="49"/>
      <c r="AE80" s="49"/>
      <c r="AF80" s="49"/>
      <c r="AG80" s="49"/>
      <c r="AH80" s="49"/>
      <c r="AI80" s="49"/>
      <c r="AJ80" s="49"/>
      <c r="AK80" s="49"/>
      <c r="AL80" s="49"/>
      <c r="AM80" s="49"/>
      <c r="AN80" s="49"/>
      <c r="AO80" s="49"/>
      <c r="AP80" s="49"/>
      <c r="AQ80" s="49"/>
      <c r="AR80" s="49"/>
      <c r="AS80" s="49"/>
      <c r="AT80" s="49"/>
      <c r="AU80" s="49"/>
      <c r="AV80" s="49"/>
      <c r="AW80" s="49"/>
      <c r="AX80" s="49"/>
    </row>
    <row r="81">
      <c r="A81" s="49"/>
      <c r="B81" s="49"/>
      <c r="C81" s="49" t="str">
        <f>IFERROR(__xludf.DUMMYFUNCTION("""COMPUTED_VALUE"""),"")</f>
        <v/>
      </c>
      <c r="D81" s="49" t="str">
        <f>IFERROR(__xludf.DUMMYFUNCTION("""COMPUTED_VALUE"""),"")</f>
        <v/>
      </c>
      <c r="E81" s="49" t="str">
        <f>IFERROR(__xludf.DUMMYFUNCTION("""COMPUTED_VALUE"""),"")</f>
        <v/>
      </c>
      <c r="F81" s="49" t="str">
        <f>IFERROR(__xludf.DUMMYFUNCTION("""COMPUTED_VALUE"""),"")</f>
        <v/>
      </c>
      <c r="G81" s="49" t="str">
        <f>IFERROR(__xludf.DUMMYFUNCTION("""COMPUTED_VALUE"""),"")</f>
        <v/>
      </c>
      <c r="H81" s="49" t="str">
        <f>IFERROR(__xludf.DUMMYFUNCTION("""COMPUTED_VALUE"""),"")</f>
        <v/>
      </c>
      <c r="I81" s="49" t="str">
        <f>IFERROR(__xludf.DUMMYFUNCTION("""COMPUTED_VALUE"""),"")</f>
        <v/>
      </c>
      <c r="J81" s="49" t="str">
        <f>IFERROR(__xludf.DUMMYFUNCTION("""COMPUTED_VALUE"""),"")</f>
        <v/>
      </c>
      <c r="K81" s="49" t="str">
        <f>IFERROR(__xludf.DUMMYFUNCTION("""COMPUTED_VALUE"""),"")</f>
        <v/>
      </c>
      <c r="L81" s="49" t="str">
        <f>IFERROR(__xludf.DUMMYFUNCTION("""COMPUTED_VALUE"""),"")</f>
        <v/>
      </c>
      <c r="M81" s="49" t="str">
        <f>IFERROR(__xludf.DUMMYFUNCTION("""COMPUTED_VALUE"""),"")</f>
        <v/>
      </c>
      <c r="N81" s="49" t="str">
        <f>IFERROR(__xludf.DUMMYFUNCTION("""COMPUTED_VALUE"""),"")</f>
        <v/>
      </c>
      <c r="O81" s="49" t="str">
        <f>IFERROR(__xludf.DUMMYFUNCTION("""COMPUTED_VALUE"""),"")</f>
        <v/>
      </c>
      <c r="P81" s="49" t="str">
        <f>IFERROR(__xludf.DUMMYFUNCTION("""COMPUTED_VALUE"""),"")</f>
        <v/>
      </c>
      <c r="Q81" s="49" t="str">
        <f>IFERROR(__xludf.DUMMYFUNCTION("""COMPUTED_VALUE"""),"")</f>
        <v/>
      </c>
      <c r="R81" s="49" t="str">
        <f>IFERROR(__xludf.DUMMYFUNCTION("""COMPUTED_VALUE"""),"")</f>
        <v/>
      </c>
      <c r="S81" s="49" t="str">
        <f>IFERROR(__xludf.DUMMYFUNCTION("""COMPUTED_VALUE"""),"")</f>
        <v/>
      </c>
      <c r="T81" s="49" t="str">
        <f>IFERROR(__xludf.DUMMYFUNCTION("""COMPUTED_VALUE"""),"")</f>
        <v/>
      </c>
      <c r="U81" s="49" t="str">
        <f>IFERROR(__xludf.DUMMYFUNCTION("""COMPUTED_VALUE"""),"")</f>
        <v/>
      </c>
      <c r="V81" s="49" t="str">
        <f>IFERROR(__xludf.DUMMYFUNCTION("""COMPUTED_VALUE"""),"")</f>
        <v/>
      </c>
      <c r="W81" s="49" t="str">
        <f>IFERROR(__xludf.DUMMYFUNCTION("""COMPUTED_VALUE"""),"")</f>
        <v/>
      </c>
      <c r="X81" s="49" t="str">
        <f>IFERROR(__xludf.DUMMYFUNCTION("""COMPUTED_VALUE"""),"")</f>
        <v/>
      </c>
      <c r="Y81" s="49" t="str">
        <f>IFERROR(__xludf.DUMMYFUNCTION("""COMPUTED_VALUE"""),"")</f>
        <v/>
      </c>
      <c r="Z81" s="49"/>
      <c r="AA81" s="49"/>
      <c r="AB81" s="49"/>
      <c r="AC81" s="49"/>
      <c r="AD81" s="49"/>
      <c r="AE81" s="49"/>
      <c r="AF81" s="49"/>
      <c r="AG81" s="49"/>
      <c r="AH81" s="49"/>
      <c r="AI81" s="49"/>
      <c r="AJ81" s="49"/>
      <c r="AK81" s="49"/>
      <c r="AL81" s="49"/>
      <c r="AM81" s="49"/>
      <c r="AN81" s="49"/>
      <c r="AO81" s="49"/>
      <c r="AP81" s="49"/>
      <c r="AQ81" s="49"/>
      <c r="AR81" s="49"/>
      <c r="AS81" s="49"/>
      <c r="AT81" s="49"/>
      <c r="AU81" s="49"/>
      <c r="AV81" s="49"/>
      <c r="AW81" s="49"/>
      <c r="AX81" s="49"/>
    </row>
    <row r="82">
      <c r="A82" s="49"/>
      <c r="B82" s="49"/>
      <c r="C82" s="49" t="str">
        <f>IFERROR(__xludf.DUMMYFUNCTION("""COMPUTED_VALUE"""),"")</f>
        <v/>
      </c>
      <c r="D82" s="49" t="str">
        <f>IFERROR(__xludf.DUMMYFUNCTION("""COMPUTED_VALUE"""),"")</f>
        <v/>
      </c>
      <c r="E82" s="49" t="str">
        <f>IFERROR(__xludf.DUMMYFUNCTION("""COMPUTED_VALUE"""),"")</f>
        <v/>
      </c>
      <c r="F82" s="49" t="str">
        <f>IFERROR(__xludf.DUMMYFUNCTION("""COMPUTED_VALUE"""),"")</f>
        <v/>
      </c>
      <c r="G82" s="49" t="str">
        <f>IFERROR(__xludf.DUMMYFUNCTION("""COMPUTED_VALUE"""),"")</f>
        <v/>
      </c>
      <c r="H82" s="49" t="str">
        <f>IFERROR(__xludf.DUMMYFUNCTION("""COMPUTED_VALUE"""),"")</f>
        <v/>
      </c>
      <c r="I82" s="49" t="str">
        <f>IFERROR(__xludf.DUMMYFUNCTION("""COMPUTED_VALUE"""),"")</f>
        <v/>
      </c>
      <c r="J82" s="49" t="str">
        <f>IFERROR(__xludf.DUMMYFUNCTION("""COMPUTED_VALUE"""),"")</f>
        <v/>
      </c>
      <c r="K82" s="49" t="str">
        <f>IFERROR(__xludf.DUMMYFUNCTION("""COMPUTED_VALUE"""),"")</f>
        <v/>
      </c>
      <c r="L82" s="49" t="str">
        <f>IFERROR(__xludf.DUMMYFUNCTION("""COMPUTED_VALUE"""),"")</f>
        <v/>
      </c>
      <c r="M82" s="49" t="str">
        <f>IFERROR(__xludf.DUMMYFUNCTION("""COMPUTED_VALUE"""),"")</f>
        <v/>
      </c>
      <c r="N82" s="49" t="str">
        <f>IFERROR(__xludf.DUMMYFUNCTION("""COMPUTED_VALUE"""),"")</f>
        <v/>
      </c>
      <c r="O82" s="49" t="str">
        <f>IFERROR(__xludf.DUMMYFUNCTION("""COMPUTED_VALUE"""),"")</f>
        <v/>
      </c>
      <c r="P82" s="49" t="str">
        <f>IFERROR(__xludf.DUMMYFUNCTION("""COMPUTED_VALUE"""),"")</f>
        <v/>
      </c>
      <c r="Q82" s="49" t="str">
        <f>IFERROR(__xludf.DUMMYFUNCTION("""COMPUTED_VALUE"""),"")</f>
        <v/>
      </c>
      <c r="R82" s="49" t="str">
        <f>IFERROR(__xludf.DUMMYFUNCTION("""COMPUTED_VALUE"""),"")</f>
        <v/>
      </c>
      <c r="S82" s="49" t="str">
        <f>IFERROR(__xludf.DUMMYFUNCTION("""COMPUTED_VALUE"""),"")</f>
        <v/>
      </c>
      <c r="T82" s="49" t="str">
        <f>IFERROR(__xludf.DUMMYFUNCTION("""COMPUTED_VALUE"""),"")</f>
        <v/>
      </c>
      <c r="U82" s="49" t="str">
        <f>IFERROR(__xludf.DUMMYFUNCTION("""COMPUTED_VALUE"""),"")</f>
        <v/>
      </c>
      <c r="V82" s="49" t="str">
        <f>IFERROR(__xludf.DUMMYFUNCTION("""COMPUTED_VALUE"""),"")</f>
        <v/>
      </c>
      <c r="W82" s="49" t="str">
        <f>IFERROR(__xludf.DUMMYFUNCTION("""COMPUTED_VALUE"""),"")</f>
        <v/>
      </c>
      <c r="X82" s="49" t="str">
        <f>IFERROR(__xludf.DUMMYFUNCTION("""COMPUTED_VALUE"""),"")</f>
        <v/>
      </c>
      <c r="Y82" s="49" t="str">
        <f>IFERROR(__xludf.DUMMYFUNCTION("""COMPUTED_VALUE"""),"")</f>
        <v/>
      </c>
      <c r="Z82" s="49"/>
      <c r="AA82" s="49"/>
      <c r="AB82" s="49"/>
      <c r="AC82" s="49"/>
      <c r="AD82" s="49"/>
      <c r="AE82" s="49"/>
      <c r="AF82" s="49"/>
      <c r="AG82" s="49"/>
      <c r="AH82" s="49"/>
      <c r="AI82" s="49"/>
      <c r="AJ82" s="49"/>
      <c r="AK82" s="49"/>
      <c r="AL82" s="49"/>
      <c r="AM82" s="49"/>
      <c r="AN82" s="49"/>
      <c r="AO82" s="49"/>
      <c r="AP82" s="49"/>
      <c r="AQ82" s="49"/>
      <c r="AR82" s="49"/>
      <c r="AS82" s="49"/>
      <c r="AT82" s="49"/>
      <c r="AU82" s="49"/>
      <c r="AV82" s="49"/>
      <c r="AW82" s="49"/>
      <c r="AX82" s="49"/>
    </row>
    <row r="83">
      <c r="A83" s="49"/>
      <c r="B83" s="49"/>
      <c r="C83" s="49" t="str">
        <f>IFERROR(__xludf.DUMMYFUNCTION("""COMPUTED_VALUE"""),"")</f>
        <v/>
      </c>
      <c r="D83" s="49" t="str">
        <f>IFERROR(__xludf.DUMMYFUNCTION("""COMPUTED_VALUE"""),"")</f>
        <v/>
      </c>
      <c r="E83" s="49" t="str">
        <f>IFERROR(__xludf.DUMMYFUNCTION("""COMPUTED_VALUE"""),"")</f>
        <v/>
      </c>
      <c r="F83" s="49" t="str">
        <f>IFERROR(__xludf.DUMMYFUNCTION("""COMPUTED_VALUE"""),"")</f>
        <v/>
      </c>
      <c r="G83" s="49" t="str">
        <f>IFERROR(__xludf.DUMMYFUNCTION("""COMPUTED_VALUE"""),"")</f>
        <v/>
      </c>
      <c r="H83" s="49" t="str">
        <f>IFERROR(__xludf.DUMMYFUNCTION("""COMPUTED_VALUE"""),"")</f>
        <v/>
      </c>
      <c r="I83" s="49" t="str">
        <f>IFERROR(__xludf.DUMMYFUNCTION("""COMPUTED_VALUE"""),"")</f>
        <v/>
      </c>
      <c r="J83" s="49" t="str">
        <f>IFERROR(__xludf.DUMMYFUNCTION("""COMPUTED_VALUE"""),"")</f>
        <v/>
      </c>
      <c r="K83" s="49" t="str">
        <f>IFERROR(__xludf.DUMMYFUNCTION("""COMPUTED_VALUE"""),"")</f>
        <v/>
      </c>
      <c r="L83" s="49" t="str">
        <f>IFERROR(__xludf.DUMMYFUNCTION("""COMPUTED_VALUE"""),"")</f>
        <v/>
      </c>
      <c r="M83" s="49" t="str">
        <f>IFERROR(__xludf.DUMMYFUNCTION("""COMPUTED_VALUE"""),"")</f>
        <v/>
      </c>
      <c r="N83" s="49" t="str">
        <f>IFERROR(__xludf.DUMMYFUNCTION("""COMPUTED_VALUE"""),"")</f>
        <v/>
      </c>
      <c r="O83" s="49" t="str">
        <f>IFERROR(__xludf.DUMMYFUNCTION("""COMPUTED_VALUE"""),"")</f>
        <v/>
      </c>
      <c r="P83" s="49" t="str">
        <f>IFERROR(__xludf.DUMMYFUNCTION("""COMPUTED_VALUE"""),"")</f>
        <v/>
      </c>
      <c r="Q83" s="49" t="str">
        <f>IFERROR(__xludf.DUMMYFUNCTION("""COMPUTED_VALUE"""),"")</f>
        <v/>
      </c>
      <c r="R83" s="49" t="str">
        <f>IFERROR(__xludf.DUMMYFUNCTION("""COMPUTED_VALUE"""),"")</f>
        <v/>
      </c>
      <c r="S83" s="49" t="str">
        <f>IFERROR(__xludf.DUMMYFUNCTION("""COMPUTED_VALUE"""),"")</f>
        <v/>
      </c>
      <c r="T83" s="49" t="str">
        <f>IFERROR(__xludf.DUMMYFUNCTION("""COMPUTED_VALUE"""),"")</f>
        <v/>
      </c>
      <c r="U83" s="49" t="str">
        <f>IFERROR(__xludf.DUMMYFUNCTION("""COMPUTED_VALUE"""),"")</f>
        <v/>
      </c>
      <c r="V83" s="49" t="str">
        <f>IFERROR(__xludf.DUMMYFUNCTION("""COMPUTED_VALUE"""),"")</f>
        <v/>
      </c>
      <c r="W83" s="49" t="str">
        <f>IFERROR(__xludf.DUMMYFUNCTION("""COMPUTED_VALUE"""),"")</f>
        <v/>
      </c>
      <c r="X83" s="49" t="str">
        <f>IFERROR(__xludf.DUMMYFUNCTION("""COMPUTED_VALUE"""),"")</f>
        <v/>
      </c>
      <c r="Y83" s="49" t="str">
        <f>IFERROR(__xludf.DUMMYFUNCTION("""COMPUTED_VALUE"""),"")</f>
        <v/>
      </c>
      <c r="Z83" s="49"/>
      <c r="AA83" s="49"/>
      <c r="AB83" s="49"/>
      <c r="AC83" s="49"/>
      <c r="AD83" s="49"/>
      <c r="AE83" s="49"/>
      <c r="AF83" s="49"/>
      <c r="AG83" s="49"/>
      <c r="AH83" s="49"/>
      <c r="AI83" s="49"/>
      <c r="AJ83" s="49"/>
      <c r="AK83" s="49"/>
      <c r="AL83" s="49"/>
      <c r="AM83" s="49"/>
      <c r="AN83" s="49"/>
      <c r="AO83" s="49"/>
      <c r="AP83" s="49"/>
      <c r="AQ83" s="49"/>
      <c r="AR83" s="49"/>
      <c r="AS83" s="49"/>
      <c r="AT83" s="49"/>
      <c r="AU83" s="49"/>
      <c r="AV83" s="49"/>
      <c r="AW83" s="49"/>
      <c r="AX83" s="49"/>
    </row>
    <row r="84">
      <c r="A84" s="49"/>
      <c r="B84" s="49"/>
      <c r="C84" s="49" t="str">
        <f>IFERROR(__xludf.DUMMYFUNCTION("""COMPUTED_VALUE"""),"")</f>
        <v/>
      </c>
      <c r="D84" s="49" t="str">
        <f>IFERROR(__xludf.DUMMYFUNCTION("""COMPUTED_VALUE"""),"")</f>
        <v/>
      </c>
      <c r="E84" s="49" t="str">
        <f>IFERROR(__xludf.DUMMYFUNCTION("""COMPUTED_VALUE"""),"")</f>
        <v/>
      </c>
      <c r="F84" s="49" t="str">
        <f>IFERROR(__xludf.DUMMYFUNCTION("""COMPUTED_VALUE"""),"")</f>
        <v/>
      </c>
      <c r="G84" s="49" t="str">
        <f>IFERROR(__xludf.DUMMYFUNCTION("""COMPUTED_VALUE"""),"")</f>
        <v/>
      </c>
      <c r="H84" s="49" t="str">
        <f>IFERROR(__xludf.DUMMYFUNCTION("""COMPUTED_VALUE"""),"")</f>
        <v/>
      </c>
      <c r="I84" s="49" t="str">
        <f>IFERROR(__xludf.DUMMYFUNCTION("""COMPUTED_VALUE"""),"")</f>
        <v/>
      </c>
      <c r="J84" s="49" t="str">
        <f>IFERROR(__xludf.DUMMYFUNCTION("""COMPUTED_VALUE"""),"")</f>
        <v/>
      </c>
      <c r="K84" s="49" t="str">
        <f>IFERROR(__xludf.DUMMYFUNCTION("""COMPUTED_VALUE"""),"")</f>
        <v/>
      </c>
      <c r="L84" s="49" t="str">
        <f>IFERROR(__xludf.DUMMYFUNCTION("""COMPUTED_VALUE"""),"")</f>
        <v/>
      </c>
      <c r="M84" s="49" t="str">
        <f>IFERROR(__xludf.DUMMYFUNCTION("""COMPUTED_VALUE"""),"")</f>
        <v/>
      </c>
      <c r="N84" s="49" t="str">
        <f>IFERROR(__xludf.DUMMYFUNCTION("""COMPUTED_VALUE"""),"")</f>
        <v/>
      </c>
      <c r="O84" s="49" t="str">
        <f>IFERROR(__xludf.DUMMYFUNCTION("""COMPUTED_VALUE"""),"")</f>
        <v/>
      </c>
      <c r="P84" s="49" t="str">
        <f>IFERROR(__xludf.DUMMYFUNCTION("""COMPUTED_VALUE"""),"")</f>
        <v/>
      </c>
      <c r="Q84" s="49" t="str">
        <f>IFERROR(__xludf.DUMMYFUNCTION("""COMPUTED_VALUE"""),"")</f>
        <v/>
      </c>
      <c r="R84" s="49" t="str">
        <f>IFERROR(__xludf.DUMMYFUNCTION("""COMPUTED_VALUE"""),"")</f>
        <v/>
      </c>
      <c r="S84" s="49" t="str">
        <f>IFERROR(__xludf.DUMMYFUNCTION("""COMPUTED_VALUE"""),"")</f>
        <v/>
      </c>
      <c r="T84" s="49" t="str">
        <f>IFERROR(__xludf.DUMMYFUNCTION("""COMPUTED_VALUE"""),"")</f>
        <v/>
      </c>
      <c r="U84" s="49" t="str">
        <f>IFERROR(__xludf.DUMMYFUNCTION("""COMPUTED_VALUE"""),"")</f>
        <v/>
      </c>
      <c r="V84" s="49" t="str">
        <f>IFERROR(__xludf.DUMMYFUNCTION("""COMPUTED_VALUE"""),"")</f>
        <v/>
      </c>
      <c r="W84" s="49" t="str">
        <f>IFERROR(__xludf.DUMMYFUNCTION("""COMPUTED_VALUE"""),"")</f>
        <v/>
      </c>
      <c r="X84" s="49" t="str">
        <f>IFERROR(__xludf.DUMMYFUNCTION("""COMPUTED_VALUE"""),"")</f>
        <v/>
      </c>
      <c r="Y84" s="49" t="str">
        <f>IFERROR(__xludf.DUMMYFUNCTION("""COMPUTED_VALUE"""),"")</f>
        <v/>
      </c>
      <c r="Z84" s="49"/>
      <c r="AA84" s="49"/>
      <c r="AB84" s="49"/>
      <c r="AC84" s="49"/>
      <c r="AD84" s="49"/>
      <c r="AE84" s="49"/>
      <c r="AF84" s="49"/>
      <c r="AG84" s="49"/>
      <c r="AH84" s="49"/>
      <c r="AI84" s="49"/>
      <c r="AJ84" s="49"/>
      <c r="AK84" s="49"/>
      <c r="AL84" s="49"/>
      <c r="AM84" s="49"/>
      <c r="AN84" s="49"/>
      <c r="AO84" s="49"/>
      <c r="AP84" s="49"/>
      <c r="AQ84" s="49"/>
      <c r="AR84" s="49"/>
      <c r="AS84" s="49"/>
      <c r="AT84" s="49"/>
      <c r="AU84" s="49"/>
      <c r="AV84" s="49"/>
      <c r="AW84" s="49"/>
      <c r="AX84" s="49"/>
    </row>
    <row r="85">
      <c r="A85" s="49"/>
      <c r="B85" s="49"/>
      <c r="C85" s="49" t="str">
        <f>IFERROR(__xludf.DUMMYFUNCTION("""COMPUTED_VALUE"""),"")</f>
        <v/>
      </c>
      <c r="D85" s="49" t="str">
        <f>IFERROR(__xludf.DUMMYFUNCTION("""COMPUTED_VALUE"""),"")</f>
        <v/>
      </c>
      <c r="E85" s="49" t="str">
        <f>IFERROR(__xludf.DUMMYFUNCTION("""COMPUTED_VALUE"""),"")</f>
        <v/>
      </c>
      <c r="F85" s="49" t="str">
        <f>IFERROR(__xludf.DUMMYFUNCTION("""COMPUTED_VALUE"""),"")</f>
        <v/>
      </c>
      <c r="G85" s="49" t="str">
        <f>IFERROR(__xludf.DUMMYFUNCTION("""COMPUTED_VALUE"""),"")</f>
        <v/>
      </c>
      <c r="H85" s="49" t="str">
        <f>IFERROR(__xludf.DUMMYFUNCTION("""COMPUTED_VALUE"""),"")</f>
        <v/>
      </c>
      <c r="I85" s="49" t="str">
        <f>IFERROR(__xludf.DUMMYFUNCTION("""COMPUTED_VALUE"""),"")</f>
        <v/>
      </c>
      <c r="J85" s="49" t="str">
        <f>IFERROR(__xludf.DUMMYFUNCTION("""COMPUTED_VALUE"""),"")</f>
        <v/>
      </c>
      <c r="K85" s="49" t="str">
        <f>IFERROR(__xludf.DUMMYFUNCTION("""COMPUTED_VALUE"""),"")</f>
        <v/>
      </c>
      <c r="L85" s="49" t="str">
        <f>IFERROR(__xludf.DUMMYFUNCTION("""COMPUTED_VALUE"""),"")</f>
        <v/>
      </c>
      <c r="M85" s="49" t="str">
        <f>IFERROR(__xludf.DUMMYFUNCTION("""COMPUTED_VALUE"""),"")</f>
        <v/>
      </c>
      <c r="N85" s="49" t="str">
        <f>IFERROR(__xludf.DUMMYFUNCTION("""COMPUTED_VALUE"""),"")</f>
        <v/>
      </c>
      <c r="O85" s="49" t="str">
        <f>IFERROR(__xludf.DUMMYFUNCTION("""COMPUTED_VALUE"""),"")</f>
        <v/>
      </c>
      <c r="P85" s="49" t="str">
        <f>IFERROR(__xludf.DUMMYFUNCTION("""COMPUTED_VALUE"""),"")</f>
        <v/>
      </c>
      <c r="Q85" s="49" t="str">
        <f>IFERROR(__xludf.DUMMYFUNCTION("""COMPUTED_VALUE"""),"")</f>
        <v/>
      </c>
      <c r="R85" s="49" t="str">
        <f>IFERROR(__xludf.DUMMYFUNCTION("""COMPUTED_VALUE"""),"")</f>
        <v/>
      </c>
      <c r="S85" s="49" t="str">
        <f>IFERROR(__xludf.DUMMYFUNCTION("""COMPUTED_VALUE"""),"")</f>
        <v/>
      </c>
      <c r="T85" s="49" t="str">
        <f>IFERROR(__xludf.DUMMYFUNCTION("""COMPUTED_VALUE"""),"")</f>
        <v/>
      </c>
      <c r="U85" s="49" t="str">
        <f>IFERROR(__xludf.DUMMYFUNCTION("""COMPUTED_VALUE"""),"")</f>
        <v/>
      </c>
      <c r="V85" s="49" t="str">
        <f>IFERROR(__xludf.DUMMYFUNCTION("""COMPUTED_VALUE"""),"")</f>
        <v/>
      </c>
      <c r="W85" s="49" t="str">
        <f>IFERROR(__xludf.DUMMYFUNCTION("""COMPUTED_VALUE"""),"")</f>
        <v/>
      </c>
      <c r="X85" s="49" t="str">
        <f>IFERROR(__xludf.DUMMYFUNCTION("""COMPUTED_VALUE"""),"")</f>
        <v/>
      </c>
      <c r="Y85" s="49" t="str">
        <f>IFERROR(__xludf.DUMMYFUNCTION("""COMPUTED_VALUE"""),"")</f>
        <v/>
      </c>
      <c r="Z85" s="49"/>
      <c r="AA85" s="49"/>
      <c r="AB85" s="49"/>
      <c r="AC85" s="49"/>
      <c r="AD85" s="49"/>
      <c r="AE85" s="49"/>
      <c r="AF85" s="49"/>
      <c r="AG85" s="49"/>
      <c r="AH85" s="49"/>
      <c r="AI85" s="49"/>
      <c r="AJ85" s="49"/>
      <c r="AK85" s="49"/>
      <c r="AL85" s="49"/>
      <c r="AM85" s="49"/>
      <c r="AN85" s="49"/>
      <c r="AO85" s="49"/>
      <c r="AP85" s="49"/>
      <c r="AQ85" s="49"/>
      <c r="AR85" s="49"/>
      <c r="AS85" s="49"/>
      <c r="AT85" s="49"/>
      <c r="AU85" s="49"/>
      <c r="AV85" s="49"/>
      <c r="AW85" s="49"/>
      <c r="AX85" s="49"/>
    </row>
    <row r="86">
      <c r="A86" s="49"/>
      <c r="B86" s="49"/>
      <c r="C86" s="49" t="str">
        <f>IFERROR(__xludf.DUMMYFUNCTION("""COMPUTED_VALUE"""),"")</f>
        <v/>
      </c>
      <c r="D86" s="49" t="str">
        <f>IFERROR(__xludf.DUMMYFUNCTION("""COMPUTED_VALUE"""),"")</f>
        <v/>
      </c>
      <c r="E86" s="49" t="str">
        <f>IFERROR(__xludf.DUMMYFUNCTION("""COMPUTED_VALUE"""),"")</f>
        <v/>
      </c>
      <c r="F86" s="49" t="str">
        <f>IFERROR(__xludf.DUMMYFUNCTION("""COMPUTED_VALUE"""),"")</f>
        <v/>
      </c>
      <c r="G86" s="49" t="str">
        <f>IFERROR(__xludf.DUMMYFUNCTION("""COMPUTED_VALUE"""),"")</f>
        <v/>
      </c>
      <c r="H86" s="49" t="str">
        <f>IFERROR(__xludf.DUMMYFUNCTION("""COMPUTED_VALUE"""),"")</f>
        <v/>
      </c>
      <c r="I86" s="49" t="str">
        <f>IFERROR(__xludf.DUMMYFUNCTION("""COMPUTED_VALUE"""),"")</f>
        <v/>
      </c>
      <c r="J86" s="49" t="str">
        <f>IFERROR(__xludf.DUMMYFUNCTION("""COMPUTED_VALUE"""),"")</f>
        <v/>
      </c>
      <c r="K86" s="49" t="str">
        <f>IFERROR(__xludf.DUMMYFUNCTION("""COMPUTED_VALUE"""),"")</f>
        <v/>
      </c>
      <c r="L86" s="49" t="str">
        <f>IFERROR(__xludf.DUMMYFUNCTION("""COMPUTED_VALUE"""),"")</f>
        <v/>
      </c>
      <c r="M86" s="49" t="str">
        <f>IFERROR(__xludf.DUMMYFUNCTION("""COMPUTED_VALUE"""),"")</f>
        <v/>
      </c>
      <c r="N86" s="49" t="str">
        <f>IFERROR(__xludf.DUMMYFUNCTION("""COMPUTED_VALUE"""),"")</f>
        <v/>
      </c>
      <c r="O86" s="49" t="str">
        <f>IFERROR(__xludf.DUMMYFUNCTION("""COMPUTED_VALUE"""),"")</f>
        <v/>
      </c>
      <c r="P86" s="49" t="str">
        <f>IFERROR(__xludf.DUMMYFUNCTION("""COMPUTED_VALUE"""),"")</f>
        <v/>
      </c>
      <c r="Q86" s="49" t="str">
        <f>IFERROR(__xludf.DUMMYFUNCTION("""COMPUTED_VALUE"""),"")</f>
        <v/>
      </c>
      <c r="R86" s="49" t="str">
        <f>IFERROR(__xludf.DUMMYFUNCTION("""COMPUTED_VALUE"""),"")</f>
        <v/>
      </c>
      <c r="S86" s="49" t="str">
        <f>IFERROR(__xludf.DUMMYFUNCTION("""COMPUTED_VALUE"""),"")</f>
        <v/>
      </c>
      <c r="T86" s="49" t="str">
        <f>IFERROR(__xludf.DUMMYFUNCTION("""COMPUTED_VALUE"""),"")</f>
        <v/>
      </c>
      <c r="U86" s="49" t="str">
        <f>IFERROR(__xludf.DUMMYFUNCTION("""COMPUTED_VALUE"""),"")</f>
        <v/>
      </c>
      <c r="V86" s="49" t="str">
        <f>IFERROR(__xludf.DUMMYFUNCTION("""COMPUTED_VALUE"""),"")</f>
        <v/>
      </c>
      <c r="W86" s="49" t="str">
        <f>IFERROR(__xludf.DUMMYFUNCTION("""COMPUTED_VALUE"""),"")</f>
        <v/>
      </c>
      <c r="X86" s="49" t="str">
        <f>IFERROR(__xludf.DUMMYFUNCTION("""COMPUTED_VALUE"""),"")</f>
        <v/>
      </c>
      <c r="Y86" s="49" t="str">
        <f>IFERROR(__xludf.DUMMYFUNCTION("""COMPUTED_VALUE"""),"")</f>
        <v/>
      </c>
      <c r="Z86" s="49"/>
      <c r="AA86" s="49"/>
      <c r="AB86" s="49"/>
      <c r="AC86" s="49"/>
      <c r="AD86" s="49"/>
      <c r="AE86" s="49"/>
      <c r="AF86" s="49"/>
      <c r="AG86" s="49"/>
      <c r="AH86" s="49"/>
      <c r="AI86" s="49"/>
      <c r="AJ86" s="49"/>
      <c r="AK86" s="49"/>
      <c r="AL86" s="49"/>
      <c r="AM86" s="49"/>
      <c r="AN86" s="49"/>
      <c r="AO86" s="49"/>
      <c r="AP86" s="49"/>
      <c r="AQ86" s="49"/>
      <c r="AR86" s="49"/>
      <c r="AS86" s="49"/>
      <c r="AT86" s="49"/>
      <c r="AU86" s="49"/>
      <c r="AV86" s="49"/>
      <c r="AW86" s="49"/>
      <c r="AX86" s="49"/>
    </row>
    <row r="87">
      <c r="A87" s="49"/>
      <c r="B87" s="49"/>
      <c r="C87" s="49" t="str">
        <f>IFERROR(__xludf.DUMMYFUNCTION("""COMPUTED_VALUE"""),"")</f>
        <v/>
      </c>
      <c r="D87" s="49" t="str">
        <f>IFERROR(__xludf.DUMMYFUNCTION("""COMPUTED_VALUE"""),"")</f>
        <v/>
      </c>
      <c r="E87" s="49" t="str">
        <f>IFERROR(__xludf.DUMMYFUNCTION("""COMPUTED_VALUE"""),"")</f>
        <v/>
      </c>
      <c r="F87" s="49" t="str">
        <f>IFERROR(__xludf.DUMMYFUNCTION("""COMPUTED_VALUE"""),"")</f>
        <v/>
      </c>
      <c r="G87" s="49" t="str">
        <f>IFERROR(__xludf.DUMMYFUNCTION("""COMPUTED_VALUE"""),"")</f>
        <v/>
      </c>
      <c r="H87" s="49" t="str">
        <f>IFERROR(__xludf.DUMMYFUNCTION("""COMPUTED_VALUE"""),"")</f>
        <v/>
      </c>
      <c r="I87" s="49" t="str">
        <f>IFERROR(__xludf.DUMMYFUNCTION("""COMPUTED_VALUE"""),"")</f>
        <v/>
      </c>
      <c r="J87" s="49" t="str">
        <f>IFERROR(__xludf.DUMMYFUNCTION("""COMPUTED_VALUE"""),"")</f>
        <v/>
      </c>
      <c r="K87" s="49" t="str">
        <f>IFERROR(__xludf.DUMMYFUNCTION("""COMPUTED_VALUE"""),"")</f>
        <v/>
      </c>
      <c r="L87" s="49" t="str">
        <f>IFERROR(__xludf.DUMMYFUNCTION("""COMPUTED_VALUE"""),"")</f>
        <v/>
      </c>
      <c r="M87" s="49" t="str">
        <f>IFERROR(__xludf.DUMMYFUNCTION("""COMPUTED_VALUE"""),"")</f>
        <v/>
      </c>
      <c r="N87" s="49" t="str">
        <f>IFERROR(__xludf.DUMMYFUNCTION("""COMPUTED_VALUE"""),"")</f>
        <v/>
      </c>
      <c r="O87" s="49" t="str">
        <f>IFERROR(__xludf.DUMMYFUNCTION("""COMPUTED_VALUE"""),"")</f>
        <v/>
      </c>
      <c r="P87" s="49" t="str">
        <f>IFERROR(__xludf.DUMMYFUNCTION("""COMPUTED_VALUE"""),"")</f>
        <v/>
      </c>
      <c r="Q87" s="49" t="str">
        <f>IFERROR(__xludf.DUMMYFUNCTION("""COMPUTED_VALUE"""),"")</f>
        <v/>
      </c>
      <c r="R87" s="49" t="str">
        <f>IFERROR(__xludf.DUMMYFUNCTION("""COMPUTED_VALUE"""),"")</f>
        <v/>
      </c>
      <c r="S87" s="49" t="str">
        <f>IFERROR(__xludf.DUMMYFUNCTION("""COMPUTED_VALUE"""),"")</f>
        <v/>
      </c>
      <c r="T87" s="49" t="str">
        <f>IFERROR(__xludf.DUMMYFUNCTION("""COMPUTED_VALUE"""),"")</f>
        <v/>
      </c>
      <c r="U87" s="49" t="str">
        <f>IFERROR(__xludf.DUMMYFUNCTION("""COMPUTED_VALUE"""),"")</f>
        <v/>
      </c>
      <c r="V87" s="49" t="str">
        <f>IFERROR(__xludf.DUMMYFUNCTION("""COMPUTED_VALUE"""),"")</f>
        <v/>
      </c>
      <c r="W87" s="49" t="str">
        <f>IFERROR(__xludf.DUMMYFUNCTION("""COMPUTED_VALUE"""),"")</f>
        <v/>
      </c>
      <c r="X87" s="49" t="str">
        <f>IFERROR(__xludf.DUMMYFUNCTION("""COMPUTED_VALUE"""),"")</f>
        <v/>
      </c>
      <c r="Y87" s="49" t="str">
        <f>IFERROR(__xludf.DUMMYFUNCTION("""COMPUTED_VALUE"""),"")</f>
        <v/>
      </c>
      <c r="Z87" s="49"/>
      <c r="AA87" s="49"/>
      <c r="AB87" s="49"/>
      <c r="AC87" s="49"/>
      <c r="AD87" s="49"/>
      <c r="AE87" s="49"/>
      <c r="AF87" s="49"/>
      <c r="AG87" s="49"/>
      <c r="AH87" s="49"/>
      <c r="AI87" s="49"/>
      <c r="AJ87" s="49"/>
      <c r="AK87" s="49"/>
      <c r="AL87" s="49"/>
      <c r="AM87" s="49"/>
      <c r="AN87" s="49"/>
      <c r="AO87" s="49"/>
      <c r="AP87" s="49"/>
      <c r="AQ87" s="49"/>
      <c r="AR87" s="49"/>
      <c r="AS87" s="49"/>
      <c r="AT87" s="49"/>
      <c r="AU87" s="49"/>
      <c r="AV87" s="49"/>
      <c r="AW87" s="49"/>
      <c r="AX87" s="49"/>
    </row>
    <row r="88">
      <c r="A88" s="49"/>
      <c r="B88" s="49"/>
      <c r="C88" s="49" t="str">
        <f>IFERROR(__xludf.DUMMYFUNCTION("""COMPUTED_VALUE"""),"")</f>
        <v/>
      </c>
      <c r="D88" s="49" t="str">
        <f>IFERROR(__xludf.DUMMYFUNCTION("""COMPUTED_VALUE"""),"")</f>
        <v/>
      </c>
      <c r="E88" s="49" t="str">
        <f>IFERROR(__xludf.DUMMYFUNCTION("""COMPUTED_VALUE"""),"")</f>
        <v/>
      </c>
      <c r="F88" s="49" t="str">
        <f>IFERROR(__xludf.DUMMYFUNCTION("""COMPUTED_VALUE"""),"")</f>
        <v/>
      </c>
      <c r="G88" s="49" t="str">
        <f>IFERROR(__xludf.DUMMYFUNCTION("""COMPUTED_VALUE"""),"")</f>
        <v/>
      </c>
      <c r="H88" s="49" t="str">
        <f>IFERROR(__xludf.DUMMYFUNCTION("""COMPUTED_VALUE"""),"")</f>
        <v/>
      </c>
      <c r="I88" s="49" t="str">
        <f>IFERROR(__xludf.DUMMYFUNCTION("""COMPUTED_VALUE"""),"")</f>
        <v/>
      </c>
      <c r="J88" s="49" t="str">
        <f>IFERROR(__xludf.DUMMYFUNCTION("""COMPUTED_VALUE"""),"")</f>
        <v/>
      </c>
      <c r="K88" s="49" t="str">
        <f>IFERROR(__xludf.DUMMYFUNCTION("""COMPUTED_VALUE"""),"")</f>
        <v/>
      </c>
      <c r="L88" s="49" t="str">
        <f>IFERROR(__xludf.DUMMYFUNCTION("""COMPUTED_VALUE"""),"")</f>
        <v/>
      </c>
      <c r="M88" s="49" t="str">
        <f>IFERROR(__xludf.DUMMYFUNCTION("""COMPUTED_VALUE"""),"")</f>
        <v/>
      </c>
      <c r="N88" s="49" t="str">
        <f>IFERROR(__xludf.DUMMYFUNCTION("""COMPUTED_VALUE"""),"")</f>
        <v/>
      </c>
      <c r="O88" s="49" t="str">
        <f>IFERROR(__xludf.DUMMYFUNCTION("""COMPUTED_VALUE"""),"")</f>
        <v/>
      </c>
      <c r="P88" s="49" t="str">
        <f>IFERROR(__xludf.DUMMYFUNCTION("""COMPUTED_VALUE"""),"")</f>
        <v/>
      </c>
      <c r="Q88" s="49" t="str">
        <f>IFERROR(__xludf.DUMMYFUNCTION("""COMPUTED_VALUE"""),"")</f>
        <v/>
      </c>
      <c r="R88" s="49" t="str">
        <f>IFERROR(__xludf.DUMMYFUNCTION("""COMPUTED_VALUE"""),"")</f>
        <v/>
      </c>
      <c r="S88" s="49" t="str">
        <f>IFERROR(__xludf.DUMMYFUNCTION("""COMPUTED_VALUE"""),"")</f>
        <v/>
      </c>
      <c r="T88" s="49" t="str">
        <f>IFERROR(__xludf.DUMMYFUNCTION("""COMPUTED_VALUE"""),"")</f>
        <v/>
      </c>
      <c r="U88" s="49" t="str">
        <f>IFERROR(__xludf.DUMMYFUNCTION("""COMPUTED_VALUE"""),"")</f>
        <v/>
      </c>
      <c r="V88" s="49" t="str">
        <f>IFERROR(__xludf.DUMMYFUNCTION("""COMPUTED_VALUE"""),"")</f>
        <v/>
      </c>
      <c r="W88" s="49" t="str">
        <f>IFERROR(__xludf.DUMMYFUNCTION("""COMPUTED_VALUE"""),"")</f>
        <v/>
      </c>
      <c r="X88" s="49" t="str">
        <f>IFERROR(__xludf.DUMMYFUNCTION("""COMPUTED_VALUE"""),"")</f>
        <v/>
      </c>
      <c r="Y88" s="49" t="str">
        <f>IFERROR(__xludf.DUMMYFUNCTION("""COMPUTED_VALUE"""),"")</f>
        <v/>
      </c>
      <c r="Z88" s="49"/>
      <c r="AA88" s="49"/>
      <c r="AB88" s="49"/>
      <c r="AC88" s="49"/>
      <c r="AD88" s="49"/>
      <c r="AE88" s="49"/>
      <c r="AF88" s="49"/>
      <c r="AG88" s="49"/>
      <c r="AH88" s="49"/>
      <c r="AI88" s="49"/>
      <c r="AJ88" s="49"/>
      <c r="AK88" s="49"/>
      <c r="AL88" s="49"/>
      <c r="AM88" s="49"/>
      <c r="AN88" s="49"/>
      <c r="AO88" s="49"/>
      <c r="AP88" s="49"/>
      <c r="AQ88" s="49"/>
      <c r="AR88" s="49"/>
      <c r="AS88" s="49"/>
      <c r="AT88" s="49"/>
      <c r="AU88" s="49"/>
      <c r="AV88" s="49"/>
      <c r="AW88" s="49"/>
      <c r="AX88" s="49"/>
    </row>
    <row r="89">
      <c r="A89" s="49"/>
      <c r="B89" s="49"/>
      <c r="C89" s="49" t="str">
        <f>IFERROR(__xludf.DUMMYFUNCTION("""COMPUTED_VALUE"""),"")</f>
        <v/>
      </c>
      <c r="D89" s="49" t="str">
        <f>IFERROR(__xludf.DUMMYFUNCTION("""COMPUTED_VALUE"""),"")</f>
        <v/>
      </c>
      <c r="E89" s="49" t="str">
        <f>IFERROR(__xludf.DUMMYFUNCTION("""COMPUTED_VALUE"""),"")</f>
        <v/>
      </c>
      <c r="F89" s="49" t="str">
        <f>IFERROR(__xludf.DUMMYFUNCTION("""COMPUTED_VALUE"""),"")</f>
        <v/>
      </c>
      <c r="G89" s="49" t="str">
        <f>IFERROR(__xludf.DUMMYFUNCTION("""COMPUTED_VALUE"""),"")</f>
        <v/>
      </c>
      <c r="H89" s="49" t="str">
        <f>IFERROR(__xludf.DUMMYFUNCTION("""COMPUTED_VALUE"""),"")</f>
        <v/>
      </c>
      <c r="I89" s="49" t="str">
        <f>IFERROR(__xludf.DUMMYFUNCTION("""COMPUTED_VALUE"""),"")</f>
        <v/>
      </c>
      <c r="J89" s="49" t="str">
        <f>IFERROR(__xludf.DUMMYFUNCTION("""COMPUTED_VALUE"""),"")</f>
        <v/>
      </c>
      <c r="K89" s="49" t="str">
        <f>IFERROR(__xludf.DUMMYFUNCTION("""COMPUTED_VALUE"""),"")</f>
        <v/>
      </c>
      <c r="L89" s="49" t="str">
        <f>IFERROR(__xludf.DUMMYFUNCTION("""COMPUTED_VALUE"""),"")</f>
        <v/>
      </c>
      <c r="M89" s="49" t="str">
        <f>IFERROR(__xludf.DUMMYFUNCTION("""COMPUTED_VALUE"""),"")</f>
        <v/>
      </c>
      <c r="N89" s="49" t="str">
        <f>IFERROR(__xludf.DUMMYFUNCTION("""COMPUTED_VALUE"""),"")</f>
        <v/>
      </c>
      <c r="O89" s="49" t="str">
        <f>IFERROR(__xludf.DUMMYFUNCTION("""COMPUTED_VALUE"""),"")</f>
        <v/>
      </c>
      <c r="P89" s="49" t="str">
        <f>IFERROR(__xludf.DUMMYFUNCTION("""COMPUTED_VALUE"""),"")</f>
        <v/>
      </c>
      <c r="Q89" s="49" t="str">
        <f>IFERROR(__xludf.DUMMYFUNCTION("""COMPUTED_VALUE"""),"")</f>
        <v/>
      </c>
      <c r="R89" s="49" t="str">
        <f>IFERROR(__xludf.DUMMYFUNCTION("""COMPUTED_VALUE"""),"")</f>
        <v/>
      </c>
      <c r="S89" s="49" t="str">
        <f>IFERROR(__xludf.DUMMYFUNCTION("""COMPUTED_VALUE"""),"")</f>
        <v/>
      </c>
      <c r="T89" s="49" t="str">
        <f>IFERROR(__xludf.DUMMYFUNCTION("""COMPUTED_VALUE"""),"")</f>
        <v/>
      </c>
      <c r="U89" s="49" t="str">
        <f>IFERROR(__xludf.DUMMYFUNCTION("""COMPUTED_VALUE"""),"")</f>
        <v/>
      </c>
      <c r="V89" s="49" t="str">
        <f>IFERROR(__xludf.DUMMYFUNCTION("""COMPUTED_VALUE"""),"")</f>
        <v/>
      </c>
      <c r="W89" s="49" t="str">
        <f>IFERROR(__xludf.DUMMYFUNCTION("""COMPUTED_VALUE"""),"")</f>
        <v/>
      </c>
      <c r="X89" s="49" t="str">
        <f>IFERROR(__xludf.DUMMYFUNCTION("""COMPUTED_VALUE"""),"")</f>
        <v/>
      </c>
      <c r="Y89" s="49" t="str">
        <f>IFERROR(__xludf.DUMMYFUNCTION("""COMPUTED_VALUE"""),"")</f>
        <v/>
      </c>
      <c r="Z89" s="49"/>
      <c r="AA89" s="49"/>
      <c r="AB89" s="49"/>
      <c r="AC89" s="49"/>
      <c r="AD89" s="49"/>
      <c r="AE89" s="49"/>
      <c r="AF89" s="49"/>
      <c r="AG89" s="49"/>
      <c r="AH89" s="49"/>
      <c r="AI89" s="49"/>
      <c r="AJ89" s="49"/>
      <c r="AK89" s="49"/>
      <c r="AL89" s="49"/>
      <c r="AM89" s="49"/>
      <c r="AN89" s="49"/>
      <c r="AO89" s="49"/>
      <c r="AP89" s="49"/>
      <c r="AQ89" s="49"/>
      <c r="AR89" s="49"/>
      <c r="AS89" s="49"/>
      <c r="AT89" s="49"/>
      <c r="AU89" s="49"/>
      <c r="AV89" s="49"/>
      <c r="AW89" s="49"/>
      <c r="AX89" s="49"/>
    </row>
    <row r="90">
      <c r="A90" s="49"/>
      <c r="B90" s="49"/>
      <c r="C90" s="49" t="str">
        <f>IFERROR(__xludf.DUMMYFUNCTION("""COMPUTED_VALUE"""),"")</f>
        <v/>
      </c>
      <c r="D90" s="49" t="str">
        <f>IFERROR(__xludf.DUMMYFUNCTION("""COMPUTED_VALUE"""),"")</f>
        <v/>
      </c>
      <c r="E90" s="49" t="str">
        <f>IFERROR(__xludf.DUMMYFUNCTION("""COMPUTED_VALUE"""),"")</f>
        <v/>
      </c>
      <c r="F90" s="49" t="str">
        <f>IFERROR(__xludf.DUMMYFUNCTION("""COMPUTED_VALUE"""),"")</f>
        <v/>
      </c>
      <c r="G90" s="49" t="str">
        <f>IFERROR(__xludf.DUMMYFUNCTION("""COMPUTED_VALUE"""),"")</f>
        <v/>
      </c>
      <c r="H90" s="49" t="str">
        <f>IFERROR(__xludf.DUMMYFUNCTION("""COMPUTED_VALUE"""),"")</f>
        <v/>
      </c>
      <c r="I90" s="49" t="str">
        <f>IFERROR(__xludf.DUMMYFUNCTION("""COMPUTED_VALUE"""),"")</f>
        <v/>
      </c>
      <c r="J90" s="49" t="str">
        <f>IFERROR(__xludf.DUMMYFUNCTION("""COMPUTED_VALUE"""),"")</f>
        <v/>
      </c>
      <c r="K90" s="49" t="str">
        <f>IFERROR(__xludf.DUMMYFUNCTION("""COMPUTED_VALUE"""),"")</f>
        <v/>
      </c>
      <c r="L90" s="49" t="str">
        <f>IFERROR(__xludf.DUMMYFUNCTION("""COMPUTED_VALUE"""),"")</f>
        <v/>
      </c>
      <c r="M90" s="49" t="str">
        <f>IFERROR(__xludf.DUMMYFUNCTION("""COMPUTED_VALUE"""),"")</f>
        <v/>
      </c>
      <c r="N90" s="49" t="str">
        <f>IFERROR(__xludf.DUMMYFUNCTION("""COMPUTED_VALUE"""),"")</f>
        <v/>
      </c>
      <c r="O90" s="49" t="str">
        <f>IFERROR(__xludf.DUMMYFUNCTION("""COMPUTED_VALUE"""),"")</f>
        <v/>
      </c>
      <c r="P90" s="49" t="str">
        <f>IFERROR(__xludf.DUMMYFUNCTION("""COMPUTED_VALUE"""),"")</f>
        <v/>
      </c>
      <c r="Q90" s="49" t="str">
        <f>IFERROR(__xludf.DUMMYFUNCTION("""COMPUTED_VALUE"""),"")</f>
        <v/>
      </c>
      <c r="R90" s="49" t="str">
        <f>IFERROR(__xludf.DUMMYFUNCTION("""COMPUTED_VALUE"""),"")</f>
        <v/>
      </c>
      <c r="S90" s="49" t="str">
        <f>IFERROR(__xludf.DUMMYFUNCTION("""COMPUTED_VALUE"""),"")</f>
        <v/>
      </c>
      <c r="T90" s="49" t="str">
        <f>IFERROR(__xludf.DUMMYFUNCTION("""COMPUTED_VALUE"""),"")</f>
        <v/>
      </c>
      <c r="U90" s="49" t="str">
        <f>IFERROR(__xludf.DUMMYFUNCTION("""COMPUTED_VALUE"""),"")</f>
        <v/>
      </c>
      <c r="V90" s="49" t="str">
        <f>IFERROR(__xludf.DUMMYFUNCTION("""COMPUTED_VALUE"""),"")</f>
        <v/>
      </c>
      <c r="W90" s="49" t="str">
        <f>IFERROR(__xludf.DUMMYFUNCTION("""COMPUTED_VALUE"""),"")</f>
        <v/>
      </c>
      <c r="X90" s="49" t="str">
        <f>IFERROR(__xludf.DUMMYFUNCTION("""COMPUTED_VALUE"""),"")</f>
        <v/>
      </c>
      <c r="Y90" s="49" t="str">
        <f>IFERROR(__xludf.DUMMYFUNCTION("""COMPUTED_VALUE"""),"")</f>
        <v/>
      </c>
      <c r="Z90" s="49"/>
      <c r="AA90" s="49"/>
      <c r="AB90" s="49"/>
      <c r="AC90" s="49"/>
      <c r="AD90" s="49"/>
      <c r="AE90" s="49"/>
      <c r="AF90" s="49"/>
      <c r="AG90" s="49"/>
      <c r="AH90" s="49"/>
      <c r="AI90" s="49"/>
      <c r="AJ90" s="49"/>
      <c r="AK90" s="49"/>
      <c r="AL90" s="49"/>
      <c r="AM90" s="49"/>
      <c r="AN90" s="49"/>
      <c r="AO90" s="49"/>
      <c r="AP90" s="49"/>
      <c r="AQ90" s="49"/>
      <c r="AR90" s="49"/>
      <c r="AS90" s="49"/>
      <c r="AT90" s="49"/>
      <c r="AU90" s="49"/>
      <c r="AV90" s="49"/>
      <c r="AW90" s="49"/>
      <c r="AX90" s="49"/>
    </row>
    <row r="91">
      <c r="A91" s="49"/>
      <c r="B91" s="49"/>
      <c r="C91" s="49" t="str">
        <f>IFERROR(__xludf.DUMMYFUNCTION("""COMPUTED_VALUE"""),"")</f>
        <v/>
      </c>
      <c r="D91" s="49" t="str">
        <f>IFERROR(__xludf.DUMMYFUNCTION("""COMPUTED_VALUE"""),"")</f>
        <v/>
      </c>
      <c r="E91" s="49" t="str">
        <f>IFERROR(__xludf.DUMMYFUNCTION("""COMPUTED_VALUE"""),"")</f>
        <v/>
      </c>
      <c r="F91" s="49" t="str">
        <f>IFERROR(__xludf.DUMMYFUNCTION("""COMPUTED_VALUE"""),"")</f>
        <v/>
      </c>
      <c r="G91" s="49" t="str">
        <f>IFERROR(__xludf.DUMMYFUNCTION("""COMPUTED_VALUE"""),"")</f>
        <v/>
      </c>
      <c r="H91" s="49" t="str">
        <f>IFERROR(__xludf.DUMMYFUNCTION("""COMPUTED_VALUE"""),"")</f>
        <v/>
      </c>
      <c r="I91" s="49" t="str">
        <f>IFERROR(__xludf.DUMMYFUNCTION("""COMPUTED_VALUE"""),"")</f>
        <v/>
      </c>
      <c r="J91" s="49" t="str">
        <f>IFERROR(__xludf.DUMMYFUNCTION("""COMPUTED_VALUE"""),"")</f>
        <v/>
      </c>
      <c r="K91" s="49" t="str">
        <f>IFERROR(__xludf.DUMMYFUNCTION("""COMPUTED_VALUE"""),"")</f>
        <v/>
      </c>
      <c r="L91" s="49" t="str">
        <f>IFERROR(__xludf.DUMMYFUNCTION("""COMPUTED_VALUE"""),"")</f>
        <v/>
      </c>
      <c r="M91" s="49" t="str">
        <f>IFERROR(__xludf.DUMMYFUNCTION("""COMPUTED_VALUE"""),"")</f>
        <v/>
      </c>
      <c r="N91" s="49" t="str">
        <f>IFERROR(__xludf.DUMMYFUNCTION("""COMPUTED_VALUE"""),"")</f>
        <v/>
      </c>
      <c r="O91" s="49" t="str">
        <f>IFERROR(__xludf.DUMMYFUNCTION("""COMPUTED_VALUE"""),"")</f>
        <v/>
      </c>
      <c r="P91" s="49" t="str">
        <f>IFERROR(__xludf.DUMMYFUNCTION("""COMPUTED_VALUE"""),"")</f>
        <v/>
      </c>
      <c r="Q91" s="49" t="str">
        <f>IFERROR(__xludf.DUMMYFUNCTION("""COMPUTED_VALUE"""),"")</f>
        <v/>
      </c>
      <c r="R91" s="49" t="str">
        <f>IFERROR(__xludf.DUMMYFUNCTION("""COMPUTED_VALUE"""),"")</f>
        <v/>
      </c>
      <c r="S91" s="49" t="str">
        <f>IFERROR(__xludf.DUMMYFUNCTION("""COMPUTED_VALUE"""),"")</f>
        <v/>
      </c>
      <c r="T91" s="49" t="str">
        <f>IFERROR(__xludf.DUMMYFUNCTION("""COMPUTED_VALUE"""),"")</f>
        <v/>
      </c>
      <c r="U91" s="49" t="str">
        <f>IFERROR(__xludf.DUMMYFUNCTION("""COMPUTED_VALUE"""),"")</f>
        <v/>
      </c>
      <c r="V91" s="49" t="str">
        <f>IFERROR(__xludf.DUMMYFUNCTION("""COMPUTED_VALUE"""),"")</f>
        <v/>
      </c>
      <c r="W91" s="49" t="str">
        <f>IFERROR(__xludf.DUMMYFUNCTION("""COMPUTED_VALUE"""),"")</f>
        <v/>
      </c>
      <c r="X91" s="49" t="str">
        <f>IFERROR(__xludf.DUMMYFUNCTION("""COMPUTED_VALUE"""),"")</f>
        <v/>
      </c>
      <c r="Y91" s="49" t="str">
        <f>IFERROR(__xludf.DUMMYFUNCTION("""COMPUTED_VALUE"""),"")</f>
        <v/>
      </c>
      <c r="Z91" s="49"/>
      <c r="AA91" s="49"/>
      <c r="AB91" s="49"/>
      <c r="AC91" s="49"/>
      <c r="AD91" s="49"/>
      <c r="AE91" s="49"/>
      <c r="AF91" s="49"/>
      <c r="AG91" s="49"/>
      <c r="AH91" s="49"/>
      <c r="AI91" s="49"/>
      <c r="AJ91" s="49"/>
      <c r="AK91" s="49"/>
      <c r="AL91" s="49"/>
      <c r="AM91" s="49"/>
      <c r="AN91" s="49"/>
      <c r="AO91" s="49"/>
      <c r="AP91" s="49"/>
      <c r="AQ91" s="49"/>
      <c r="AR91" s="49"/>
      <c r="AS91" s="49"/>
      <c r="AT91" s="49"/>
      <c r="AU91" s="49"/>
      <c r="AV91" s="49"/>
      <c r="AW91" s="49"/>
      <c r="AX91" s="49"/>
    </row>
    <row r="92">
      <c r="A92" s="49"/>
      <c r="B92" s="49"/>
      <c r="C92" s="49" t="str">
        <f>IFERROR(__xludf.DUMMYFUNCTION("""COMPUTED_VALUE"""),"")</f>
        <v/>
      </c>
      <c r="D92" s="49" t="str">
        <f>IFERROR(__xludf.DUMMYFUNCTION("""COMPUTED_VALUE"""),"")</f>
        <v/>
      </c>
      <c r="E92" s="49" t="str">
        <f>IFERROR(__xludf.DUMMYFUNCTION("""COMPUTED_VALUE"""),"")</f>
        <v/>
      </c>
      <c r="F92" s="49" t="str">
        <f>IFERROR(__xludf.DUMMYFUNCTION("""COMPUTED_VALUE"""),"")</f>
        <v/>
      </c>
      <c r="G92" s="49" t="str">
        <f>IFERROR(__xludf.DUMMYFUNCTION("""COMPUTED_VALUE"""),"")</f>
        <v/>
      </c>
      <c r="H92" s="49" t="str">
        <f>IFERROR(__xludf.DUMMYFUNCTION("""COMPUTED_VALUE"""),"")</f>
        <v/>
      </c>
      <c r="I92" s="49" t="str">
        <f>IFERROR(__xludf.DUMMYFUNCTION("""COMPUTED_VALUE"""),"")</f>
        <v/>
      </c>
      <c r="J92" s="49" t="str">
        <f>IFERROR(__xludf.DUMMYFUNCTION("""COMPUTED_VALUE"""),"")</f>
        <v/>
      </c>
      <c r="K92" s="49" t="str">
        <f>IFERROR(__xludf.DUMMYFUNCTION("""COMPUTED_VALUE"""),"")</f>
        <v/>
      </c>
      <c r="L92" s="49" t="str">
        <f>IFERROR(__xludf.DUMMYFUNCTION("""COMPUTED_VALUE"""),"")</f>
        <v/>
      </c>
      <c r="M92" s="49" t="str">
        <f>IFERROR(__xludf.DUMMYFUNCTION("""COMPUTED_VALUE"""),"")</f>
        <v/>
      </c>
      <c r="N92" s="49" t="str">
        <f>IFERROR(__xludf.DUMMYFUNCTION("""COMPUTED_VALUE"""),"")</f>
        <v/>
      </c>
      <c r="O92" s="49" t="str">
        <f>IFERROR(__xludf.DUMMYFUNCTION("""COMPUTED_VALUE"""),"")</f>
        <v/>
      </c>
      <c r="P92" s="49" t="str">
        <f>IFERROR(__xludf.DUMMYFUNCTION("""COMPUTED_VALUE"""),"")</f>
        <v/>
      </c>
      <c r="Q92" s="49" t="str">
        <f>IFERROR(__xludf.DUMMYFUNCTION("""COMPUTED_VALUE"""),"")</f>
        <v/>
      </c>
      <c r="R92" s="49" t="str">
        <f>IFERROR(__xludf.DUMMYFUNCTION("""COMPUTED_VALUE"""),"")</f>
        <v/>
      </c>
      <c r="S92" s="49" t="str">
        <f>IFERROR(__xludf.DUMMYFUNCTION("""COMPUTED_VALUE"""),"")</f>
        <v/>
      </c>
      <c r="T92" s="49" t="str">
        <f>IFERROR(__xludf.DUMMYFUNCTION("""COMPUTED_VALUE"""),"")</f>
        <v/>
      </c>
      <c r="U92" s="49" t="str">
        <f>IFERROR(__xludf.DUMMYFUNCTION("""COMPUTED_VALUE"""),"")</f>
        <v/>
      </c>
      <c r="V92" s="49" t="str">
        <f>IFERROR(__xludf.DUMMYFUNCTION("""COMPUTED_VALUE"""),"")</f>
        <v/>
      </c>
      <c r="W92" s="49" t="str">
        <f>IFERROR(__xludf.DUMMYFUNCTION("""COMPUTED_VALUE"""),"")</f>
        <v/>
      </c>
      <c r="X92" s="49" t="str">
        <f>IFERROR(__xludf.DUMMYFUNCTION("""COMPUTED_VALUE"""),"")</f>
        <v/>
      </c>
      <c r="Y92" s="49" t="str">
        <f>IFERROR(__xludf.DUMMYFUNCTION("""COMPUTED_VALUE"""),"")</f>
        <v/>
      </c>
      <c r="Z92" s="49"/>
      <c r="AA92" s="49"/>
      <c r="AB92" s="49"/>
      <c r="AC92" s="49"/>
      <c r="AD92" s="49"/>
      <c r="AE92" s="49"/>
      <c r="AF92" s="49"/>
      <c r="AG92" s="49"/>
      <c r="AH92" s="49"/>
      <c r="AI92" s="49"/>
      <c r="AJ92" s="49"/>
      <c r="AK92" s="49"/>
      <c r="AL92" s="49"/>
      <c r="AM92" s="49"/>
      <c r="AN92" s="49"/>
      <c r="AO92" s="49"/>
      <c r="AP92" s="49"/>
      <c r="AQ92" s="49"/>
      <c r="AR92" s="49"/>
      <c r="AS92" s="49"/>
      <c r="AT92" s="49"/>
      <c r="AU92" s="49"/>
      <c r="AV92" s="49"/>
      <c r="AW92" s="49"/>
      <c r="AX92" s="49"/>
    </row>
    <row r="93">
      <c r="A93" s="49"/>
      <c r="B93" s="49"/>
      <c r="C93" s="49" t="str">
        <f>IFERROR(__xludf.DUMMYFUNCTION("""COMPUTED_VALUE"""),"")</f>
        <v/>
      </c>
      <c r="D93" s="49" t="str">
        <f>IFERROR(__xludf.DUMMYFUNCTION("""COMPUTED_VALUE"""),"")</f>
        <v/>
      </c>
      <c r="E93" s="49" t="str">
        <f>IFERROR(__xludf.DUMMYFUNCTION("""COMPUTED_VALUE"""),"")</f>
        <v/>
      </c>
      <c r="F93" s="49" t="str">
        <f>IFERROR(__xludf.DUMMYFUNCTION("""COMPUTED_VALUE"""),"")</f>
        <v/>
      </c>
      <c r="G93" s="49" t="str">
        <f>IFERROR(__xludf.DUMMYFUNCTION("""COMPUTED_VALUE"""),"")</f>
        <v/>
      </c>
      <c r="H93" s="49" t="str">
        <f>IFERROR(__xludf.DUMMYFUNCTION("""COMPUTED_VALUE"""),"")</f>
        <v/>
      </c>
      <c r="I93" s="49" t="str">
        <f>IFERROR(__xludf.DUMMYFUNCTION("""COMPUTED_VALUE"""),"")</f>
        <v/>
      </c>
      <c r="J93" s="49" t="str">
        <f>IFERROR(__xludf.DUMMYFUNCTION("""COMPUTED_VALUE"""),"")</f>
        <v/>
      </c>
      <c r="K93" s="49" t="str">
        <f>IFERROR(__xludf.DUMMYFUNCTION("""COMPUTED_VALUE"""),"")</f>
        <v/>
      </c>
      <c r="L93" s="49" t="str">
        <f>IFERROR(__xludf.DUMMYFUNCTION("""COMPUTED_VALUE"""),"")</f>
        <v/>
      </c>
      <c r="M93" s="49" t="str">
        <f>IFERROR(__xludf.DUMMYFUNCTION("""COMPUTED_VALUE"""),"")</f>
        <v/>
      </c>
      <c r="N93" s="49" t="str">
        <f>IFERROR(__xludf.DUMMYFUNCTION("""COMPUTED_VALUE"""),"")</f>
        <v/>
      </c>
      <c r="O93" s="49" t="str">
        <f>IFERROR(__xludf.DUMMYFUNCTION("""COMPUTED_VALUE"""),"")</f>
        <v/>
      </c>
      <c r="P93" s="49" t="str">
        <f>IFERROR(__xludf.DUMMYFUNCTION("""COMPUTED_VALUE"""),"")</f>
        <v/>
      </c>
      <c r="Q93" s="49" t="str">
        <f>IFERROR(__xludf.DUMMYFUNCTION("""COMPUTED_VALUE"""),"")</f>
        <v/>
      </c>
      <c r="R93" s="49" t="str">
        <f>IFERROR(__xludf.DUMMYFUNCTION("""COMPUTED_VALUE"""),"")</f>
        <v/>
      </c>
      <c r="S93" s="49" t="str">
        <f>IFERROR(__xludf.DUMMYFUNCTION("""COMPUTED_VALUE"""),"")</f>
        <v/>
      </c>
      <c r="T93" s="49" t="str">
        <f>IFERROR(__xludf.DUMMYFUNCTION("""COMPUTED_VALUE"""),"")</f>
        <v/>
      </c>
      <c r="U93" s="49" t="str">
        <f>IFERROR(__xludf.DUMMYFUNCTION("""COMPUTED_VALUE"""),"")</f>
        <v/>
      </c>
      <c r="V93" s="49" t="str">
        <f>IFERROR(__xludf.DUMMYFUNCTION("""COMPUTED_VALUE"""),"")</f>
        <v/>
      </c>
      <c r="W93" s="49" t="str">
        <f>IFERROR(__xludf.DUMMYFUNCTION("""COMPUTED_VALUE"""),"")</f>
        <v/>
      </c>
      <c r="X93" s="49" t="str">
        <f>IFERROR(__xludf.DUMMYFUNCTION("""COMPUTED_VALUE"""),"")</f>
        <v/>
      </c>
      <c r="Y93" s="49" t="str">
        <f>IFERROR(__xludf.DUMMYFUNCTION("""COMPUTED_VALUE"""),"")</f>
        <v/>
      </c>
      <c r="Z93" s="49"/>
      <c r="AA93" s="49"/>
      <c r="AB93" s="49"/>
      <c r="AC93" s="49"/>
      <c r="AD93" s="49"/>
      <c r="AE93" s="49"/>
      <c r="AF93" s="49"/>
      <c r="AG93" s="49"/>
      <c r="AH93" s="49"/>
      <c r="AI93" s="49"/>
      <c r="AJ93" s="49"/>
      <c r="AK93" s="49"/>
      <c r="AL93" s="49"/>
      <c r="AM93" s="49"/>
      <c r="AN93" s="49"/>
      <c r="AO93" s="49"/>
      <c r="AP93" s="49"/>
      <c r="AQ93" s="49"/>
      <c r="AR93" s="49"/>
      <c r="AS93" s="49"/>
      <c r="AT93" s="49"/>
      <c r="AU93" s="49"/>
      <c r="AV93" s="49"/>
      <c r="AW93" s="49"/>
      <c r="AX93" s="49"/>
    </row>
    <row r="94">
      <c r="A94" s="49"/>
      <c r="B94" s="49"/>
      <c r="C94" s="49" t="str">
        <f>IFERROR(__xludf.DUMMYFUNCTION("""COMPUTED_VALUE"""),"")</f>
        <v/>
      </c>
      <c r="D94" s="49" t="str">
        <f>IFERROR(__xludf.DUMMYFUNCTION("""COMPUTED_VALUE"""),"")</f>
        <v/>
      </c>
      <c r="E94" s="49" t="str">
        <f>IFERROR(__xludf.DUMMYFUNCTION("""COMPUTED_VALUE"""),"")</f>
        <v/>
      </c>
      <c r="F94" s="49" t="str">
        <f>IFERROR(__xludf.DUMMYFUNCTION("""COMPUTED_VALUE"""),"")</f>
        <v/>
      </c>
      <c r="G94" s="49" t="str">
        <f>IFERROR(__xludf.DUMMYFUNCTION("""COMPUTED_VALUE"""),"")</f>
        <v/>
      </c>
      <c r="H94" s="49" t="str">
        <f>IFERROR(__xludf.DUMMYFUNCTION("""COMPUTED_VALUE"""),"")</f>
        <v/>
      </c>
      <c r="I94" s="49" t="str">
        <f>IFERROR(__xludf.DUMMYFUNCTION("""COMPUTED_VALUE"""),"")</f>
        <v/>
      </c>
      <c r="J94" s="49" t="str">
        <f>IFERROR(__xludf.DUMMYFUNCTION("""COMPUTED_VALUE"""),"")</f>
        <v/>
      </c>
      <c r="K94" s="49" t="str">
        <f>IFERROR(__xludf.DUMMYFUNCTION("""COMPUTED_VALUE"""),"")</f>
        <v/>
      </c>
      <c r="L94" s="49" t="str">
        <f>IFERROR(__xludf.DUMMYFUNCTION("""COMPUTED_VALUE"""),"")</f>
        <v/>
      </c>
      <c r="M94" s="49" t="str">
        <f>IFERROR(__xludf.DUMMYFUNCTION("""COMPUTED_VALUE"""),"")</f>
        <v/>
      </c>
      <c r="N94" s="49" t="str">
        <f>IFERROR(__xludf.DUMMYFUNCTION("""COMPUTED_VALUE"""),"")</f>
        <v/>
      </c>
      <c r="O94" s="49" t="str">
        <f>IFERROR(__xludf.DUMMYFUNCTION("""COMPUTED_VALUE"""),"")</f>
        <v/>
      </c>
      <c r="P94" s="49" t="str">
        <f>IFERROR(__xludf.DUMMYFUNCTION("""COMPUTED_VALUE"""),"")</f>
        <v/>
      </c>
      <c r="Q94" s="49" t="str">
        <f>IFERROR(__xludf.DUMMYFUNCTION("""COMPUTED_VALUE"""),"")</f>
        <v/>
      </c>
      <c r="R94" s="49" t="str">
        <f>IFERROR(__xludf.DUMMYFUNCTION("""COMPUTED_VALUE"""),"")</f>
        <v/>
      </c>
      <c r="S94" s="49" t="str">
        <f>IFERROR(__xludf.DUMMYFUNCTION("""COMPUTED_VALUE"""),"")</f>
        <v/>
      </c>
      <c r="T94" s="49" t="str">
        <f>IFERROR(__xludf.DUMMYFUNCTION("""COMPUTED_VALUE"""),"")</f>
        <v/>
      </c>
      <c r="U94" s="49" t="str">
        <f>IFERROR(__xludf.DUMMYFUNCTION("""COMPUTED_VALUE"""),"")</f>
        <v/>
      </c>
      <c r="V94" s="49" t="str">
        <f>IFERROR(__xludf.DUMMYFUNCTION("""COMPUTED_VALUE"""),"")</f>
        <v/>
      </c>
      <c r="W94" s="49" t="str">
        <f>IFERROR(__xludf.DUMMYFUNCTION("""COMPUTED_VALUE"""),"")</f>
        <v/>
      </c>
      <c r="X94" s="49" t="str">
        <f>IFERROR(__xludf.DUMMYFUNCTION("""COMPUTED_VALUE"""),"")</f>
        <v/>
      </c>
      <c r="Y94" s="49" t="str">
        <f>IFERROR(__xludf.DUMMYFUNCTION("""COMPUTED_VALUE"""),"")</f>
        <v/>
      </c>
      <c r="Z94" s="49"/>
      <c r="AA94" s="49"/>
      <c r="AB94" s="49"/>
      <c r="AC94" s="49"/>
      <c r="AD94" s="49"/>
      <c r="AE94" s="49"/>
      <c r="AF94" s="49"/>
      <c r="AG94" s="49"/>
      <c r="AH94" s="49"/>
      <c r="AI94" s="49"/>
      <c r="AJ94" s="49"/>
      <c r="AK94" s="49"/>
      <c r="AL94" s="49"/>
      <c r="AM94" s="49"/>
      <c r="AN94" s="49"/>
      <c r="AO94" s="49"/>
      <c r="AP94" s="49"/>
      <c r="AQ94" s="49"/>
      <c r="AR94" s="49"/>
      <c r="AS94" s="49"/>
      <c r="AT94" s="49"/>
      <c r="AU94" s="49"/>
      <c r="AV94" s="49"/>
      <c r="AW94" s="49"/>
      <c r="AX94" s="49"/>
    </row>
    <row r="95">
      <c r="A95" s="49"/>
      <c r="B95" s="49"/>
      <c r="C95" s="49" t="str">
        <f>IFERROR(__xludf.DUMMYFUNCTION("""COMPUTED_VALUE"""),"")</f>
        <v/>
      </c>
      <c r="D95" s="49" t="str">
        <f>IFERROR(__xludf.DUMMYFUNCTION("""COMPUTED_VALUE"""),"")</f>
        <v/>
      </c>
      <c r="E95" s="49" t="str">
        <f>IFERROR(__xludf.DUMMYFUNCTION("""COMPUTED_VALUE"""),"")</f>
        <v/>
      </c>
      <c r="F95" s="49" t="str">
        <f>IFERROR(__xludf.DUMMYFUNCTION("""COMPUTED_VALUE"""),"")</f>
        <v/>
      </c>
      <c r="G95" s="49" t="str">
        <f>IFERROR(__xludf.DUMMYFUNCTION("""COMPUTED_VALUE"""),"")</f>
        <v/>
      </c>
      <c r="H95" s="49" t="str">
        <f>IFERROR(__xludf.DUMMYFUNCTION("""COMPUTED_VALUE"""),"")</f>
        <v/>
      </c>
      <c r="I95" s="49" t="str">
        <f>IFERROR(__xludf.DUMMYFUNCTION("""COMPUTED_VALUE"""),"")</f>
        <v/>
      </c>
      <c r="J95" s="49" t="str">
        <f>IFERROR(__xludf.DUMMYFUNCTION("""COMPUTED_VALUE"""),"")</f>
        <v/>
      </c>
      <c r="K95" s="49" t="str">
        <f>IFERROR(__xludf.DUMMYFUNCTION("""COMPUTED_VALUE"""),"")</f>
        <v/>
      </c>
      <c r="L95" s="49" t="str">
        <f>IFERROR(__xludf.DUMMYFUNCTION("""COMPUTED_VALUE"""),"")</f>
        <v/>
      </c>
      <c r="M95" s="49" t="str">
        <f>IFERROR(__xludf.DUMMYFUNCTION("""COMPUTED_VALUE"""),"")</f>
        <v/>
      </c>
      <c r="N95" s="49" t="str">
        <f>IFERROR(__xludf.DUMMYFUNCTION("""COMPUTED_VALUE"""),"")</f>
        <v/>
      </c>
      <c r="O95" s="49" t="str">
        <f>IFERROR(__xludf.DUMMYFUNCTION("""COMPUTED_VALUE"""),"")</f>
        <v/>
      </c>
      <c r="P95" s="49" t="str">
        <f>IFERROR(__xludf.DUMMYFUNCTION("""COMPUTED_VALUE"""),"")</f>
        <v/>
      </c>
      <c r="Q95" s="49" t="str">
        <f>IFERROR(__xludf.DUMMYFUNCTION("""COMPUTED_VALUE"""),"")</f>
        <v/>
      </c>
      <c r="R95" s="49" t="str">
        <f>IFERROR(__xludf.DUMMYFUNCTION("""COMPUTED_VALUE"""),"")</f>
        <v/>
      </c>
      <c r="S95" s="49" t="str">
        <f>IFERROR(__xludf.DUMMYFUNCTION("""COMPUTED_VALUE"""),"")</f>
        <v/>
      </c>
      <c r="T95" s="49" t="str">
        <f>IFERROR(__xludf.DUMMYFUNCTION("""COMPUTED_VALUE"""),"")</f>
        <v/>
      </c>
      <c r="U95" s="49" t="str">
        <f>IFERROR(__xludf.DUMMYFUNCTION("""COMPUTED_VALUE"""),"")</f>
        <v/>
      </c>
      <c r="V95" s="49" t="str">
        <f>IFERROR(__xludf.DUMMYFUNCTION("""COMPUTED_VALUE"""),"")</f>
        <v/>
      </c>
      <c r="W95" s="49" t="str">
        <f>IFERROR(__xludf.DUMMYFUNCTION("""COMPUTED_VALUE"""),"")</f>
        <v/>
      </c>
      <c r="X95" s="49" t="str">
        <f>IFERROR(__xludf.DUMMYFUNCTION("""COMPUTED_VALUE"""),"")</f>
        <v/>
      </c>
      <c r="Y95" s="49" t="str">
        <f>IFERROR(__xludf.DUMMYFUNCTION("""COMPUTED_VALUE"""),"")</f>
        <v/>
      </c>
      <c r="Z95" s="49"/>
      <c r="AA95" s="49"/>
      <c r="AB95" s="49"/>
      <c r="AC95" s="49"/>
      <c r="AD95" s="49"/>
      <c r="AE95" s="49"/>
      <c r="AF95" s="49"/>
      <c r="AG95" s="49"/>
      <c r="AH95" s="49"/>
      <c r="AI95" s="49"/>
      <c r="AJ95" s="49"/>
      <c r="AK95" s="49"/>
      <c r="AL95" s="49"/>
      <c r="AM95" s="49"/>
      <c r="AN95" s="49"/>
      <c r="AO95" s="49"/>
      <c r="AP95" s="49"/>
      <c r="AQ95" s="49"/>
      <c r="AR95" s="49"/>
      <c r="AS95" s="49"/>
      <c r="AT95" s="49"/>
      <c r="AU95" s="49"/>
      <c r="AV95" s="49"/>
      <c r="AW95" s="49"/>
      <c r="AX95" s="49"/>
    </row>
    <row r="96">
      <c r="A96" s="49"/>
      <c r="B96" s="49"/>
      <c r="C96" s="49" t="str">
        <f>IFERROR(__xludf.DUMMYFUNCTION("""COMPUTED_VALUE"""),"")</f>
        <v/>
      </c>
      <c r="D96" s="49" t="str">
        <f>IFERROR(__xludf.DUMMYFUNCTION("""COMPUTED_VALUE"""),"")</f>
        <v/>
      </c>
      <c r="E96" s="49" t="str">
        <f>IFERROR(__xludf.DUMMYFUNCTION("""COMPUTED_VALUE"""),"")</f>
        <v/>
      </c>
      <c r="F96" s="49" t="str">
        <f>IFERROR(__xludf.DUMMYFUNCTION("""COMPUTED_VALUE"""),"")</f>
        <v/>
      </c>
      <c r="G96" s="49" t="str">
        <f>IFERROR(__xludf.DUMMYFUNCTION("""COMPUTED_VALUE"""),"")</f>
        <v/>
      </c>
      <c r="H96" s="49" t="str">
        <f>IFERROR(__xludf.DUMMYFUNCTION("""COMPUTED_VALUE"""),"")</f>
        <v/>
      </c>
      <c r="I96" s="49" t="str">
        <f>IFERROR(__xludf.DUMMYFUNCTION("""COMPUTED_VALUE"""),"")</f>
        <v/>
      </c>
      <c r="J96" s="49" t="str">
        <f>IFERROR(__xludf.DUMMYFUNCTION("""COMPUTED_VALUE"""),"")</f>
        <v/>
      </c>
      <c r="K96" s="49" t="str">
        <f>IFERROR(__xludf.DUMMYFUNCTION("""COMPUTED_VALUE"""),"")</f>
        <v/>
      </c>
      <c r="L96" s="49" t="str">
        <f>IFERROR(__xludf.DUMMYFUNCTION("""COMPUTED_VALUE"""),"")</f>
        <v/>
      </c>
      <c r="M96" s="49" t="str">
        <f>IFERROR(__xludf.DUMMYFUNCTION("""COMPUTED_VALUE"""),"")</f>
        <v/>
      </c>
      <c r="N96" s="49" t="str">
        <f>IFERROR(__xludf.DUMMYFUNCTION("""COMPUTED_VALUE"""),"")</f>
        <v/>
      </c>
      <c r="O96" s="49" t="str">
        <f>IFERROR(__xludf.DUMMYFUNCTION("""COMPUTED_VALUE"""),"")</f>
        <v/>
      </c>
      <c r="P96" s="49" t="str">
        <f>IFERROR(__xludf.DUMMYFUNCTION("""COMPUTED_VALUE"""),"")</f>
        <v/>
      </c>
      <c r="Q96" s="49" t="str">
        <f>IFERROR(__xludf.DUMMYFUNCTION("""COMPUTED_VALUE"""),"")</f>
        <v/>
      </c>
      <c r="R96" s="49" t="str">
        <f>IFERROR(__xludf.DUMMYFUNCTION("""COMPUTED_VALUE"""),"")</f>
        <v/>
      </c>
      <c r="S96" s="49" t="str">
        <f>IFERROR(__xludf.DUMMYFUNCTION("""COMPUTED_VALUE"""),"")</f>
        <v/>
      </c>
      <c r="T96" s="49" t="str">
        <f>IFERROR(__xludf.DUMMYFUNCTION("""COMPUTED_VALUE"""),"")</f>
        <v/>
      </c>
      <c r="U96" s="49" t="str">
        <f>IFERROR(__xludf.DUMMYFUNCTION("""COMPUTED_VALUE"""),"")</f>
        <v/>
      </c>
      <c r="V96" s="49" t="str">
        <f>IFERROR(__xludf.DUMMYFUNCTION("""COMPUTED_VALUE"""),"")</f>
        <v/>
      </c>
      <c r="W96" s="49" t="str">
        <f>IFERROR(__xludf.DUMMYFUNCTION("""COMPUTED_VALUE"""),"")</f>
        <v/>
      </c>
      <c r="X96" s="49" t="str">
        <f>IFERROR(__xludf.DUMMYFUNCTION("""COMPUTED_VALUE"""),"")</f>
        <v/>
      </c>
      <c r="Y96" s="49" t="str">
        <f>IFERROR(__xludf.DUMMYFUNCTION("""COMPUTED_VALUE"""),"")</f>
        <v/>
      </c>
      <c r="Z96" s="49"/>
      <c r="AA96" s="49"/>
      <c r="AB96" s="49"/>
      <c r="AC96" s="49"/>
      <c r="AD96" s="49"/>
      <c r="AE96" s="49"/>
      <c r="AF96" s="49"/>
      <c r="AG96" s="49"/>
      <c r="AH96" s="49"/>
      <c r="AI96" s="49"/>
      <c r="AJ96" s="49"/>
      <c r="AK96" s="49"/>
      <c r="AL96" s="49"/>
      <c r="AM96" s="49"/>
      <c r="AN96" s="49"/>
      <c r="AO96" s="49"/>
      <c r="AP96" s="49"/>
      <c r="AQ96" s="49"/>
      <c r="AR96" s="49"/>
      <c r="AS96" s="49"/>
      <c r="AT96" s="49"/>
      <c r="AU96" s="49"/>
      <c r="AV96" s="49"/>
      <c r="AW96" s="49"/>
      <c r="AX96" s="49"/>
    </row>
    <row r="97">
      <c r="A97" s="49"/>
      <c r="B97" s="49"/>
      <c r="C97" s="49" t="str">
        <f>IFERROR(__xludf.DUMMYFUNCTION("""COMPUTED_VALUE"""),"")</f>
        <v/>
      </c>
      <c r="D97" s="49" t="str">
        <f>IFERROR(__xludf.DUMMYFUNCTION("""COMPUTED_VALUE"""),"")</f>
        <v/>
      </c>
      <c r="E97" s="49" t="str">
        <f>IFERROR(__xludf.DUMMYFUNCTION("""COMPUTED_VALUE"""),"")</f>
        <v/>
      </c>
      <c r="F97" s="49" t="str">
        <f>IFERROR(__xludf.DUMMYFUNCTION("""COMPUTED_VALUE"""),"")</f>
        <v/>
      </c>
      <c r="G97" s="49" t="str">
        <f>IFERROR(__xludf.DUMMYFUNCTION("""COMPUTED_VALUE"""),"")</f>
        <v/>
      </c>
      <c r="H97" s="49" t="str">
        <f>IFERROR(__xludf.DUMMYFUNCTION("""COMPUTED_VALUE"""),"")</f>
        <v/>
      </c>
      <c r="I97" s="49" t="str">
        <f>IFERROR(__xludf.DUMMYFUNCTION("""COMPUTED_VALUE"""),"")</f>
        <v/>
      </c>
      <c r="J97" s="49" t="str">
        <f>IFERROR(__xludf.DUMMYFUNCTION("""COMPUTED_VALUE"""),"")</f>
        <v/>
      </c>
      <c r="K97" s="49" t="str">
        <f>IFERROR(__xludf.DUMMYFUNCTION("""COMPUTED_VALUE"""),"")</f>
        <v/>
      </c>
      <c r="L97" s="49" t="str">
        <f>IFERROR(__xludf.DUMMYFUNCTION("""COMPUTED_VALUE"""),"")</f>
        <v/>
      </c>
      <c r="M97" s="49" t="str">
        <f>IFERROR(__xludf.DUMMYFUNCTION("""COMPUTED_VALUE"""),"")</f>
        <v/>
      </c>
      <c r="N97" s="49" t="str">
        <f>IFERROR(__xludf.DUMMYFUNCTION("""COMPUTED_VALUE"""),"")</f>
        <v/>
      </c>
      <c r="O97" s="49" t="str">
        <f>IFERROR(__xludf.DUMMYFUNCTION("""COMPUTED_VALUE"""),"")</f>
        <v/>
      </c>
      <c r="P97" s="49" t="str">
        <f>IFERROR(__xludf.DUMMYFUNCTION("""COMPUTED_VALUE"""),"")</f>
        <v/>
      </c>
      <c r="Q97" s="49" t="str">
        <f>IFERROR(__xludf.DUMMYFUNCTION("""COMPUTED_VALUE"""),"")</f>
        <v/>
      </c>
      <c r="R97" s="49" t="str">
        <f>IFERROR(__xludf.DUMMYFUNCTION("""COMPUTED_VALUE"""),"")</f>
        <v/>
      </c>
      <c r="S97" s="49" t="str">
        <f>IFERROR(__xludf.DUMMYFUNCTION("""COMPUTED_VALUE"""),"")</f>
        <v/>
      </c>
      <c r="T97" s="49" t="str">
        <f>IFERROR(__xludf.DUMMYFUNCTION("""COMPUTED_VALUE"""),"")</f>
        <v/>
      </c>
      <c r="U97" s="49" t="str">
        <f>IFERROR(__xludf.DUMMYFUNCTION("""COMPUTED_VALUE"""),"")</f>
        <v/>
      </c>
      <c r="V97" s="49" t="str">
        <f>IFERROR(__xludf.DUMMYFUNCTION("""COMPUTED_VALUE"""),"")</f>
        <v/>
      </c>
      <c r="W97" s="49" t="str">
        <f>IFERROR(__xludf.DUMMYFUNCTION("""COMPUTED_VALUE"""),"")</f>
        <v/>
      </c>
      <c r="X97" s="49" t="str">
        <f>IFERROR(__xludf.DUMMYFUNCTION("""COMPUTED_VALUE"""),"")</f>
        <v/>
      </c>
      <c r="Y97" s="49" t="str">
        <f>IFERROR(__xludf.DUMMYFUNCTION("""COMPUTED_VALUE"""),"")</f>
        <v/>
      </c>
      <c r="Z97" s="49"/>
      <c r="AA97" s="49"/>
      <c r="AB97" s="49"/>
      <c r="AC97" s="49"/>
      <c r="AD97" s="49"/>
      <c r="AE97" s="49"/>
      <c r="AF97" s="49"/>
      <c r="AG97" s="49"/>
      <c r="AH97" s="49"/>
      <c r="AI97" s="49"/>
      <c r="AJ97" s="49"/>
      <c r="AK97" s="49"/>
      <c r="AL97" s="49"/>
      <c r="AM97" s="49"/>
      <c r="AN97" s="49"/>
      <c r="AO97" s="49"/>
      <c r="AP97" s="49"/>
      <c r="AQ97" s="49"/>
      <c r="AR97" s="49"/>
      <c r="AS97" s="49"/>
      <c r="AT97" s="49"/>
      <c r="AU97" s="49"/>
      <c r="AV97" s="49"/>
      <c r="AW97" s="49"/>
      <c r="AX97" s="49"/>
    </row>
    <row r="98">
      <c r="A98" s="49"/>
      <c r="B98" s="49"/>
      <c r="C98" s="49" t="str">
        <f>IFERROR(__xludf.DUMMYFUNCTION("""COMPUTED_VALUE"""),"")</f>
        <v/>
      </c>
      <c r="D98" s="49" t="str">
        <f>IFERROR(__xludf.DUMMYFUNCTION("""COMPUTED_VALUE"""),"")</f>
        <v/>
      </c>
      <c r="E98" s="49" t="str">
        <f>IFERROR(__xludf.DUMMYFUNCTION("""COMPUTED_VALUE"""),"")</f>
        <v/>
      </c>
      <c r="F98" s="49" t="str">
        <f>IFERROR(__xludf.DUMMYFUNCTION("""COMPUTED_VALUE"""),"")</f>
        <v/>
      </c>
      <c r="G98" s="49" t="str">
        <f>IFERROR(__xludf.DUMMYFUNCTION("""COMPUTED_VALUE"""),"")</f>
        <v/>
      </c>
      <c r="H98" s="49" t="str">
        <f>IFERROR(__xludf.DUMMYFUNCTION("""COMPUTED_VALUE"""),"")</f>
        <v/>
      </c>
      <c r="I98" s="49" t="str">
        <f>IFERROR(__xludf.DUMMYFUNCTION("""COMPUTED_VALUE"""),"")</f>
        <v/>
      </c>
      <c r="J98" s="49" t="str">
        <f>IFERROR(__xludf.DUMMYFUNCTION("""COMPUTED_VALUE"""),"")</f>
        <v/>
      </c>
      <c r="K98" s="49" t="str">
        <f>IFERROR(__xludf.DUMMYFUNCTION("""COMPUTED_VALUE"""),"")</f>
        <v/>
      </c>
      <c r="L98" s="49" t="str">
        <f>IFERROR(__xludf.DUMMYFUNCTION("""COMPUTED_VALUE"""),"")</f>
        <v/>
      </c>
      <c r="M98" s="49" t="str">
        <f>IFERROR(__xludf.DUMMYFUNCTION("""COMPUTED_VALUE"""),"")</f>
        <v/>
      </c>
      <c r="N98" s="49" t="str">
        <f>IFERROR(__xludf.DUMMYFUNCTION("""COMPUTED_VALUE"""),"")</f>
        <v/>
      </c>
      <c r="O98" s="49" t="str">
        <f>IFERROR(__xludf.DUMMYFUNCTION("""COMPUTED_VALUE"""),"")</f>
        <v/>
      </c>
      <c r="P98" s="49" t="str">
        <f>IFERROR(__xludf.DUMMYFUNCTION("""COMPUTED_VALUE"""),"")</f>
        <v/>
      </c>
      <c r="Q98" s="49" t="str">
        <f>IFERROR(__xludf.DUMMYFUNCTION("""COMPUTED_VALUE"""),"")</f>
        <v/>
      </c>
      <c r="R98" s="49" t="str">
        <f>IFERROR(__xludf.DUMMYFUNCTION("""COMPUTED_VALUE"""),"")</f>
        <v/>
      </c>
      <c r="S98" s="49" t="str">
        <f>IFERROR(__xludf.DUMMYFUNCTION("""COMPUTED_VALUE"""),"")</f>
        <v/>
      </c>
      <c r="T98" s="49" t="str">
        <f>IFERROR(__xludf.DUMMYFUNCTION("""COMPUTED_VALUE"""),"")</f>
        <v/>
      </c>
      <c r="U98" s="49" t="str">
        <f>IFERROR(__xludf.DUMMYFUNCTION("""COMPUTED_VALUE"""),"")</f>
        <v/>
      </c>
      <c r="V98" s="49" t="str">
        <f>IFERROR(__xludf.DUMMYFUNCTION("""COMPUTED_VALUE"""),"")</f>
        <v/>
      </c>
      <c r="W98" s="49" t="str">
        <f>IFERROR(__xludf.DUMMYFUNCTION("""COMPUTED_VALUE"""),"")</f>
        <v/>
      </c>
      <c r="X98" s="49" t="str">
        <f>IFERROR(__xludf.DUMMYFUNCTION("""COMPUTED_VALUE"""),"")</f>
        <v/>
      </c>
      <c r="Y98" s="49" t="str">
        <f>IFERROR(__xludf.DUMMYFUNCTION("""COMPUTED_VALUE"""),"")</f>
        <v/>
      </c>
      <c r="Z98" s="49"/>
      <c r="AA98" s="49"/>
      <c r="AB98" s="49"/>
      <c r="AC98" s="49"/>
      <c r="AD98" s="49"/>
      <c r="AE98" s="49"/>
      <c r="AF98" s="49"/>
      <c r="AG98" s="49"/>
      <c r="AH98" s="49"/>
      <c r="AI98" s="49"/>
      <c r="AJ98" s="49"/>
      <c r="AK98" s="49"/>
      <c r="AL98" s="49"/>
      <c r="AM98" s="49"/>
      <c r="AN98" s="49"/>
      <c r="AO98" s="49"/>
      <c r="AP98" s="49"/>
      <c r="AQ98" s="49"/>
      <c r="AR98" s="49"/>
      <c r="AS98" s="49"/>
      <c r="AT98" s="49"/>
      <c r="AU98" s="49"/>
      <c r="AV98" s="49"/>
      <c r="AW98" s="49"/>
      <c r="AX98" s="49"/>
    </row>
    <row r="99">
      <c r="A99" s="49"/>
      <c r="B99" s="49"/>
      <c r="C99" s="49" t="str">
        <f>IFERROR(__xludf.DUMMYFUNCTION("""COMPUTED_VALUE"""),"")</f>
        <v/>
      </c>
      <c r="D99" s="49" t="str">
        <f>IFERROR(__xludf.DUMMYFUNCTION("""COMPUTED_VALUE"""),"")</f>
        <v/>
      </c>
      <c r="E99" s="49" t="str">
        <f>IFERROR(__xludf.DUMMYFUNCTION("""COMPUTED_VALUE"""),"")</f>
        <v/>
      </c>
      <c r="F99" s="49" t="str">
        <f>IFERROR(__xludf.DUMMYFUNCTION("""COMPUTED_VALUE"""),"")</f>
        <v/>
      </c>
      <c r="G99" s="49" t="str">
        <f>IFERROR(__xludf.DUMMYFUNCTION("""COMPUTED_VALUE"""),"")</f>
        <v/>
      </c>
      <c r="H99" s="49" t="str">
        <f>IFERROR(__xludf.DUMMYFUNCTION("""COMPUTED_VALUE"""),"")</f>
        <v/>
      </c>
      <c r="I99" s="49" t="str">
        <f>IFERROR(__xludf.DUMMYFUNCTION("""COMPUTED_VALUE"""),"")</f>
        <v/>
      </c>
      <c r="J99" s="49" t="str">
        <f>IFERROR(__xludf.DUMMYFUNCTION("""COMPUTED_VALUE"""),"")</f>
        <v/>
      </c>
      <c r="K99" s="49" t="str">
        <f>IFERROR(__xludf.DUMMYFUNCTION("""COMPUTED_VALUE"""),"")</f>
        <v/>
      </c>
      <c r="L99" s="49" t="str">
        <f>IFERROR(__xludf.DUMMYFUNCTION("""COMPUTED_VALUE"""),"")</f>
        <v/>
      </c>
      <c r="M99" s="49" t="str">
        <f>IFERROR(__xludf.DUMMYFUNCTION("""COMPUTED_VALUE"""),"")</f>
        <v/>
      </c>
      <c r="N99" s="49" t="str">
        <f>IFERROR(__xludf.DUMMYFUNCTION("""COMPUTED_VALUE"""),"")</f>
        <v/>
      </c>
      <c r="O99" s="49" t="str">
        <f>IFERROR(__xludf.DUMMYFUNCTION("""COMPUTED_VALUE"""),"")</f>
        <v/>
      </c>
      <c r="P99" s="49" t="str">
        <f>IFERROR(__xludf.DUMMYFUNCTION("""COMPUTED_VALUE"""),"")</f>
        <v/>
      </c>
      <c r="Q99" s="49" t="str">
        <f>IFERROR(__xludf.DUMMYFUNCTION("""COMPUTED_VALUE"""),"")</f>
        <v/>
      </c>
      <c r="R99" s="49" t="str">
        <f>IFERROR(__xludf.DUMMYFUNCTION("""COMPUTED_VALUE"""),"")</f>
        <v/>
      </c>
      <c r="S99" s="49" t="str">
        <f>IFERROR(__xludf.DUMMYFUNCTION("""COMPUTED_VALUE"""),"")</f>
        <v/>
      </c>
      <c r="T99" s="49" t="str">
        <f>IFERROR(__xludf.DUMMYFUNCTION("""COMPUTED_VALUE"""),"")</f>
        <v/>
      </c>
      <c r="U99" s="49" t="str">
        <f>IFERROR(__xludf.DUMMYFUNCTION("""COMPUTED_VALUE"""),"")</f>
        <v/>
      </c>
      <c r="V99" s="49" t="str">
        <f>IFERROR(__xludf.DUMMYFUNCTION("""COMPUTED_VALUE"""),"")</f>
        <v/>
      </c>
      <c r="W99" s="49" t="str">
        <f>IFERROR(__xludf.DUMMYFUNCTION("""COMPUTED_VALUE"""),"")</f>
        <v/>
      </c>
      <c r="X99" s="49" t="str">
        <f>IFERROR(__xludf.DUMMYFUNCTION("""COMPUTED_VALUE"""),"")</f>
        <v/>
      </c>
      <c r="Y99" s="49" t="str">
        <f>IFERROR(__xludf.DUMMYFUNCTION("""COMPUTED_VALUE"""),"")</f>
        <v/>
      </c>
      <c r="Z99" s="49"/>
      <c r="AA99" s="49"/>
      <c r="AB99" s="49"/>
      <c r="AC99" s="49"/>
      <c r="AD99" s="49"/>
      <c r="AE99" s="49"/>
      <c r="AF99" s="49"/>
      <c r="AG99" s="49"/>
      <c r="AH99" s="49"/>
      <c r="AI99" s="49"/>
      <c r="AJ99" s="49"/>
      <c r="AK99" s="49"/>
      <c r="AL99" s="49"/>
      <c r="AM99" s="49"/>
      <c r="AN99" s="49"/>
      <c r="AO99" s="49"/>
      <c r="AP99" s="49"/>
      <c r="AQ99" s="49"/>
      <c r="AR99" s="49"/>
      <c r="AS99" s="49"/>
      <c r="AT99" s="49"/>
      <c r="AU99" s="49"/>
      <c r="AV99" s="49"/>
      <c r="AW99" s="49"/>
      <c r="AX99" s="49"/>
    </row>
    <row r="100">
      <c r="A100" s="49"/>
      <c r="B100" s="49"/>
      <c r="C100" s="49" t="str">
        <f>IFERROR(__xludf.DUMMYFUNCTION("""COMPUTED_VALUE"""),"")</f>
        <v/>
      </c>
      <c r="D100" s="49" t="str">
        <f>IFERROR(__xludf.DUMMYFUNCTION("""COMPUTED_VALUE"""),"")</f>
        <v/>
      </c>
      <c r="E100" s="49" t="str">
        <f>IFERROR(__xludf.DUMMYFUNCTION("""COMPUTED_VALUE"""),"")</f>
        <v/>
      </c>
      <c r="F100" s="49" t="str">
        <f>IFERROR(__xludf.DUMMYFUNCTION("""COMPUTED_VALUE"""),"")</f>
        <v/>
      </c>
      <c r="G100" s="49" t="str">
        <f>IFERROR(__xludf.DUMMYFUNCTION("""COMPUTED_VALUE"""),"")</f>
        <v/>
      </c>
      <c r="H100" s="49" t="str">
        <f>IFERROR(__xludf.DUMMYFUNCTION("""COMPUTED_VALUE"""),"")</f>
        <v/>
      </c>
      <c r="I100" s="49" t="str">
        <f>IFERROR(__xludf.DUMMYFUNCTION("""COMPUTED_VALUE"""),"")</f>
        <v/>
      </c>
      <c r="J100" s="49" t="str">
        <f>IFERROR(__xludf.DUMMYFUNCTION("""COMPUTED_VALUE"""),"")</f>
        <v/>
      </c>
      <c r="K100" s="49" t="str">
        <f>IFERROR(__xludf.DUMMYFUNCTION("""COMPUTED_VALUE"""),"")</f>
        <v/>
      </c>
      <c r="L100" s="49" t="str">
        <f>IFERROR(__xludf.DUMMYFUNCTION("""COMPUTED_VALUE"""),"")</f>
        <v/>
      </c>
      <c r="M100" s="49" t="str">
        <f>IFERROR(__xludf.DUMMYFUNCTION("""COMPUTED_VALUE"""),"")</f>
        <v/>
      </c>
      <c r="N100" s="49" t="str">
        <f>IFERROR(__xludf.DUMMYFUNCTION("""COMPUTED_VALUE"""),"")</f>
        <v/>
      </c>
      <c r="O100" s="49" t="str">
        <f>IFERROR(__xludf.DUMMYFUNCTION("""COMPUTED_VALUE"""),"")</f>
        <v/>
      </c>
      <c r="P100" s="49" t="str">
        <f>IFERROR(__xludf.DUMMYFUNCTION("""COMPUTED_VALUE"""),"")</f>
        <v/>
      </c>
      <c r="Q100" s="49" t="str">
        <f>IFERROR(__xludf.DUMMYFUNCTION("""COMPUTED_VALUE"""),"")</f>
        <v/>
      </c>
      <c r="R100" s="49" t="str">
        <f>IFERROR(__xludf.DUMMYFUNCTION("""COMPUTED_VALUE"""),"")</f>
        <v/>
      </c>
      <c r="S100" s="49" t="str">
        <f>IFERROR(__xludf.DUMMYFUNCTION("""COMPUTED_VALUE"""),"")</f>
        <v/>
      </c>
      <c r="T100" s="49" t="str">
        <f>IFERROR(__xludf.DUMMYFUNCTION("""COMPUTED_VALUE"""),"")</f>
        <v/>
      </c>
      <c r="U100" s="49" t="str">
        <f>IFERROR(__xludf.DUMMYFUNCTION("""COMPUTED_VALUE"""),"")</f>
        <v/>
      </c>
      <c r="V100" s="49" t="str">
        <f>IFERROR(__xludf.DUMMYFUNCTION("""COMPUTED_VALUE"""),"")</f>
        <v/>
      </c>
      <c r="W100" s="49" t="str">
        <f>IFERROR(__xludf.DUMMYFUNCTION("""COMPUTED_VALUE"""),"")</f>
        <v/>
      </c>
      <c r="X100" s="49" t="str">
        <f>IFERROR(__xludf.DUMMYFUNCTION("""COMPUTED_VALUE"""),"")</f>
        <v/>
      </c>
      <c r="Y100" s="49" t="str">
        <f>IFERROR(__xludf.DUMMYFUNCTION("""COMPUTED_VALUE"""),"")</f>
        <v/>
      </c>
      <c r="Z100" s="49"/>
      <c r="AA100" s="49"/>
      <c r="AB100" s="49"/>
      <c r="AC100" s="49"/>
      <c r="AD100" s="49"/>
      <c r="AE100" s="49"/>
      <c r="AF100" s="49"/>
      <c r="AG100" s="49"/>
      <c r="AH100" s="49"/>
      <c r="AI100" s="49"/>
      <c r="AJ100" s="49"/>
      <c r="AK100" s="49"/>
      <c r="AL100" s="49"/>
      <c r="AM100" s="49"/>
      <c r="AN100" s="49"/>
      <c r="AO100" s="49"/>
      <c r="AP100" s="49"/>
      <c r="AQ100" s="49"/>
      <c r="AR100" s="49"/>
      <c r="AS100" s="49"/>
      <c r="AT100" s="49"/>
      <c r="AU100" s="49"/>
      <c r="AV100" s="49"/>
      <c r="AW100" s="49"/>
      <c r="AX100" s="49"/>
    </row>
    <row r="101">
      <c r="A101" s="49"/>
      <c r="B101" s="49"/>
      <c r="C101" s="49" t="str">
        <f>IFERROR(__xludf.DUMMYFUNCTION("""COMPUTED_VALUE"""),"")</f>
        <v/>
      </c>
      <c r="D101" s="49" t="str">
        <f>IFERROR(__xludf.DUMMYFUNCTION("""COMPUTED_VALUE"""),"")</f>
        <v/>
      </c>
      <c r="E101" s="49" t="str">
        <f>IFERROR(__xludf.DUMMYFUNCTION("""COMPUTED_VALUE"""),"")</f>
        <v/>
      </c>
      <c r="F101" s="49" t="str">
        <f>IFERROR(__xludf.DUMMYFUNCTION("""COMPUTED_VALUE"""),"")</f>
        <v/>
      </c>
      <c r="G101" s="49" t="str">
        <f>IFERROR(__xludf.DUMMYFUNCTION("""COMPUTED_VALUE"""),"")</f>
        <v/>
      </c>
      <c r="H101" s="49" t="str">
        <f>IFERROR(__xludf.DUMMYFUNCTION("""COMPUTED_VALUE"""),"")</f>
        <v/>
      </c>
      <c r="I101" s="49" t="str">
        <f>IFERROR(__xludf.DUMMYFUNCTION("""COMPUTED_VALUE"""),"")</f>
        <v/>
      </c>
      <c r="J101" s="49" t="str">
        <f>IFERROR(__xludf.DUMMYFUNCTION("""COMPUTED_VALUE"""),"")</f>
        <v/>
      </c>
      <c r="K101" s="49" t="str">
        <f>IFERROR(__xludf.DUMMYFUNCTION("""COMPUTED_VALUE"""),"")</f>
        <v/>
      </c>
      <c r="L101" s="49" t="str">
        <f>IFERROR(__xludf.DUMMYFUNCTION("""COMPUTED_VALUE"""),"")</f>
        <v/>
      </c>
      <c r="M101" s="49" t="str">
        <f>IFERROR(__xludf.DUMMYFUNCTION("""COMPUTED_VALUE"""),"")</f>
        <v/>
      </c>
      <c r="N101" s="49" t="str">
        <f>IFERROR(__xludf.DUMMYFUNCTION("""COMPUTED_VALUE"""),"")</f>
        <v/>
      </c>
      <c r="O101" s="49" t="str">
        <f>IFERROR(__xludf.DUMMYFUNCTION("""COMPUTED_VALUE"""),"")</f>
        <v/>
      </c>
      <c r="P101" s="49" t="str">
        <f>IFERROR(__xludf.DUMMYFUNCTION("""COMPUTED_VALUE"""),"")</f>
        <v/>
      </c>
      <c r="Q101" s="49" t="str">
        <f>IFERROR(__xludf.DUMMYFUNCTION("""COMPUTED_VALUE"""),"")</f>
        <v/>
      </c>
      <c r="R101" s="49" t="str">
        <f>IFERROR(__xludf.DUMMYFUNCTION("""COMPUTED_VALUE"""),"")</f>
        <v/>
      </c>
      <c r="S101" s="49" t="str">
        <f>IFERROR(__xludf.DUMMYFUNCTION("""COMPUTED_VALUE"""),"")</f>
        <v/>
      </c>
      <c r="T101" s="49" t="str">
        <f>IFERROR(__xludf.DUMMYFUNCTION("""COMPUTED_VALUE"""),"")</f>
        <v/>
      </c>
      <c r="U101" s="49" t="str">
        <f>IFERROR(__xludf.DUMMYFUNCTION("""COMPUTED_VALUE"""),"")</f>
        <v/>
      </c>
      <c r="V101" s="49" t="str">
        <f>IFERROR(__xludf.DUMMYFUNCTION("""COMPUTED_VALUE"""),"")</f>
        <v/>
      </c>
      <c r="W101" s="49" t="str">
        <f>IFERROR(__xludf.DUMMYFUNCTION("""COMPUTED_VALUE"""),"")</f>
        <v/>
      </c>
      <c r="X101" s="49" t="str">
        <f>IFERROR(__xludf.DUMMYFUNCTION("""COMPUTED_VALUE"""),"")</f>
        <v/>
      </c>
      <c r="Y101" s="49" t="str">
        <f>IFERROR(__xludf.DUMMYFUNCTION("""COMPUTED_VALUE"""),"")</f>
        <v/>
      </c>
      <c r="Z101" s="49"/>
      <c r="AA101" s="49"/>
      <c r="AB101" s="49"/>
      <c r="AC101" s="49"/>
      <c r="AD101" s="49"/>
      <c r="AE101" s="49"/>
      <c r="AF101" s="49"/>
      <c r="AG101" s="49"/>
      <c r="AH101" s="49"/>
      <c r="AI101" s="49"/>
      <c r="AJ101" s="49"/>
      <c r="AK101" s="49"/>
      <c r="AL101" s="49"/>
      <c r="AM101" s="49"/>
      <c r="AN101" s="49"/>
      <c r="AO101" s="49"/>
      <c r="AP101" s="49"/>
      <c r="AQ101" s="49"/>
      <c r="AR101" s="49"/>
      <c r="AS101" s="49"/>
      <c r="AT101" s="49"/>
      <c r="AU101" s="49"/>
      <c r="AV101" s="49"/>
      <c r="AW101" s="49"/>
      <c r="AX101" s="49"/>
    </row>
    <row r="102">
      <c r="A102" s="49"/>
      <c r="B102" s="49"/>
      <c r="C102" s="49" t="str">
        <f>IFERROR(__xludf.DUMMYFUNCTION("""COMPUTED_VALUE"""),"")</f>
        <v/>
      </c>
      <c r="D102" s="49" t="str">
        <f>IFERROR(__xludf.DUMMYFUNCTION("""COMPUTED_VALUE"""),"")</f>
        <v/>
      </c>
      <c r="E102" s="49" t="str">
        <f>IFERROR(__xludf.DUMMYFUNCTION("""COMPUTED_VALUE"""),"")</f>
        <v/>
      </c>
      <c r="F102" s="49" t="str">
        <f>IFERROR(__xludf.DUMMYFUNCTION("""COMPUTED_VALUE"""),"")</f>
        <v/>
      </c>
      <c r="G102" s="49" t="str">
        <f>IFERROR(__xludf.DUMMYFUNCTION("""COMPUTED_VALUE"""),"")</f>
        <v/>
      </c>
      <c r="H102" s="49" t="str">
        <f>IFERROR(__xludf.DUMMYFUNCTION("""COMPUTED_VALUE"""),"")</f>
        <v/>
      </c>
      <c r="I102" s="49" t="str">
        <f>IFERROR(__xludf.DUMMYFUNCTION("""COMPUTED_VALUE"""),"")</f>
        <v/>
      </c>
      <c r="J102" s="49" t="str">
        <f>IFERROR(__xludf.DUMMYFUNCTION("""COMPUTED_VALUE"""),"")</f>
        <v/>
      </c>
      <c r="K102" s="49" t="str">
        <f>IFERROR(__xludf.DUMMYFUNCTION("""COMPUTED_VALUE"""),"")</f>
        <v/>
      </c>
      <c r="L102" s="49" t="str">
        <f>IFERROR(__xludf.DUMMYFUNCTION("""COMPUTED_VALUE"""),"")</f>
        <v/>
      </c>
      <c r="M102" s="49" t="str">
        <f>IFERROR(__xludf.DUMMYFUNCTION("""COMPUTED_VALUE"""),"")</f>
        <v/>
      </c>
      <c r="N102" s="49" t="str">
        <f>IFERROR(__xludf.DUMMYFUNCTION("""COMPUTED_VALUE"""),"")</f>
        <v/>
      </c>
      <c r="O102" s="49" t="str">
        <f>IFERROR(__xludf.DUMMYFUNCTION("""COMPUTED_VALUE"""),"")</f>
        <v/>
      </c>
      <c r="P102" s="49" t="str">
        <f>IFERROR(__xludf.DUMMYFUNCTION("""COMPUTED_VALUE"""),"")</f>
        <v/>
      </c>
      <c r="Q102" s="49" t="str">
        <f>IFERROR(__xludf.DUMMYFUNCTION("""COMPUTED_VALUE"""),"")</f>
        <v/>
      </c>
      <c r="R102" s="49" t="str">
        <f>IFERROR(__xludf.DUMMYFUNCTION("""COMPUTED_VALUE"""),"")</f>
        <v/>
      </c>
      <c r="S102" s="49" t="str">
        <f>IFERROR(__xludf.DUMMYFUNCTION("""COMPUTED_VALUE"""),"")</f>
        <v/>
      </c>
      <c r="T102" s="49" t="str">
        <f>IFERROR(__xludf.DUMMYFUNCTION("""COMPUTED_VALUE"""),"")</f>
        <v/>
      </c>
      <c r="U102" s="49" t="str">
        <f>IFERROR(__xludf.DUMMYFUNCTION("""COMPUTED_VALUE"""),"")</f>
        <v/>
      </c>
      <c r="V102" s="49" t="str">
        <f>IFERROR(__xludf.DUMMYFUNCTION("""COMPUTED_VALUE"""),"")</f>
        <v/>
      </c>
      <c r="W102" s="49" t="str">
        <f>IFERROR(__xludf.DUMMYFUNCTION("""COMPUTED_VALUE"""),"")</f>
        <v/>
      </c>
      <c r="X102" s="49" t="str">
        <f>IFERROR(__xludf.DUMMYFUNCTION("""COMPUTED_VALUE"""),"")</f>
        <v/>
      </c>
      <c r="Y102" s="49" t="str">
        <f>IFERROR(__xludf.DUMMYFUNCTION("""COMPUTED_VALUE"""),"")</f>
        <v/>
      </c>
      <c r="Z102" s="49"/>
      <c r="AA102" s="49"/>
      <c r="AB102" s="49"/>
      <c r="AC102" s="49"/>
      <c r="AD102" s="49"/>
      <c r="AE102" s="49"/>
      <c r="AF102" s="49"/>
      <c r="AG102" s="49"/>
      <c r="AH102" s="49"/>
      <c r="AI102" s="49"/>
      <c r="AJ102" s="49"/>
      <c r="AK102" s="49"/>
      <c r="AL102" s="49"/>
      <c r="AM102" s="49"/>
      <c r="AN102" s="49"/>
      <c r="AO102" s="49"/>
      <c r="AP102" s="49"/>
      <c r="AQ102" s="49"/>
      <c r="AR102" s="49"/>
      <c r="AS102" s="49"/>
      <c r="AT102" s="49"/>
      <c r="AU102" s="49"/>
      <c r="AV102" s="49"/>
      <c r="AW102" s="49"/>
      <c r="AX102" s="49"/>
    </row>
    <row r="103">
      <c r="A103" s="49"/>
      <c r="B103" s="49"/>
      <c r="C103" s="49" t="str">
        <f>IFERROR(__xludf.DUMMYFUNCTION("""COMPUTED_VALUE"""),"")</f>
        <v/>
      </c>
      <c r="D103" s="49" t="str">
        <f>IFERROR(__xludf.DUMMYFUNCTION("""COMPUTED_VALUE"""),"")</f>
        <v/>
      </c>
      <c r="E103" s="49" t="str">
        <f>IFERROR(__xludf.DUMMYFUNCTION("""COMPUTED_VALUE"""),"")</f>
        <v/>
      </c>
      <c r="F103" s="49" t="str">
        <f>IFERROR(__xludf.DUMMYFUNCTION("""COMPUTED_VALUE"""),"")</f>
        <v/>
      </c>
      <c r="G103" s="49" t="str">
        <f>IFERROR(__xludf.DUMMYFUNCTION("""COMPUTED_VALUE"""),"")</f>
        <v/>
      </c>
      <c r="H103" s="49" t="str">
        <f>IFERROR(__xludf.DUMMYFUNCTION("""COMPUTED_VALUE"""),"")</f>
        <v/>
      </c>
      <c r="I103" s="49" t="str">
        <f>IFERROR(__xludf.DUMMYFUNCTION("""COMPUTED_VALUE"""),"")</f>
        <v/>
      </c>
      <c r="J103" s="49" t="str">
        <f>IFERROR(__xludf.DUMMYFUNCTION("""COMPUTED_VALUE"""),"")</f>
        <v/>
      </c>
      <c r="K103" s="49" t="str">
        <f>IFERROR(__xludf.DUMMYFUNCTION("""COMPUTED_VALUE"""),"")</f>
        <v/>
      </c>
      <c r="L103" s="49" t="str">
        <f>IFERROR(__xludf.DUMMYFUNCTION("""COMPUTED_VALUE"""),"")</f>
        <v/>
      </c>
      <c r="M103" s="49" t="str">
        <f>IFERROR(__xludf.DUMMYFUNCTION("""COMPUTED_VALUE"""),"")</f>
        <v/>
      </c>
      <c r="N103" s="49" t="str">
        <f>IFERROR(__xludf.DUMMYFUNCTION("""COMPUTED_VALUE"""),"")</f>
        <v/>
      </c>
      <c r="O103" s="49" t="str">
        <f>IFERROR(__xludf.DUMMYFUNCTION("""COMPUTED_VALUE"""),"")</f>
        <v/>
      </c>
      <c r="P103" s="49" t="str">
        <f>IFERROR(__xludf.DUMMYFUNCTION("""COMPUTED_VALUE"""),"")</f>
        <v/>
      </c>
      <c r="Q103" s="49" t="str">
        <f>IFERROR(__xludf.DUMMYFUNCTION("""COMPUTED_VALUE"""),"")</f>
        <v/>
      </c>
      <c r="R103" s="49" t="str">
        <f>IFERROR(__xludf.DUMMYFUNCTION("""COMPUTED_VALUE"""),"")</f>
        <v/>
      </c>
      <c r="S103" s="49" t="str">
        <f>IFERROR(__xludf.DUMMYFUNCTION("""COMPUTED_VALUE"""),"")</f>
        <v/>
      </c>
      <c r="T103" s="49" t="str">
        <f>IFERROR(__xludf.DUMMYFUNCTION("""COMPUTED_VALUE"""),"")</f>
        <v/>
      </c>
      <c r="U103" s="49" t="str">
        <f>IFERROR(__xludf.DUMMYFUNCTION("""COMPUTED_VALUE"""),"")</f>
        <v/>
      </c>
      <c r="V103" s="49" t="str">
        <f>IFERROR(__xludf.DUMMYFUNCTION("""COMPUTED_VALUE"""),"")</f>
        <v/>
      </c>
      <c r="W103" s="49" t="str">
        <f>IFERROR(__xludf.DUMMYFUNCTION("""COMPUTED_VALUE"""),"")</f>
        <v/>
      </c>
      <c r="X103" s="49" t="str">
        <f>IFERROR(__xludf.DUMMYFUNCTION("""COMPUTED_VALUE"""),"")</f>
        <v/>
      </c>
      <c r="Y103" s="49" t="str">
        <f>IFERROR(__xludf.DUMMYFUNCTION("""COMPUTED_VALUE"""),"")</f>
        <v/>
      </c>
      <c r="Z103" s="49"/>
      <c r="AA103" s="49"/>
      <c r="AB103" s="49"/>
      <c r="AC103" s="49"/>
      <c r="AD103" s="49"/>
      <c r="AE103" s="49"/>
      <c r="AF103" s="49"/>
      <c r="AG103" s="49"/>
      <c r="AH103" s="49"/>
      <c r="AI103" s="49"/>
      <c r="AJ103" s="49"/>
      <c r="AK103" s="49"/>
      <c r="AL103" s="49"/>
      <c r="AM103" s="49"/>
      <c r="AN103" s="49"/>
      <c r="AO103" s="49"/>
      <c r="AP103" s="49"/>
      <c r="AQ103" s="49"/>
      <c r="AR103" s="49"/>
      <c r="AS103" s="49"/>
      <c r="AT103" s="49"/>
      <c r="AU103" s="49"/>
      <c r="AV103" s="49"/>
      <c r="AW103" s="49"/>
      <c r="AX103" s="49"/>
    </row>
    <row r="104">
      <c r="A104" s="49"/>
      <c r="B104" s="49"/>
      <c r="C104" s="49" t="str">
        <f>IFERROR(__xludf.DUMMYFUNCTION("""COMPUTED_VALUE"""),"")</f>
        <v/>
      </c>
      <c r="D104" s="49" t="str">
        <f>IFERROR(__xludf.DUMMYFUNCTION("""COMPUTED_VALUE"""),"")</f>
        <v/>
      </c>
      <c r="E104" s="49" t="str">
        <f>IFERROR(__xludf.DUMMYFUNCTION("""COMPUTED_VALUE"""),"")</f>
        <v/>
      </c>
      <c r="F104" s="49" t="str">
        <f>IFERROR(__xludf.DUMMYFUNCTION("""COMPUTED_VALUE"""),"")</f>
        <v/>
      </c>
      <c r="G104" s="49" t="str">
        <f>IFERROR(__xludf.DUMMYFUNCTION("""COMPUTED_VALUE"""),"")</f>
        <v/>
      </c>
      <c r="H104" s="49" t="str">
        <f>IFERROR(__xludf.DUMMYFUNCTION("""COMPUTED_VALUE"""),"")</f>
        <v/>
      </c>
      <c r="I104" s="49" t="str">
        <f>IFERROR(__xludf.DUMMYFUNCTION("""COMPUTED_VALUE"""),"")</f>
        <v/>
      </c>
      <c r="J104" s="49" t="str">
        <f>IFERROR(__xludf.DUMMYFUNCTION("""COMPUTED_VALUE"""),"")</f>
        <v/>
      </c>
      <c r="K104" s="49" t="str">
        <f>IFERROR(__xludf.DUMMYFUNCTION("""COMPUTED_VALUE"""),"")</f>
        <v/>
      </c>
      <c r="L104" s="49" t="str">
        <f>IFERROR(__xludf.DUMMYFUNCTION("""COMPUTED_VALUE"""),"")</f>
        <v/>
      </c>
      <c r="M104" s="49" t="str">
        <f>IFERROR(__xludf.DUMMYFUNCTION("""COMPUTED_VALUE"""),"")</f>
        <v/>
      </c>
      <c r="N104" s="49" t="str">
        <f>IFERROR(__xludf.DUMMYFUNCTION("""COMPUTED_VALUE"""),"")</f>
        <v/>
      </c>
      <c r="O104" s="49" t="str">
        <f>IFERROR(__xludf.DUMMYFUNCTION("""COMPUTED_VALUE"""),"")</f>
        <v/>
      </c>
      <c r="P104" s="49" t="str">
        <f>IFERROR(__xludf.DUMMYFUNCTION("""COMPUTED_VALUE"""),"")</f>
        <v/>
      </c>
      <c r="Q104" s="49" t="str">
        <f>IFERROR(__xludf.DUMMYFUNCTION("""COMPUTED_VALUE"""),"")</f>
        <v/>
      </c>
      <c r="R104" s="49" t="str">
        <f>IFERROR(__xludf.DUMMYFUNCTION("""COMPUTED_VALUE"""),"")</f>
        <v/>
      </c>
      <c r="S104" s="49" t="str">
        <f>IFERROR(__xludf.DUMMYFUNCTION("""COMPUTED_VALUE"""),"")</f>
        <v/>
      </c>
      <c r="T104" s="49" t="str">
        <f>IFERROR(__xludf.DUMMYFUNCTION("""COMPUTED_VALUE"""),"")</f>
        <v/>
      </c>
      <c r="U104" s="49" t="str">
        <f>IFERROR(__xludf.DUMMYFUNCTION("""COMPUTED_VALUE"""),"")</f>
        <v/>
      </c>
      <c r="V104" s="49" t="str">
        <f>IFERROR(__xludf.DUMMYFUNCTION("""COMPUTED_VALUE"""),"")</f>
        <v/>
      </c>
      <c r="W104" s="49" t="str">
        <f>IFERROR(__xludf.DUMMYFUNCTION("""COMPUTED_VALUE"""),"")</f>
        <v/>
      </c>
      <c r="X104" s="49" t="str">
        <f>IFERROR(__xludf.DUMMYFUNCTION("""COMPUTED_VALUE"""),"")</f>
        <v/>
      </c>
      <c r="Y104" s="49" t="str">
        <f>IFERROR(__xludf.DUMMYFUNCTION("""COMPUTED_VALUE"""),"")</f>
        <v/>
      </c>
      <c r="Z104" s="49"/>
      <c r="AA104" s="49"/>
      <c r="AB104" s="49"/>
      <c r="AC104" s="49"/>
      <c r="AD104" s="49"/>
      <c r="AE104" s="49"/>
      <c r="AF104" s="49"/>
      <c r="AG104" s="49"/>
      <c r="AH104" s="49"/>
      <c r="AI104" s="49"/>
      <c r="AJ104" s="49"/>
      <c r="AK104" s="49"/>
      <c r="AL104" s="49"/>
      <c r="AM104" s="49"/>
      <c r="AN104" s="49"/>
      <c r="AO104" s="49"/>
      <c r="AP104" s="49"/>
      <c r="AQ104" s="49"/>
      <c r="AR104" s="49"/>
      <c r="AS104" s="49"/>
      <c r="AT104" s="49"/>
      <c r="AU104" s="49"/>
      <c r="AV104" s="49"/>
      <c r="AW104" s="49"/>
      <c r="AX104" s="49"/>
    </row>
    <row r="105">
      <c r="A105" s="49"/>
      <c r="B105" s="49"/>
      <c r="C105" s="49" t="str">
        <f>IFERROR(__xludf.DUMMYFUNCTION("""COMPUTED_VALUE"""),"")</f>
        <v/>
      </c>
      <c r="D105" s="49" t="str">
        <f>IFERROR(__xludf.DUMMYFUNCTION("""COMPUTED_VALUE"""),"")</f>
        <v/>
      </c>
      <c r="E105" s="49" t="str">
        <f>IFERROR(__xludf.DUMMYFUNCTION("""COMPUTED_VALUE"""),"")</f>
        <v/>
      </c>
      <c r="F105" s="49" t="str">
        <f>IFERROR(__xludf.DUMMYFUNCTION("""COMPUTED_VALUE"""),"")</f>
        <v/>
      </c>
      <c r="G105" s="49" t="str">
        <f>IFERROR(__xludf.DUMMYFUNCTION("""COMPUTED_VALUE"""),"")</f>
        <v/>
      </c>
      <c r="H105" s="49" t="str">
        <f>IFERROR(__xludf.DUMMYFUNCTION("""COMPUTED_VALUE"""),"")</f>
        <v/>
      </c>
      <c r="I105" s="49" t="str">
        <f>IFERROR(__xludf.DUMMYFUNCTION("""COMPUTED_VALUE"""),"")</f>
        <v/>
      </c>
      <c r="J105" s="49" t="str">
        <f>IFERROR(__xludf.DUMMYFUNCTION("""COMPUTED_VALUE"""),"")</f>
        <v/>
      </c>
      <c r="K105" s="49" t="str">
        <f>IFERROR(__xludf.DUMMYFUNCTION("""COMPUTED_VALUE"""),"")</f>
        <v/>
      </c>
      <c r="L105" s="49" t="str">
        <f>IFERROR(__xludf.DUMMYFUNCTION("""COMPUTED_VALUE"""),"")</f>
        <v/>
      </c>
      <c r="M105" s="49" t="str">
        <f>IFERROR(__xludf.DUMMYFUNCTION("""COMPUTED_VALUE"""),"")</f>
        <v/>
      </c>
      <c r="N105" s="49" t="str">
        <f>IFERROR(__xludf.DUMMYFUNCTION("""COMPUTED_VALUE"""),"")</f>
        <v/>
      </c>
      <c r="O105" s="49" t="str">
        <f>IFERROR(__xludf.DUMMYFUNCTION("""COMPUTED_VALUE"""),"")</f>
        <v/>
      </c>
      <c r="P105" s="49" t="str">
        <f>IFERROR(__xludf.DUMMYFUNCTION("""COMPUTED_VALUE"""),"")</f>
        <v/>
      </c>
      <c r="Q105" s="49" t="str">
        <f>IFERROR(__xludf.DUMMYFUNCTION("""COMPUTED_VALUE"""),"")</f>
        <v/>
      </c>
      <c r="R105" s="49" t="str">
        <f>IFERROR(__xludf.DUMMYFUNCTION("""COMPUTED_VALUE"""),"")</f>
        <v/>
      </c>
      <c r="S105" s="49" t="str">
        <f>IFERROR(__xludf.DUMMYFUNCTION("""COMPUTED_VALUE"""),"")</f>
        <v/>
      </c>
      <c r="T105" s="49" t="str">
        <f>IFERROR(__xludf.DUMMYFUNCTION("""COMPUTED_VALUE"""),"")</f>
        <v/>
      </c>
      <c r="U105" s="49" t="str">
        <f>IFERROR(__xludf.DUMMYFUNCTION("""COMPUTED_VALUE"""),"")</f>
        <v/>
      </c>
      <c r="V105" s="49" t="str">
        <f>IFERROR(__xludf.DUMMYFUNCTION("""COMPUTED_VALUE"""),"")</f>
        <v/>
      </c>
      <c r="W105" s="49" t="str">
        <f>IFERROR(__xludf.DUMMYFUNCTION("""COMPUTED_VALUE"""),"")</f>
        <v/>
      </c>
      <c r="X105" s="49" t="str">
        <f>IFERROR(__xludf.DUMMYFUNCTION("""COMPUTED_VALUE"""),"")</f>
        <v/>
      </c>
      <c r="Y105" s="49" t="str">
        <f>IFERROR(__xludf.DUMMYFUNCTION("""COMPUTED_VALUE"""),"")</f>
        <v/>
      </c>
      <c r="Z105" s="49"/>
      <c r="AA105" s="49"/>
      <c r="AB105" s="49"/>
      <c r="AC105" s="49"/>
      <c r="AD105" s="49"/>
      <c r="AE105" s="49"/>
      <c r="AF105" s="49"/>
      <c r="AG105" s="49"/>
      <c r="AH105" s="49"/>
      <c r="AI105" s="49"/>
      <c r="AJ105" s="49"/>
      <c r="AK105" s="49"/>
      <c r="AL105" s="49"/>
      <c r="AM105" s="49"/>
      <c r="AN105" s="49"/>
      <c r="AO105" s="49"/>
      <c r="AP105" s="49"/>
      <c r="AQ105" s="49"/>
      <c r="AR105" s="49"/>
      <c r="AS105" s="49"/>
      <c r="AT105" s="49"/>
      <c r="AU105" s="49"/>
      <c r="AV105" s="49"/>
      <c r="AW105" s="49"/>
      <c r="AX105" s="49"/>
    </row>
    <row r="106">
      <c r="A106" s="49"/>
      <c r="B106" s="49"/>
      <c r="C106" s="49" t="str">
        <f>IFERROR(__xludf.DUMMYFUNCTION("""COMPUTED_VALUE"""),"")</f>
        <v/>
      </c>
      <c r="D106" s="49" t="str">
        <f>IFERROR(__xludf.DUMMYFUNCTION("""COMPUTED_VALUE"""),"")</f>
        <v/>
      </c>
      <c r="E106" s="49" t="str">
        <f>IFERROR(__xludf.DUMMYFUNCTION("""COMPUTED_VALUE"""),"")</f>
        <v/>
      </c>
      <c r="F106" s="49" t="str">
        <f>IFERROR(__xludf.DUMMYFUNCTION("""COMPUTED_VALUE"""),"")</f>
        <v/>
      </c>
      <c r="G106" s="49" t="str">
        <f>IFERROR(__xludf.DUMMYFUNCTION("""COMPUTED_VALUE"""),"")</f>
        <v/>
      </c>
      <c r="H106" s="49" t="str">
        <f>IFERROR(__xludf.DUMMYFUNCTION("""COMPUTED_VALUE"""),"")</f>
        <v/>
      </c>
      <c r="I106" s="49" t="str">
        <f>IFERROR(__xludf.DUMMYFUNCTION("""COMPUTED_VALUE"""),"")</f>
        <v/>
      </c>
      <c r="J106" s="49" t="str">
        <f>IFERROR(__xludf.DUMMYFUNCTION("""COMPUTED_VALUE"""),"")</f>
        <v/>
      </c>
      <c r="K106" s="49" t="str">
        <f>IFERROR(__xludf.DUMMYFUNCTION("""COMPUTED_VALUE"""),"")</f>
        <v/>
      </c>
      <c r="L106" s="49" t="str">
        <f>IFERROR(__xludf.DUMMYFUNCTION("""COMPUTED_VALUE"""),"")</f>
        <v/>
      </c>
      <c r="M106" s="49" t="str">
        <f>IFERROR(__xludf.DUMMYFUNCTION("""COMPUTED_VALUE"""),"")</f>
        <v/>
      </c>
      <c r="N106" s="49" t="str">
        <f>IFERROR(__xludf.DUMMYFUNCTION("""COMPUTED_VALUE"""),"")</f>
        <v/>
      </c>
      <c r="O106" s="49" t="str">
        <f>IFERROR(__xludf.DUMMYFUNCTION("""COMPUTED_VALUE"""),"")</f>
        <v/>
      </c>
      <c r="P106" s="49" t="str">
        <f>IFERROR(__xludf.DUMMYFUNCTION("""COMPUTED_VALUE"""),"")</f>
        <v/>
      </c>
      <c r="Q106" s="49" t="str">
        <f>IFERROR(__xludf.DUMMYFUNCTION("""COMPUTED_VALUE"""),"")</f>
        <v/>
      </c>
      <c r="R106" s="49" t="str">
        <f>IFERROR(__xludf.DUMMYFUNCTION("""COMPUTED_VALUE"""),"")</f>
        <v/>
      </c>
      <c r="S106" s="49" t="str">
        <f>IFERROR(__xludf.DUMMYFUNCTION("""COMPUTED_VALUE"""),"")</f>
        <v/>
      </c>
      <c r="T106" s="49" t="str">
        <f>IFERROR(__xludf.DUMMYFUNCTION("""COMPUTED_VALUE"""),"")</f>
        <v/>
      </c>
      <c r="U106" s="49" t="str">
        <f>IFERROR(__xludf.DUMMYFUNCTION("""COMPUTED_VALUE"""),"")</f>
        <v/>
      </c>
      <c r="V106" s="49" t="str">
        <f>IFERROR(__xludf.DUMMYFUNCTION("""COMPUTED_VALUE"""),"")</f>
        <v/>
      </c>
      <c r="W106" s="49" t="str">
        <f>IFERROR(__xludf.DUMMYFUNCTION("""COMPUTED_VALUE"""),"")</f>
        <v/>
      </c>
      <c r="X106" s="49" t="str">
        <f>IFERROR(__xludf.DUMMYFUNCTION("""COMPUTED_VALUE"""),"")</f>
        <v/>
      </c>
      <c r="Y106" s="49" t="str">
        <f>IFERROR(__xludf.DUMMYFUNCTION("""COMPUTED_VALUE"""),"")</f>
        <v/>
      </c>
      <c r="Z106" s="49"/>
      <c r="AA106" s="49"/>
      <c r="AB106" s="49"/>
      <c r="AC106" s="49"/>
      <c r="AD106" s="49"/>
      <c r="AE106" s="49"/>
      <c r="AF106" s="49"/>
      <c r="AG106" s="49"/>
      <c r="AH106" s="49"/>
      <c r="AI106" s="49"/>
      <c r="AJ106" s="49"/>
      <c r="AK106" s="49"/>
      <c r="AL106" s="49"/>
      <c r="AM106" s="49"/>
      <c r="AN106" s="49"/>
      <c r="AO106" s="49"/>
      <c r="AP106" s="49"/>
      <c r="AQ106" s="49"/>
      <c r="AR106" s="49"/>
      <c r="AS106" s="49"/>
      <c r="AT106" s="49"/>
      <c r="AU106" s="49"/>
      <c r="AV106" s="49"/>
      <c r="AW106" s="49"/>
      <c r="AX106" s="49"/>
    </row>
    <row r="107">
      <c r="A107" s="49"/>
      <c r="B107" s="49"/>
      <c r="C107" s="49" t="str">
        <f>IFERROR(__xludf.DUMMYFUNCTION("""COMPUTED_VALUE"""),"")</f>
        <v/>
      </c>
      <c r="D107" s="49" t="str">
        <f>IFERROR(__xludf.DUMMYFUNCTION("""COMPUTED_VALUE"""),"")</f>
        <v/>
      </c>
      <c r="E107" s="49" t="str">
        <f>IFERROR(__xludf.DUMMYFUNCTION("""COMPUTED_VALUE"""),"")</f>
        <v/>
      </c>
      <c r="F107" s="49" t="str">
        <f>IFERROR(__xludf.DUMMYFUNCTION("""COMPUTED_VALUE"""),"")</f>
        <v/>
      </c>
      <c r="G107" s="49" t="str">
        <f>IFERROR(__xludf.DUMMYFUNCTION("""COMPUTED_VALUE"""),"")</f>
        <v/>
      </c>
      <c r="H107" s="49" t="str">
        <f>IFERROR(__xludf.DUMMYFUNCTION("""COMPUTED_VALUE"""),"")</f>
        <v/>
      </c>
      <c r="I107" s="49" t="str">
        <f>IFERROR(__xludf.DUMMYFUNCTION("""COMPUTED_VALUE"""),"")</f>
        <v/>
      </c>
      <c r="J107" s="49" t="str">
        <f>IFERROR(__xludf.DUMMYFUNCTION("""COMPUTED_VALUE"""),"")</f>
        <v/>
      </c>
      <c r="K107" s="49" t="str">
        <f>IFERROR(__xludf.DUMMYFUNCTION("""COMPUTED_VALUE"""),"")</f>
        <v/>
      </c>
      <c r="L107" s="49" t="str">
        <f>IFERROR(__xludf.DUMMYFUNCTION("""COMPUTED_VALUE"""),"")</f>
        <v/>
      </c>
      <c r="M107" s="49" t="str">
        <f>IFERROR(__xludf.DUMMYFUNCTION("""COMPUTED_VALUE"""),"")</f>
        <v/>
      </c>
      <c r="N107" s="49" t="str">
        <f>IFERROR(__xludf.DUMMYFUNCTION("""COMPUTED_VALUE"""),"")</f>
        <v/>
      </c>
      <c r="O107" s="49" t="str">
        <f>IFERROR(__xludf.DUMMYFUNCTION("""COMPUTED_VALUE"""),"")</f>
        <v/>
      </c>
      <c r="P107" s="49" t="str">
        <f>IFERROR(__xludf.DUMMYFUNCTION("""COMPUTED_VALUE"""),"")</f>
        <v/>
      </c>
      <c r="Q107" s="49" t="str">
        <f>IFERROR(__xludf.DUMMYFUNCTION("""COMPUTED_VALUE"""),"")</f>
        <v/>
      </c>
      <c r="R107" s="49" t="str">
        <f>IFERROR(__xludf.DUMMYFUNCTION("""COMPUTED_VALUE"""),"")</f>
        <v/>
      </c>
      <c r="S107" s="49" t="str">
        <f>IFERROR(__xludf.DUMMYFUNCTION("""COMPUTED_VALUE"""),"")</f>
        <v/>
      </c>
      <c r="T107" s="49" t="str">
        <f>IFERROR(__xludf.DUMMYFUNCTION("""COMPUTED_VALUE"""),"")</f>
        <v/>
      </c>
      <c r="U107" s="49" t="str">
        <f>IFERROR(__xludf.DUMMYFUNCTION("""COMPUTED_VALUE"""),"")</f>
        <v/>
      </c>
      <c r="V107" s="49" t="str">
        <f>IFERROR(__xludf.DUMMYFUNCTION("""COMPUTED_VALUE"""),"")</f>
        <v/>
      </c>
      <c r="W107" s="49" t="str">
        <f>IFERROR(__xludf.DUMMYFUNCTION("""COMPUTED_VALUE"""),"")</f>
        <v/>
      </c>
      <c r="X107" s="49" t="str">
        <f>IFERROR(__xludf.DUMMYFUNCTION("""COMPUTED_VALUE"""),"")</f>
        <v/>
      </c>
      <c r="Y107" s="49" t="str">
        <f>IFERROR(__xludf.DUMMYFUNCTION("""COMPUTED_VALUE"""),"")</f>
        <v/>
      </c>
      <c r="Z107" s="49"/>
      <c r="AA107" s="49"/>
      <c r="AB107" s="49"/>
      <c r="AC107" s="49"/>
      <c r="AD107" s="49"/>
      <c r="AE107" s="49"/>
      <c r="AF107" s="49"/>
      <c r="AG107" s="49"/>
      <c r="AH107" s="49"/>
      <c r="AI107" s="49"/>
      <c r="AJ107" s="49"/>
      <c r="AK107" s="49"/>
      <c r="AL107" s="49"/>
      <c r="AM107" s="49"/>
      <c r="AN107" s="49"/>
      <c r="AO107" s="49"/>
      <c r="AP107" s="49"/>
      <c r="AQ107" s="49"/>
      <c r="AR107" s="49"/>
      <c r="AS107" s="49"/>
      <c r="AT107" s="49"/>
      <c r="AU107" s="49"/>
      <c r="AV107" s="49"/>
      <c r="AW107" s="49"/>
      <c r="AX107" s="49"/>
    </row>
    <row r="108">
      <c r="A108" s="49"/>
      <c r="B108" s="49"/>
      <c r="C108" s="49" t="str">
        <f>IFERROR(__xludf.DUMMYFUNCTION("""COMPUTED_VALUE"""),"")</f>
        <v/>
      </c>
      <c r="D108" s="49" t="str">
        <f>IFERROR(__xludf.DUMMYFUNCTION("""COMPUTED_VALUE"""),"")</f>
        <v/>
      </c>
      <c r="E108" s="49" t="str">
        <f>IFERROR(__xludf.DUMMYFUNCTION("""COMPUTED_VALUE"""),"")</f>
        <v/>
      </c>
      <c r="F108" s="49" t="str">
        <f>IFERROR(__xludf.DUMMYFUNCTION("""COMPUTED_VALUE"""),"")</f>
        <v/>
      </c>
      <c r="G108" s="49" t="str">
        <f>IFERROR(__xludf.DUMMYFUNCTION("""COMPUTED_VALUE"""),"")</f>
        <v/>
      </c>
      <c r="H108" s="49" t="str">
        <f>IFERROR(__xludf.DUMMYFUNCTION("""COMPUTED_VALUE"""),"")</f>
        <v/>
      </c>
      <c r="I108" s="49" t="str">
        <f>IFERROR(__xludf.DUMMYFUNCTION("""COMPUTED_VALUE"""),"")</f>
        <v/>
      </c>
      <c r="J108" s="49" t="str">
        <f>IFERROR(__xludf.DUMMYFUNCTION("""COMPUTED_VALUE"""),"")</f>
        <v/>
      </c>
      <c r="K108" s="49" t="str">
        <f>IFERROR(__xludf.DUMMYFUNCTION("""COMPUTED_VALUE"""),"")</f>
        <v/>
      </c>
      <c r="L108" s="49" t="str">
        <f>IFERROR(__xludf.DUMMYFUNCTION("""COMPUTED_VALUE"""),"")</f>
        <v/>
      </c>
      <c r="M108" s="49" t="str">
        <f>IFERROR(__xludf.DUMMYFUNCTION("""COMPUTED_VALUE"""),"")</f>
        <v/>
      </c>
      <c r="N108" s="49" t="str">
        <f>IFERROR(__xludf.DUMMYFUNCTION("""COMPUTED_VALUE"""),"")</f>
        <v/>
      </c>
      <c r="O108" s="49" t="str">
        <f>IFERROR(__xludf.DUMMYFUNCTION("""COMPUTED_VALUE"""),"")</f>
        <v/>
      </c>
      <c r="P108" s="49" t="str">
        <f>IFERROR(__xludf.DUMMYFUNCTION("""COMPUTED_VALUE"""),"")</f>
        <v/>
      </c>
      <c r="Q108" s="49" t="str">
        <f>IFERROR(__xludf.DUMMYFUNCTION("""COMPUTED_VALUE"""),"")</f>
        <v/>
      </c>
      <c r="R108" s="49" t="str">
        <f>IFERROR(__xludf.DUMMYFUNCTION("""COMPUTED_VALUE"""),"")</f>
        <v/>
      </c>
      <c r="S108" s="49" t="str">
        <f>IFERROR(__xludf.DUMMYFUNCTION("""COMPUTED_VALUE"""),"")</f>
        <v/>
      </c>
      <c r="T108" s="49" t="str">
        <f>IFERROR(__xludf.DUMMYFUNCTION("""COMPUTED_VALUE"""),"")</f>
        <v/>
      </c>
      <c r="U108" s="49" t="str">
        <f>IFERROR(__xludf.DUMMYFUNCTION("""COMPUTED_VALUE"""),"")</f>
        <v/>
      </c>
      <c r="V108" s="49" t="str">
        <f>IFERROR(__xludf.DUMMYFUNCTION("""COMPUTED_VALUE"""),"")</f>
        <v/>
      </c>
      <c r="W108" s="49" t="str">
        <f>IFERROR(__xludf.DUMMYFUNCTION("""COMPUTED_VALUE"""),"")</f>
        <v/>
      </c>
      <c r="X108" s="49" t="str">
        <f>IFERROR(__xludf.DUMMYFUNCTION("""COMPUTED_VALUE"""),"")</f>
        <v/>
      </c>
      <c r="Y108" s="49" t="str">
        <f>IFERROR(__xludf.DUMMYFUNCTION("""COMPUTED_VALUE"""),"")</f>
        <v/>
      </c>
      <c r="Z108" s="49"/>
      <c r="AA108" s="49"/>
      <c r="AB108" s="49"/>
      <c r="AC108" s="49"/>
      <c r="AD108" s="49"/>
      <c r="AE108" s="49"/>
      <c r="AF108" s="49"/>
      <c r="AG108" s="49"/>
      <c r="AH108" s="49"/>
      <c r="AI108" s="49"/>
      <c r="AJ108" s="49"/>
      <c r="AK108" s="49"/>
      <c r="AL108" s="49"/>
      <c r="AM108" s="49"/>
      <c r="AN108" s="49"/>
      <c r="AO108" s="49"/>
      <c r="AP108" s="49"/>
      <c r="AQ108" s="49"/>
      <c r="AR108" s="49"/>
      <c r="AS108" s="49"/>
      <c r="AT108" s="49"/>
      <c r="AU108" s="49"/>
      <c r="AV108" s="49"/>
      <c r="AW108" s="49"/>
      <c r="AX108" s="49"/>
    </row>
    <row r="109">
      <c r="A109" s="49"/>
      <c r="B109" s="49"/>
      <c r="C109" s="49" t="str">
        <f>IFERROR(__xludf.DUMMYFUNCTION("""COMPUTED_VALUE"""),"")</f>
        <v/>
      </c>
      <c r="D109" s="49" t="str">
        <f>IFERROR(__xludf.DUMMYFUNCTION("""COMPUTED_VALUE"""),"")</f>
        <v/>
      </c>
      <c r="E109" s="49" t="str">
        <f>IFERROR(__xludf.DUMMYFUNCTION("""COMPUTED_VALUE"""),"")</f>
        <v/>
      </c>
      <c r="F109" s="49" t="str">
        <f>IFERROR(__xludf.DUMMYFUNCTION("""COMPUTED_VALUE"""),"")</f>
        <v/>
      </c>
      <c r="G109" s="49" t="str">
        <f>IFERROR(__xludf.DUMMYFUNCTION("""COMPUTED_VALUE"""),"")</f>
        <v/>
      </c>
      <c r="H109" s="49" t="str">
        <f>IFERROR(__xludf.DUMMYFUNCTION("""COMPUTED_VALUE"""),"")</f>
        <v/>
      </c>
      <c r="I109" s="49" t="str">
        <f>IFERROR(__xludf.DUMMYFUNCTION("""COMPUTED_VALUE"""),"")</f>
        <v/>
      </c>
      <c r="J109" s="49" t="str">
        <f>IFERROR(__xludf.DUMMYFUNCTION("""COMPUTED_VALUE"""),"")</f>
        <v/>
      </c>
      <c r="K109" s="49" t="str">
        <f>IFERROR(__xludf.DUMMYFUNCTION("""COMPUTED_VALUE"""),"")</f>
        <v/>
      </c>
      <c r="L109" s="49" t="str">
        <f>IFERROR(__xludf.DUMMYFUNCTION("""COMPUTED_VALUE"""),"")</f>
        <v/>
      </c>
      <c r="M109" s="49" t="str">
        <f>IFERROR(__xludf.DUMMYFUNCTION("""COMPUTED_VALUE"""),"")</f>
        <v/>
      </c>
      <c r="N109" s="49" t="str">
        <f>IFERROR(__xludf.DUMMYFUNCTION("""COMPUTED_VALUE"""),"")</f>
        <v/>
      </c>
      <c r="O109" s="49" t="str">
        <f>IFERROR(__xludf.DUMMYFUNCTION("""COMPUTED_VALUE"""),"")</f>
        <v/>
      </c>
      <c r="P109" s="49" t="str">
        <f>IFERROR(__xludf.DUMMYFUNCTION("""COMPUTED_VALUE"""),"")</f>
        <v/>
      </c>
      <c r="Q109" s="49" t="str">
        <f>IFERROR(__xludf.DUMMYFUNCTION("""COMPUTED_VALUE"""),"")</f>
        <v/>
      </c>
      <c r="R109" s="49" t="str">
        <f>IFERROR(__xludf.DUMMYFUNCTION("""COMPUTED_VALUE"""),"")</f>
        <v/>
      </c>
      <c r="S109" s="49" t="str">
        <f>IFERROR(__xludf.DUMMYFUNCTION("""COMPUTED_VALUE"""),"")</f>
        <v/>
      </c>
      <c r="T109" s="49" t="str">
        <f>IFERROR(__xludf.DUMMYFUNCTION("""COMPUTED_VALUE"""),"")</f>
        <v/>
      </c>
      <c r="U109" s="49" t="str">
        <f>IFERROR(__xludf.DUMMYFUNCTION("""COMPUTED_VALUE"""),"")</f>
        <v/>
      </c>
      <c r="V109" s="49" t="str">
        <f>IFERROR(__xludf.DUMMYFUNCTION("""COMPUTED_VALUE"""),"")</f>
        <v/>
      </c>
      <c r="W109" s="49" t="str">
        <f>IFERROR(__xludf.DUMMYFUNCTION("""COMPUTED_VALUE"""),"")</f>
        <v/>
      </c>
      <c r="X109" s="49" t="str">
        <f>IFERROR(__xludf.DUMMYFUNCTION("""COMPUTED_VALUE"""),"")</f>
        <v/>
      </c>
      <c r="Y109" s="49" t="str">
        <f>IFERROR(__xludf.DUMMYFUNCTION("""COMPUTED_VALUE"""),"")</f>
        <v/>
      </c>
      <c r="Z109" s="49"/>
      <c r="AA109" s="49"/>
      <c r="AB109" s="49"/>
      <c r="AC109" s="49"/>
      <c r="AD109" s="49"/>
      <c r="AE109" s="49"/>
      <c r="AF109" s="49"/>
      <c r="AG109" s="49"/>
      <c r="AH109" s="49"/>
      <c r="AI109" s="49"/>
      <c r="AJ109" s="49"/>
      <c r="AK109" s="49"/>
      <c r="AL109" s="49"/>
      <c r="AM109" s="49"/>
      <c r="AN109" s="49"/>
      <c r="AO109" s="49"/>
      <c r="AP109" s="49"/>
      <c r="AQ109" s="49"/>
      <c r="AR109" s="49"/>
      <c r="AS109" s="49"/>
      <c r="AT109" s="49"/>
      <c r="AU109" s="49"/>
      <c r="AV109" s="49"/>
      <c r="AW109" s="49"/>
      <c r="AX109" s="49"/>
    </row>
    <row r="110">
      <c r="A110" s="49"/>
      <c r="B110" s="49"/>
      <c r="C110" s="49" t="str">
        <f>IFERROR(__xludf.DUMMYFUNCTION("""COMPUTED_VALUE"""),"")</f>
        <v/>
      </c>
      <c r="D110" s="49" t="str">
        <f>IFERROR(__xludf.DUMMYFUNCTION("""COMPUTED_VALUE"""),"")</f>
        <v/>
      </c>
      <c r="E110" s="49" t="str">
        <f>IFERROR(__xludf.DUMMYFUNCTION("""COMPUTED_VALUE"""),"")</f>
        <v/>
      </c>
      <c r="F110" s="49" t="str">
        <f>IFERROR(__xludf.DUMMYFUNCTION("""COMPUTED_VALUE"""),"")</f>
        <v/>
      </c>
      <c r="G110" s="49" t="str">
        <f>IFERROR(__xludf.DUMMYFUNCTION("""COMPUTED_VALUE"""),"")</f>
        <v/>
      </c>
      <c r="H110" s="49" t="str">
        <f>IFERROR(__xludf.DUMMYFUNCTION("""COMPUTED_VALUE"""),"")</f>
        <v/>
      </c>
      <c r="I110" s="49" t="str">
        <f>IFERROR(__xludf.DUMMYFUNCTION("""COMPUTED_VALUE"""),"")</f>
        <v/>
      </c>
      <c r="J110" s="49" t="str">
        <f>IFERROR(__xludf.DUMMYFUNCTION("""COMPUTED_VALUE"""),"")</f>
        <v/>
      </c>
      <c r="K110" s="49" t="str">
        <f>IFERROR(__xludf.DUMMYFUNCTION("""COMPUTED_VALUE"""),"")</f>
        <v/>
      </c>
      <c r="L110" s="49" t="str">
        <f>IFERROR(__xludf.DUMMYFUNCTION("""COMPUTED_VALUE"""),"")</f>
        <v/>
      </c>
      <c r="M110" s="49" t="str">
        <f>IFERROR(__xludf.DUMMYFUNCTION("""COMPUTED_VALUE"""),"")</f>
        <v/>
      </c>
      <c r="N110" s="49" t="str">
        <f>IFERROR(__xludf.DUMMYFUNCTION("""COMPUTED_VALUE"""),"")</f>
        <v/>
      </c>
      <c r="O110" s="49" t="str">
        <f>IFERROR(__xludf.DUMMYFUNCTION("""COMPUTED_VALUE"""),"")</f>
        <v/>
      </c>
      <c r="P110" s="49" t="str">
        <f>IFERROR(__xludf.DUMMYFUNCTION("""COMPUTED_VALUE"""),"")</f>
        <v/>
      </c>
      <c r="Q110" s="49" t="str">
        <f>IFERROR(__xludf.DUMMYFUNCTION("""COMPUTED_VALUE"""),"")</f>
        <v/>
      </c>
      <c r="R110" s="49" t="str">
        <f>IFERROR(__xludf.DUMMYFUNCTION("""COMPUTED_VALUE"""),"")</f>
        <v/>
      </c>
      <c r="S110" s="49" t="str">
        <f>IFERROR(__xludf.DUMMYFUNCTION("""COMPUTED_VALUE"""),"")</f>
        <v/>
      </c>
      <c r="T110" s="49" t="str">
        <f>IFERROR(__xludf.DUMMYFUNCTION("""COMPUTED_VALUE"""),"")</f>
        <v/>
      </c>
      <c r="U110" s="49" t="str">
        <f>IFERROR(__xludf.DUMMYFUNCTION("""COMPUTED_VALUE"""),"")</f>
        <v/>
      </c>
      <c r="V110" s="49" t="str">
        <f>IFERROR(__xludf.DUMMYFUNCTION("""COMPUTED_VALUE"""),"")</f>
        <v/>
      </c>
      <c r="W110" s="49" t="str">
        <f>IFERROR(__xludf.DUMMYFUNCTION("""COMPUTED_VALUE"""),"")</f>
        <v/>
      </c>
      <c r="X110" s="49" t="str">
        <f>IFERROR(__xludf.DUMMYFUNCTION("""COMPUTED_VALUE"""),"")</f>
        <v/>
      </c>
      <c r="Y110" s="49" t="str">
        <f>IFERROR(__xludf.DUMMYFUNCTION("""COMPUTED_VALUE"""),"")</f>
        <v/>
      </c>
      <c r="Z110" s="49"/>
      <c r="AA110" s="49"/>
      <c r="AB110" s="49"/>
      <c r="AC110" s="49"/>
      <c r="AD110" s="49"/>
      <c r="AE110" s="49"/>
      <c r="AF110" s="49"/>
      <c r="AG110" s="49"/>
      <c r="AH110" s="49"/>
      <c r="AI110" s="49"/>
      <c r="AJ110" s="49"/>
      <c r="AK110" s="49"/>
      <c r="AL110" s="49"/>
      <c r="AM110" s="49"/>
      <c r="AN110" s="49"/>
      <c r="AO110" s="49"/>
      <c r="AP110" s="49"/>
      <c r="AQ110" s="49"/>
      <c r="AR110" s="49"/>
      <c r="AS110" s="49"/>
      <c r="AT110" s="49"/>
      <c r="AU110" s="49"/>
      <c r="AV110" s="49"/>
      <c r="AW110" s="49"/>
      <c r="AX110" s="49"/>
    </row>
    <row r="111">
      <c r="A111" s="49"/>
      <c r="B111" s="49"/>
      <c r="C111" s="49" t="str">
        <f>IFERROR(__xludf.DUMMYFUNCTION("""COMPUTED_VALUE"""),"")</f>
        <v/>
      </c>
      <c r="D111" s="49" t="str">
        <f>IFERROR(__xludf.DUMMYFUNCTION("""COMPUTED_VALUE"""),"")</f>
        <v/>
      </c>
      <c r="E111" s="49" t="str">
        <f>IFERROR(__xludf.DUMMYFUNCTION("""COMPUTED_VALUE"""),"")</f>
        <v/>
      </c>
      <c r="F111" s="49" t="str">
        <f>IFERROR(__xludf.DUMMYFUNCTION("""COMPUTED_VALUE"""),"")</f>
        <v/>
      </c>
      <c r="G111" s="49" t="str">
        <f>IFERROR(__xludf.DUMMYFUNCTION("""COMPUTED_VALUE"""),"")</f>
        <v/>
      </c>
      <c r="H111" s="49" t="str">
        <f>IFERROR(__xludf.DUMMYFUNCTION("""COMPUTED_VALUE"""),"")</f>
        <v/>
      </c>
      <c r="I111" s="49" t="str">
        <f>IFERROR(__xludf.DUMMYFUNCTION("""COMPUTED_VALUE"""),"")</f>
        <v/>
      </c>
      <c r="J111" s="49" t="str">
        <f>IFERROR(__xludf.DUMMYFUNCTION("""COMPUTED_VALUE"""),"")</f>
        <v/>
      </c>
      <c r="K111" s="49" t="str">
        <f>IFERROR(__xludf.DUMMYFUNCTION("""COMPUTED_VALUE"""),"")</f>
        <v/>
      </c>
      <c r="L111" s="49" t="str">
        <f>IFERROR(__xludf.DUMMYFUNCTION("""COMPUTED_VALUE"""),"")</f>
        <v/>
      </c>
      <c r="M111" s="49" t="str">
        <f>IFERROR(__xludf.DUMMYFUNCTION("""COMPUTED_VALUE"""),"")</f>
        <v/>
      </c>
      <c r="N111" s="49" t="str">
        <f>IFERROR(__xludf.DUMMYFUNCTION("""COMPUTED_VALUE"""),"")</f>
        <v/>
      </c>
      <c r="O111" s="49" t="str">
        <f>IFERROR(__xludf.DUMMYFUNCTION("""COMPUTED_VALUE"""),"")</f>
        <v/>
      </c>
      <c r="P111" s="49" t="str">
        <f>IFERROR(__xludf.DUMMYFUNCTION("""COMPUTED_VALUE"""),"")</f>
        <v/>
      </c>
      <c r="Q111" s="49" t="str">
        <f>IFERROR(__xludf.DUMMYFUNCTION("""COMPUTED_VALUE"""),"")</f>
        <v/>
      </c>
      <c r="R111" s="49" t="str">
        <f>IFERROR(__xludf.DUMMYFUNCTION("""COMPUTED_VALUE"""),"")</f>
        <v/>
      </c>
      <c r="S111" s="49" t="str">
        <f>IFERROR(__xludf.DUMMYFUNCTION("""COMPUTED_VALUE"""),"")</f>
        <v/>
      </c>
      <c r="T111" s="49" t="str">
        <f>IFERROR(__xludf.DUMMYFUNCTION("""COMPUTED_VALUE"""),"")</f>
        <v/>
      </c>
      <c r="U111" s="49" t="str">
        <f>IFERROR(__xludf.DUMMYFUNCTION("""COMPUTED_VALUE"""),"")</f>
        <v/>
      </c>
      <c r="V111" s="49" t="str">
        <f>IFERROR(__xludf.DUMMYFUNCTION("""COMPUTED_VALUE"""),"")</f>
        <v/>
      </c>
      <c r="W111" s="49" t="str">
        <f>IFERROR(__xludf.DUMMYFUNCTION("""COMPUTED_VALUE"""),"")</f>
        <v/>
      </c>
      <c r="X111" s="49" t="str">
        <f>IFERROR(__xludf.DUMMYFUNCTION("""COMPUTED_VALUE"""),"")</f>
        <v/>
      </c>
      <c r="Y111" s="49" t="str">
        <f>IFERROR(__xludf.DUMMYFUNCTION("""COMPUTED_VALUE"""),"")</f>
        <v/>
      </c>
      <c r="Z111" s="49"/>
      <c r="AA111" s="49"/>
      <c r="AB111" s="49"/>
      <c r="AC111" s="49"/>
      <c r="AD111" s="49"/>
      <c r="AE111" s="49"/>
      <c r="AF111" s="49"/>
      <c r="AG111" s="49"/>
      <c r="AH111" s="49"/>
      <c r="AI111" s="49"/>
      <c r="AJ111" s="49"/>
      <c r="AK111" s="49"/>
      <c r="AL111" s="49"/>
      <c r="AM111" s="49"/>
      <c r="AN111" s="49"/>
      <c r="AO111" s="49"/>
      <c r="AP111" s="49"/>
      <c r="AQ111" s="49"/>
      <c r="AR111" s="49"/>
      <c r="AS111" s="49"/>
      <c r="AT111" s="49"/>
      <c r="AU111" s="49"/>
      <c r="AV111" s="49"/>
      <c r="AW111" s="49"/>
      <c r="AX111" s="49"/>
    </row>
    <row r="112">
      <c r="A112" s="49"/>
      <c r="B112" s="49"/>
      <c r="C112" s="49" t="str">
        <f>IFERROR(__xludf.DUMMYFUNCTION("""COMPUTED_VALUE"""),"")</f>
        <v/>
      </c>
      <c r="D112" s="49" t="str">
        <f>IFERROR(__xludf.DUMMYFUNCTION("""COMPUTED_VALUE"""),"")</f>
        <v/>
      </c>
      <c r="E112" s="49" t="str">
        <f>IFERROR(__xludf.DUMMYFUNCTION("""COMPUTED_VALUE"""),"")</f>
        <v/>
      </c>
      <c r="F112" s="49" t="str">
        <f>IFERROR(__xludf.DUMMYFUNCTION("""COMPUTED_VALUE"""),"")</f>
        <v/>
      </c>
      <c r="G112" s="49" t="str">
        <f>IFERROR(__xludf.DUMMYFUNCTION("""COMPUTED_VALUE"""),"")</f>
        <v/>
      </c>
      <c r="H112" s="49" t="str">
        <f>IFERROR(__xludf.DUMMYFUNCTION("""COMPUTED_VALUE"""),"")</f>
        <v/>
      </c>
      <c r="I112" s="49" t="str">
        <f>IFERROR(__xludf.DUMMYFUNCTION("""COMPUTED_VALUE"""),"")</f>
        <v/>
      </c>
      <c r="J112" s="49" t="str">
        <f>IFERROR(__xludf.DUMMYFUNCTION("""COMPUTED_VALUE"""),"")</f>
        <v/>
      </c>
      <c r="K112" s="49" t="str">
        <f>IFERROR(__xludf.DUMMYFUNCTION("""COMPUTED_VALUE"""),"")</f>
        <v/>
      </c>
      <c r="L112" s="49" t="str">
        <f>IFERROR(__xludf.DUMMYFUNCTION("""COMPUTED_VALUE"""),"")</f>
        <v/>
      </c>
      <c r="M112" s="49" t="str">
        <f>IFERROR(__xludf.DUMMYFUNCTION("""COMPUTED_VALUE"""),"")</f>
        <v/>
      </c>
      <c r="N112" s="49" t="str">
        <f>IFERROR(__xludf.DUMMYFUNCTION("""COMPUTED_VALUE"""),"")</f>
        <v/>
      </c>
      <c r="O112" s="49" t="str">
        <f>IFERROR(__xludf.DUMMYFUNCTION("""COMPUTED_VALUE"""),"")</f>
        <v/>
      </c>
      <c r="P112" s="49" t="str">
        <f>IFERROR(__xludf.DUMMYFUNCTION("""COMPUTED_VALUE"""),"")</f>
        <v/>
      </c>
      <c r="Q112" s="49" t="str">
        <f>IFERROR(__xludf.DUMMYFUNCTION("""COMPUTED_VALUE"""),"")</f>
        <v/>
      </c>
      <c r="R112" s="49" t="str">
        <f>IFERROR(__xludf.DUMMYFUNCTION("""COMPUTED_VALUE"""),"")</f>
        <v/>
      </c>
      <c r="S112" s="49" t="str">
        <f>IFERROR(__xludf.DUMMYFUNCTION("""COMPUTED_VALUE"""),"")</f>
        <v/>
      </c>
      <c r="T112" s="49" t="str">
        <f>IFERROR(__xludf.DUMMYFUNCTION("""COMPUTED_VALUE"""),"")</f>
        <v/>
      </c>
      <c r="U112" s="49" t="str">
        <f>IFERROR(__xludf.DUMMYFUNCTION("""COMPUTED_VALUE"""),"")</f>
        <v/>
      </c>
      <c r="V112" s="49" t="str">
        <f>IFERROR(__xludf.DUMMYFUNCTION("""COMPUTED_VALUE"""),"")</f>
        <v/>
      </c>
      <c r="W112" s="49" t="str">
        <f>IFERROR(__xludf.DUMMYFUNCTION("""COMPUTED_VALUE"""),"")</f>
        <v/>
      </c>
      <c r="X112" s="49" t="str">
        <f>IFERROR(__xludf.DUMMYFUNCTION("""COMPUTED_VALUE"""),"")</f>
        <v/>
      </c>
      <c r="Y112" s="49" t="str">
        <f>IFERROR(__xludf.DUMMYFUNCTION("""COMPUTED_VALUE"""),"")</f>
        <v/>
      </c>
      <c r="Z112" s="49"/>
      <c r="AA112" s="49"/>
      <c r="AB112" s="49"/>
      <c r="AC112" s="49"/>
      <c r="AD112" s="49"/>
      <c r="AE112" s="49"/>
      <c r="AF112" s="49"/>
      <c r="AG112" s="49"/>
      <c r="AH112" s="49"/>
      <c r="AI112" s="49"/>
      <c r="AJ112" s="49"/>
      <c r="AK112" s="49"/>
      <c r="AL112" s="49"/>
      <c r="AM112" s="49"/>
      <c r="AN112" s="49"/>
      <c r="AO112" s="49"/>
      <c r="AP112" s="49"/>
      <c r="AQ112" s="49"/>
      <c r="AR112" s="49"/>
      <c r="AS112" s="49"/>
      <c r="AT112" s="49"/>
      <c r="AU112" s="49"/>
      <c r="AV112" s="49"/>
      <c r="AW112" s="49"/>
      <c r="AX112" s="49"/>
    </row>
    <row r="113">
      <c r="A113" s="49"/>
      <c r="B113" s="49"/>
      <c r="C113" s="49" t="str">
        <f>IFERROR(__xludf.DUMMYFUNCTION("""COMPUTED_VALUE"""),"")</f>
        <v/>
      </c>
      <c r="D113" s="49" t="str">
        <f>IFERROR(__xludf.DUMMYFUNCTION("""COMPUTED_VALUE"""),"")</f>
        <v/>
      </c>
      <c r="E113" s="49" t="str">
        <f>IFERROR(__xludf.DUMMYFUNCTION("""COMPUTED_VALUE"""),"")</f>
        <v/>
      </c>
      <c r="F113" s="49" t="str">
        <f>IFERROR(__xludf.DUMMYFUNCTION("""COMPUTED_VALUE"""),"")</f>
        <v/>
      </c>
      <c r="G113" s="49" t="str">
        <f>IFERROR(__xludf.DUMMYFUNCTION("""COMPUTED_VALUE"""),"")</f>
        <v/>
      </c>
      <c r="H113" s="49" t="str">
        <f>IFERROR(__xludf.DUMMYFUNCTION("""COMPUTED_VALUE"""),"")</f>
        <v/>
      </c>
      <c r="I113" s="49" t="str">
        <f>IFERROR(__xludf.DUMMYFUNCTION("""COMPUTED_VALUE"""),"")</f>
        <v/>
      </c>
      <c r="J113" s="49" t="str">
        <f>IFERROR(__xludf.DUMMYFUNCTION("""COMPUTED_VALUE"""),"")</f>
        <v/>
      </c>
      <c r="K113" s="49" t="str">
        <f>IFERROR(__xludf.DUMMYFUNCTION("""COMPUTED_VALUE"""),"")</f>
        <v/>
      </c>
      <c r="L113" s="49" t="str">
        <f>IFERROR(__xludf.DUMMYFUNCTION("""COMPUTED_VALUE"""),"")</f>
        <v/>
      </c>
      <c r="M113" s="49" t="str">
        <f>IFERROR(__xludf.DUMMYFUNCTION("""COMPUTED_VALUE"""),"")</f>
        <v/>
      </c>
      <c r="N113" s="49" t="str">
        <f>IFERROR(__xludf.DUMMYFUNCTION("""COMPUTED_VALUE"""),"")</f>
        <v/>
      </c>
      <c r="O113" s="49" t="str">
        <f>IFERROR(__xludf.DUMMYFUNCTION("""COMPUTED_VALUE"""),"")</f>
        <v/>
      </c>
      <c r="P113" s="49" t="str">
        <f>IFERROR(__xludf.DUMMYFUNCTION("""COMPUTED_VALUE"""),"")</f>
        <v/>
      </c>
      <c r="Q113" s="49" t="str">
        <f>IFERROR(__xludf.DUMMYFUNCTION("""COMPUTED_VALUE"""),"")</f>
        <v/>
      </c>
      <c r="R113" s="49" t="str">
        <f>IFERROR(__xludf.DUMMYFUNCTION("""COMPUTED_VALUE"""),"")</f>
        <v/>
      </c>
      <c r="S113" s="49" t="str">
        <f>IFERROR(__xludf.DUMMYFUNCTION("""COMPUTED_VALUE"""),"")</f>
        <v/>
      </c>
      <c r="T113" s="49" t="str">
        <f>IFERROR(__xludf.DUMMYFUNCTION("""COMPUTED_VALUE"""),"")</f>
        <v/>
      </c>
      <c r="U113" s="49" t="str">
        <f>IFERROR(__xludf.DUMMYFUNCTION("""COMPUTED_VALUE"""),"")</f>
        <v/>
      </c>
      <c r="V113" s="49" t="str">
        <f>IFERROR(__xludf.DUMMYFUNCTION("""COMPUTED_VALUE"""),"")</f>
        <v/>
      </c>
      <c r="W113" s="49" t="str">
        <f>IFERROR(__xludf.DUMMYFUNCTION("""COMPUTED_VALUE"""),"")</f>
        <v/>
      </c>
      <c r="X113" s="49" t="str">
        <f>IFERROR(__xludf.DUMMYFUNCTION("""COMPUTED_VALUE"""),"")</f>
        <v/>
      </c>
      <c r="Y113" s="49" t="str">
        <f>IFERROR(__xludf.DUMMYFUNCTION("""COMPUTED_VALUE"""),"")</f>
        <v/>
      </c>
      <c r="Z113" s="49"/>
      <c r="AA113" s="49"/>
      <c r="AB113" s="49"/>
      <c r="AC113" s="49"/>
      <c r="AD113" s="49"/>
      <c r="AE113" s="49"/>
      <c r="AF113" s="49"/>
      <c r="AG113" s="49"/>
      <c r="AH113" s="49"/>
      <c r="AI113" s="49"/>
      <c r="AJ113" s="49"/>
      <c r="AK113" s="49"/>
      <c r="AL113" s="49"/>
      <c r="AM113" s="49"/>
      <c r="AN113" s="49"/>
      <c r="AO113" s="49"/>
      <c r="AP113" s="49"/>
      <c r="AQ113" s="49"/>
      <c r="AR113" s="49"/>
      <c r="AS113" s="49"/>
      <c r="AT113" s="49"/>
      <c r="AU113" s="49"/>
      <c r="AV113" s="49"/>
      <c r="AW113" s="49"/>
      <c r="AX113" s="49"/>
    </row>
    <row r="114">
      <c r="A114" s="49"/>
      <c r="B114" s="49"/>
      <c r="C114" s="49" t="str">
        <f>IFERROR(__xludf.DUMMYFUNCTION("""COMPUTED_VALUE"""),"")</f>
        <v/>
      </c>
      <c r="D114" s="49" t="str">
        <f>IFERROR(__xludf.DUMMYFUNCTION("""COMPUTED_VALUE"""),"")</f>
        <v/>
      </c>
      <c r="E114" s="49" t="str">
        <f>IFERROR(__xludf.DUMMYFUNCTION("""COMPUTED_VALUE"""),"")</f>
        <v/>
      </c>
      <c r="F114" s="49" t="str">
        <f>IFERROR(__xludf.DUMMYFUNCTION("""COMPUTED_VALUE"""),"")</f>
        <v/>
      </c>
      <c r="G114" s="49" t="str">
        <f>IFERROR(__xludf.DUMMYFUNCTION("""COMPUTED_VALUE"""),"")</f>
        <v/>
      </c>
      <c r="H114" s="49" t="str">
        <f>IFERROR(__xludf.DUMMYFUNCTION("""COMPUTED_VALUE"""),"")</f>
        <v/>
      </c>
      <c r="I114" s="49" t="str">
        <f>IFERROR(__xludf.DUMMYFUNCTION("""COMPUTED_VALUE"""),"")</f>
        <v/>
      </c>
      <c r="J114" s="49" t="str">
        <f>IFERROR(__xludf.DUMMYFUNCTION("""COMPUTED_VALUE"""),"")</f>
        <v/>
      </c>
      <c r="K114" s="49" t="str">
        <f>IFERROR(__xludf.DUMMYFUNCTION("""COMPUTED_VALUE"""),"")</f>
        <v/>
      </c>
      <c r="L114" s="49" t="str">
        <f>IFERROR(__xludf.DUMMYFUNCTION("""COMPUTED_VALUE"""),"")</f>
        <v/>
      </c>
      <c r="M114" s="49" t="str">
        <f>IFERROR(__xludf.DUMMYFUNCTION("""COMPUTED_VALUE"""),"")</f>
        <v/>
      </c>
      <c r="N114" s="49" t="str">
        <f>IFERROR(__xludf.DUMMYFUNCTION("""COMPUTED_VALUE"""),"")</f>
        <v/>
      </c>
      <c r="O114" s="49" t="str">
        <f>IFERROR(__xludf.DUMMYFUNCTION("""COMPUTED_VALUE"""),"")</f>
        <v/>
      </c>
      <c r="P114" s="49" t="str">
        <f>IFERROR(__xludf.DUMMYFUNCTION("""COMPUTED_VALUE"""),"")</f>
        <v/>
      </c>
      <c r="Q114" s="49" t="str">
        <f>IFERROR(__xludf.DUMMYFUNCTION("""COMPUTED_VALUE"""),"")</f>
        <v/>
      </c>
      <c r="R114" s="49" t="str">
        <f>IFERROR(__xludf.DUMMYFUNCTION("""COMPUTED_VALUE"""),"")</f>
        <v/>
      </c>
      <c r="S114" s="49" t="str">
        <f>IFERROR(__xludf.DUMMYFUNCTION("""COMPUTED_VALUE"""),"")</f>
        <v/>
      </c>
      <c r="T114" s="49" t="str">
        <f>IFERROR(__xludf.DUMMYFUNCTION("""COMPUTED_VALUE"""),"")</f>
        <v/>
      </c>
      <c r="U114" s="49" t="str">
        <f>IFERROR(__xludf.DUMMYFUNCTION("""COMPUTED_VALUE"""),"")</f>
        <v/>
      </c>
      <c r="V114" s="49" t="str">
        <f>IFERROR(__xludf.DUMMYFUNCTION("""COMPUTED_VALUE"""),"")</f>
        <v/>
      </c>
      <c r="W114" s="49" t="str">
        <f>IFERROR(__xludf.DUMMYFUNCTION("""COMPUTED_VALUE"""),"")</f>
        <v/>
      </c>
      <c r="X114" s="49" t="str">
        <f>IFERROR(__xludf.DUMMYFUNCTION("""COMPUTED_VALUE"""),"")</f>
        <v/>
      </c>
      <c r="Y114" s="49" t="str">
        <f>IFERROR(__xludf.DUMMYFUNCTION("""COMPUTED_VALUE"""),"")</f>
        <v/>
      </c>
      <c r="Z114" s="49"/>
      <c r="AA114" s="49"/>
      <c r="AB114" s="49"/>
      <c r="AC114" s="49"/>
      <c r="AD114" s="49"/>
      <c r="AE114" s="49"/>
      <c r="AF114" s="49"/>
      <c r="AG114" s="49"/>
      <c r="AH114" s="49"/>
      <c r="AI114" s="49"/>
      <c r="AJ114" s="49"/>
      <c r="AK114" s="49"/>
      <c r="AL114" s="49"/>
      <c r="AM114" s="49"/>
      <c r="AN114" s="49"/>
      <c r="AO114" s="49"/>
      <c r="AP114" s="49"/>
      <c r="AQ114" s="49"/>
      <c r="AR114" s="49"/>
      <c r="AS114" s="49"/>
      <c r="AT114" s="49"/>
      <c r="AU114" s="49"/>
      <c r="AV114" s="49"/>
      <c r="AW114" s="49"/>
      <c r="AX114" s="49"/>
    </row>
    <row r="115">
      <c r="A115" s="49"/>
      <c r="B115" s="49"/>
      <c r="C115" s="49" t="str">
        <f>IFERROR(__xludf.DUMMYFUNCTION("""COMPUTED_VALUE"""),"")</f>
        <v/>
      </c>
      <c r="D115" s="49" t="str">
        <f>IFERROR(__xludf.DUMMYFUNCTION("""COMPUTED_VALUE"""),"")</f>
        <v/>
      </c>
      <c r="E115" s="49" t="str">
        <f>IFERROR(__xludf.DUMMYFUNCTION("""COMPUTED_VALUE"""),"")</f>
        <v/>
      </c>
      <c r="F115" s="49" t="str">
        <f>IFERROR(__xludf.DUMMYFUNCTION("""COMPUTED_VALUE"""),"")</f>
        <v/>
      </c>
      <c r="G115" s="49" t="str">
        <f>IFERROR(__xludf.DUMMYFUNCTION("""COMPUTED_VALUE"""),"")</f>
        <v/>
      </c>
      <c r="H115" s="49" t="str">
        <f>IFERROR(__xludf.DUMMYFUNCTION("""COMPUTED_VALUE"""),"")</f>
        <v/>
      </c>
      <c r="I115" s="49" t="str">
        <f>IFERROR(__xludf.DUMMYFUNCTION("""COMPUTED_VALUE"""),"")</f>
        <v/>
      </c>
      <c r="J115" s="49" t="str">
        <f>IFERROR(__xludf.DUMMYFUNCTION("""COMPUTED_VALUE"""),"")</f>
        <v/>
      </c>
      <c r="K115" s="49" t="str">
        <f>IFERROR(__xludf.DUMMYFUNCTION("""COMPUTED_VALUE"""),"")</f>
        <v/>
      </c>
      <c r="L115" s="49" t="str">
        <f>IFERROR(__xludf.DUMMYFUNCTION("""COMPUTED_VALUE"""),"")</f>
        <v/>
      </c>
      <c r="M115" s="49" t="str">
        <f>IFERROR(__xludf.DUMMYFUNCTION("""COMPUTED_VALUE"""),"")</f>
        <v/>
      </c>
      <c r="N115" s="49" t="str">
        <f>IFERROR(__xludf.DUMMYFUNCTION("""COMPUTED_VALUE"""),"")</f>
        <v/>
      </c>
      <c r="O115" s="49" t="str">
        <f>IFERROR(__xludf.DUMMYFUNCTION("""COMPUTED_VALUE"""),"")</f>
        <v/>
      </c>
      <c r="P115" s="49" t="str">
        <f>IFERROR(__xludf.DUMMYFUNCTION("""COMPUTED_VALUE"""),"")</f>
        <v/>
      </c>
      <c r="Q115" s="49" t="str">
        <f>IFERROR(__xludf.DUMMYFUNCTION("""COMPUTED_VALUE"""),"")</f>
        <v/>
      </c>
      <c r="R115" s="49" t="str">
        <f>IFERROR(__xludf.DUMMYFUNCTION("""COMPUTED_VALUE"""),"")</f>
        <v/>
      </c>
      <c r="S115" s="49" t="str">
        <f>IFERROR(__xludf.DUMMYFUNCTION("""COMPUTED_VALUE"""),"")</f>
        <v/>
      </c>
      <c r="T115" s="49" t="str">
        <f>IFERROR(__xludf.DUMMYFUNCTION("""COMPUTED_VALUE"""),"")</f>
        <v/>
      </c>
      <c r="U115" s="49" t="str">
        <f>IFERROR(__xludf.DUMMYFUNCTION("""COMPUTED_VALUE"""),"")</f>
        <v/>
      </c>
      <c r="V115" s="49" t="str">
        <f>IFERROR(__xludf.DUMMYFUNCTION("""COMPUTED_VALUE"""),"")</f>
        <v/>
      </c>
      <c r="W115" s="49" t="str">
        <f>IFERROR(__xludf.DUMMYFUNCTION("""COMPUTED_VALUE"""),"")</f>
        <v/>
      </c>
      <c r="X115" s="49" t="str">
        <f>IFERROR(__xludf.DUMMYFUNCTION("""COMPUTED_VALUE"""),"")</f>
        <v/>
      </c>
      <c r="Y115" s="49" t="str">
        <f>IFERROR(__xludf.DUMMYFUNCTION("""COMPUTED_VALUE"""),"")</f>
        <v/>
      </c>
      <c r="Z115" s="49"/>
      <c r="AA115" s="49"/>
      <c r="AB115" s="49"/>
      <c r="AC115" s="49"/>
      <c r="AD115" s="49"/>
      <c r="AE115" s="49"/>
      <c r="AF115" s="49"/>
      <c r="AG115" s="49"/>
      <c r="AH115" s="49"/>
      <c r="AI115" s="49"/>
      <c r="AJ115" s="49"/>
      <c r="AK115" s="49"/>
      <c r="AL115" s="49"/>
      <c r="AM115" s="49"/>
      <c r="AN115" s="49"/>
      <c r="AO115" s="49"/>
      <c r="AP115" s="49"/>
      <c r="AQ115" s="49"/>
      <c r="AR115" s="49"/>
      <c r="AS115" s="49"/>
      <c r="AT115" s="49"/>
      <c r="AU115" s="49"/>
      <c r="AV115" s="49"/>
      <c r="AW115" s="49"/>
      <c r="AX115" s="49"/>
    </row>
    <row r="116">
      <c r="A116" s="49"/>
      <c r="B116" s="49"/>
      <c r="C116" s="49" t="str">
        <f>IFERROR(__xludf.DUMMYFUNCTION("""COMPUTED_VALUE"""),"")</f>
        <v/>
      </c>
      <c r="D116" s="49" t="str">
        <f>IFERROR(__xludf.DUMMYFUNCTION("""COMPUTED_VALUE"""),"")</f>
        <v/>
      </c>
      <c r="E116" s="49" t="str">
        <f>IFERROR(__xludf.DUMMYFUNCTION("""COMPUTED_VALUE"""),"")</f>
        <v/>
      </c>
      <c r="F116" s="49" t="str">
        <f>IFERROR(__xludf.DUMMYFUNCTION("""COMPUTED_VALUE"""),"")</f>
        <v/>
      </c>
      <c r="G116" s="49" t="str">
        <f>IFERROR(__xludf.DUMMYFUNCTION("""COMPUTED_VALUE"""),"")</f>
        <v/>
      </c>
      <c r="H116" s="49" t="str">
        <f>IFERROR(__xludf.DUMMYFUNCTION("""COMPUTED_VALUE"""),"")</f>
        <v/>
      </c>
      <c r="I116" s="49" t="str">
        <f>IFERROR(__xludf.DUMMYFUNCTION("""COMPUTED_VALUE"""),"")</f>
        <v/>
      </c>
      <c r="J116" s="49" t="str">
        <f>IFERROR(__xludf.DUMMYFUNCTION("""COMPUTED_VALUE"""),"")</f>
        <v/>
      </c>
      <c r="K116" s="49" t="str">
        <f>IFERROR(__xludf.DUMMYFUNCTION("""COMPUTED_VALUE"""),"")</f>
        <v/>
      </c>
      <c r="L116" s="49" t="str">
        <f>IFERROR(__xludf.DUMMYFUNCTION("""COMPUTED_VALUE"""),"")</f>
        <v/>
      </c>
      <c r="M116" s="49" t="str">
        <f>IFERROR(__xludf.DUMMYFUNCTION("""COMPUTED_VALUE"""),"")</f>
        <v/>
      </c>
      <c r="N116" s="49" t="str">
        <f>IFERROR(__xludf.DUMMYFUNCTION("""COMPUTED_VALUE"""),"")</f>
        <v/>
      </c>
      <c r="O116" s="49" t="str">
        <f>IFERROR(__xludf.DUMMYFUNCTION("""COMPUTED_VALUE"""),"")</f>
        <v/>
      </c>
      <c r="P116" s="49" t="str">
        <f>IFERROR(__xludf.DUMMYFUNCTION("""COMPUTED_VALUE"""),"")</f>
        <v/>
      </c>
      <c r="Q116" s="49" t="str">
        <f>IFERROR(__xludf.DUMMYFUNCTION("""COMPUTED_VALUE"""),"")</f>
        <v/>
      </c>
      <c r="R116" s="49" t="str">
        <f>IFERROR(__xludf.DUMMYFUNCTION("""COMPUTED_VALUE"""),"")</f>
        <v/>
      </c>
      <c r="S116" s="49" t="str">
        <f>IFERROR(__xludf.DUMMYFUNCTION("""COMPUTED_VALUE"""),"")</f>
        <v/>
      </c>
      <c r="T116" s="49" t="str">
        <f>IFERROR(__xludf.DUMMYFUNCTION("""COMPUTED_VALUE"""),"")</f>
        <v/>
      </c>
      <c r="U116" s="49" t="str">
        <f>IFERROR(__xludf.DUMMYFUNCTION("""COMPUTED_VALUE"""),"")</f>
        <v/>
      </c>
      <c r="V116" s="49" t="str">
        <f>IFERROR(__xludf.DUMMYFUNCTION("""COMPUTED_VALUE"""),"")</f>
        <v/>
      </c>
      <c r="W116" s="49" t="str">
        <f>IFERROR(__xludf.DUMMYFUNCTION("""COMPUTED_VALUE"""),"")</f>
        <v/>
      </c>
      <c r="X116" s="49" t="str">
        <f>IFERROR(__xludf.DUMMYFUNCTION("""COMPUTED_VALUE"""),"")</f>
        <v/>
      </c>
      <c r="Y116" s="49" t="str">
        <f>IFERROR(__xludf.DUMMYFUNCTION("""COMPUTED_VALUE"""),"")</f>
        <v/>
      </c>
      <c r="Z116" s="49"/>
      <c r="AA116" s="49"/>
      <c r="AB116" s="49"/>
      <c r="AC116" s="49"/>
      <c r="AD116" s="49"/>
      <c r="AE116" s="49"/>
      <c r="AF116" s="49"/>
      <c r="AG116" s="49"/>
      <c r="AH116" s="49"/>
      <c r="AI116" s="49"/>
      <c r="AJ116" s="49"/>
      <c r="AK116" s="49"/>
      <c r="AL116" s="49"/>
      <c r="AM116" s="49"/>
      <c r="AN116" s="49"/>
      <c r="AO116" s="49"/>
      <c r="AP116" s="49"/>
      <c r="AQ116" s="49"/>
      <c r="AR116" s="49"/>
      <c r="AS116" s="49"/>
      <c r="AT116" s="49"/>
      <c r="AU116" s="49"/>
      <c r="AV116" s="49"/>
      <c r="AW116" s="49"/>
      <c r="AX116" s="49"/>
    </row>
    <row r="117">
      <c r="A117" s="49"/>
      <c r="B117" s="49"/>
      <c r="C117" s="49" t="str">
        <f>IFERROR(__xludf.DUMMYFUNCTION("""COMPUTED_VALUE"""),"")</f>
        <v/>
      </c>
      <c r="D117" s="49" t="str">
        <f>IFERROR(__xludf.DUMMYFUNCTION("""COMPUTED_VALUE"""),"")</f>
        <v/>
      </c>
      <c r="E117" s="49" t="str">
        <f>IFERROR(__xludf.DUMMYFUNCTION("""COMPUTED_VALUE"""),"")</f>
        <v/>
      </c>
      <c r="F117" s="49" t="str">
        <f>IFERROR(__xludf.DUMMYFUNCTION("""COMPUTED_VALUE"""),"")</f>
        <v/>
      </c>
      <c r="G117" s="49" t="str">
        <f>IFERROR(__xludf.DUMMYFUNCTION("""COMPUTED_VALUE"""),"")</f>
        <v/>
      </c>
      <c r="H117" s="49" t="str">
        <f>IFERROR(__xludf.DUMMYFUNCTION("""COMPUTED_VALUE"""),"")</f>
        <v/>
      </c>
      <c r="I117" s="49" t="str">
        <f>IFERROR(__xludf.DUMMYFUNCTION("""COMPUTED_VALUE"""),"")</f>
        <v/>
      </c>
      <c r="J117" s="49" t="str">
        <f>IFERROR(__xludf.DUMMYFUNCTION("""COMPUTED_VALUE"""),"")</f>
        <v/>
      </c>
      <c r="K117" s="49" t="str">
        <f>IFERROR(__xludf.DUMMYFUNCTION("""COMPUTED_VALUE"""),"")</f>
        <v/>
      </c>
      <c r="L117" s="49" t="str">
        <f>IFERROR(__xludf.DUMMYFUNCTION("""COMPUTED_VALUE"""),"")</f>
        <v/>
      </c>
      <c r="M117" s="49" t="str">
        <f>IFERROR(__xludf.DUMMYFUNCTION("""COMPUTED_VALUE"""),"")</f>
        <v/>
      </c>
      <c r="N117" s="49" t="str">
        <f>IFERROR(__xludf.DUMMYFUNCTION("""COMPUTED_VALUE"""),"")</f>
        <v/>
      </c>
      <c r="O117" s="49" t="str">
        <f>IFERROR(__xludf.DUMMYFUNCTION("""COMPUTED_VALUE"""),"")</f>
        <v/>
      </c>
      <c r="P117" s="49" t="str">
        <f>IFERROR(__xludf.DUMMYFUNCTION("""COMPUTED_VALUE"""),"")</f>
        <v/>
      </c>
      <c r="Q117" s="49" t="str">
        <f>IFERROR(__xludf.DUMMYFUNCTION("""COMPUTED_VALUE"""),"")</f>
        <v/>
      </c>
      <c r="R117" s="49" t="str">
        <f>IFERROR(__xludf.DUMMYFUNCTION("""COMPUTED_VALUE"""),"")</f>
        <v/>
      </c>
      <c r="S117" s="49" t="str">
        <f>IFERROR(__xludf.DUMMYFUNCTION("""COMPUTED_VALUE"""),"")</f>
        <v/>
      </c>
      <c r="T117" s="49" t="str">
        <f>IFERROR(__xludf.DUMMYFUNCTION("""COMPUTED_VALUE"""),"")</f>
        <v/>
      </c>
      <c r="U117" s="49" t="str">
        <f>IFERROR(__xludf.DUMMYFUNCTION("""COMPUTED_VALUE"""),"")</f>
        <v/>
      </c>
      <c r="V117" s="49" t="str">
        <f>IFERROR(__xludf.DUMMYFUNCTION("""COMPUTED_VALUE"""),"")</f>
        <v/>
      </c>
      <c r="W117" s="49" t="str">
        <f>IFERROR(__xludf.DUMMYFUNCTION("""COMPUTED_VALUE"""),"")</f>
        <v/>
      </c>
      <c r="X117" s="49" t="str">
        <f>IFERROR(__xludf.DUMMYFUNCTION("""COMPUTED_VALUE"""),"")</f>
        <v/>
      </c>
      <c r="Y117" s="49" t="str">
        <f>IFERROR(__xludf.DUMMYFUNCTION("""COMPUTED_VALUE"""),"")</f>
        <v/>
      </c>
      <c r="Z117" s="49"/>
      <c r="AA117" s="49"/>
      <c r="AB117" s="49"/>
      <c r="AC117" s="49"/>
      <c r="AD117" s="49"/>
      <c r="AE117" s="49"/>
      <c r="AF117" s="49"/>
      <c r="AG117" s="49"/>
      <c r="AH117" s="49"/>
      <c r="AI117" s="49"/>
      <c r="AJ117" s="49"/>
      <c r="AK117" s="49"/>
      <c r="AL117" s="49"/>
      <c r="AM117" s="49"/>
      <c r="AN117" s="49"/>
      <c r="AO117" s="49"/>
      <c r="AP117" s="49"/>
      <c r="AQ117" s="49"/>
      <c r="AR117" s="49"/>
      <c r="AS117" s="49"/>
      <c r="AT117" s="49"/>
      <c r="AU117" s="49"/>
      <c r="AV117" s="49"/>
      <c r="AW117" s="49"/>
      <c r="AX117" s="49"/>
    </row>
    <row r="118">
      <c r="A118" s="49"/>
      <c r="B118" s="49"/>
      <c r="C118" s="49" t="str">
        <f>IFERROR(__xludf.DUMMYFUNCTION("""COMPUTED_VALUE"""),"")</f>
        <v/>
      </c>
      <c r="D118" s="49" t="str">
        <f>IFERROR(__xludf.DUMMYFUNCTION("""COMPUTED_VALUE"""),"")</f>
        <v/>
      </c>
      <c r="E118" s="49" t="str">
        <f>IFERROR(__xludf.DUMMYFUNCTION("""COMPUTED_VALUE"""),"")</f>
        <v/>
      </c>
      <c r="F118" s="49" t="str">
        <f>IFERROR(__xludf.DUMMYFUNCTION("""COMPUTED_VALUE"""),"")</f>
        <v/>
      </c>
      <c r="G118" s="49" t="str">
        <f>IFERROR(__xludf.DUMMYFUNCTION("""COMPUTED_VALUE"""),"")</f>
        <v/>
      </c>
      <c r="H118" s="49" t="str">
        <f>IFERROR(__xludf.DUMMYFUNCTION("""COMPUTED_VALUE"""),"")</f>
        <v/>
      </c>
      <c r="I118" s="49" t="str">
        <f>IFERROR(__xludf.DUMMYFUNCTION("""COMPUTED_VALUE"""),"")</f>
        <v/>
      </c>
      <c r="J118" s="49" t="str">
        <f>IFERROR(__xludf.DUMMYFUNCTION("""COMPUTED_VALUE"""),"")</f>
        <v/>
      </c>
      <c r="K118" s="49" t="str">
        <f>IFERROR(__xludf.DUMMYFUNCTION("""COMPUTED_VALUE"""),"")</f>
        <v/>
      </c>
      <c r="L118" s="49" t="str">
        <f>IFERROR(__xludf.DUMMYFUNCTION("""COMPUTED_VALUE"""),"")</f>
        <v/>
      </c>
      <c r="M118" s="49" t="str">
        <f>IFERROR(__xludf.DUMMYFUNCTION("""COMPUTED_VALUE"""),"")</f>
        <v/>
      </c>
      <c r="N118" s="49" t="str">
        <f>IFERROR(__xludf.DUMMYFUNCTION("""COMPUTED_VALUE"""),"")</f>
        <v/>
      </c>
      <c r="O118" s="49" t="str">
        <f>IFERROR(__xludf.DUMMYFUNCTION("""COMPUTED_VALUE"""),"")</f>
        <v/>
      </c>
      <c r="P118" s="49" t="str">
        <f>IFERROR(__xludf.DUMMYFUNCTION("""COMPUTED_VALUE"""),"")</f>
        <v/>
      </c>
      <c r="Q118" s="49" t="str">
        <f>IFERROR(__xludf.DUMMYFUNCTION("""COMPUTED_VALUE"""),"")</f>
        <v/>
      </c>
      <c r="R118" s="49" t="str">
        <f>IFERROR(__xludf.DUMMYFUNCTION("""COMPUTED_VALUE"""),"")</f>
        <v/>
      </c>
      <c r="S118" s="49" t="str">
        <f>IFERROR(__xludf.DUMMYFUNCTION("""COMPUTED_VALUE"""),"")</f>
        <v/>
      </c>
      <c r="T118" s="49" t="str">
        <f>IFERROR(__xludf.DUMMYFUNCTION("""COMPUTED_VALUE"""),"")</f>
        <v/>
      </c>
      <c r="U118" s="49" t="str">
        <f>IFERROR(__xludf.DUMMYFUNCTION("""COMPUTED_VALUE"""),"")</f>
        <v/>
      </c>
      <c r="V118" s="49" t="str">
        <f>IFERROR(__xludf.DUMMYFUNCTION("""COMPUTED_VALUE"""),"")</f>
        <v/>
      </c>
      <c r="W118" s="49" t="str">
        <f>IFERROR(__xludf.DUMMYFUNCTION("""COMPUTED_VALUE"""),"")</f>
        <v/>
      </c>
      <c r="X118" s="49" t="str">
        <f>IFERROR(__xludf.DUMMYFUNCTION("""COMPUTED_VALUE"""),"")</f>
        <v/>
      </c>
      <c r="Y118" s="49" t="str">
        <f>IFERROR(__xludf.DUMMYFUNCTION("""COMPUTED_VALUE"""),"")</f>
        <v/>
      </c>
      <c r="Z118" s="49"/>
      <c r="AA118" s="49"/>
      <c r="AB118" s="49"/>
      <c r="AC118" s="49"/>
      <c r="AD118" s="49"/>
      <c r="AE118" s="49"/>
      <c r="AF118" s="49"/>
      <c r="AG118" s="49"/>
      <c r="AH118" s="49"/>
      <c r="AI118" s="49"/>
      <c r="AJ118" s="49"/>
      <c r="AK118" s="49"/>
      <c r="AL118" s="49"/>
      <c r="AM118" s="49"/>
      <c r="AN118" s="49"/>
      <c r="AO118" s="49"/>
      <c r="AP118" s="49"/>
      <c r="AQ118" s="49"/>
      <c r="AR118" s="49"/>
      <c r="AS118" s="49"/>
      <c r="AT118" s="49"/>
      <c r="AU118" s="49"/>
      <c r="AV118" s="49"/>
      <c r="AW118" s="49"/>
      <c r="AX118" s="49"/>
    </row>
    <row r="119">
      <c r="A119" s="49"/>
      <c r="B119" s="49"/>
      <c r="C119" s="49" t="str">
        <f>IFERROR(__xludf.DUMMYFUNCTION("""COMPUTED_VALUE"""),"")</f>
        <v/>
      </c>
      <c r="D119" s="49" t="str">
        <f>IFERROR(__xludf.DUMMYFUNCTION("""COMPUTED_VALUE"""),"")</f>
        <v/>
      </c>
      <c r="E119" s="49" t="str">
        <f>IFERROR(__xludf.DUMMYFUNCTION("""COMPUTED_VALUE"""),"")</f>
        <v/>
      </c>
      <c r="F119" s="49" t="str">
        <f>IFERROR(__xludf.DUMMYFUNCTION("""COMPUTED_VALUE"""),"")</f>
        <v/>
      </c>
      <c r="G119" s="49" t="str">
        <f>IFERROR(__xludf.DUMMYFUNCTION("""COMPUTED_VALUE"""),"")</f>
        <v/>
      </c>
      <c r="H119" s="49" t="str">
        <f>IFERROR(__xludf.DUMMYFUNCTION("""COMPUTED_VALUE"""),"")</f>
        <v/>
      </c>
      <c r="I119" s="49" t="str">
        <f>IFERROR(__xludf.DUMMYFUNCTION("""COMPUTED_VALUE"""),"")</f>
        <v/>
      </c>
      <c r="J119" s="49" t="str">
        <f>IFERROR(__xludf.DUMMYFUNCTION("""COMPUTED_VALUE"""),"")</f>
        <v/>
      </c>
      <c r="K119" s="49" t="str">
        <f>IFERROR(__xludf.DUMMYFUNCTION("""COMPUTED_VALUE"""),"")</f>
        <v/>
      </c>
      <c r="L119" s="49" t="str">
        <f>IFERROR(__xludf.DUMMYFUNCTION("""COMPUTED_VALUE"""),"")</f>
        <v/>
      </c>
      <c r="M119" s="49" t="str">
        <f>IFERROR(__xludf.DUMMYFUNCTION("""COMPUTED_VALUE"""),"")</f>
        <v/>
      </c>
      <c r="N119" s="49" t="str">
        <f>IFERROR(__xludf.DUMMYFUNCTION("""COMPUTED_VALUE"""),"")</f>
        <v/>
      </c>
      <c r="O119" s="49" t="str">
        <f>IFERROR(__xludf.DUMMYFUNCTION("""COMPUTED_VALUE"""),"")</f>
        <v/>
      </c>
      <c r="P119" s="49" t="str">
        <f>IFERROR(__xludf.DUMMYFUNCTION("""COMPUTED_VALUE"""),"")</f>
        <v/>
      </c>
      <c r="Q119" s="49" t="str">
        <f>IFERROR(__xludf.DUMMYFUNCTION("""COMPUTED_VALUE"""),"")</f>
        <v/>
      </c>
      <c r="R119" s="49" t="str">
        <f>IFERROR(__xludf.DUMMYFUNCTION("""COMPUTED_VALUE"""),"")</f>
        <v/>
      </c>
      <c r="S119" s="49" t="str">
        <f>IFERROR(__xludf.DUMMYFUNCTION("""COMPUTED_VALUE"""),"")</f>
        <v/>
      </c>
      <c r="T119" s="49" t="str">
        <f>IFERROR(__xludf.DUMMYFUNCTION("""COMPUTED_VALUE"""),"")</f>
        <v/>
      </c>
      <c r="U119" s="49" t="str">
        <f>IFERROR(__xludf.DUMMYFUNCTION("""COMPUTED_VALUE"""),"")</f>
        <v/>
      </c>
      <c r="V119" s="49" t="str">
        <f>IFERROR(__xludf.DUMMYFUNCTION("""COMPUTED_VALUE"""),"")</f>
        <v/>
      </c>
      <c r="W119" s="49" t="str">
        <f>IFERROR(__xludf.DUMMYFUNCTION("""COMPUTED_VALUE"""),"")</f>
        <v/>
      </c>
      <c r="X119" s="49" t="str">
        <f>IFERROR(__xludf.DUMMYFUNCTION("""COMPUTED_VALUE"""),"")</f>
        <v/>
      </c>
      <c r="Y119" s="49" t="str">
        <f>IFERROR(__xludf.DUMMYFUNCTION("""COMPUTED_VALUE"""),"")</f>
        <v/>
      </c>
      <c r="Z119" s="49"/>
      <c r="AA119" s="49"/>
      <c r="AB119" s="49"/>
      <c r="AC119" s="49"/>
      <c r="AD119" s="49"/>
      <c r="AE119" s="49"/>
      <c r="AF119" s="49"/>
      <c r="AG119" s="49"/>
      <c r="AH119" s="49"/>
      <c r="AI119" s="49"/>
      <c r="AJ119" s="49"/>
      <c r="AK119" s="49"/>
      <c r="AL119" s="49"/>
      <c r="AM119" s="49"/>
      <c r="AN119" s="49"/>
      <c r="AO119" s="49"/>
      <c r="AP119" s="49"/>
      <c r="AQ119" s="49"/>
      <c r="AR119" s="49"/>
      <c r="AS119" s="49"/>
      <c r="AT119" s="49"/>
      <c r="AU119" s="49"/>
      <c r="AV119" s="49"/>
      <c r="AW119" s="49"/>
      <c r="AX119" s="49"/>
    </row>
    <row r="120">
      <c r="A120" s="49"/>
      <c r="B120" s="49"/>
      <c r="C120" s="49" t="str">
        <f>IFERROR(__xludf.DUMMYFUNCTION("""COMPUTED_VALUE"""),"")</f>
        <v/>
      </c>
      <c r="D120" s="49" t="str">
        <f>IFERROR(__xludf.DUMMYFUNCTION("""COMPUTED_VALUE"""),"")</f>
        <v/>
      </c>
      <c r="E120" s="49" t="str">
        <f>IFERROR(__xludf.DUMMYFUNCTION("""COMPUTED_VALUE"""),"")</f>
        <v/>
      </c>
      <c r="F120" s="49" t="str">
        <f>IFERROR(__xludf.DUMMYFUNCTION("""COMPUTED_VALUE"""),"")</f>
        <v/>
      </c>
      <c r="G120" s="49" t="str">
        <f>IFERROR(__xludf.DUMMYFUNCTION("""COMPUTED_VALUE"""),"")</f>
        <v/>
      </c>
      <c r="H120" s="49" t="str">
        <f>IFERROR(__xludf.DUMMYFUNCTION("""COMPUTED_VALUE"""),"")</f>
        <v/>
      </c>
      <c r="I120" s="49" t="str">
        <f>IFERROR(__xludf.DUMMYFUNCTION("""COMPUTED_VALUE"""),"")</f>
        <v/>
      </c>
      <c r="J120" s="49" t="str">
        <f>IFERROR(__xludf.DUMMYFUNCTION("""COMPUTED_VALUE"""),"")</f>
        <v/>
      </c>
      <c r="K120" s="49" t="str">
        <f>IFERROR(__xludf.DUMMYFUNCTION("""COMPUTED_VALUE"""),"")</f>
        <v/>
      </c>
      <c r="L120" s="49" t="str">
        <f>IFERROR(__xludf.DUMMYFUNCTION("""COMPUTED_VALUE"""),"")</f>
        <v/>
      </c>
      <c r="M120" s="49" t="str">
        <f>IFERROR(__xludf.DUMMYFUNCTION("""COMPUTED_VALUE"""),"")</f>
        <v/>
      </c>
      <c r="N120" s="49" t="str">
        <f>IFERROR(__xludf.DUMMYFUNCTION("""COMPUTED_VALUE"""),"")</f>
        <v/>
      </c>
      <c r="O120" s="49" t="str">
        <f>IFERROR(__xludf.DUMMYFUNCTION("""COMPUTED_VALUE"""),"")</f>
        <v/>
      </c>
      <c r="P120" s="49" t="str">
        <f>IFERROR(__xludf.DUMMYFUNCTION("""COMPUTED_VALUE"""),"")</f>
        <v/>
      </c>
      <c r="Q120" s="49" t="str">
        <f>IFERROR(__xludf.DUMMYFUNCTION("""COMPUTED_VALUE"""),"")</f>
        <v/>
      </c>
      <c r="R120" s="49" t="str">
        <f>IFERROR(__xludf.DUMMYFUNCTION("""COMPUTED_VALUE"""),"")</f>
        <v/>
      </c>
      <c r="S120" s="49" t="str">
        <f>IFERROR(__xludf.DUMMYFUNCTION("""COMPUTED_VALUE"""),"")</f>
        <v/>
      </c>
      <c r="T120" s="49" t="str">
        <f>IFERROR(__xludf.DUMMYFUNCTION("""COMPUTED_VALUE"""),"")</f>
        <v/>
      </c>
      <c r="U120" s="49" t="str">
        <f>IFERROR(__xludf.DUMMYFUNCTION("""COMPUTED_VALUE"""),"")</f>
        <v/>
      </c>
      <c r="V120" s="49" t="str">
        <f>IFERROR(__xludf.DUMMYFUNCTION("""COMPUTED_VALUE"""),"")</f>
        <v/>
      </c>
      <c r="W120" s="49" t="str">
        <f>IFERROR(__xludf.DUMMYFUNCTION("""COMPUTED_VALUE"""),"")</f>
        <v/>
      </c>
      <c r="X120" s="49" t="str">
        <f>IFERROR(__xludf.DUMMYFUNCTION("""COMPUTED_VALUE"""),"")</f>
        <v/>
      </c>
      <c r="Y120" s="49" t="str">
        <f>IFERROR(__xludf.DUMMYFUNCTION("""COMPUTED_VALUE"""),"")</f>
        <v/>
      </c>
      <c r="Z120" s="49"/>
      <c r="AA120" s="49"/>
      <c r="AB120" s="49"/>
      <c r="AC120" s="49"/>
      <c r="AD120" s="49"/>
      <c r="AE120" s="49"/>
      <c r="AF120" s="49"/>
      <c r="AG120" s="49"/>
      <c r="AH120" s="49"/>
      <c r="AI120" s="49"/>
      <c r="AJ120" s="49"/>
      <c r="AK120" s="49"/>
      <c r="AL120" s="49"/>
      <c r="AM120" s="49"/>
      <c r="AN120" s="49"/>
      <c r="AO120" s="49"/>
      <c r="AP120" s="49"/>
      <c r="AQ120" s="49"/>
      <c r="AR120" s="49"/>
      <c r="AS120" s="49"/>
      <c r="AT120" s="49"/>
      <c r="AU120" s="49"/>
      <c r="AV120" s="49"/>
      <c r="AW120" s="49"/>
      <c r="AX120" s="49"/>
    </row>
    <row r="121">
      <c r="A121" s="49"/>
      <c r="B121" s="49"/>
      <c r="C121" s="49" t="str">
        <f>IFERROR(__xludf.DUMMYFUNCTION("""COMPUTED_VALUE"""),"")</f>
        <v/>
      </c>
      <c r="D121" s="49" t="str">
        <f>IFERROR(__xludf.DUMMYFUNCTION("""COMPUTED_VALUE"""),"")</f>
        <v/>
      </c>
      <c r="E121" s="49" t="str">
        <f>IFERROR(__xludf.DUMMYFUNCTION("""COMPUTED_VALUE"""),"")</f>
        <v/>
      </c>
      <c r="F121" s="49" t="str">
        <f>IFERROR(__xludf.DUMMYFUNCTION("""COMPUTED_VALUE"""),"")</f>
        <v/>
      </c>
      <c r="G121" s="49" t="str">
        <f>IFERROR(__xludf.DUMMYFUNCTION("""COMPUTED_VALUE"""),"")</f>
        <v/>
      </c>
      <c r="H121" s="49" t="str">
        <f>IFERROR(__xludf.DUMMYFUNCTION("""COMPUTED_VALUE"""),"")</f>
        <v/>
      </c>
      <c r="I121" s="49" t="str">
        <f>IFERROR(__xludf.DUMMYFUNCTION("""COMPUTED_VALUE"""),"")</f>
        <v/>
      </c>
      <c r="J121" s="49" t="str">
        <f>IFERROR(__xludf.DUMMYFUNCTION("""COMPUTED_VALUE"""),"")</f>
        <v/>
      </c>
      <c r="K121" s="49" t="str">
        <f>IFERROR(__xludf.DUMMYFUNCTION("""COMPUTED_VALUE"""),"")</f>
        <v/>
      </c>
      <c r="L121" s="49" t="str">
        <f>IFERROR(__xludf.DUMMYFUNCTION("""COMPUTED_VALUE"""),"")</f>
        <v/>
      </c>
      <c r="M121" s="49" t="str">
        <f>IFERROR(__xludf.DUMMYFUNCTION("""COMPUTED_VALUE"""),"")</f>
        <v/>
      </c>
      <c r="N121" s="49" t="str">
        <f>IFERROR(__xludf.DUMMYFUNCTION("""COMPUTED_VALUE"""),"")</f>
        <v/>
      </c>
      <c r="O121" s="49" t="str">
        <f>IFERROR(__xludf.DUMMYFUNCTION("""COMPUTED_VALUE"""),"")</f>
        <v/>
      </c>
      <c r="P121" s="49" t="str">
        <f>IFERROR(__xludf.DUMMYFUNCTION("""COMPUTED_VALUE"""),"")</f>
        <v/>
      </c>
      <c r="Q121" s="49" t="str">
        <f>IFERROR(__xludf.DUMMYFUNCTION("""COMPUTED_VALUE"""),"")</f>
        <v/>
      </c>
      <c r="R121" s="49" t="str">
        <f>IFERROR(__xludf.DUMMYFUNCTION("""COMPUTED_VALUE"""),"")</f>
        <v/>
      </c>
      <c r="S121" s="49" t="str">
        <f>IFERROR(__xludf.DUMMYFUNCTION("""COMPUTED_VALUE"""),"")</f>
        <v/>
      </c>
      <c r="T121" s="49" t="str">
        <f>IFERROR(__xludf.DUMMYFUNCTION("""COMPUTED_VALUE"""),"")</f>
        <v/>
      </c>
      <c r="U121" s="49" t="str">
        <f>IFERROR(__xludf.DUMMYFUNCTION("""COMPUTED_VALUE"""),"")</f>
        <v/>
      </c>
      <c r="V121" s="49" t="str">
        <f>IFERROR(__xludf.DUMMYFUNCTION("""COMPUTED_VALUE"""),"")</f>
        <v/>
      </c>
      <c r="W121" s="49" t="str">
        <f>IFERROR(__xludf.DUMMYFUNCTION("""COMPUTED_VALUE"""),"")</f>
        <v/>
      </c>
      <c r="X121" s="49" t="str">
        <f>IFERROR(__xludf.DUMMYFUNCTION("""COMPUTED_VALUE"""),"")</f>
        <v/>
      </c>
      <c r="Y121" s="49" t="str">
        <f>IFERROR(__xludf.DUMMYFUNCTION("""COMPUTED_VALUE"""),"")</f>
        <v/>
      </c>
      <c r="Z121" s="49"/>
      <c r="AA121" s="49"/>
      <c r="AB121" s="49"/>
      <c r="AC121" s="49"/>
      <c r="AD121" s="49"/>
      <c r="AE121" s="49"/>
      <c r="AF121" s="49"/>
      <c r="AG121" s="49"/>
      <c r="AH121" s="49"/>
      <c r="AI121" s="49"/>
      <c r="AJ121" s="49"/>
      <c r="AK121" s="49"/>
      <c r="AL121" s="49"/>
      <c r="AM121" s="49"/>
      <c r="AN121" s="49"/>
      <c r="AO121" s="49"/>
      <c r="AP121" s="49"/>
      <c r="AQ121" s="49"/>
      <c r="AR121" s="49"/>
      <c r="AS121" s="49"/>
      <c r="AT121" s="49"/>
      <c r="AU121" s="49"/>
      <c r="AV121" s="49"/>
      <c r="AW121" s="49"/>
      <c r="AX121" s="49"/>
    </row>
    <row r="122">
      <c r="A122" s="49"/>
      <c r="B122" s="49"/>
      <c r="C122" s="49" t="str">
        <f>IFERROR(__xludf.DUMMYFUNCTION("""COMPUTED_VALUE"""),"")</f>
        <v/>
      </c>
      <c r="D122" s="49" t="str">
        <f>IFERROR(__xludf.DUMMYFUNCTION("""COMPUTED_VALUE"""),"")</f>
        <v/>
      </c>
      <c r="E122" s="49" t="str">
        <f>IFERROR(__xludf.DUMMYFUNCTION("""COMPUTED_VALUE"""),"")</f>
        <v/>
      </c>
      <c r="F122" s="49" t="str">
        <f>IFERROR(__xludf.DUMMYFUNCTION("""COMPUTED_VALUE"""),"")</f>
        <v/>
      </c>
      <c r="G122" s="49" t="str">
        <f>IFERROR(__xludf.DUMMYFUNCTION("""COMPUTED_VALUE"""),"")</f>
        <v/>
      </c>
      <c r="H122" s="49" t="str">
        <f>IFERROR(__xludf.DUMMYFUNCTION("""COMPUTED_VALUE"""),"")</f>
        <v/>
      </c>
      <c r="I122" s="49" t="str">
        <f>IFERROR(__xludf.DUMMYFUNCTION("""COMPUTED_VALUE"""),"")</f>
        <v/>
      </c>
      <c r="J122" s="49" t="str">
        <f>IFERROR(__xludf.DUMMYFUNCTION("""COMPUTED_VALUE"""),"")</f>
        <v/>
      </c>
      <c r="K122" s="49" t="str">
        <f>IFERROR(__xludf.DUMMYFUNCTION("""COMPUTED_VALUE"""),"")</f>
        <v/>
      </c>
      <c r="L122" s="49" t="str">
        <f>IFERROR(__xludf.DUMMYFUNCTION("""COMPUTED_VALUE"""),"")</f>
        <v/>
      </c>
      <c r="M122" s="49" t="str">
        <f>IFERROR(__xludf.DUMMYFUNCTION("""COMPUTED_VALUE"""),"")</f>
        <v/>
      </c>
      <c r="N122" s="49" t="str">
        <f>IFERROR(__xludf.DUMMYFUNCTION("""COMPUTED_VALUE"""),"")</f>
        <v/>
      </c>
      <c r="O122" s="49" t="str">
        <f>IFERROR(__xludf.DUMMYFUNCTION("""COMPUTED_VALUE"""),"")</f>
        <v/>
      </c>
      <c r="P122" s="49" t="str">
        <f>IFERROR(__xludf.DUMMYFUNCTION("""COMPUTED_VALUE"""),"")</f>
        <v/>
      </c>
      <c r="Q122" s="49" t="str">
        <f>IFERROR(__xludf.DUMMYFUNCTION("""COMPUTED_VALUE"""),"")</f>
        <v/>
      </c>
      <c r="R122" s="49" t="str">
        <f>IFERROR(__xludf.DUMMYFUNCTION("""COMPUTED_VALUE"""),"")</f>
        <v/>
      </c>
      <c r="S122" s="49" t="str">
        <f>IFERROR(__xludf.DUMMYFUNCTION("""COMPUTED_VALUE"""),"")</f>
        <v/>
      </c>
      <c r="T122" s="49" t="str">
        <f>IFERROR(__xludf.DUMMYFUNCTION("""COMPUTED_VALUE"""),"")</f>
        <v/>
      </c>
      <c r="U122" s="49" t="str">
        <f>IFERROR(__xludf.DUMMYFUNCTION("""COMPUTED_VALUE"""),"")</f>
        <v/>
      </c>
      <c r="V122" s="49" t="str">
        <f>IFERROR(__xludf.DUMMYFUNCTION("""COMPUTED_VALUE"""),"")</f>
        <v/>
      </c>
      <c r="W122" s="49" t="str">
        <f>IFERROR(__xludf.DUMMYFUNCTION("""COMPUTED_VALUE"""),"")</f>
        <v/>
      </c>
      <c r="X122" s="49" t="str">
        <f>IFERROR(__xludf.DUMMYFUNCTION("""COMPUTED_VALUE"""),"")</f>
        <v/>
      </c>
      <c r="Y122" s="49" t="str">
        <f>IFERROR(__xludf.DUMMYFUNCTION("""COMPUTED_VALUE"""),"")</f>
        <v/>
      </c>
      <c r="Z122" s="49"/>
      <c r="AA122" s="49"/>
      <c r="AB122" s="49"/>
      <c r="AC122" s="49"/>
      <c r="AD122" s="49"/>
      <c r="AE122" s="49"/>
      <c r="AF122" s="49"/>
      <c r="AG122" s="49"/>
      <c r="AH122" s="49"/>
      <c r="AI122" s="49"/>
      <c r="AJ122" s="49"/>
      <c r="AK122" s="49"/>
      <c r="AL122" s="49"/>
      <c r="AM122" s="49"/>
      <c r="AN122" s="49"/>
      <c r="AO122" s="49"/>
      <c r="AP122" s="49"/>
      <c r="AQ122" s="49"/>
      <c r="AR122" s="49"/>
      <c r="AS122" s="49"/>
      <c r="AT122" s="49"/>
      <c r="AU122" s="49"/>
      <c r="AV122" s="49"/>
      <c r="AW122" s="49"/>
      <c r="AX122" s="49"/>
    </row>
    <row r="123">
      <c r="A123" s="49"/>
      <c r="B123" s="49"/>
      <c r="C123" s="49" t="str">
        <f>IFERROR(__xludf.DUMMYFUNCTION("""COMPUTED_VALUE"""),"")</f>
        <v/>
      </c>
      <c r="D123" s="49" t="str">
        <f>IFERROR(__xludf.DUMMYFUNCTION("""COMPUTED_VALUE"""),"")</f>
        <v/>
      </c>
      <c r="E123" s="49" t="str">
        <f>IFERROR(__xludf.DUMMYFUNCTION("""COMPUTED_VALUE"""),"")</f>
        <v/>
      </c>
      <c r="F123" s="49" t="str">
        <f>IFERROR(__xludf.DUMMYFUNCTION("""COMPUTED_VALUE"""),"")</f>
        <v/>
      </c>
      <c r="G123" s="49" t="str">
        <f>IFERROR(__xludf.DUMMYFUNCTION("""COMPUTED_VALUE"""),"")</f>
        <v/>
      </c>
      <c r="H123" s="49" t="str">
        <f>IFERROR(__xludf.DUMMYFUNCTION("""COMPUTED_VALUE"""),"")</f>
        <v/>
      </c>
      <c r="I123" s="49" t="str">
        <f>IFERROR(__xludf.DUMMYFUNCTION("""COMPUTED_VALUE"""),"")</f>
        <v/>
      </c>
      <c r="J123" s="49" t="str">
        <f>IFERROR(__xludf.DUMMYFUNCTION("""COMPUTED_VALUE"""),"")</f>
        <v/>
      </c>
      <c r="K123" s="49" t="str">
        <f>IFERROR(__xludf.DUMMYFUNCTION("""COMPUTED_VALUE"""),"")</f>
        <v/>
      </c>
      <c r="L123" s="49" t="str">
        <f>IFERROR(__xludf.DUMMYFUNCTION("""COMPUTED_VALUE"""),"")</f>
        <v/>
      </c>
      <c r="M123" s="49" t="str">
        <f>IFERROR(__xludf.DUMMYFUNCTION("""COMPUTED_VALUE"""),"")</f>
        <v/>
      </c>
      <c r="N123" s="49" t="str">
        <f>IFERROR(__xludf.DUMMYFUNCTION("""COMPUTED_VALUE"""),"")</f>
        <v/>
      </c>
      <c r="O123" s="49" t="str">
        <f>IFERROR(__xludf.DUMMYFUNCTION("""COMPUTED_VALUE"""),"")</f>
        <v/>
      </c>
      <c r="P123" s="49" t="str">
        <f>IFERROR(__xludf.DUMMYFUNCTION("""COMPUTED_VALUE"""),"")</f>
        <v/>
      </c>
      <c r="Q123" s="49" t="str">
        <f>IFERROR(__xludf.DUMMYFUNCTION("""COMPUTED_VALUE"""),"")</f>
        <v/>
      </c>
      <c r="R123" s="49" t="str">
        <f>IFERROR(__xludf.DUMMYFUNCTION("""COMPUTED_VALUE"""),"")</f>
        <v/>
      </c>
      <c r="S123" s="49" t="str">
        <f>IFERROR(__xludf.DUMMYFUNCTION("""COMPUTED_VALUE"""),"")</f>
        <v/>
      </c>
      <c r="T123" s="49" t="str">
        <f>IFERROR(__xludf.DUMMYFUNCTION("""COMPUTED_VALUE"""),"")</f>
        <v/>
      </c>
      <c r="U123" s="49" t="str">
        <f>IFERROR(__xludf.DUMMYFUNCTION("""COMPUTED_VALUE"""),"")</f>
        <v/>
      </c>
      <c r="V123" s="49" t="str">
        <f>IFERROR(__xludf.DUMMYFUNCTION("""COMPUTED_VALUE"""),"")</f>
        <v/>
      </c>
      <c r="W123" s="49" t="str">
        <f>IFERROR(__xludf.DUMMYFUNCTION("""COMPUTED_VALUE"""),"")</f>
        <v/>
      </c>
      <c r="X123" s="49" t="str">
        <f>IFERROR(__xludf.DUMMYFUNCTION("""COMPUTED_VALUE"""),"")</f>
        <v/>
      </c>
      <c r="Y123" s="49" t="str">
        <f>IFERROR(__xludf.DUMMYFUNCTION("""COMPUTED_VALUE"""),"")</f>
        <v/>
      </c>
      <c r="Z123" s="49"/>
      <c r="AA123" s="49"/>
      <c r="AB123" s="49"/>
      <c r="AC123" s="49"/>
      <c r="AD123" s="49"/>
      <c r="AE123" s="49"/>
      <c r="AF123" s="49"/>
      <c r="AG123" s="49"/>
      <c r="AH123" s="49"/>
      <c r="AI123" s="49"/>
      <c r="AJ123" s="49"/>
      <c r="AK123" s="49"/>
      <c r="AL123" s="49"/>
      <c r="AM123" s="49"/>
      <c r="AN123" s="49"/>
      <c r="AO123" s="49"/>
      <c r="AP123" s="49"/>
      <c r="AQ123" s="49"/>
      <c r="AR123" s="49"/>
      <c r="AS123" s="49"/>
      <c r="AT123" s="49"/>
      <c r="AU123" s="49"/>
      <c r="AV123" s="49"/>
      <c r="AW123" s="49"/>
      <c r="AX123" s="49"/>
    </row>
    <row r="124">
      <c r="A124" s="49"/>
      <c r="B124" s="49"/>
      <c r="C124" s="49" t="str">
        <f>IFERROR(__xludf.DUMMYFUNCTION("""COMPUTED_VALUE"""),"")</f>
        <v/>
      </c>
      <c r="D124" s="49" t="str">
        <f>IFERROR(__xludf.DUMMYFUNCTION("""COMPUTED_VALUE"""),"")</f>
        <v/>
      </c>
      <c r="E124" s="49" t="str">
        <f>IFERROR(__xludf.DUMMYFUNCTION("""COMPUTED_VALUE"""),"")</f>
        <v/>
      </c>
      <c r="F124" s="49" t="str">
        <f>IFERROR(__xludf.DUMMYFUNCTION("""COMPUTED_VALUE"""),"")</f>
        <v/>
      </c>
      <c r="G124" s="49" t="str">
        <f>IFERROR(__xludf.DUMMYFUNCTION("""COMPUTED_VALUE"""),"")</f>
        <v/>
      </c>
      <c r="H124" s="49" t="str">
        <f>IFERROR(__xludf.DUMMYFUNCTION("""COMPUTED_VALUE"""),"")</f>
        <v/>
      </c>
      <c r="I124" s="49" t="str">
        <f>IFERROR(__xludf.DUMMYFUNCTION("""COMPUTED_VALUE"""),"")</f>
        <v/>
      </c>
      <c r="J124" s="49" t="str">
        <f>IFERROR(__xludf.DUMMYFUNCTION("""COMPUTED_VALUE"""),"")</f>
        <v/>
      </c>
      <c r="K124" s="49" t="str">
        <f>IFERROR(__xludf.DUMMYFUNCTION("""COMPUTED_VALUE"""),"")</f>
        <v/>
      </c>
      <c r="L124" s="49" t="str">
        <f>IFERROR(__xludf.DUMMYFUNCTION("""COMPUTED_VALUE"""),"")</f>
        <v/>
      </c>
      <c r="M124" s="49" t="str">
        <f>IFERROR(__xludf.DUMMYFUNCTION("""COMPUTED_VALUE"""),"")</f>
        <v/>
      </c>
      <c r="N124" s="49" t="str">
        <f>IFERROR(__xludf.DUMMYFUNCTION("""COMPUTED_VALUE"""),"")</f>
        <v/>
      </c>
      <c r="O124" s="49" t="str">
        <f>IFERROR(__xludf.DUMMYFUNCTION("""COMPUTED_VALUE"""),"")</f>
        <v/>
      </c>
      <c r="P124" s="49" t="str">
        <f>IFERROR(__xludf.DUMMYFUNCTION("""COMPUTED_VALUE"""),"")</f>
        <v/>
      </c>
      <c r="Q124" s="49" t="str">
        <f>IFERROR(__xludf.DUMMYFUNCTION("""COMPUTED_VALUE"""),"")</f>
        <v/>
      </c>
      <c r="R124" s="49" t="str">
        <f>IFERROR(__xludf.DUMMYFUNCTION("""COMPUTED_VALUE"""),"")</f>
        <v/>
      </c>
      <c r="S124" s="49" t="str">
        <f>IFERROR(__xludf.DUMMYFUNCTION("""COMPUTED_VALUE"""),"")</f>
        <v/>
      </c>
      <c r="T124" s="49" t="str">
        <f>IFERROR(__xludf.DUMMYFUNCTION("""COMPUTED_VALUE"""),"")</f>
        <v/>
      </c>
      <c r="U124" s="49" t="str">
        <f>IFERROR(__xludf.DUMMYFUNCTION("""COMPUTED_VALUE"""),"")</f>
        <v/>
      </c>
      <c r="V124" s="49" t="str">
        <f>IFERROR(__xludf.DUMMYFUNCTION("""COMPUTED_VALUE"""),"")</f>
        <v/>
      </c>
      <c r="W124" s="49" t="str">
        <f>IFERROR(__xludf.DUMMYFUNCTION("""COMPUTED_VALUE"""),"")</f>
        <v/>
      </c>
      <c r="X124" s="49" t="str">
        <f>IFERROR(__xludf.DUMMYFUNCTION("""COMPUTED_VALUE"""),"")</f>
        <v/>
      </c>
      <c r="Y124" s="49" t="str">
        <f>IFERROR(__xludf.DUMMYFUNCTION("""COMPUTED_VALUE"""),"")</f>
        <v/>
      </c>
      <c r="Z124" s="49"/>
      <c r="AA124" s="49"/>
      <c r="AB124" s="49"/>
      <c r="AC124" s="49"/>
      <c r="AD124" s="49"/>
      <c r="AE124" s="49"/>
      <c r="AF124" s="49"/>
      <c r="AG124" s="49"/>
      <c r="AH124" s="49"/>
      <c r="AI124" s="49"/>
      <c r="AJ124" s="49"/>
      <c r="AK124" s="49"/>
      <c r="AL124" s="49"/>
      <c r="AM124" s="49"/>
      <c r="AN124" s="49"/>
      <c r="AO124" s="49"/>
      <c r="AP124" s="49"/>
      <c r="AQ124" s="49"/>
      <c r="AR124" s="49"/>
      <c r="AS124" s="49"/>
      <c r="AT124" s="49"/>
      <c r="AU124" s="49"/>
      <c r="AV124" s="49"/>
      <c r="AW124" s="49"/>
      <c r="AX124" s="49"/>
    </row>
    <row r="125">
      <c r="A125" s="49"/>
      <c r="B125" s="49"/>
      <c r="C125" s="49" t="str">
        <f>IFERROR(__xludf.DUMMYFUNCTION("""COMPUTED_VALUE"""),"")</f>
        <v/>
      </c>
      <c r="D125" s="49" t="str">
        <f>IFERROR(__xludf.DUMMYFUNCTION("""COMPUTED_VALUE"""),"")</f>
        <v/>
      </c>
      <c r="E125" s="49" t="str">
        <f>IFERROR(__xludf.DUMMYFUNCTION("""COMPUTED_VALUE"""),"")</f>
        <v/>
      </c>
      <c r="F125" s="49" t="str">
        <f>IFERROR(__xludf.DUMMYFUNCTION("""COMPUTED_VALUE"""),"")</f>
        <v/>
      </c>
      <c r="G125" s="49" t="str">
        <f>IFERROR(__xludf.DUMMYFUNCTION("""COMPUTED_VALUE"""),"")</f>
        <v/>
      </c>
      <c r="H125" s="49" t="str">
        <f>IFERROR(__xludf.DUMMYFUNCTION("""COMPUTED_VALUE"""),"")</f>
        <v/>
      </c>
      <c r="I125" s="49" t="str">
        <f>IFERROR(__xludf.DUMMYFUNCTION("""COMPUTED_VALUE"""),"")</f>
        <v/>
      </c>
      <c r="J125" s="49" t="str">
        <f>IFERROR(__xludf.DUMMYFUNCTION("""COMPUTED_VALUE"""),"")</f>
        <v/>
      </c>
      <c r="K125" s="49" t="str">
        <f>IFERROR(__xludf.DUMMYFUNCTION("""COMPUTED_VALUE"""),"")</f>
        <v/>
      </c>
      <c r="L125" s="49" t="str">
        <f>IFERROR(__xludf.DUMMYFUNCTION("""COMPUTED_VALUE"""),"")</f>
        <v/>
      </c>
      <c r="M125" s="49" t="str">
        <f>IFERROR(__xludf.DUMMYFUNCTION("""COMPUTED_VALUE"""),"")</f>
        <v/>
      </c>
      <c r="N125" s="49" t="str">
        <f>IFERROR(__xludf.DUMMYFUNCTION("""COMPUTED_VALUE"""),"")</f>
        <v/>
      </c>
      <c r="O125" s="49" t="str">
        <f>IFERROR(__xludf.DUMMYFUNCTION("""COMPUTED_VALUE"""),"")</f>
        <v/>
      </c>
      <c r="P125" s="49" t="str">
        <f>IFERROR(__xludf.DUMMYFUNCTION("""COMPUTED_VALUE"""),"")</f>
        <v/>
      </c>
      <c r="Q125" s="49" t="str">
        <f>IFERROR(__xludf.DUMMYFUNCTION("""COMPUTED_VALUE"""),"")</f>
        <v/>
      </c>
      <c r="R125" s="49" t="str">
        <f>IFERROR(__xludf.DUMMYFUNCTION("""COMPUTED_VALUE"""),"")</f>
        <v/>
      </c>
      <c r="S125" s="49" t="str">
        <f>IFERROR(__xludf.DUMMYFUNCTION("""COMPUTED_VALUE"""),"")</f>
        <v/>
      </c>
      <c r="T125" s="49" t="str">
        <f>IFERROR(__xludf.DUMMYFUNCTION("""COMPUTED_VALUE"""),"")</f>
        <v/>
      </c>
      <c r="U125" s="49" t="str">
        <f>IFERROR(__xludf.DUMMYFUNCTION("""COMPUTED_VALUE"""),"")</f>
        <v/>
      </c>
      <c r="V125" s="49" t="str">
        <f>IFERROR(__xludf.DUMMYFUNCTION("""COMPUTED_VALUE"""),"")</f>
        <v/>
      </c>
      <c r="W125" s="49" t="str">
        <f>IFERROR(__xludf.DUMMYFUNCTION("""COMPUTED_VALUE"""),"")</f>
        <v/>
      </c>
      <c r="X125" s="49" t="str">
        <f>IFERROR(__xludf.DUMMYFUNCTION("""COMPUTED_VALUE"""),"")</f>
        <v/>
      </c>
      <c r="Y125" s="49" t="str">
        <f>IFERROR(__xludf.DUMMYFUNCTION("""COMPUTED_VALUE"""),"")</f>
        <v/>
      </c>
      <c r="Z125" s="49"/>
      <c r="AA125" s="49"/>
      <c r="AB125" s="49"/>
      <c r="AC125" s="49"/>
      <c r="AD125" s="49"/>
      <c r="AE125" s="49"/>
      <c r="AF125" s="49"/>
      <c r="AG125" s="49"/>
      <c r="AH125" s="49"/>
      <c r="AI125" s="49"/>
      <c r="AJ125" s="49"/>
      <c r="AK125" s="49"/>
      <c r="AL125" s="49"/>
      <c r="AM125" s="49"/>
      <c r="AN125" s="49"/>
      <c r="AO125" s="49"/>
      <c r="AP125" s="49"/>
      <c r="AQ125" s="49"/>
      <c r="AR125" s="49"/>
      <c r="AS125" s="49"/>
      <c r="AT125" s="49"/>
      <c r="AU125" s="49"/>
      <c r="AV125" s="49"/>
      <c r="AW125" s="49"/>
      <c r="AX125" s="49"/>
    </row>
    <row r="126">
      <c r="A126" s="49"/>
      <c r="B126" s="49"/>
      <c r="C126" s="49" t="str">
        <f>IFERROR(__xludf.DUMMYFUNCTION("""COMPUTED_VALUE"""),"")</f>
        <v/>
      </c>
      <c r="D126" s="49" t="str">
        <f>IFERROR(__xludf.DUMMYFUNCTION("""COMPUTED_VALUE"""),"")</f>
        <v/>
      </c>
      <c r="E126" s="49" t="str">
        <f>IFERROR(__xludf.DUMMYFUNCTION("""COMPUTED_VALUE"""),"")</f>
        <v/>
      </c>
      <c r="F126" s="49" t="str">
        <f>IFERROR(__xludf.DUMMYFUNCTION("""COMPUTED_VALUE"""),"")</f>
        <v/>
      </c>
      <c r="G126" s="49" t="str">
        <f>IFERROR(__xludf.DUMMYFUNCTION("""COMPUTED_VALUE"""),"")</f>
        <v/>
      </c>
      <c r="H126" s="49" t="str">
        <f>IFERROR(__xludf.DUMMYFUNCTION("""COMPUTED_VALUE"""),"")</f>
        <v/>
      </c>
      <c r="I126" s="49" t="str">
        <f>IFERROR(__xludf.DUMMYFUNCTION("""COMPUTED_VALUE"""),"")</f>
        <v/>
      </c>
      <c r="J126" s="49" t="str">
        <f>IFERROR(__xludf.DUMMYFUNCTION("""COMPUTED_VALUE"""),"")</f>
        <v/>
      </c>
      <c r="K126" s="49" t="str">
        <f>IFERROR(__xludf.DUMMYFUNCTION("""COMPUTED_VALUE"""),"")</f>
        <v/>
      </c>
      <c r="L126" s="49" t="str">
        <f>IFERROR(__xludf.DUMMYFUNCTION("""COMPUTED_VALUE"""),"")</f>
        <v/>
      </c>
      <c r="M126" s="49" t="str">
        <f>IFERROR(__xludf.DUMMYFUNCTION("""COMPUTED_VALUE"""),"")</f>
        <v/>
      </c>
      <c r="N126" s="49" t="str">
        <f>IFERROR(__xludf.DUMMYFUNCTION("""COMPUTED_VALUE"""),"")</f>
        <v/>
      </c>
      <c r="O126" s="49" t="str">
        <f>IFERROR(__xludf.DUMMYFUNCTION("""COMPUTED_VALUE"""),"")</f>
        <v/>
      </c>
      <c r="P126" s="49" t="str">
        <f>IFERROR(__xludf.DUMMYFUNCTION("""COMPUTED_VALUE"""),"")</f>
        <v/>
      </c>
      <c r="Q126" s="49" t="str">
        <f>IFERROR(__xludf.DUMMYFUNCTION("""COMPUTED_VALUE"""),"")</f>
        <v/>
      </c>
      <c r="R126" s="49" t="str">
        <f>IFERROR(__xludf.DUMMYFUNCTION("""COMPUTED_VALUE"""),"")</f>
        <v/>
      </c>
      <c r="S126" s="49" t="str">
        <f>IFERROR(__xludf.DUMMYFUNCTION("""COMPUTED_VALUE"""),"")</f>
        <v/>
      </c>
      <c r="T126" s="49" t="str">
        <f>IFERROR(__xludf.DUMMYFUNCTION("""COMPUTED_VALUE"""),"")</f>
        <v/>
      </c>
      <c r="U126" s="49" t="str">
        <f>IFERROR(__xludf.DUMMYFUNCTION("""COMPUTED_VALUE"""),"")</f>
        <v/>
      </c>
      <c r="V126" s="49" t="str">
        <f>IFERROR(__xludf.DUMMYFUNCTION("""COMPUTED_VALUE"""),"")</f>
        <v/>
      </c>
      <c r="W126" s="49" t="str">
        <f>IFERROR(__xludf.DUMMYFUNCTION("""COMPUTED_VALUE"""),"")</f>
        <v/>
      </c>
      <c r="X126" s="49" t="str">
        <f>IFERROR(__xludf.DUMMYFUNCTION("""COMPUTED_VALUE"""),"")</f>
        <v/>
      </c>
      <c r="Y126" s="49" t="str">
        <f>IFERROR(__xludf.DUMMYFUNCTION("""COMPUTED_VALUE"""),"")</f>
        <v/>
      </c>
      <c r="Z126" s="49"/>
      <c r="AA126" s="49"/>
      <c r="AB126" s="49"/>
      <c r="AC126" s="49"/>
      <c r="AD126" s="49"/>
      <c r="AE126" s="49"/>
      <c r="AF126" s="49"/>
      <c r="AG126" s="49"/>
      <c r="AH126" s="49"/>
      <c r="AI126" s="49"/>
      <c r="AJ126" s="49"/>
      <c r="AK126" s="49"/>
      <c r="AL126" s="49"/>
      <c r="AM126" s="49"/>
      <c r="AN126" s="49"/>
      <c r="AO126" s="49"/>
      <c r="AP126" s="49"/>
      <c r="AQ126" s="49"/>
      <c r="AR126" s="49"/>
      <c r="AS126" s="49"/>
      <c r="AT126" s="49"/>
      <c r="AU126" s="49"/>
      <c r="AV126" s="49"/>
      <c r="AW126" s="49"/>
      <c r="AX126" s="49"/>
    </row>
    <row r="127">
      <c r="A127" s="49"/>
      <c r="B127" s="49"/>
      <c r="C127" s="49" t="str">
        <f>IFERROR(__xludf.DUMMYFUNCTION("""COMPUTED_VALUE"""),"")</f>
        <v/>
      </c>
      <c r="D127" s="49" t="str">
        <f>IFERROR(__xludf.DUMMYFUNCTION("""COMPUTED_VALUE"""),"")</f>
        <v/>
      </c>
      <c r="E127" s="49" t="str">
        <f>IFERROR(__xludf.DUMMYFUNCTION("""COMPUTED_VALUE"""),"")</f>
        <v/>
      </c>
      <c r="F127" s="49" t="str">
        <f>IFERROR(__xludf.DUMMYFUNCTION("""COMPUTED_VALUE"""),"")</f>
        <v/>
      </c>
      <c r="G127" s="49" t="str">
        <f>IFERROR(__xludf.DUMMYFUNCTION("""COMPUTED_VALUE"""),"")</f>
        <v/>
      </c>
      <c r="H127" s="49" t="str">
        <f>IFERROR(__xludf.DUMMYFUNCTION("""COMPUTED_VALUE"""),"")</f>
        <v/>
      </c>
      <c r="I127" s="49" t="str">
        <f>IFERROR(__xludf.DUMMYFUNCTION("""COMPUTED_VALUE"""),"")</f>
        <v/>
      </c>
      <c r="J127" s="49" t="str">
        <f>IFERROR(__xludf.DUMMYFUNCTION("""COMPUTED_VALUE"""),"")</f>
        <v/>
      </c>
      <c r="K127" s="49" t="str">
        <f>IFERROR(__xludf.DUMMYFUNCTION("""COMPUTED_VALUE"""),"")</f>
        <v/>
      </c>
      <c r="L127" s="49" t="str">
        <f>IFERROR(__xludf.DUMMYFUNCTION("""COMPUTED_VALUE"""),"")</f>
        <v/>
      </c>
      <c r="M127" s="49" t="str">
        <f>IFERROR(__xludf.DUMMYFUNCTION("""COMPUTED_VALUE"""),"")</f>
        <v/>
      </c>
      <c r="N127" s="49" t="str">
        <f>IFERROR(__xludf.DUMMYFUNCTION("""COMPUTED_VALUE"""),"")</f>
        <v/>
      </c>
      <c r="O127" s="49" t="str">
        <f>IFERROR(__xludf.DUMMYFUNCTION("""COMPUTED_VALUE"""),"")</f>
        <v/>
      </c>
      <c r="P127" s="49" t="str">
        <f>IFERROR(__xludf.DUMMYFUNCTION("""COMPUTED_VALUE"""),"")</f>
        <v/>
      </c>
      <c r="Q127" s="49" t="str">
        <f>IFERROR(__xludf.DUMMYFUNCTION("""COMPUTED_VALUE"""),"")</f>
        <v/>
      </c>
      <c r="R127" s="49" t="str">
        <f>IFERROR(__xludf.DUMMYFUNCTION("""COMPUTED_VALUE"""),"")</f>
        <v/>
      </c>
      <c r="S127" s="49" t="str">
        <f>IFERROR(__xludf.DUMMYFUNCTION("""COMPUTED_VALUE"""),"")</f>
        <v/>
      </c>
      <c r="T127" s="49" t="str">
        <f>IFERROR(__xludf.DUMMYFUNCTION("""COMPUTED_VALUE"""),"")</f>
        <v/>
      </c>
      <c r="U127" s="49" t="str">
        <f>IFERROR(__xludf.DUMMYFUNCTION("""COMPUTED_VALUE"""),"")</f>
        <v/>
      </c>
      <c r="V127" s="49" t="str">
        <f>IFERROR(__xludf.DUMMYFUNCTION("""COMPUTED_VALUE"""),"")</f>
        <v/>
      </c>
      <c r="W127" s="49" t="str">
        <f>IFERROR(__xludf.DUMMYFUNCTION("""COMPUTED_VALUE"""),"")</f>
        <v/>
      </c>
      <c r="X127" s="49" t="str">
        <f>IFERROR(__xludf.DUMMYFUNCTION("""COMPUTED_VALUE"""),"")</f>
        <v/>
      </c>
      <c r="Y127" s="49" t="str">
        <f>IFERROR(__xludf.DUMMYFUNCTION("""COMPUTED_VALUE"""),"")</f>
        <v/>
      </c>
      <c r="Z127" s="49"/>
      <c r="AA127" s="49"/>
      <c r="AB127" s="49"/>
      <c r="AC127" s="49"/>
      <c r="AD127" s="49"/>
      <c r="AE127" s="49"/>
      <c r="AF127" s="49"/>
      <c r="AG127" s="49"/>
      <c r="AH127" s="49"/>
      <c r="AI127" s="49"/>
      <c r="AJ127" s="49"/>
      <c r="AK127" s="49"/>
      <c r="AL127" s="49"/>
      <c r="AM127" s="49"/>
      <c r="AN127" s="49"/>
      <c r="AO127" s="49"/>
      <c r="AP127" s="49"/>
      <c r="AQ127" s="49"/>
      <c r="AR127" s="49"/>
      <c r="AS127" s="49"/>
      <c r="AT127" s="49"/>
      <c r="AU127" s="49"/>
      <c r="AV127" s="49"/>
      <c r="AW127" s="49"/>
      <c r="AX127" s="49"/>
    </row>
    <row r="128">
      <c r="A128" s="49"/>
      <c r="B128" s="49"/>
      <c r="C128" s="49" t="str">
        <f>IFERROR(__xludf.DUMMYFUNCTION("""COMPUTED_VALUE"""),"")</f>
        <v/>
      </c>
      <c r="D128" s="49" t="str">
        <f>IFERROR(__xludf.DUMMYFUNCTION("""COMPUTED_VALUE"""),"")</f>
        <v/>
      </c>
      <c r="E128" s="49" t="str">
        <f>IFERROR(__xludf.DUMMYFUNCTION("""COMPUTED_VALUE"""),"")</f>
        <v/>
      </c>
      <c r="F128" s="49" t="str">
        <f>IFERROR(__xludf.DUMMYFUNCTION("""COMPUTED_VALUE"""),"")</f>
        <v/>
      </c>
      <c r="G128" s="49" t="str">
        <f>IFERROR(__xludf.DUMMYFUNCTION("""COMPUTED_VALUE"""),"")</f>
        <v/>
      </c>
      <c r="H128" s="49" t="str">
        <f>IFERROR(__xludf.DUMMYFUNCTION("""COMPUTED_VALUE"""),"")</f>
        <v/>
      </c>
      <c r="I128" s="49" t="str">
        <f>IFERROR(__xludf.DUMMYFUNCTION("""COMPUTED_VALUE"""),"")</f>
        <v/>
      </c>
      <c r="J128" s="49" t="str">
        <f>IFERROR(__xludf.DUMMYFUNCTION("""COMPUTED_VALUE"""),"")</f>
        <v/>
      </c>
      <c r="K128" s="49" t="str">
        <f>IFERROR(__xludf.DUMMYFUNCTION("""COMPUTED_VALUE"""),"")</f>
        <v/>
      </c>
      <c r="L128" s="49" t="str">
        <f>IFERROR(__xludf.DUMMYFUNCTION("""COMPUTED_VALUE"""),"")</f>
        <v/>
      </c>
      <c r="M128" s="49" t="str">
        <f>IFERROR(__xludf.DUMMYFUNCTION("""COMPUTED_VALUE"""),"")</f>
        <v/>
      </c>
      <c r="N128" s="49" t="str">
        <f>IFERROR(__xludf.DUMMYFUNCTION("""COMPUTED_VALUE"""),"")</f>
        <v/>
      </c>
      <c r="O128" s="49" t="str">
        <f>IFERROR(__xludf.DUMMYFUNCTION("""COMPUTED_VALUE"""),"")</f>
        <v/>
      </c>
      <c r="P128" s="49" t="str">
        <f>IFERROR(__xludf.DUMMYFUNCTION("""COMPUTED_VALUE"""),"")</f>
        <v/>
      </c>
      <c r="Q128" s="49" t="str">
        <f>IFERROR(__xludf.DUMMYFUNCTION("""COMPUTED_VALUE"""),"")</f>
        <v/>
      </c>
      <c r="R128" s="49" t="str">
        <f>IFERROR(__xludf.DUMMYFUNCTION("""COMPUTED_VALUE"""),"")</f>
        <v/>
      </c>
      <c r="S128" s="49" t="str">
        <f>IFERROR(__xludf.DUMMYFUNCTION("""COMPUTED_VALUE"""),"")</f>
        <v/>
      </c>
      <c r="T128" s="49" t="str">
        <f>IFERROR(__xludf.DUMMYFUNCTION("""COMPUTED_VALUE"""),"")</f>
        <v/>
      </c>
      <c r="U128" s="49" t="str">
        <f>IFERROR(__xludf.DUMMYFUNCTION("""COMPUTED_VALUE"""),"")</f>
        <v/>
      </c>
      <c r="V128" s="49" t="str">
        <f>IFERROR(__xludf.DUMMYFUNCTION("""COMPUTED_VALUE"""),"")</f>
        <v/>
      </c>
      <c r="W128" s="49" t="str">
        <f>IFERROR(__xludf.DUMMYFUNCTION("""COMPUTED_VALUE"""),"")</f>
        <v/>
      </c>
      <c r="X128" s="49" t="str">
        <f>IFERROR(__xludf.DUMMYFUNCTION("""COMPUTED_VALUE"""),"")</f>
        <v/>
      </c>
      <c r="Y128" s="49" t="str">
        <f>IFERROR(__xludf.DUMMYFUNCTION("""COMPUTED_VALUE"""),"")</f>
        <v/>
      </c>
      <c r="Z128" s="49"/>
      <c r="AA128" s="49"/>
      <c r="AB128" s="49"/>
      <c r="AC128" s="49"/>
      <c r="AD128" s="49"/>
      <c r="AE128" s="49"/>
      <c r="AF128" s="49"/>
      <c r="AG128" s="49"/>
      <c r="AH128" s="49"/>
      <c r="AI128" s="49"/>
      <c r="AJ128" s="49"/>
      <c r="AK128" s="49"/>
      <c r="AL128" s="49"/>
      <c r="AM128" s="49"/>
      <c r="AN128" s="49"/>
      <c r="AO128" s="49"/>
      <c r="AP128" s="49"/>
      <c r="AQ128" s="49"/>
      <c r="AR128" s="49"/>
      <c r="AS128" s="49"/>
      <c r="AT128" s="49"/>
      <c r="AU128" s="49"/>
      <c r="AV128" s="49"/>
      <c r="AW128" s="49"/>
      <c r="AX128" s="49"/>
    </row>
    <row r="129">
      <c r="A129" s="49"/>
      <c r="B129" s="49"/>
      <c r="C129" s="49" t="str">
        <f>IFERROR(__xludf.DUMMYFUNCTION("""COMPUTED_VALUE"""),"")</f>
        <v/>
      </c>
      <c r="D129" s="49" t="str">
        <f>IFERROR(__xludf.DUMMYFUNCTION("""COMPUTED_VALUE"""),"")</f>
        <v/>
      </c>
      <c r="E129" s="49" t="str">
        <f>IFERROR(__xludf.DUMMYFUNCTION("""COMPUTED_VALUE"""),"")</f>
        <v/>
      </c>
      <c r="F129" s="49" t="str">
        <f>IFERROR(__xludf.DUMMYFUNCTION("""COMPUTED_VALUE"""),"")</f>
        <v/>
      </c>
      <c r="G129" s="49" t="str">
        <f>IFERROR(__xludf.DUMMYFUNCTION("""COMPUTED_VALUE"""),"")</f>
        <v/>
      </c>
      <c r="H129" s="49" t="str">
        <f>IFERROR(__xludf.DUMMYFUNCTION("""COMPUTED_VALUE"""),"")</f>
        <v/>
      </c>
      <c r="I129" s="49" t="str">
        <f>IFERROR(__xludf.DUMMYFUNCTION("""COMPUTED_VALUE"""),"")</f>
        <v/>
      </c>
      <c r="J129" s="49" t="str">
        <f>IFERROR(__xludf.DUMMYFUNCTION("""COMPUTED_VALUE"""),"")</f>
        <v/>
      </c>
      <c r="K129" s="49" t="str">
        <f>IFERROR(__xludf.DUMMYFUNCTION("""COMPUTED_VALUE"""),"")</f>
        <v/>
      </c>
      <c r="L129" s="49" t="str">
        <f>IFERROR(__xludf.DUMMYFUNCTION("""COMPUTED_VALUE"""),"")</f>
        <v/>
      </c>
      <c r="M129" s="49" t="str">
        <f>IFERROR(__xludf.DUMMYFUNCTION("""COMPUTED_VALUE"""),"")</f>
        <v/>
      </c>
      <c r="N129" s="49" t="str">
        <f>IFERROR(__xludf.DUMMYFUNCTION("""COMPUTED_VALUE"""),"")</f>
        <v/>
      </c>
      <c r="O129" s="49" t="str">
        <f>IFERROR(__xludf.DUMMYFUNCTION("""COMPUTED_VALUE"""),"")</f>
        <v/>
      </c>
      <c r="P129" s="49" t="str">
        <f>IFERROR(__xludf.DUMMYFUNCTION("""COMPUTED_VALUE"""),"")</f>
        <v/>
      </c>
      <c r="Q129" s="49" t="str">
        <f>IFERROR(__xludf.DUMMYFUNCTION("""COMPUTED_VALUE"""),"")</f>
        <v/>
      </c>
      <c r="R129" s="49" t="str">
        <f>IFERROR(__xludf.DUMMYFUNCTION("""COMPUTED_VALUE"""),"")</f>
        <v/>
      </c>
      <c r="S129" s="49" t="str">
        <f>IFERROR(__xludf.DUMMYFUNCTION("""COMPUTED_VALUE"""),"")</f>
        <v/>
      </c>
      <c r="T129" s="49" t="str">
        <f>IFERROR(__xludf.DUMMYFUNCTION("""COMPUTED_VALUE"""),"")</f>
        <v/>
      </c>
      <c r="U129" s="49" t="str">
        <f>IFERROR(__xludf.DUMMYFUNCTION("""COMPUTED_VALUE"""),"")</f>
        <v/>
      </c>
      <c r="V129" s="49" t="str">
        <f>IFERROR(__xludf.DUMMYFUNCTION("""COMPUTED_VALUE"""),"")</f>
        <v/>
      </c>
      <c r="W129" s="49" t="str">
        <f>IFERROR(__xludf.DUMMYFUNCTION("""COMPUTED_VALUE"""),"")</f>
        <v/>
      </c>
      <c r="X129" s="49" t="str">
        <f>IFERROR(__xludf.DUMMYFUNCTION("""COMPUTED_VALUE"""),"")</f>
        <v/>
      </c>
      <c r="Y129" s="49" t="str">
        <f>IFERROR(__xludf.DUMMYFUNCTION("""COMPUTED_VALUE"""),"")</f>
        <v/>
      </c>
      <c r="Z129" s="49"/>
      <c r="AA129" s="49"/>
      <c r="AB129" s="49"/>
      <c r="AC129" s="49"/>
      <c r="AD129" s="49"/>
      <c r="AE129" s="49"/>
      <c r="AF129" s="49"/>
      <c r="AG129" s="49"/>
      <c r="AH129" s="49"/>
      <c r="AI129" s="49"/>
      <c r="AJ129" s="49"/>
      <c r="AK129" s="49"/>
      <c r="AL129" s="49"/>
      <c r="AM129" s="49"/>
      <c r="AN129" s="49"/>
      <c r="AO129" s="49"/>
      <c r="AP129" s="49"/>
      <c r="AQ129" s="49"/>
      <c r="AR129" s="49"/>
      <c r="AS129" s="49"/>
      <c r="AT129" s="49"/>
      <c r="AU129" s="49"/>
      <c r="AV129" s="49"/>
      <c r="AW129" s="49"/>
      <c r="AX129" s="49"/>
    </row>
    <row r="130">
      <c r="A130" s="49"/>
      <c r="B130" s="49"/>
      <c r="C130" s="49" t="str">
        <f>IFERROR(__xludf.DUMMYFUNCTION("""COMPUTED_VALUE"""),"")</f>
        <v/>
      </c>
      <c r="D130" s="49" t="str">
        <f>IFERROR(__xludf.DUMMYFUNCTION("""COMPUTED_VALUE"""),"")</f>
        <v/>
      </c>
      <c r="E130" s="49" t="str">
        <f>IFERROR(__xludf.DUMMYFUNCTION("""COMPUTED_VALUE"""),"")</f>
        <v/>
      </c>
      <c r="F130" s="49" t="str">
        <f>IFERROR(__xludf.DUMMYFUNCTION("""COMPUTED_VALUE"""),"")</f>
        <v/>
      </c>
      <c r="G130" s="49" t="str">
        <f>IFERROR(__xludf.DUMMYFUNCTION("""COMPUTED_VALUE"""),"")</f>
        <v/>
      </c>
      <c r="H130" s="49" t="str">
        <f>IFERROR(__xludf.DUMMYFUNCTION("""COMPUTED_VALUE"""),"")</f>
        <v/>
      </c>
      <c r="I130" s="49" t="str">
        <f>IFERROR(__xludf.DUMMYFUNCTION("""COMPUTED_VALUE"""),"")</f>
        <v/>
      </c>
      <c r="J130" s="49" t="str">
        <f>IFERROR(__xludf.DUMMYFUNCTION("""COMPUTED_VALUE"""),"")</f>
        <v/>
      </c>
      <c r="K130" s="49" t="str">
        <f>IFERROR(__xludf.DUMMYFUNCTION("""COMPUTED_VALUE"""),"")</f>
        <v/>
      </c>
      <c r="L130" s="49" t="str">
        <f>IFERROR(__xludf.DUMMYFUNCTION("""COMPUTED_VALUE"""),"")</f>
        <v/>
      </c>
      <c r="M130" s="49" t="str">
        <f>IFERROR(__xludf.DUMMYFUNCTION("""COMPUTED_VALUE"""),"")</f>
        <v/>
      </c>
      <c r="N130" s="49" t="str">
        <f>IFERROR(__xludf.DUMMYFUNCTION("""COMPUTED_VALUE"""),"")</f>
        <v/>
      </c>
      <c r="O130" s="49" t="str">
        <f>IFERROR(__xludf.DUMMYFUNCTION("""COMPUTED_VALUE"""),"")</f>
        <v/>
      </c>
      <c r="P130" s="49" t="str">
        <f>IFERROR(__xludf.DUMMYFUNCTION("""COMPUTED_VALUE"""),"")</f>
        <v/>
      </c>
      <c r="Q130" s="49" t="str">
        <f>IFERROR(__xludf.DUMMYFUNCTION("""COMPUTED_VALUE"""),"")</f>
        <v/>
      </c>
      <c r="R130" s="49" t="str">
        <f>IFERROR(__xludf.DUMMYFUNCTION("""COMPUTED_VALUE"""),"")</f>
        <v/>
      </c>
      <c r="S130" s="49" t="str">
        <f>IFERROR(__xludf.DUMMYFUNCTION("""COMPUTED_VALUE"""),"")</f>
        <v/>
      </c>
      <c r="T130" s="49" t="str">
        <f>IFERROR(__xludf.DUMMYFUNCTION("""COMPUTED_VALUE"""),"")</f>
        <v/>
      </c>
      <c r="U130" s="49" t="str">
        <f>IFERROR(__xludf.DUMMYFUNCTION("""COMPUTED_VALUE"""),"")</f>
        <v/>
      </c>
      <c r="V130" s="49" t="str">
        <f>IFERROR(__xludf.DUMMYFUNCTION("""COMPUTED_VALUE"""),"")</f>
        <v/>
      </c>
      <c r="W130" s="49" t="str">
        <f>IFERROR(__xludf.DUMMYFUNCTION("""COMPUTED_VALUE"""),"")</f>
        <v/>
      </c>
      <c r="X130" s="49" t="str">
        <f>IFERROR(__xludf.DUMMYFUNCTION("""COMPUTED_VALUE"""),"")</f>
        <v/>
      </c>
      <c r="Y130" s="49" t="str">
        <f>IFERROR(__xludf.DUMMYFUNCTION("""COMPUTED_VALUE"""),"")</f>
        <v/>
      </c>
      <c r="Z130" s="49"/>
      <c r="AA130" s="49"/>
      <c r="AB130" s="49"/>
      <c r="AC130" s="49"/>
      <c r="AD130" s="49"/>
      <c r="AE130" s="49"/>
      <c r="AF130" s="49"/>
      <c r="AG130" s="49"/>
      <c r="AH130" s="49"/>
      <c r="AI130" s="49"/>
      <c r="AJ130" s="49"/>
      <c r="AK130" s="49"/>
      <c r="AL130" s="49"/>
      <c r="AM130" s="49"/>
      <c r="AN130" s="49"/>
      <c r="AO130" s="49"/>
      <c r="AP130" s="49"/>
      <c r="AQ130" s="49"/>
      <c r="AR130" s="49"/>
      <c r="AS130" s="49"/>
      <c r="AT130" s="49"/>
      <c r="AU130" s="49"/>
      <c r="AV130" s="49"/>
      <c r="AW130" s="49"/>
      <c r="AX130" s="49"/>
    </row>
    <row r="131">
      <c r="A131" s="49"/>
      <c r="B131" s="49"/>
      <c r="C131" s="49" t="str">
        <f>IFERROR(__xludf.DUMMYFUNCTION("""COMPUTED_VALUE"""),"")</f>
        <v/>
      </c>
      <c r="D131" s="49" t="str">
        <f>IFERROR(__xludf.DUMMYFUNCTION("""COMPUTED_VALUE"""),"")</f>
        <v/>
      </c>
      <c r="E131" s="49" t="str">
        <f>IFERROR(__xludf.DUMMYFUNCTION("""COMPUTED_VALUE"""),"")</f>
        <v/>
      </c>
      <c r="F131" s="49" t="str">
        <f>IFERROR(__xludf.DUMMYFUNCTION("""COMPUTED_VALUE"""),"")</f>
        <v/>
      </c>
      <c r="G131" s="49" t="str">
        <f>IFERROR(__xludf.DUMMYFUNCTION("""COMPUTED_VALUE"""),"")</f>
        <v/>
      </c>
      <c r="H131" s="49" t="str">
        <f>IFERROR(__xludf.DUMMYFUNCTION("""COMPUTED_VALUE"""),"")</f>
        <v/>
      </c>
      <c r="I131" s="49" t="str">
        <f>IFERROR(__xludf.DUMMYFUNCTION("""COMPUTED_VALUE"""),"")</f>
        <v/>
      </c>
      <c r="J131" s="49" t="str">
        <f>IFERROR(__xludf.DUMMYFUNCTION("""COMPUTED_VALUE"""),"")</f>
        <v/>
      </c>
      <c r="K131" s="49" t="str">
        <f>IFERROR(__xludf.DUMMYFUNCTION("""COMPUTED_VALUE"""),"")</f>
        <v/>
      </c>
      <c r="L131" s="49" t="str">
        <f>IFERROR(__xludf.DUMMYFUNCTION("""COMPUTED_VALUE"""),"")</f>
        <v/>
      </c>
      <c r="M131" s="49" t="str">
        <f>IFERROR(__xludf.DUMMYFUNCTION("""COMPUTED_VALUE"""),"")</f>
        <v/>
      </c>
      <c r="N131" s="49" t="str">
        <f>IFERROR(__xludf.DUMMYFUNCTION("""COMPUTED_VALUE"""),"")</f>
        <v/>
      </c>
      <c r="O131" s="49" t="str">
        <f>IFERROR(__xludf.DUMMYFUNCTION("""COMPUTED_VALUE"""),"")</f>
        <v/>
      </c>
      <c r="P131" s="49" t="str">
        <f>IFERROR(__xludf.DUMMYFUNCTION("""COMPUTED_VALUE"""),"")</f>
        <v/>
      </c>
      <c r="Q131" s="49" t="str">
        <f>IFERROR(__xludf.DUMMYFUNCTION("""COMPUTED_VALUE"""),"")</f>
        <v/>
      </c>
      <c r="R131" s="49" t="str">
        <f>IFERROR(__xludf.DUMMYFUNCTION("""COMPUTED_VALUE"""),"")</f>
        <v/>
      </c>
      <c r="S131" s="49" t="str">
        <f>IFERROR(__xludf.DUMMYFUNCTION("""COMPUTED_VALUE"""),"")</f>
        <v/>
      </c>
      <c r="T131" s="49" t="str">
        <f>IFERROR(__xludf.DUMMYFUNCTION("""COMPUTED_VALUE"""),"")</f>
        <v/>
      </c>
      <c r="U131" s="49" t="str">
        <f>IFERROR(__xludf.DUMMYFUNCTION("""COMPUTED_VALUE"""),"")</f>
        <v/>
      </c>
      <c r="V131" s="49" t="str">
        <f>IFERROR(__xludf.DUMMYFUNCTION("""COMPUTED_VALUE"""),"")</f>
        <v/>
      </c>
      <c r="W131" s="49" t="str">
        <f>IFERROR(__xludf.DUMMYFUNCTION("""COMPUTED_VALUE"""),"")</f>
        <v/>
      </c>
      <c r="X131" s="49" t="str">
        <f>IFERROR(__xludf.DUMMYFUNCTION("""COMPUTED_VALUE"""),"")</f>
        <v/>
      </c>
      <c r="Y131" s="49" t="str">
        <f>IFERROR(__xludf.DUMMYFUNCTION("""COMPUTED_VALUE"""),"")</f>
        <v/>
      </c>
      <c r="Z131" s="49"/>
      <c r="AA131" s="49"/>
      <c r="AB131" s="49"/>
      <c r="AC131" s="49"/>
      <c r="AD131" s="49"/>
      <c r="AE131" s="49"/>
      <c r="AF131" s="49"/>
      <c r="AG131" s="49"/>
      <c r="AH131" s="49"/>
      <c r="AI131" s="49"/>
      <c r="AJ131" s="49"/>
      <c r="AK131" s="49"/>
      <c r="AL131" s="49"/>
      <c r="AM131" s="49"/>
      <c r="AN131" s="49"/>
      <c r="AO131" s="49"/>
      <c r="AP131" s="49"/>
      <c r="AQ131" s="49"/>
      <c r="AR131" s="49"/>
      <c r="AS131" s="49"/>
      <c r="AT131" s="49"/>
      <c r="AU131" s="49"/>
      <c r="AV131" s="49"/>
      <c r="AW131" s="49"/>
      <c r="AX131" s="49"/>
    </row>
    <row r="132">
      <c r="A132" s="49"/>
      <c r="B132" s="49"/>
      <c r="C132" s="49" t="str">
        <f>IFERROR(__xludf.DUMMYFUNCTION("""COMPUTED_VALUE"""),"")</f>
        <v/>
      </c>
      <c r="D132" s="49" t="str">
        <f>IFERROR(__xludf.DUMMYFUNCTION("""COMPUTED_VALUE"""),"")</f>
        <v/>
      </c>
      <c r="E132" s="49" t="str">
        <f>IFERROR(__xludf.DUMMYFUNCTION("""COMPUTED_VALUE"""),"")</f>
        <v/>
      </c>
      <c r="F132" s="49" t="str">
        <f>IFERROR(__xludf.DUMMYFUNCTION("""COMPUTED_VALUE"""),"")</f>
        <v/>
      </c>
      <c r="G132" s="49" t="str">
        <f>IFERROR(__xludf.DUMMYFUNCTION("""COMPUTED_VALUE"""),"")</f>
        <v/>
      </c>
      <c r="H132" s="49" t="str">
        <f>IFERROR(__xludf.DUMMYFUNCTION("""COMPUTED_VALUE"""),"")</f>
        <v/>
      </c>
      <c r="I132" s="49" t="str">
        <f>IFERROR(__xludf.DUMMYFUNCTION("""COMPUTED_VALUE"""),"")</f>
        <v/>
      </c>
      <c r="J132" s="49" t="str">
        <f>IFERROR(__xludf.DUMMYFUNCTION("""COMPUTED_VALUE"""),"")</f>
        <v/>
      </c>
      <c r="K132" s="49" t="str">
        <f>IFERROR(__xludf.DUMMYFUNCTION("""COMPUTED_VALUE"""),"")</f>
        <v/>
      </c>
      <c r="L132" s="49" t="str">
        <f>IFERROR(__xludf.DUMMYFUNCTION("""COMPUTED_VALUE"""),"")</f>
        <v/>
      </c>
      <c r="M132" s="49" t="str">
        <f>IFERROR(__xludf.DUMMYFUNCTION("""COMPUTED_VALUE"""),"")</f>
        <v/>
      </c>
      <c r="N132" s="49" t="str">
        <f>IFERROR(__xludf.DUMMYFUNCTION("""COMPUTED_VALUE"""),"")</f>
        <v/>
      </c>
      <c r="O132" s="49" t="str">
        <f>IFERROR(__xludf.DUMMYFUNCTION("""COMPUTED_VALUE"""),"")</f>
        <v/>
      </c>
      <c r="P132" s="49" t="str">
        <f>IFERROR(__xludf.DUMMYFUNCTION("""COMPUTED_VALUE"""),"")</f>
        <v/>
      </c>
      <c r="Q132" s="49" t="str">
        <f>IFERROR(__xludf.DUMMYFUNCTION("""COMPUTED_VALUE"""),"")</f>
        <v/>
      </c>
      <c r="R132" s="49" t="str">
        <f>IFERROR(__xludf.DUMMYFUNCTION("""COMPUTED_VALUE"""),"")</f>
        <v/>
      </c>
      <c r="S132" s="49" t="str">
        <f>IFERROR(__xludf.DUMMYFUNCTION("""COMPUTED_VALUE"""),"")</f>
        <v/>
      </c>
      <c r="T132" s="49" t="str">
        <f>IFERROR(__xludf.DUMMYFUNCTION("""COMPUTED_VALUE"""),"")</f>
        <v/>
      </c>
      <c r="U132" s="49" t="str">
        <f>IFERROR(__xludf.DUMMYFUNCTION("""COMPUTED_VALUE"""),"")</f>
        <v/>
      </c>
      <c r="V132" s="49" t="str">
        <f>IFERROR(__xludf.DUMMYFUNCTION("""COMPUTED_VALUE"""),"")</f>
        <v/>
      </c>
      <c r="W132" s="49" t="str">
        <f>IFERROR(__xludf.DUMMYFUNCTION("""COMPUTED_VALUE"""),"")</f>
        <v/>
      </c>
      <c r="X132" s="49" t="str">
        <f>IFERROR(__xludf.DUMMYFUNCTION("""COMPUTED_VALUE"""),"")</f>
        <v/>
      </c>
      <c r="Y132" s="49" t="str">
        <f>IFERROR(__xludf.DUMMYFUNCTION("""COMPUTED_VALUE"""),"")</f>
        <v/>
      </c>
      <c r="Z132" s="49"/>
      <c r="AA132" s="49"/>
      <c r="AB132" s="49"/>
      <c r="AC132" s="49"/>
      <c r="AD132" s="49"/>
      <c r="AE132" s="49"/>
      <c r="AF132" s="49"/>
      <c r="AG132" s="49"/>
      <c r="AH132" s="49"/>
      <c r="AI132" s="49"/>
      <c r="AJ132" s="49"/>
      <c r="AK132" s="49"/>
      <c r="AL132" s="49"/>
      <c r="AM132" s="49"/>
      <c r="AN132" s="49"/>
      <c r="AO132" s="49"/>
      <c r="AP132" s="49"/>
      <c r="AQ132" s="49"/>
      <c r="AR132" s="49"/>
      <c r="AS132" s="49"/>
      <c r="AT132" s="49"/>
      <c r="AU132" s="49"/>
      <c r="AV132" s="49"/>
      <c r="AW132" s="49"/>
      <c r="AX132" s="49"/>
    </row>
    <row r="133">
      <c r="A133" s="49"/>
      <c r="B133" s="49"/>
      <c r="C133" s="49" t="str">
        <f>IFERROR(__xludf.DUMMYFUNCTION("""COMPUTED_VALUE"""),"")</f>
        <v/>
      </c>
      <c r="D133" s="49" t="str">
        <f>IFERROR(__xludf.DUMMYFUNCTION("""COMPUTED_VALUE"""),"")</f>
        <v/>
      </c>
      <c r="E133" s="49" t="str">
        <f>IFERROR(__xludf.DUMMYFUNCTION("""COMPUTED_VALUE"""),"")</f>
        <v/>
      </c>
      <c r="F133" s="49" t="str">
        <f>IFERROR(__xludf.DUMMYFUNCTION("""COMPUTED_VALUE"""),"")</f>
        <v/>
      </c>
      <c r="G133" s="49" t="str">
        <f>IFERROR(__xludf.DUMMYFUNCTION("""COMPUTED_VALUE"""),"")</f>
        <v/>
      </c>
      <c r="H133" s="49" t="str">
        <f>IFERROR(__xludf.DUMMYFUNCTION("""COMPUTED_VALUE"""),"")</f>
        <v/>
      </c>
      <c r="I133" s="49" t="str">
        <f>IFERROR(__xludf.DUMMYFUNCTION("""COMPUTED_VALUE"""),"")</f>
        <v/>
      </c>
      <c r="J133" s="49" t="str">
        <f>IFERROR(__xludf.DUMMYFUNCTION("""COMPUTED_VALUE"""),"")</f>
        <v/>
      </c>
      <c r="K133" s="49" t="str">
        <f>IFERROR(__xludf.DUMMYFUNCTION("""COMPUTED_VALUE"""),"")</f>
        <v/>
      </c>
      <c r="L133" s="49" t="str">
        <f>IFERROR(__xludf.DUMMYFUNCTION("""COMPUTED_VALUE"""),"")</f>
        <v/>
      </c>
      <c r="M133" s="49" t="str">
        <f>IFERROR(__xludf.DUMMYFUNCTION("""COMPUTED_VALUE"""),"")</f>
        <v/>
      </c>
      <c r="N133" s="49" t="str">
        <f>IFERROR(__xludf.DUMMYFUNCTION("""COMPUTED_VALUE"""),"")</f>
        <v/>
      </c>
      <c r="O133" s="49" t="str">
        <f>IFERROR(__xludf.DUMMYFUNCTION("""COMPUTED_VALUE"""),"")</f>
        <v/>
      </c>
      <c r="P133" s="49" t="str">
        <f>IFERROR(__xludf.DUMMYFUNCTION("""COMPUTED_VALUE"""),"")</f>
        <v/>
      </c>
      <c r="Q133" s="49" t="str">
        <f>IFERROR(__xludf.DUMMYFUNCTION("""COMPUTED_VALUE"""),"")</f>
        <v/>
      </c>
      <c r="R133" s="49" t="str">
        <f>IFERROR(__xludf.DUMMYFUNCTION("""COMPUTED_VALUE"""),"")</f>
        <v/>
      </c>
      <c r="S133" s="49" t="str">
        <f>IFERROR(__xludf.DUMMYFUNCTION("""COMPUTED_VALUE"""),"")</f>
        <v/>
      </c>
      <c r="T133" s="49" t="str">
        <f>IFERROR(__xludf.DUMMYFUNCTION("""COMPUTED_VALUE"""),"")</f>
        <v/>
      </c>
      <c r="U133" s="49" t="str">
        <f>IFERROR(__xludf.DUMMYFUNCTION("""COMPUTED_VALUE"""),"")</f>
        <v/>
      </c>
      <c r="V133" s="49" t="str">
        <f>IFERROR(__xludf.DUMMYFUNCTION("""COMPUTED_VALUE"""),"")</f>
        <v/>
      </c>
      <c r="W133" s="49" t="str">
        <f>IFERROR(__xludf.DUMMYFUNCTION("""COMPUTED_VALUE"""),"")</f>
        <v/>
      </c>
      <c r="X133" s="49" t="str">
        <f>IFERROR(__xludf.DUMMYFUNCTION("""COMPUTED_VALUE"""),"")</f>
        <v/>
      </c>
      <c r="Y133" s="49" t="str">
        <f>IFERROR(__xludf.DUMMYFUNCTION("""COMPUTED_VALUE"""),"")</f>
        <v/>
      </c>
      <c r="Z133" s="49"/>
      <c r="AA133" s="49"/>
      <c r="AB133" s="49"/>
      <c r="AC133" s="49"/>
      <c r="AD133" s="49"/>
      <c r="AE133" s="49"/>
      <c r="AF133" s="49"/>
      <c r="AG133" s="49"/>
      <c r="AH133" s="49"/>
      <c r="AI133" s="49"/>
      <c r="AJ133" s="49"/>
      <c r="AK133" s="49"/>
      <c r="AL133" s="49"/>
      <c r="AM133" s="49"/>
      <c r="AN133" s="49"/>
      <c r="AO133" s="49"/>
      <c r="AP133" s="49"/>
      <c r="AQ133" s="49"/>
      <c r="AR133" s="49"/>
      <c r="AS133" s="49"/>
      <c r="AT133" s="49"/>
      <c r="AU133" s="49"/>
      <c r="AV133" s="49"/>
      <c r="AW133" s="49"/>
      <c r="AX133" s="49"/>
    </row>
    <row r="134">
      <c r="A134" s="49"/>
      <c r="B134" s="49"/>
      <c r="C134" s="49" t="str">
        <f>IFERROR(__xludf.DUMMYFUNCTION("""COMPUTED_VALUE"""),"")</f>
        <v/>
      </c>
      <c r="D134" s="49" t="str">
        <f>IFERROR(__xludf.DUMMYFUNCTION("""COMPUTED_VALUE"""),"")</f>
        <v/>
      </c>
      <c r="E134" s="49" t="str">
        <f>IFERROR(__xludf.DUMMYFUNCTION("""COMPUTED_VALUE"""),"")</f>
        <v/>
      </c>
      <c r="F134" s="49" t="str">
        <f>IFERROR(__xludf.DUMMYFUNCTION("""COMPUTED_VALUE"""),"")</f>
        <v/>
      </c>
      <c r="G134" s="49" t="str">
        <f>IFERROR(__xludf.DUMMYFUNCTION("""COMPUTED_VALUE"""),"")</f>
        <v/>
      </c>
      <c r="H134" s="49" t="str">
        <f>IFERROR(__xludf.DUMMYFUNCTION("""COMPUTED_VALUE"""),"")</f>
        <v/>
      </c>
      <c r="I134" s="49" t="str">
        <f>IFERROR(__xludf.DUMMYFUNCTION("""COMPUTED_VALUE"""),"")</f>
        <v/>
      </c>
      <c r="J134" s="49" t="str">
        <f>IFERROR(__xludf.DUMMYFUNCTION("""COMPUTED_VALUE"""),"")</f>
        <v/>
      </c>
      <c r="K134" s="49" t="str">
        <f>IFERROR(__xludf.DUMMYFUNCTION("""COMPUTED_VALUE"""),"")</f>
        <v/>
      </c>
      <c r="L134" s="49" t="str">
        <f>IFERROR(__xludf.DUMMYFUNCTION("""COMPUTED_VALUE"""),"")</f>
        <v/>
      </c>
      <c r="M134" s="49" t="str">
        <f>IFERROR(__xludf.DUMMYFUNCTION("""COMPUTED_VALUE"""),"")</f>
        <v/>
      </c>
      <c r="N134" s="49" t="str">
        <f>IFERROR(__xludf.DUMMYFUNCTION("""COMPUTED_VALUE"""),"")</f>
        <v/>
      </c>
      <c r="O134" s="49" t="str">
        <f>IFERROR(__xludf.DUMMYFUNCTION("""COMPUTED_VALUE"""),"")</f>
        <v/>
      </c>
      <c r="P134" s="49" t="str">
        <f>IFERROR(__xludf.DUMMYFUNCTION("""COMPUTED_VALUE"""),"")</f>
        <v/>
      </c>
      <c r="Q134" s="49" t="str">
        <f>IFERROR(__xludf.DUMMYFUNCTION("""COMPUTED_VALUE"""),"")</f>
        <v/>
      </c>
      <c r="R134" s="49" t="str">
        <f>IFERROR(__xludf.DUMMYFUNCTION("""COMPUTED_VALUE"""),"")</f>
        <v/>
      </c>
      <c r="S134" s="49" t="str">
        <f>IFERROR(__xludf.DUMMYFUNCTION("""COMPUTED_VALUE"""),"")</f>
        <v/>
      </c>
      <c r="T134" s="49" t="str">
        <f>IFERROR(__xludf.DUMMYFUNCTION("""COMPUTED_VALUE"""),"")</f>
        <v/>
      </c>
      <c r="U134" s="49" t="str">
        <f>IFERROR(__xludf.DUMMYFUNCTION("""COMPUTED_VALUE"""),"")</f>
        <v/>
      </c>
      <c r="V134" s="49" t="str">
        <f>IFERROR(__xludf.DUMMYFUNCTION("""COMPUTED_VALUE"""),"")</f>
        <v/>
      </c>
      <c r="W134" s="49" t="str">
        <f>IFERROR(__xludf.DUMMYFUNCTION("""COMPUTED_VALUE"""),"")</f>
        <v/>
      </c>
      <c r="X134" s="49" t="str">
        <f>IFERROR(__xludf.DUMMYFUNCTION("""COMPUTED_VALUE"""),"")</f>
        <v/>
      </c>
      <c r="Y134" s="49" t="str">
        <f>IFERROR(__xludf.DUMMYFUNCTION("""COMPUTED_VALUE"""),"")</f>
        <v/>
      </c>
      <c r="Z134" s="49"/>
      <c r="AA134" s="49"/>
      <c r="AB134" s="49"/>
      <c r="AC134" s="49"/>
      <c r="AD134" s="49"/>
      <c r="AE134" s="49"/>
      <c r="AF134" s="49"/>
      <c r="AG134" s="49"/>
      <c r="AH134" s="49"/>
      <c r="AI134" s="49"/>
      <c r="AJ134" s="49"/>
      <c r="AK134" s="49"/>
      <c r="AL134" s="49"/>
      <c r="AM134" s="49"/>
      <c r="AN134" s="49"/>
      <c r="AO134" s="49"/>
      <c r="AP134" s="49"/>
      <c r="AQ134" s="49"/>
      <c r="AR134" s="49"/>
      <c r="AS134" s="49"/>
      <c r="AT134" s="49"/>
      <c r="AU134" s="49"/>
      <c r="AV134" s="49"/>
      <c r="AW134" s="49"/>
      <c r="AX134" s="49"/>
    </row>
    <row r="135">
      <c r="A135" s="49"/>
      <c r="B135" s="49"/>
      <c r="C135" s="49" t="str">
        <f>IFERROR(__xludf.DUMMYFUNCTION("""COMPUTED_VALUE"""),"")</f>
        <v/>
      </c>
      <c r="D135" s="49" t="str">
        <f>IFERROR(__xludf.DUMMYFUNCTION("""COMPUTED_VALUE"""),"")</f>
        <v/>
      </c>
      <c r="E135" s="49" t="str">
        <f>IFERROR(__xludf.DUMMYFUNCTION("""COMPUTED_VALUE"""),"")</f>
        <v/>
      </c>
      <c r="F135" s="49" t="str">
        <f>IFERROR(__xludf.DUMMYFUNCTION("""COMPUTED_VALUE"""),"")</f>
        <v/>
      </c>
      <c r="G135" s="49" t="str">
        <f>IFERROR(__xludf.DUMMYFUNCTION("""COMPUTED_VALUE"""),"")</f>
        <v/>
      </c>
      <c r="H135" s="49" t="str">
        <f>IFERROR(__xludf.DUMMYFUNCTION("""COMPUTED_VALUE"""),"")</f>
        <v/>
      </c>
      <c r="I135" s="49" t="str">
        <f>IFERROR(__xludf.DUMMYFUNCTION("""COMPUTED_VALUE"""),"")</f>
        <v/>
      </c>
      <c r="J135" s="49" t="str">
        <f>IFERROR(__xludf.DUMMYFUNCTION("""COMPUTED_VALUE"""),"")</f>
        <v/>
      </c>
      <c r="K135" s="49" t="str">
        <f>IFERROR(__xludf.DUMMYFUNCTION("""COMPUTED_VALUE"""),"")</f>
        <v/>
      </c>
      <c r="L135" s="49" t="str">
        <f>IFERROR(__xludf.DUMMYFUNCTION("""COMPUTED_VALUE"""),"")</f>
        <v/>
      </c>
      <c r="M135" s="49" t="str">
        <f>IFERROR(__xludf.DUMMYFUNCTION("""COMPUTED_VALUE"""),"")</f>
        <v/>
      </c>
      <c r="N135" s="49" t="str">
        <f>IFERROR(__xludf.DUMMYFUNCTION("""COMPUTED_VALUE"""),"")</f>
        <v/>
      </c>
      <c r="O135" s="49" t="str">
        <f>IFERROR(__xludf.DUMMYFUNCTION("""COMPUTED_VALUE"""),"")</f>
        <v/>
      </c>
      <c r="P135" s="49" t="str">
        <f>IFERROR(__xludf.DUMMYFUNCTION("""COMPUTED_VALUE"""),"")</f>
        <v/>
      </c>
      <c r="Q135" s="49" t="str">
        <f>IFERROR(__xludf.DUMMYFUNCTION("""COMPUTED_VALUE"""),"")</f>
        <v/>
      </c>
      <c r="R135" s="49" t="str">
        <f>IFERROR(__xludf.DUMMYFUNCTION("""COMPUTED_VALUE"""),"")</f>
        <v/>
      </c>
      <c r="S135" s="49" t="str">
        <f>IFERROR(__xludf.DUMMYFUNCTION("""COMPUTED_VALUE"""),"")</f>
        <v/>
      </c>
      <c r="T135" s="49" t="str">
        <f>IFERROR(__xludf.DUMMYFUNCTION("""COMPUTED_VALUE"""),"")</f>
        <v/>
      </c>
      <c r="U135" s="49" t="str">
        <f>IFERROR(__xludf.DUMMYFUNCTION("""COMPUTED_VALUE"""),"")</f>
        <v/>
      </c>
      <c r="V135" s="49" t="str">
        <f>IFERROR(__xludf.DUMMYFUNCTION("""COMPUTED_VALUE"""),"")</f>
        <v/>
      </c>
      <c r="W135" s="49" t="str">
        <f>IFERROR(__xludf.DUMMYFUNCTION("""COMPUTED_VALUE"""),"")</f>
        <v/>
      </c>
      <c r="X135" s="49" t="str">
        <f>IFERROR(__xludf.DUMMYFUNCTION("""COMPUTED_VALUE"""),"")</f>
        <v/>
      </c>
      <c r="Y135" s="49" t="str">
        <f>IFERROR(__xludf.DUMMYFUNCTION("""COMPUTED_VALUE"""),"")</f>
        <v/>
      </c>
      <c r="Z135" s="49"/>
      <c r="AA135" s="49"/>
      <c r="AB135" s="49"/>
      <c r="AC135" s="49"/>
      <c r="AD135" s="49"/>
      <c r="AE135" s="49"/>
      <c r="AF135" s="49"/>
      <c r="AG135" s="49"/>
      <c r="AH135" s="49"/>
      <c r="AI135" s="49"/>
      <c r="AJ135" s="49"/>
      <c r="AK135" s="49"/>
      <c r="AL135" s="49"/>
      <c r="AM135" s="49"/>
      <c r="AN135" s="49"/>
      <c r="AO135" s="49"/>
      <c r="AP135" s="49"/>
      <c r="AQ135" s="49"/>
      <c r="AR135" s="49"/>
      <c r="AS135" s="49"/>
      <c r="AT135" s="49"/>
      <c r="AU135" s="49"/>
      <c r="AV135" s="49"/>
      <c r="AW135" s="49"/>
      <c r="AX135" s="49"/>
    </row>
    <row r="136">
      <c r="A136" s="49"/>
      <c r="B136" s="49"/>
      <c r="C136" s="49" t="str">
        <f>IFERROR(__xludf.DUMMYFUNCTION("""COMPUTED_VALUE"""),"")</f>
        <v/>
      </c>
      <c r="D136" s="49" t="str">
        <f>IFERROR(__xludf.DUMMYFUNCTION("""COMPUTED_VALUE"""),"")</f>
        <v/>
      </c>
      <c r="E136" s="49" t="str">
        <f>IFERROR(__xludf.DUMMYFUNCTION("""COMPUTED_VALUE"""),"")</f>
        <v/>
      </c>
      <c r="F136" s="49" t="str">
        <f>IFERROR(__xludf.DUMMYFUNCTION("""COMPUTED_VALUE"""),"")</f>
        <v/>
      </c>
      <c r="G136" s="49" t="str">
        <f>IFERROR(__xludf.DUMMYFUNCTION("""COMPUTED_VALUE"""),"")</f>
        <v/>
      </c>
      <c r="H136" s="49" t="str">
        <f>IFERROR(__xludf.DUMMYFUNCTION("""COMPUTED_VALUE"""),"")</f>
        <v/>
      </c>
      <c r="I136" s="49" t="str">
        <f>IFERROR(__xludf.DUMMYFUNCTION("""COMPUTED_VALUE"""),"")</f>
        <v/>
      </c>
      <c r="J136" s="49" t="str">
        <f>IFERROR(__xludf.DUMMYFUNCTION("""COMPUTED_VALUE"""),"")</f>
        <v/>
      </c>
      <c r="K136" s="49" t="str">
        <f>IFERROR(__xludf.DUMMYFUNCTION("""COMPUTED_VALUE"""),"")</f>
        <v/>
      </c>
      <c r="L136" s="49" t="str">
        <f>IFERROR(__xludf.DUMMYFUNCTION("""COMPUTED_VALUE"""),"")</f>
        <v/>
      </c>
      <c r="M136" s="49" t="str">
        <f>IFERROR(__xludf.DUMMYFUNCTION("""COMPUTED_VALUE"""),"")</f>
        <v/>
      </c>
      <c r="N136" s="49" t="str">
        <f>IFERROR(__xludf.DUMMYFUNCTION("""COMPUTED_VALUE"""),"")</f>
        <v/>
      </c>
      <c r="O136" s="49" t="str">
        <f>IFERROR(__xludf.DUMMYFUNCTION("""COMPUTED_VALUE"""),"")</f>
        <v/>
      </c>
      <c r="P136" s="49" t="str">
        <f>IFERROR(__xludf.DUMMYFUNCTION("""COMPUTED_VALUE"""),"")</f>
        <v/>
      </c>
      <c r="Q136" s="49" t="str">
        <f>IFERROR(__xludf.DUMMYFUNCTION("""COMPUTED_VALUE"""),"")</f>
        <v/>
      </c>
      <c r="R136" s="49" t="str">
        <f>IFERROR(__xludf.DUMMYFUNCTION("""COMPUTED_VALUE"""),"")</f>
        <v/>
      </c>
      <c r="S136" s="49" t="str">
        <f>IFERROR(__xludf.DUMMYFUNCTION("""COMPUTED_VALUE"""),"")</f>
        <v/>
      </c>
      <c r="T136" s="49" t="str">
        <f>IFERROR(__xludf.DUMMYFUNCTION("""COMPUTED_VALUE"""),"")</f>
        <v/>
      </c>
      <c r="U136" s="49" t="str">
        <f>IFERROR(__xludf.DUMMYFUNCTION("""COMPUTED_VALUE"""),"")</f>
        <v/>
      </c>
      <c r="V136" s="49" t="str">
        <f>IFERROR(__xludf.DUMMYFUNCTION("""COMPUTED_VALUE"""),"")</f>
        <v/>
      </c>
      <c r="W136" s="49" t="str">
        <f>IFERROR(__xludf.DUMMYFUNCTION("""COMPUTED_VALUE"""),"")</f>
        <v/>
      </c>
      <c r="X136" s="49" t="str">
        <f>IFERROR(__xludf.DUMMYFUNCTION("""COMPUTED_VALUE"""),"")</f>
        <v/>
      </c>
      <c r="Y136" s="49" t="str">
        <f>IFERROR(__xludf.DUMMYFUNCTION("""COMPUTED_VALUE"""),"")</f>
        <v/>
      </c>
      <c r="Z136" s="49"/>
      <c r="AA136" s="49"/>
      <c r="AB136" s="49"/>
      <c r="AC136" s="49"/>
      <c r="AD136" s="49"/>
      <c r="AE136" s="49"/>
      <c r="AF136" s="49"/>
      <c r="AG136" s="49"/>
      <c r="AH136" s="49"/>
      <c r="AI136" s="49"/>
      <c r="AJ136" s="49"/>
      <c r="AK136" s="49"/>
      <c r="AL136" s="49"/>
      <c r="AM136" s="49"/>
      <c r="AN136" s="49"/>
      <c r="AO136" s="49"/>
      <c r="AP136" s="49"/>
      <c r="AQ136" s="49"/>
      <c r="AR136" s="49"/>
      <c r="AS136" s="49"/>
      <c r="AT136" s="49"/>
      <c r="AU136" s="49"/>
      <c r="AV136" s="49"/>
      <c r="AW136" s="49"/>
      <c r="AX136" s="49"/>
    </row>
    <row r="137">
      <c r="A137" s="49"/>
      <c r="B137" s="49"/>
      <c r="C137" s="49" t="str">
        <f>IFERROR(__xludf.DUMMYFUNCTION("""COMPUTED_VALUE"""),"")</f>
        <v/>
      </c>
      <c r="D137" s="49" t="str">
        <f>IFERROR(__xludf.DUMMYFUNCTION("""COMPUTED_VALUE"""),"")</f>
        <v/>
      </c>
      <c r="E137" s="49" t="str">
        <f>IFERROR(__xludf.DUMMYFUNCTION("""COMPUTED_VALUE"""),"")</f>
        <v/>
      </c>
      <c r="F137" s="49" t="str">
        <f>IFERROR(__xludf.DUMMYFUNCTION("""COMPUTED_VALUE"""),"")</f>
        <v/>
      </c>
      <c r="G137" s="49" t="str">
        <f>IFERROR(__xludf.DUMMYFUNCTION("""COMPUTED_VALUE"""),"")</f>
        <v/>
      </c>
      <c r="H137" s="49" t="str">
        <f>IFERROR(__xludf.DUMMYFUNCTION("""COMPUTED_VALUE"""),"")</f>
        <v/>
      </c>
      <c r="I137" s="49" t="str">
        <f>IFERROR(__xludf.DUMMYFUNCTION("""COMPUTED_VALUE"""),"")</f>
        <v/>
      </c>
      <c r="J137" s="49" t="str">
        <f>IFERROR(__xludf.DUMMYFUNCTION("""COMPUTED_VALUE"""),"")</f>
        <v/>
      </c>
      <c r="K137" s="49" t="str">
        <f>IFERROR(__xludf.DUMMYFUNCTION("""COMPUTED_VALUE"""),"")</f>
        <v/>
      </c>
      <c r="L137" s="49" t="str">
        <f>IFERROR(__xludf.DUMMYFUNCTION("""COMPUTED_VALUE"""),"")</f>
        <v/>
      </c>
      <c r="M137" s="49" t="str">
        <f>IFERROR(__xludf.DUMMYFUNCTION("""COMPUTED_VALUE"""),"")</f>
        <v/>
      </c>
      <c r="N137" s="49" t="str">
        <f>IFERROR(__xludf.DUMMYFUNCTION("""COMPUTED_VALUE"""),"")</f>
        <v/>
      </c>
      <c r="O137" s="49" t="str">
        <f>IFERROR(__xludf.DUMMYFUNCTION("""COMPUTED_VALUE"""),"")</f>
        <v/>
      </c>
      <c r="P137" s="49" t="str">
        <f>IFERROR(__xludf.DUMMYFUNCTION("""COMPUTED_VALUE"""),"")</f>
        <v/>
      </c>
      <c r="Q137" s="49" t="str">
        <f>IFERROR(__xludf.DUMMYFUNCTION("""COMPUTED_VALUE"""),"")</f>
        <v/>
      </c>
      <c r="R137" s="49" t="str">
        <f>IFERROR(__xludf.DUMMYFUNCTION("""COMPUTED_VALUE"""),"")</f>
        <v/>
      </c>
      <c r="S137" s="49" t="str">
        <f>IFERROR(__xludf.DUMMYFUNCTION("""COMPUTED_VALUE"""),"")</f>
        <v/>
      </c>
      <c r="T137" s="49" t="str">
        <f>IFERROR(__xludf.DUMMYFUNCTION("""COMPUTED_VALUE"""),"")</f>
        <v/>
      </c>
      <c r="U137" s="49" t="str">
        <f>IFERROR(__xludf.DUMMYFUNCTION("""COMPUTED_VALUE"""),"")</f>
        <v/>
      </c>
      <c r="V137" s="49" t="str">
        <f>IFERROR(__xludf.DUMMYFUNCTION("""COMPUTED_VALUE"""),"")</f>
        <v/>
      </c>
      <c r="W137" s="49" t="str">
        <f>IFERROR(__xludf.DUMMYFUNCTION("""COMPUTED_VALUE"""),"")</f>
        <v/>
      </c>
      <c r="X137" s="49" t="str">
        <f>IFERROR(__xludf.DUMMYFUNCTION("""COMPUTED_VALUE"""),"")</f>
        <v/>
      </c>
      <c r="Y137" s="49" t="str">
        <f>IFERROR(__xludf.DUMMYFUNCTION("""COMPUTED_VALUE"""),"")</f>
        <v/>
      </c>
      <c r="Z137" s="49"/>
      <c r="AA137" s="49"/>
      <c r="AB137" s="49"/>
      <c r="AC137" s="49"/>
      <c r="AD137" s="49"/>
      <c r="AE137" s="49"/>
      <c r="AF137" s="49"/>
      <c r="AG137" s="49"/>
      <c r="AH137" s="49"/>
      <c r="AI137" s="49"/>
      <c r="AJ137" s="49"/>
      <c r="AK137" s="49"/>
      <c r="AL137" s="49"/>
      <c r="AM137" s="49"/>
      <c r="AN137" s="49"/>
      <c r="AO137" s="49"/>
      <c r="AP137" s="49"/>
      <c r="AQ137" s="49"/>
      <c r="AR137" s="49"/>
      <c r="AS137" s="49"/>
      <c r="AT137" s="49"/>
      <c r="AU137" s="49"/>
      <c r="AV137" s="49"/>
      <c r="AW137" s="49"/>
      <c r="AX137" s="49"/>
    </row>
    <row r="138">
      <c r="A138" s="49"/>
      <c r="B138" s="49"/>
      <c r="C138" s="49" t="str">
        <f>IFERROR(__xludf.DUMMYFUNCTION("""COMPUTED_VALUE"""),"")</f>
        <v/>
      </c>
      <c r="D138" s="49" t="str">
        <f>IFERROR(__xludf.DUMMYFUNCTION("""COMPUTED_VALUE"""),"")</f>
        <v/>
      </c>
      <c r="E138" s="49" t="str">
        <f>IFERROR(__xludf.DUMMYFUNCTION("""COMPUTED_VALUE"""),"")</f>
        <v/>
      </c>
      <c r="F138" s="49" t="str">
        <f>IFERROR(__xludf.DUMMYFUNCTION("""COMPUTED_VALUE"""),"")</f>
        <v/>
      </c>
      <c r="G138" s="49" t="str">
        <f>IFERROR(__xludf.DUMMYFUNCTION("""COMPUTED_VALUE"""),"")</f>
        <v/>
      </c>
      <c r="H138" s="49" t="str">
        <f>IFERROR(__xludf.DUMMYFUNCTION("""COMPUTED_VALUE"""),"")</f>
        <v/>
      </c>
      <c r="I138" s="49" t="str">
        <f>IFERROR(__xludf.DUMMYFUNCTION("""COMPUTED_VALUE"""),"")</f>
        <v/>
      </c>
      <c r="J138" s="49" t="str">
        <f>IFERROR(__xludf.DUMMYFUNCTION("""COMPUTED_VALUE"""),"")</f>
        <v/>
      </c>
      <c r="K138" s="49" t="str">
        <f>IFERROR(__xludf.DUMMYFUNCTION("""COMPUTED_VALUE"""),"")</f>
        <v/>
      </c>
      <c r="L138" s="49" t="str">
        <f>IFERROR(__xludf.DUMMYFUNCTION("""COMPUTED_VALUE"""),"")</f>
        <v/>
      </c>
      <c r="M138" s="49" t="str">
        <f>IFERROR(__xludf.DUMMYFUNCTION("""COMPUTED_VALUE"""),"")</f>
        <v/>
      </c>
      <c r="N138" s="49" t="str">
        <f>IFERROR(__xludf.DUMMYFUNCTION("""COMPUTED_VALUE"""),"")</f>
        <v/>
      </c>
      <c r="O138" s="49" t="str">
        <f>IFERROR(__xludf.DUMMYFUNCTION("""COMPUTED_VALUE"""),"")</f>
        <v/>
      </c>
      <c r="P138" s="49" t="str">
        <f>IFERROR(__xludf.DUMMYFUNCTION("""COMPUTED_VALUE"""),"")</f>
        <v/>
      </c>
      <c r="Q138" s="49" t="str">
        <f>IFERROR(__xludf.DUMMYFUNCTION("""COMPUTED_VALUE"""),"")</f>
        <v/>
      </c>
      <c r="R138" s="49" t="str">
        <f>IFERROR(__xludf.DUMMYFUNCTION("""COMPUTED_VALUE"""),"")</f>
        <v/>
      </c>
      <c r="S138" s="49" t="str">
        <f>IFERROR(__xludf.DUMMYFUNCTION("""COMPUTED_VALUE"""),"")</f>
        <v/>
      </c>
      <c r="T138" s="49" t="str">
        <f>IFERROR(__xludf.DUMMYFUNCTION("""COMPUTED_VALUE"""),"")</f>
        <v/>
      </c>
      <c r="U138" s="49" t="str">
        <f>IFERROR(__xludf.DUMMYFUNCTION("""COMPUTED_VALUE"""),"")</f>
        <v/>
      </c>
      <c r="V138" s="49" t="str">
        <f>IFERROR(__xludf.DUMMYFUNCTION("""COMPUTED_VALUE"""),"")</f>
        <v/>
      </c>
      <c r="W138" s="49" t="str">
        <f>IFERROR(__xludf.DUMMYFUNCTION("""COMPUTED_VALUE"""),"")</f>
        <v/>
      </c>
      <c r="X138" s="49" t="str">
        <f>IFERROR(__xludf.DUMMYFUNCTION("""COMPUTED_VALUE"""),"")</f>
        <v/>
      </c>
      <c r="Y138" s="49" t="str">
        <f>IFERROR(__xludf.DUMMYFUNCTION("""COMPUTED_VALUE"""),"")</f>
        <v/>
      </c>
      <c r="Z138" s="49"/>
      <c r="AA138" s="49"/>
      <c r="AB138" s="49"/>
      <c r="AC138" s="49"/>
      <c r="AD138" s="49"/>
      <c r="AE138" s="49"/>
      <c r="AF138" s="49"/>
      <c r="AG138" s="49"/>
      <c r="AH138" s="49"/>
      <c r="AI138" s="49"/>
      <c r="AJ138" s="49"/>
      <c r="AK138" s="49"/>
      <c r="AL138" s="49"/>
      <c r="AM138" s="49"/>
      <c r="AN138" s="49"/>
      <c r="AO138" s="49"/>
      <c r="AP138" s="49"/>
      <c r="AQ138" s="49"/>
      <c r="AR138" s="49"/>
      <c r="AS138" s="49"/>
      <c r="AT138" s="49"/>
      <c r="AU138" s="49"/>
      <c r="AV138" s="49"/>
      <c r="AW138" s="49"/>
      <c r="AX138" s="49"/>
    </row>
    <row r="139">
      <c r="A139" s="49"/>
      <c r="B139" s="49"/>
      <c r="C139" s="49" t="str">
        <f>IFERROR(__xludf.DUMMYFUNCTION("""COMPUTED_VALUE"""),"")</f>
        <v/>
      </c>
      <c r="D139" s="49" t="str">
        <f>IFERROR(__xludf.DUMMYFUNCTION("""COMPUTED_VALUE"""),"")</f>
        <v/>
      </c>
      <c r="E139" s="49" t="str">
        <f>IFERROR(__xludf.DUMMYFUNCTION("""COMPUTED_VALUE"""),"")</f>
        <v/>
      </c>
      <c r="F139" s="49" t="str">
        <f>IFERROR(__xludf.DUMMYFUNCTION("""COMPUTED_VALUE"""),"")</f>
        <v/>
      </c>
      <c r="G139" s="49" t="str">
        <f>IFERROR(__xludf.DUMMYFUNCTION("""COMPUTED_VALUE"""),"")</f>
        <v/>
      </c>
      <c r="H139" s="49" t="str">
        <f>IFERROR(__xludf.DUMMYFUNCTION("""COMPUTED_VALUE"""),"")</f>
        <v/>
      </c>
      <c r="I139" s="49" t="str">
        <f>IFERROR(__xludf.DUMMYFUNCTION("""COMPUTED_VALUE"""),"")</f>
        <v/>
      </c>
      <c r="J139" s="49" t="str">
        <f>IFERROR(__xludf.DUMMYFUNCTION("""COMPUTED_VALUE"""),"")</f>
        <v/>
      </c>
      <c r="K139" s="49" t="str">
        <f>IFERROR(__xludf.DUMMYFUNCTION("""COMPUTED_VALUE"""),"")</f>
        <v/>
      </c>
      <c r="L139" s="49" t="str">
        <f>IFERROR(__xludf.DUMMYFUNCTION("""COMPUTED_VALUE"""),"")</f>
        <v/>
      </c>
      <c r="M139" s="49" t="str">
        <f>IFERROR(__xludf.DUMMYFUNCTION("""COMPUTED_VALUE"""),"")</f>
        <v/>
      </c>
      <c r="N139" s="49" t="str">
        <f>IFERROR(__xludf.DUMMYFUNCTION("""COMPUTED_VALUE"""),"")</f>
        <v/>
      </c>
      <c r="O139" s="49" t="str">
        <f>IFERROR(__xludf.DUMMYFUNCTION("""COMPUTED_VALUE"""),"")</f>
        <v/>
      </c>
      <c r="P139" s="49" t="str">
        <f>IFERROR(__xludf.DUMMYFUNCTION("""COMPUTED_VALUE"""),"")</f>
        <v/>
      </c>
      <c r="Q139" s="49" t="str">
        <f>IFERROR(__xludf.DUMMYFUNCTION("""COMPUTED_VALUE"""),"")</f>
        <v/>
      </c>
      <c r="R139" s="49" t="str">
        <f>IFERROR(__xludf.DUMMYFUNCTION("""COMPUTED_VALUE"""),"")</f>
        <v/>
      </c>
      <c r="S139" s="49" t="str">
        <f>IFERROR(__xludf.DUMMYFUNCTION("""COMPUTED_VALUE"""),"")</f>
        <v/>
      </c>
      <c r="T139" s="49" t="str">
        <f>IFERROR(__xludf.DUMMYFUNCTION("""COMPUTED_VALUE"""),"")</f>
        <v/>
      </c>
      <c r="U139" s="49" t="str">
        <f>IFERROR(__xludf.DUMMYFUNCTION("""COMPUTED_VALUE"""),"")</f>
        <v/>
      </c>
      <c r="V139" s="49" t="str">
        <f>IFERROR(__xludf.DUMMYFUNCTION("""COMPUTED_VALUE"""),"")</f>
        <v/>
      </c>
      <c r="W139" s="49" t="str">
        <f>IFERROR(__xludf.DUMMYFUNCTION("""COMPUTED_VALUE"""),"")</f>
        <v/>
      </c>
      <c r="X139" s="49" t="str">
        <f>IFERROR(__xludf.DUMMYFUNCTION("""COMPUTED_VALUE"""),"")</f>
        <v/>
      </c>
      <c r="Y139" s="49" t="str">
        <f>IFERROR(__xludf.DUMMYFUNCTION("""COMPUTED_VALUE"""),"")</f>
        <v/>
      </c>
      <c r="Z139" s="49"/>
      <c r="AA139" s="49"/>
      <c r="AB139" s="49"/>
      <c r="AC139" s="49"/>
      <c r="AD139" s="49"/>
      <c r="AE139" s="49"/>
      <c r="AF139" s="49"/>
      <c r="AG139" s="49"/>
      <c r="AH139" s="49"/>
      <c r="AI139" s="49"/>
      <c r="AJ139" s="49"/>
      <c r="AK139" s="49"/>
      <c r="AL139" s="49"/>
      <c r="AM139" s="49"/>
      <c r="AN139" s="49"/>
      <c r="AO139" s="49"/>
      <c r="AP139" s="49"/>
      <c r="AQ139" s="49"/>
      <c r="AR139" s="49"/>
      <c r="AS139" s="49"/>
      <c r="AT139" s="49"/>
      <c r="AU139" s="49"/>
      <c r="AV139" s="49"/>
      <c r="AW139" s="49"/>
      <c r="AX139" s="49"/>
    </row>
    <row r="140">
      <c r="A140" s="49"/>
      <c r="B140" s="49"/>
      <c r="C140" s="49" t="str">
        <f>IFERROR(__xludf.DUMMYFUNCTION("""COMPUTED_VALUE"""),"")</f>
        <v/>
      </c>
      <c r="D140" s="49" t="str">
        <f>IFERROR(__xludf.DUMMYFUNCTION("""COMPUTED_VALUE"""),"")</f>
        <v/>
      </c>
      <c r="E140" s="49" t="str">
        <f>IFERROR(__xludf.DUMMYFUNCTION("""COMPUTED_VALUE"""),"")</f>
        <v/>
      </c>
      <c r="F140" s="49" t="str">
        <f>IFERROR(__xludf.DUMMYFUNCTION("""COMPUTED_VALUE"""),"")</f>
        <v/>
      </c>
      <c r="G140" s="49" t="str">
        <f>IFERROR(__xludf.DUMMYFUNCTION("""COMPUTED_VALUE"""),"")</f>
        <v/>
      </c>
      <c r="H140" s="49" t="str">
        <f>IFERROR(__xludf.DUMMYFUNCTION("""COMPUTED_VALUE"""),"")</f>
        <v/>
      </c>
      <c r="I140" s="49" t="str">
        <f>IFERROR(__xludf.DUMMYFUNCTION("""COMPUTED_VALUE"""),"")</f>
        <v/>
      </c>
      <c r="J140" s="49" t="str">
        <f>IFERROR(__xludf.DUMMYFUNCTION("""COMPUTED_VALUE"""),"")</f>
        <v/>
      </c>
      <c r="K140" s="49" t="str">
        <f>IFERROR(__xludf.DUMMYFUNCTION("""COMPUTED_VALUE"""),"")</f>
        <v/>
      </c>
      <c r="L140" s="49" t="str">
        <f>IFERROR(__xludf.DUMMYFUNCTION("""COMPUTED_VALUE"""),"")</f>
        <v/>
      </c>
      <c r="M140" s="49" t="str">
        <f>IFERROR(__xludf.DUMMYFUNCTION("""COMPUTED_VALUE"""),"")</f>
        <v/>
      </c>
      <c r="N140" s="49" t="str">
        <f>IFERROR(__xludf.DUMMYFUNCTION("""COMPUTED_VALUE"""),"")</f>
        <v/>
      </c>
      <c r="O140" s="49" t="str">
        <f>IFERROR(__xludf.DUMMYFUNCTION("""COMPUTED_VALUE"""),"")</f>
        <v/>
      </c>
      <c r="P140" s="49" t="str">
        <f>IFERROR(__xludf.DUMMYFUNCTION("""COMPUTED_VALUE"""),"")</f>
        <v/>
      </c>
      <c r="Q140" s="49" t="str">
        <f>IFERROR(__xludf.DUMMYFUNCTION("""COMPUTED_VALUE"""),"")</f>
        <v/>
      </c>
      <c r="R140" s="49" t="str">
        <f>IFERROR(__xludf.DUMMYFUNCTION("""COMPUTED_VALUE"""),"")</f>
        <v/>
      </c>
      <c r="S140" s="49" t="str">
        <f>IFERROR(__xludf.DUMMYFUNCTION("""COMPUTED_VALUE"""),"")</f>
        <v/>
      </c>
      <c r="T140" s="49" t="str">
        <f>IFERROR(__xludf.DUMMYFUNCTION("""COMPUTED_VALUE"""),"")</f>
        <v/>
      </c>
      <c r="U140" s="49" t="str">
        <f>IFERROR(__xludf.DUMMYFUNCTION("""COMPUTED_VALUE"""),"")</f>
        <v/>
      </c>
      <c r="V140" s="49" t="str">
        <f>IFERROR(__xludf.DUMMYFUNCTION("""COMPUTED_VALUE"""),"")</f>
        <v/>
      </c>
      <c r="W140" s="49" t="str">
        <f>IFERROR(__xludf.DUMMYFUNCTION("""COMPUTED_VALUE"""),"")</f>
        <v/>
      </c>
      <c r="X140" s="49" t="str">
        <f>IFERROR(__xludf.DUMMYFUNCTION("""COMPUTED_VALUE"""),"")</f>
        <v/>
      </c>
      <c r="Y140" s="49" t="str">
        <f>IFERROR(__xludf.DUMMYFUNCTION("""COMPUTED_VALUE"""),"")</f>
        <v/>
      </c>
      <c r="Z140" s="49"/>
      <c r="AA140" s="49"/>
      <c r="AB140" s="49"/>
      <c r="AC140" s="49"/>
      <c r="AD140" s="49"/>
      <c r="AE140" s="49"/>
      <c r="AF140" s="49"/>
      <c r="AG140" s="49"/>
      <c r="AH140" s="49"/>
      <c r="AI140" s="49"/>
      <c r="AJ140" s="49"/>
      <c r="AK140" s="49"/>
      <c r="AL140" s="49"/>
      <c r="AM140" s="49"/>
      <c r="AN140" s="49"/>
      <c r="AO140" s="49"/>
      <c r="AP140" s="49"/>
      <c r="AQ140" s="49"/>
      <c r="AR140" s="49"/>
      <c r="AS140" s="49"/>
      <c r="AT140" s="49"/>
      <c r="AU140" s="49"/>
      <c r="AV140" s="49"/>
      <c r="AW140" s="49"/>
      <c r="AX140" s="49"/>
    </row>
    <row r="141">
      <c r="A141" s="49"/>
      <c r="B141" s="49"/>
      <c r="C141" s="49" t="str">
        <f>IFERROR(__xludf.DUMMYFUNCTION("""COMPUTED_VALUE"""),"")</f>
        <v/>
      </c>
      <c r="D141" s="49" t="str">
        <f>IFERROR(__xludf.DUMMYFUNCTION("""COMPUTED_VALUE"""),"")</f>
        <v/>
      </c>
      <c r="E141" s="49" t="str">
        <f>IFERROR(__xludf.DUMMYFUNCTION("""COMPUTED_VALUE"""),"")</f>
        <v/>
      </c>
      <c r="F141" s="49" t="str">
        <f>IFERROR(__xludf.DUMMYFUNCTION("""COMPUTED_VALUE"""),"")</f>
        <v/>
      </c>
      <c r="G141" s="49" t="str">
        <f>IFERROR(__xludf.DUMMYFUNCTION("""COMPUTED_VALUE"""),"")</f>
        <v/>
      </c>
      <c r="H141" s="49" t="str">
        <f>IFERROR(__xludf.DUMMYFUNCTION("""COMPUTED_VALUE"""),"")</f>
        <v/>
      </c>
      <c r="I141" s="49" t="str">
        <f>IFERROR(__xludf.DUMMYFUNCTION("""COMPUTED_VALUE"""),"")</f>
        <v/>
      </c>
      <c r="J141" s="49" t="str">
        <f>IFERROR(__xludf.DUMMYFUNCTION("""COMPUTED_VALUE"""),"")</f>
        <v/>
      </c>
      <c r="K141" s="49" t="str">
        <f>IFERROR(__xludf.DUMMYFUNCTION("""COMPUTED_VALUE"""),"")</f>
        <v/>
      </c>
      <c r="L141" s="49" t="str">
        <f>IFERROR(__xludf.DUMMYFUNCTION("""COMPUTED_VALUE"""),"")</f>
        <v/>
      </c>
      <c r="M141" s="49" t="str">
        <f>IFERROR(__xludf.DUMMYFUNCTION("""COMPUTED_VALUE"""),"")</f>
        <v/>
      </c>
      <c r="N141" s="49" t="str">
        <f>IFERROR(__xludf.DUMMYFUNCTION("""COMPUTED_VALUE"""),"")</f>
        <v/>
      </c>
      <c r="O141" s="49" t="str">
        <f>IFERROR(__xludf.DUMMYFUNCTION("""COMPUTED_VALUE"""),"")</f>
        <v/>
      </c>
      <c r="P141" s="49" t="str">
        <f>IFERROR(__xludf.DUMMYFUNCTION("""COMPUTED_VALUE"""),"")</f>
        <v/>
      </c>
      <c r="Q141" s="49" t="str">
        <f>IFERROR(__xludf.DUMMYFUNCTION("""COMPUTED_VALUE"""),"")</f>
        <v/>
      </c>
      <c r="R141" s="49" t="str">
        <f>IFERROR(__xludf.DUMMYFUNCTION("""COMPUTED_VALUE"""),"")</f>
        <v/>
      </c>
      <c r="S141" s="49" t="str">
        <f>IFERROR(__xludf.DUMMYFUNCTION("""COMPUTED_VALUE"""),"")</f>
        <v/>
      </c>
      <c r="T141" s="49" t="str">
        <f>IFERROR(__xludf.DUMMYFUNCTION("""COMPUTED_VALUE"""),"")</f>
        <v/>
      </c>
      <c r="U141" s="49" t="str">
        <f>IFERROR(__xludf.DUMMYFUNCTION("""COMPUTED_VALUE"""),"")</f>
        <v/>
      </c>
      <c r="V141" s="49" t="str">
        <f>IFERROR(__xludf.DUMMYFUNCTION("""COMPUTED_VALUE"""),"")</f>
        <v/>
      </c>
      <c r="W141" s="49" t="str">
        <f>IFERROR(__xludf.DUMMYFUNCTION("""COMPUTED_VALUE"""),"")</f>
        <v/>
      </c>
      <c r="X141" s="49" t="str">
        <f>IFERROR(__xludf.DUMMYFUNCTION("""COMPUTED_VALUE"""),"")</f>
        <v/>
      </c>
      <c r="Y141" s="49" t="str">
        <f>IFERROR(__xludf.DUMMYFUNCTION("""COMPUTED_VALUE"""),"")</f>
        <v/>
      </c>
      <c r="Z141" s="49"/>
      <c r="AA141" s="49"/>
      <c r="AB141" s="49"/>
      <c r="AC141" s="49"/>
      <c r="AD141" s="49"/>
      <c r="AE141" s="49"/>
      <c r="AF141" s="49"/>
      <c r="AG141" s="49"/>
      <c r="AH141" s="49"/>
      <c r="AI141" s="49"/>
      <c r="AJ141" s="49"/>
      <c r="AK141" s="49"/>
      <c r="AL141" s="49"/>
      <c r="AM141" s="49"/>
      <c r="AN141" s="49"/>
      <c r="AO141" s="49"/>
      <c r="AP141" s="49"/>
      <c r="AQ141" s="49"/>
      <c r="AR141" s="49"/>
      <c r="AS141" s="49"/>
      <c r="AT141" s="49"/>
      <c r="AU141" s="49"/>
      <c r="AV141" s="49"/>
      <c r="AW141" s="49"/>
      <c r="AX141" s="49"/>
    </row>
    <row r="142">
      <c r="A142" s="49"/>
      <c r="B142" s="49"/>
      <c r="C142" s="49" t="str">
        <f>IFERROR(__xludf.DUMMYFUNCTION("""COMPUTED_VALUE"""),"")</f>
        <v/>
      </c>
      <c r="D142" s="49" t="str">
        <f>IFERROR(__xludf.DUMMYFUNCTION("""COMPUTED_VALUE"""),"")</f>
        <v/>
      </c>
      <c r="E142" s="49" t="str">
        <f>IFERROR(__xludf.DUMMYFUNCTION("""COMPUTED_VALUE"""),"")</f>
        <v/>
      </c>
      <c r="F142" s="49" t="str">
        <f>IFERROR(__xludf.DUMMYFUNCTION("""COMPUTED_VALUE"""),"")</f>
        <v/>
      </c>
      <c r="G142" s="49" t="str">
        <f>IFERROR(__xludf.DUMMYFUNCTION("""COMPUTED_VALUE"""),"")</f>
        <v/>
      </c>
      <c r="H142" s="49" t="str">
        <f>IFERROR(__xludf.DUMMYFUNCTION("""COMPUTED_VALUE"""),"")</f>
        <v/>
      </c>
      <c r="I142" s="49" t="str">
        <f>IFERROR(__xludf.DUMMYFUNCTION("""COMPUTED_VALUE"""),"")</f>
        <v/>
      </c>
      <c r="J142" s="49" t="str">
        <f>IFERROR(__xludf.DUMMYFUNCTION("""COMPUTED_VALUE"""),"")</f>
        <v/>
      </c>
      <c r="K142" s="49" t="str">
        <f>IFERROR(__xludf.DUMMYFUNCTION("""COMPUTED_VALUE"""),"")</f>
        <v/>
      </c>
      <c r="L142" s="49" t="str">
        <f>IFERROR(__xludf.DUMMYFUNCTION("""COMPUTED_VALUE"""),"")</f>
        <v/>
      </c>
      <c r="M142" s="49" t="str">
        <f>IFERROR(__xludf.DUMMYFUNCTION("""COMPUTED_VALUE"""),"")</f>
        <v/>
      </c>
      <c r="N142" s="49" t="str">
        <f>IFERROR(__xludf.DUMMYFUNCTION("""COMPUTED_VALUE"""),"")</f>
        <v/>
      </c>
      <c r="O142" s="49" t="str">
        <f>IFERROR(__xludf.DUMMYFUNCTION("""COMPUTED_VALUE"""),"")</f>
        <v/>
      </c>
      <c r="P142" s="49" t="str">
        <f>IFERROR(__xludf.DUMMYFUNCTION("""COMPUTED_VALUE"""),"")</f>
        <v/>
      </c>
      <c r="Q142" s="49" t="str">
        <f>IFERROR(__xludf.DUMMYFUNCTION("""COMPUTED_VALUE"""),"")</f>
        <v/>
      </c>
      <c r="R142" s="49" t="str">
        <f>IFERROR(__xludf.DUMMYFUNCTION("""COMPUTED_VALUE"""),"")</f>
        <v/>
      </c>
      <c r="S142" s="49" t="str">
        <f>IFERROR(__xludf.DUMMYFUNCTION("""COMPUTED_VALUE"""),"")</f>
        <v/>
      </c>
      <c r="T142" s="49" t="str">
        <f>IFERROR(__xludf.DUMMYFUNCTION("""COMPUTED_VALUE"""),"")</f>
        <v/>
      </c>
      <c r="U142" s="49" t="str">
        <f>IFERROR(__xludf.DUMMYFUNCTION("""COMPUTED_VALUE"""),"")</f>
        <v/>
      </c>
      <c r="V142" s="49" t="str">
        <f>IFERROR(__xludf.DUMMYFUNCTION("""COMPUTED_VALUE"""),"")</f>
        <v/>
      </c>
      <c r="W142" s="49" t="str">
        <f>IFERROR(__xludf.DUMMYFUNCTION("""COMPUTED_VALUE"""),"")</f>
        <v/>
      </c>
      <c r="X142" s="49" t="str">
        <f>IFERROR(__xludf.DUMMYFUNCTION("""COMPUTED_VALUE"""),"")</f>
        <v/>
      </c>
      <c r="Y142" s="49" t="str">
        <f>IFERROR(__xludf.DUMMYFUNCTION("""COMPUTED_VALUE"""),"")</f>
        <v/>
      </c>
      <c r="Z142" s="49"/>
      <c r="AA142" s="49"/>
      <c r="AB142" s="49"/>
      <c r="AC142" s="49"/>
      <c r="AD142" s="49"/>
      <c r="AE142" s="49"/>
      <c r="AF142" s="49"/>
      <c r="AG142" s="49"/>
      <c r="AH142" s="49"/>
      <c r="AI142" s="49"/>
      <c r="AJ142" s="49"/>
      <c r="AK142" s="49"/>
      <c r="AL142" s="49"/>
      <c r="AM142" s="49"/>
      <c r="AN142" s="49"/>
      <c r="AO142" s="49"/>
      <c r="AP142" s="49"/>
      <c r="AQ142" s="49"/>
      <c r="AR142" s="49"/>
      <c r="AS142" s="49"/>
      <c r="AT142" s="49"/>
      <c r="AU142" s="49"/>
      <c r="AV142" s="49"/>
      <c r="AW142" s="49"/>
      <c r="AX142" s="49"/>
    </row>
    <row r="143">
      <c r="A143" s="49"/>
      <c r="B143" s="49"/>
      <c r="C143" s="49" t="str">
        <f>IFERROR(__xludf.DUMMYFUNCTION("""COMPUTED_VALUE"""),"")</f>
        <v/>
      </c>
      <c r="D143" s="49" t="str">
        <f>IFERROR(__xludf.DUMMYFUNCTION("""COMPUTED_VALUE"""),"")</f>
        <v/>
      </c>
      <c r="E143" s="49" t="str">
        <f>IFERROR(__xludf.DUMMYFUNCTION("""COMPUTED_VALUE"""),"")</f>
        <v/>
      </c>
      <c r="F143" s="49" t="str">
        <f>IFERROR(__xludf.DUMMYFUNCTION("""COMPUTED_VALUE"""),"")</f>
        <v/>
      </c>
      <c r="G143" s="49" t="str">
        <f>IFERROR(__xludf.DUMMYFUNCTION("""COMPUTED_VALUE"""),"")</f>
        <v/>
      </c>
      <c r="H143" s="49" t="str">
        <f>IFERROR(__xludf.DUMMYFUNCTION("""COMPUTED_VALUE"""),"")</f>
        <v/>
      </c>
      <c r="I143" s="49" t="str">
        <f>IFERROR(__xludf.DUMMYFUNCTION("""COMPUTED_VALUE"""),"")</f>
        <v/>
      </c>
      <c r="J143" s="49" t="str">
        <f>IFERROR(__xludf.DUMMYFUNCTION("""COMPUTED_VALUE"""),"")</f>
        <v/>
      </c>
      <c r="K143" s="49" t="str">
        <f>IFERROR(__xludf.DUMMYFUNCTION("""COMPUTED_VALUE"""),"")</f>
        <v/>
      </c>
      <c r="L143" s="49" t="str">
        <f>IFERROR(__xludf.DUMMYFUNCTION("""COMPUTED_VALUE"""),"")</f>
        <v/>
      </c>
      <c r="M143" s="49" t="str">
        <f>IFERROR(__xludf.DUMMYFUNCTION("""COMPUTED_VALUE"""),"")</f>
        <v/>
      </c>
      <c r="N143" s="49" t="str">
        <f>IFERROR(__xludf.DUMMYFUNCTION("""COMPUTED_VALUE"""),"")</f>
        <v/>
      </c>
      <c r="O143" s="49" t="str">
        <f>IFERROR(__xludf.DUMMYFUNCTION("""COMPUTED_VALUE"""),"")</f>
        <v/>
      </c>
      <c r="P143" s="49" t="str">
        <f>IFERROR(__xludf.DUMMYFUNCTION("""COMPUTED_VALUE"""),"")</f>
        <v/>
      </c>
      <c r="Q143" s="49" t="str">
        <f>IFERROR(__xludf.DUMMYFUNCTION("""COMPUTED_VALUE"""),"")</f>
        <v/>
      </c>
      <c r="R143" s="49" t="str">
        <f>IFERROR(__xludf.DUMMYFUNCTION("""COMPUTED_VALUE"""),"")</f>
        <v/>
      </c>
      <c r="S143" s="49" t="str">
        <f>IFERROR(__xludf.DUMMYFUNCTION("""COMPUTED_VALUE"""),"")</f>
        <v/>
      </c>
      <c r="T143" s="49" t="str">
        <f>IFERROR(__xludf.DUMMYFUNCTION("""COMPUTED_VALUE"""),"")</f>
        <v/>
      </c>
      <c r="U143" s="49" t="str">
        <f>IFERROR(__xludf.DUMMYFUNCTION("""COMPUTED_VALUE"""),"")</f>
        <v/>
      </c>
      <c r="V143" s="49" t="str">
        <f>IFERROR(__xludf.DUMMYFUNCTION("""COMPUTED_VALUE"""),"")</f>
        <v/>
      </c>
      <c r="W143" s="49" t="str">
        <f>IFERROR(__xludf.DUMMYFUNCTION("""COMPUTED_VALUE"""),"")</f>
        <v/>
      </c>
      <c r="X143" s="49" t="str">
        <f>IFERROR(__xludf.DUMMYFUNCTION("""COMPUTED_VALUE"""),"")</f>
        <v/>
      </c>
      <c r="Y143" s="49" t="str">
        <f>IFERROR(__xludf.DUMMYFUNCTION("""COMPUTED_VALUE"""),"")</f>
        <v/>
      </c>
      <c r="Z143" s="49"/>
      <c r="AA143" s="49"/>
      <c r="AB143" s="49"/>
      <c r="AC143" s="49"/>
      <c r="AD143" s="49"/>
      <c r="AE143" s="49"/>
      <c r="AF143" s="49"/>
      <c r="AG143" s="49"/>
      <c r="AH143" s="49"/>
      <c r="AI143" s="49"/>
      <c r="AJ143" s="49"/>
      <c r="AK143" s="49"/>
      <c r="AL143" s="49"/>
      <c r="AM143" s="49"/>
      <c r="AN143" s="49"/>
      <c r="AO143" s="49"/>
      <c r="AP143" s="49"/>
      <c r="AQ143" s="49"/>
      <c r="AR143" s="49"/>
      <c r="AS143" s="49"/>
      <c r="AT143" s="49"/>
      <c r="AU143" s="49"/>
      <c r="AV143" s="49"/>
      <c r="AW143" s="49"/>
      <c r="AX143" s="49"/>
    </row>
    <row r="144">
      <c r="A144" s="49"/>
      <c r="B144" s="49"/>
      <c r="C144" s="49" t="str">
        <f>IFERROR(__xludf.DUMMYFUNCTION("""COMPUTED_VALUE"""),"")</f>
        <v/>
      </c>
      <c r="D144" s="49" t="str">
        <f>IFERROR(__xludf.DUMMYFUNCTION("""COMPUTED_VALUE"""),"")</f>
        <v/>
      </c>
      <c r="E144" s="49" t="str">
        <f>IFERROR(__xludf.DUMMYFUNCTION("""COMPUTED_VALUE"""),"")</f>
        <v/>
      </c>
      <c r="F144" s="49" t="str">
        <f>IFERROR(__xludf.DUMMYFUNCTION("""COMPUTED_VALUE"""),"")</f>
        <v/>
      </c>
      <c r="G144" s="49" t="str">
        <f>IFERROR(__xludf.DUMMYFUNCTION("""COMPUTED_VALUE"""),"")</f>
        <v/>
      </c>
      <c r="H144" s="49" t="str">
        <f>IFERROR(__xludf.DUMMYFUNCTION("""COMPUTED_VALUE"""),"")</f>
        <v/>
      </c>
      <c r="I144" s="49" t="str">
        <f>IFERROR(__xludf.DUMMYFUNCTION("""COMPUTED_VALUE"""),"")</f>
        <v/>
      </c>
      <c r="J144" s="49" t="str">
        <f>IFERROR(__xludf.DUMMYFUNCTION("""COMPUTED_VALUE"""),"")</f>
        <v/>
      </c>
      <c r="K144" s="49" t="str">
        <f>IFERROR(__xludf.DUMMYFUNCTION("""COMPUTED_VALUE"""),"")</f>
        <v/>
      </c>
      <c r="L144" s="49" t="str">
        <f>IFERROR(__xludf.DUMMYFUNCTION("""COMPUTED_VALUE"""),"")</f>
        <v/>
      </c>
      <c r="M144" s="49" t="str">
        <f>IFERROR(__xludf.DUMMYFUNCTION("""COMPUTED_VALUE"""),"")</f>
        <v/>
      </c>
      <c r="N144" s="49" t="str">
        <f>IFERROR(__xludf.DUMMYFUNCTION("""COMPUTED_VALUE"""),"")</f>
        <v/>
      </c>
      <c r="O144" s="49" t="str">
        <f>IFERROR(__xludf.DUMMYFUNCTION("""COMPUTED_VALUE"""),"")</f>
        <v/>
      </c>
      <c r="P144" s="49" t="str">
        <f>IFERROR(__xludf.DUMMYFUNCTION("""COMPUTED_VALUE"""),"")</f>
        <v/>
      </c>
      <c r="Q144" s="49" t="str">
        <f>IFERROR(__xludf.DUMMYFUNCTION("""COMPUTED_VALUE"""),"")</f>
        <v/>
      </c>
      <c r="R144" s="49" t="str">
        <f>IFERROR(__xludf.DUMMYFUNCTION("""COMPUTED_VALUE"""),"")</f>
        <v/>
      </c>
      <c r="S144" s="49" t="str">
        <f>IFERROR(__xludf.DUMMYFUNCTION("""COMPUTED_VALUE"""),"")</f>
        <v/>
      </c>
      <c r="T144" s="49" t="str">
        <f>IFERROR(__xludf.DUMMYFUNCTION("""COMPUTED_VALUE"""),"")</f>
        <v/>
      </c>
      <c r="U144" s="49" t="str">
        <f>IFERROR(__xludf.DUMMYFUNCTION("""COMPUTED_VALUE"""),"")</f>
        <v/>
      </c>
      <c r="V144" s="49" t="str">
        <f>IFERROR(__xludf.DUMMYFUNCTION("""COMPUTED_VALUE"""),"")</f>
        <v/>
      </c>
      <c r="W144" s="49" t="str">
        <f>IFERROR(__xludf.DUMMYFUNCTION("""COMPUTED_VALUE"""),"")</f>
        <v/>
      </c>
      <c r="X144" s="49" t="str">
        <f>IFERROR(__xludf.DUMMYFUNCTION("""COMPUTED_VALUE"""),"")</f>
        <v/>
      </c>
      <c r="Y144" s="49" t="str">
        <f>IFERROR(__xludf.DUMMYFUNCTION("""COMPUTED_VALUE"""),"")</f>
        <v/>
      </c>
      <c r="Z144" s="49"/>
      <c r="AA144" s="49"/>
      <c r="AB144" s="49"/>
      <c r="AC144" s="49"/>
      <c r="AD144" s="49"/>
      <c r="AE144" s="49"/>
      <c r="AF144" s="49"/>
      <c r="AG144" s="49"/>
      <c r="AH144" s="49"/>
      <c r="AI144" s="49"/>
      <c r="AJ144" s="49"/>
      <c r="AK144" s="49"/>
      <c r="AL144" s="49"/>
      <c r="AM144" s="49"/>
      <c r="AN144" s="49"/>
      <c r="AO144" s="49"/>
      <c r="AP144" s="49"/>
      <c r="AQ144" s="49"/>
      <c r="AR144" s="49"/>
      <c r="AS144" s="49"/>
      <c r="AT144" s="49"/>
      <c r="AU144" s="49"/>
      <c r="AV144" s="49"/>
      <c r="AW144" s="49"/>
      <c r="AX144" s="49"/>
    </row>
    <row r="145">
      <c r="A145" s="49"/>
      <c r="B145" s="49"/>
      <c r="C145" s="49" t="str">
        <f>IFERROR(__xludf.DUMMYFUNCTION("""COMPUTED_VALUE"""),"")</f>
        <v/>
      </c>
      <c r="D145" s="49" t="str">
        <f>IFERROR(__xludf.DUMMYFUNCTION("""COMPUTED_VALUE"""),"")</f>
        <v/>
      </c>
      <c r="E145" s="49" t="str">
        <f>IFERROR(__xludf.DUMMYFUNCTION("""COMPUTED_VALUE"""),"")</f>
        <v/>
      </c>
      <c r="F145" s="49" t="str">
        <f>IFERROR(__xludf.DUMMYFUNCTION("""COMPUTED_VALUE"""),"")</f>
        <v/>
      </c>
      <c r="G145" s="49" t="str">
        <f>IFERROR(__xludf.DUMMYFUNCTION("""COMPUTED_VALUE"""),"")</f>
        <v/>
      </c>
      <c r="H145" s="49" t="str">
        <f>IFERROR(__xludf.DUMMYFUNCTION("""COMPUTED_VALUE"""),"")</f>
        <v/>
      </c>
      <c r="I145" s="49" t="str">
        <f>IFERROR(__xludf.DUMMYFUNCTION("""COMPUTED_VALUE"""),"")</f>
        <v/>
      </c>
      <c r="J145" s="49" t="str">
        <f>IFERROR(__xludf.DUMMYFUNCTION("""COMPUTED_VALUE"""),"")</f>
        <v/>
      </c>
      <c r="K145" s="49" t="str">
        <f>IFERROR(__xludf.DUMMYFUNCTION("""COMPUTED_VALUE"""),"")</f>
        <v/>
      </c>
      <c r="L145" s="49" t="str">
        <f>IFERROR(__xludf.DUMMYFUNCTION("""COMPUTED_VALUE"""),"")</f>
        <v/>
      </c>
      <c r="M145" s="49" t="str">
        <f>IFERROR(__xludf.DUMMYFUNCTION("""COMPUTED_VALUE"""),"")</f>
        <v/>
      </c>
      <c r="N145" s="49" t="str">
        <f>IFERROR(__xludf.DUMMYFUNCTION("""COMPUTED_VALUE"""),"")</f>
        <v/>
      </c>
      <c r="O145" s="49" t="str">
        <f>IFERROR(__xludf.DUMMYFUNCTION("""COMPUTED_VALUE"""),"")</f>
        <v/>
      </c>
      <c r="P145" s="49" t="str">
        <f>IFERROR(__xludf.DUMMYFUNCTION("""COMPUTED_VALUE"""),"")</f>
        <v/>
      </c>
      <c r="Q145" s="49" t="str">
        <f>IFERROR(__xludf.DUMMYFUNCTION("""COMPUTED_VALUE"""),"")</f>
        <v/>
      </c>
      <c r="R145" s="49" t="str">
        <f>IFERROR(__xludf.DUMMYFUNCTION("""COMPUTED_VALUE"""),"")</f>
        <v/>
      </c>
      <c r="S145" s="49" t="str">
        <f>IFERROR(__xludf.DUMMYFUNCTION("""COMPUTED_VALUE"""),"")</f>
        <v/>
      </c>
      <c r="T145" s="49" t="str">
        <f>IFERROR(__xludf.DUMMYFUNCTION("""COMPUTED_VALUE"""),"")</f>
        <v/>
      </c>
      <c r="U145" s="49" t="str">
        <f>IFERROR(__xludf.DUMMYFUNCTION("""COMPUTED_VALUE"""),"")</f>
        <v/>
      </c>
      <c r="V145" s="49" t="str">
        <f>IFERROR(__xludf.DUMMYFUNCTION("""COMPUTED_VALUE"""),"")</f>
        <v/>
      </c>
      <c r="W145" s="49" t="str">
        <f>IFERROR(__xludf.DUMMYFUNCTION("""COMPUTED_VALUE"""),"")</f>
        <v/>
      </c>
      <c r="X145" s="49" t="str">
        <f>IFERROR(__xludf.DUMMYFUNCTION("""COMPUTED_VALUE"""),"")</f>
        <v/>
      </c>
      <c r="Y145" s="49" t="str">
        <f>IFERROR(__xludf.DUMMYFUNCTION("""COMPUTED_VALUE"""),"")</f>
        <v/>
      </c>
      <c r="Z145" s="49"/>
      <c r="AA145" s="49"/>
      <c r="AB145" s="49"/>
      <c r="AC145" s="49"/>
      <c r="AD145" s="49"/>
      <c r="AE145" s="49"/>
      <c r="AF145" s="49"/>
      <c r="AG145" s="49"/>
      <c r="AH145" s="49"/>
      <c r="AI145" s="49"/>
      <c r="AJ145" s="49"/>
      <c r="AK145" s="49"/>
      <c r="AL145" s="49"/>
      <c r="AM145" s="49"/>
      <c r="AN145" s="49"/>
      <c r="AO145" s="49"/>
      <c r="AP145" s="49"/>
      <c r="AQ145" s="49"/>
      <c r="AR145" s="49"/>
      <c r="AS145" s="49"/>
      <c r="AT145" s="49"/>
      <c r="AU145" s="49"/>
      <c r="AV145" s="49"/>
      <c r="AW145" s="49"/>
      <c r="AX145" s="49"/>
    </row>
    <row r="146">
      <c r="A146" s="49"/>
      <c r="B146" s="49"/>
      <c r="C146" s="49" t="str">
        <f>IFERROR(__xludf.DUMMYFUNCTION("""COMPUTED_VALUE"""),"")</f>
        <v/>
      </c>
      <c r="D146" s="49" t="str">
        <f>IFERROR(__xludf.DUMMYFUNCTION("""COMPUTED_VALUE"""),"")</f>
        <v/>
      </c>
      <c r="E146" s="49" t="str">
        <f>IFERROR(__xludf.DUMMYFUNCTION("""COMPUTED_VALUE"""),"")</f>
        <v/>
      </c>
      <c r="F146" s="49" t="str">
        <f>IFERROR(__xludf.DUMMYFUNCTION("""COMPUTED_VALUE"""),"")</f>
        <v/>
      </c>
      <c r="G146" s="49" t="str">
        <f>IFERROR(__xludf.DUMMYFUNCTION("""COMPUTED_VALUE"""),"")</f>
        <v/>
      </c>
      <c r="H146" s="49" t="str">
        <f>IFERROR(__xludf.DUMMYFUNCTION("""COMPUTED_VALUE"""),"")</f>
        <v/>
      </c>
      <c r="I146" s="49" t="str">
        <f>IFERROR(__xludf.DUMMYFUNCTION("""COMPUTED_VALUE"""),"")</f>
        <v/>
      </c>
      <c r="J146" s="49" t="str">
        <f>IFERROR(__xludf.DUMMYFUNCTION("""COMPUTED_VALUE"""),"")</f>
        <v/>
      </c>
      <c r="K146" s="49" t="str">
        <f>IFERROR(__xludf.DUMMYFUNCTION("""COMPUTED_VALUE"""),"")</f>
        <v/>
      </c>
      <c r="L146" s="49" t="str">
        <f>IFERROR(__xludf.DUMMYFUNCTION("""COMPUTED_VALUE"""),"")</f>
        <v/>
      </c>
      <c r="M146" s="49" t="str">
        <f>IFERROR(__xludf.DUMMYFUNCTION("""COMPUTED_VALUE"""),"")</f>
        <v/>
      </c>
      <c r="N146" s="49" t="str">
        <f>IFERROR(__xludf.DUMMYFUNCTION("""COMPUTED_VALUE"""),"")</f>
        <v/>
      </c>
      <c r="O146" s="49" t="str">
        <f>IFERROR(__xludf.DUMMYFUNCTION("""COMPUTED_VALUE"""),"")</f>
        <v/>
      </c>
      <c r="P146" s="49" t="str">
        <f>IFERROR(__xludf.DUMMYFUNCTION("""COMPUTED_VALUE"""),"")</f>
        <v/>
      </c>
      <c r="Q146" s="49" t="str">
        <f>IFERROR(__xludf.DUMMYFUNCTION("""COMPUTED_VALUE"""),"")</f>
        <v/>
      </c>
      <c r="R146" s="49" t="str">
        <f>IFERROR(__xludf.DUMMYFUNCTION("""COMPUTED_VALUE"""),"")</f>
        <v/>
      </c>
      <c r="S146" s="49" t="str">
        <f>IFERROR(__xludf.DUMMYFUNCTION("""COMPUTED_VALUE"""),"")</f>
        <v/>
      </c>
      <c r="T146" s="49" t="str">
        <f>IFERROR(__xludf.DUMMYFUNCTION("""COMPUTED_VALUE"""),"")</f>
        <v/>
      </c>
      <c r="U146" s="49" t="str">
        <f>IFERROR(__xludf.DUMMYFUNCTION("""COMPUTED_VALUE"""),"")</f>
        <v/>
      </c>
      <c r="V146" s="49" t="str">
        <f>IFERROR(__xludf.DUMMYFUNCTION("""COMPUTED_VALUE"""),"")</f>
        <v/>
      </c>
      <c r="W146" s="49" t="str">
        <f>IFERROR(__xludf.DUMMYFUNCTION("""COMPUTED_VALUE"""),"")</f>
        <v/>
      </c>
      <c r="X146" s="49" t="str">
        <f>IFERROR(__xludf.DUMMYFUNCTION("""COMPUTED_VALUE"""),"")</f>
        <v/>
      </c>
      <c r="Y146" s="49" t="str">
        <f>IFERROR(__xludf.DUMMYFUNCTION("""COMPUTED_VALUE"""),"")</f>
        <v/>
      </c>
      <c r="Z146" s="49"/>
      <c r="AA146" s="49"/>
      <c r="AB146" s="49"/>
      <c r="AC146" s="49"/>
      <c r="AD146" s="49"/>
      <c r="AE146" s="49"/>
      <c r="AF146" s="49"/>
      <c r="AG146" s="49"/>
      <c r="AH146" s="49"/>
      <c r="AI146" s="49"/>
      <c r="AJ146" s="49"/>
      <c r="AK146" s="49"/>
      <c r="AL146" s="49"/>
      <c r="AM146" s="49"/>
      <c r="AN146" s="49"/>
      <c r="AO146" s="49"/>
      <c r="AP146" s="49"/>
      <c r="AQ146" s="49"/>
      <c r="AR146" s="49"/>
      <c r="AS146" s="49"/>
      <c r="AT146" s="49"/>
      <c r="AU146" s="49"/>
      <c r="AV146" s="49"/>
      <c r="AW146" s="49"/>
      <c r="AX146" s="49"/>
    </row>
    <row r="147">
      <c r="A147" s="49"/>
      <c r="B147" s="49"/>
      <c r="C147" s="49" t="str">
        <f>IFERROR(__xludf.DUMMYFUNCTION("""COMPUTED_VALUE"""),"")</f>
        <v/>
      </c>
      <c r="D147" s="49" t="str">
        <f>IFERROR(__xludf.DUMMYFUNCTION("""COMPUTED_VALUE"""),"")</f>
        <v/>
      </c>
      <c r="E147" s="49" t="str">
        <f>IFERROR(__xludf.DUMMYFUNCTION("""COMPUTED_VALUE"""),"")</f>
        <v/>
      </c>
      <c r="F147" s="49" t="str">
        <f>IFERROR(__xludf.DUMMYFUNCTION("""COMPUTED_VALUE"""),"")</f>
        <v/>
      </c>
      <c r="G147" s="49" t="str">
        <f>IFERROR(__xludf.DUMMYFUNCTION("""COMPUTED_VALUE"""),"")</f>
        <v/>
      </c>
      <c r="H147" s="49" t="str">
        <f>IFERROR(__xludf.DUMMYFUNCTION("""COMPUTED_VALUE"""),"")</f>
        <v/>
      </c>
      <c r="I147" s="49" t="str">
        <f>IFERROR(__xludf.DUMMYFUNCTION("""COMPUTED_VALUE"""),"")</f>
        <v/>
      </c>
      <c r="J147" s="49" t="str">
        <f>IFERROR(__xludf.DUMMYFUNCTION("""COMPUTED_VALUE"""),"")</f>
        <v/>
      </c>
      <c r="K147" s="49" t="str">
        <f>IFERROR(__xludf.DUMMYFUNCTION("""COMPUTED_VALUE"""),"")</f>
        <v/>
      </c>
      <c r="L147" s="49" t="str">
        <f>IFERROR(__xludf.DUMMYFUNCTION("""COMPUTED_VALUE"""),"")</f>
        <v/>
      </c>
      <c r="M147" s="49" t="str">
        <f>IFERROR(__xludf.DUMMYFUNCTION("""COMPUTED_VALUE"""),"")</f>
        <v/>
      </c>
      <c r="N147" s="49" t="str">
        <f>IFERROR(__xludf.DUMMYFUNCTION("""COMPUTED_VALUE"""),"")</f>
        <v/>
      </c>
      <c r="O147" s="49" t="str">
        <f>IFERROR(__xludf.DUMMYFUNCTION("""COMPUTED_VALUE"""),"")</f>
        <v/>
      </c>
      <c r="P147" s="49" t="str">
        <f>IFERROR(__xludf.DUMMYFUNCTION("""COMPUTED_VALUE"""),"")</f>
        <v/>
      </c>
      <c r="Q147" s="49" t="str">
        <f>IFERROR(__xludf.DUMMYFUNCTION("""COMPUTED_VALUE"""),"")</f>
        <v/>
      </c>
      <c r="R147" s="49" t="str">
        <f>IFERROR(__xludf.DUMMYFUNCTION("""COMPUTED_VALUE"""),"")</f>
        <v/>
      </c>
      <c r="S147" s="49" t="str">
        <f>IFERROR(__xludf.DUMMYFUNCTION("""COMPUTED_VALUE"""),"")</f>
        <v/>
      </c>
      <c r="T147" s="49" t="str">
        <f>IFERROR(__xludf.DUMMYFUNCTION("""COMPUTED_VALUE"""),"")</f>
        <v/>
      </c>
      <c r="U147" s="49" t="str">
        <f>IFERROR(__xludf.DUMMYFUNCTION("""COMPUTED_VALUE"""),"")</f>
        <v/>
      </c>
      <c r="V147" s="49" t="str">
        <f>IFERROR(__xludf.DUMMYFUNCTION("""COMPUTED_VALUE"""),"")</f>
        <v/>
      </c>
      <c r="W147" s="49" t="str">
        <f>IFERROR(__xludf.DUMMYFUNCTION("""COMPUTED_VALUE"""),"")</f>
        <v/>
      </c>
      <c r="X147" s="49" t="str">
        <f>IFERROR(__xludf.DUMMYFUNCTION("""COMPUTED_VALUE"""),"")</f>
        <v/>
      </c>
      <c r="Y147" s="49" t="str">
        <f>IFERROR(__xludf.DUMMYFUNCTION("""COMPUTED_VALUE"""),"")</f>
        <v/>
      </c>
      <c r="Z147" s="49"/>
      <c r="AA147" s="49"/>
      <c r="AB147" s="49"/>
      <c r="AC147" s="49"/>
      <c r="AD147" s="49"/>
      <c r="AE147" s="49"/>
      <c r="AF147" s="49"/>
      <c r="AG147" s="49"/>
      <c r="AH147" s="49"/>
      <c r="AI147" s="49"/>
      <c r="AJ147" s="49"/>
      <c r="AK147" s="49"/>
      <c r="AL147" s="49"/>
      <c r="AM147" s="49"/>
      <c r="AN147" s="49"/>
      <c r="AO147" s="49"/>
      <c r="AP147" s="49"/>
      <c r="AQ147" s="49"/>
      <c r="AR147" s="49"/>
      <c r="AS147" s="49"/>
      <c r="AT147" s="49"/>
      <c r="AU147" s="49"/>
      <c r="AV147" s="49"/>
      <c r="AW147" s="49"/>
      <c r="AX147" s="49"/>
    </row>
    <row r="148">
      <c r="A148" s="49"/>
      <c r="B148" s="49"/>
      <c r="C148" s="49" t="str">
        <f>IFERROR(__xludf.DUMMYFUNCTION("""COMPUTED_VALUE"""),"")</f>
        <v/>
      </c>
      <c r="D148" s="49" t="str">
        <f>IFERROR(__xludf.DUMMYFUNCTION("""COMPUTED_VALUE"""),"")</f>
        <v/>
      </c>
      <c r="E148" s="49" t="str">
        <f>IFERROR(__xludf.DUMMYFUNCTION("""COMPUTED_VALUE"""),"")</f>
        <v/>
      </c>
      <c r="F148" s="49" t="str">
        <f>IFERROR(__xludf.DUMMYFUNCTION("""COMPUTED_VALUE"""),"")</f>
        <v/>
      </c>
      <c r="G148" s="49" t="str">
        <f>IFERROR(__xludf.DUMMYFUNCTION("""COMPUTED_VALUE"""),"")</f>
        <v/>
      </c>
      <c r="H148" s="49" t="str">
        <f>IFERROR(__xludf.DUMMYFUNCTION("""COMPUTED_VALUE"""),"")</f>
        <v/>
      </c>
      <c r="I148" s="49" t="str">
        <f>IFERROR(__xludf.DUMMYFUNCTION("""COMPUTED_VALUE"""),"")</f>
        <v/>
      </c>
      <c r="J148" s="49" t="str">
        <f>IFERROR(__xludf.DUMMYFUNCTION("""COMPUTED_VALUE"""),"")</f>
        <v/>
      </c>
      <c r="K148" s="49" t="str">
        <f>IFERROR(__xludf.DUMMYFUNCTION("""COMPUTED_VALUE"""),"")</f>
        <v/>
      </c>
      <c r="L148" s="49" t="str">
        <f>IFERROR(__xludf.DUMMYFUNCTION("""COMPUTED_VALUE"""),"")</f>
        <v/>
      </c>
      <c r="M148" s="49" t="str">
        <f>IFERROR(__xludf.DUMMYFUNCTION("""COMPUTED_VALUE"""),"")</f>
        <v/>
      </c>
      <c r="N148" s="49" t="str">
        <f>IFERROR(__xludf.DUMMYFUNCTION("""COMPUTED_VALUE"""),"")</f>
        <v/>
      </c>
      <c r="O148" s="49" t="str">
        <f>IFERROR(__xludf.DUMMYFUNCTION("""COMPUTED_VALUE"""),"")</f>
        <v/>
      </c>
      <c r="P148" s="49" t="str">
        <f>IFERROR(__xludf.DUMMYFUNCTION("""COMPUTED_VALUE"""),"")</f>
        <v/>
      </c>
      <c r="Q148" s="49" t="str">
        <f>IFERROR(__xludf.DUMMYFUNCTION("""COMPUTED_VALUE"""),"")</f>
        <v/>
      </c>
      <c r="R148" s="49" t="str">
        <f>IFERROR(__xludf.DUMMYFUNCTION("""COMPUTED_VALUE"""),"")</f>
        <v/>
      </c>
      <c r="S148" s="49" t="str">
        <f>IFERROR(__xludf.DUMMYFUNCTION("""COMPUTED_VALUE"""),"")</f>
        <v/>
      </c>
      <c r="T148" s="49" t="str">
        <f>IFERROR(__xludf.DUMMYFUNCTION("""COMPUTED_VALUE"""),"")</f>
        <v/>
      </c>
      <c r="U148" s="49" t="str">
        <f>IFERROR(__xludf.DUMMYFUNCTION("""COMPUTED_VALUE"""),"")</f>
        <v/>
      </c>
      <c r="V148" s="49" t="str">
        <f>IFERROR(__xludf.DUMMYFUNCTION("""COMPUTED_VALUE"""),"")</f>
        <v/>
      </c>
      <c r="W148" s="49" t="str">
        <f>IFERROR(__xludf.DUMMYFUNCTION("""COMPUTED_VALUE"""),"")</f>
        <v/>
      </c>
      <c r="X148" s="49" t="str">
        <f>IFERROR(__xludf.DUMMYFUNCTION("""COMPUTED_VALUE"""),"")</f>
        <v/>
      </c>
      <c r="Y148" s="49" t="str">
        <f>IFERROR(__xludf.DUMMYFUNCTION("""COMPUTED_VALUE"""),"")</f>
        <v/>
      </c>
      <c r="Z148" s="49"/>
      <c r="AA148" s="49"/>
      <c r="AB148" s="49"/>
      <c r="AC148" s="49"/>
      <c r="AD148" s="49"/>
      <c r="AE148" s="49"/>
      <c r="AF148" s="49"/>
      <c r="AG148" s="49"/>
      <c r="AH148" s="49"/>
      <c r="AI148" s="49"/>
      <c r="AJ148" s="49"/>
      <c r="AK148" s="49"/>
      <c r="AL148" s="49"/>
      <c r="AM148" s="49"/>
      <c r="AN148" s="49"/>
      <c r="AO148" s="49"/>
      <c r="AP148" s="49"/>
      <c r="AQ148" s="49"/>
      <c r="AR148" s="49"/>
      <c r="AS148" s="49"/>
      <c r="AT148" s="49"/>
      <c r="AU148" s="49"/>
      <c r="AV148" s="49"/>
      <c r="AW148" s="49"/>
      <c r="AX148" s="49"/>
    </row>
    <row r="149">
      <c r="A149" s="49"/>
      <c r="B149" s="49"/>
      <c r="C149" s="49" t="str">
        <f>IFERROR(__xludf.DUMMYFUNCTION("""COMPUTED_VALUE"""),"")</f>
        <v/>
      </c>
      <c r="D149" s="49" t="str">
        <f>IFERROR(__xludf.DUMMYFUNCTION("""COMPUTED_VALUE"""),"")</f>
        <v/>
      </c>
      <c r="E149" s="49" t="str">
        <f>IFERROR(__xludf.DUMMYFUNCTION("""COMPUTED_VALUE"""),"")</f>
        <v/>
      </c>
      <c r="F149" s="49" t="str">
        <f>IFERROR(__xludf.DUMMYFUNCTION("""COMPUTED_VALUE"""),"")</f>
        <v/>
      </c>
      <c r="G149" s="49" t="str">
        <f>IFERROR(__xludf.DUMMYFUNCTION("""COMPUTED_VALUE"""),"")</f>
        <v/>
      </c>
      <c r="H149" s="49" t="str">
        <f>IFERROR(__xludf.DUMMYFUNCTION("""COMPUTED_VALUE"""),"")</f>
        <v/>
      </c>
      <c r="I149" s="49" t="str">
        <f>IFERROR(__xludf.DUMMYFUNCTION("""COMPUTED_VALUE"""),"")</f>
        <v/>
      </c>
      <c r="J149" s="49" t="str">
        <f>IFERROR(__xludf.DUMMYFUNCTION("""COMPUTED_VALUE"""),"")</f>
        <v/>
      </c>
      <c r="K149" s="49" t="str">
        <f>IFERROR(__xludf.DUMMYFUNCTION("""COMPUTED_VALUE"""),"")</f>
        <v/>
      </c>
      <c r="L149" s="49" t="str">
        <f>IFERROR(__xludf.DUMMYFUNCTION("""COMPUTED_VALUE"""),"")</f>
        <v/>
      </c>
      <c r="M149" s="49" t="str">
        <f>IFERROR(__xludf.DUMMYFUNCTION("""COMPUTED_VALUE"""),"")</f>
        <v/>
      </c>
      <c r="N149" s="49" t="str">
        <f>IFERROR(__xludf.DUMMYFUNCTION("""COMPUTED_VALUE"""),"")</f>
        <v/>
      </c>
      <c r="O149" s="49" t="str">
        <f>IFERROR(__xludf.DUMMYFUNCTION("""COMPUTED_VALUE"""),"")</f>
        <v/>
      </c>
      <c r="P149" s="49" t="str">
        <f>IFERROR(__xludf.DUMMYFUNCTION("""COMPUTED_VALUE"""),"")</f>
        <v/>
      </c>
      <c r="Q149" s="49" t="str">
        <f>IFERROR(__xludf.DUMMYFUNCTION("""COMPUTED_VALUE"""),"")</f>
        <v/>
      </c>
      <c r="R149" s="49" t="str">
        <f>IFERROR(__xludf.DUMMYFUNCTION("""COMPUTED_VALUE"""),"")</f>
        <v/>
      </c>
      <c r="S149" s="49" t="str">
        <f>IFERROR(__xludf.DUMMYFUNCTION("""COMPUTED_VALUE"""),"")</f>
        <v/>
      </c>
      <c r="T149" s="49" t="str">
        <f>IFERROR(__xludf.DUMMYFUNCTION("""COMPUTED_VALUE"""),"")</f>
        <v/>
      </c>
      <c r="U149" s="49" t="str">
        <f>IFERROR(__xludf.DUMMYFUNCTION("""COMPUTED_VALUE"""),"")</f>
        <v/>
      </c>
      <c r="V149" s="49" t="str">
        <f>IFERROR(__xludf.DUMMYFUNCTION("""COMPUTED_VALUE"""),"")</f>
        <v/>
      </c>
      <c r="W149" s="49" t="str">
        <f>IFERROR(__xludf.DUMMYFUNCTION("""COMPUTED_VALUE"""),"")</f>
        <v/>
      </c>
      <c r="X149" s="49" t="str">
        <f>IFERROR(__xludf.DUMMYFUNCTION("""COMPUTED_VALUE"""),"")</f>
        <v/>
      </c>
      <c r="Y149" s="49" t="str">
        <f>IFERROR(__xludf.DUMMYFUNCTION("""COMPUTED_VALUE"""),"")</f>
        <v/>
      </c>
      <c r="Z149" s="49"/>
      <c r="AA149" s="49"/>
      <c r="AB149" s="49"/>
      <c r="AC149" s="49"/>
      <c r="AD149" s="49"/>
      <c r="AE149" s="49"/>
      <c r="AF149" s="49"/>
      <c r="AG149" s="49"/>
      <c r="AH149" s="49"/>
      <c r="AI149" s="49"/>
      <c r="AJ149" s="49"/>
      <c r="AK149" s="49"/>
      <c r="AL149" s="49"/>
      <c r="AM149" s="49"/>
      <c r="AN149" s="49"/>
      <c r="AO149" s="49"/>
      <c r="AP149" s="49"/>
      <c r="AQ149" s="49"/>
      <c r="AR149" s="49"/>
      <c r="AS149" s="49"/>
      <c r="AT149" s="49"/>
      <c r="AU149" s="49"/>
      <c r="AV149" s="49"/>
      <c r="AW149" s="49"/>
      <c r="AX149" s="49"/>
    </row>
    <row r="150">
      <c r="A150" s="49"/>
      <c r="B150" s="49"/>
      <c r="C150" s="49" t="str">
        <f>IFERROR(__xludf.DUMMYFUNCTION("""COMPUTED_VALUE"""),"")</f>
        <v/>
      </c>
      <c r="D150" s="49" t="str">
        <f>IFERROR(__xludf.DUMMYFUNCTION("""COMPUTED_VALUE"""),"")</f>
        <v/>
      </c>
      <c r="E150" s="49" t="str">
        <f>IFERROR(__xludf.DUMMYFUNCTION("""COMPUTED_VALUE"""),"")</f>
        <v/>
      </c>
      <c r="F150" s="49" t="str">
        <f>IFERROR(__xludf.DUMMYFUNCTION("""COMPUTED_VALUE"""),"")</f>
        <v/>
      </c>
      <c r="G150" s="49" t="str">
        <f>IFERROR(__xludf.DUMMYFUNCTION("""COMPUTED_VALUE"""),"")</f>
        <v/>
      </c>
      <c r="H150" s="49" t="str">
        <f>IFERROR(__xludf.DUMMYFUNCTION("""COMPUTED_VALUE"""),"")</f>
        <v/>
      </c>
      <c r="I150" s="49" t="str">
        <f>IFERROR(__xludf.DUMMYFUNCTION("""COMPUTED_VALUE"""),"")</f>
        <v/>
      </c>
      <c r="J150" s="49" t="str">
        <f>IFERROR(__xludf.DUMMYFUNCTION("""COMPUTED_VALUE"""),"")</f>
        <v/>
      </c>
      <c r="K150" s="49" t="str">
        <f>IFERROR(__xludf.DUMMYFUNCTION("""COMPUTED_VALUE"""),"")</f>
        <v/>
      </c>
      <c r="L150" s="49" t="str">
        <f>IFERROR(__xludf.DUMMYFUNCTION("""COMPUTED_VALUE"""),"")</f>
        <v/>
      </c>
      <c r="M150" s="49" t="str">
        <f>IFERROR(__xludf.DUMMYFUNCTION("""COMPUTED_VALUE"""),"")</f>
        <v/>
      </c>
      <c r="N150" s="49" t="str">
        <f>IFERROR(__xludf.DUMMYFUNCTION("""COMPUTED_VALUE"""),"")</f>
        <v/>
      </c>
      <c r="O150" s="49" t="str">
        <f>IFERROR(__xludf.DUMMYFUNCTION("""COMPUTED_VALUE"""),"")</f>
        <v/>
      </c>
      <c r="P150" s="49" t="str">
        <f>IFERROR(__xludf.DUMMYFUNCTION("""COMPUTED_VALUE"""),"")</f>
        <v/>
      </c>
      <c r="Q150" s="49" t="str">
        <f>IFERROR(__xludf.DUMMYFUNCTION("""COMPUTED_VALUE"""),"")</f>
        <v/>
      </c>
      <c r="R150" s="49" t="str">
        <f>IFERROR(__xludf.DUMMYFUNCTION("""COMPUTED_VALUE"""),"")</f>
        <v/>
      </c>
      <c r="S150" s="49" t="str">
        <f>IFERROR(__xludf.DUMMYFUNCTION("""COMPUTED_VALUE"""),"")</f>
        <v/>
      </c>
      <c r="T150" s="49" t="str">
        <f>IFERROR(__xludf.DUMMYFUNCTION("""COMPUTED_VALUE"""),"")</f>
        <v/>
      </c>
      <c r="U150" s="49" t="str">
        <f>IFERROR(__xludf.DUMMYFUNCTION("""COMPUTED_VALUE"""),"")</f>
        <v/>
      </c>
      <c r="V150" s="49" t="str">
        <f>IFERROR(__xludf.DUMMYFUNCTION("""COMPUTED_VALUE"""),"")</f>
        <v/>
      </c>
      <c r="W150" s="49" t="str">
        <f>IFERROR(__xludf.DUMMYFUNCTION("""COMPUTED_VALUE"""),"")</f>
        <v/>
      </c>
      <c r="X150" s="49" t="str">
        <f>IFERROR(__xludf.DUMMYFUNCTION("""COMPUTED_VALUE"""),"")</f>
        <v/>
      </c>
      <c r="Y150" s="49" t="str">
        <f>IFERROR(__xludf.DUMMYFUNCTION("""COMPUTED_VALUE"""),"")</f>
        <v/>
      </c>
      <c r="Z150" s="49"/>
      <c r="AA150" s="49"/>
      <c r="AB150" s="49"/>
      <c r="AC150" s="49"/>
      <c r="AD150" s="49"/>
      <c r="AE150" s="49"/>
      <c r="AF150" s="49"/>
      <c r="AG150" s="49"/>
      <c r="AH150" s="49"/>
      <c r="AI150" s="49"/>
      <c r="AJ150" s="49"/>
      <c r="AK150" s="49"/>
      <c r="AL150" s="49"/>
      <c r="AM150" s="49"/>
      <c r="AN150" s="49"/>
      <c r="AO150" s="49"/>
      <c r="AP150" s="49"/>
      <c r="AQ150" s="49"/>
      <c r="AR150" s="49"/>
      <c r="AS150" s="49"/>
      <c r="AT150" s="49"/>
      <c r="AU150" s="49"/>
      <c r="AV150" s="49"/>
      <c r="AW150" s="49"/>
      <c r="AX150" s="49"/>
    </row>
    <row r="151">
      <c r="A151" s="49"/>
      <c r="B151" s="49"/>
      <c r="C151" s="49" t="str">
        <f>IFERROR(__xludf.DUMMYFUNCTION("""COMPUTED_VALUE"""),"")</f>
        <v/>
      </c>
      <c r="D151" s="49" t="str">
        <f>IFERROR(__xludf.DUMMYFUNCTION("""COMPUTED_VALUE"""),"")</f>
        <v/>
      </c>
      <c r="E151" s="49" t="str">
        <f>IFERROR(__xludf.DUMMYFUNCTION("""COMPUTED_VALUE"""),"")</f>
        <v/>
      </c>
      <c r="F151" s="49" t="str">
        <f>IFERROR(__xludf.DUMMYFUNCTION("""COMPUTED_VALUE"""),"")</f>
        <v/>
      </c>
      <c r="G151" s="49" t="str">
        <f>IFERROR(__xludf.DUMMYFUNCTION("""COMPUTED_VALUE"""),"")</f>
        <v/>
      </c>
      <c r="H151" s="49" t="str">
        <f>IFERROR(__xludf.DUMMYFUNCTION("""COMPUTED_VALUE"""),"")</f>
        <v/>
      </c>
      <c r="I151" s="49" t="str">
        <f>IFERROR(__xludf.DUMMYFUNCTION("""COMPUTED_VALUE"""),"")</f>
        <v/>
      </c>
      <c r="J151" s="49" t="str">
        <f>IFERROR(__xludf.DUMMYFUNCTION("""COMPUTED_VALUE"""),"")</f>
        <v/>
      </c>
      <c r="K151" s="49" t="str">
        <f>IFERROR(__xludf.DUMMYFUNCTION("""COMPUTED_VALUE"""),"")</f>
        <v/>
      </c>
      <c r="L151" s="49" t="str">
        <f>IFERROR(__xludf.DUMMYFUNCTION("""COMPUTED_VALUE"""),"")</f>
        <v/>
      </c>
      <c r="M151" s="49" t="str">
        <f>IFERROR(__xludf.DUMMYFUNCTION("""COMPUTED_VALUE"""),"")</f>
        <v/>
      </c>
      <c r="N151" s="49" t="str">
        <f>IFERROR(__xludf.DUMMYFUNCTION("""COMPUTED_VALUE"""),"")</f>
        <v/>
      </c>
      <c r="O151" s="49" t="str">
        <f>IFERROR(__xludf.DUMMYFUNCTION("""COMPUTED_VALUE"""),"")</f>
        <v/>
      </c>
      <c r="P151" s="49" t="str">
        <f>IFERROR(__xludf.DUMMYFUNCTION("""COMPUTED_VALUE"""),"")</f>
        <v/>
      </c>
      <c r="Q151" s="49" t="str">
        <f>IFERROR(__xludf.DUMMYFUNCTION("""COMPUTED_VALUE"""),"")</f>
        <v/>
      </c>
      <c r="R151" s="49" t="str">
        <f>IFERROR(__xludf.DUMMYFUNCTION("""COMPUTED_VALUE"""),"")</f>
        <v/>
      </c>
      <c r="S151" s="49" t="str">
        <f>IFERROR(__xludf.DUMMYFUNCTION("""COMPUTED_VALUE"""),"")</f>
        <v/>
      </c>
      <c r="T151" s="49" t="str">
        <f>IFERROR(__xludf.DUMMYFUNCTION("""COMPUTED_VALUE"""),"")</f>
        <v/>
      </c>
      <c r="U151" s="49" t="str">
        <f>IFERROR(__xludf.DUMMYFUNCTION("""COMPUTED_VALUE"""),"")</f>
        <v/>
      </c>
      <c r="V151" s="49" t="str">
        <f>IFERROR(__xludf.DUMMYFUNCTION("""COMPUTED_VALUE"""),"")</f>
        <v/>
      </c>
      <c r="W151" s="49" t="str">
        <f>IFERROR(__xludf.DUMMYFUNCTION("""COMPUTED_VALUE"""),"")</f>
        <v/>
      </c>
      <c r="X151" s="49" t="str">
        <f>IFERROR(__xludf.DUMMYFUNCTION("""COMPUTED_VALUE"""),"")</f>
        <v/>
      </c>
      <c r="Y151" s="49" t="str">
        <f>IFERROR(__xludf.DUMMYFUNCTION("""COMPUTED_VALUE"""),"")</f>
        <v/>
      </c>
      <c r="Z151" s="49"/>
      <c r="AA151" s="49"/>
      <c r="AB151" s="49"/>
      <c r="AC151" s="49"/>
      <c r="AD151" s="49"/>
      <c r="AE151" s="49"/>
      <c r="AF151" s="49"/>
      <c r="AG151" s="49"/>
      <c r="AH151" s="49"/>
      <c r="AI151" s="49"/>
      <c r="AJ151" s="49"/>
      <c r="AK151" s="49"/>
      <c r="AL151" s="49"/>
      <c r="AM151" s="49"/>
      <c r="AN151" s="49"/>
      <c r="AO151" s="49"/>
      <c r="AP151" s="49"/>
      <c r="AQ151" s="49"/>
      <c r="AR151" s="49"/>
      <c r="AS151" s="49"/>
      <c r="AT151" s="49"/>
      <c r="AU151" s="49"/>
      <c r="AV151" s="49"/>
      <c r="AW151" s="49"/>
      <c r="AX151" s="49"/>
    </row>
    <row r="152">
      <c r="A152" s="49"/>
      <c r="B152" s="49"/>
      <c r="C152" s="49" t="str">
        <f>IFERROR(__xludf.DUMMYFUNCTION("""COMPUTED_VALUE"""),"")</f>
        <v/>
      </c>
      <c r="D152" s="49" t="str">
        <f>IFERROR(__xludf.DUMMYFUNCTION("""COMPUTED_VALUE"""),"")</f>
        <v/>
      </c>
      <c r="E152" s="49" t="str">
        <f>IFERROR(__xludf.DUMMYFUNCTION("""COMPUTED_VALUE"""),"")</f>
        <v/>
      </c>
      <c r="F152" s="49" t="str">
        <f>IFERROR(__xludf.DUMMYFUNCTION("""COMPUTED_VALUE"""),"")</f>
        <v/>
      </c>
      <c r="G152" s="49" t="str">
        <f>IFERROR(__xludf.DUMMYFUNCTION("""COMPUTED_VALUE"""),"")</f>
        <v/>
      </c>
      <c r="H152" s="49" t="str">
        <f>IFERROR(__xludf.DUMMYFUNCTION("""COMPUTED_VALUE"""),"")</f>
        <v/>
      </c>
      <c r="I152" s="49" t="str">
        <f>IFERROR(__xludf.DUMMYFUNCTION("""COMPUTED_VALUE"""),"")</f>
        <v/>
      </c>
      <c r="J152" s="49" t="str">
        <f>IFERROR(__xludf.DUMMYFUNCTION("""COMPUTED_VALUE"""),"")</f>
        <v/>
      </c>
      <c r="K152" s="49" t="str">
        <f>IFERROR(__xludf.DUMMYFUNCTION("""COMPUTED_VALUE"""),"")</f>
        <v/>
      </c>
      <c r="L152" s="49" t="str">
        <f>IFERROR(__xludf.DUMMYFUNCTION("""COMPUTED_VALUE"""),"")</f>
        <v/>
      </c>
      <c r="M152" s="49" t="str">
        <f>IFERROR(__xludf.DUMMYFUNCTION("""COMPUTED_VALUE"""),"")</f>
        <v/>
      </c>
      <c r="N152" s="49" t="str">
        <f>IFERROR(__xludf.DUMMYFUNCTION("""COMPUTED_VALUE"""),"")</f>
        <v/>
      </c>
      <c r="O152" s="49" t="str">
        <f>IFERROR(__xludf.DUMMYFUNCTION("""COMPUTED_VALUE"""),"")</f>
        <v/>
      </c>
      <c r="P152" s="49" t="str">
        <f>IFERROR(__xludf.DUMMYFUNCTION("""COMPUTED_VALUE"""),"")</f>
        <v/>
      </c>
      <c r="Q152" s="49" t="str">
        <f>IFERROR(__xludf.DUMMYFUNCTION("""COMPUTED_VALUE"""),"")</f>
        <v/>
      </c>
      <c r="R152" s="49" t="str">
        <f>IFERROR(__xludf.DUMMYFUNCTION("""COMPUTED_VALUE"""),"")</f>
        <v/>
      </c>
      <c r="S152" s="49" t="str">
        <f>IFERROR(__xludf.DUMMYFUNCTION("""COMPUTED_VALUE"""),"")</f>
        <v/>
      </c>
      <c r="T152" s="49" t="str">
        <f>IFERROR(__xludf.DUMMYFUNCTION("""COMPUTED_VALUE"""),"")</f>
        <v/>
      </c>
      <c r="U152" s="49" t="str">
        <f>IFERROR(__xludf.DUMMYFUNCTION("""COMPUTED_VALUE"""),"")</f>
        <v/>
      </c>
      <c r="V152" s="49" t="str">
        <f>IFERROR(__xludf.DUMMYFUNCTION("""COMPUTED_VALUE"""),"")</f>
        <v/>
      </c>
      <c r="W152" s="49" t="str">
        <f>IFERROR(__xludf.DUMMYFUNCTION("""COMPUTED_VALUE"""),"")</f>
        <v/>
      </c>
      <c r="X152" s="49" t="str">
        <f>IFERROR(__xludf.DUMMYFUNCTION("""COMPUTED_VALUE"""),"")</f>
        <v/>
      </c>
      <c r="Y152" s="49" t="str">
        <f>IFERROR(__xludf.DUMMYFUNCTION("""COMPUTED_VALUE"""),"")</f>
        <v/>
      </c>
      <c r="Z152" s="49"/>
      <c r="AA152" s="49"/>
      <c r="AB152" s="49"/>
      <c r="AC152" s="49"/>
      <c r="AD152" s="49"/>
      <c r="AE152" s="49"/>
      <c r="AF152" s="49"/>
      <c r="AG152" s="49"/>
      <c r="AH152" s="49"/>
      <c r="AI152" s="49"/>
      <c r="AJ152" s="49"/>
      <c r="AK152" s="49"/>
      <c r="AL152" s="49"/>
      <c r="AM152" s="49"/>
      <c r="AN152" s="49"/>
      <c r="AO152" s="49"/>
      <c r="AP152" s="49"/>
      <c r="AQ152" s="49"/>
      <c r="AR152" s="49"/>
      <c r="AS152" s="49"/>
      <c r="AT152" s="49"/>
      <c r="AU152" s="49"/>
      <c r="AV152" s="49"/>
      <c r="AW152" s="49"/>
      <c r="AX152" s="49"/>
    </row>
    <row r="153">
      <c r="A153" s="49"/>
      <c r="B153" s="49"/>
      <c r="C153" s="49" t="str">
        <f>IFERROR(__xludf.DUMMYFUNCTION("""COMPUTED_VALUE"""),"")</f>
        <v/>
      </c>
      <c r="D153" s="49" t="str">
        <f>IFERROR(__xludf.DUMMYFUNCTION("""COMPUTED_VALUE"""),"")</f>
        <v/>
      </c>
      <c r="E153" s="49" t="str">
        <f>IFERROR(__xludf.DUMMYFUNCTION("""COMPUTED_VALUE"""),"")</f>
        <v/>
      </c>
      <c r="F153" s="49" t="str">
        <f>IFERROR(__xludf.DUMMYFUNCTION("""COMPUTED_VALUE"""),"")</f>
        <v/>
      </c>
      <c r="G153" s="49" t="str">
        <f>IFERROR(__xludf.DUMMYFUNCTION("""COMPUTED_VALUE"""),"")</f>
        <v/>
      </c>
      <c r="H153" s="49" t="str">
        <f>IFERROR(__xludf.DUMMYFUNCTION("""COMPUTED_VALUE"""),"")</f>
        <v/>
      </c>
      <c r="I153" s="49" t="str">
        <f>IFERROR(__xludf.DUMMYFUNCTION("""COMPUTED_VALUE"""),"")</f>
        <v/>
      </c>
      <c r="J153" s="49" t="str">
        <f>IFERROR(__xludf.DUMMYFUNCTION("""COMPUTED_VALUE"""),"")</f>
        <v/>
      </c>
      <c r="K153" s="49" t="str">
        <f>IFERROR(__xludf.DUMMYFUNCTION("""COMPUTED_VALUE"""),"")</f>
        <v/>
      </c>
      <c r="L153" s="49" t="str">
        <f>IFERROR(__xludf.DUMMYFUNCTION("""COMPUTED_VALUE"""),"")</f>
        <v/>
      </c>
      <c r="M153" s="49" t="str">
        <f>IFERROR(__xludf.DUMMYFUNCTION("""COMPUTED_VALUE"""),"")</f>
        <v/>
      </c>
      <c r="N153" s="49" t="str">
        <f>IFERROR(__xludf.DUMMYFUNCTION("""COMPUTED_VALUE"""),"")</f>
        <v/>
      </c>
      <c r="O153" s="49" t="str">
        <f>IFERROR(__xludf.DUMMYFUNCTION("""COMPUTED_VALUE"""),"")</f>
        <v/>
      </c>
      <c r="P153" s="49" t="str">
        <f>IFERROR(__xludf.DUMMYFUNCTION("""COMPUTED_VALUE"""),"")</f>
        <v/>
      </c>
      <c r="Q153" s="49" t="str">
        <f>IFERROR(__xludf.DUMMYFUNCTION("""COMPUTED_VALUE"""),"")</f>
        <v/>
      </c>
      <c r="R153" s="49" t="str">
        <f>IFERROR(__xludf.DUMMYFUNCTION("""COMPUTED_VALUE"""),"")</f>
        <v/>
      </c>
      <c r="S153" s="49" t="str">
        <f>IFERROR(__xludf.DUMMYFUNCTION("""COMPUTED_VALUE"""),"")</f>
        <v/>
      </c>
      <c r="T153" s="49" t="str">
        <f>IFERROR(__xludf.DUMMYFUNCTION("""COMPUTED_VALUE"""),"")</f>
        <v/>
      </c>
      <c r="U153" s="49" t="str">
        <f>IFERROR(__xludf.DUMMYFUNCTION("""COMPUTED_VALUE"""),"")</f>
        <v/>
      </c>
      <c r="V153" s="49" t="str">
        <f>IFERROR(__xludf.DUMMYFUNCTION("""COMPUTED_VALUE"""),"")</f>
        <v/>
      </c>
      <c r="W153" s="49" t="str">
        <f>IFERROR(__xludf.DUMMYFUNCTION("""COMPUTED_VALUE"""),"")</f>
        <v/>
      </c>
      <c r="X153" s="49" t="str">
        <f>IFERROR(__xludf.DUMMYFUNCTION("""COMPUTED_VALUE"""),"")</f>
        <v/>
      </c>
      <c r="Y153" s="49" t="str">
        <f>IFERROR(__xludf.DUMMYFUNCTION("""COMPUTED_VALUE"""),"")</f>
        <v/>
      </c>
      <c r="Z153" s="49"/>
      <c r="AA153" s="49"/>
      <c r="AB153" s="49"/>
      <c r="AC153" s="49"/>
      <c r="AD153" s="49"/>
      <c r="AE153" s="49"/>
      <c r="AF153" s="49"/>
      <c r="AG153" s="49"/>
      <c r="AH153" s="49"/>
      <c r="AI153" s="49"/>
      <c r="AJ153" s="49"/>
      <c r="AK153" s="49"/>
      <c r="AL153" s="49"/>
      <c r="AM153" s="49"/>
      <c r="AN153" s="49"/>
      <c r="AO153" s="49"/>
      <c r="AP153" s="49"/>
      <c r="AQ153" s="49"/>
      <c r="AR153" s="49"/>
      <c r="AS153" s="49"/>
      <c r="AT153" s="49"/>
      <c r="AU153" s="49"/>
      <c r="AV153" s="49"/>
      <c r="AW153" s="49"/>
      <c r="AX153" s="49"/>
    </row>
    <row r="154">
      <c r="A154" s="49"/>
      <c r="B154" s="49"/>
      <c r="C154" s="49" t="str">
        <f>IFERROR(__xludf.DUMMYFUNCTION("""COMPUTED_VALUE"""),"")</f>
        <v/>
      </c>
      <c r="D154" s="49" t="str">
        <f>IFERROR(__xludf.DUMMYFUNCTION("""COMPUTED_VALUE"""),"")</f>
        <v/>
      </c>
      <c r="E154" s="49" t="str">
        <f>IFERROR(__xludf.DUMMYFUNCTION("""COMPUTED_VALUE"""),"")</f>
        <v/>
      </c>
      <c r="F154" s="49" t="str">
        <f>IFERROR(__xludf.DUMMYFUNCTION("""COMPUTED_VALUE"""),"")</f>
        <v/>
      </c>
      <c r="G154" s="49" t="str">
        <f>IFERROR(__xludf.DUMMYFUNCTION("""COMPUTED_VALUE"""),"")</f>
        <v/>
      </c>
      <c r="H154" s="49" t="str">
        <f>IFERROR(__xludf.DUMMYFUNCTION("""COMPUTED_VALUE"""),"")</f>
        <v/>
      </c>
      <c r="I154" s="49" t="str">
        <f>IFERROR(__xludf.DUMMYFUNCTION("""COMPUTED_VALUE"""),"")</f>
        <v/>
      </c>
      <c r="J154" s="49" t="str">
        <f>IFERROR(__xludf.DUMMYFUNCTION("""COMPUTED_VALUE"""),"")</f>
        <v/>
      </c>
      <c r="K154" s="49" t="str">
        <f>IFERROR(__xludf.DUMMYFUNCTION("""COMPUTED_VALUE"""),"")</f>
        <v/>
      </c>
      <c r="L154" s="49" t="str">
        <f>IFERROR(__xludf.DUMMYFUNCTION("""COMPUTED_VALUE"""),"")</f>
        <v/>
      </c>
      <c r="M154" s="49" t="str">
        <f>IFERROR(__xludf.DUMMYFUNCTION("""COMPUTED_VALUE"""),"")</f>
        <v/>
      </c>
      <c r="N154" s="49" t="str">
        <f>IFERROR(__xludf.DUMMYFUNCTION("""COMPUTED_VALUE"""),"")</f>
        <v/>
      </c>
      <c r="O154" s="49" t="str">
        <f>IFERROR(__xludf.DUMMYFUNCTION("""COMPUTED_VALUE"""),"")</f>
        <v/>
      </c>
      <c r="P154" s="49" t="str">
        <f>IFERROR(__xludf.DUMMYFUNCTION("""COMPUTED_VALUE"""),"")</f>
        <v/>
      </c>
      <c r="Q154" s="49" t="str">
        <f>IFERROR(__xludf.DUMMYFUNCTION("""COMPUTED_VALUE"""),"")</f>
        <v/>
      </c>
      <c r="R154" s="49" t="str">
        <f>IFERROR(__xludf.DUMMYFUNCTION("""COMPUTED_VALUE"""),"")</f>
        <v/>
      </c>
      <c r="S154" s="49" t="str">
        <f>IFERROR(__xludf.DUMMYFUNCTION("""COMPUTED_VALUE"""),"")</f>
        <v/>
      </c>
      <c r="T154" s="49" t="str">
        <f>IFERROR(__xludf.DUMMYFUNCTION("""COMPUTED_VALUE"""),"")</f>
        <v/>
      </c>
      <c r="U154" s="49" t="str">
        <f>IFERROR(__xludf.DUMMYFUNCTION("""COMPUTED_VALUE"""),"")</f>
        <v/>
      </c>
      <c r="V154" s="49" t="str">
        <f>IFERROR(__xludf.DUMMYFUNCTION("""COMPUTED_VALUE"""),"")</f>
        <v/>
      </c>
      <c r="W154" s="49" t="str">
        <f>IFERROR(__xludf.DUMMYFUNCTION("""COMPUTED_VALUE"""),"")</f>
        <v/>
      </c>
      <c r="X154" s="49" t="str">
        <f>IFERROR(__xludf.DUMMYFUNCTION("""COMPUTED_VALUE"""),"")</f>
        <v/>
      </c>
      <c r="Y154" s="49" t="str">
        <f>IFERROR(__xludf.DUMMYFUNCTION("""COMPUTED_VALUE"""),"")</f>
        <v/>
      </c>
      <c r="Z154" s="49"/>
      <c r="AA154" s="49"/>
      <c r="AB154" s="49"/>
      <c r="AC154" s="49"/>
      <c r="AD154" s="49"/>
      <c r="AE154" s="49"/>
      <c r="AF154" s="49"/>
      <c r="AG154" s="49"/>
      <c r="AH154" s="49"/>
      <c r="AI154" s="49"/>
      <c r="AJ154" s="49"/>
      <c r="AK154" s="49"/>
      <c r="AL154" s="49"/>
      <c r="AM154" s="49"/>
      <c r="AN154" s="49"/>
      <c r="AO154" s="49"/>
      <c r="AP154" s="49"/>
      <c r="AQ154" s="49"/>
      <c r="AR154" s="49"/>
      <c r="AS154" s="49"/>
      <c r="AT154" s="49"/>
      <c r="AU154" s="49"/>
      <c r="AV154" s="49"/>
      <c r="AW154" s="49"/>
      <c r="AX154" s="49"/>
    </row>
    <row r="155">
      <c r="A155" s="49"/>
      <c r="B155" s="49"/>
      <c r="C155" s="49" t="str">
        <f>IFERROR(__xludf.DUMMYFUNCTION("""COMPUTED_VALUE"""),"")</f>
        <v/>
      </c>
      <c r="D155" s="49" t="str">
        <f>IFERROR(__xludf.DUMMYFUNCTION("""COMPUTED_VALUE"""),"")</f>
        <v/>
      </c>
      <c r="E155" s="49" t="str">
        <f>IFERROR(__xludf.DUMMYFUNCTION("""COMPUTED_VALUE"""),"")</f>
        <v/>
      </c>
      <c r="F155" s="49" t="str">
        <f>IFERROR(__xludf.DUMMYFUNCTION("""COMPUTED_VALUE"""),"")</f>
        <v/>
      </c>
      <c r="G155" s="49" t="str">
        <f>IFERROR(__xludf.DUMMYFUNCTION("""COMPUTED_VALUE"""),"")</f>
        <v/>
      </c>
      <c r="H155" s="49" t="str">
        <f>IFERROR(__xludf.DUMMYFUNCTION("""COMPUTED_VALUE"""),"")</f>
        <v/>
      </c>
      <c r="I155" s="49" t="str">
        <f>IFERROR(__xludf.DUMMYFUNCTION("""COMPUTED_VALUE"""),"")</f>
        <v/>
      </c>
      <c r="J155" s="49" t="str">
        <f>IFERROR(__xludf.DUMMYFUNCTION("""COMPUTED_VALUE"""),"")</f>
        <v/>
      </c>
      <c r="K155" s="49" t="str">
        <f>IFERROR(__xludf.DUMMYFUNCTION("""COMPUTED_VALUE"""),"")</f>
        <v/>
      </c>
      <c r="L155" s="49" t="str">
        <f>IFERROR(__xludf.DUMMYFUNCTION("""COMPUTED_VALUE"""),"")</f>
        <v/>
      </c>
      <c r="M155" s="49" t="str">
        <f>IFERROR(__xludf.DUMMYFUNCTION("""COMPUTED_VALUE"""),"")</f>
        <v/>
      </c>
      <c r="N155" s="49" t="str">
        <f>IFERROR(__xludf.DUMMYFUNCTION("""COMPUTED_VALUE"""),"")</f>
        <v/>
      </c>
      <c r="O155" s="49" t="str">
        <f>IFERROR(__xludf.DUMMYFUNCTION("""COMPUTED_VALUE"""),"")</f>
        <v/>
      </c>
      <c r="P155" s="49" t="str">
        <f>IFERROR(__xludf.DUMMYFUNCTION("""COMPUTED_VALUE"""),"")</f>
        <v/>
      </c>
      <c r="Q155" s="49" t="str">
        <f>IFERROR(__xludf.DUMMYFUNCTION("""COMPUTED_VALUE"""),"")</f>
        <v/>
      </c>
      <c r="R155" s="49" t="str">
        <f>IFERROR(__xludf.DUMMYFUNCTION("""COMPUTED_VALUE"""),"")</f>
        <v/>
      </c>
      <c r="S155" s="49" t="str">
        <f>IFERROR(__xludf.DUMMYFUNCTION("""COMPUTED_VALUE"""),"")</f>
        <v/>
      </c>
      <c r="T155" s="49" t="str">
        <f>IFERROR(__xludf.DUMMYFUNCTION("""COMPUTED_VALUE"""),"")</f>
        <v/>
      </c>
      <c r="U155" s="49" t="str">
        <f>IFERROR(__xludf.DUMMYFUNCTION("""COMPUTED_VALUE"""),"")</f>
        <v/>
      </c>
      <c r="V155" s="49" t="str">
        <f>IFERROR(__xludf.DUMMYFUNCTION("""COMPUTED_VALUE"""),"")</f>
        <v/>
      </c>
      <c r="W155" s="49" t="str">
        <f>IFERROR(__xludf.DUMMYFUNCTION("""COMPUTED_VALUE"""),"")</f>
        <v/>
      </c>
      <c r="X155" s="49" t="str">
        <f>IFERROR(__xludf.DUMMYFUNCTION("""COMPUTED_VALUE"""),"")</f>
        <v/>
      </c>
      <c r="Y155" s="49" t="str">
        <f>IFERROR(__xludf.DUMMYFUNCTION("""COMPUTED_VALUE"""),"")</f>
        <v/>
      </c>
      <c r="Z155" s="49"/>
      <c r="AA155" s="49"/>
      <c r="AB155" s="49"/>
      <c r="AC155" s="49"/>
      <c r="AD155" s="49"/>
      <c r="AE155" s="49"/>
      <c r="AF155" s="49"/>
      <c r="AG155" s="49"/>
      <c r="AH155" s="49"/>
      <c r="AI155" s="49"/>
      <c r="AJ155" s="49"/>
      <c r="AK155" s="49"/>
      <c r="AL155" s="49"/>
      <c r="AM155" s="49"/>
      <c r="AN155" s="49"/>
      <c r="AO155" s="49"/>
      <c r="AP155" s="49"/>
      <c r="AQ155" s="49"/>
      <c r="AR155" s="49"/>
      <c r="AS155" s="49"/>
      <c r="AT155" s="49"/>
      <c r="AU155" s="49"/>
      <c r="AV155" s="49"/>
      <c r="AW155" s="49"/>
      <c r="AX155" s="49"/>
    </row>
    <row r="156">
      <c r="A156" s="49"/>
      <c r="B156" s="49"/>
      <c r="C156" s="49" t="str">
        <f>IFERROR(__xludf.DUMMYFUNCTION("""COMPUTED_VALUE"""),"")</f>
        <v/>
      </c>
      <c r="D156" s="49" t="str">
        <f>IFERROR(__xludf.DUMMYFUNCTION("""COMPUTED_VALUE"""),"")</f>
        <v/>
      </c>
      <c r="E156" s="49" t="str">
        <f>IFERROR(__xludf.DUMMYFUNCTION("""COMPUTED_VALUE"""),"")</f>
        <v/>
      </c>
      <c r="F156" s="49" t="str">
        <f>IFERROR(__xludf.DUMMYFUNCTION("""COMPUTED_VALUE"""),"")</f>
        <v/>
      </c>
      <c r="G156" s="49" t="str">
        <f>IFERROR(__xludf.DUMMYFUNCTION("""COMPUTED_VALUE"""),"")</f>
        <v/>
      </c>
      <c r="H156" s="49" t="str">
        <f>IFERROR(__xludf.DUMMYFUNCTION("""COMPUTED_VALUE"""),"")</f>
        <v/>
      </c>
      <c r="I156" s="49" t="str">
        <f>IFERROR(__xludf.DUMMYFUNCTION("""COMPUTED_VALUE"""),"")</f>
        <v/>
      </c>
      <c r="J156" s="49" t="str">
        <f>IFERROR(__xludf.DUMMYFUNCTION("""COMPUTED_VALUE"""),"")</f>
        <v/>
      </c>
      <c r="K156" s="49" t="str">
        <f>IFERROR(__xludf.DUMMYFUNCTION("""COMPUTED_VALUE"""),"")</f>
        <v/>
      </c>
      <c r="L156" s="49" t="str">
        <f>IFERROR(__xludf.DUMMYFUNCTION("""COMPUTED_VALUE"""),"")</f>
        <v/>
      </c>
      <c r="M156" s="49" t="str">
        <f>IFERROR(__xludf.DUMMYFUNCTION("""COMPUTED_VALUE"""),"")</f>
        <v/>
      </c>
      <c r="N156" s="49" t="str">
        <f>IFERROR(__xludf.DUMMYFUNCTION("""COMPUTED_VALUE"""),"")</f>
        <v/>
      </c>
      <c r="O156" s="49" t="str">
        <f>IFERROR(__xludf.DUMMYFUNCTION("""COMPUTED_VALUE"""),"")</f>
        <v/>
      </c>
      <c r="P156" s="49" t="str">
        <f>IFERROR(__xludf.DUMMYFUNCTION("""COMPUTED_VALUE"""),"")</f>
        <v/>
      </c>
      <c r="Q156" s="49" t="str">
        <f>IFERROR(__xludf.DUMMYFUNCTION("""COMPUTED_VALUE"""),"")</f>
        <v/>
      </c>
      <c r="R156" s="49" t="str">
        <f>IFERROR(__xludf.DUMMYFUNCTION("""COMPUTED_VALUE"""),"")</f>
        <v/>
      </c>
      <c r="S156" s="49" t="str">
        <f>IFERROR(__xludf.DUMMYFUNCTION("""COMPUTED_VALUE"""),"")</f>
        <v/>
      </c>
      <c r="T156" s="49" t="str">
        <f>IFERROR(__xludf.DUMMYFUNCTION("""COMPUTED_VALUE"""),"")</f>
        <v/>
      </c>
      <c r="U156" s="49" t="str">
        <f>IFERROR(__xludf.DUMMYFUNCTION("""COMPUTED_VALUE"""),"")</f>
        <v/>
      </c>
      <c r="V156" s="49" t="str">
        <f>IFERROR(__xludf.DUMMYFUNCTION("""COMPUTED_VALUE"""),"")</f>
        <v/>
      </c>
      <c r="W156" s="49" t="str">
        <f>IFERROR(__xludf.DUMMYFUNCTION("""COMPUTED_VALUE"""),"")</f>
        <v/>
      </c>
      <c r="X156" s="49" t="str">
        <f>IFERROR(__xludf.DUMMYFUNCTION("""COMPUTED_VALUE"""),"")</f>
        <v/>
      </c>
      <c r="Y156" s="49" t="str">
        <f>IFERROR(__xludf.DUMMYFUNCTION("""COMPUTED_VALUE"""),"")</f>
        <v/>
      </c>
      <c r="Z156" s="49"/>
      <c r="AA156" s="49"/>
      <c r="AB156" s="49"/>
      <c r="AC156" s="49"/>
      <c r="AD156" s="49"/>
      <c r="AE156" s="49"/>
      <c r="AF156" s="49"/>
      <c r="AG156" s="49"/>
      <c r="AH156" s="49"/>
      <c r="AI156" s="49"/>
      <c r="AJ156" s="49"/>
      <c r="AK156" s="49"/>
      <c r="AL156" s="49"/>
      <c r="AM156" s="49"/>
      <c r="AN156" s="49"/>
      <c r="AO156" s="49"/>
      <c r="AP156" s="49"/>
      <c r="AQ156" s="49"/>
      <c r="AR156" s="49"/>
      <c r="AS156" s="49"/>
      <c r="AT156" s="49"/>
      <c r="AU156" s="49"/>
      <c r="AV156" s="49"/>
      <c r="AW156" s="49"/>
      <c r="AX156" s="49"/>
    </row>
    <row r="157">
      <c r="A157" s="49"/>
      <c r="B157" s="49"/>
      <c r="C157" s="49" t="str">
        <f>IFERROR(__xludf.DUMMYFUNCTION("""COMPUTED_VALUE"""),"")</f>
        <v/>
      </c>
      <c r="D157" s="49" t="str">
        <f>IFERROR(__xludf.DUMMYFUNCTION("""COMPUTED_VALUE"""),"")</f>
        <v/>
      </c>
      <c r="E157" s="49" t="str">
        <f>IFERROR(__xludf.DUMMYFUNCTION("""COMPUTED_VALUE"""),"")</f>
        <v/>
      </c>
      <c r="F157" s="49" t="str">
        <f>IFERROR(__xludf.DUMMYFUNCTION("""COMPUTED_VALUE"""),"")</f>
        <v/>
      </c>
      <c r="G157" s="49" t="str">
        <f>IFERROR(__xludf.DUMMYFUNCTION("""COMPUTED_VALUE"""),"")</f>
        <v/>
      </c>
      <c r="H157" s="49" t="str">
        <f>IFERROR(__xludf.DUMMYFUNCTION("""COMPUTED_VALUE"""),"")</f>
        <v/>
      </c>
      <c r="I157" s="49" t="str">
        <f>IFERROR(__xludf.DUMMYFUNCTION("""COMPUTED_VALUE"""),"")</f>
        <v/>
      </c>
      <c r="J157" s="49" t="str">
        <f>IFERROR(__xludf.DUMMYFUNCTION("""COMPUTED_VALUE"""),"")</f>
        <v/>
      </c>
      <c r="K157" s="49" t="str">
        <f>IFERROR(__xludf.DUMMYFUNCTION("""COMPUTED_VALUE"""),"")</f>
        <v/>
      </c>
      <c r="L157" s="49" t="str">
        <f>IFERROR(__xludf.DUMMYFUNCTION("""COMPUTED_VALUE"""),"")</f>
        <v/>
      </c>
      <c r="M157" s="49" t="str">
        <f>IFERROR(__xludf.DUMMYFUNCTION("""COMPUTED_VALUE"""),"")</f>
        <v/>
      </c>
      <c r="N157" s="49" t="str">
        <f>IFERROR(__xludf.DUMMYFUNCTION("""COMPUTED_VALUE"""),"")</f>
        <v/>
      </c>
      <c r="O157" s="49" t="str">
        <f>IFERROR(__xludf.DUMMYFUNCTION("""COMPUTED_VALUE"""),"")</f>
        <v/>
      </c>
      <c r="P157" s="49" t="str">
        <f>IFERROR(__xludf.DUMMYFUNCTION("""COMPUTED_VALUE"""),"")</f>
        <v/>
      </c>
      <c r="Q157" s="49" t="str">
        <f>IFERROR(__xludf.DUMMYFUNCTION("""COMPUTED_VALUE"""),"")</f>
        <v/>
      </c>
      <c r="R157" s="49" t="str">
        <f>IFERROR(__xludf.DUMMYFUNCTION("""COMPUTED_VALUE"""),"")</f>
        <v/>
      </c>
      <c r="S157" s="49" t="str">
        <f>IFERROR(__xludf.DUMMYFUNCTION("""COMPUTED_VALUE"""),"")</f>
        <v/>
      </c>
      <c r="T157" s="49" t="str">
        <f>IFERROR(__xludf.DUMMYFUNCTION("""COMPUTED_VALUE"""),"")</f>
        <v/>
      </c>
      <c r="U157" s="49" t="str">
        <f>IFERROR(__xludf.DUMMYFUNCTION("""COMPUTED_VALUE"""),"")</f>
        <v/>
      </c>
      <c r="V157" s="49" t="str">
        <f>IFERROR(__xludf.DUMMYFUNCTION("""COMPUTED_VALUE"""),"")</f>
        <v/>
      </c>
      <c r="W157" s="49" t="str">
        <f>IFERROR(__xludf.DUMMYFUNCTION("""COMPUTED_VALUE"""),"")</f>
        <v/>
      </c>
      <c r="X157" s="49" t="str">
        <f>IFERROR(__xludf.DUMMYFUNCTION("""COMPUTED_VALUE"""),"")</f>
        <v/>
      </c>
      <c r="Y157" s="49" t="str">
        <f>IFERROR(__xludf.DUMMYFUNCTION("""COMPUTED_VALUE"""),"")</f>
        <v/>
      </c>
      <c r="Z157" s="49"/>
      <c r="AA157" s="49"/>
      <c r="AB157" s="49"/>
      <c r="AC157" s="49"/>
      <c r="AD157" s="49"/>
      <c r="AE157" s="49"/>
      <c r="AF157" s="49"/>
      <c r="AG157" s="49"/>
      <c r="AH157" s="49"/>
      <c r="AI157" s="49"/>
      <c r="AJ157" s="49"/>
      <c r="AK157" s="49"/>
      <c r="AL157" s="49"/>
      <c r="AM157" s="49"/>
      <c r="AN157" s="49"/>
      <c r="AO157" s="49"/>
      <c r="AP157" s="49"/>
      <c r="AQ157" s="49"/>
      <c r="AR157" s="49"/>
      <c r="AS157" s="49"/>
      <c r="AT157" s="49"/>
      <c r="AU157" s="49"/>
      <c r="AV157" s="49"/>
      <c r="AW157" s="49"/>
      <c r="AX157" s="49"/>
    </row>
    <row r="158">
      <c r="A158" s="49"/>
      <c r="B158" s="49"/>
      <c r="C158" s="49" t="str">
        <f>IFERROR(__xludf.DUMMYFUNCTION("""COMPUTED_VALUE"""),"")</f>
        <v/>
      </c>
      <c r="D158" s="49" t="str">
        <f>IFERROR(__xludf.DUMMYFUNCTION("""COMPUTED_VALUE"""),"")</f>
        <v/>
      </c>
      <c r="E158" s="49" t="str">
        <f>IFERROR(__xludf.DUMMYFUNCTION("""COMPUTED_VALUE"""),"")</f>
        <v/>
      </c>
      <c r="F158" s="49" t="str">
        <f>IFERROR(__xludf.DUMMYFUNCTION("""COMPUTED_VALUE"""),"")</f>
        <v/>
      </c>
      <c r="G158" s="49" t="str">
        <f>IFERROR(__xludf.DUMMYFUNCTION("""COMPUTED_VALUE"""),"")</f>
        <v/>
      </c>
      <c r="H158" s="49" t="str">
        <f>IFERROR(__xludf.DUMMYFUNCTION("""COMPUTED_VALUE"""),"")</f>
        <v/>
      </c>
      <c r="I158" s="49" t="str">
        <f>IFERROR(__xludf.DUMMYFUNCTION("""COMPUTED_VALUE"""),"")</f>
        <v/>
      </c>
      <c r="J158" s="49" t="str">
        <f>IFERROR(__xludf.DUMMYFUNCTION("""COMPUTED_VALUE"""),"")</f>
        <v/>
      </c>
      <c r="K158" s="49" t="str">
        <f>IFERROR(__xludf.DUMMYFUNCTION("""COMPUTED_VALUE"""),"")</f>
        <v/>
      </c>
      <c r="L158" s="49" t="str">
        <f>IFERROR(__xludf.DUMMYFUNCTION("""COMPUTED_VALUE"""),"")</f>
        <v/>
      </c>
      <c r="M158" s="49" t="str">
        <f>IFERROR(__xludf.DUMMYFUNCTION("""COMPUTED_VALUE"""),"")</f>
        <v/>
      </c>
      <c r="N158" s="49" t="str">
        <f>IFERROR(__xludf.DUMMYFUNCTION("""COMPUTED_VALUE"""),"")</f>
        <v/>
      </c>
      <c r="O158" s="49" t="str">
        <f>IFERROR(__xludf.DUMMYFUNCTION("""COMPUTED_VALUE"""),"")</f>
        <v/>
      </c>
      <c r="P158" s="49" t="str">
        <f>IFERROR(__xludf.DUMMYFUNCTION("""COMPUTED_VALUE"""),"")</f>
        <v/>
      </c>
      <c r="Q158" s="49" t="str">
        <f>IFERROR(__xludf.DUMMYFUNCTION("""COMPUTED_VALUE"""),"")</f>
        <v/>
      </c>
      <c r="R158" s="49" t="str">
        <f>IFERROR(__xludf.DUMMYFUNCTION("""COMPUTED_VALUE"""),"")</f>
        <v/>
      </c>
      <c r="S158" s="49" t="str">
        <f>IFERROR(__xludf.DUMMYFUNCTION("""COMPUTED_VALUE"""),"")</f>
        <v/>
      </c>
      <c r="T158" s="49" t="str">
        <f>IFERROR(__xludf.DUMMYFUNCTION("""COMPUTED_VALUE"""),"")</f>
        <v/>
      </c>
      <c r="U158" s="49" t="str">
        <f>IFERROR(__xludf.DUMMYFUNCTION("""COMPUTED_VALUE"""),"")</f>
        <v/>
      </c>
      <c r="V158" s="49" t="str">
        <f>IFERROR(__xludf.DUMMYFUNCTION("""COMPUTED_VALUE"""),"")</f>
        <v/>
      </c>
      <c r="W158" s="49" t="str">
        <f>IFERROR(__xludf.DUMMYFUNCTION("""COMPUTED_VALUE"""),"")</f>
        <v/>
      </c>
      <c r="X158" s="49" t="str">
        <f>IFERROR(__xludf.DUMMYFUNCTION("""COMPUTED_VALUE"""),"")</f>
        <v/>
      </c>
      <c r="Y158" s="49" t="str">
        <f>IFERROR(__xludf.DUMMYFUNCTION("""COMPUTED_VALUE"""),"")</f>
        <v/>
      </c>
      <c r="Z158" s="49"/>
      <c r="AA158" s="49"/>
      <c r="AB158" s="49"/>
      <c r="AC158" s="49"/>
      <c r="AD158" s="49"/>
      <c r="AE158" s="49"/>
      <c r="AF158" s="49"/>
      <c r="AG158" s="49"/>
      <c r="AH158" s="49"/>
      <c r="AI158" s="49"/>
      <c r="AJ158" s="49"/>
      <c r="AK158" s="49"/>
      <c r="AL158" s="49"/>
      <c r="AM158" s="49"/>
      <c r="AN158" s="49"/>
      <c r="AO158" s="49"/>
      <c r="AP158" s="49"/>
      <c r="AQ158" s="49"/>
      <c r="AR158" s="49"/>
      <c r="AS158" s="49"/>
      <c r="AT158" s="49"/>
      <c r="AU158" s="49"/>
      <c r="AV158" s="49"/>
      <c r="AW158" s="49"/>
      <c r="AX158" s="49"/>
    </row>
    <row r="159">
      <c r="A159" s="49"/>
      <c r="B159" s="49"/>
      <c r="C159" s="49" t="str">
        <f>IFERROR(__xludf.DUMMYFUNCTION("""COMPUTED_VALUE"""),"")</f>
        <v/>
      </c>
      <c r="D159" s="49" t="str">
        <f>IFERROR(__xludf.DUMMYFUNCTION("""COMPUTED_VALUE"""),"")</f>
        <v/>
      </c>
      <c r="E159" s="49" t="str">
        <f>IFERROR(__xludf.DUMMYFUNCTION("""COMPUTED_VALUE"""),"")</f>
        <v/>
      </c>
      <c r="F159" s="49" t="str">
        <f>IFERROR(__xludf.DUMMYFUNCTION("""COMPUTED_VALUE"""),"")</f>
        <v/>
      </c>
      <c r="G159" s="49" t="str">
        <f>IFERROR(__xludf.DUMMYFUNCTION("""COMPUTED_VALUE"""),"")</f>
        <v/>
      </c>
      <c r="H159" s="49" t="str">
        <f>IFERROR(__xludf.DUMMYFUNCTION("""COMPUTED_VALUE"""),"")</f>
        <v/>
      </c>
      <c r="I159" s="49" t="str">
        <f>IFERROR(__xludf.DUMMYFUNCTION("""COMPUTED_VALUE"""),"")</f>
        <v/>
      </c>
      <c r="J159" s="49" t="str">
        <f>IFERROR(__xludf.DUMMYFUNCTION("""COMPUTED_VALUE"""),"")</f>
        <v/>
      </c>
      <c r="K159" s="49" t="str">
        <f>IFERROR(__xludf.DUMMYFUNCTION("""COMPUTED_VALUE"""),"")</f>
        <v/>
      </c>
      <c r="L159" s="49" t="str">
        <f>IFERROR(__xludf.DUMMYFUNCTION("""COMPUTED_VALUE"""),"")</f>
        <v/>
      </c>
      <c r="M159" s="49" t="str">
        <f>IFERROR(__xludf.DUMMYFUNCTION("""COMPUTED_VALUE"""),"")</f>
        <v/>
      </c>
      <c r="N159" s="49" t="str">
        <f>IFERROR(__xludf.DUMMYFUNCTION("""COMPUTED_VALUE"""),"")</f>
        <v/>
      </c>
      <c r="O159" s="49" t="str">
        <f>IFERROR(__xludf.DUMMYFUNCTION("""COMPUTED_VALUE"""),"")</f>
        <v/>
      </c>
      <c r="P159" s="49" t="str">
        <f>IFERROR(__xludf.DUMMYFUNCTION("""COMPUTED_VALUE"""),"")</f>
        <v/>
      </c>
      <c r="Q159" s="49" t="str">
        <f>IFERROR(__xludf.DUMMYFUNCTION("""COMPUTED_VALUE"""),"")</f>
        <v/>
      </c>
      <c r="R159" s="49" t="str">
        <f>IFERROR(__xludf.DUMMYFUNCTION("""COMPUTED_VALUE"""),"")</f>
        <v/>
      </c>
      <c r="S159" s="49" t="str">
        <f>IFERROR(__xludf.DUMMYFUNCTION("""COMPUTED_VALUE"""),"")</f>
        <v/>
      </c>
      <c r="T159" s="49" t="str">
        <f>IFERROR(__xludf.DUMMYFUNCTION("""COMPUTED_VALUE"""),"")</f>
        <v/>
      </c>
      <c r="U159" s="49" t="str">
        <f>IFERROR(__xludf.DUMMYFUNCTION("""COMPUTED_VALUE"""),"")</f>
        <v/>
      </c>
      <c r="V159" s="49" t="str">
        <f>IFERROR(__xludf.DUMMYFUNCTION("""COMPUTED_VALUE"""),"")</f>
        <v/>
      </c>
      <c r="W159" s="49" t="str">
        <f>IFERROR(__xludf.DUMMYFUNCTION("""COMPUTED_VALUE"""),"")</f>
        <v/>
      </c>
      <c r="X159" s="49" t="str">
        <f>IFERROR(__xludf.DUMMYFUNCTION("""COMPUTED_VALUE"""),"")</f>
        <v/>
      </c>
      <c r="Y159" s="49" t="str">
        <f>IFERROR(__xludf.DUMMYFUNCTION("""COMPUTED_VALUE"""),"")</f>
        <v/>
      </c>
      <c r="Z159" s="49"/>
      <c r="AA159" s="49"/>
      <c r="AB159" s="49"/>
      <c r="AC159" s="49"/>
      <c r="AD159" s="49"/>
      <c r="AE159" s="49"/>
      <c r="AF159" s="49"/>
      <c r="AG159" s="49"/>
      <c r="AH159" s="49"/>
      <c r="AI159" s="49"/>
      <c r="AJ159" s="49"/>
      <c r="AK159" s="49"/>
      <c r="AL159" s="49"/>
      <c r="AM159" s="49"/>
      <c r="AN159" s="49"/>
      <c r="AO159" s="49"/>
      <c r="AP159" s="49"/>
      <c r="AQ159" s="49"/>
      <c r="AR159" s="49"/>
      <c r="AS159" s="49"/>
      <c r="AT159" s="49"/>
      <c r="AU159" s="49"/>
      <c r="AV159" s="49"/>
      <c r="AW159" s="49"/>
      <c r="AX159" s="49"/>
    </row>
    <row r="160">
      <c r="A160" s="49"/>
      <c r="B160" s="49"/>
      <c r="C160" s="49" t="str">
        <f>IFERROR(__xludf.DUMMYFUNCTION("""COMPUTED_VALUE"""),"")</f>
        <v/>
      </c>
      <c r="D160" s="49" t="str">
        <f>IFERROR(__xludf.DUMMYFUNCTION("""COMPUTED_VALUE"""),"")</f>
        <v/>
      </c>
      <c r="E160" s="49" t="str">
        <f>IFERROR(__xludf.DUMMYFUNCTION("""COMPUTED_VALUE"""),"")</f>
        <v/>
      </c>
      <c r="F160" s="49" t="str">
        <f>IFERROR(__xludf.DUMMYFUNCTION("""COMPUTED_VALUE"""),"")</f>
        <v/>
      </c>
      <c r="G160" s="49" t="str">
        <f>IFERROR(__xludf.DUMMYFUNCTION("""COMPUTED_VALUE"""),"")</f>
        <v/>
      </c>
      <c r="H160" s="49" t="str">
        <f>IFERROR(__xludf.DUMMYFUNCTION("""COMPUTED_VALUE"""),"")</f>
        <v/>
      </c>
      <c r="I160" s="49" t="str">
        <f>IFERROR(__xludf.DUMMYFUNCTION("""COMPUTED_VALUE"""),"")</f>
        <v/>
      </c>
      <c r="J160" s="49" t="str">
        <f>IFERROR(__xludf.DUMMYFUNCTION("""COMPUTED_VALUE"""),"")</f>
        <v/>
      </c>
      <c r="K160" s="49" t="str">
        <f>IFERROR(__xludf.DUMMYFUNCTION("""COMPUTED_VALUE"""),"")</f>
        <v/>
      </c>
      <c r="L160" s="49" t="str">
        <f>IFERROR(__xludf.DUMMYFUNCTION("""COMPUTED_VALUE"""),"")</f>
        <v/>
      </c>
      <c r="M160" s="49" t="str">
        <f>IFERROR(__xludf.DUMMYFUNCTION("""COMPUTED_VALUE"""),"")</f>
        <v/>
      </c>
      <c r="N160" s="49" t="str">
        <f>IFERROR(__xludf.DUMMYFUNCTION("""COMPUTED_VALUE"""),"")</f>
        <v/>
      </c>
      <c r="O160" s="49" t="str">
        <f>IFERROR(__xludf.DUMMYFUNCTION("""COMPUTED_VALUE"""),"")</f>
        <v/>
      </c>
      <c r="P160" s="49" t="str">
        <f>IFERROR(__xludf.DUMMYFUNCTION("""COMPUTED_VALUE"""),"")</f>
        <v/>
      </c>
      <c r="Q160" s="49" t="str">
        <f>IFERROR(__xludf.DUMMYFUNCTION("""COMPUTED_VALUE"""),"")</f>
        <v/>
      </c>
      <c r="R160" s="49" t="str">
        <f>IFERROR(__xludf.DUMMYFUNCTION("""COMPUTED_VALUE"""),"")</f>
        <v/>
      </c>
      <c r="S160" s="49" t="str">
        <f>IFERROR(__xludf.DUMMYFUNCTION("""COMPUTED_VALUE"""),"")</f>
        <v/>
      </c>
      <c r="T160" s="49" t="str">
        <f>IFERROR(__xludf.DUMMYFUNCTION("""COMPUTED_VALUE"""),"")</f>
        <v/>
      </c>
      <c r="U160" s="49" t="str">
        <f>IFERROR(__xludf.DUMMYFUNCTION("""COMPUTED_VALUE"""),"")</f>
        <v/>
      </c>
      <c r="V160" s="49" t="str">
        <f>IFERROR(__xludf.DUMMYFUNCTION("""COMPUTED_VALUE"""),"")</f>
        <v/>
      </c>
      <c r="W160" s="49" t="str">
        <f>IFERROR(__xludf.DUMMYFUNCTION("""COMPUTED_VALUE"""),"")</f>
        <v/>
      </c>
      <c r="X160" s="49" t="str">
        <f>IFERROR(__xludf.DUMMYFUNCTION("""COMPUTED_VALUE"""),"")</f>
        <v/>
      </c>
      <c r="Y160" s="49" t="str">
        <f>IFERROR(__xludf.DUMMYFUNCTION("""COMPUTED_VALUE"""),"")</f>
        <v/>
      </c>
      <c r="Z160" s="49"/>
      <c r="AA160" s="49"/>
      <c r="AB160" s="49"/>
      <c r="AC160" s="49"/>
      <c r="AD160" s="49"/>
      <c r="AE160" s="49"/>
      <c r="AF160" s="49"/>
      <c r="AG160" s="49"/>
      <c r="AH160" s="49"/>
      <c r="AI160" s="49"/>
      <c r="AJ160" s="49"/>
      <c r="AK160" s="49"/>
      <c r="AL160" s="49"/>
      <c r="AM160" s="49"/>
      <c r="AN160" s="49"/>
      <c r="AO160" s="49"/>
      <c r="AP160" s="49"/>
      <c r="AQ160" s="49"/>
      <c r="AR160" s="49"/>
      <c r="AS160" s="49"/>
      <c r="AT160" s="49"/>
      <c r="AU160" s="49"/>
      <c r="AV160" s="49"/>
      <c r="AW160" s="49"/>
      <c r="AX160" s="49"/>
    </row>
    <row r="161">
      <c r="A161" s="49"/>
      <c r="B161" s="49"/>
      <c r="C161" s="49" t="str">
        <f>IFERROR(__xludf.DUMMYFUNCTION("""COMPUTED_VALUE"""),"")</f>
        <v/>
      </c>
      <c r="D161" s="49" t="str">
        <f>IFERROR(__xludf.DUMMYFUNCTION("""COMPUTED_VALUE"""),"")</f>
        <v/>
      </c>
      <c r="E161" s="49" t="str">
        <f>IFERROR(__xludf.DUMMYFUNCTION("""COMPUTED_VALUE"""),"")</f>
        <v/>
      </c>
      <c r="F161" s="49" t="str">
        <f>IFERROR(__xludf.DUMMYFUNCTION("""COMPUTED_VALUE"""),"")</f>
        <v/>
      </c>
      <c r="G161" s="49" t="str">
        <f>IFERROR(__xludf.DUMMYFUNCTION("""COMPUTED_VALUE"""),"")</f>
        <v/>
      </c>
      <c r="H161" s="49" t="str">
        <f>IFERROR(__xludf.DUMMYFUNCTION("""COMPUTED_VALUE"""),"")</f>
        <v/>
      </c>
      <c r="I161" s="49" t="str">
        <f>IFERROR(__xludf.DUMMYFUNCTION("""COMPUTED_VALUE"""),"")</f>
        <v/>
      </c>
      <c r="J161" s="49" t="str">
        <f>IFERROR(__xludf.DUMMYFUNCTION("""COMPUTED_VALUE"""),"")</f>
        <v/>
      </c>
      <c r="K161" s="49" t="str">
        <f>IFERROR(__xludf.DUMMYFUNCTION("""COMPUTED_VALUE"""),"")</f>
        <v/>
      </c>
      <c r="L161" s="49" t="str">
        <f>IFERROR(__xludf.DUMMYFUNCTION("""COMPUTED_VALUE"""),"")</f>
        <v/>
      </c>
      <c r="M161" s="49" t="str">
        <f>IFERROR(__xludf.DUMMYFUNCTION("""COMPUTED_VALUE"""),"")</f>
        <v/>
      </c>
      <c r="N161" s="49" t="str">
        <f>IFERROR(__xludf.DUMMYFUNCTION("""COMPUTED_VALUE"""),"")</f>
        <v/>
      </c>
      <c r="O161" s="49" t="str">
        <f>IFERROR(__xludf.DUMMYFUNCTION("""COMPUTED_VALUE"""),"")</f>
        <v/>
      </c>
      <c r="P161" s="49" t="str">
        <f>IFERROR(__xludf.DUMMYFUNCTION("""COMPUTED_VALUE"""),"")</f>
        <v/>
      </c>
      <c r="Q161" s="49" t="str">
        <f>IFERROR(__xludf.DUMMYFUNCTION("""COMPUTED_VALUE"""),"")</f>
        <v/>
      </c>
      <c r="R161" s="49" t="str">
        <f>IFERROR(__xludf.DUMMYFUNCTION("""COMPUTED_VALUE"""),"")</f>
        <v/>
      </c>
      <c r="S161" s="49" t="str">
        <f>IFERROR(__xludf.DUMMYFUNCTION("""COMPUTED_VALUE"""),"")</f>
        <v/>
      </c>
      <c r="T161" s="49" t="str">
        <f>IFERROR(__xludf.DUMMYFUNCTION("""COMPUTED_VALUE"""),"")</f>
        <v/>
      </c>
      <c r="U161" s="49" t="str">
        <f>IFERROR(__xludf.DUMMYFUNCTION("""COMPUTED_VALUE"""),"")</f>
        <v/>
      </c>
      <c r="V161" s="49" t="str">
        <f>IFERROR(__xludf.DUMMYFUNCTION("""COMPUTED_VALUE"""),"")</f>
        <v/>
      </c>
      <c r="W161" s="49" t="str">
        <f>IFERROR(__xludf.DUMMYFUNCTION("""COMPUTED_VALUE"""),"")</f>
        <v/>
      </c>
      <c r="X161" s="49" t="str">
        <f>IFERROR(__xludf.DUMMYFUNCTION("""COMPUTED_VALUE"""),"")</f>
        <v/>
      </c>
      <c r="Y161" s="49" t="str">
        <f>IFERROR(__xludf.DUMMYFUNCTION("""COMPUTED_VALUE"""),"")</f>
        <v/>
      </c>
      <c r="Z161" s="49"/>
      <c r="AA161" s="49"/>
      <c r="AB161" s="49"/>
      <c r="AC161" s="49"/>
      <c r="AD161" s="49"/>
      <c r="AE161" s="49"/>
      <c r="AF161" s="49"/>
      <c r="AG161" s="49"/>
      <c r="AH161" s="49"/>
      <c r="AI161" s="49"/>
      <c r="AJ161" s="49"/>
      <c r="AK161" s="49"/>
      <c r="AL161" s="49"/>
      <c r="AM161" s="49"/>
      <c r="AN161" s="49"/>
      <c r="AO161" s="49"/>
      <c r="AP161" s="49"/>
      <c r="AQ161" s="49"/>
      <c r="AR161" s="49"/>
      <c r="AS161" s="49"/>
      <c r="AT161" s="49"/>
      <c r="AU161" s="49"/>
      <c r="AV161" s="49"/>
      <c r="AW161" s="49"/>
      <c r="AX161" s="49"/>
    </row>
    <row r="162">
      <c r="A162" s="49"/>
      <c r="B162" s="49"/>
      <c r="C162" s="49" t="str">
        <f>IFERROR(__xludf.DUMMYFUNCTION("""COMPUTED_VALUE"""),"")</f>
        <v/>
      </c>
      <c r="D162" s="49" t="str">
        <f>IFERROR(__xludf.DUMMYFUNCTION("""COMPUTED_VALUE"""),"")</f>
        <v/>
      </c>
      <c r="E162" s="49" t="str">
        <f>IFERROR(__xludf.DUMMYFUNCTION("""COMPUTED_VALUE"""),"")</f>
        <v/>
      </c>
      <c r="F162" s="49" t="str">
        <f>IFERROR(__xludf.DUMMYFUNCTION("""COMPUTED_VALUE"""),"")</f>
        <v/>
      </c>
      <c r="G162" s="49" t="str">
        <f>IFERROR(__xludf.DUMMYFUNCTION("""COMPUTED_VALUE"""),"")</f>
        <v/>
      </c>
      <c r="H162" s="49" t="str">
        <f>IFERROR(__xludf.DUMMYFUNCTION("""COMPUTED_VALUE"""),"")</f>
        <v/>
      </c>
      <c r="I162" s="49" t="str">
        <f>IFERROR(__xludf.DUMMYFUNCTION("""COMPUTED_VALUE"""),"")</f>
        <v/>
      </c>
      <c r="J162" s="49" t="str">
        <f>IFERROR(__xludf.DUMMYFUNCTION("""COMPUTED_VALUE"""),"")</f>
        <v/>
      </c>
      <c r="K162" s="49" t="str">
        <f>IFERROR(__xludf.DUMMYFUNCTION("""COMPUTED_VALUE"""),"")</f>
        <v/>
      </c>
      <c r="L162" s="49" t="str">
        <f>IFERROR(__xludf.DUMMYFUNCTION("""COMPUTED_VALUE"""),"")</f>
        <v/>
      </c>
      <c r="M162" s="49" t="str">
        <f>IFERROR(__xludf.DUMMYFUNCTION("""COMPUTED_VALUE"""),"")</f>
        <v/>
      </c>
      <c r="N162" s="49" t="str">
        <f>IFERROR(__xludf.DUMMYFUNCTION("""COMPUTED_VALUE"""),"")</f>
        <v/>
      </c>
      <c r="O162" s="49" t="str">
        <f>IFERROR(__xludf.DUMMYFUNCTION("""COMPUTED_VALUE"""),"")</f>
        <v/>
      </c>
      <c r="P162" s="49" t="str">
        <f>IFERROR(__xludf.DUMMYFUNCTION("""COMPUTED_VALUE"""),"")</f>
        <v/>
      </c>
      <c r="Q162" s="49" t="str">
        <f>IFERROR(__xludf.DUMMYFUNCTION("""COMPUTED_VALUE"""),"")</f>
        <v/>
      </c>
      <c r="R162" s="49" t="str">
        <f>IFERROR(__xludf.DUMMYFUNCTION("""COMPUTED_VALUE"""),"")</f>
        <v/>
      </c>
      <c r="S162" s="49" t="str">
        <f>IFERROR(__xludf.DUMMYFUNCTION("""COMPUTED_VALUE"""),"")</f>
        <v/>
      </c>
      <c r="T162" s="49" t="str">
        <f>IFERROR(__xludf.DUMMYFUNCTION("""COMPUTED_VALUE"""),"")</f>
        <v/>
      </c>
      <c r="U162" s="49" t="str">
        <f>IFERROR(__xludf.DUMMYFUNCTION("""COMPUTED_VALUE"""),"")</f>
        <v/>
      </c>
      <c r="V162" s="49" t="str">
        <f>IFERROR(__xludf.DUMMYFUNCTION("""COMPUTED_VALUE"""),"")</f>
        <v/>
      </c>
      <c r="W162" s="49" t="str">
        <f>IFERROR(__xludf.DUMMYFUNCTION("""COMPUTED_VALUE"""),"")</f>
        <v/>
      </c>
      <c r="X162" s="49" t="str">
        <f>IFERROR(__xludf.DUMMYFUNCTION("""COMPUTED_VALUE"""),"")</f>
        <v/>
      </c>
      <c r="Y162" s="49" t="str">
        <f>IFERROR(__xludf.DUMMYFUNCTION("""COMPUTED_VALUE"""),"")</f>
        <v/>
      </c>
      <c r="Z162" s="49"/>
      <c r="AA162" s="49"/>
      <c r="AB162" s="49"/>
      <c r="AC162" s="49"/>
      <c r="AD162" s="49"/>
      <c r="AE162" s="49"/>
      <c r="AF162" s="49"/>
      <c r="AG162" s="49"/>
      <c r="AH162" s="49"/>
      <c r="AI162" s="49"/>
      <c r="AJ162" s="49"/>
      <c r="AK162" s="49"/>
      <c r="AL162" s="49"/>
      <c r="AM162" s="49"/>
      <c r="AN162" s="49"/>
      <c r="AO162" s="49"/>
      <c r="AP162" s="49"/>
      <c r="AQ162" s="49"/>
      <c r="AR162" s="49"/>
      <c r="AS162" s="49"/>
      <c r="AT162" s="49"/>
      <c r="AU162" s="49"/>
      <c r="AV162" s="49"/>
      <c r="AW162" s="49"/>
      <c r="AX162" s="49"/>
    </row>
    <row r="163">
      <c r="A163" s="49"/>
      <c r="B163" s="49"/>
      <c r="C163" s="49" t="str">
        <f>IFERROR(__xludf.DUMMYFUNCTION("""COMPUTED_VALUE"""),"")</f>
        <v/>
      </c>
      <c r="D163" s="49" t="str">
        <f>IFERROR(__xludf.DUMMYFUNCTION("""COMPUTED_VALUE"""),"")</f>
        <v/>
      </c>
      <c r="E163" s="49" t="str">
        <f>IFERROR(__xludf.DUMMYFUNCTION("""COMPUTED_VALUE"""),"")</f>
        <v/>
      </c>
      <c r="F163" s="49" t="str">
        <f>IFERROR(__xludf.DUMMYFUNCTION("""COMPUTED_VALUE"""),"")</f>
        <v/>
      </c>
      <c r="G163" s="49" t="str">
        <f>IFERROR(__xludf.DUMMYFUNCTION("""COMPUTED_VALUE"""),"")</f>
        <v/>
      </c>
      <c r="H163" s="49" t="str">
        <f>IFERROR(__xludf.DUMMYFUNCTION("""COMPUTED_VALUE"""),"")</f>
        <v/>
      </c>
      <c r="I163" s="49" t="str">
        <f>IFERROR(__xludf.DUMMYFUNCTION("""COMPUTED_VALUE"""),"")</f>
        <v/>
      </c>
      <c r="J163" s="49" t="str">
        <f>IFERROR(__xludf.DUMMYFUNCTION("""COMPUTED_VALUE"""),"")</f>
        <v/>
      </c>
      <c r="K163" s="49" t="str">
        <f>IFERROR(__xludf.DUMMYFUNCTION("""COMPUTED_VALUE"""),"")</f>
        <v/>
      </c>
      <c r="L163" s="49" t="str">
        <f>IFERROR(__xludf.DUMMYFUNCTION("""COMPUTED_VALUE"""),"")</f>
        <v/>
      </c>
      <c r="M163" s="49" t="str">
        <f>IFERROR(__xludf.DUMMYFUNCTION("""COMPUTED_VALUE"""),"")</f>
        <v/>
      </c>
      <c r="N163" s="49" t="str">
        <f>IFERROR(__xludf.DUMMYFUNCTION("""COMPUTED_VALUE"""),"")</f>
        <v/>
      </c>
      <c r="O163" s="49" t="str">
        <f>IFERROR(__xludf.DUMMYFUNCTION("""COMPUTED_VALUE"""),"")</f>
        <v/>
      </c>
      <c r="P163" s="49" t="str">
        <f>IFERROR(__xludf.DUMMYFUNCTION("""COMPUTED_VALUE"""),"")</f>
        <v/>
      </c>
      <c r="Q163" s="49" t="str">
        <f>IFERROR(__xludf.DUMMYFUNCTION("""COMPUTED_VALUE"""),"")</f>
        <v/>
      </c>
      <c r="R163" s="49" t="str">
        <f>IFERROR(__xludf.DUMMYFUNCTION("""COMPUTED_VALUE"""),"")</f>
        <v/>
      </c>
      <c r="S163" s="49" t="str">
        <f>IFERROR(__xludf.DUMMYFUNCTION("""COMPUTED_VALUE"""),"")</f>
        <v/>
      </c>
      <c r="T163" s="49" t="str">
        <f>IFERROR(__xludf.DUMMYFUNCTION("""COMPUTED_VALUE"""),"")</f>
        <v/>
      </c>
      <c r="U163" s="49" t="str">
        <f>IFERROR(__xludf.DUMMYFUNCTION("""COMPUTED_VALUE"""),"")</f>
        <v/>
      </c>
      <c r="V163" s="49" t="str">
        <f>IFERROR(__xludf.DUMMYFUNCTION("""COMPUTED_VALUE"""),"")</f>
        <v/>
      </c>
      <c r="W163" s="49" t="str">
        <f>IFERROR(__xludf.DUMMYFUNCTION("""COMPUTED_VALUE"""),"")</f>
        <v/>
      </c>
      <c r="X163" s="49" t="str">
        <f>IFERROR(__xludf.DUMMYFUNCTION("""COMPUTED_VALUE"""),"")</f>
        <v/>
      </c>
      <c r="Y163" s="49" t="str">
        <f>IFERROR(__xludf.DUMMYFUNCTION("""COMPUTED_VALUE"""),"")</f>
        <v/>
      </c>
      <c r="Z163" s="49"/>
      <c r="AA163" s="49"/>
      <c r="AB163" s="49"/>
      <c r="AC163" s="49"/>
      <c r="AD163" s="49"/>
      <c r="AE163" s="49"/>
      <c r="AF163" s="49"/>
      <c r="AG163" s="49"/>
      <c r="AH163" s="49"/>
      <c r="AI163" s="49"/>
      <c r="AJ163" s="49"/>
      <c r="AK163" s="49"/>
      <c r="AL163" s="49"/>
      <c r="AM163" s="49"/>
      <c r="AN163" s="49"/>
      <c r="AO163" s="49"/>
      <c r="AP163" s="49"/>
      <c r="AQ163" s="49"/>
      <c r="AR163" s="49"/>
      <c r="AS163" s="49"/>
      <c r="AT163" s="49"/>
      <c r="AU163" s="49"/>
      <c r="AV163" s="49"/>
      <c r="AW163" s="49"/>
      <c r="AX163" s="49"/>
    </row>
    <row r="164">
      <c r="A164" s="49"/>
      <c r="B164" s="49"/>
      <c r="C164" s="49" t="str">
        <f>IFERROR(__xludf.DUMMYFUNCTION("""COMPUTED_VALUE"""),"")</f>
        <v/>
      </c>
      <c r="D164" s="49" t="str">
        <f>IFERROR(__xludf.DUMMYFUNCTION("""COMPUTED_VALUE"""),"")</f>
        <v/>
      </c>
      <c r="E164" s="49" t="str">
        <f>IFERROR(__xludf.DUMMYFUNCTION("""COMPUTED_VALUE"""),"")</f>
        <v/>
      </c>
      <c r="F164" s="49" t="str">
        <f>IFERROR(__xludf.DUMMYFUNCTION("""COMPUTED_VALUE"""),"")</f>
        <v/>
      </c>
      <c r="G164" s="49" t="str">
        <f>IFERROR(__xludf.DUMMYFUNCTION("""COMPUTED_VALUE"""),"")</f>
        <v/>
      </c>
      <c r="H164" s="49" t="str">
        <f>IFERROR(__xludf.DUMMYFUNCTION("""COMPUTED_VALUE"""),"")</f>
        <v/>
      </c>
      <c r="I164" s="49" t="str">
        <f>IFERROR(__xludf.DUMMYFUNCTION("""COMPUTED_VALUE"""),"")</f>
        <v/>
      </c>
      <c r="J164" s="49" t="str">
        <f>IFERROR(__xludf.DUMMYFUNCTION("""COMPUTED_VALUE"""),"")</f>
        <v/>
      </c>
      <c r="K164" s="49" t="str">
        <f>IFERROR(__xludf.DUMMYFUNCTION("""COMPUTED_VALUE"""),"")</f>
        <v/>
      </c>
      <c r="L164" s="49" t="str">
        <f>IFERROR(__xludf.DUMMYFUNCTION("""COMPUTED_VALUE"""),"")</f>
        <v/>
      </c>
      <c r="M164" s="49" t="str">
        <f>IFERROR(__xludf.DUMMYFUNCTION("""COMPUTED_VALUE"""),"")</f>
        <v/>
      </c>
      <c r="N164" s="49" t="str">
        <f>IFERROR(__xludf.DUMMYFUNCTION("""COMPUTED_VALUE"""),"")</f>
        <v/>
      </c>
      <c r="O164" s="49" t="str">
        <f>IFERROR(__xludf.DUMMYFUNCTION("""COMPUTED_VALUE"""),"")</f>
        <v/>
      </c>
      <c r="P164" s="49" t="str">
        <f>IFERROR(__xludf.DUMMYFUNCTION("""COMPUTED_VALUE"""),"")</f>
        <v/>
      </c>
      <c r="Q164" s="49" t="str">
        <f>IFERROR(__xludf.DUMMYFUNCTION("""COMPUTED_VALUE"""),"")</f>
        <v/>
      </c>
      <c r="R164" s="49" t="str">
        <f>IFERROR(__xludf.DUMMYFUNCTION("""COMPUTED_VALUE"""),"")</f>
        <v/>
      </c>
      <c r="S164" s="49" t="str">
        <f>IFERROR(__xludf.DUMMYFUNCTION("""COMPUTED_VALUE"""),"")</f>
        <v/>
      </c>
      <c r="T164" s="49" t="str">
        <f>IFERROR(__xludf.DUMMYFUNCTION("""COMPUTED_VALUE"""),"")</f>
        <v/>
      </c>
      <c r="U164" s="49" t="str">
        <f>IFERROR(__xludf.DUMMYFUNCTION("""COMPUTED_VALUE"""),"")</f>
        <v/>
      </c>
      <c r="V164" s="49" t="str">
        <f>IFERROR(__xludf.DUMMYFUNCTION("""COMPUTED_VALUE"""),"")</f>
        <v/>
      </c>
      <c r="W164" s="49" t="str">
        <f>IFERROR(__xludf.DUMMYFUNCTION("""COMPUTED_VALUE"""),"")</f>
        <v/>
      </c>
      <c r="X164" s="49" t="str">
        <f>IFERROR(__xludf.DUMMYFUNCTION("""COMPUTED_VALUE"""),"")</f>
        <v/>
      </c>
      <c r="Y164" s="49" t="str">
        <f>IFERROR(__xludf.DUMMYFUNCTION("""COMPUTED_VALUE"""),"")</f>
        <v/>
      </c>
      <c r="Z164" s="49"/>
      <c r="AA164" s="49"/>
      <c r="AB164" s="49"/>
      <c r="AC164" s="49"/>
      <c r="AD164" s="49"/>
      <c r="AE164" s="49"/>
      <c r="AF164" s="49"/>
      <c r="AG164" s="49"/>
      <c r="AH164" s="49"/>
      <c r="AI164" s="49"/>
      <c r="AJ164" s="49"/>
      <c r="AK164" s="49"/>
      <c r="AL164" s="49"/>
      <c r="AM164" s="49"/>
      <c r="AN164" s="49"/>
      <c r="AO164" s="49"/>
      <c r="AP164" s="49"/>
      <c r="AQ164" s="49"/>
      <c r="AR164" s="49"/>
      <c r="AS164" s="49"/>
      <c r="AT164" s="49"/>
      <c r="AU164" s="49"/>
      <c r="AV164" s="49"/>
      <c r="AW164" s="49"/>
      <c r="AX164" s="49"/>
    </row>
    <row r="165">
      <c r="A165" s="49"/>
      <c r="B165" s="49"/>
      <c r="C165" s="49" t="str">
        <f>IFERROR(__xludf.DUMMYFUNCTION("""COMPUTED_VALUE"""),"")</f>
        <v/>
      </c>
      <c r="D165" s="49" t="str">
        <f>IFERROR(__xludf.DUMMYFUNCTION("""COMPUTED_VALUE"""),"")</f>
        <v/>
      </c>
      <c r="E165" s="49" t="str">
        <f>IFERROR(__xludf.DUMMYFUNCTION("""COMPUTED_VALUE"""),"")</f>
        <v/>
      </c>
      <c r="F165" s="49" t="str">
        <f>IFERROR(__xludf.DUMMYFUNCTION("""COMPUTED_VALUE"""),"")</f>
        <v/>
      </c>
      <c r="G165" s="49" t="str">
        <f>IFERROR(__xludf.DUMMYFUNCTION("""COMPUTED_VALUE"""),"")</f>
        <v/>
      </c>
      <c r="H165" s="49" t="str">
        <f>IFERROR(__xludf.DUMMYFUNCTION("""COMPUTED_VALUE"""),"")</f>
        <v/>
      </c>
      <c r="I165" s="49" t="str">
        <f>IFERROR(__xludf.DUMMYFUNCTION("""COMPUTED_VALUE"""),"")</f>
        <v/>
      </c>
      <c r="J165" s="49" t="str">
        <f>IFERROR(__xludf.DUMMYFUNCTION("""COMPUTED_VALUE"""),"")</f>
        <v/>
      </c>
      <c r="K165" s="49" t="str">
        <f>IFERROR(__xludf.DUMMYFUNCTION("""COMPUTED_VALUE"""),"")</f>
        <v/>
      </c>
      <c r="L165" s="49" t="str">
        <f>IFERROR(__xludf.DUMMYFUNCTION("""COMPUTED_VALUE"""),"")</f>
        <v/>
      </c>
      <c r="M165" s="49" t="str">
        <f>IFERROR(__xludf.DUMMYFUNCTION("""COMPUTED_VALUE"""),"")</f>
        <v/>
      </c>
      <c r="N165" s="49" t="str">
        <f>IFERROR(__xludf.DUMMYFUNCTION("""COMPUTED_VALUE"""),"")</f>
        <v/>
      </c>
      <c r="O165" s="49" t="str">
        <f>IFERROR(__xludf.DUMMYFUNCTION("""COMPUTED_VALUE"""),"")</f>
        <v/>
      </c>
      <c r="P165" s="49" t="str">
        <f>IFERROR(__xludf.DUMMYFUNCTION("""COMPUTED_VALUE"""),"")</f>
        <v/>
      </c>
      <c r="Q165" s="49" t="str">
        <f>IFERROR(__xludf.DUMMYFUNCTION("""COMPUTED_VALUE"""),"")</f>
        <v/>
      </c>
      <c r="R165" s="49" t="str">
        <f>IFERROR(__xludf.DUMMYFUNCTION("""COMPUTED_VALUE"""),"")</f>
        <v/>
      </c>
      <c r="S165" s="49" t="str">
        <f>IFERROR(__xludf.DUMMYFUNCTION("""COMPUTED_VALUE"""),"")</f>
        <v/>
      </c>
      <c r="T165" s="49" t="str">
        <f>IFERROR(__xludf.DUMMYFUNCTION("""COMPUTED_VALUE"""),"")</f>
        <v/>
      </c>
      <c r="U165" s="49" t="str">
        <f>IFERROR(__xludf.DUMMYFUNCTION("""COMPUTED_VALUE"""),"")</f>
        <v/>
      </c>
      <c r="V165" s="49" t="str">
        <f>IFERROR(__xludf.DUMMYFUNCTION("""COMPUTED_VALUE"""),"")</f>
        <v/>
      </c>
      <c r="W165" s="49" t="str">
        <f>IFERROR(__xludf.DUMMYFUNCTION("""COMPUTED_VALUE"""),"")</f>
        <v/>
      </c>
      <c r="X165" s="49" t="str">
        <f>IFERROR(__xludf.DUMMYFUNCTION("""COMPUTED_VALUE"""),"")</f>
        <v/>
      </c>
      <c r="Y165" s="49" t="str">
        <f>IFERROR(__xludf.DUMMYFUNCTION("""COMPUTED_VALUE"""),"")</f>
        <v/>
      </c>
      <c r="Z165" s="49"/>
      <c r="AA165" s="49"/>
      <c r="AB165" s="49"/>
      <c r="AC165" s="49"/>
      <c r="AD165" s="49"/>
      <c r="AE165" s="49"/>
      <c r="AF165" s="49"/>
      <c r="AG165" s="49"/>
      <c r="AH165" s="49"/>
      <c r="AI165" s="49"/>
      <c r="AJ165" s="49"/>
      <c r="AK165" s="49"/>
      <c r="AL165" s="49"/>
      <c r="AM165" s="49"/>
      <c r="AN165" s="49"/>
      <c r="AO165" s="49"/>
      <c r="AP165" s="49"/>
      <c r="AQ165" s="49"/>
      <c r="AR165" s="49"/>
      <c r="AS165" s="49"/>
      <c r="AT165" s="49"/>
      <c r="AU165" s="49"/>
      <c r="AV165" s="49"/>
      <c r="AW165" s="49"/>
      <c r="AX165" s="49"/>
    </row>
    <row r="166">
      <c r="A166" s="49"/>
      <c r="B166" s="49"/>
      <c r="C166" s="49" t="str">
        <f>IFERROR(__xludf.DUMMYFUNCTION("""COMPUTED_VALUE"""),"")</f>
        <v/>
      </c>
      <c r="D166" s="49" t="str">
        <f>IFERROR(__xludf.DUMMYFUNCTION("""COMPUTED_VALUE"""),"")</f>
        <v/>
      </c>
      <c r="E166" s="49" t="str">
        <f>IFERROR(__xludf.DUMMYFUNCTION("""COMPUTED_VALUE"""),"")</f>
        <v/>
      </c>
      <c r="F166" s="49" t="str">
        <f>IFERROR(__xludf.DUMMYFUNCTION("""COMPUTED_VALUE"""),"")</f>
        <v/>
      </c>
      <c r="G166" s="49" t="str">
        <f>IFERROR(__xludf.DUMMYFUNCTION("""COMPUTED_VALUE"""),"")</f>
        <v/>
      </c>
      <c r="H166" s="49" t="str">
        <f>IFERROR(__xludf.DUMMYFUNCTION("""COMPUTED_VALUE"""),"")</f>
        <v/>
      </c>
      <c r="I166" s="49" t="str">
        <f>IFERROR(__xludf.DUMMYFUNCTION("""COMPUTED_VALUE"""),"")</f>
        <v/>
      </c>
      <c r="J166" s="49" t="str">
        <f>IFERROR(__xludf.DUMMYFUNCTION("""COMPUTED_VALUE"""),"")</f>
        <v/>
      </c>
      <c r="K166" s="49" t="str">
        <f>IFERROR(__xludf.DUMMYFUNCTION("""COMPUTED_VALUE"""),"")</f>
        <v/>
      </c>
      <c r="L166" s="49" t="str">
        <f>IFERROR(__xludf.DUMMYFUNCTION("""COMPUTED_VALUE"""),"")</f>
        <v/>
      </c>
      <c r="M166" s="49" t="str">
        <f>IFERROR(__xludf.DUMMYFUNCTION("""COMPUTED_VALUE"""),"")</f>
        <v/>
      </c>
      <c r="N166" s="49" t="str">
        <f>IFERROR(__xludf.DUMMYFUNCTION("""COMPUTED_VALUE"""),"")</f>
        <v/>
      </c>
      <c r="O166" s="49" t="str">
        <f>IFERROR(__xludf.DUMMYFUNCTION("""COMPUTED_VALUE"""),"")</f>
        <v/>
      </c>
      <c r="P166" s="49" t="str">
        <f>IFERROR(__xludf.DUMMYFUNCTION("""COMPUTED_VALUE"""),"")</f>
        <v/>
      </c>
      <c r="Q166" s="49" t="str">
        <f>IFERROR(__xludf.DUMMYFUNCTION("""COMPUTED_VALUE"""),"")</f>
        <v/>
      </c>
      <c r="R166" s="49" t="str">
        <f>IFERROR(__xludf.DUMMYFUNCTION("""COMPUTED_VALUE"""),"")</f>
        <v/>
      </c>
      <c r="S166" s="49" t="str">
        <f>IFERROR(__xludf.DUMMYFUNCTION("""COMPUTED_VALUE"""),"")</f>
        <v/>
      </c>
      <c r="T166" s="49" t="str">
        <f>IFERROR(__xludf.DUMMYFUNCTION("""COMPUTED_VALUE"""),"")</f>
        <v/>
      </c>
      <c r="U166" s="49" t="str">
        <f>IFERROR(__xludf.DUMMYFUNCTION("""COMPUTED_VALUE"""),"")</f>
        <v/>
      </c>
      <c r="V166" s="49" t="str">
        <f>IFERROR(__xludf.DUMMYFUNCTION("""COMPUTED_VALUE"""),"")</f>
        <v/>
      </c>
      <c r="W166" s="49" t="str">
        <f>IFERROR(__xludf.DUMMYFUNCTION("""COMPUTED_VALUE"""),"")</f>
        <v/>
      </c>
      <c r="X166" s="49" t="str">
        <f>IFERROR(__xludf.DUMMYFUNCTION("""COMPUTED_VALUE"""),"")</f>
        <v/>
      </c>
      <c r="Y166" s="49" t="str">
        <f>IFERROR(__xludf.DUMMYFUNCTION("""COMPUTED_VALUE"""),"")</f>
        <v/>
      </c>
      <c r="Z166" s="49"/>
      <c r="AA166" s="49"/>
      <c r="AB166" s="49"/>
      <c r="AC166" s="49"/>
      <c r="AD166" s="49"/>
      <c r="AE166" s="49"/>
      <c r="AF166" s="49"/>
      <c r="AG166" s="49"/>
      <c r="AH166" s="49"/>
      <c r="AI166" s="49"/>
      <c r="AJ166" s="49"/>
      <c r="AK166" s="49"/>
      <c r="AL166" s="49"/>
      <c r="AM166" s="49"/>
      <c r="AN166" s="49"/>
      <c r="AO166" s="49"/>
      <c r="AP166" s="49"/>
      <c r="AQ166" s="49"/>
      <c r="AR166" s="49"/>
      <c r="AS166" s="49"/>
      <c r="AT166" s="49"/>
      <c r="AU166" s="49"/>
      <c r="AV166" s="49"/>
      <c r="AW166" s="49"/>
      <c r="AX166" s="49"/>
    </row>
    <row r="167">
      <c r="A167" s="49"/>
      <c r="B167" s="49"/>
      <c r="C167" s="49" t="str">
        <f>IFERROR(__xludf.DUMMYFUNCTION("""COMPUTED_VALUE"""),"")</f>
        <v/>
      </c>
      <c r="D167" s="49" t="str">
        <f>IFERROR(__xludf.DUMMYFUNCTION("""COMPUTED_VALUE"""),"")</f>
        <v/>
      </c>
      <c r="E167" s="49" t="str">
        <f>IFERROR(__xludf.DUMMYFUNCTION("""COMPUTED_VALUE"""),"")</f>
        <v/>
      </c>
      <c r="F167" s="49" t="str">
        <f>IFERROR(__xludf.DUMMYFUNCTION("""COMPUTED_VALUE"""),"")</f>
        <v/>
      </c>
      <c r="G167" s="49" t="str">
        <f>IFERROR(__xludf.DUMMYFUNCTION("""COMPUTED_VALUE"""),"")</f>
        <v/>
      </c>
      <c r="H167" s="49" t="str">
        <f>IFERROR(__xludf.DUMMYFUNCTION("""COMPUTED_VALUE"""),"")</f>
        <v/>
      </c>
      <c r="I167" s="49" t="str">
        <f>IFERROR(__xludf.DUMMYFUNCTION("""COMPUTED_VALUE"""),"")</f>
        <v/>
      </c>
      <c r="J167" s="49" t="str">
        <f>IFERROR(__xludf.DUMMYFUNCTION("""COMPUTED_VALUE"""),"")</f>
        <v/>
      </c>
      <c r="K167" s="49" t="str">
        <f>IFERROR(__xludf.DUMMYFUNCTION("""COMPUTED_VALUE"""),"")</f>
        <v/>
      </c>
      <c r="L167" s="49" t="str">
        <f>IFERROR(__xludf.DUMMYFUNCTION("""COMPUTED_VALUE"""),"")</f>
        <v/>
      </c>
      <c r="M167" s="49" t="str">
        <f>IFERROR(__xludf.DUMMYFUNCTION("""COMPUTED_VALUE"""),"")</f>
        <v/>
      </c>
      <c r="N167" s="49" t="str">
        <f>IFERROR(__xludf.DUMMYFUNCTION("""COMPUTED_VALUE"""),"")</f>
        <v/>
      </c>
      <c r="O167" s="49" t="str">
        <f>IFERROR(__xludf.DUMMYFUNCTION("""COMPUTED_VALUE"""),"")</f>
        <v/>
      </c>
      <c r="P167" s="49" t="str">
        <f>IFERROR(__xludf.DUMMYFUNCTION("""COMPUTED_VALUE"""),"")</f>
        <v/>
      </c>
      <c r="Q167" s="49" t="str">
        <f>IFERROR(__xludf.DUMMYFUNCTION("""COMPUTED_VALUE"""),"")</f>
        <v/>
      </c>
      <c r="R167" s="49" t="str">
        <f>IFERROR(__xludf.DUMMYFUNCTION("""COMPUTED_VALUE"""),"")</f>
        <v/>
      </c>
      <c r="S167" s="49" t="str">
        <f>IFERROR(__xludf.DUMMYFUNCTION("""COMPUTED_VALUE"""),"")</f>
        <v/>
      </c>
      <c r="T167" s="49" t="str">
        <f>IFERROR(__xludf.DUMMYFUNCTION("""COMPUTED_VALUE"""),"")</f>
        <v/>
      </c>
      <c r="U167" s="49" t="str">
        <f>IFERROR(__xludf.DUMMYFUNCTION("""COMPUTED_VALUE"""),"")</f>
        <v/>
      </c>
      <c r="V167" s="49" t="str">
        <f>IFERROR(__xludf.DUMMYFUNCTION("""COMPUTED_VALUE"""),"")</f>
        <v/>
      </c>
      <c r="W167" s="49" t="str">
        <f>IFERROR(__xludf.DUMMYFUNCTION("""COMPUTED_VALUE"""),"")</f>
        <v/>
      </c>
      <c r="X167" s="49" t="str">
        <f>IFERROR(__xludf.DUMMYFUNCTION("""COMPUTED_VALUE"""),"")</f>
        <v/>
      </c>
      <c r="Y167" s="49" t="str">
        <f>IFERROR(__xludf.DUMMYFUNCTION("""COMPUTED_VALUE"""),"")</f>
        <v/>
      </c>
      <c r="Z167" s="49"/>
      <c r="AA167" s="49"/>
      <c r="AB167" s="49"/>
      <c r="AC167" s="49"/>
      <c r="AD167" s="49"/>
      <c r="AE167" s="49"/>
      <c r="AF167" s="49"/>
      <c r="AG167" s="49"/>
      <c r="AH167" s="49"/>
      <c r="AI167" s="49"/>
      <c r="AJ167" s="49"/>
      <c r="AK167" s="49"/>
      <c r="AL167" s="49"/>
      <c r="AM167" s="49"/>
      <c r="AN167" s="49"/>
      <c r="AO167" s="49"/>
      <c r="AP167" s="49"/>
      <c r="AQ167" s="49"/>
      <c r="AR167" s="49"/>
      <c r="AS167" s="49"/>
      <c r="AT167" s="49"/>
      <c r="AU167" s="49"/>
      <c r="AV167" s="49"/>
      <c r="AW167" s="49"/>
      <c r="AX167" s="49"/>
    </row>
    <row r="168">
      <c r="A168" s="49"/>
      <c r="B168" s="49"/>
      <c r="C168" s="49" t="str">
        <f>IFERROR(__xludf.DUMMYFUNCTION("""COMPUTED_VALUE"""),"")</f>
        <v/>
      </c>
      <c r="D168" s="49" t="str">
        <f>IFERROR(__xludf.DUMMYFUNCTION("""COMPUTED_VALUE"""),"")</f>
        <v/>
      </c>
      <c r="E168" s="49" t="str">
        <f>IFERROR(__xludf.DUMMYFUNCTION("""COMPUTED_VALUE"""),"")</f>
        <v/>
      </c>
      <c r="F168" s="49" t="str">
        <f>IFERROR(__xludf.DUMMYFUNCTION("""COMPUTED_VALUE"""),"")</f>
        <v/>
      </c>
      <c r="G168" s="49" t="str">
        <f>IFERROR(__xludf.DUMMYFUNCTION("""COMPUTED_VALUE"""),"")</f>
        <v/>
      </c>
      <c r="H168" s="49" t="str">
        <f>IFERROR(__xludf.DUMMYFUNCTION("""COMPUTED_VALUE"""),"")</f>
        <v/>
      </c>
      <c r="I168" s="49" t="str">
        <f>IFERROR(__xludf.DUMMYFUNCTION("""COMPUTED_VALUE"""),"")</f>
        <v/>
      </c>
      <c r="J168" s="49" t="str">
        <f>IFERROR(__xludf.DUMMYFUNCTION("""COMPUTED_VALUE"""),"")</f>
        <v/>
      </c>
      <c r="K168" s="49" t="str">
        <f>IFERROR(__xludf.DUMMYFUNCTION("""COMPUTED_VALUE"""),"")</f>
        <v/>
      </c>
      <c r="L168" s="49" t="str">
        <f>IFERROR(__xludf.DUMMYFUNCTION("""COMPUTED_VALUE"""),"")</f>
        <v/>
      </c>
      <c r="M168" s="49" t="str">
        <f>IFERROR(__xludf.DUMMYFUNCTION("""COMPUTED_VALUE"""),"")</f>
        <v/>
      </c>
      <c r="N168" s="49" t="str">
        <f>IFERROR(__xludf.DUMMYFUNCTION("""COMPUTED_VALUE"""),"")</f>
        <v/>
      </c>
      <c r="O168" s="49" t="str">
        <f>IFERROR(__xludf.DUMMYFUNCTION("""COMPUTED_VALUE"""),"")</f>
        <v/>
      </c>
      <c r="P168" s="49" t="str">
        <f>IFERROR(__xludf.DUMMYFUNCTION("""COMPUTED_VALUE"""),"")</f>
        <v/>
      </c>
      <c r="Q168" s="49" t="str">
        <f>IFERROR(__xludf.DUMMYFUNCTION("""COMPUTED_VALUE"""),"")</f>
        <v/>
      </c>
      <c r="R168" s="49" t="str">
        <f>IFERROR(__xludf.DUMMYFUNCTION("""COMPUTED_VALUE"""),"")</f>
        <v/>
      </c>
      <c r="S168" s="49" t="str">
        <f>IFERROR(__xludf.DUMMYFUNCTION("""COMPUTED_VALUE"""),"")</f>
        <v/>
      </c>
      <c r="T168" s="49" t="str">
        <f>IFERROR(__xludf.DUMMYFUNCTION("""COMPUTED_VALUE"""),"")</f>
        <v/>
      </c>
      <c r="U168" s="49" t="str">
        <f>IFERROR(__xludf.DUMMYFUNCTION("""COMPUTED_VALUE"""),"")</f>
        <v/>
      </c>
      <c r="V168" s="49" t="str">
        <f>IFERROR(__xludf.DUMMYFUNCTION("""COMPUTED_VALUE"""),"")</f>
        <v/>
      </c>
      <c r="W168" s="49" t="str">
        <f>IFERROR(__xludf.DUMMYFUNCTION("""COMPUTED_VALUE"""),"")</f>
        <v/>
      </c>
      <c r="X168" s="49" t="str">
        <f>IFERROR(__xludf.DUMMYFUNCTION("""COMPUTED_VALUE"""),"")</f>
        <v/>
      </c>
      <c r="Y168" s="49" t="str">
        <f>IFERROR(__xludf.DUMMYFUNCTION("""COMPUTED_VALUE"""),"")</f>
        <v/>
      </c>
      <c r="Z168" s="49"/>
      <c r="AA168" s="49"/>
      <c r="AB168" s="49"/>
      <c r="AC168" s="49"/>
      <c r="AD168" s="49"/>
      <c r="AE168" s="49"/>
      <c r="AF168" s="49"/>
      <c r="AG168" s="49"/>
      <c r="AH168" s="49"/>
      <c r="AI168" s="49"/>
      <c r="AJ168" s="49"/>
      <c r="AK168" s="49"/>
      <c r="AL168" s="49"/>
      <c r="AM168" s="49"/>
      <c r="AN168" s="49"/>
      <c r="AO168" s="49"/>
      <c r="AP168" s="49"/>
      <c r="AQ168" s="49"/>
      <c r="AR168" s="49"/>
      <c r="AS168" s="49"/>
      <c r="AT168" s="49"/>
      <c r="AU168" s="49"/>
      <c r="AV168" s="49"/>
      <c r="AW168" s="49"/>
      <c r="AX168" s="49"/>
    </row>
    <row r="169">
      <c r="A169" s="49"/>
      <c r="B169" s="49"/>
      <c r="C169" s="49" t="str">
        <f>IFERROR(__xludf.DUMMYFUNCTION("""COMPUTED_VALUE"""),"")</f>
        <v/>
      </c>
      <c r="D169" s="49" t="str">
        <f>IFERROR(__xludf.DUMMYFUNCTION("""COMPUTED_VALUE"""),"")</f>
        <v/>
      </c>
      <c r="E169" s="49" t="str">
        <f>IFERROR(__xludf.DUMMYFUNCTION("""COMPUTED_VALUE"""),"")</f>
        <v/>
      </c>
      <c r="F169" s="49" t="str">
        <f>IFERROR(__xludf.DUMMYFUNCTION("""COMPUTED_VALUE"""),"")</f>
        <v/>
      </c>
      <c r="G169" s="49" t="str">
        <f>IFERROR(__xludf.DUMMYFUNCTION("""COMPUTED_VALUE"""),"")</f>
        <v/>
      </c>
      <c r="H169" s="49" t="str">
        <f>IFERROR(__xludf.DUMMYFUNCTION("""COMPUTED_VALUE"""),"")</f>
        <v/>
      </c>
      <c r="I169" s="49" t="str">
        <f>IFERROR(__xludf.DUMMYFUNCTION("""COMPUTED_VALUE"""),"")</f>
        <v/>
      </c>
      <c r="J169" s="49" t="str">
        <f>IFERROR(__xludf.DUMMYFUNCTION("""COMPUTED_VALUE"""),"")</f>
        <v/>
      </c>
      <c r="K169" s="49" t="str">
        <f>IFERROR(__xludf.DUMMYFUNCTION("""COMPUTED_VALUE"""),"")</f>
        <v/>
      </c>
      <c r="L169" s="49" t="str">
        <f>IFERROR(__xludf.DUMMYFUNCTION("""COMPUTED_VALUE"""),"")</f>
        <v/>
      </c>
      <c r="M169" s="49" t="str">
        <f>IFERROR(__xludf.DUMMYFUNCTION("""COMPUTED_VALUE"""),"")</f>
        <v/>
      </c>
      <c r="N169" s="49" t="str">
        <f>IFERROR(__xludf.DUMMYFUNCTION("""COMPUTED_VALUE"""),"")</f>
        <v/>
      </c>
      <c r="O169" s="49" t="str">
        <f>IFERROR(__xludf.DUMMYFUNCTION("""COMPUTED_VALUE"""),"")</f>
        <v/>
      </c>
      <c r="P169" s="49" t="str">
        <f>IFERROR(__xludf.DUMMYFUNCTION("""COMPUTED_VALUE"""),"")</f>
        <v/>
      </c>
      <c r="Q169" s="49" t="str">
        <f>IFERROR(__xludf.DUMMYFUNCTION("""COMPUTED_VALUE"""),"")</f>
        <v/>
      </c>
      <c r="R169" s="49" t="str">
        <f>IFERROR(__xludf.DUMMYFUNCTION("""COMPUTED_VALUE"""),"")</f>
        <v/>
      </c>
      <c r="S169" s="49" t="str">
        <f>IFERROR(__xludf.DUMMYFUNCTION("""COMPUTED_VALUE"""),"")</f>
        <v/>
      </c>
      <c r="T169" s="49" t="str">
        <f>IFERROR(__xludf.DUMMYFUNCTION("""COMPUTED_VALUE"""),"")</f>
        <v/>
      </c>
      <c r="U169" s="49" t="str">
        <f>IFERROR(__xludf.DUMMYFUNCTION("""COMPUTED_VALUE"""),"")</f>
        <v/>
      </c>
      <c r="V169" s="49" t="str">
        <f>IFERROR(__xludf.DUMMYFUNCTION("""COMPUTED_VALUE"""),"")</f>
        <v/>
      </c>
      <c r="W169" s="49" t="str">
        <f>IFERROR(__xludf.DUMMYFUNCTION("""COMPUTED_VALUE"""),"")</f>
        <v/>
      </c>
      <c r="X169" s="49" t="str">
        <f>IFERROR(__xludf.DUMMYFUNCTION("""COMPUTED_VALUE"""),"")</f>
        <v/>
      </c>
      <c r="Y169" s="49" t="str">
        <f>IFERROR(__xludf.DUMMYFUNCTION("""COMPUTED_VALUE"""),"")</f>
        <v/>
      </c>
      <c r="Z169" s="49"/>
      <c r="AA169" s="49"/>
      <c r="AB169" s="49"/>
      <c r="AC169" s="49"/>
      <c r="AD169" s="49"/>
      <c r="AE169" s="49"/>
      <c r="AF169" s="49"/>
      <c r="AG169" s="49"/>
      <c r="AH169" s="49"/>
      <c r="AI169" s="49"/>
      <c r="AJ169" s="49"/>
      <c r="AK169" s="49"/>
      <c r="AL169" s="49"/>
      <c r="AM169" s="49"/>
      <c r="AN169" s="49"/>
      <c r="AO169" s="49"/>
      <c r="AP169" s="49"/>
      <c r="AQ169" s="49"/>
      <c r="AR169" s="49"/>
      <c r="AS169" s="49"/>
      <c r="AT169" s="49"/>
      <c r="AU169" s="49"/>
      <c r="AV169" s="49"/>
      <c r="AW169" s="49"/>
      <c r="AX169" s="49"/>
    </row>
    <row r="170">
      <c r="A170" s="49"/>
      <c r="B170" s="49"/>
      <c r="C170" s="49" t="str">
        <f>IFERROR(__xludf.DUMMYFUNCTION("""COMPUTED_VALUE"""),"")</f>
        <v/>
      </c>
      <c r="D170" s="49" t="str">
        <f>IFERROR(__xludf.DUMMYFUNCTION("""COMPUTED_VALUE"""),"")</f>
        <v/>
      </c>
      <c r="E170" s="49" t="str">
        <f>IFERROR(__xludf.DUMMYFUNCTION("""COMPUTED_VALUE"""),"")</f>
        <v/>
      </c>
      <c r="F170" s="49" t="str">
        <f>IFERROR(__xludf.DUMMYFUNCTION("""COMPUTED_VALUE"""),"")</f>
        <v/>
      </c>
      <c r="G170" s="49" t="str">
        <f>IFERROR(__xludf.DUMMYFUNCTION("""COMPUTED_VALUE"""),"")</f>
        <v/>
      </c>
      <c r="H170" s="49" t="str">
        <f>IFERROR(__xludf.DUMMYFUNCTION("""COMPUTED_VALUE"""),"")</f>
        <v/>
      </c>
      <c r="I170" s="49" t="str">
        <f>IFERROR(__xludf.DUMMYFUNCTION("""COMPUTED_VALUE"""),"")</f>
        <v/>
      </c>
      <c r="J170" s="49" t="str">
        <f>IFERROR(__xludf.DUMMYFUNCTION("""COMPUTED_VALUE"""),"")</f>
        <v/>
      </c>
      <c r="K170" s="49" t="str">
        <f>IFERROR(__xludf.DUMMYFUNCTION("""COMPUTED_VALUE"""),"")</f>
        <v/>
      </c>
      <c r="L170" s="49" t="str">
        <f>IFERROR(__xludf.DUMMYFUNCTION("""COMPUTED_VALUE"""),"")</f>
        <v/>
      </c>
      <c r="M170" s="49" t="str">
        <f>IFERROR(__xludf.DUMMYFUNCTION("""COMPUTED_VALUE"""),"")</f>
        <v/>
      </c>
      <c r="N170" s="49" t="str">
        <f>IFERROR(__xludf.DUMMYFUNCTION("""COMPUTED_VALUE"""),"")</f>
        <v/>
      </c>
      <c r="O170" s="49" t="str">
        <f>IFERROR(__xludf.DUMMYFUNCTION("""COMPUTED_VALUE"""),"")</f>
        <v/>
      </c>
      <c r="P170" s="49" t="str">
        <f>IFERROR(__xludf.DUMMYFUNCTION("""COMPUTED_VALUE"""),"")</f>
        <v/>
      </c>
      <c r="Q170" s="49" t="str">
        <f>IFERROR(__xludf.DUMMYFUNCTION("""COMPUTED_VALUE"""),"")</f>
        <v/>
      </c>
      <c r="R170" s="49" t="str">
        <f>IFERROR(__xludf.DUMMYFUNCTION("""COMPUTED_VALUE"""),"")</f>
        <v/>
      </c>
      <c r="S170" s="49" t="str">
        <f>IFERROR(__xludf.DUMMYFUNCTION("""COMPUTED_VALUE"""),"")</f>
        <v/>
      </c>
      <c r="T170" s="49" t="str">
        <f>IFERROR(__xludf.DUMMYFUNCTION("""COMPUTED_VALUE"""),"")</f>
        <v/>
      </c>
      <c r="U170" s="49" t="str">
        <f>IFERROR(__xludf.DUMMYFUNCTION("""COMPUTED_VALUE"""),"")</f>
        <v/>
      </c>
      <c r="V170" s="49" t="str">
        <f>IFERROR(__xludf.DUMMYFUNCTION("""COMPUTED_VALUE"""),"")</f>
        <v/>
      </c>
      <c r="W170" s="49" t="str">
        <f>IFERROR(__xludf.DUMMYFUNCTION("""COMPUTED_VALUE"""),"")</f>
        <v/>
      </c>
      <c r="X170" s="49" t="str">
        <f>IFERROR(__xludf.DUMMYFUNCTION("""COMPUTED_VALUE"""),"")</f>
        <v/>
      </c>
      <c r="Y170" s="49" t="str">
        <f>IFERROR(__xludf.DUMMYFUNCTION("""COMPUTED_VALUE"""),"")</f>
        <v/>
      </c>
      <c r="Z170" s="49"/>
      <c r="AA170" s="49"/>
      <c r="AB170" s="49"/>
      <c r="AC170" s="49"/>
      <c r="AD170" s="49"/>
      <c r="AE170" s="49"/>
      <c r="AF170" s="49"/>
      <c r="AG170" s="49"/>
      <c r="AH170" s="49"/>
      <c r="AI170" s="49"/>
      <c r="AJ170" s="49"/>
      <c r="AK170" s="49"/>
      <c r="AL170" s="49"/>
      <c r="AM170" s="49"/>
      <c r="AN170" s="49"/>
      <c r="AO170" s="49"/>
      <c r="AP170" s="49"/>
      <c r="AQ170" s="49"/>
      <c r="AR170" s="49"/>
      <c r="AS170" s="49"/>
      <c r="AT170" s="49"/>
      <c r="AU170" s="49"/>
      <c r="AV170" s="49"/>
      <c r="AW170" s="49"/>
      <c r="AX170" s="49"/>
    </row>
    <row r="171">
      <c r="A171" s="49"/>
      <c r="B171" s="49"/>
      <c r="C171" s="49" t="str">
        <f>IFERROR(__xludf.DUMMYFUNCTION("""COMPUTED_VALUE"""),"")</f>
        <v/>
      </c>
      <c r="D171" s="49" t="str">
        <f>IFERROR(__xludf.DUMMYFUNCTION("""COMPUTED_VALUE"""),"")</f>
        <v/>
      </c>
      <c r="E171" s="49" t="str">
        <f>IFERROR(__xludf.DUMMYFUNCTION("""COMPUTED_VALUE"""),"")</f>
        <v/>
      </c>
      <c r="F171" s="49" t="str">
        <f>IFERROR(__xludf.DUMMYFUNCTION("""COMPUTED_VALUE"""),"")</f>
        <v/>
      </c>
      <c r="G171" s="49" t="str">
        <f>IFERROR(__xludf.DUMMYFUNCTION("""COMPUTED_VALUE"""),"")</f>
        <v/>
      </c>
      <c r="H171" s="49" t="str">
        <f>IFERROR(__xludf.DUMMYFUNCTION("""COMPUTED_VALUE"""),"")</f>
        <v/>
      </c>
      <c r="I171" s="49" t="str">
        <f>IFERROR(__xludf.DUMMYFUNCTION("""COMPUTED_VALUE"""),"")</f>
        <v/>
      </c>
      <c r="J171" s="49" t="str">
        <f>IFERROR(__xludf.DUMMYFUNCTION("""COMPUTED_VALUE"""),"")</f>
        <v/>
      </c>
      <c r="K171" s="49" t="str">
        <f>IFERROR(__xludf.DUMMYFUNCTION("""COMPUTED_VALUE"""),"")</f>
        <v/>
      </c>
      <c r="L171" s="49" t="str">
        <f>IFERROR(__xludf.DUMMYFUNCTION("""COMPUTED_VALUE"""),"")</f>
        <v/>
      </c>
      <c r="M171" s="49" t="str">
        <f>IFERROR(__xludf.DUMMYFUNCTION("""COMPUTED_VALUE"""),"")</f>
        <v/>
      </c>
      <c r="N171" s="49" t="str">
        <f>IFERROR(__xludf.DUMMYFUNCTION("""COMPUTED_VALUE"""),"")</f>
        <v/>
      </c>
      <c r="O171" s="49" t="str">
        <f>IFERROR(__xludf.DUMMYFUNCTION("""COMPUTED_VALUE"""),"")</f>
        <v/>
      </c>
      <c r="P171" s="49" t="str">
        <f>IFERROR(__xludf.DUMMYFUNCTION("""COMPUTED_VALUE"""),"")</f>
        <v/>
      </c>
      <c r="Q171" s="49" t="str">
        <f>IFERROR(__xludf.DUMMYFUNCTION("""COMPUTED_VALUE"""),"")</f>
        <v/>
      </c>
      <c r="R171" s="49" t="str">
        <f>IFERROR(__xludf.DUMMYFUNCTION("""COMPUTED_VALUE"""),"")</f>
        <v/>
      </c>
      <c r="S171" s="49" t="str">
        <f>IFERROR(__xludf.DUMMYFUNCTION("""COMPUTED_VALUE"""),"")</f>
        <v/>
      </c>
      <c r="T171" s="49" t="str">
        <f>IFERROR(__xludf.DUMMYFUNCTION("""COMPUTED_VALUE"""),"")</f>
        <v/>
      </c>
      <c r="U171" s="49" t="str">
        <f>IFERROR(__xludf.DUMMYFUNCTION("""COMPUTED_VALUE"""),"")</f>
        <v/>
      </c>
      <c r="V171" s="49" t="str">
        <f>IFERROR(__xludf.DUMMYFUNCTION("""COMPUTED_VALUE"""),"")</f>
        <v/>
      </c>
      <c r="W171" s="49" t="str">
        <f>IFERROR(__xludf.DUMMYFUNCTION("""COMPUTED_VALUE"""),"")</f>
        <v/>
      </c>
      <c r="X171" s="49" t="str">
        <f>IFERROR(__xludf.DUMMYFUNCTION("""COMPUTED_VALUE"""),"")</f>
        <v/>
      </c>
      <c r="Y171" s="49" t="str">
        <f>IFERROR(__xludf.DUMMYFUNCTION("""COMPUTED_VALUE"""),"")</f>
        <v/>
      </c>
      <c r="Z171" s="49"/>
      <c r="AA171" s="49"/>
      <c r="AB171" s="49"/>
      <c r="AC171" s="49"/>
      <c r="AD171" s="49"/>
      <c r="AE171" s="49"/>
      <c r="AF171" s="49"/>
      <c r="AG171" s="49"/>
      <c r="AH171" s="49"/>
      <c r="AI171" s="49"/>
      <c r="AJ171" s="49"/>
      <c r="AK171" s="49"/>
      <c r="AL171" s="49"/>
      <c r="AM171" s="49"/>
      <c r="AN171" s="49"/>
      <c r="AO171" s="49"/>
      <c r="AP171" s="49"/>
      <c r="AQ171" s="49"/>
      <c r="AR171" s="49"/>
      <c r="AS171" s="49"/>
      <c r="AT171" s="49"/>
      <c r="AU171" s="49"/>
      <c r="AV171" s="49"/>
      <c r="AW171" s="49"/>
      <c r="AX171" s="49"/>
    </row>
    <row r="172">
      <c r="A172" s="49"/>
      <c r="B172" s="49"/>
      <c r="C172" s="49" t="str">
        <f>IFERROR(__xludf.DUMMYFUNCTION("""COMPUTED_VALUE"""),"")</f>
        <v/>
      </c>
      <c r="D172" s="49" t="str">
        <f>IFERROR(__xludf.DUMMYFUNCTION("""COMPUTED_VALUE"""),"")</f>
        <v/>
      </c>
      <c r="E172" s="49" t="str">
        <f>IFERROR(__xludf.DUMMYFUNCTION("""COMPUTED_VALUE"""),"")</f>
        <v/>
      </c>
      <c r="F172" s="49" t="str">
        <f>IFERROR(__xludf.DUMMYFUNCTION("""COMPUTED_VALUE"""),"")</f>
        <v/>
      </c>
      <c r="G172" s="49" t="str">
        <f>IFERROR(__xludf.DUMMYFUNCTION("""COMPUTED_VALUE"""),"")</f>
        <v/>
      </c>
      <c r="H172" s="49" t="str">
        <f>IFERROR(__xludf.DUMMYFUNCTION("""COMPUTED_VALUE"""),"")</f>
        <v/>
      </c>
      <c r="I172" s="49" t="str">
        <f>IFERROR(__xludf.DUMMYFUNCTION("""COMPUTED_VALUE"""),"")</f>
        <v/>
      </c>
      <c r="J172" s="49" t="str">
        <f>IFERROR(__xludf.DUMMYFUNCTION("""COMPUTED_VALUE"""),"")</f>
        <v/>
      </c>
      <c r="K172" s="49" t="str">
        <f>IFERROR(__xludf.DUMMYFUNCTION("""COMPUTED_VALUE"""),"")</f>
        <v/>
      </c>
      <c r="L172" s="49" t="str">
        <f>IFERROR(__xludf.DUMMYFUNCTION("""COMPUTED_VALUE"""),"")</f>
        <v/>
      </c>
      <c r="M172" s="49" t="str">
        <f>IFERROR(__xludf.DUMMYFUNCTION("""COMPUTED_VALUE"""),"")</f>
        <v/>
      </c>
      <c r="N172" s="49" t="str">
        <f>IFERROR(__xludf.DUMMYFUNCTION("""COMPUTED_VALUE"""),"")</f>
        <v/>
      </c>
      <c r="O172" s="49" t="str">
        <f>IFERROR(__xludf.DUMMYFUNCTION("""COMPUTED_VALUE"""),"")</f>
        <v/>
      </c>
      <c r="P172" s="49" t="str">
        <f>IFERROR(__xludf.DUMMYFUNCTION("""COMPUTED_VALUE"""),"")</f>
        <v/>
      </c>
      <c r="Q172" s="49" t="str">
        <f>IFERROR(__xludf.DUMMYFUNCTION("""COMPUTED_VALUE"""),"")</f>
        <v/>
      </c>
      <c r="R172" s="49" t="str">
        <f>IFERROR(__xludf.DUMMYFUNCTION("""COMPUTED_VALUE"""),"")</f>
        <v/>
      </c>
      <c r="S172" s="49" t="str">
        <f>IFERROR(__xludf.DUMMYFUNCTION("""COMPUTED_VALUE"""),"")</f>
        <v/>
      </c>
      <c r="T172" s="49" t="str">
        <f>IFERROR(__xludf.DUMMYFUNCTION("""COMPUTED_VALUE"""),"")</f>
        <v/>
      </c>
      <c r="U172" s="49" t="str">
        <f>IFERROR(__xludf.DUMMYFUNCTION("""COMPUTED_VALUE"""),"")</f>
        <v/>
      </c>
      <c r="V172" s="49" t="str">
        <f>IFERROR(__xludf.DUMMYFUNCTION("""COMPUTED_VALUE"""),"")</f>
        <v/>
      </c>
      <c r="W172" s="49" t="str">
        <f>IFERROR(__xludf.DUMMYFUNCTION("""COMPUTED_VALUE"""),"")</f>
        <v/>
      </c>
      <c r="X172" s="49" t="str">
        <f>IFERROR(__xludf.DUMMYFUNCTION("""COMPUTED_VALUE"""),"")</f>
        <v/>
      </c>
      <c r="Y172" s="49" t="str">
        <f>IFERROR(__xludf.DUMMYFUNCTION("""COMPUTED_VALUE"""),"")</f>
        <v/>
      </c>
      <c r="Z172" s="49"/>
      <c r="AA172" s="49"/>
      <c r="AB172" s="49"/>
      <c r="AC172" s="49"/>
      <c r="AD172" s="49"/>
      <c r="AE172" s="49"/>
      <c r="AF172" s="49"/>
      <c r="AG172" s="49"/>
      <c r="AH172" s="49"/>
      <c r="AI172" s="49"/>
      <c r="AJ172" s="49"/>
      <c r="AK172" s="49"/>
      <c r="AL172" s="49"/>
      <c r="AM172" s="49"/>
      <c r="AN172" s="49"/>
      <c r="AO172" s="49"/>
      <c r="AP172" s="49"/>
      <c r="AQ172" s="49"/>
      <c r="AR172" s="49"/>
      <c r="AS172" s="49"/>
      <c r="AT172" s="49"/>
      <c r="AU172" s="49"/>
      <c r="AV172" s="49"/>
      <c r="AW172" s="49"/>
      <c r="AX172" s="49"/>
    </row>
    <row r="173">
      <c r="A173" s="49"/>
      <c r="B173" s="49"/>
      <c r="C173" s="49" t="str">
        <f>IFERROR(__xludf.DUMMYFUNCTION("""COMPUTED_VALUE"""),"")</f>
        <v/>
      </c>
      <c r="D173" s="49" t="str">
        <f>IFERROR(__xludf.DUMMYFUNCTION("""COMPUTED_VALUE"""),"")</f>
        <v/>
      </c>
      <c r="E173" s="49" t="str">
        <f>IFERROR(__xludf.DUMMYFUNCTION("""COMPUTED_VALUE"""),"")</f>
        <v/>
      </c>
      <c r="F173" s="49" t="str">
        <f>IFERROR(__xludf.DUMMYFUNCTION("""COMPUTED_VALUE"""),"")</f>
        <v/>
      </c>
      <c r="G173" s="49" t="str">
        <f>IFERROR(__xludf.DUMMYFUNCTION("""COMPUTED_VALUE"""),"")</f>
        <v/>
      </c>
      <c r="H173" s="49" t="str">
        <f>IFERROR(__xludf.DUMMYFUNCTION("""COMPUTED_VALUE"""),"")</f>
        <v/>
      </c>
      <c r="I173" s="49" t="str">
        <f>IFERROR(__xludf.DUMMYFUNCTION("""COMPUTED_VALUE"""),"")</f>
        <v/>
      </c>
      <c r="J173" s="49" t="str">
        <f>IFERROR(__xludf.DUMMYFUNCTION("""COMPUTED_VALUE"""),"")</f>
        <v/>
      </c>
      <c r="K173" s="49" t="str">
        <f>IFERROR(__xludf.DUMMYFUNCTION("""COMPUTED_VALUE"""),"")</f>
        <v/>
      </c>
      <c r="L173" s="49" t="str">
        <f>IFERROR(__xludf.DUMMYFUNCTION("""COMPUTED_VALUE"""),"")</f>
        <v/>
      </c>
      <c r="M173" s="49" t="str">
        <f>IFERROR(__xludf.DUMMYFUNCTION("""COMPUTED_VALUE"""),"")</f>
        <v/>
      </c>
      <c r="N173" s="49" t="str">
        <f>IFERROR(__xludf.DUMMYFUNCTION("""COMPUTED_VALUE"""),"")</f>
        <v/>
      </c>
      <c r="O173" s="49" t="str">
        <f>IFERROR(__xludf.DUMMYFUNCTION("""COMPUTED_VALUE"""),"")</f>
        <v/>
      </c>
      <c r="P173" s="49" t="str">
        <f>IFERROR(__xludf.DUMMYFUNCTION("""COMPUTED_VALUE"""),"")</f>
        <v/>
      </c>
      <c r="Q173" s="49" t="str">
        <f>IFERROR(__xludf.DUMMYFUNCTION("""COMPUTED_VALUE"""),"")</f>
        <v/>
      </c>
      <c r="R173" s="49" t="str">
        <f>IFERROR(__xludf.DUMMYFUNCTION("""COMPUTED_VALUE"""),"")</f>
        <v/>
      </c>
      <c r="S173" s="49" t="str">
        <f>IFERROR(__xludf.DUMMYFUNCTION("""COMPUTED_VALUE"""),"")</f>
        <v/>
      </c>
      <c r="T173" s="49" t="str">
        <f>IFERROR(__xludf.DUMMYFUNCTION("""COMPUTED_VALUE"""),"")</f>
        <v/>
      </c>
      <c r="U173" s="49" t="str">
        <f>IFERROR(__xludf.DUMMYFUNCTION("""COMPUTED_VALUE"""),"")</f>
        <v/>
      </c>
      <c r="V173" s="49" t="str">
        <f>IFERROR(__xludf.DUMMYFUNCTION("""COMPUTED_VALUE"""),"")</f>
        <v/>
      </c>
      <c r="W173" s="49" t="str">
        <f>IFERROR(__xludf.DUMMYFUNCTION("""COMPUTED_VALUE"""),"")</f>
        <v/>
      </c>
      <c r="X173" s="49" t="str">
        <f>IFERROR(__xludf.DUMMYFUNCTION("""COMPUTED_VALUE"""),"")</f>
        <v/>
      </c>
      <c r="Y173" s="49" t="str">
        <f>IFERROR(__xludf.DUMMYFUNCTION("""COMPUTED_VALUE"""),"")</f>
        <v/>
      </c>
      <c r="Z173" s="49"/>
      <c r="AA173" s="49"/>
      <c r="AB173" s="49"/>
      <c r="AC173" s="49"/>
      <c r="AD173" s="49"/>
      <c r="AE173" s="49"/>
      <c r="AF173" s="49"/>
      <c r="AG173" s="49"/>
      <c r="AH173" s="49"/>
      <c r="AI173" s="49"/>
      <c r="AJ173" s="49"/>
      <c r="AK173" s="49"/>
      <c r="AL173" s="49"/>
      <c r="AM173" s="49"/>
      <c r="AN173" s="49"/>
      <c r="AO173" s="49"/>
      <c r="AP173" s="49"/>
      <c r="AQ173" s="49"/>
      <c r="AR173" s="49"/>
      <c r="AS173" s="49"/>
      <c r="AT173" s="49"/>
      <c r="AU173" s="49"/>
      <c r="AV173" s="49"/>
      <c r="AW173" s="49"/>
      <c r="AX173" s="49"/>
    </row>
    <row r="174">
      <c r="A174" s="49"/>
      <c r="B174" s="49"/>
      <c r="C174" s="49" t="str">
        <f>IFERROR(__xludf.DUMMYFUNCTION("""COMPUTED_VALUE"""),"")</f>
        <v/>
      </c>
      <c r="D174" s="49" t="str">
        <f>IFERROR(__xludf.DUMMYFUNCTION("""COMPUTED_VALUE"""),"")</f>
        <v/>
      </c>
      <c r="E174" s="49" t="str">
        <f>IFERROR(__xludf.DUMMYFUNCTION("""COMPUTED_VALUE"""),"")</f>
        <v/>
      </c>
      <c r="F174" s="49" t="str">
        <f>IFERROR(__xludf.DUMMYFUNCTION("""COMPUTED_VALUE"""),"")</f>
        <v/>
      </c>
      <c r="G174" s="49" t="str">
        <f>IFERROR(__xludf.DUMMYFUNCTION("""COMPUTED_VALUE"""),"")</f>
        <v/>
      </c>
      <c r="H174" s="49" t="str">
        <f>IFERROR(__xludf.DUMMYFUNCTION("""COMPUTED_VALUE"""),"")</f>
        <v/>
      </c>
      <c r="I174" s="49" t="str">
        <f>IFERROR(__xludf.DUMMYFUNCTION("""COMPUTED_VALUE"""),"")</f>
        <v/>
      </c>
      <c r="J174" s="49" t="str">
        <f>IFERROR(__xludf.DUMMYFUNCTION("""COMPUTED_VALUE"""),"")</f>
        <v/>
      </c>
      <c r="K174" s="49" t="str">
        <f>IFERROR(__xludf.DUMMYFUNCTION("""COMPUTED_VALUE"""),"")</f>
        <v/>
      </c>
      <c r="L174" s="49" t="str">
        <f>IFERROR(__xludf.DUMMYFUNCTION("""COMPUTED_VALUE"""),"")</f>
        <v/>
      </c>
      <c r="M174" s="49" t="str">
        <f>IFERROR(__xludf.DUMMYFUNCTION("""COMPUTED_VALUE"""),"")</f>
        <v/>
      </c>
      <c r="N174" s="49" t="str">
        <f>IFERROR(__xludf.DUMMYFUNCTION("""COMPUTED_VALUE"""),"")</f>
        <v/>
      </c>
      <c r="O174" s="49" t="str">
        <f>IFERROR(__xludf.DUMMYFUNCTION("""COMPUTED_VALUE"""),"")</f>
        <v/>
      </c>
      <c r="P174" s="49" t="str">
        <f>IFERROR(__xludf.DUMMYFUNCTION("""COMPUTED_VALUE"""),"")</f>
        <v/>
      </c>
      <c r="Q174" s="49" t="str">
        <f>IFERROR(__xludf.DUMMYFUNCTION("""COMPUTED_VALUE"""),"")</f>
        <v/>
      </c>
      <c r="R174" s="49" t="str">
        <f>IFERROR(__xludf.DUMMYFUNCTION("""COMPUTED_VALUE"""),"")</f>
        <v/>
      </c>
      <c r="S174" s="49" t="str">
        <f>IFERROR(__xludf.DUMMYFUNCTION("""COMPUTED_VALUE"""),"")</f>
        <v/>
      </c>
      <c r="T174" s="49" t="str">
        <f>IFERROR(__xludf.DUMMYFUNCTION("""COMPUTED_VALUE"""),"")</f>
        <v/>
      </c>
      <c r="U174" s="49" t="str">
        <f>IFERROR(__xludf.DUMMYFUNCTION("""COMPUTED_VALUE"""),"")</f>
        <v/>
      </c>
      <c r="V174" s="49" t="str">
        <f>IFERROR(__xludf.DUMMYFUNCTION("""COMPUTED_VALUE"""),"")</f>
        <v/>
      </c>
      <c r="W174" s="49" t="str">
        <f>IFERROR(__xludf.DUMMYFUNCTION("""COMPUTED_VALUE"""),"")</f>
        <v/>
      </c>
      <c r="X174" s="49" t="str">
        <f>IFERROR(__xludf.DUMMYFUNCTION("""COMPUTED_VALUE"""),"")</f>
        <v/>
      </c>
      <c r="Y174" s="49" t="str">
        <f>IFERROR(__xludf.DUMMYFUNCTION("""COMPUTED_VALUE"""),"")</f>
        <v/>
      </c>
      <c r="Z174" s="49"/>
      <c r="AA174" s="49"/>
      <c r="AB174" s="49"/>
      <c r="AC174" s="49"/>
      <c r="AD174" s="49"/>
      <c r="AE174" s="49"/>
      <c r="AF174" s="49"/>
      <c r="AG174" s="49"/>
      <c r="AH174" s="49"/>
      <c r="AI174" s="49"/>
      <c r="AJ174" s="49"/>
      <c r="AK174" s="49"/>
      <c r="AL174" s="49"/>
      <c r="AM174" s="49"/>
      <c r="AN174" s="49"/>
      <c r="AO174" s="49"/>
      <c r="AP174" s="49"/>
      <c r="AQ174" s="49"/>
      <c r="AR174" s="49"/>
      <c r="AS174" s="49"/>
      <c r="AT174" s="49"/>
      <c r="AU174" s="49"/>
      <c r="AV174" s="49"/>
      <c r="AW174" s="49"/>
      <c r="AX174" s="49"/>
    </row>
    <row r="175">
      <c r="A175" s="49"/>
      <c r="B175" s="49"/>
      <c r="C175" s="49" t="str">
        <f>IFERROR(__xludf.DUMMYFUNCTION("""COMPUTED_VALUE"""),"")</f>
        <v/>
      </c>
      <c r="D175" s="49" t="str">
        <f>IFERROR(__xludf.DUMMYFUNCTION("""COMPUTED_VALUE"""),"")</f>
        <v/>
      </c>
      <c r="E175" s="49" t="str">
        <f>IFERROR(__xludf.DUMMYFUNCTION("""COMPUTED_VALUE"""),"")</f>
        <v/>
      </c>
      <c r="F175" s="49" t="str">
        <f>IFERROR(__xludf.DUMMYFUNCTION("""COMPUTED_VALUE"""),"")</f>
        <v/>
      </c>
      <c r="G175" s="49" t="str">
        <f>IFERROR(__xludf.DUMMYFUNCTION("""COMPUTED_VALUE"""),"")</f>
        <v/>
      </c>
      <c r="H175" s="49" t="str">
        <f>IFERROR(__xludf.DUMMYFUNCTION("""COMPUTED_VALUE"""),"")</f>
        <v/>
      </c>
      <c r="I175" s="49" t="str">
        <f>IFERROR(__xludf.DUMMYFUNCTION("""COMPUTED_VALUE"""),"")</f>
        <v/>
      </c>
      <c r="J175" s="49" t="str">
        <f>IFERROR(__xludf.DUMMYFUNCTION("""COMPUTED_VALUE"""),"")</f>
        <v/>
      </c>
      <c r="K175" s="49" t="str">
        <f>IFERROR(__xludf.DUMMYFUNCTION("""COMPUTED_VALUE"""),"")</f>
        <v/>
      </c>
      <c r="L175" s="49" t="str">
        <f>IFERROR(__xludf.DUMMYFUNCTION("""COMPUTED_VALUE"""),"")</f>
        <v/>
      </c>
      <c r="M175" s="49" t="str">
        <f>IFERROR(__xludf.DUMMYFUNCTION("""COMPUTED_VALUE"""),"")</f>
        <v/>
      </c>
      <c r="N175" s="49" t="str">
        <f>IFERROR(__xludf.DUMMYFUNCTION("""COMPUTED_VALUE"""),"")</f>
        <v/>
      </c>
      <c r="O175" s="49" t="str">
        <f>IFERROR(__xludf.DUMMYFUNCTION("""COMPUTED_VALUE"""),"")</f>
        <v/>
      </c>
      <c r="P175" s="49" t="str">
        <f>IFERROR(__xludf.DUMMYFUNCTION("""COMPUTED_VALUE"""),"")</f>
        <v/>
      </c>
      <c r="Q175" s="49" t="str">
        <f>IFERROR(__xludf.DUMMYFUNCTION("""COMPUTED_VALUE"""),"")</f>
        <v/>
      </c>
      <c r="R175" s="49" t="str">
        <f>IFERROR(__xludf.DUMMYFUNCTION("""COMPUTED_VALUE"""),"")</f>
        <v/>
      </c>
      <c r="S175" s="49" t="str">
        <f>IFERROR(__xludf.DUMMYFUNCTION("""COMPUTED_VALUE"""),"")</f>
        <v/>
      </c>
      <c r="T175" s="49" t="str">
        <f>IFERROR(__xludf.DUMMYFUNCTION("""COMPUTED_VALUE"""),"")</f>
        <v/>
      </c>
      <c r="U175" s="49" t="str">
        <f>IFERROR(__xludf.DUMMYFUNCTION("""COMPUTED_VALUE"""),"")</f>
        <v/>
      </c>
      <c r="V175" s="49" t="str">
        <f>IFERROR(__xludf.DUMMYFUNCTION("""COMPUTED_VALUE"""),"")</f>
        <v/>
      </c>
      <c r="W175" s="49" t="str">
        <f>IFERROR(__xludf.DUMMYFUNCTION("""COMPUTED_VALUE"""),"")</f>
        <v/>
      </c>
      <c r="X175" s="49" t="str">
        <f>IFERROR(__xludf.DUMMYFUNCTION("""COMPUTED_VALUE"""),"")</f>
        <v/>
      </c>
      <c r="Y175" s="49" t="str">
        <f>IFERROR(__xludf.DUMMYFUNCTION("""COMPUTED_VALUE"""),"")</f>
        <v/>
      </c>
      <c r="Z175" s="49"/>
      <c r="AA175" s="49"/>
      <c r="AB175" s="49"/>
      <c r="AC175" s="49"/>
      <c r="AD175" s="49"/>
      <c r="AE175" s="49"/>
      <c r="AF175" s="49"/>
      <c r="AG175" s="49"/>
      <c r="AH175" s="49"/>
      <c r="AI175" s="49"/>
      <c r="AJ175" s="49"/>
      <c r="AK175" s="49"/>
      <c r="AL175" s="49"/>
      <c r="AM175" s="49"/>
      <c r="AN175" s="49"/>
      <c r="AO175" s="49"/>
      <c r="AP175" s="49"/>
      <c r="AQ175" s="49"/>
      <c r="AR175" s="49"/>
      <c r="AS175" s="49"/>
      <c r="AT175" s="49"/>
      <c r="AU175" s="49"/>
      <c r="AV175" s="49"/>
      <c r="AW175" s="49"/>
      <c r="AX175" s="49"/>
    </row>
    <row r="176">
      <c r="A176" s="49"/>
      <c r="B176" s="49"/>
      <c r="C176" s="49" t="str">
        <f>IFERROR(__xludf.DUMMYFUNCTION("""COMPUTED_VALUE"""),"")</f>
        <v/>
      </c>
      <c r="D176" s="49" t="str">
        <f>IFERROR(__xludf.DUMMYFUNCTION("""COMPUTED_VALUE"""),"")</f>
        <v/>
      </c>
      <c r="E176" s="49" t="str">
        <f>IFERROR(__xludf.DUMMYFUNCTION("""COMPUTED_VALUE"""),"")</f>
        <v/>
      </c>
      <c r="F176" s="49" t="str">
        <f>IFERROR(__xludf.DUMMYFUNCTION("""COMPUTED_VALUE"""),"")</f>
        <v/>
      </c>
      <c r="G176" s="49" t="str">
        <f>IFERROR(__xludf.DUMMYFUNCTION("""COMPUTED_VALUE"""),"")</f>
        <v/>
      </c>
      <c r="H176" s="49" t="str">
        <f>IFERROR(__xludf.DUMMYFUNCTION("""COMPUTED_VALUE"""),"")</f>
        <v/>
      </c>
      <c r="I176" s="49" t="str">
        <f>IFERROR(__xludf.DUMMYFUNCTION("""COMPUTED_VALUE"""),"")</f>
        <v/>
      </c>
      <c r="J176" s="49" t="str">
        <f>IFERROR(__xludf.DUMMYFUNCTION("""COMPUTED_VALUE"""),"")</f>
        <v/>
      </c>
      <c r="K176" s="49" t="str">
        <f>IFERROR(__xludf.DUMMYFUNCTION("""COMPUTED_VALUE"""),"")</f>
        <v/>
      </c>
      <c r="L176" s="49" t="str">
        <f>IFERROR(__xludf.DUMMYFUNCTION("""COMPUTED_VALUE"""),"")</f>
        <v/>
      </c>
      <c r="M176" s="49" t="str">
        <f>IFERROR(__xludf.DUMMYFUNCTION("""COMPUTED_VALUE"""),"")</f>
        <v/>
      </c>
      <c r="N176" s="49" t="str">
        <f>IFERROR(__xludf.DUMMYFUNCTION("""COMPUTED_VALUE"""),"")</f>
        <v/>
      </c>
      <c r="O176" s="49" t="str">
        <f>IFERROR(__xludf.DUMMYFUNCTION("""COMPUTED_VALUE"""),"")</f>
        <v/>
      </c>
      <c r="P176" s="49" t="str">
        <f>IFERROR(__xludf.DUMMYFUNCTION("""COMPUTED_VALUE"""),"")</f>
        <v/>
      </c>
      <c r="Q176" s="49" t="str">
        <f>IFERROR(__xludf.DUMMYFUNCTION("""COMPUTED_VALUE"""),"")</f>
        <v/>
      </c>
      <c r="R176" s="49" t="str">
        <f>IFERROR(__xludf.DUMMYFUNCTION("""COMPUTED_VALUE"""),"")</f>
        <v/>
      </c>
      <c r="S176" s="49" t="str">
        <f>IFERROR(__xludf.DUMMYFUNCTION("""COMPUTED_VALUE"""),"")</f>
        <v/>
      </c>
      <c r="T176" s="49" t="str">
        <f>IFERROR(__xludf.DUMMYFUNCTION("""COMPUTED_VALUE"""),"")</f>
        <v/>
      </c>
      <c r="U176" s="49" t="str">
        <f>IFERROR(__xludf.DUMMYFUNCTION("""COMPUTED_VALUE"""),"")</f>
        <v/>
      </c>
      <c r="V176" s="49" t="str">
        <f>IFERROR(__xludf.DUMMYFUNCTION("""COMPUTED_VALUE"""),"")</f>
        <v/>
      </c>
      <c r="W176" s="49" t="str">
        <f>IFERROR(__xludf.DUMMYFUNCTION("""COMPUTED_VALUE"""),"")</f>
        <v/>
      </c>
      <c r="X176" s="49" t="str">
        <f>IFERROR(__xludf.DUMMYFUNCTION("""COMPUTED_VALUE"""),"")</f>
        <v/>
      </c>
      <c r="Y176" s="49" t="str">
        <f>IFERROR(__xludf.DUMMYFUNCTION("""COMPUTED_VALUE"""),"")</f>
        <v/>
      </c>
      <c r="Z176" s="49"/>
      <c r="AA176" s="49"/>
      <c r="AB176" s="49"/>
      <c r="AC176" s="49"/>
      <c r="AD176" s="49"/>
      <c r="AE176" s="49"/>
      <c r="AF176" s="49"/>
      <c r="AG176" s="49"/>
      <c r="AH176" s="49"/>
      <c r="AI176" s="49"/>
      <c r="AJ176" s="49"/>
      <c r="AK176" s="49"/>
      <c r="AL176" s="49"/>
      <c r="AM176" s="49"/>
      <c r="AN176" s="49"/>
      <c r="AO176" s="49"/>
      <c r="AP176" s="49"/>
      <c r="AQ176" s="49"/>
      <c r="AR176" s="49"/>
      <c r="AS176" s="49"/>
      <c r="AT176" s="49"/>
      <c r="AU176" s="49"/>
      <c r="AV176" s="49"/>
      <c r="AW176" s="49"/>
      <c r="AX176" s="49"/>
    </row>
    <row r="177">
      <c r="A177" s="49"/>
      <c r="B177" s="49"/>
      <c r="C177" s="49" t="str">
        <f>IFERROR(__xludf.DUMMYFUNCTION("""COMPUTED_VALUE"""),"")</f>
        <v/>
      </c>
      <c r="D177" s="49" t="str">
        <f>IFERROR(__xludf.DUMMYFUNCTION("""COMPUTED_VALUE"""),"")</f>
        <v/>
      </c>
      <c r="E177" s="49" t="str">
        <f>IFERROR(__xludf.DUMMYFUNCTION("""COMPUTED_VALUE"""),"")</f>
        <v/>
      </c>
      <c r="F177" s="49" t="str">
        <f>IFERROR(__xludf.DUMMYFUNCTION("""COMPUTED_VALUE"""),"")</f>
        <v/>
      </c>
      <c r="G177" s="49" t="str">
        <f>IFERROR(__xludf.DUMMYFUNCTION("""COMPUTED_VALUE"""),"")</f>
        <v/>
      </c>
      <c r="H177" s="49" t="str">
        <f>IFERROR(__xludf.DUMMYFUNCTION("""COMPUTED_VALUE"""),"")</f>
        <v/>
      </c>
      <c r="I177" s="49" t="str">
        <f>IFERROR(__xludf.DUMMYFUNCTION("""COMPUTED_VALUE"""),"")</f>
        <v/>
      </c>
      <c r="J177" s="49" t="str">
        <f>IFERROR(__xludf.DUMMYFUNCTION("""COMPUTED_VALUE"""),"")</f>
        <v/>
      </c>
      <c r="K177" s="49" t="str">
        <f>IFERROR(__xludf.DUMMYFUNCTION("""COMPUTED_VALUE"""),"")</f>
        <v/>
      </c>
      <c r="L177" s="49" t="str">
        <f>IFERROR(__xludf.DUMMYFUNCTION("""COMPUTED_VALUE"""),"")</f>
        <v/>
      </c>
      <c r="M177" s="49" t="str">
        <f>IFERROR(__xludf.DUMMYFUNCTION("""COMPUTED_VALUE"""),"")</f>
        <v/>
      </c>
      <c r="N177" s="49" t="str">
        <f>IFERROR(__xludf.DUMMYFUNCTION("""COMPUTED_VALUE"""),"")</f>
        <v/>
      </c>
      <c r="O177" s="49" t="str">
        <f>IFERROR(__xludf.DUMMYFUNCTION("""COMPUTED_VALUE"""),"")</f>
        <v/>
      </c>
      <c r="P177" s="49" t="str">
        <f>IFERROR(__xludf.DUMMYFUNCTION("""COMPUTED_VALUE"""),"")</f>
        <v/>
      </c>
      <c r="Q177" s="49" t="str">
        <f>IFERROR(__xludf.DUMMYFUNCTION("""COMPUTED_VALUE"""),"")</f>
        <v/>
      </c>
      <c r="R177" s="49" t="str">
        <f>IFERROR(__xludf.DUMMYFUNCTION("""COMPUTED_VALUE"""),"")</f>
        <v/>
      </c>
      <c r="S177" s="49" t="str">
        <f>IFERROR(__xludf.DUMMYFUNCTION("""COMPUTED_VALUE"""),"")</f>
        <v/>
      </c>
      <c r="T177" s="49" t="str">
        <f>IFERROR(__xludf.DUMMYFUNCTION("""COMPUTED_VALUE"""),"")</f>
        <v/>
      </c>
      <c r="U177" s="49" t="str">
        <f>IFERROR(__xludf.DUMMYFUNCTION("""COMPUTED_VALUE"""),"")</f>
        <v/>
      </c>
      <c r="V177" s="49" t="str">
        <f>IFERROR(__xludf.DUMMYFUNCTION("""COMPUTED_VALUE"""),"")</f>
        <v/>
      </c>
      <c r="W177" s="49" t="str">
        <f>IFERROR(__xludf.DUMMYFUNCTION("""COMPUTED_VALUE"""),"")</f>
        <v/>
      </c>
      <c r="X177" s="49" t="str">
        <f>IFERROR(__xludf.DUMMYFUNCTION("""COMPUTED_VALUE"""),"")</f>
        <v/>
      </c>
      <c r="Y177" s="49" t="str">
        <f>IFERROR(__xludf.DUMMYFUNCTION("""COMPUTED_VALUE"""),"")</f>
        <v/>
      </c>
      <c r="Z177" s="49"/>
      <c r="AA177" s="49"/>
      <c r="AB177" s="49"/>
      <c r="AC177" s="49"/>
      <c r="AD177" s="49"/>
      <c r="AE177" s="49"/>
      <c r="AF177" s="49"/>
      <c r="AG177" s="49"/>
      <c r="AH177" s="49"/>
      <c r="AI177" s="49"/>
      <c r="AJ177" s="49"/>
      <c r="AK177" s="49"/>
      <c r="AL177" s="49"/>
      <c r="AM177" s="49"/>
      <c r="AN177" s="49"/>
      <c r="AO177" s="49"/>
      <c r="AP177" s="49"/>
      <c r="AQ177" s="49"/>
      <c r="AR177" s="49"/>
      <c r="AS177" s="49"/>
      <c r="AT177" s="49"/>
      <c r="AU177" s="49"/>
      <c r="AV177" s="49"/>
      <c r="AW177" s="49"/>
      <c r="AX177" s="49"/>
    </row>
    <row r="178">
      <c r="A178" s="49"/>
      <c r="B178" s="49"/>
      <c r="C178" s="49" t="str">
        <f>IFERROR(__xludf.DUMMYFUNCTION("""COMPUTED_VALUE"""),"")</f>
        <v/>
      </c>
      <c r="D178" s="49" t="str">
        <f>IFERROR(__xludf.DUMMYFUNCTION("""COMPUTED_VALUE"""),"")</f>
        <v/>
      </c>
      <c r="E178" s="49" t="str">
        <f>IFERROR(__xludf.DUMMYFUNCTION("""COMPUTED_VALUE"""),"")</f>
        <v/>
      </c>
      <c r="F178" s="49" t="str">
        <f>IFERROR(__xludf.DUMMYFUNCTION("""COMPUTED_VALUE"""),"")</f>
        <v/>
      </c>
      <c r="G178" s="49" t="str">
        <f>IFERROR(__xludf.DUMMYFUNCTION("""COMPUTED_VALUE"""),"")</f>
        <v/>
      </c>
      <c r="H178" s="49" t="str">
        <f>IFERROR(__xludf.DUMMYFUNCTION("""COMPUTED_VALUE"""),"")</f>
        <v/>
      </c>
      <c r="I178" s="49" t="str">
        <f>IFERROR(__xludf.DUMMYFUNCTION("""COMPUTED_VALUE"""),"")</f>
        <v/>
      </c>
      <c r="J178" s="49" t="str">
        <f>IFERROR(__xludf.DUMMYFUNCTION("""COMPUTED_VALUE"""),"")</f>
        <v/>
      </c>
      <c r="K178" s="49" t="str">
        <f>IFERROR(__xludf.DUMMYFUNCTION("""COMPUTED_VALUE"""),"")</f>
        <v/>
      </c>
      <c r="L178" s="49" t="str">
        <f>IFERROR(__xludf.DUMMYFUNCTION("""COMPUTED_VALUE"""),"")</f>
        <v/>
      </c>
      <c r="M178" s="49" t="str">
        <f>IFERROR(__xludf.DUMMYFUNCTION("""COMPUTED_VALUE"""),"")</f>
        <v/>
      </c>
      <c r="N178" s="49" t="str">
        <f>IFERROR(__xludf.DUMMYFUNCTION("""COMPUTED_VALUE"""),"")</f>
        <v/>
      </c>
      <c r="O178" s="49" t="str">
        <f>IFERROR(__xludf.DUMMYFUNCTION("""COMPUTED_VALUE"""),"")</f>
        <v/>
      </c>
      <c r="P178" s="49" t="str">
        <f>IFERROR(__xludf.DUMMYFUNCTION("""COMPUTED_VALUE"""),"")</f>
        <v/>
      </c>
      <c r="Q178" s="49" t="str">
        <f>IFERROR(__xludf.DUMMYFUNCTION("""COMPUTED_VALUE"""),"")</f>
        <v/>
      </c>
      <c r="R178" s="49" t="str">
        <f>IFERROR(__xludf.DUMMYFUNCTION("""COMPUTED_VALUE"""),"")</f>
        <v/>
      </c>
      <c r="S178" s="49" t="str">
        <f>IFERROR(__xludf.DUMMYFUNCTION("""COMPUTED_VALUE"""),"")</f>
        <v/>
      </c>
      <c r="T178" s="49" t="str">
        <f>IFERROR(__xludf.DUMMYFUNCTION("""COMPUTED_VALUE"""),"")</f>
        <v/>
      </c>
      <c r="U178" s="49" t="str">
        <f>IFERROR(__xludf.DUMMYFUNCTION("""COMPUTED_VALUE"""),"")</f>
        <v/>
      </c>
      <c r="V178" s="49" t="str">
        <f>IFERROR(__xludf.DUMMYFUNCTION("""COMPUTED_VALUE"""),"")</f>
        <v/>
      </c>
      <c r="W178" s="49" t="str">
        <f>IFERROR(__xludf.DUMMYFUNCTION("""COMPUTED_VALUE"""),"")</f>
        <v/>
      </c>
      <c r="X178" s="49" t="str">
        <f>IFERROR(__xludf.DUMMYFUNCTION("""COMPUTED_VALUE"""),"")</f>
        <v/>
      </c>
      <c r="Y178" s="49" t="str">
        <f>IFERROR(__xludf.DUMMYFUNCTION("""COMPUTED_VALUE"""),"")</f>
        <v/>
      </c>
      <c r="Z178" s="49"/>
      <c r="AA178" s="49"/>
      <c r="AB178" s="49"/>
      <c r="AC178" s="49"/>
      <c r="AD178" s="49"/>
      <c r="AE178" s="49"/>
      <c r="AF178" s="49"/>
      <c r="AG178" s="49"/>
      <c r="AH178" s="49"/>
      <c r="AI178" s="49"/>
      <c r="AJ178" s="49"/>
      <c r="AK178" s="49"/>
      <c r="AL178" s="49"/>
      <c r="AM178" s="49"/>
      <c r="AN178" s="49"/>
      <c r="AO178" s="49"/>
      <c r="AP178" s="49"/>
      <c r="AQ178" s="49"/>
      <c r="AR178" s="49"/>
      <c r="AS178" s="49"/>
      <c r="AT178" s="49"/>
      <c r="AU178" s="49"/>
      <c r="AV178" s="49"/>
      <c r="AW178" s="49"/>
      <c r="AX178" s="49"/>
    </row>
    <row r="179">
      <c r="A179" s="49"/>
      <c r="B179" s="49"/>
      <c r="C179" s="49" t="str">
        <f>IFERROR(__xludf.DUMMYFUNCTION("""COMPUTED_VALUE"""),"")</f>
        <v/>
      </c>
      <c r="D179" s="49" t="str">
        <f>IFERROR(__xludf.DUMMYFUNCTION("""COMPUTED_VALUE"""),"")</f>
        <v/>
      </c>
      <c r="E179" s="49" t="str">
        <f>IFERROR(__xludf.DUMMYFUNCTION("""COMPUTED_VALUE"""),"")</f>
        <v/>
      </c>
      <c r="F179" s="49" t="str">
        <f>IFERROR(__xludf.DUMMYFUNCTION("""COMPUTED_VALUE"""),"")</f>
        <v/>
      </c>
      <c r="G179" s="49" t="str">
        <f>IFERROR(__xludf.DUMMYFUNCTION("""COMPUTED_VALUE"""),"")</f>
        <v/>
      </c>
      <c r="H179" s="49" t="str">
        <f>IFERROR(__xludf.DUMMYFUNCTION("""COMPUTED_VALUE"""),"")</f>
        <v/>
      </c>
      <c r="I179" s="49" t="str">
        <f>IFERROR(__xludf.DUMMYFUNCTION("""COMPUTED_VALUE"""),"")</f>
        <v/>
      </c>
      <c r="J179" s="49" t="str">
        <f>IFERROR(__xludf.DUMMYFUNCTION("""COMPUTED_VALUE"""),"")</f>
        <v/>
      </c>
      <c r="K179" s="49" t="str">
        <f>IFERROR(__xludf.DUMMYFUNCTION("""COMPUTED_VALUE"""),"")</f>
        <v/>
      </c>
      <c r="L179" s="49" t="str">
        <f>IFERROR(__xludf.DUMMYFUNCTION("""COMPUTED_VALUE"""),"")</f>
        <v/>
      </c>
      <c r="M179" s="49" t="str">
        <f>IFERROR(__xludf.DUMMYFUNCTION("""COMPUTED_VALUE"""),"")</f>
        <v/>
      </c>
      <c r="N179" s="49" t="str">
        <f>IFERROR(__xludf.DUMMYFUNCTION("""COMPUTED_VALUE"""),"")</f>
        <v/>
      </c>
      <c r="O179" s="49" t="str">
        <f>IFERROR(__xludf.DUMMYFUNCTION("""COMPUTED_VALUE"""),"")</f>
        <v/>
      </c>
      <c r="P179" s="49" t="str">
        <f>IFERROR(__xludf.DUMMYFUNCTION("""COMPUTED_VALUE"""),"")</f>
        <v/>
      </c>
      <c r="Q179" s="49" t="str">
        <f>IFERROR(__xludf.DUMMYFUNCTION("""COMPUTED_VALUE"""),"")</f>
        <v/>
      </c>
      <c r="R179" s="49" t="str">
        <f>IFERROR(__xludf.DUMMYFUNCTION("""COMPUTED_VALUE"""),"")</f>
        <v/>
      </c>
      <c r="S179" s="49" t="str">
        <f>IFERROR(__xludf.DUMMYFUNCTION("""COMPUTED_VALUE"""),"")</f>
        <v/>
      </c>
      <c r="T179" s="49" t="str">
        <f>IFERROR(__xludf.DUMMYFUNCTION("""COMPUTED_VALUE"""),"")</f>
        <v/>
      </c>
      <c r="U179" s="49" t="str">
        <f>IFERROR(__xludf.DUMMYFUNCTION("""COMPUTED_VALUE"""),"")</f>
        <v/>
      </c>
      <c r="V179" s="49" t="str">
        <f>IFERROR(__xludf.DUMMYFUNCTION("""COMPUTED_VALUE"""),"")</f>
        <v/>
      </c>
      <c r="W179" s="49" t="str">
        <f>IFERROR(__xludf.DUMMYFUNCTION("""COMPUTED_VALUE"""),"")</f>
        <v/>
      </c>
      <c r="X179" s="49" t="str">
        <f>IFERROR(__xludf.DUMMYFUNCTION("""COMPUTED_VALUE"""),"")</f>
        <v/>
      </c>
      <c r="Y179" s="49" t="str">
        <f>IFERROR(__xludf.DUMMYFUNCTION("""COMPUTED_VALUE"""),"")</f>
        <v/>
      </c>
      <c r="Z179" s="49"/>
      <c r="AA179" s="49"/>
      <c r="AB179" s="49"/>
      <c r="AC179" s="49"/>
      <c r="AD179" s="49"/>
      <c r="AE179" s="49"/>
      <c r="AF179" s="49"/>
      <c r="AG179" s="49"/>
      <c r="AH179" s="49"/>
      <c r="AI179" s="49"/>
      <c r="AJ179" s="49"/>
      <c r="AK179" s="49"/>
      <c r="AL179" s="49"/>
      <c r="AM179" s="49"/>
      <c r="AN179" s="49"/>
      <c r="AO179" s="49"/>
      <c r="AP179" s="49"/>
      <c r="AQ179" s="49"/>
      <c r="AR179" s="49"/>
      <c r="AS179" s="49"/>
      <c r="AT179" s="49"/>
      <c r="AU179" s="49"/>
      <c r="AV179" s="49"/>
      <c r="AW179" s="49"/>
      <c r="AX179" s="49"/>
    </row>
    <row r="180">
      <c r="A180" s="49"/>
      <c r="B180" s="49"/>
      <c r="C180" s="49" t="str">
        <f>IFERROR(__xludf.DUMMYFUNCTION("""COMPUTED_VALUE"""),"")</f>
        <v/>
      </c>
      <c r="D180" s="49" t="str">
        <f>IFERROR(__xludf.DUMMYFUNCTION("""COMPUTED_VALUE"""),"")</f>
        <v/>
      </c>
      <c r="E180" s="49" t="str">
        <f>IFERROR(__xludf.DUMMYFUNCTION("""COMPUTED_VALUE"""),"")</f>
        <v/>
      </c>
      <c r="F180" s="49" t="str">
        <f>IFERROR(__xludf.DUMMYFUNCTION("""COMPUTED_VALUE"""),"")</f>
        <v/>
      </c>
      <c r="G180" s="49" t="str">
        <f>IFERROR(__xludf.DUMMYFUNCTION("""COMPUTED_VALUE"""),"")</f>
        <v/>
      </c>
      <c r="H180" s="49" t="str">
        <f>IFERROR(__xludf.DUMMYFUNCTION("""COMPUTED_VALUE"""),"")</f>
        <v/>
      </c>
      <c r="I180" s="49" t="str">
        <f>IFERROR(__xludf.DUMMYFUNCTION("""COMPUTED_VALUE"""),"")</f>
        <v/>
      </c>
      <c r="J180" s="49" t="str">
        <f>IFERROR(__xludf.DUMMYFUNCTION("""COMPUTED_VALUE"""),"")</f>
        <v/>
      </c>
      <c r="K180" s="49" t="str">
        <f>IFERROR(__xludf.DUMMYFUNCTION("""COMPUTED_VALUE"""),"")</f>
        <v/>
      </c>
      <c r="L180" s="49" t="str">
        <f>IFERROR(__xludf.DUMMYFUNCTION("""COMPUTED_VALUE"""),"")</f>
        <v/>
      </c>
      <c r="M180" s="49" t="str">
        <f>IFERROR(__xludf.DUMMYFUNCTION("""COMPUTED_VALUE"""),"")</f>
        <v/>
      </c>
      <c r="N180" s="49" t="str">
        <f>IFERROR(__xludf.DUMMYFUNCTION("""COMPUTED_VALUE"""),"")</f>
        <v/>
      </c>
      <c r="O180" s="49" t="str">
        <f>IFERROR(__xludf.DUMMYFUNCTION("""COMPUTED_VALUE"""),"")</f>
        <v/>
      </c>
      <c r="P180" s="49" t="str">
        <f>IFERROR(__xludf.DUMMYFUNCTION("""COMPUTED_VALUE"""),"")</f>
        <v/>
      </c>
      <c r="Q180" s="49" t="str">
        <f>IFERROR(__xludf.DUMMYFUNCTION("""COMPUTED_VALUE"""),"")</f>
        <v/>
      </c>
      <c r="R180" s="49" t="str">
        <f>IFERROR(__xludf.DUMMYFUNCTION("""COMPUTED_VALUE"""),"")</f>
        <v/>
      </c>
      <c r="S180" s="49" t="str">
        <f>IFERROR(__xludf.DUMMYFUNCTION("""COMPUTED_VALUE"""),"")</f>
        <v/>
      </c>
      <c r="T180" s="49" t="str">
        <f>IFERROR(__xludf.DUMMYFUNCTION("""COMPUTED_VALUE"""),"")</f>
        <v/>
      </c>
      <c r="U180" s="49" t="str">
        <f>IFERROR(__xludf.DUMMYFUNCTION("""COMPUTED_VALUE"""),"")</f>
        <v/>
      </c>
      <c r="V180" s="49" t="str">
        <f>IFERROR(__xludf.DUMMYFUNCTION("""COMPUTED_VALUE"""),"")</f>
        <v/>
      </c>
      <c r="W180" s="49" t="str">
        <f>IFERROR(__xludf.DUMMYFUNCTION("""COMPUTED_VALUE"""),"")</f>
        <v/>
      </c>
      <c r="X180" s="49" t="str">
        <f>IFERROR(__xludf.DUMMYFUNCTION("""COMPUTED_VALUE"""),"")</f>
        <v/>
      </c>
      <c r="Y180" s="49" t="str">
        <f>IFERROR(__xludf.DUMMYFUNCTION("""COMPUTED_VALUE"""),"")</f>
        <v/>
      </c>
      <c r="Z180" s="49"/>
      <c r="AA180" s="49"/>
      <c r="AB180" s="49"/>
      <c r="AC180" s="49"/>
      <c r="AD180" s="49"/>
      <c r="AE180" s="49"/>
      <c r="AF180" s="49"/>
      <c r="AG180" s="49"/>
      <c r="AH180" s="49"/>
      <c r="AI180" s="49"/>
      <c r="AJ180" s="49"/>
      <c r="AK180" s="49"/>
      <c r="AL180" s="49"/>
      <c r="AM180" s="49"/>
      <c r="AN180" s="49"/>
      <c r="AO180" s="49"/>
      <c r="AP180" s="49"/>
      <c r="AQ180" s="49"/>
      <c r="AR180" s="49"/>
      <c r="AS180" s="49"/>
      <c r="AT180" s="49"/>
      <c r="AU180" s="49"/>
      <c r="AV180" s="49"/>
      <c r="AW180" s="49"/>
      <c r="AX180" s="49"/>
    </row>
    <row r="181">
      <c r="A181" s="49"/>
      <c r="B181" s="49"/>
      <c r="C181" s="49" t="str">
        <f>IFERROR(__xludf.DUMMYFUNCTION("""COMPUTED_VALUE"""),"")</f>
        <v/>
      </c>
      <c r="D181" s="49" t="str">
        <f>IFERROR(__xludf.DUMMYFUNCTION("""COMPUTED_VALUE"""),"")</f>
        <v/>
      </c>
      <c r="E181" s="49" t="str">
        <f>IFERROR(__xludf.DUMMYFUNCTION("""COMPUTED_VALUE"""),"")</f>
        <v/>
      </c>
      <c r="F181" s="49" t="str">
        <f>IFERROR(__xludf.DUMMYFUNCTION("""COMPUTED_VALUE"""),"")</f>
        <v/>
      </c>
      <c r="G181" s="49" t="str">
        <f>IFERROR(__xludf.DUMMYFUNCTION("""COMPUTED_VALUE"""),"")</f>
        <v/>
      </c>
      <c r="H181" s="49" t="str">
        <f>IFERROR(__xludf.DUMMYFUNCTION("""COMPUTED_VALUE"""),"")</f>
        <v/>
      </c>
      <c r="I181" s="49" t="str">
        <f>IFERROR(__xludf.DUMMYFUNCTION("""COMPUTED_VALUE"""),"")</f>
        <v/>
      </c>
      <c r="J181" s="49" t="str">
        <f>IFERROR(__xludf.DUMMYFUNCTION("""COMPUTED_VALUE"""),"")</f>
        <v/>
      </c>
      <c r="K181" s="49" t="str">
        <f>IFERROR(__xludf.DUMMYFUNCTION("""COMPUTED_VALUE"""),"")</f>
        <v/>
      </c>
      <c r="L181" s="49" t="str">
        <f>IFERROR(__xludf.DUMMYFUNCTION("""COMPUTED_VALUE"""),"")</f>
        <v/>
      </c>
      <c r="M181" s="49" t="str">
        <f>IFERROR(__xludf.DUMMYFUNCTION("""COMPUTED_VALUE"""),"")</f>
        <v/>
      </c>
      <c r="N181" s="49" t="str">
        <f>IFERROR(__xludf.DUMMYFUNCTION("""COMPUTED_VALUE"""),"")</f>
        <v/>
      </c>
      <c r="O181" s="49" t="str">
        <f>IFERROR(__xludf.DUMMYFUNCTION("""COMPUTED_VALUE"""),"")</f>
        <v/>
      </c>
      <c r="P181" s="49" t="str">
        <f>IFERROR(__xludf.DUMMYFUNCTION("""COMPUTED_VALUE"""),"")</f>
        <v/>
      </c>
      <c r="Q181" s="49" t="str">
        <f>IFERROR(__xludf.DUMMYFUNCTION("""COMPUTED_VALUE"""),"")</f>
        <v/>
      </c>
      <c r="R181" s="49" t="str">
        <f>IFERROR(__xludf.DUMMYFUNCTION("""COMPUTED_VALUE"""),"")</f>
        <v/>
      </c>
      <c r="S181" s="49" t="str">
        <f>IFERROR(__xludf.DUMMYFUNCTION("""COMPUTED_VALUE"""),"")</f>
        <v/>
      </c>
      <c r="T181" s="49" t="str">
        <f>IFERROR(__xludf.DUMMYFUNCTION("""COMPUTED_VALUE"""),"")</f>
        <v/>
      </c>
      <c r="U181" s="49" t="str">
        <f>IFERROR(__xludf.DUMMYFUNCTION("""COMPUTED_VALUE"""),"")</f>
        <v/>
      </c>
      <c r="V181" s="49" t="str">
        <f>IFERROR(__xludf.DUMMYFUNCTION("""COMPUTED_VALUE"""),"")</f>
        <v/>
      </c>
      <c r="W181" s="49" t="str">
        <f>IFERROR(__xludf.DUMMYFUNCTION("""COMPUTED_VALUE"""),"")</f>
        <v/>
      </c>
      <c r="X181" s="49" t="str">
        <f>IFERROR(__xludf.DUMMYFUNCTION("""COMPUTED_VALUE"""),"")</f>
        <v/>
      </c>
      <c r="Y181" s="49" t="str">
        <f>IFERROR(__xludf.DUMMYFUNCTION("""COMPUTED_VALUE"""),"")</f>
        <v/>
      </c>
      <c r="Z181" s="49"/>
      <c r="AA181" s="49"/>
      <c r="AB181" s="49"/>
      <c r="AC181" s="49"/>
      <c r="AD181" s="49"/>
      <c r="AE181" s="49"/>
      <c r="AF181" s="49"/>
      <c r="AG181" s="49"/>
      <c r="AH181" s="49"/>
      <c r="AI181" s="49"/>
      <c r="AJ181" s="49"/>
      <c r="AK181" s="49"/>
      <c r="AL181" s="49"/>
      <c r="AM181" s="49"/>
      <c r="AN181" s="49"/>
      <c r="AO181" s="49"/>
      <c r="AP181" s="49"/>
      <c r="AQ181" s="49"/>
      <c r="AR181" s="49"/>
      <c r="AS181" s="49"/>
      <c r="AT181" s="49"/>
      <c r="AU181" s="49"/>
      <c r="AV181" s="49"/>
      <c r="AW181" s="49"/>
      <c r="AX181" s="49"/>
    </row>
    <row r="182">
      <c r="A182" s="49"/>
      <c r="B182" s="49"/>
      <c r="C182" s="49" t="str">
        <f>IFERROR(__xludf.DUMMYFUNCTION("""COMPUTED_VALUE"""),"")</f>
        <v/>
      </c>
      <c r="D182" s="49" t="str">
        <f>IFERROR(__xludf.DUMMYFUNCTION("""COMPUTED_VALUE"""),"")</f>
        <v/>
      </c>
      <c r="E182" s="49" t="str">
        <f>IFERROR(__xludf.DUMMYFUNCTION("""COMPUTED_VALUE"""),"")</f>
        <v/>
      </c>
      <c r="F182" s="49" t="str">
        <f>IFERROR(__xludf.DUMMYFUNCTION("""COMPUTED_VALUE"""),"")</f>
        <v/>
      </c>
      <c r="G182" s="49" t="str">
        <f>IFERROR(__xludf.DUMMYFUNCTION("""COMPUTED_VALUE"""),"")</f>
        <v/>
      </c>
      <c r="H182" s="49" t="str">
        <f>IFERROR(__xludf.DUMMYFUNCTION("""COMPUTED_VALUE"""),"")</f>
        <v/>
      </c>
      <c r="I182" s="49" t="str">
        <f>IFERROR(__xludf.DUMMYFUNCTION("""COMPUTED_VALUE"""),"")</f>
        <v/>
      </c>
      <c r="J182" s="49" t="str">
        <f>IFERROR(__xludf.DUMMYFUNCTION("""COMPUTED_VALUE"""),"")</f>
        <v/>
      </c>
      <c r="K182" s="49" t="str">
        <f>IFERROR(__xludf.DUMMYFUNCTION("""COMPUTED_VALUE"""),"")</f>
        <v/>
      </c>
      <c r="L182" s="49" t="str">
        <f>IFERROR(__xludf.DUMMYFUNCTION("""COMPUTED_VALUE"""),"")</f>
        <v/>
      </c>
      <c r="M182" s="49" t="str">
        <f>IFERROR(__xludf.DUMMYFUNCTION("""COMPUTED_VALUE"""),"")</f>
        <v/>
      </c>
      <c r="N182" s="49" t="str">
        <f>IFERROR(__xludf.DUMMYFUNCTION("""COMPUTED_VALUE"""),"")</f>
        <v/>
      </c>
      <c r="O182" s="49" t="str">
        <f>IFERROR(__xludf.DUMMYFUNCTION("""COMPUTED_VALUE"""),"")</f>
        <v/>
      </c>
      <c r="P182" s="49" t="str">
        <f>IFERROR(__xludf.DUMMYFUNCTION("""COMPUTED_VALUE"""),"")</f>
        <v/>
      </c>
      <c r="Q182" s="49" t="str">
        <f>IFERROR(__xludf.DUMMYFUNCTION("""COMPUTED_VALUE"""),"")</f>
        <v/>
      </c>
      <c r="R182" s="49" t="str">
        <f>IFERROR(__xludf.DUMMYFUNCTION("""COMPUTED_VALUE"""),"")</f>
        <v/>
      </c>
      <c r="S182" s="49" t="str">
        <f>IFERROR(__xludf.DUMMYFUNCTION("""COMPUTED_VALUE"""),"")</f>
        <v/>
      </c>
      <c r="T182" s="49" t="str">
        <f>IFERROR(__xludf.DUMMYFUNCTION("""COMPUTED_VALUE"""),"")</f>
        <v/>
      </c>
      <c r="U182" s="49" t="str">
        <f>IFERROR(__xludf.DUMMYFUNCTION("""COMPUTED_VALUE"""),"")</f>
        <v/>
      </c>
      <c r="V182" s="49" t="str">
        <f>IFERROR(__xludf.DUMMYFUNCTION("""COMPUTED_VALUE"""),"")</f>
        <v/>
      </c>
      <c r="W182" s="49" t="str">
        <f>IFERROR(__xludf.DUMMYFUNCTION("""COMPUTED_VALUE"""),"")</f>
        <v/>
      </c>
      <c r="X182" s="49" t="str">
        <f>IFERROR(__xludf.DUMMYFUNCTION("""COMPUTED_VALUE"""),"")</f>
        <v/>
      </c>
      <c r="Y182" s="49" t="str">
        <f>IFERROR(__xludf.DUMMYFUNCTION("""COMPUTED_VALUE"""),"")</f>
        <v/>
      </c>
      <c r="Z182" s="49"/>
      <c r="AA182" s="49"/>
      <c r="AB182" s="49"/>
      <c r="AC182" s="49"/>
      <c r="AD182" s="49"/>
      <c r="AE182" s="49"/>
      <c r="AF182" s="49"/>
      <c r="AG182" s="49"/>
      <c r="AH182" s="49"/>
      <c r="AI182" s="49"/>
      <c r="AJ182" s="49"/>
      <c r="AK182" s="49"/>
      <c r="AL182" s="49"/>
      <c r="AM182" s="49"/>
      <c r="AN182" s="49"/>
      <c r="AO182" s="49"/>
      <c r="AP182" s="49"/>
      <c r="AQ182" s="49"/>
      <c r="AR182" s="49"/>
      <c r="AS182" s="49"/>
      <c r="AT182" s="49"/>
      <c r="AU182" s="49"/>
      <c r="AV182" s="49"/>
      <c r="AW182" s="49"/>
      <c r="AX182" s="49"/>
    </row>
    <row r="183">
      <c r="A183" s="49"/>
      <c r="B183" s="49"/>
      <c r="C183" s="49" t="str">
        <f>IFERROR(__xludf.DUMMYFUNCTION("""COMPUTED_VALUE"""),"")</f>
        <v/>
      </c>
      <c r="D183" s="49" t="str">
        <f>IFERROR(__xludf.DUMMYFUNCTION("""COMPUTED_VALUE"""),"")</f>
        <v/>
      </c>
      <c r="E183" s="49" t="str">
        <f>IFERROR(__xludf.DUMMYFUNCTION("""COMPUTED_VALUE"""),"")</f>
        <v/>
      </c>
      <c r="F183" s="49" t="str">
        <f>IFERROR(__xludf.DUMMYFUNCTION("""COMPUTED_VALUE"""),"")</f>
        <v/>
      </c>
      <c r="G183" s="49" t="str">
        <f>IFERROR(__xludf.DUMMYFUNCTION("""COMPUTED_VALUE"""),"")</f>
        <v/>
      </c>
      <c r="H183" s="49" t="str">
        <f>IFERROR(__xludf.DUMMYFUNCTION("""COMPUTED_VALUE"""),"")</f>
        <v/>
      </c>
      <c r="I183" s="49" t="str">
        <f>IFERROR(__xludf.DUMMYFUNCTION("""COMPUTED_VALUE"""),"")</f>
        <v/>
      </c>
      <c r="J183" s="49" t="str">
        <f>IFERROR(__xludf.DUMMYFUNCTION("""COMPUTED_VALUE"""),"")</f>
        <v/>
      </c>
      <c r="K183" s="49" t="str">
        <f>IFERROR(__xludf.DUMMYFUNCTION("""COMPUTED_VALUE"""),"")</f>
        <v/>
      </c>
      <c r="L183" s="49" t="str">
        <f>IFERROR(__xludf.DUMMYFUNCTION("""COMPUTED_VALUE"""),"")</f>
        <v/>
      </c>
      <c r="M183" s="49" t="str">
        <f>IFERROR(__xludf.DUMMYFUNCTION("""COMPUTED_VALUE"""),"")</f>
        <v/>
      </c>
      <c r="N183" s="49" t="str">
        <f>IFERROR(__xludf.DUMMYFUNCTION("""COMPUTED_VALUE"""),"")</f>
        <v/>
      </c>
      <c r="O183" s="49" t="str">
        <f>IFERROR(__xludf.DUMMYFUNCTION("""COMPUTED_VALUE"""),"")</f>
        <v/>
      </c>
      <c r="P183" s="49" t="str">
        <f>IFERROR(__xludf.DUMMYFUNCTION("""COMPUTED_VALUE"""),"")</f>
        <v/>
      </c>
      <c r="Q183" s="49" t="str">
        <f>IFERROR(__xludf.DUMMYFUNCTION("""COMPUTED_VALUE"""),"")</f>
        <v/>
      </c>
      <c r="R183" s="49" t="str">
        <f>IFERROR(__xludf.DUMMYFUNCTION("""COMPUTED_VALUE"""),"")</f>
        <v/>
      </c>
      <c r="S183" s="49" t="str">
        <f>IFERROR(__xludf.DUMMYFUNCTION("""COMPUTED_VALUE"""),"")</f>
        <v/>
      </c>
      <c r="T183" s="49" t="str">
        <f>IFERROR(__xludf.DUMMYFUNCTION("""COMPUTED_VALUE"""),"")</f>
        <v/>
      </c>
      <c r="U183" s="49" t="str">
        <f>IFERROR(__xludf.DUMMYFUNCTION("""COMPUTED_VALUE"""),"")</f>
        <v/>
      </c>
      <c r="V183" s="49" t="str">
        <f>IFERROR(__xludf.DUMMYFUNCTION("""COMPUTED_VALUE"""),"")</f>
        <v/>
      </c>
      <c r="W183" s="49" t="str">
        <f>IFERROR(__xludf.DUMMYFUNCTION("""COMPUTED_VALUE"""),"")</f>
        <v/>
      </c>
      <c r="X183" s="49" t="str">
        <f>IFERROR(__xludf.DUMMYFUNCTION("""COMPUTED_VALUE"""),"")</f>
        <v/>
      </c>
      <c r="Y183" s="49" t="str">
        <f>IFERROR(__xludf.DUMMYFUNCTION("""COMPUTED_VALUE"""),"")</f>
        <v/>
      </c>
      <c r="Z183" s="49"/>
      <c r="AA183" s="49"/>
      <c r="AB183" s="49"/>
      <c r="AC183" s="49"/>
      <c r="AD183" s="49"/>
      <c r="AE183" s="49"/>
      <c r="AF183" s="49"/>
      <c r="AG183" s="49"/>
      <c r="AH183" s="49"/>
      <c r="AI183" s="49"/>
      <c r="AJ183" s="49"/>
      <c r="AK183" s="49"/>
      <c r="AL183" s="49"/>
      <c r="AM183" s="49"/>
      <c r="AN183" s="49"/>
      <c r="AO183" s="49"/>
      <c r="AP183" s="49"/>
      <c r="AQ183" s="49"/>
      <c r="AR183" s="49"/>
      <c r="AS183" s="49"/>
      <c r="AT183" s="49"/>
      <c r="AU183" s="49"/>
      <c r="AV183" s="49"/>
      <c r="AW183" s="49"/>
      <c r="AX183" s="49"/>
    </row>
    <row r="184">
      <c r="A184" s="49"/>
      <c r="B184" s="49"/>
      <c r="C184" s="49" t="str">
        <f>IFERROR(__xludf.DUMMYFUNCTION("""COMPUTED_VALUE"""),"")</f>
        <v/>
      </c>
      <c r="D184" s="49" t="str">
        <f>IFERROR(__xludf.DUMMYFUNCTION("""COMPUTED_VALUE"""),"")</f>
        <v/>
      </c>
      <c r="E184" s="49" t="str">
        <f>IFERROR(__xludf.DUMMYFUNCTION("""COMPUTED_VALUE"""),"")</f>
        <v/>
      </c>
      <c r="F184" s="49" t="str">
        <f>IFERROR(__xludf.DUMMYFUNCTION("""COMPUTED_VALUE"""),"")</f>
        <v/>
      </c>
      <c r="G184" s="49" t="str">
        <f>IFERROR(__xludf.DUMMYFUNCTION("""COMPUTED_VALUE"""),"")</f>
        <v/>
      </c>
      <c r="H184" s="49" t="str">
        <f>IFERROR(__xludf.DUMMYFUNCTION("""COMPUTED_VALUE"""),"")</f>
        <v/>
      </c>
      <c r="I184" s="49" t="str">
        <f>IFERROR(__xludf.DUMMYFUNCTION("""COMPUTED_VALUE"""),"")</f>
        <v/>
      </c>
      <c r="J184" s="49" t="str">
        <f>IFERROR(__xludf.DUMMYFUNCTION("""COMPUTED_VALUE"""),"")</f>
        <v/>
      </c>
      <c r="K184" s="49" t="str">
        <f>IFERROR(__xludf.DUMMYFUNCTION("""COMPUTED_VALUE"""),"")</f>
        <v/>
      </c>
      <c r="L184" s="49" t="str">
        <f>IFERROR(__xludf.DUMMYFUNCTION("""COMPUTED_VALUE"""),"")</f>
        <v/>
      </c>
      <c r="M184" s="49" t="str">
        <f>IFERROR(__xludf.DUMMYFUNCTION("""COMPUTED_VALUE"""),"")</f>
        <v/>
      </c>
      <c r="N184" s="49" t="str">
        <f>IFERROR(__xludf.DUMMYFUNCTION("""COMPUTED_VALUE"""),"")</f>
        <v/>
      </c>
      <c r="O184" s="49" t="str">
        <f>IFERROR(__xludf.DUMMYFUNCTION("""COMPUTED_VALUE"""),"")</f>
        <v/>
      </c>
      <c r="P184" s="49" t="str">
        <f>IFERROR(__xludf.DUMMYFUNCTION("""COMPUTED_VALUE"""),"")</f>
        <v/>
      </c>
      <c r="Q184" s="49" t="str">
        <f>IFERROR(__xludf.DUMMYFUNCTION("""COMPUTED_VALUE"""),"")</f>
        <v/>
      </c>
      <c r="R184" s="49" t="str">
        <f>IFERROR(__xludf.DUMMYFUNCTION("""COMPUTED_VALUE"""),"")</f>
        <v/>
      </c>
      <c r="S184" s="49" t="str">
        <f>IFERROR(__xludf.DUMMYFUNCTION("""COMPUTED_VALUE"""),"")</f>
        <v/>
      </c>
      <c r="T184" s="49" t="str">
        <f>IFERROR(__xludf.DUMMYFUNCTION("""COMPUTED_VALUE"""),"")</f>
        <v/>
      </c>
      <c r="U184" s="49" t="str">
        <f>IFERROR(__xludf.DUMMYFUNCTION("""COMPUTED_VALUE"""),"")</f>
        <v/>
      </c>
      <c r="V184" s="49" t="str">
        <f>IFERROR(__xludf.DUMMYFUNCTION("""COMPUTED_VALUE"""),"")</f>
        <v/>
      </c>
      <c r="W184" s="49" t="str">
        <f>IFERROR(__xludf.DUMMYFUNCTION("""COMPUTED_VALUE"""),"")</f>
        <v/>
      </c>
      <c r="X184" s="49" t="str">
        <f>IFERROR(__xludf.DUMMYFUNCTION("""COMPUTED_VALUE"""),"")</f>
        <v/>
      </c>
      <c r="Y184" s="49" t="str">
        <f>IFERROR(__xludf.DUMMYFUNCTION("""COMPUTED_VALUE"""),"")</f>
        <v/>
      </c>
      <c r="Z184" s="49"/>
      <c r="AA184" s="49"/>
      <c r="AB184" s="49"/>
      <c r="AC184" s="49"/>
      <c r="AD184" s="49"/>
      <c r="AE184" s="49"/>
      <c r="AF184" s="49"/>
      <c r="AG184" s="49"/>
      <c r="AH184" s="49"/>
      <c r="AI184" s="49"/>
      <c r="AJ184" s="49"/>
      <c r="AK184" s="49"/>
      <c r="AL184" s="49"/>
      <c r="AM184" s="49"/>
      <c r="AN184" s="49"/>
      <c r="AO184" s="49"/>
      <c r="AP184" s="49"/>
      <c r="AQ184" s="49"/>
      <c r="AR184" s="49"/>
      <c r="AS184" s="49"/>
      <c r="AT184" s="49"/>
      <c r="AU184" s="49"/>
      <c r="AV184" s="49"/>
      <c r="AW184" s="49"/>
      <c r="AX184" s="49"/>
    </row>
    <row r="185">
      <c r="A185" s="49"/>
      <c r="B185" s="49"/>
      <c r="C185" s="49" t="str">
        <f>IFERROR(__xludf.DUMMYFUNCTION("""COMPUTED_VALUE"""),"")</f>
        <v/>
      </c>
      <c r="D185" s="49" t="str">
        <f>IFERROR(__xludf.DUMMYFUNCTION("""COMPUTED_VALUE"""),"")</f>
        <v/>
      </c>
      <c r="E185" s="49" t="str">
        <f>IFERROR(__xludf.DUMMYFUNCTION("""COMPUTED_VALUE"""),"")</f>
        <v/>
      </c>
      <c r="F185" s="49" t="str">
        <f>IFERROR(__xludf.DUMMYFUNCTION("""COMPUTED_VALUE"""),"")</f>
        <v/>
      </c>
      <c r="G185" s="49" t="str">
        <f>IFERROR(__xludf.DUMMYFUNCTION("""COMPUTED_VALUE"""),"")</f>
        <v/>
      </c>
      <c r="H185" s="49" t="str">
        <f>IFERROR(__xludf.DUMMYFUNCTION("""COMPUTED_VALUE"""),"")</f>
        <v/>
      </c>
      <c r="I185" s="49" t="str">
        <f>IFERROR(__xludf.DUMMYFUNCTION("""COMPUTED_VALUE"""),"")</f>
        <v/>
      </c>
      <c r="J185" s="49" t="str">
        <f>IFERROR(__xludf.DUMMYFUNCTION("""COMPUTED_VALUE"""),"")</f>
        <v/>
      </c>
      <c r="K185" s="49" t="str">
        <f>IFERROR(__xludf.DUMMYFUNCTION("""COMPUTED_VALUE"""),"")</f>
        <v/>
      </c>
      <c r="L185" s="49" t="str">
        <f>IFERROR(__xludf.DUMMYFUNCTION("""COMPUTED_VALUE"""),"")</f>
        <v/>
      </c>
      <c r="M185" s="49" t="str">
        <f>IFERROR(__xludf.DUMMYFUNCTION("""COMPUTED_VALUE"""),"")</f>
        <v/>
      </c>
      <c r="N185" s="49" t="str">
        <f>IFERROR(__xludf.DUMMYFUNCTION("""COMPUTED_VALUE"""),"")</f>
        <v/>
      </c>
      <c r="O185" s="49" t="str">
        <f>IFERROR(__xludf.DUMMYFUNCTION("""COMPUTED_VALUE"""),"")</f>
        <v/>
      </c>
      <c r="P185" s="49" t="str">
        <f>IFERROR(__xludf.DUMMYFUNCTION("""COMPUTED_VALUE"""),"")</f>
        <v/>
      </c>
      <c r="Q185" s="49" t="str">
        <f>IFERROR(__xludf.DUMMYFUNCTION("""COMPUTED_VALUE"""),"")</f>
        <v/>
      </c>
      <c r="R185" s="49" t="str">
        <f>IFERROR(__xludf.DUMMYFUNCTION("""COMPUTED_VALUE"""),"")</f>
        <v/>
      </c>
      <c r="S185" s="49" t="str">
        <f>IFERROR(__xludf.DUMMYFUNCTION("""COMPUTED_VALUE"""),"")</f>
        <v/>
      </c>
      <c r="T185" s="49" t="str">
        <f>IFERROR(__xludf.DUMMYFUNCTION("""COMPUTED_VALUE"""),"")</f>
        <v/>
      </c>
      <c r="U185" s="49" t="str">
        <f>IFERROR(__xludf.DUMMYFUNCTION("""COMPUTED_VALUE"""),"")</f>
        <v/>
      </c>
      <c r="V185" s="49" t="str">
        <f>IFERROR(__xludf.DUMMYFUNCTION("""COMPUTED_VALUE"""),"")</f>
        <v/>
      </c>
      <c r="W185" s="49" t="str">
        <f>IFERROR(__xludf.DUMMYFUNCTION("""COMPUTED_VALUE"""),"")</f>
        <v/>
      </c>
      <c r="X185" s="49" t="str">
        <f>IFERROR(__xludf.DUMMYFUNCTION("""COMPUTED_VALUE"""),"")</f>
        <v/>
      </c>
      <c r="Y185" s="49" t="str">
        <f>IFERROR(__xludf.DUMMYFUNCTION("""COMPUTED_VALUE"""),"")</f>
        <v/>
      </c>
      <c r="Z185" s="49"/>
      <c r="AA185" s="49"/>
      <c r="AB185" s="49"/>
      <c r="AC185" s="49"/>
      <c r="AD185" s="49"/>
      <c r="AE185" s="49"/>
      <c r="AF185" s="49"/>
      <c r="AG185" s="49"/>
      <c r="AH185" s="49"/>
      <c r="AI185" s="49"/>
      <c r="AJ185" s="49"/>
      <c r="AK185" s="49"/>
      <c r="AL185" s="49"/>
      <c r="AM185" s="49"/>
      <c r="AN185" s="49"/>
      <c r="AO185" s="49"/>
      <c r="AP185" s="49"/>
      <c r="AQ185" s="49"/>
      <c r="AR185" s="49"/>
      <c r="AS185" s="49"/>
      <c r="AT185" s="49"/>
      <c r="AU185" s="49"/>
      <c r="AV185" s="49"/>
      <c r="AW185" s="49"/>
      <c r="AX185" s="49"/>
    </row>
    <row r="186">
      <c r="A186" s="49"/>
      <c r="B186" s="49"/>
      <c r="C186" s="49" t="str">
        <f>IFERROR(__xludf.DUMMYFUNCTION("""COMPUTED_VALUE"""),"")</f>
        <v/>
      </c>
      <c r="D186" s="49" t="str">
        <f>IFERROR(__xludf.DUMMYFUNCTION("""COMPUTED_VALUE"""),"")</f>
        <v/>
      </c>
      <c r="E186" s="49" t="str">
        <f>IFERROR(__xludf.DUMMYFUNCTION("""COMPUTED_VALUE"""),"")</f>
        <v/>
      </c>
      <c r="F186" s="49" t="str">
        <f>IFERROR(__xludf.DUMMYFUNCTION("""COMPUTED_VALUE"""),"")</f>
        <v/>
      </c>
      <c r="G186" s="49" t="str">
        <f>IFERROR(__xludf.DUMMYFUNCTION("""COMPUTED_VALUE"""),"")</f>
        <v/>
      </c>
      <c r="H186" s="49" t="str">
        <f>IFERROR(__xludf.DUMMYFUNCTION("""COMPUTED_VALUE"""),"")</f>
        <v/>
      </c>
      <c r="I186" s="49" t="str">
        <f>IFERROR(__xludf.DUMMYFUNCTION("""COMPUTED_VALUE"""),"")</f>
        <v/>
      </c>
      <c r="J186" s="49" t="str">
        <f>IFERROR(__xludf.DUMMYFUNCTION("""COMPUTED_VALUE"""),"")</f>
        <v/>
      </c>
      <c r="K186" s="49" t="str">
        <f>IFERROR(__xludf.DUMMYFUNCTION("""COMPUTED_VALUE"""),"")</f>
        <v/>
      </c>
      <c r="L186" s="49" t="str">
        <f>IFERROR(__xludf.DUMMYFUNCTION("""COMPUTED_VALUE"""),"")</f>
        <v/>
      </c>
      <c r="M186" s="49" t="str">
        <f>IFERROR(__xludf.DUMMYFUNCTION("""COMPUTED_VALUE"""),"")</f>
        <v/>
      </c>
      <c r="N186" s="49" t="str">
        <f>IFERROR(__xludf.DUMMYFUNCTION("""COMPUTED_VALUE"""),"")</f>
        <v/>
      </c>
      <c r="O186" s="49" t="str">
        <f>IFERROR(__xludf.DUMMYFUNCTION("""COMPUTED_VALUE"""),"")</f>
        <v/>
      </c>
      <c r="P186" s="49" t="str">
        <f>IFERROR(__xludf.DUMMYFUNCTION("""COMPUTED_VALUE"""),"")</f>
        <v/>
      </c>
      <c r="Q186" s="49" t="str">
        <f>IFERROR(__xludf.DUMMYFUNCTION("""COMPUTED_VALUE"""),"")</f>
        <v/>
      </c>
      <c r="R186" s="49" t="str">
        <f>IFERROR(__xludf.DUMMYFUNCTION("""COMPUTED_VALUE"""),"")</f>
        <v/>
      </c>
      <c r="S186" s="49" t="str">
        <f>IFERROR(__xludf.DUMMYFUNCTION("""COMPUTED_VALUE"""),"")</f>
        <v/>
      </c>
      <c r="T186" s="49" t="str">
        <f>IFERROR(__xludf.DUMMYFUNCTION("""COMPUTED_VALUE"""),"")</f>
        <v/>
      </c>
      <c r="U186" s="49" t="str">
        <f>IFERROR(__xludf.DUMMYFUNCTION("""COMPUTED_VALUE"""),"")</f>
        <v/>
      </c>
      <c r="V186" s="49" t="str">
        <f>IFERROR(__xludf.DUMMYFUNCTION("""COMPUTED_VALUE"""),"")</f>
        <v/>
      </c>
      <c r="W186" s="49" t="str">
        <f>IFERROR(__xludf.DUMMYFUNCTION("""COMPUTED_VALUE"""),"")</f>
        <v/>
      </c>
      <c r="X186" s="49" t="str">
        <f>IFERROR(__xludf.DUMMYFUNCTION("""COMPUTED_VALUE"""),"")</f>
        <v/>
      </c>
      <c r="Y186" s="49" t="str">
        <f>IFERROR(__xludf.DUMMYFUNCTION("""COMPUTED_VALUE"""),"")</f>
        <v/>
      </c>
      <c r="Z186" s="49"/>
      <c r="AA186" s="49"/>
      <c r="AB186" s="49"/>
      <c r="AC186" s="49"/>
      <c r="AD186" s="49"/>
      <c r="AE186" s="49"/>
      <c r="AF186" s="49"/>
      <c r="AG186" s="49"/>
      <c r="AH186" s="49"/>
      <c r="AI186" s="49"/>
      <c r="AJ186" s="49"/>
      <c r="AK186" s="49"/>
      <c r="AL186" s="49"/>
      <c r="AM186" s="49"/>
      <c r="AN186" s="49"/>
      <c r="AO186" s="49"/>
      <c r="AP186" s="49"/>
      <c r="AQ186" s="49"/>
      <c r="AR186" s="49"/>
      <c r="AS186" s="49"/>
      <c r="AT186" s="49"/>
      <c r="AU186" s="49"/>
      <c r="AV186" s="49"/>
      <c r="AW186" s="49"/>
      <c r="AX186" s="49"/>
    </row>
    <row r="187">
      <c r="A187" s="49"/>
      <c r="B187" s="49"/>
      <c r="C187" s="49" t="str">
        <f>IFERROR(__xludf.DUMMYFUNCTION("""COMPUTED_VALUE"""),"")</f>
        <v/>
      </c>
      <c r="D187" s="49" t="str">
        <f>IFERROR(__xludf.DUMMYFUNCTION("""COMPUTED_VALUE"""),"")</f>
        <v/>
      </c>
      <c r="E187" s="49" t="str">
        <f>IFERROR(__xludf.DUMMYFUNCTION("""COMPUTED_VALUE"""),"")</f>
        <v/>
      </c>
      <c r="F187" s="49" t="str">
        <f>IFERROR(__xludf.DUMMYFUNCTION("""COMPUTED_VALUE"""),"")</f>
        <v/>
      </c>
      <c r="G187" s="49" t="str">
        <f>IFERROR(__xludf.DUMMYFUNCTION("""COMPUTED_VALUE"""),"")</f>
        <v/>
      </c>
      <c r="H187" s="49" t="str">
        <f>IFERROR(__xludf.DUMMYFUNCTION("""COMPUTED_VALUE"""),"")</f>
        <v/>
      </c>
      <c r="I187" s="49" t="str">
        <f>IFERROR(__xludf.DUMMYFUNCTION("""COMPUTED_VALUE"""),"")</f>
        <v/>
      </c>
      <c r="J187" s="49" t="str">
        <f>IFERROR(__xludf.DUMMYFUNCTION("""COMPUTED_VALUE"""),"")</f>
        <v/>
      </c>
      <c r="K187" s="49" t="str">
        <f>IFERROR(__xludf.DUMMYFUNCTION("""COMPUTED_VALUE"""),"")</f>
        <v/>
      </c>
      <c r="L187" s="49" t="str">
        <f>IFERROR(__xludf.DUMMYFUNCTION("""COMPUTED_VALUE"""),"")</f>
        <v/>
      </c>
      <c r="M187" s="49" t="str">
        <f>IFERROR(__xludf.DUMMYFUNCTION("""COMPUTED_VALUE"""),"")</f>
        <v/>
      </c>
      <c r="N187" s="49" t="str">
        <f>IFERROR(__xludf.DUMMYFUNCTION("""COMPUTED_VALUE"""),"")</f>
        <v/>
      </c>
      <c r="O187" s="49" t="str">
        <f>IFERROR(__xludf.DUMMYFUNCTION("""COMPUTED_VALUE"""),"")</f>
        <v/>
      </c>
      <c r="P187" s="49" t="str">
        <f>IFERROR(__xludf.DUMMYFUNCTION("""COMPUTED_VALUE"""),"")</f>
        <v/>
      </c>
      <c r="Q187" s="49" t="str">
        <f>IFERROR(__xludf.DUMMYFUNCTION("""COMPUTED_VALUE"""),"")</f>
        <v/>
      </c>
      <c r="R187" s="49" t="str">
        <f>IFERROR(__xludf.DUMMYFUNCTION("""COMPUTED_VALUE"""),"")</f>
        <v/>
      </c>
      <c r="S187" s="49" t="str">
        <f>IFERROR(__xludf.DUMMYFUNCTION("""COMPUTED_VALUE"""),"")</f>
        <v/>
      </c>
      <c r="T187" s="49" t="str">
        <f>IFERROR(__xludf.DUMMYFUNCTION("""COMPUTED_VALUE"""),"")</f>
        <v/>
      </c>
      <c r="U187" s="49" t="str">
        <f>IFERROR(__xludf.DUMMYFUNCTION("""COMPUTED_VALUE"""),"")</f>
        <v/>
      </c>
      <c r="V187" s="49" t="str">
        <f>IFERROR(__xludf.DUMMYFUNCTION("""COMPUTED_VALUE"""),"")</f>
        <v/>
      </c>
      <c r="W187" s="49" t="str">
        <f>IFERROR(__xludf.DUMMYFUNCTION("""COMPUTED_VALUE"""),"")</f>
        <v/>
      </c>
      <c r="X187" s="49" t="str">
        <f>IFERROR(__xludf.DUMMYFUNCTION("""COMPUTED_VALUE"""),"")</f>
        <v/>
      </c>
      <c r="Y187" s="49" t="str">
        <f>IFERROR(__xludf.DUMMYFUNCTION("""COMPUTED_VALUE"""),"")</f>
        <v/>
      </c>
      <c r="Z187" s="49"/>
      <c r="AA187" s="49"/>
      <c r="AB187" s="49"/>
      <c r="AC187" s="49"/>
      <c r="AD187" s="49"/>
      <c r="AE187" s="49"/>
      <c r="AF187" s="49"/>
      <c r="AG187" s="49"/>
      <c r="AH187" s="49"/>
      <c r="AI187" s="49"/>
      <c r="AJ187" s="49"/>
      <c r="AK187" s="49"/>
      <c r="AL187" s="49"/>
      <c r="AM187" s="49"/>
      <c r="AN187" s="49"/>
      <c r="AO187" s="49"/>
      <c r="AP187" s="49"/>
      <c r="AQ187" s="49"/>
      <c r="AR187" s="49"/>
      <c r="AS187" s="49"/>
      <c r="AT187" s="49"/>
      <c r="AU187" s="49"/>
      <c r="AV187" s="49"/>
      <c r="AW187" s="49"/>
      <c r="AX187" s="49"/>
    </row>
    <row r="188">
      <c r="A188" s="49"/>
      <c r="B188" s="49"/>
      <c r="C188" s="49" t="str">
        <f>IFERROR(__xludf.DUMMYFUNCTION("""COMPUTED_VALUE"""),"")</f>
        <v/>
      </c>
      <c r="D188" s="49" t="str">
        <f>IFERROR(__xludf.DUMMYFUNCTION("""COMPUTED_VALUE"""),"")</f>
        <v/>
      </c>
      <c r="E188" s="49" t="str">
        <f>IFERROR(__xludf.DUMMYFUNCTION("""COMPUTED_VALUE"""),"")</f>
        <v/>
      </c>
      <c r="F188" s="49" t="str">
        <f>IFERROR(__xludf.DUMMYFUNCTION("""COMPUTED_VALUE"""),"")</f>
        <v/>
      </c>
      <c r="G188" s="49" t="str">
        <f>IFERROR(__xludf.DUMMYFUNCTION("""COMPUTED_VALUE"""),"")</f>
        <v/>
      </c>
      <c r="H188" s="49" t="str">
        <f>IFERROR(__xludf.DUMMYFUNCTION("""COMPUTED_VALUE"""),"")</f>
        <v/>
      </c>
      <c r="I188" s="49" t="str">
        <f>IFERROR(__xludf.DUMMYFUNCTION("""COMPUTED_VALUE"""),"")</f>
        <v/>
      </c>
      <c r="J188" s="49" t="str">
        <f>IFERROR(__xludf.DUMMYFUNCTION("""COMPUTED_VALUE"""),"")</f>
        <v/>
      </c>
      <c r="K188" s="49" t="str">
        <f>IFERROR(__xludf.DUMMYFUNCTION("""COMPUTED_VALUE"""),"")</f>
        <v/>
      </c>
      <c r="L188" s="49" t="str">
        <f>IFERROR(__xludf.DUMMYFUNCTION("""COMPUTED_VALUE"""),"")</f>
        <v/>
      </c>
      <c r="M188" s="49" t="str">
        <f>IFERROR(__xludf.DUMMYFUNCTION("""COMPUTED_VALUE"""),"")</f>
        <v/>
      </c>
      <c r="N188" s="49" t="str">
        <f>IFERROR(__xludf.DUMMYFUNCTION("""COMPUTED_VALUE"""),"")</f>
        <v/>
      </c>
      <c r="O188" s="49" t="str">
        <f>IFERROR(__xludf.DUMMYFUNCTION("""COMPUTED_VALUE"""),"")</f>
        <v/>
      </c>
      <c r="P188" s="49" t="str">
        <f>IFERROR(__xludf.DUMMYFUNCTION("""COMPUTED_VALUE"""),"")</f>
        <v/>
      </c>
      <c r="Q188" s="49" t="str">
        <f>IFERROR(__xludf.DUMMYFUNCTION("""COMPUTED_VALUE"""),"")</f>
        <v/>
      </c>
      <c r="R188" s="49" t="str">
        <f>IFERROR(__xludf.DUMMYFUNCTION("""COMPUTED_VALUE"""),"")</f>
        <v/>
      </c>
      <c r="S188" s="49" t="str">
        <f>IFERROR(__xludf.DUMMYFUNCTION("""COMPUTED_VALUE"""),"")</f>
        <v/>
      </c>
      <c r="T188" s="49" t="str">
        <f>IFERROR(__xludf.DUMMYFUNCTION("""COMPUTED_VALUE"""),"")</f>
        <v/>
      </c>
      <c r="U188" s="49" t="str">
        <f>IFERROR(__xludf.DUMMYFUNCTION("""COMPUTED_VALUE"""),"")</f>
        <v/>
      </c>
      <c r="V188" s="49" t="str">
        <f>IFERROR(__xludf.DUMMYFUNCTION("""COMPUTED_VALUE"""),"")</f>
        <v/>
      </c>
      <c r="W188" s="49" t="str">
        <f>IFERROR(__xludf.DUMMYFUNCTION("""COMPUTED_VALUE"""),"")</f>
        <v/>
      </c>
      <c r="X188" s="49" t="str">
        <f>IFERROR(__xludf.DUMMYFUNCTION("""COMPUTED_VALUE"""),"")</f>
        <v/>
      </c>
      <c r="Y188" s="49" t="str">
        <f>IFERROR(__xludf.DUMMYFUNCTION("""COMPUTED_VALUE"""),"")</f>
        <v/>
      </c>
      <c r="Z188" s="49"/>
      <c r="AA188" s="49"/>
      <c r="AB188" s="49"/>
      <c r="AC188" s="49"/>
      <c r="AD188" s="49"/>
      <c r="AE188" s="49"/>
      <c r="AF188" s="49"/>
      <c r="AG188" s="49"/>
      <c r="AH188" s="49"/>
      <c r="AI188" s="49"/>
      <c r="AJ188" s="49"/>
      <c r="AK188" s="49"/>
      <c r="AL188" s="49"/>
      <c r="AM188" s="49"/>
      <c r="AN188" s="49"/>
      <c r="AO188" s="49"/>
      <c r="AP188" s="49"/>
      <c r="AQ188" s="49"/>
      <c r="AR188" s="49"/>
      <c r="AS188" s="49"/>
      <c r="AT188" s="49"/>
      <c r="AU188" s="49"/>
      <c r="AV188" s="49"/>
      <c r="AW188" s="49"/>
      <c r="AX188" s="49"/>
    </row>
    <row r="189">
      <c r="A189" s="49"/>
      <c r="B189" s="49"/>
      <c r="C189" s="49" t="str">
        <f>IFERROR(__xludf.DUMMYFUNCTION("""COMPUTED_VALUE"""),"")</f>
        <v/>
      </c>
      <c r="D189" s="49" t="str">
        <f>IFERROR(__xludf.DUMMYFUNCTION("""COMPUTED_VALUE"""),"")</f>
        <v/>
      </c>
      <c r="E189" s="49" t="str">
        <f>IFERROR(__xludf.DUMMYFUNCTION("""COMPUTED_VALUE"""),"")</f>
        <v/>
      </c>
      <c r="F189" s="49" t="str">
        <f>IFERROR(__xludf.DUMMYFUNCTION("""COMPUTED_VALUE"""),"")</f>
        <v/>
      </c>
      <c r="G189" s="49" t="str">
        <f>IFERROR(__xludf.DUMMYFUNCTION("""COMPUTED_VALUE"""),"")</f>
        <v/>
      </c>
      <c r="H189" s="49" t="str">
        <f>IFERROR(__xludf.DUMMYFUNCTION("""COMPUTED_VALUE"""),"")</f>
        <v/>
      </c>
      <c r="I189" s="49" t="str">
        <f>IFERROR(__xludf.DUMMYFUNCTION("""COMPUTED_VALUE"""),"")</f>
        <v/>
      </c>
      <c r="J189" s="49" t="str">
        <f>IFERROR(__xludf.DUMMYFUNCTION("""COMPUTED_VALUE"""),"")</f>
        <v/>
      </c>
      <c r="K189" s="49" t="str">
        <f>IFERROR(__xludf.DUMMYFUNCTION("""COMPUTED_VALUE"""),"")</f>
        <v/>
      </c>
      <c r="L189" s="49" t="str">
        <f>IFERROR(__xludf.DUMMYFUNCTION("""COMPUTED_VALUE"""),"")</f>
        <v/>
      </c>
      <c r="M189" s="49" t="str">
        <f>IFERROR(__xludf.DUMMYFUNCTION("""COMPUTED_VALUE"""),"")</f>
        <v/>
      </c>
      <c r="N189" s="49" t="str">
        <f>IFERROR(__xludf.DUMMYFUNCTION("""COMPUTED_VALUE"""),"")</f>
        <v/>
      </c>
      <c r="O189" s="49" t="str">
        <f>IFERROR(__xludf.DUMMYFUNCTION("""COMPUTED_VALUE"""),"")</f>
        <v/>
      </c>
      <c r="P189" s="49" t="str">
        <f>IFERROR(__xludf.DUMMYFUNCTION("""COMPUTED_VALUE"""),"")</f>
        <v/>
      </c>
      <c r="Q189" s="49" t="str">
        <f>IFERROR(__xludf.DUMMYFUNCTION("""COMPUTED_VALUE"""),"")</f>
        <v/>
      </c>
      <c r="R189" s="49" t="str">
        <f>IFERROR(__xludf.DUMMYFUNCTION("""COMPUTED_VALUE"""),"")</f>
        <v/>
      </c>
      <c r="S189" s="49" t="str">
        <f>IFERROR(__xludf.DUMMYFUNCTION("""COMPUTED_VALUE"""),"")</f>
        <v/>
      </c>
      <c r="T189" s="49" t="str">
        <f>IFERROR(__xludf.DUMMYFUNCTION("""COMPUTED_VALUE"""),"")</f>
        <v/>
      </c>
      <c r="U189" s="49" t="str">
        <f>IFERROR(__xludf.DUMMYFUNCTION("""COMPUTED_VALUE"""),"")</f>
        <v/>
      </c>
      <c r="V189" s="49" t="str">
        <f>IFERROR(__xludf.DUMMYFUNCTION("""COMPUTED_VALUE"""),"")</f>
        <v/>
      </c>
      <c r="W189" s="49" t="str">
        <f>IFERROR(__xludf.DUMMYFUNCTION("""COMPUTED_VALUE"""),"")</f>
        <v/>
      </c>
      <c r="X189" s="49" t="str">
        <f>IFERROR(__xludf.DUMMYFUNCTION("""COMPUTED_VALUE"""),"")</f>
        <v/>
      </c>
      <c r="Y189" s="49" t="str">
        <f>IFERROR(__xludf.DUMMYFUNCTION("""COMPUTED_VALUE"""),"")</f>
        <v/>
      </c>
      <c r="Z189" s="49"/>
      <c r="AA189" s="49"/>
      <c r="AB189" s="49"/>
      <c r="AC189" s="49"/>
      <c r="AD189" s="49"/>
      <c r="AE189" s="49"/>
      <c r="AF189" s="49"/>
      <c r="AG189" s="49"/>
      <c r="AH189" s="49"/>
      <c r="AI189" s="49"/>
      <c r="AJ189" s="49"/>
      <c r="AK189" s="49"/>
      <c r="AL189" s="49"/>
      <c r="AM189" s="49"/>
      <c r="AN189" s="49"/>
      <c r="AO189" s="49"/>
      <c r="AP189" s="49"/>
      <c r="AQ189" s="49"/>
      <c r="AR189" s="49"/>
      <c r="AS189" s="49"/>
      <c r="AT189" s="49"/>
      <c r="AU189" s="49"/>
      <c r="AV189" s="49"/>
      <c r="AW189" s="49"/>
      <c r="AX189" s="49"/>
    </row>
    <row r="190">
      <c r="A190" s="49"/>
      <c r="B190" s="49"/>
      <c r="C190" s="49" t="str">
        <f>IFERROR(__xludf.DUMMYFUNCTION("""COMPUTED_VALUE"""),"")</f>
        <v/>
      </c>
      <c r="D190" s="49" t="str">
        <f>IFERROR(__xludf.DUMMYFUNCTION("""COMPUTED_VALUE"""),"")</f>
        <v/>
      </c>
      <c r="E190" s="49" t="str">
        <f>IFERROR(__xludf.DUMMYFUNCTION("""COMPUTED_VALUE"""),"")</f>
        <v/>
      </c>
      <c r="F190" s="49" t="str">
        <f>IFERROR(__xludf.DUMMYFUNCTION("""COMPUTED_VALUE"""),"")</f>
        <v/>
      </c>
      <c r="G190" s="49" t="str">
        <f>IFERROR(__xludf.DUMMYFUNCTION("""COMPUTED_VALUE"""),"")</f>
        <v/>
      </c>
      <c r="H190" s="49" t="str">
        <f>IFERROR(__xludf.DUMMYFUNCTION("""COMPUTED_VALUE"""),"")</f>
        <v/>
      </c>
      <c r="I190" s="49" t="str">
        <f>IFERROR(__xludf.DUMMYFUNCTION("""COMPUTED_VALUE"""),"")</f>
        <v/>
      </c>
      <c r="J190" s="49" t="str">
        <f>IFERROR(__xludf.DUMMYFUNCTION("""COMPUTED_VALUE"""),"")</f>
        <v/>
      </c>
      <c r="K190" s="49" t="str">
        <f>IFERROR(__xludf.DUMMYFUNCTION("""COMPUTED_VALUE"""),"")</f>
        <v/>
      </c>
      <c r="L190" s="49" t="str">
        <f>IFERROR(__xludf.DUMMYFUNCTION("""COMPUTED_VALUE"""),"")</f>
        <v/>
      </c>
      <c r="M190" s="49" t="str">
        <f>IFERROR(__xludf.DUMMYFUNCTION("""COMPUTED_VALUE"""),"")</f>
        <v/>
      </c>
      <c r="N190" s="49" t="str">
        <f>IFERROR(__xludf.DUMMYFUNCTION("""COMPUTED_VALUE"""),"")</f>
        <v/>
      </c>
      <c r="O190" s="49" t="str">
        <f>IFERROR(__xludf.DUMMYFUNCTION("""COMPUTED_VALUE"""),"")</f>
        <v/>
      </c>
      <c r="P190" s="49" t="str">
        <f>IFERROR(__xludf.DUMMYFUNCTION("""COMPUTED_VALUE"""),"")</f>
        <v/>
      </c>
      <c r="Q190" s="49" t="str">
        <f>IFERROR(__xludf.DUMMYFUNCTION("""COMPUTED_VALUE"""),"")</f>
        <v/>
      </c>
      <c r="R190" s="49" t="str">
        <f>IFERROR(__xludf.DUMMYFUNCTION("""COMPUTED_VALUE"""),"")</f>
        <v/>
      </c>
      <c r="S190" s="49" t="str">
        <f>IFERROR(__xludf.DUMMYFUNCTION("""COMPUTED_VALUE"""),"")</f>
        <v/>
      </c>
      <c r="T190" s="49" t="str">
        <f>IFERROR(__xludf.DUMMYFUNCTION("""COMPUTED_VALUE"""),"")</f>
        <v/>
      </c>
      <c r="U190" s="49" t="str">
        <f>IFERROR(__xludf.DUMMYFUNCTION("""COMPUTED_VALUE"""),"")</f>
        <v/>
      </c>
      <c r="V190" s="49" t="str">
        <f>IFERROR(__xludf.DUMMYFUNCTION("""COMPUTED_VALUE"""),"")</f>
        <v/>
      </c>
      <c r="W190" s="49" t="str">
        <f>IFERROR(__xludf.DUMMYFUNCTION("""COMPUTED_VALUE"""),"")</f>
        <v/>
      </c>
      <c r="X190" s="49" t="str">
        <f>IFERROR(__xludf.DUMMYFUNCTION("""COMPUTED_VALUE"""),"")</f>
        <v/>
      </c>
      <c r="Y190" s="49" t="str">
        <f>IFERROR(__xludf.DUMMYFUNCTION("""COMPUTED_VALUE"""),"")</f>
        <v/>
      </c>
      <c r="Z190" s="49"/>
      <c r="AA190" s="49"/>
      <c r="AB190" s="49"/>
      <c r="AC190" s="49"/>
      <c r="AD190" s="49"/>
      <c r="AE190" s="49"/>
      <c r="AF190" s="49"/>
      <c r="AG190" s="49"/>
      <c r="AH190" s="49"/>
      <c r="AI190" s="49"/>
      <c r="AJ190" s="49"/>
      <c r="AK190" s="49"/>
      <c r="AL190" s="49"/>
      <c r="AM190" s="49"/>
      <c r="AN190" s="49"/>
      <c r="AO190" s="49"/>
      <c r="AP190" s="49"/>
      <c r="AQ190" s="49"/>
      <c r="AR190" s="49"/>
      <c r="AS190" s="49"/>
      <c r="AT190" s="49"/>
      <c r="AU190" s="49"/>
      <c r="AV190" s="49"/>
      <c r="AW190" s="49"/>
      <c r="AX190" s="49"/>
    </row>
    <row r="191">
      <c r="A191" s="49"/>
      <c r="B191" s="49"/>
      <c r="C191" s="49" t="str">
        <f>IFERROR(__xludf.DUMMYFUNCTION("""COMPUTED_VALUE"""),"")</f>
        <v/>
      </c>
      <c r="D191" s="49" t="str">
        <f>IFERROR(__xludf.DUMMYFUNCTION("""COMPUTED_VALUE"""),"")</f>
        <v/>
      </c>
      <c r="E191" s="49" t="str">
        <f>IFERROR(__xludf.DUMMYFUNCTION("""COMPUTED_VALUE"""),"")</f>
        <v/>
      </c>
      <c r="F191" s="49" t="str">
        <f>IFERROR(__xludf.DUMMYFUNCTION("""COMPUTED_VALUE"""),"")</f>
        <v/>
      </c>
      <c r="G191" s="49" t="str">
        <f>IFERROR(__xludf.DUMMYFUNCTION("""COMPUTED_VALUE"""),"")</f>
        <v/>
      </c>
      <c r="H191" s="49" t="str">
        <f>IFERROR(__xludf.DUMMYFUNCTION("""COMPUTED_VALUE"""),"")</f>
        <v/>
      </c>
      <c r="I191" s="49" t="str">
        <f>IFERROR(__xludf.DUMMYFUNCTION("""COMPUTED_VALUE"""),"")</f>
        <v/>
      </c>
      <c r="J191" s="49" t="str">
        <f>IFERROR(__xludf.DUMMYFUNCTION("""COMPUTED_VALUE"""),"")</f>
        <v/>
      </c>
      <c r="K191" s="49" t="str">
        <f>IFERROR(__xludf.DUMMYFUNCTION("""COMPUTED_VALUE"""),"")</f>
        <v/>
      </c>
      <c r="L191" s="49" t="str">
        <f>IFERROR(__xludf.DUMMYFUNCTION("""COMPUTED_VALUE"""),"")</f>
        <v/>
      </c>
      <c r="M191" s="49" t="str">
        <f>IFERROR(__xludf.DUMMYFUNCTION("""COMPUTED_VALUE"""),"")</f>
        <v/>
      </c>
      <c r="N191" s="49" t="str">
        <f>IFERROR(__xludf.DUMMYFUNCTION("""COMPUTED_VALUE"""),"")</f>
        <v/>
      </c>
      <c r="O191" s="49" t="str">
        <f>IFERROR(__xludf.DUMMYFUNCTION("""COMPUTED_VALUE"""),"")</f>
        <v/>
      </c>
      <c r="P191" s="49" t="str">
        <f>IFERROR(__xludf.DUMMYFUNCTION("""COMPUTED_VALUE"""),"")</f>
        <v/>
      </c>
      <c r="Q191" s="49" t="str">
        <f>IFERROR(__xludf.DUMMYFUNCTION("""COMPUTED_VALUE"""),"")</f>
        <v/>
      </c>
      <c r="R191" s="49" t="str">
        <f>IFERROR(__xludf.DUMMYFUNCTION("""COMPUTED_VALUE"""),"")</f>
        <v/>
      </c>
      <c r="S191" s="49" t="str">
        <f>IFERROR(__xludf.DUMMYFUNCTION("""COMPUTED_VALUE"""),"")</f>
        <v/>
      </c>
      <c r="T191" s="49" t="str">
        <f>IFERROR(__xludf.DUMMYFUNCTION("""COMPUTED_VALUE"""),"")</f>
        <v/>
      </c>
      <c r="U191" s="49" t="str">
        <f>IFERROR(__xludf.DUMMYFUNCTION("""COMPUTED_VALUE"""),"")</f>
        <v/>
      </c>
      <c r="V191" s="49" t="str">
        <f>IFERROR(__xludf.DUMMYFUNCTION("""COMPUTED_VALUE"""),"")</f>
        <v/>
      </c>
      <c r="W191" s="49" t="str">
        <f>IFERROR(__xludf.DUMMYFUNCTION("""COMPUTED_VALUE"""),"")</f>
        <v/>
      </c>
      <c r="X191" s="49" t="str">
        <f>IFERROR(__xludf.DUMMYFUNCTION("""COMPUTED_VALUE"""),"")</f>
        <v/>
      </c>
      <c r="Y191" s="49" t="str">
        <f>IFERROR(__xludf.DUMMYFUNCTION("""COMPUTED_VALUE"""),"")</f>
        <v/>
      </c>
      <c r="Z191" s="49"/>
      <c r="AA191" s="49"/>
      <c r="AB191" s="49"/>
      <c r="AC191" s="49"/>
      <c r="AD191" s="49"/>
      <c r="AE191" s="49"/>
      <c r="AF191" s="49"/>
      <c r="AG191" s="49"/>
      <c r="AH191" s="49"/>
      <c r="AI191" s="49"/>
      <c r="AJ191" s="49"/>
      <c r="AK191" s="49"/>
      <c r="AL191" s="49"/>
      <c r="AM191" s="49"/>
      <c r="AN191" s="49"/>
      <c r="AO191" s="49"/>
      <c r="AP191" s="49"/>
      <c r="AQ191" s="49"/>
      <c r="AR191" s="49"/>
      <c r="AS191" s="49"/>
      <c r="AT191" s="49"/>
      <c r="AU191" s="49"/>
      <c r="AV191" s="49"/>
      <c r="AW191" s="49"/>
      <c r="AX191" s="49"/>
    </row>
    <row r="192">
      <c r="A192" s="49"/>
      <c r="B192" s="49"/>
      <c r="C192" s="49" t="str">
        <f>IFERROR(__xludf.DUMMYFUNCTION("""COMPUTED_VALUE"""),"")</f>
        <v/>
      </c>
      <c r="D192" s="49" t="str">
        <f>IFERROR(__xludf.DUMMYFUNCTION("""COMPUTED_VALUE"""),"")</f>
        <v/>
      </c>
      <c r="E192" s="49" t="str">
        <f>IFERROR(__xludf.DUMMYFUNCTION("""COMPUTED_VALUE"""),"")</f>
        <v/>
      </c>
      <c r="F192" s="49" t="str">
        <f>IFERROR(__xludf.DUMMYFUNCTION("""COMPUTED_VALUE"""),"")</f>
        <v/>
      </c>
      <c r="G192" s="49" t="str">
        <f>IFERROR(__xludf.DUMMYFUNCTION("""COMPUTED_VALUE"""),"")</f>
        <v/>
      </c>
      <c r="H192" s="49" t="str">
        <f>IFERROR(__xludf.DUMMYFUNCTION("""COMPUTED_VALUE"""),"")</f>
        <v/>
      </c>
      <c r="I192" s="49" t="str">
        <f>IFERROR(__xludf.DUMMYFUNCTION("""COMPUTED_VALUE"""),"")</f>
        <v/>
      </c>
      <c r="J192" s="49" t="str">
        <f>IFERROR(__xludf.DUMMYFUNCTION("""COMPUTED_VALUE"""),"")</f>
        <v/>
      </c>
      <c r="K192" s="49" t="str">
        <f>IFERROR(__xludf.DUMMYFUNCTION("""COMPUTED_VALUE"""),"")</f>
        <v/>
      </c>
      <c r="L192" s="49" t="str">
        <f>IFERROR(__xludf.DUMMYFUNCTION("""COMPUTED_VALUE"""),"")</f>
        <v/>
      </c>
      <c r="M192" s="49" t="str">
        <f>IFERROR(__xludf.DUMMYFUNCTION("""COMPUTED_VALUE"""),"")</f>
        <v/>
      </c>
      <c r="N192" s="49" t="str">
        <f>IFERROR(__xludf.DUMMYFUNCTION("""COMPUTED_VALUE"""),"")</f>
        <v/>
      </c>
      <c r="O192" s="49" t="str">
        <f>IFERROR(__xludf.DUMMYFUNCTION("""COMPUTED_VALUE"""),"")</f>
        <v/>
      </c>
      <c r="P192" s="49" t="str">
        <f>IFERROR(__xludf.DUMMYFUNCTION("""COMPUTED_VALUE"""),"")</f>
        <v/>
      </c>
      <c r="Q192" s="49" t="str">
        <f>IFERROR(__xludf.DUMMYFUNCTION("""COMPUTED_VALUE"""),"")</f>
        <v/>
      </c>
      <c r="R192" s="49" t="str">
        <f>IFERROR(__xludf.DUMMYFUNCTION("""COMPUTED_VALUE"""),"")</f>
        <v/>
      </c>
      <c r="S192" s="49" t="str">
        <f>IFERROR(__xludf.DUMMYFUNCTION("""COMPUTED_VALUE"""),"")</f>
        <v/>
      </c>
      <c r="T192" s="49" t="str">
        <f>IFERROR(__xludf.DUMMYFUNCTION("""COMPUTED_VALUE"""),"")</f>
        <v/>
      </c>
      <c r="U192" s="49" t="str">
        <f>IFERROR(__xludf.DUMMYFUNCTION("""COMPUTED_VALUE"""),"")</f>
        <v/>
      </c>
      <c r="V192" s="49" t="str">
        <f>IFERROR(__xludf.DUMMYFUNCTION("""COMPUTED_VALUE"""),"")</f>
        <v/>
      </c>
      <c r="W192" s="49" t="str">
        <f>IFERROR(__xludf.DUMMYFUNCTION("""COMPUTED_VALUE"""),"")</f>
        <v/>
      </c>
      <c r="X192" s="49" t="str">
        <f>IFERROR(__xludf.DUMMYFUNCTION("""COMPUTED_VALUE"""),"")</f>
        <v/>
      </c>
      <c r="Y192" s="49" t="str">
        <f>IFERROR(__xludf.DUMMYFUNCTION("""COMPUTED_VALUE"""),"")</f>
        <v/>
      </c>
      <c r="Z192" s="49"/>
      <c r="AA192" s="49"/>
      <c r="AB192" s="49"/>
      <c r="AC192" s="49"/>
      <c r="AD192" s="49"/>
      <c r="AE192" s="49"/>
      <c r="AF192" s="49"/>
      <c r="AG192" s="49"/>
      <c r="AH192" s="49"/>
      <c r="AI192" s="49"/>
      <c r="AJ192" s="49"/>
      <c r="AK192" s="49"/>
      <c r="AL192" s="49"/>
      <c r="AM192" s="49"/>
      <c r="AN192" s="49"/>
      <c r="AO192" s="49"/>
      <c r="AP192" s="49"/>
      <c r="AQ192" s="49"/>
      <c r="AR192" s="49"/>
      <c r="AS192" s="49"/>
      <c r="AT192" s="49"/>
      <c r="AU192" s="49"/>
      <c r="AV192" s="49"/>
      <c r="AW192" s="49"/>
      <c r="AX192" s="49"/>
    </row>
    <row r="193">
      <c r="A193" s="49"/>
      <c r="B193" s="49"/>
      <c r="C193" s="49" t="str">
        <f>IFERROR(__xludf.DUMMYFUNCTION("""COMPUTED_VALUE"""),"")</f>
        <v/>
      </c>
      <c r="D193" s="49" t="str">
        <f>IFERROR(__xludf.DUMMYFUNCTION("""COMPUTED_VALUE"""),"")</f>
        <v/>
      </c>
      <c r="E193" s="49" t="str">
        <f>IFERROR(__xludf.DUMMYFUNCTION("""COMPUTED_VALUE"""),"")</f>
        <v/>
      </c>
      <c r="F193" s="49" t="str">
        <f>IFERROR(__xludf.DUMMYFUNCTION("""COMPUTED_VALUE"""),"")</f>
        <v/>
      </c>
      <c r="G193" s="49" t="str">
        <f>IFERROR(__xludf.DUMMYFUNCTION("""COMPUTED_VALUE"""),"")</f>
        <v/>
      </c>
      <c r="H193" s="49" t="str">
        <f>IFERROR(__xludf.DUMMYFUNCTION("""COMPUTED_VALUE"""),"")</f>
        <v/>
      </c>
      <c r="I193" s="49" t="str">
        <f>IFERROR(__xludf.DUMMYFUNCTION("""COMPUTED_VALUE"""),"")</f>
        <v/>
      </c>
      <c r="J193" s="49" t="str">
        <f>IFERROR(__xludf.DUMMYFUNCTION("""COMPUTED_VALUE"""),"")</f>
        <v/>
      </c>
      <c r="K193" s="49" t="str">
        <f>IFERROR(__xludf.DUMMYFUNCTION("""COMPUTED_VALUE"""),"")</f>
        <v/>
      </c>
      <c r="L193" s="49" t="str">
        <f>IFERROR(__xludf.DUMMYFUNCTION("""COMPUTED_VALUE"""),"")</f>
        <v/>
      </c>
      <c r="M193" s="49" t="str">
        <f>IFERROR(__xludf.DUMMYFUNCTION("""COMPUTED_VALUE"""),"")</f>
        <v/>
      </c>
      <c r="N193" s="49" t="str">
        <f>IFERROR(__xludf.DUMMYFUNCTION("""COMPUTED_VALUE"""),"")</f>
        <v/>
      </c>
      <c r="O193" s="49" t="str">
        <f>IFERROR(__xludf.DUMMYFUNCTION("""COMPUTED_VALUE"""),"")</f>
        <v/>
      </c>
      <c r="P193" s="49" t="str">
        <f>IFERROR(__xludf.DUMMYFUNCTION("""COMPUTED_VALUE"""),"")</f>
        <v/>
      </c>
      <c r="Q193" s="49" t="str">
        <f>IFERROR(__xludf.DUMMYFUNCTION("""COMPUTED_VALUE"""),"")</f>
        <v/>
      </c>
      <c r="R193" s="49" t="str">
        <f>IFERROR(__xludf.DUMMYFUNCTION("""COMPUTED_VALUE"""),"")</f>
        <v/>
      </c>
      <c r="S193" s="49" t="str">
        <f>IFERROR(__xludf.DUMMYFUNCTION("""COMPUTED_VALUE"""),"")</f>
        <v/>
      </c>
      <c r="T193" s="49" t="str">
        <f>IFERROR(__xludf.DUMMYFUNCTION("""COMPUTED_VALUE"""),"")</f>
        <v/>
      </c>
      <c r="U193" s="49" t="str">
        <f>IFERROR(__xludf.DUMMYFUNCTION("""COMPUTED_VALUE"""),"")</f>
        <v/>
      </c>
      <c r="V193" s="49" t="str">
        <f>IFERROR(__xludf.DUMMYFUNCTION("""COMPUTED_VALUE"""),"")</f>
        <v/>
      </c>
      <c r="W193" s="49" t="str">
        <f>IFERROR(__xludf.DUMMYFUNCTION("""COMPUTED_VALUE"""),"")</f>
        <v/>
      </c>
      <c r="X193" s="49" t="str">
        <f>IFERROR(__xludf.DUMMYFUNCTION("""COMPUTED_VALUE"""),"")</f>
        <v/>
      </c>
      <c r="Y193" s="49" t="str">
        <f>IFERROR(__xludf.DUMMYFUNCTION("""COMPUTED_VALUE"""),"")</f>
        <v/>
      </c>
      <c r="Z193" s="49"/>
      <c r="AA193" s="49"/>
      <c r="AB193" s="49"/>
      <c r="AC193" s="49"/>
      <c r="AD193" s="49"/>
      <c r="AE193" s="49"/>
      <c r="AF193" s="49"/>
      <c r="AG193" s="49"/>
      <c r="AH193" s="49"/>
      <c r="AI193" s="49"/>
      <c r="AJ193" s="49"/>
      <c r="AK193" s="49"/>
      <c r="AL193" s="49"/>
      <c r="AM193" s="49"/>
      <c r="AN193" s="49"/>
      <c r="AO193" s="49"/>
      <c r="AP193" s="49"/>
      <c r="AQ193" s="49"/>
      <c r="AR193" s="49"/>
      <c r="AS193" s="49"/>
      <c r="AT193" s="49"/>
      <c r="AU193" s="49"/>
      <c r="AV193" s="49"/>
      <c r="AW193" s="49"/>
      <c r="AX193" s="49"/>
    </row>
    <row r="194">
      <c r="A194" s="49"/>
      <c r="B194" s="49"/>
      <c r="C194" s="49" t="str">
        <f>IFERROR(__xludf.DUMMYFUNCTION("""COMPUTED_VALUE"""),"")</f>
        <v/>
      </c>
      <c r="D194" s="49" t="str">
        <f>IFERROR(__xludf.DUMMYFUNCTION("""COMPUTED_VALUE"""),"")</f>
        <v/>
      </c>
      <c r="E194" s="49" t="str">
        <f>IFERROR(__xludf.DUMMYFUNCTION("""COMPUTED_VALUE"""),"")</f>
        <v/>
      </c>
      <c r="F194" s="49" t="str">
        <f>IFERROR(__xludf.DUMMYFUNCTION("""COMPUTED_VALUE"""),"")</f>
        <v/>
      </c>
      <c r="G194" s="49" t="str">
        <f>IFERROR(__xludf.DUMMYFUNCTION("""COMPUTED_VALUE"""),"")</f>
        <v/>
      </c>
      <c r="H194" s="49" t="str">
        <f>IFERROR(__xludf.DUMMYFUNCTION("""COMPUTED_VALUE"""),"")</f>
        <v/>
      </c>
      <c r="I194" s="49" t="str">
        <f>IFERROR(__xludf.DUMMYFUNCTION("""COMPUTED_VALUE"""),"")</f>
        <v/>
      </c>
      <c r="J194" s="49" t="str">
        <f>IFERROR(__xludf.DUMMYFUNCTION("""COMPUTED_VALUE"""),"")</f>
        <v/>
      </c>
      <c r="K194" s="49" t="str">
        <f>IFERROR(__xludf.DUMMYFUNCTION("""COMPUTED_VALUE"""),"")</f>
        <v/>
      </c>
      <c r="L194" s="49" t="str">
        <f>IFERROR(__xludf.DUMMYFUNCTION("""COMPUTED_VALUE"""),"")</f>
        <v/>
      </c>
      <c r="M194" s="49" t="str">
        <f>IFERROR(__xludf.DUMMYFUNCTION("""COMPUTED_VALUE"""),"")</f>
        <v/>
      </c>
      <c r="N194" s="49" t="str">
        <f>IFERROR(__xludf.DUMMYFUNCTION("""COMPUTED_VALUE"""),"")</f>
        <v/>
      </c>
      <c r="O194" s="49" t="str">
        <f>IFERROR(__xludf.DUMMYFUNCTION("""COMPUTED_VALUE"""),"")</f>
        <v/>
      </c>
      <c r="P194" s="49" t="str">
        <f>IFERROR(__xludf.DUMMYFUNCTION("""COMPUTED_VALUE"""),"")</f>
        <v/>
      </c>
      <c r="Q194" s="49" t="str">
        <f>IFERROR(__xludf.DUMMYFUNCTION("""COMPUTED_VALUE"""),"")</f>
        <v/>
      </c>
      <c r="R194" s="49" t="str">
        <f>IFERROR(__xludf.DUMMYFUNCTION("""COMPUTED_VALUE"""),"")</f>
        <v/>
      </c>
      <c r="S194" s="49" t="str">
        <f>IFERROR(__xludf.DUMMYFUNCTION("""COMPUTED_VALUE"""),"")</f>
        <v/>
      </c>
      <c r="T194" s="49" t="str">
        <f>IFERROR(__xludf.DUMMYFUNCTION("""COMPUTED_VALUE"""),"")</f>
        <v/>
      </c>
      <c r="U194" s="49" t="str">
        <f>IFERROR(__xludf.DUMMYFUNCTION("""COMPUTED_VALUE"""),"")</f>
        <v/>
      </c>
      <c r="V194" s="49" t="str">
        <f>IFERROR(__xludf.DUMMYFUNCTION("""COMPUTED_VALUE"""),"")</f>
        <v/>
      </c>
      <c r="W194" s="49" t="str">
        <f>IFERROR(__xludf.DUMMYFUNCTION("""COMPUTED_VALUE"""),"")</f>
        <v/>
      </c>
      <c r="X194" s="49" t="str">
        <f>IFERROR(__xludf.DUMMYFUNCTION("""COMPUTED_VALUE"""),"")</f>
        <v/>
      </c>
      <c r="Y194" s="49" t="str">
        <f>IFERROR(__xludf.DUMMYFUNCTION("""COMPUTED_VALUE"""),"")</f>
        <v/>
      </c>
      <c r="Z194" s="49"/>
      <c r="AA194" s="49"/>
      <c r="AB194" s="49"/>
      <c r="AC194" s="49"/>
      <c r="AD194" s="49"/>
      <c r="AE194" s="49"/>
      <c r="AF194" s="49"/>
      <c r="AG194" s="49"/>
      <c r="AH194" s="49"/>
      <c r="AI194" s="49"/>
      <c r="AJ194" s="49"/>
      <c r="AK194" s="49"/>
      <c r="AL194" s="49"/>
      <c r="AM194" s="49"/>
      <c r="AN194" s="49"/>
      <c r="AO194" s="49"/>
      <c r="AP194" s="49"/>
      <c r="AQ194" s="49"/>
      <c r="AR194" s="49"/>
      <c r="AS194" s="49"/>
      <c r="AT194" s="49"/>
      <c r="AU194" s="49"/>
      <c r="AV194" s="49"/>
      <c r="AW194" s="49"/>
      <c r="AX194" s="49"/>
    </row>
    <row r="195">
      <c r="A195" s="49"/>
      <c r="B195" s="49"/>
      <c r="C195" s="49" t="str">
        <f>IFERROR(__xludf.DUMMYFUNCTION("""COMPUTED_VALUE"""),"")</f>
        <v/>
      </c>
      <c r="D195" s="49" t="str">
        <f>IFERROR(__xludf.DUMMYFUNCTION("""COMPUTED_VALUE"""),"")</f>
        <v/>
      </c>
      <c r="E195" s="49" t="str">
        <f>IFERROR(__xludf.DUMMYFUNCTION("""COMPUTED_VALUE"""),"")</f>
        <v/>
      </c>
      <c r="F195" s="49" t="str">
        <f>IFERROR(__xludf.DUMMYFUNCTION("""COMPUTED_VALUE"""),"")</f>
        <v/>
      </c>
      <c r="G195" s="49" t="str">
        <f>IFERROR(__xludf.DUMMYFUNCTION("""COMPUTED_VALUE"""),"")</f>
        <v/>
      </c>
      <c r="H195" s="49" t="str">
        <f>IFERROR(__xludf.DUMMYFUNCTION("""COMPUTED_VALUE"""),"")</f>
        <v/>
      </c>
      <c r="I195" s="49" t="str">
        <f>IFERROR(__xludf.DUMMYFUNCTION("""COMPUTED_VALUE"""),"")</f>
        <v/>
      </c>
      <c r="J195" s="49" t="str">
        <f>IFERROR(__xludf.DUMMYFUNCTION("""COMPUTED_VALUE"""),"")</f>
        <v/>
      </c>
      <c r="K195" s="49" t="str">
        <f>IFERROR(__xludf.DUMMYFUNCTION("""COMPUTED_VALUE"""),"")</f>
        <v/>
      </c>
      <c r="L195" s="49" t="str">
        <f>IFERROR(__xludf.DUMMYFUNCTION("""COMPUTED_VALUE"""),"")</f>
        <v/>
      </c>
      <c r="M195" s="49" t="str">
        <f>IFERROR(__xludf.DUMMYFUNCTION("""COMPUTED_VALUE"""),"")</f>
        <v/>
      </c>
      <c r="N195" s="49" t="str">
        <f>IFERROR(__xludf.DUMMYFUNCTION("""COMPUTED_VALUE"""),"")</f>
        <v/>
      </c>
      <c r="O195" s="49" t="str">
        <f>IFERROR(__xludf.DUMMYFUNCTION("""COMPUTED_VALUE"""),"")</f>
        <v/>
      </c>
      <c r="P195" s="49" t="str">
        <f>IFERROR(__xludf.DUMMYFUNCTION("""COMPUTED_VALUE"""),"")</f>
        <v/>
      </c>
      <c r="Q195" s="49" t="str">
        <f>IFERROR(__xludf.DUMMYFUNCTION("""COMPUTED_VALUE"""),"")</f>
        <v/>
      </c>
      <c r="R195" s="49" t="str">
        <f>IFERROR(__xludf.DUMMYFUNCTION("""COMPUTED_VALUE"""),"")</f>
        <v/>
      </c>
      <c r="S195" s="49" t="str">
        <f>IFERROR(__xludf.DUMMYFUNCTION("""COMPUTED_VALUE"""),"")</f>
        <v/>
      </c>
      <c r="T195" s="49" t="str">
        <f>IFERROR(__xludf.DUMMYFUNCTION("""COMPUTED_VALUE"""),"")</f>
        <v/>
      </c>
      <c r="U195" s="49" t="str">
        <f>IFERROR(__xludf.DUMMYFUNCTION("""COMPUTED_VALUE"""),"")</f>
        <v/>
      </c>
      <c r="V195" s="49" t="str">
        <f>IFERROR(__xludf.DUMMYFUNCTION("""COMPUTED_VALUE"""),"")</f>
        <v/>
      </c>
      <c r="W195" s="49" t="str">
        <f>IFERROR(__xludf.DUMMYFUNCTION("""COMPUTED_VALUE"""),"")</f>
        <v/>
      </c>
      <c r="X195" s="49" t="str">
        <f>IFERROR(__xludf.DUMMYFUNCTION("""COMPUTED_VALUE"""),"")</f>
        <v/>
      </c>
      <c r="Y195" s="49" t="str">
        <f>IFERROR(__xludf.DUMMYFUNCTION("""COMPUTED_VALUE"""),"")</f>
        <v/>
      </c>
      <c r="Z195" s="49"/>
      <c r="AA195" s="49"/>
      <c r="AB195" s="49"/>
      <c r="AC195" s="49"/>
      <c r="AD195" s="49"/>
      <c r="AE195" s="49"/>
      <c r="AF195" s="49"/>
      <c r="AG195" s="49"/>
      <c r="AH195" s="49"/>
      <c r="AI195" s="49"/>
      <c r="AJ195" s="49"/>
      <c r="AK195" s="49"/>
      <c r="AL195" s="49"/>
      <c r="AM195" s="49"/>
      <c r="AN195" s="49"/>
      <c r="AO195" s="49"/>
      <c r="AP195" s="49"/>
      <c r="AQ195" s="49"/>
      <c r="AR195" s="49"/>
      <c r="AS195" s="49"/>
      <c r="AT195" s="49"/>
      <c r="AU195" s="49"/>
      <c r="AV195" s="49"/>
      <c r="AW195" s="49"/>
      <c r="AX195" s="49"/>
    </row>
    <row r="196">
      <c r="A196" s="49"/>
      <c r="B196" s="49"/>
      <c r="C196" s="49" t="str">
        <f>IFERROR(__xludf.DUMMYFUNCTION("""COMPUTED_VALUE"""),"")</f>
        <v/>
      </c>
      <c r="D196" s="49" t="str">
        <f>IFERROR(__xludf.DUMMYFUNCTION("""COMPUTED_VALUE"""),"")</f>
        <v/>
      </c>
      <c r="E196" s="49" t="str">
        <f>IFERROR(__xludf.DUMMYFUNCTION("""COMPUTED_VALUE"""),"")</f>
        <v/>
      </c>
      <c r="F196" s="49" t="str">
        <f>IFERROR(__xludf.DUMMYFUNCTION("""COMPUTED_VALUE"""),"")</f>
        <v/>
      </c>
      <c r="G196" s="49" t="str">
        <f>IFERROR(__xludf.DUMMYFUNCTION("""COMPUTED_VALUE"""),"")</f>
        <v/>
      </c>
      <c r="H196" s="49" t="str">
        <f>IFERROR(__xludf.DUMMYFUNCTION("""COMPUTED_VALUE"""),"")</f>
        <v/>
      </c>
      <c r="I196" s="49" t="str">
        <f>IFERROR(__xludf.DUMMYFUNCTION("""COMPUTED_VALUE"""),"")</f>
        <v/>
      </c>
      <c r="J196" s="49" t="str">
        <f>IFERROR(__xludf.DUMMYFUNCTION("""COMPUTED_VALUE"""),"")</f>
        <v/>
      </c>
      <c r="K196" s="49" t="str">
        <f>IFERROR(__xludf.DUMMYFUNCTION("""COMPUTED_VALUE"""),"")</f>
        <v/>
      </c>
      <c r="L196" s="49" t="str">
        <f>IFERROR(__xludf.DUMMYFUNCTION("""COMPUTED_VALUE"""),"")</f>
        <v/>
      </c>
      <c r="M196" s="49" t="str">
        <f>IFERROR(__xludf.DUMMYFUNCTION("""COMPUTED_VALUE"""),"")</f>
        <v/>
      </c>
      <c r="N196" s="49" t="str">
        <f>IFERROR(__xludf.DUMMYFUNCTION("""COMPUTED_VALUE"""),"")</f>
        <v/>
      </c>
      <c r="O196" s="49" t="str">
        <f>IFERROR(__xludf.DUMMYFUNCTION("""COMPUTED_VALUE"""),"")</f>
        <v/>
      </c>
      <c r="P196" s="49" t="str">
        <f>IFERROR(__xludf.DUMMYFUNCTION("""COMPUTED_VALUE"""),"")</f>
        <v/>
      </c>
      <c r="Q196" s="49" t="str">
        <f>IFERROR(__xludf.DUMMYFUNCTION("""COMPUTED_VALUE"""),"")</f>
        <v/>
      </c>
      <c r="R196" s="49" t="str">
        <f>IFERROR(__xludf.DUMMYFUNCTION("""COMPUTED_VALUE"""),"")</f>
        <v/>
      </c>
      <c r="S196" s="49" t="str">
        <f>IFERROR(__xludf.DUMMYFUNCTION("""COMPUTED_VALUE"""),"")</f>
        <v/>
      </c>
      <c r="T196" s="49" t="str">
        <f>IFERROR(__xludf.DUMMYFUNCTION("""COMPUTED_VALUE"""),"")</f>
        <v/>
      </c>
      <c r="U196" s="49" t="str">
        <f>IFERROR(__xludf.DUMMYFUNCTION("""COMPUTED_VALUE"""),"")</f>
        <v/>
      </c>
      <c r="V196" s="49" t="str">
        <f>IFERROR(__xludf.DUMMYFUNCTION("""COMPUTED_VALUE"""),"")</f>
        <v/>
      </c>
      <c r="W196" s="49" t="str">
        <f>IFERROR(__xludf.DUMMYFUNCTION("""COMPUTED_VALUE"""),"")</f>
        <v/>
      </c>
      <c r="X196" s="49" t="str">
        <f>IFERROR(__xludf.DUMMYFUNCTION("""COMPUTED_VALUE"""),"")</f>
        <v/>
      </c>
      <c r="Y196" s="49" t="str">
        <f>IFERROR(__xludf.DUMMYFUNCTION("""COMPUTED_VALUE"""),"")</f>
        <v/>
      </c>
      <c r="Z196" s="49"/>
      <c r="AA196" s="49"/>
      <c r="AB196" s="49"/>
      <c r="AC196" s="49"/>
      <c r="AD196" s="49"/>
      <c r="AE196" s="49"/>
      <c r="AF196" s="49"/>
      <c r="AG196" s="49"/>
      <c r="AH196" s="49"/>
      <c r="AI196" s="49"/>
      <c r="AJ196" s="49"/>
      <c r="AK196" s="49"/>
      <c r="AL196" s="49"/>
      <c r="AM196" s="49"/>
      <c r="AN196" s="49"/>
      <c r="AO196" s="49"/>
      <c r="AP196" s="49"/>
      <c r="AQ196" s="49"/>
      <c r="AR196" s="49"/>
      <c r="AS196" s="49"/>
      <c r="AT196" s="49"/>
      <c r="AU196" s="49"/>
      <c r="AV196" s="49"/>
      <c r="AW196" s="49"/>
      <c r="AX196" s="49"/>
    </row>
    <row r="197">
      <c r="A197" s="49"/>
      <c r="B197" s="49"/>
      <c r="C197" s="49" t="str">
        <f>IFERROR(__xludf.DUMMYFUNCTION("""COMPUTED_VALUE"""),"")</f>
        <v/>
      </c>
      <c r="D197" s="49" t="str">
        <f>IFERROR(__xludf.DUMMYFUNCTION("""COMPUTED_VALUE"""),"")</f>
        <v/>
      </c>
      <c r="E197" s="49" t="str">
        <f>IFERROR(__xludf.DUMMYFUNCTION("""COMPUTED_VALUE"""),"")</f>
        <v/>
      </c>
      <c r="F197" s="49" t="str">
        <f>IFERROR(__xludf.DUMMYFUNCTION("""COMPUTED_VALUE"""),"")</f>
        <v/>
      </c>
      <c r="G197" s="49" t="str">
        <f>IFERROR(__xludf.DUMMYFUNCTION("""COMPUTED_VALUE"""),"")</f>
        <v/>
      </c>
      <c r="H197" s="49" t="str">
        <f>IFERROR(__xludf.DUMMYFUNCTION("""COMPUTED_VALUE"""),"")</f>
        <v/>
      </c>
      <c r="I197" s="49" t="str">
        <f>IFERROR(__xludf.DUMMYFUNCTION("""COMPUTED_VALUE"""),"")</f>
        <v/>
      </c>
      <c r="J197" s="49" t="str">
        <f>IFERROR(__xludf.DUMMYFUNCTION("""COMPUTED_VALUE"""),"")</f>
        <v/>
      </c>
      <c r="K197" s="49" t="str">
        <f>IFERROR(__xludf.DUMMYFUNCTION("""COMPUTED_VALUE"""),"")</f>
        <v/>
      </c>
      <c r="L197" s="49" t="str">
        <f>IFERROR(__xludf.DUMMYFUNCTION("""COMPUTED_VALUE"""),"")</f>
        <v/>
      </c>
      <c r="M197" s="49" t="str">
        <f>IFERROR(__xludf.DUMMYFUNCTION("""COMPUTED_VALUE"""),"")</f>
        <v/>
      </c>
      <c r="N197" s="49" t="str">
        <f>IFERROR(__xludf.DUMMYFUNCTION("""COMPUTED_VALUE"""),"")</f>
        <v/>
      </c>
      <c r="O197" s="49" t="str">
        <f>IFERROR(__xludf.DUMMYFUNCTION("""COMPUTED_VALUE"""),"")</f>
        <v/>
      </c>
      <c r="P197" s="49" t="str">
        <f>IFERROR(__xludf.DUMMYFUNCTION("""COMPUTED_VALUE"""),"")</f>
        <v/>
      </c>
      <c r="Q197" s="49" t="str">
        <f>IFERROR(__xludf.DUMMYFUNCTION("""COMPUTED_VALUE"""),"")</f>
        <v/>
      </c>
      <c r="R197" s="49" t="str">
        <f>IFERROR(__xludf.DUMMYFUNCTION("""COMPUTED_VALUE"""),"")</f>
        <v/>
      </c>
      <c r="S197" s="49" t="str">
        <f>IFERROR(__xludf.DUMMYFUNCTION("""COMPUTED_VALUE"""),"")</f>
        <v/>
      </c>
      <c r="T197" s="49" t="str">
        <f>IFERROR(__xludf.DUMMYFUNCTION("""COMPUTED_VALUE"""),"")</f>
        <v/>
      </c>
      <c r="U197" s="49" t="str">
        <f>IFERROR(__xludf.DUMMYFUNCTION("""COMPUTED_VALUE"""),"")</f>
        <v/>
      </c>
      <c r="V197" s="49" t="str">
        <f>IFERROR(__xludf.DUMMYFUNCTION("""COMPUTED_VALUE"""),"")</f>
        <v/>
      </c>
      <c r="W197" s="49" t="str">
        <f>IFERROR(__xludf.DUMMYFUNCTION("""COMPUTED_VALUE"""),"")</f>
        <v/>
      </c>
      <c r="X197" s="49" t="str">
        <f>IFERROR(__xludf.DUMMYFUNCTION("""COMPUTED_VALUE"""),"")</f>
        <v/>
      </c>
      <c r="Y197" s="49" t="str">
        <f>IFERROR(__xludf.DUMMYFUNCTION("""COMPUTED_VALUE"""),"")</f>
        <v/>
      </c>
      <c r="Z197" s="49"/>
      <c r="AA197" s="49"/>
      <c r="AB197" s="49"/>
      <c r="AC197" s="49"/>
      <c r="AD197" s="49"/>
      <c r="AE197" s="49"/>
      <c r="AF197" s="49"/>
      <c r="AG197" s="49"/>
      <c r="AH197" s="49"/>
      <c r="AI197" s="49"/>
      <c r="AJ197" s="49"/>
      <c r="AK197" s="49"/>
      <c r="AL197" s="49"/>
      <c r="AM197" s="49"/>
      <c r="AN197" s="49"/>
      <c r="AO197" s="49"/>
      <c r="AP197" s="49"/>
      <c r="AQ197" s="49"/>
      <c r="AR197" s="49"/>
      <c r="AS197" s="49"/>
      <c r="AT197" s="49"/>
      <c r="AU197" s="49"/>
      <c r="AV197" s="49"/>
      <c r="AW197" s="49"/>
      <c r="AX197" s="49"/>
    </row>
    <row r="198">
      <c r="A198" s="49"/>
      <c r="B198" s="49"/>
      <c r="C198" s="49" t="str">
        <f>IFERROR(__xludf.DUMMYFUNCTION("""COMPUTED_VALUE"""),"")</f>
        <v/>
      </c>
      <c r="D198" s="49" t="str">
        <f>IFERROR(__xludf.DUMMYFUNCTION("""COMPUTED_VALUE"""),"")</f>
        <v/>
      </c>
      <c r="E198" s="49" t="str">
        <f>IFERROR(__xludf.DUMMYFUNCTION("""COMPUTED_VALUE"""),"")</f>
        <v/>
      </c>
      <c r="F198" s="49" t="str">
        <f>IFERROR(__xludf.DUMMYFUNCTION("""COMPUTED_VALUE"""),"")</f>
        <v/>
      </c>
      <c r="G198" s="49" t="str">
        <f>IFERROR(__xludf.DUMMYFUNCTION("""COMPUTED_VALUE"""),"")</f>
        <v/>
      </c>
      <c r="H198" s="49" t="str">
        <f>IFERROR(__xludf.DUMMYFUNCTION("""COMPUTED_VALUE"""),"")</f>
        <v/>
      </c>
      <c r="I198" s="49" t="str">
        <f>IFERROR(__xludf.DUMMYFUNCTION("""COMPUTED_VALUE"""),"")</f>
        <v/>
      </c>
      <c r="J198" s="49" t="str">
        <f>IFERROR(__xludf.DUMMYFUNCTION("""COMPUTED_VALUE"""),"")</f>
        <v/>
      </c>
      <c r="K198" s="49" t="str">
        <f>IFERROR(__xludf.DUMMYFUNCTION("""COMPUTED_VALUE"""),"")</f>
        <v/>
      </c>
      <c r="L198" s="49" t="str">
        <f>IFERROR(__xludf.DUMMYFUNCTION("""COMPUTED_VALUE"""),"")</f>
        <v/>
      </c>
      <c r="M198" s="49" t="str">
        <f>IFERROR(__xludf.DUMMYFUNCTION("""COMPUTED_VALUE"""),"")</f>
        <v/>
      </c>
      <c r="N198" s="49" t="str">
        <f>IFERROR(__xludf.DUMMYFUNCTION("""COMPUTED_VALUE"""),"")</f>
        <v/>
      </c>
      <c r="O198" s="49" t="str">
        <f>IFERROR(__xludf.DUMMYFUNCTION("""COMPUTED_VALUE"""),"")</f>
        <v/>
      </c>
      <c r="P198" s="49" t="str">
        <f>IFERROR(__xludf.DUMMYFUNCTION("""COMPUTED_VALUE"""),"")</f>
        <v/>
      </c>
      <c r="Q198" s="49" t="str">
        <f>IFERROR(__xludf.DUMMYFUNCTION("""COMPUTED_VALUE"""),"")</f>
        <v/>
      </c>
      <c r="R198" s="49" t="str">
        <f>IFERROR(__xludf.DUMMYFUNCTION("""COMPUTED_VALUE"""),"")</f>
        <v/>
      </c>
      <c r="S198" s="49" t="str">
        <f>IFERROR(__xludf.DUMMYFUNCTION("""COMPUTED_VALUE"""),"")</f>
        <v/>
      </c>
      <c r="T198" s="49" t="str">
        <f>IFERROR(__xludf.DUMMYFUNCTION("""COMPUTED_VALUE"""),"")</f>
        <v/>
      </c>
      <c r="U198" s="49" t="str">
        <f>IFERROR(__xludf.DUMMYFUNCTION("""COMPUTED_VALUE"""),"")</f>
        <v/>
      </c>
      <c r="V198" s="49" t="str">
        <f>IFERROR(__xludf.DUMMYFUNCTION("""COMPUTED_VALUE"""),"")</f>
        <v/>
      </c>
      <c r="W198" s="49" t="str">
        <f>IFERROR(__xludf.DUMMYFUNCTION("""COMPUTED_VALUE"""),"")</f>
        <v/>
      </c>
      <c r="X198" s="49" t="str">
        <f>IFERROR(__xludf.DUMMYFUNCTION("""COMPUTED_VALUE"""),"")</f>
        <v/>
      </c>
      <c r="Y198" s="49" t="str">
        <f>IFERROR(__xludf.DUMMYFUNCTION("""COMPUTED_VALUE"""),"")</f>
        <v/>
      </c>
      <c r="Z198" s="49"/>
      <c r="AA198" s="49"/>
      <c r="AB198" s="49"/>
      <c r="AC198" s="49"/>
      <c r="AD198" s="49"/>
      <c r="AE198" s="49"/>
      <c r="AF198" s="49"/>
      <c r="AG198" s="49"/>
      <c r="AH198" s="49"/>
      <c r="AI198" s="49"/>
      <c r="AJ198" s="49"/>
      <c r="AK198" s="49"/>
      <c r="AL198" s="49"/>
      <c r="AM198" s="49"/>
      <c r="AN198" s="49"/>
      <c r="AO198" s="49"/>
      <c r="AP198" s="49"/>
      <c r="AQ198" s="49"/>
      <c r="AR198" s="49"/>
      <c r="AS198" s="49"/>
      <c r="AT198" s="49"/>
      <c r="AU198" s="49"/>
      <c r="AV198" s="49"/>
      <c r="AW198" s="49"/>
      <c r="AX198" s="49"/>
    </row>
    <row r="199">
      <c r="A199" s="49"/>
      <c r="B199" s="49"/>
      <c r="C199" s="49" t="str">
        <f>IFERROR(__xludf.DUMMYFUNCTION("""COMPUTED_VALUE"""),"")</f>
        <v/>
      </c>
      <c r="D199" s="49" t="str">
        <f>IFERROR(__xludf.DUMMYFUNCTION("""COMPUTED_VALUE"""),"")</f>
        <v/>
      </c>
      <c r="E199" s="49" t="str">
        <f>IFERROR(__xludf.DUMMYFUNCTION("""COMPUTED_VALUE"""),"")</f>
        <v/>
      </c>
      <c r="F199" s="49" t="str">
        <f>IFERROR(__xludf.DUMMYFUNCTION("""COMPUTED_VALUE"""),"")</f>
        <v/>
      </c>
      <c r="G199" s="49" t="str">
        <f>IFERROR(__xludf.DUMMYFUNCTION("""COMPUTED_VALUE"""),"")</f>
        <v/>
      </c>
      <c r="H199" s="49" t="str">
        <f>IFERROR(__xludf.DUMMYFUNCTION("""COMPUTED_VALUE"""),"")</f>
        <v/>
      </c>
      <c r="I199" s="49" t="str">
        <f>IFERROR(__xludf.DUMMYFUNCTION("""COMPUTED_VALUE"""),"")</f>
        <v/>
      </c>
      <c r="J199" s="49" t="str">
        <f>IFERROR(__xludf.DUMMYFUNCTION("""COMPUTED_VALUE"""),"")</f>
        <v/>
      </c>
      <c r="K199" s="49" t="str">
        <f>IFERROR(__xludf.DUMMYFUNCTION("""COMPUTED_VALUE"""),"")</f>
        <v/>
      </c>
      <c r="L199" s="49" t="str">
        <f>IFERROR(__xludf.DUMMYFUNCTION("""COMPUTED_VALUE"""),"")</f>
        <v/>
      </c>
      <c r="M199" s="49" t="str">
        <f>IFERROR(__xludf.DUMMYFUNCTION("""COMPUTED_VALUE"""),"")</f>
        <v/>
      </c>
      <c r="N199" s="49" t="str">
        <f>IFERROR(__xludf.DUMMYFUNCTION("""COMPUTED_VALUE"""),"")</f>
        <v/>
      </c>
      <c r="O199" s="49" t="str">
        <f>IFERROR(__xludf.DUMMYFUNCTION("""COMPUTED_VALUE"""),"")</f>
        <v/>
      </c>
      <c r="P199" s="49" t="str">
        <f>IFERROR(__xludf.DUMMYFUNCTION("""COMPUTED_VALUE"""),"")</f>
        <v/>
      </c>
      <c r="Q199" s="49" t="str">
        <f>IFERROR(__xludf.DUMMYFUNCTION("""COMPUTED_VALUE"""),"")</f>
        <v/>
      </c>
      <c r="R199" s="49" t="str">
        <f>IFERROR(__xludf.DUMMYFUNCTION("""COMPUTED_VALUE"""),"")</f>
        <v/>
      </c>
      <c r="S199" s="49" t="str">
        <f>IFERROR(__xludf.DUMMYFUNCTION("""COMPUTED_VALUE"""),"")</f>
        <v/>
      </c>
      <c r="T199" s="49" t="str">
        <f>IFERROR(__xludf.DUMMYFUNCTION("""COMPUTED_VALUE"""),"")</f>
        <v/>
      </c>
      <c r="U199" s="49" t="str">
        <f>IFERROR(__xludf.DUMMYFUNCTION("""COMPUTED_VALUE"""),"")</f>
        <v/>
      </c>
      <c r="V199" s="49" t="str">
        <f>IFERROR(__xludf.DUMMYFUNCTION("""COMPUTED_VALUE"""),"")</f>
        <v/>
      </c>
      <c r="W199" s="49" t="str">
        <f>IFERROR(__xludf.DUMMYFUNCTION("""COMPUTED_VALUE"""),"")</f>
        <v/>
      </c>
      <c r="X199" s="49" t="str">
        <f>IFERROR(__xludf.DUMMYFUNCTION("""COMPUTED_VALUE"""),"")</f>
        <v/>
      </c>
      <c r="Y199" s="49" t="str">
        <f>IFERROR(__xludf.DUMMYFUNCTION("""COMPUTED_VALUE"""),"")</f>
        <v/>
      </c>
      <c r="Z199" s="49"/>
      <c r="AA199" s="49"/>
      <c r="AB199" s="49"/>
      <c r="AC199" s="49"/>
      <c r="AD199" s="49"/>
      <c r="AE199" s="49"/>
      <c r="AF199" s="49"/>
      <c r="AG199" s="49"/>
      <c r="AH199" s="49"/>
      <c r="AI199" s="49"/>
      <c r="AJ199" s="49"/>
      <c r="AK199" s="49"/>
      <c r="AL199" s="49"/>
      <c r="AM199" s="49"/>
      <c r="AN199" s="49"/>
      <c r="AO199" s="49"/>
      <c r="AP199" s="49"/>
      <c r="AQ199" s="49"/>
      <c r="AR199" s="49"/>
      <c r="AS199" s="49"/>
      <c r="AT199" s="49"/>
      <c r="AU199" s="49"/>
      <c r="AV199" s="49"/>
      <c r="AW199" s="49"/>
      <c r="AX199" s="49"/>
    </row>
    <row r="200">
      <c r="A200" s="49"/>
      <c r="B200" s="49"/>
      <c r="C200" s="49" t="str">
        <f>IFERROR(__xludf.DUMMYFUNCTION("""COMPUTED_VALUE"""),"")</f>
        <v/>
      </c>
      <c r="D200" s="49" t="str">
        <f>IFERROR(__xludf.DUMMYFUNCTION("""COMPUTED_VALUE"""),"")</f>
        <v/>
      </c>
      <c r="E200" s="49" t="str">
        <f>IFERROR(__xludf.DUMMYFUNCTION("""COMPUTED_VALUE"""),"")</f>
        <v/>
      </c>
      <c r="F200" s="49" t="str">
        <f>IFERROR(__xludf.DUMMYFUNCTION("""COMPUTED_VALUE"""),"")</f>
        <v/>
      </c>
      <c r="G200" s="49" t="str">
        <f>IFERROR(__xludf.DUMMYFUNCTION("""COMPUTED_VALUE"""),"")</f>
        <v/>
      </c>
      <c r="H200" s="49" t="str">
        <f>IFERROR(__xludf.DUMMYFUNCTION("""COMPUTED_VALUE"""),"")</f>
        <v/>
      </c>
      <c r="I200" s="49" t="str">
        <f>IFERROR(__xludf.DUMMYFUNCTION("""COMPUTED_VALUE"""),"")</f>
        <v/>
      </c>
      <c r="J200" s="49" t="str">
        <f>IFERROR(__xludf.DUMMYFUNCTION("""COMPUTED_VALUE"""),"")</f>
        <v/>
      </c>
      <c r="K200" s="49" t="str">
        <f>IFERROR(__xludf.DUMMYFUNCTION("""COMPUTED_VALUE"""),"")</f>
        <v/>
      </c>
      <c r="L200" s="49" t="str">
        <f>IFERROR(__xludf.DUMMYFUNCTION("""COMPUTED_VALUE"""),"")</f>
        <v/>
      </c>
      <c r="M200" s="49" t="str">
        <f>IFERROR(__xludf.DUMMYFUNCTION("""COMPUTED_VALUE"""),"")</f>
        <v/>
      </c>
      <c r="N200" s="49" t="str">
        <f>IFERROR(__xludf.DUMMYFUNCTION("""COMPUTED_VALUE"""),"")</f>
        <v/>
      </c>
      <c r="O200" s="49" t="str">
        <f>IFERROR(__xludf.DUMMYFUNCTION("""COMPUTED_VALUE"""),"")</f>
        <v/>
      </c>
      <c r="P200" s="49" t="str">
        <f>IFERROR(__xludf.DUMMYFUNCTION("""COMPUTED_VALUE"""),"")</f>
        <v/>
      </c>
      <c r="Q200" s="49" t="str">
        <f>IFERROR(__xludf.DUMMYFUNCTION("""COMPUTED_VALUE"""),"")</f>
        <v/>
      </c>
      <c r="R200" s="49" t="str">
        <f>IFERROR(__xludf.DUMMYFUNCTION("""COMPUTED_VALUE"""),"")</f>
        <v/>
      </c>
      <c r="S200" s="49" t="str">
        <f>IFERROR(__xludf.DUMMYFUNCTION("""COMPUTED_VALUE"""),"")</f>
        <v/>
      </c>
      <c r="T200" s="49" t="str">
        <f>IFERROR(__xludf.DUMMYFUNCTION("""COMPUTED_VALUE"""),"")</f>
        <v/>
      </c>
      <c r="U200" s="49" t="str">
        <f>IFERROR(__xludf.DUMMYFUNCTION("""COMPUTED_VALUE"""),"")</f>
        <v/>
      </c>
      <c r="V200" s="49" t="str">
        <f>IFERROR(__xludf.DUMMYFUNCTION("""COMPUTED_VALUE"""),"")</f>
        <v/>
      </c>
      <c r="W200" s="49" t="str">
        <f>IFERROR(__xludf.DUMMYFUNCTION("""COMPUTED_VALUE"""),"")</f>
        <v/>
      </c>
      <c r="X200" s="49" t="str">
        <f>IFERROR(__xludf.DUMMYFUNCTION("""COMPUTED_VALUE"""),"")</f>
        <v/>
      </c>
      <c r="Y200" s="49" t="str">
        <f>IFERROR(__xludf.DUMMYFUNCTION("""COMPUTED_VALUE"""),"")</f>
        <v/>
      </c>
      <c r="Z200" s="49"/>
      <c r="AA200" s="49"/>
      <c r="AB200" s="49"/>
      <c r="AC200" s="49"/>
      <c r="AD200" s="49"/>
      <c r="AE200" s="49"/>
      <c r="AF200" s="49"/>
      <c r="AG200" s="49"/>
      <c r="AH200" s="49"/>
      <c r="AI200" s="49"/>
      <c r="AJ200" s="49"/>
      <c r="AK200" s="49"/>
      <c r="AL200" s="49"/>
      <c r="AM200" s="49"/>
      <c r="AN200" s="49"/>
      <c r="AO200" s="49"/>
      <c r="AP200" s="49"/>
      <c r="AQ200" s="49"/>
      <c r="AR200" s="49"/>
      <c r="AS200" s="49"/>
      <c r="AT200" s="49"/>
      <c r="AU200" s="49"/>
      <c r="AV200" s="49"/>
      <c r="AW200" s="49"/>
      <c r="AX200" s="49"/>
    </row>
    <row r="201">
      <c r="A201" s="49"/>
      <c r="B201" s="49"/>
      <c r="C201" s="49" t="str">
        <f>IFERROR(__xludf.DUMMYFUNCTION("""COMPUTED_VALUE"""),"")</f>
        <v/>
      </c>
      <c r="D201" s="49" t="str">
        <f>IFERROR(__xludf.DUMMYFUNCTION("""COMPUTED_VALUE"""),"")</f>
        <v/>
      </c>
      <c r="E201" s="49" t="str">
        <f>IFERROR(__xludf.DUMMYFUNCTION("""COMPUTED_VALUE"""),"")</f>
        <v/>
      </c>
      <c r="F201" s="49" t="str">
        <f>IFERROR(__xludf.DUMMYFUNCTION("""COMPUTED_VALUE"""),"")</f>
        <v/>
      </c>
      <c r="G201" s="49" t="str">
        <f>IFERROR(__xludf.DUMMYFUNCTION("""COMPUTED_VALUE"""),"")</f>
        <v/>
      </c>
      <c r="H201" s="49" t="str">
        <f>IFERROR(__xludf.DUMMYFUNCTION("""COMPUTED_VALUE"""),"")</f>
        <v/>
      </c>
      <c r="I201" s="49" t="str">
        <f>IFERROR(__xludf.DUMMYFUNCTION("""COMPUTED_VALUE"""),"")</f>
        <v/>
      </c>
      <c r="J201" s="49" t="str">
        <f>IFERROR(__xludf.DUMMYFUNCTION("""COMPUTED_VALUE"""),"")</f>
        <v/>
      </c>
      <c r="K201" s="49" t="str">
        <f>IFERROR(__xludf.DUMMYFUNCTION("""COMPUTED_VALUE"""),"")</f>
        <v/>
      </c>
      <c r="L201" s="49" t="str">
        <f>IFERROR(__xludf.DUMMYFUNCTION("""COMPUTED_VALUE"""),"")</f>
        <v/>
      </c>
      <c r="M201" s="49" t="str">
        <f>IFERROR(__xludf.DUMMYFUNCTION("""COMPUTED_VALUE"""),"")</f>
        <v/>
      </c>
      <c r="N201" s="49" t="str">
        <f>IFERROR(__xludf.DUMMYFUNCTION("""COMPUTED_VALUE"""),"")</f>
        <v/>
      </c>
      <c r="O201" s="49" t="str">
        <f>IFERROR(__xludf.DUMMYFUNCTION("""COMPUTED_VALUE"""),"")</f>
        <v/>
      </c>
      <c r="P201" s="49" t="str">
        <f>IFERROR(__xludf.DUMMYFUNCTION("""COMPUTED_VALUE"""),"")</f>
        <v/>
      </c>
      <c r="Q201" s="49" t="str">
        <f>IFERROR(__xludf.DUMMYFUNCTION("""COMPUTED_VALUE"""),"")</f>
        <v/>
      </c>
      <c r="R201" s="49" t="str">
        <f>IFERROR(__xludf.DUMMYFUNCTION("""COMPUTED_VALUE"""),"")</f>
        <v/>
      </c>
      <c r="S201" s="49" t="str">
        <f>IFERROR(__xludf.DUMMYFUNCTION("""COMPUTED_VALUE"""),"")</f>
        <v/>
      </c>
      <c r="T201" s="49" t="str">
        <f>IFERROR(__xludf.DUMMYFUNCTION("""COMPUTED_VALUE"""),"")</f>
        <v/>
      </c>
      <c r="U201" s="49" t="str">
        <f>IFERROR(__xludf.DUMMYFUNCTION("""COMPUTED_VALUE"""),"")</f>
        <v/>
      </c>
      <c r="V201" s="49" t="str">
        <f>IFERROR(__xludf.DUMMYFUNCTION("""COMPUTED_VALUE"""),"")</f>
        <v/>
      </c>
      <c r="W201" s="49" t="str">
        <f>IFERROR(__xludf.DUMMYFUNCTION("""COMPUTED_VALUE"""),"")</f>
        <v/>
      </c>
      <c r="X201" s="49" t="str">
        <f>IFERROR(__xludf.DUMMYFUNCTION("""COMPUTED_VALUE"""),"")</f>
        <v/>
      </c>
      <c r="Y201" s="49" t="str">
        <f>IFERROR(__xludf.DUMMYFUNCTION("""COMPUTED_VALUE"""),"")</f>
        <v/>
      </c>
      <c r="Z201" s="49"/>
      <c r="AA201" s="49"/>
      <c r="AB201" s="49"/>
      <c r="AC201" s="49"/>
      <c r="AD201" s="49"/>
      <c r="AE201" s="49"/>
      <c r="AF201" s="49"/>
      <c r="AG201" s="49"/>
      <c r="AH201" s="49"/>
      <c r="AI201" s="49"/>
      <c r="AJ201" s="49"/>
      <c r="AK201" s="49"/>
      <c r="AL201" s="49"/>
      <c r="AM201" s="49"/>
      <c r="AN201" s="49"/>
      <c r="AO201" s="49"/>
      <c r="AP201" s="49"/>
      <c r="AQ201" s="49"/>
      <c r="AR201" s="49"/>
      <c r="AS201" s="49"/>
      <c r="AT201" s="49"/>
      <c r="AU201" s="49"/>
      <c r="AV201" s="49"/>
      <c r="AW201" s="49"/>
      <c r="AX201" s="49"/>
    </row>
    <row r="202">
      <c r="A202" s="49"/>
      <c r="B202" s="49"/>
      <c r="C202" s="49" t="str">
        <f>IFERROR(__xludf.DUMMYFUNCTION("""COMPUTED_VALUE"""),"")</f>
        <v/>
      </c>
      <c r="D202" s="49" t="str">
        <f>IFERROR(__xludf.DUMMYFUNCTION("""COMPUTED_VALUE"""),"")</f>
        <v/>
      </c>
      <c r="E202" s="49" t="str">
        <f>IFERROR(__xludf.DUMMYFUNCTION("""COMPUTED_VALUE"""),"")</f>
        <v/>
      </c>
      <c r="F202" s="49" t="str">
        <f>IFERROR(__xludf.DUMMYFUNCTION("""COMPUTED_VALUE"""),"")</f>
        <v/>
      </c>
      <c r="G202" s="49" t="str">
        <f>IFERROR(__xludf.DUMMYFUNCTION("""COMPUTED_VALUE"""),"")</f>
        <v/>
      </c>
      <c r="H202" s="49" t="str">
        <f>IFERROR(__xludf.DUMMYFUNCTION("""COMPUTED_VALUE"""),"")</f>
        <v/>
      </c>
      <c r="I202" s="49" t="str">
        <f>IFERROR(__xludf.DUMMYFUNCTION("""COMPUTED_VALUE"""),"")</f>
        <v/>
      </c>
      <c r="J202" s="49" t="str">
        <f>IFERROR(__xludf.DUMMYFUNCTION("""COMPUTED_VALUE"""),"")</f>
        <v/>
      </c>
      <c r="K202" s="49" t="str">
        <f>IFERROR(__xludf.DUMMYFUNCTION("""COMPUTED_VALUE"""),"")</f>
        <v/>
      </c>
      <c r="L202" s="49" t="str">
        <f>IFERROR(__xludf.DUMMYFUNCTION("""COMPUTED_VALUE"""),"")</f>
        <v/>
      </c>
      <c r="M202" s="49" t="str">
        <f>IFERROR(__xludf.DUMMYFUNCTION("""COMPUTED_VALUE"""),"")</f>
        <v/>
      </c>
      <c r="N202" s="49" t="str">
        <f>IFERROR(__xludf.DUMMYFUNCTION("""COMPUTED_VALUE"""),"")</f>
        <v/>
      </c>
      <c r="O202" s="49" t="str">
        <f>IFERROR(__xludf.DUMMYFUNCTION("""COMPUTED_VALUE"""),"")</f>
        <v/>
      </c>
      <c r="P202" s="49" t="str">
        <f>IFERROR(__xludf.DUMMYFUNCTION("""COMPUTED_VALUE"""),"")</f>
        <v/>
      </c>
      <c r="Q202" s="49" t="str">
        <f>IFERROR(__xludf.DUMMYFUNCTION("""COMPUTED_VALUE"""),"")</f>
        <v/>
      </c>
      <c r="R202" s="49" t="str">
        <f>IFERROR(__xludf.DUMMYFUNCTION("""COMPUTED_VALUE"""),"")</f>
        <v/>
      </c>
      <c r="S202" s="49" t="str">
        <f>IFERROR(__xludf.DUMMYFUNCTION("""COMPUTED_VALUE"""),"")</f>
        <v/>
      </c>
      <c r="T202" s="49" t="str">
        <f>IFERROR(__xludf.DUMMYFUNCTION("""COMPUTED_VALUE"""),"")</f>
        <v/>
      </c>
      <c r="U202" s="49" t="str">
        <f>IFERROR(__xludf.DUMMYFUNCTION("""COMPUTED_VALUE"""),"")</f>
        <v/>
      </c>
      <c r="V202" s="49" t="str">
        <f>IFERROR(__xludf.DUMMYFUNCTION("""COMPUTED_VALUE"""),"")</f>
        <v/>
      </c>
      <c r="W202" s="49" t="str">
        <f>IFERROR(__xludf.DUMMYFUNCTION("""COMPUTED_VALUE"""),"")</f>
        <v/>
      </c>
      <c r="X202" s="49" t="str">
        <f>IFERROR(__xludf.DUMMYFUNCTION("""COMPUTED_VALUE"""),"")</f>
        <v/>
      </c>
      <c r="Y202" s="49" t="str">
        <f>IFERROR(__xludf.DUMMYFUNCTION("""COMPUTED_VALUE"""),"")</f>
        <v/>
      </c>
      <c r="Z202" s="49"/>
      <c r="AA202" s="49"/>
      <c r="AB202" s="49"/>
      <c r="AC202" s="49"/>
      <c r="AD202" s="49"/>
      <c r="AE202" s="49"/>
      <c r="AF202" s="49"/>
      <c r="AG202" s="49"/>
      <c r="AH202" s="49"/>
      <c r="AI202" s="49"/>
      <c r="AJ202" s="49"/>
      <c r="AK202" s="49"/>
      <c r="AL202" s="49"/>
      <c r="AM202" s="49"/>
      <c r="AN202" s="49"/>
      <c r="AO202" s="49"/>
      <c r="AP202" s="49"/>
      <c r="AQ202" s="49"/>
      <c r="AR202" s="49"/>
      <c r="AS202" s="49"/>
      <c r="AT202" s="49"/>
      <c r="AU202" s="49"/>
      <c r="AV202" s="49"/>
      <c r="AW202" s="49"/>
      <c r="AX202" s="49"/>
    </row>
    <row r="203">
      <c r="A203" s="49"/>
      <c r="B203" s="49"/>
      <c r="C203" s="49" t="str">
        <f>IFERROR(__xludf.DUMMYFUNCTION("""COMPUTED_VALUE"""),"")</f>
        <v/>
      </c>
      <c r="D203" s="49" t="str">
        <f>IFERROR(__xludf.DUMMYFUNCTION("""COMPUTED_VALUE"""),"")</f>
        <v/>
      </c>
      <c r="E203" s="49" t="str">
        <f>IFERROR(__xludf.DUMMYFUNCTION("""COMPUTED_VALUE"""),"")</f>
        <v/>
      </c>
      <c r="F203" s="49" t="str">
        <f>IFERROR(__xludf.DUMMYFUNCTION("""COMPUTED_VALUE"""),"")</f>
        <v/>
      </c>
      <c r="G203" s="49" t="str">
        <f>IFERROR(__xludf.DUMMYFUNCTION("""COMPUTED_VALUE"""),"")</f>
        <v/>
      </c>
      <c r="H203" s="49" t="str">
        <f>IFERROR(__xludf.DUMMYFUNCTION("""COMPUTED_VALUE"""),"")</f>
        <v/>
      </c>
      <c r="I203" s="49" t="str">
        <f>IFERROR(__xludf.DUMMYFUNCTION("""COMPUTED_VALUE"""),"")</f>
        <v/>
      </c>
      <c r="J203" s="49" t="str">
        <f>IFERROR(__xludf.DUMMYFUNCTION("""COMPUTED_VALUE"""),"")</f>
        <v/>
      </c>
      <c r="K203" s="49" t="str">
        <f>IFERROR(__xludf.DUMMYFUNCTION("""COMPUTED_VALUE"""),"")</f>
        <v/>
      </c>
      <c r="L203" s="49" t="str">
        <f>IFERROR(__xludf.DUMMYFUNCTION("""COMPUTED_VALUE"""),"")</f>
        <v/>
      </c>
      <c r="M203" s="49" t="str">
        <f>IFERROR(__xludf.DUMMYFUNCTION("""COMPUTED_VALUE"""),"")</f>
        <v/>
      </c>
      <c r="N203" s="49" t="str">
        <f>IFERROR(__xludf.DUMMYFUNCTION("""COMPUTED_VALUE"""),"")</f>
        <v/>
      </c>
      <c r="O203" s="49" t="str">
        <f>IFERROR(__xludf.DUMMYFUNCTION("""COMPUTED_VALUE"""),"")</f>
        <v/>
      </c>
      <c r="P203" s="49" t="str">
        <f>IFERROR(__xludf.DUMMYFUNCTION("""COMPUTED_VALUE"""),"")</f>
        <v/>
      </c>
      <c r="Q203" s="49" t="str">
        <f>IFERROR(__xludf.DUMMYFUNCTION("""COMPUTED_VALUE"""),"")</f>
        <v/>
      </c>
      <c r="R203" s="49" t="str">
        <f>IFERROR(__xludf.DUMMYFUNCTION("""COMPUTED_VALUE"""),"")</f>
        <v/>
      </c>
      <c r="S203" s="49" t="str">
        <f>IFERROR(__xludf.DUMMYFUNCTION("""COMPUTED_VALUE"""),"")</f>
        <v/>
      </c>
      <c r="T203" s="49" t="str">
        <f>IFERROR(__xludf.DUMMYFUNCTION("""COMPUTED_VALUE"""),"")</f>
        <v/>
      </c>
      <c r="U203" s="49" t="str">
        <f>IFERROR(__xludf.DUMMYFUNCTION("""COMPUTED_VALUE"""),"")</f>
        <v/>
      </c>
      <c r="V203" s="49" t="str">
        <f>IFERROR(__xludf.DUMMYFUNCTION("""COMPUTED_VALUE"""),"")</f>
        <v/>
      </c>
      <c r="W203" s="49" t="str">
        <f>IFERROR(__xludf.DUMMYFUNCTION("""COMPUTED_VALUE"""),"")</f>
        <v/>
      </c>
      <c r="X203" s="49" t="str">
        <f>IFERROR(__xludf.DUMMYFUNCTION("""COMPUTED_VALUE"""),"")</f>
        <v/>
      </c>
      <c r="Y203" s="49" t="str">
        <f>IFERROR(__xludf.DUMMYFUNCTION("""COMPUTED_VALUE"""),"")</f>
        <v/>
      </c>
      <c r="Z203" s="49"/>
      <c r="AA203" s="49"/>
      <c r="AB203" s="49"/>
      <c r="AC203" s="49"/>
      <c r="AD203" s="49"/>
      <c r="AE203" s="49"/>
      <c r="AF203" s="49"/>
      <c r="AG203" s="49"/>
      <c r="AH203" s="49"/>
      <c r="AI203" s="49"/>
      <c r="AJ203" s="49"/>
      <c r="AK203" s="49"/>
      <c r="AL203" s="49"/>
      <c r="AM203" s="49"/>
      <c r="AN203" s="49"/>
      <c r="AO203" s="49"/>
      <c r="AP203" s="49"/>
      <c r="AQ203" s="49"/>
      <c r="AR203" s="49"/>
      <c r="AS203" s="49"/>
      <c r="AT203" s="49"/>
      <c r="AU203" s="49"/>
      <c r="AV203" s="49"/>
      <c r="AW203" s="49"/>
      <c r="AX203" s="49"/>
    </row>
    <row r="204">
      <c r="A204" s="49"/>
      <c r="B204" s="49"/>
      <c r="C204" s="49" t="str">
        <f>IFERROR(__xludf.DUMMYFUNCTION("""COMPUTED_VALUE"""),"")</f>
        <v/>
      </c>
      <c r="D204" s="49" t="str">
        <f>IFERROR(__xludf.DUMMYFUNCTION("""COMPUTED_VALUE"""),"")</f>
        <v/>
      </c>
      <c r="E204" s="49" t="str">
        <f>IFERROR(__xludf.DUMMYFUNCTION("""COMPUTED_VALUE"""),"")</f>
        <v/>
      </c>
      <c r="F204" s="49" t="str">
        <f>IFERROR(__xludf.DUMMYFUNCTION("""COMPUTED_VALUE"""),"")</f>
        <v/>
      </c>
      <c r="G204" s="49" t="str">
        <f>IFERROR(__xludf.DUMMYFUNCTION("""COMPUTED_VALUE"""),"")</f>
        <v/>
      </c>
      <c r="H204" s="49" t="str">
        <f>IFERROR(__xludf.DUMMYFUNCTION("""COMPUTED_VALUE"""),"")</f>
        <v/>
      </c>
      <c r="I204" s="49" t="str">
        <f>IFERROR(__xludf.DUMMYFUNCTION("""COMPUTED_VALUE"""),"")</f>
        <v/>
      </c>
      <c r="J204" s="49" t="str">
        <f>IFERROR(__xludf.DUMMYFUNCTION("""COMPUTED_VALUE"""),"")</f>
        <v/>
      </c>
      <c r="K204" s="49" t="str">
        <f>IFERROR(__xludf.DUMMYFUNCTION("""COMPUTED_VALUE"""),"")</f>
        <v/>
      </c>
      <c r="L204" s="49" t="str">
        <f>IFERROR(__xludf.DUMMYFUNCTION("""COMPUTED_VALUE"""),"")</f>
        <v/>
      </c>
      <c r="M204" s="49" t="str">
        <f>IFERROR(__xludf.DUMMYFUNCTION("""COMPUTED_VALUE"""),"")</f>
        <v/>
      </c>
      <c r="N204" s="49" t="str">
        <f>IFERROR(__xludf.DUMMYFUNCTION("""COMPUTED_VALUE"""),"")</f>
        <v/>
      </c>
      <c r="O204" s="49" t="str">
        <f>IFERROR(__xludf.DUMMYFUNCTION("""COMPUTED_VALUE"""),"")</f>
        <v/>
      </c>
      <c r="P204" s="49" t="str">
        <f>IFERROR(__xludf.DUMMYFUNCTION("""COMPUTED_VALUE"""),"")</f>
        <v/>
      </c>
      <c r="Q204" s="49" t="str">
        <f>IFERROR(__xludf.DUMMYFUNCTION("""COMPUTED_VALUE"""),"")</f>
        <v/>
      </c>
      <c r="R204" s="49" t="str">
        <f>IFERROR(__xludf.DUMMYFUNCTION("""COMPUTED_VALUE"""),"")</f>
        <v/>
      </c>
      <c r="S204" s="49" t="str">
        <f>IFERROR(__xludf.DUMMYFUNCTION("""COMPUTED_VALUE"""),"")</f>
        <v/>
      </c>
      <c r="T204" s="49" t="str">
        <f>IFERROR(__xludf.DUMMYFUNCTION("""COMPUTED_VALUE"""),"")</f>
        <v/>
      </c>
      <c r="U204" s="49" t="str">
        <f>IFERROR(__xludf.DUMMYFUNCTION("""COMPUTED_VALUE"""),"")</f>
        <v/>
      </c>
      <c r="V204" s="49" t="str">
        <f>IFERROR(__xludf.DUMMYFUNCTION("""COMPUTED_VALUE"""),"")</f>
        <v/>
      </c>
      <c r="W204" s="49" t="str">
        <f>IFERROR(__xludf.DUMMYFUNCTION("""COMPUTED_VALUE"""),"")</f>
        <v/>
      </c>
      <c r="X204" s="49" t="str">
        <f>IFERROR(__xludf.DUMMYFUNCTION("""COMPUTED_VALUE"""),"")</f>
        <v/>
      </c>
      <c r="Y204" s="49" t="str">
        <f>IFERROR(__xludf.DUMMYFUNCTION("""COMPUTED_VALUE"""),"")</f>
        <v/>
      </c>
      <c r="Z204" s="49"/>
      <c r="AA204" s="49"/>
      <c r="AB204" s="49"/>
      <c r="AC204" s="49"/>
      <c r="AD204" s="49"/>
      <c r="AE204" s="49"/>
      <c r="AF204" s="49"/>
      <c r="AG204" s="49"/>
      <c r="AH204" s="49"/>
      <c r="AI204" s="49"/>
      <c r="AJ204" s="49"/>
      <c r="AK204" s="49"/>
      <c r="AL204" s="49"/>
      <c r="AM204" s="49"/>
      <c r="AN204" s="49"/>
      <c r="AO204" s="49"/>
      <c r="AP204" s="49"/>
      <c r="AQ204" s="49"/>
      <c r="AR204" s="49"/>
      <c r="AS204" s="49"/>
      <c r="AT204" s="49"/>
      <c r="AU204" s="49"/>
      <c r="AV204" s="49"/>
      <c r="AW204" s="49"/>
      <c r="AX204" s="49"/>
    </row>
    <row r="205">
      <c r="A205" s="49"/>
      <c r="B205" s="49"/>
      <c r="C205" s="49" t="str">
        <f>IFERROR(__xludf.DUMMYFUNCTION("""COMPUTED_VALUE"""),"")</f>
        <v/>
      </c>
      <c r="D205" s="49" t="str">
        <f>IFERROR(__xludf.DUMMYFUNCTION("""COMPUTED_VALUE"""),"")</f>
        <v/>
      </c>
      <c r="E205" s="49" t="str">
        <f>IFERROR(__xludf.DUMMYFUNCTION("""COMPUTED_VALUE"""),"")</f>
        <v/>
      </c>
      <c r="F205" s="49" t="str">
        <f>IFERROR(__xludf.DUMMYFUNCTION("""COMPUTED_VALUE"""),"")</f>
        <v/>
      </c>
      <c r="G205" s="49" t="str">
        <f>IFERROR(__xludf.DUMMYFUNCTION("""COMPUTED_VALUE"""),"")</f>
        <v/>
      </c>
      <c r="H205" s="49" t="str">
        <f>IFERROR(__xludf.DUMMYFUNCTION("""COMPUTED_VALUE"""),"")</f>
        <v/>
      </c>
      <c r="I205" s="49" t="str">
        <f>IFERROR(__xludf.DUMMYFUNCTION("""COMPUTED_VALUE"""),"")</f>
        <v/>
      </c>
      <c r="J205" s="49" t="str">
        <f>IFERROR(__xludf.DUMMYFUNCTION("""COMPUTED_VALUE"""),"")</f>
        <v/>
      </c>
      <c r="K205" s="49" t="str">
        <f>IFERROR(__xludf.DUMMYFUNCTION("""COMPUTED_VALUE"""),"")</f>
        <v/>
      </c>
      <c r="L205" s="49" t="str">
        <f>IFERROR(__xludf.DUMMYFUNCTION("""COMPUTED_VALUE"""),"")</f>
        <v/>
      </c>
      <c r="M205" s="49" t="str">
        <f>IFERROR(__xludf.DUMMYFUNCTION("""COMPUTED_VALUE"""),"")</f>
        <v/>
      </c>
      <c r="N205" s="49" t="str">
        <f>IFERROR(__xludf.DUMMYFUNCTION("""COMPUTED_VALUE"""),"")</f>
        <v/>
      </c>
      <c r="O205" s="49" t="str">
        <f>IFERROR(__xludf.DUMMYFUNCTION("""COMPUTED_VALUE"""),"")</f>
        <v/>
      </c>
      <c r="P205" s="49" t="str">
        <f>IFERROR(__xludf.DUMMYFUNCTION("""COMPUTED_VALUE"""),"")</f>
        <v/>
      </c>
      <c r="Q205" s="49" t="str">
        <f>IFERROR(__xludf.DUMMYFUNCTION("""COMPUTED_VALUE"""),"")</f>
        <v/>
      </c>
      <c r="R205" s="49" t="str">
        <f>IFERROR(__xludf.DUMMYFUNCTION("""COMPUTED_VALUE"""),"")</f>
        <v/>
      </c>
      <c r="S205" s="49" t="str">
        <f>IFERROR(__xludf.DUMMYFUNCTION("""COMPUTED_VALUE"""),"")</f>
        <v/>
      </c>
      <c r="T205" s="49" t="str">
        <f>IFERROR(__xludf.DUMMYFUNCTION("""COMPUTED_VALUE"""),"")</f>
        <v/>
      </c>
      <c r="U205" s="49" t="str">
        <f>IFERROR(__xludf.DUMMYFUNCTION("""COMPUTED_VALUE"""),"")</f>
        <v/>
      </c>
      <c r="V205" s="49" t="str">
        <f>IFERROR(__xludf.DUMMYFUNCTION("""COMPUTED_VALUE"""),"")</f>
        <v/>
      </c>
      <c r="W205" s="49" t="str">
        <f>IFERROR(__xludf.DUMMYFUNCTION("""COMPUTED_VALUE"""),"")</f>
        <v/>
      </c>
      <c r="X205" s="49" t="str">
        <f>IFERROR(__xludf.DUMMYFUNCTION("""COMPUTED_VALUE"""),"")</f>
        <v/>
      </c>
      <c r="Y205" s="49" t="str">
        <f>IFERROR(__xludf.DUMMYFUNCTION("""COMPUTED_VALUE"""),"")</f>
        <v/>
      </c>
      <c r="Z205" s="49"/>
      <c r="AA205" s="49"/>
      <c r="AB205" s="49"/>
      <c r="AC205" s="49"/>
      <c r="AD205" s="49"/>
      <c r="AE205" s="49"/>
      <c r="AF205" s="49"/>
      <c r="AG205" s="49"/>
      <c r="AH205" s="49"/>
      <c r="AI205" s="49"/>
      <c r="AJ205" s="49"/>
      <c r="AK205" s="49"/>
      <c r="AL205" s="49"/>
      <c r="AM205" s="49"/>
      <c r="AN205" s="49"/>
      <c r="AO205" s="49"/>
      <c r="AP205" s="49"/>
      <c r="AQ205" s="49"/>
      <c r="AR205" s="49"/>
      <c r="AS205" s="49"/>
      <c r="AT205" s="49"/>
      <c r="AU205" s="49"/>
      <c r="AV205" s="49"/>
      <c r="AW205" s="49"/>
      <c r="AX205" s="49"/>
    </row>
    <row r="206">
      <c r="A206" s="49"/>
      <c r="B206" s="49"/>
      <c r="C206" s="49" t="str">
        <f>IFERROR(__xludf.DUMMYFUNCTION("""COMPUTED_VALUE"""),"")</f>
        <v/>
      </c>
      <c r="D206" s="49" t="str">
        <f>IFERROR(__xludf.DUMMYFUNCTION("""COMPUTED_VALUE"""),"")</f>
        <v/>
      </c>
      <c r="E206" s="49" t="str">
        <f>IFERROR(__xludf.DUMMYFUNCTION("""COMPUTED_VALUE"""),"")</f>
        <v/>
      </c>
      <c r="F206" s="49" t="str">
        <f>IFERROR(__xludf.DUMMYFUNCTION("""COMPUTED_VALUE"""),"")</f>
        <v/>
      </c>
      <c r="G206" s="49" t="str">
        <f>IFERROR(__xludf.DUMMYFUNCTION("""COMPUTED_VALUE"""),"")</f>
        <v/>
      </c>
      <c r="H206" s="49" t="str">
        <f>IFERROR(__xludf.DUMMYFUNCTION("""COMPUTED_VALUE"""),"")</f>
        <v/>
      </c>
      <c r="I206" s="49" t="str">
        <f>IFERROR(__xludf.DUMMYFUNCTION("""COMPUTED_VALUE"""),"")</f>
        <v/>
      </c>
      <c r="J206" s="49" t="str">
        <f>IFERROR(__xludf.DUMMYFUNCTION("""COMPUTED_VALUE"""),"")</f>
        <v/>
      </c>
      <c r="K206" s="49" t="str">
        <f>IFERROR(__xludf.DUMMYFUNCTION("""COMPUTED_VALUE"""),"")</f>
        <v/>
      </c>
      <c r="L206" s="49" t="str">
        <f>IFERROR(__xludf.DUMMYFUNCTION("""COMPUTED_VALUE"""),"")</f>
        <v/>
      </c>
      <c r="M206" s="49" t="str">
        <f>IFERROR(__xludf.DUMMYFUNCTION("""COMPUTED_VALUE"""),"")</f>
        <v/>
      </c>
      <c r="N206" s="49" t="str">
        <f>IFERROR(__xludf.DUMMYFUNCTION("""COMPUTED_VALUE"""),"")</f>
        <v/>
      </c>
      <c r="O206" s="49" t="str">
        <f>IFERROR(__xludf.DUMMYFUNCTION("""COMPUTED_VALUE"""),"")</f>
        <v/>
      </c>
      <c r="P206" s="49" t="str">
        <f>IFERROR(__xludf.DUMMYFUNCTION("""COMPUTED_VALUE"""),"")</f>
        <v/>
      </c>
      <c r="Q206" s="49" t="str">
        <f>IFERROR(__xludf.DUMMYFUNCTION("""COMPUTED_VALUE"""),"")</f>
        <v/>
      </c>
      <c r="R206" s="49" t="str">
        <f>IFERROR(__xludf.DUMMYFUNCTION("""COMPUTED_VALUE"""),"")</f>
        <v/>
      </c>
      <c r="S206" s="49" t="str">
        <f>IFERROR(__xludf.DUMMYFUNCTION("""COMPUTED_VALUE"""),"")</f>
        <v/>
      </c>
      <c r="T206" s="49" t="str">
        <f>IFERROR(__xludf.DUMMYFUNCTION("""COMPUTED_VALUE"""),"")</f>
        <v/>
      </c>
      <c r="U206" s="49" t="str">
        <f>IFERROR(__xludf.DUMMYFUNCTION("""COMPUTED_VALUE"""),"")</f>
        <v/>
      </c>
      <c r="V206" s="49" t="str">
        <f>IFERROR(__xludf.DUMMYFUNCTION("""COMPUTED_VALUE"""),"")</f>
        <v/>
      </c>
      <c r="W206" s="49" t="str">
        <f>IFERROR(__xludf.DUMMYFUNCTION("""COMPUTED_VALUE"""),"")</f>
        <v/>
      </c>
      <c r="X206" s="49" t="str">
        <f>IFERROR(__xludf.DUMMYFUNCTION("""COMPUTED_VALUE"""),"")</f>
        <v/>
      </c>
      <c r="Y206" s="49" t="str">
        <f>IFERROR(__xludf.DUMMYFUNCTION("""COMPUTED_VALUE"""),"")</f>
        <v/>
      </c>
      <c r="Z206" s="49"/>
      <c r="AA206" s="49"/>
      <c r="AB206" s="49"/>
      <c r="AC206" s="49"/>
      <c r="AD206" s="49"/>
      <c r="AE206" s="49"/>
      <c r="AF206" s="49"/>
      <c r="AG206" s="49"/>
      <c r="AH206" s="49"/>
      <c r="AI206" s="49"/>
      <c r="AJ206" s="49"/>
      <c r="AK206" s="49"/>
      <c r="AL206" s="49"/>
      <c r="AM206" s="49"/>
      <c r="AN206" s="49"/>
      <c r="AO206" s="49"/>
      <c r="AP206" s="49"/>
      <c r="AQ206" s="49"/>
      <c r="AR206" s="49"/>
      <c r="AS206" s="49"/>
      <c r="AT206" s="49"/>
      <c r="AU206" s="49"/>
      <c r="AV206" s="49"/>
      <c r="AW206" s="49"/>
      <c r="AX206" s="49"/>
    </row>
    <row r="207">
      <c r="A207" s="49"/>
      <c r="B207" s="49"/>
      <c r="C207" s="49" t="str">
        <f>IFERROR(__xludf.DUMMYFUNCTION("""COMPUTED_VALUE"""),"")</f>
        <v/>
      </c>
      <c r="D207" s="49" t="str">
        <f>IFERROR(__xludf.DUMMYFUNCTION("""COMPUTED_VALUE"""),"")</f>
        <v/>
      </c>
      <c r="E207" s="49" t="str">
        <f>IFERROR(__xludf.DUMMYFUNCTION("""COMPUTED_VALUE"""),"")</f>
        <v/>
      </c>
      <c r="F207" s="49" t="str">
        <f>IFERROR(__xludf.DUMMYFUNCTION("""COMPUTED_VALUE"""),"")</f>
        <v/>
      </c>
      <c r="G207" s="49" t="str">
        <f>IFERROR(__xludf.DUMMYFUNCTION("""COMPUTED_VALUE"""),"")</f>
        <v/>
      </c>
      <c r="H207" s="49" t="str">
        <f>IFERROR(__xludf.DUMMYFUNCTION("""COMPUTED_VALUE"""),"")</f>
        <v/>
      </c>
      <c r="I207" s="49" t="str">
        <f>IFERROR(__xludf.DUMMYFUNCTION("""COMPUTED_VALUE"""),"")</f>
        <v/>
      </c>
      <c r="J207" s="49" t="str">
        <f>IFERROR(__xludf.DUMMYFUNCTION("""COMPUTED_VALUE"""),"")</f>
        <v/>
      </c>
      <c r="K207" s="49" t="str">
        <f>IFERROR(__xludf.DUMMYFUNCTION("""COMPUTED_VALUE"""),"")</f>
        <v/>
      </c>
      <c r="L207" s="49" t="str">
        <f>IFERROR(__xludf.DUMMYFUNCTION("""COMPUTED_VALUE"""),"")</f>
        <v/>
      </c>
      <c r="M207" s="49" t="str">
        <f>IFERROR(__xludf.DUMMYFUNCTION("""COMPUTED_VALUE"""),"")</f>
        <v/>
      </c>
      <c r="N207" s="49" t="str">
        <f>IFERROR(__xludf.DUMMYFUNCTION("""COMPUTED_VALUE"""),"")</f>
        <v/>
      </c>
      <c r="O207" s="49" t="str">
        <f>IFERROR(__xludf.DUMMYFUNCTION("""COMPUTED_VALUE"""),"")</f>
        <v/>
      </c>
      <c r="P207" s="49" t="str">
        <f>IFERROR(__xludf.DUMMYFUNCTION("""COMPUTED_VALUE"""),"")</f>
        <v/>
      </c>
      <c r="Q207" s="49" t="str">
        <f>IFERROR(__xludf.DUMMYFUNCTION("""COMPUTED_VALUE"""),"")</f>
        <v/>
      </c>
      <c r="R207" s="49" t="str">
        <f>IFERROR(__xludf.DUMMYFUNCTION("""COMPUTED_VALUE"""),"")</f>
        <v/>
      </c>
      <c r="S207" s="49" t="str">
        <f>IFERROR(__xludf.DUMMYFUNCTION("""COMPUTED_VALUE"""),"")</f>
        <v/>
      </c>
      <c r="T207" s="49" t="str">
        <f>IFERROR(__xludf.DUMMYFUNCTION("""COMPUTED_VALUE"""),"")</f>
        <v/>
      </c>
      <c r="U207" s="49" t="str">
        <f>IFERROR(__xludf.DUMMYFUNCTION("""COMPUTED_VALUE"""),"")</f>
        <v/>
      </c>
      <c r="V207" s="49" t="str">
        <f>IFERROR(__xludf.DUMMYFUNCTION("""COMPUTED_VALUE"""),"")</f>
        <v/>
      </c>
      <c r="W207" s="49" t="str">
        <f>IFERROR(__xludf.DUMMYFUNCTION("""COMPUTED_VALUE"""),"")</f>
        <v/>
      </c>
      <c r="X207" s="49" t="str">
        <f>IFERROR(__xludf.DUMMYFUNCTION("""COMPUTED_VALUE"""),"")</f>
        <v/>
      </c>
      <c r="Y207" s="49" t="str">
        <f>IFERROR(__xludf.DUMMYFUNCTION("""COMPUTED_VALUE"""),"")</f>
        <v/>
      </c>
      <c r="Z207" s="49"/>
      <c r="AA207" s="49"/>
      <c r="AB207" s="49"/>
      <c r="AC207" s="49"/>
      <c r="AD207" s="49"/>
      <c r="AE207" s="49"/>
      <c r="AF207" s="49"/>
      <c r="AG207" s="49"/>
      <c r="AH207" s="49"/>
      <c r="AI207" s="49"/>
      <c r="AJ207" s="49"/>
      <c r="AK207" s="49"/>
      <c r="AL207" s="49"/>
      <c r="AM207" s="49"/>
      <c r="AN207" s="49"/>
      <c r="AO207" s="49"/>
      <c r="AP207" s="49"/>
      <c r="AQ207" s="49"/>
      <c r="AR207" s="49"/>
      <c r="AS207" s="49"/>
      <c r="AT207" s="49"/>
      <c r="AU207" s="49"/>
      <c r="AV207" s="49"/>
      <c r="AW207" s="49"/>
      <c r="AX207" s="49"/>
    </row>
    <row r="208">
      <c r="A208" s="49"/>
      <c r="B208" s="49"/>
      <c r="C208" s="49" t="str">
        <f>IFERROR(__xludf.DUMMYFUNCTION("""COMPUTED_VALUE"""),"")</f>
        <v/>
      </c>
      <c r="D208" s="49" t="str">
        <f>IFERROR(__xludf.DUMMYFUNCTION("""COMPUTED_VALUE"""),"")</f>
        <v/>
      </c>
      <c r="E208" s="49" t="str">
        <f>IFERROR(__xludf.DUMMYFUNCTION("""COMPUTED_VALUE"""),"")</f>
        <v/>
      </c>
      <c r="F208" s="49" t="str">
        <f>IFERROR(__xludf.DUMMYFUNCTION("""COMPUTED_VALUE"""),"")</f>
        <v/>
      </c>
      <c r="G208" s="49" t="str">
        <f>IFERROR(__xludf.DUMMYFUNCTION("""COMPUTED_VALUE"""),"")</f>
        <v/>
      </c>
      <c r="H208" s="49" t="str">
        <f>IFERROR(__xludf.DUMMYFUNCTION("""COMPUTED_VALUE"""),"")</f>
        <v/>
      </c>
      <c r="I208" s="49" t="str">
        <f>IFERROR(__xludf.DUMMYFUNCTION("""COMPUTED_VALUE"""),"")</f>
        <v/>
      </c>
      <c r="J208" s="49" t="str">
        <f>IFERROR(__xludf.DUMMYFUNCTION("""COMPUTED_VALUE"""),"")</f>
        <v/>
      </c>
      <c r="K208" s="49" t="str">
        <f>IFERROR(__xludf.DUMMYFUNCTION("""COMPUTED_VALUE"""),"")</f>
        <v/>
      </c>
      <c r="L208" s="49" t="str">
        <f>IFERROR(__xludf.DUMMYFUNCTION("""COMPUTED_VALUE"""),"")</f>
        <v/>
      </c>
      <c r="M208" s="49" t="str">
        <f>IFERROR(__xludf.DUMMYFUNCTION("""COMPUTED_VALUE"""),"")</f>
        <v/>
      </c>
      <c r="N208" s="49" t="str">
        <f>IFERROR(__xludf.DUMMYFUNCTION("""COMPUTED_VALUE"""),"")</f>
        <v/>
      </c>
      <c r="O208" s="49" t="str">
        <f>IFERROR(__xludf.DUMMYFUNCTION("""COMPUTED_VALUE"""),"")</f>
        <v/>
      </c>
      <c r="P208" s="49" t="str">
        <f>IFERROR(__xludf.DUMMYFUNCTION("""COMPUTED_VALUE"""),"")</f>
        <v/>
      </c>
      <c r="Q208" s="49" t="str">
        <f>IFERROR(__xludf.DUMMYFUNCTION("""COMPUTED_VALUE"""),"")</f>
        <v/>
      </c>
      <c r="R208" s="49" t="str">
        <f>IFERROR(__xludf.DUMMYFUNCTION("""COMPUTED_VALUE"""),"")</f>
        <v/>
      </c>
      <c r="S208" s="49" t="str">
        <f>IFERROR(__xludf.DUMMYFUNCTION("""COMPUTED_VALUE"""),"")</f>
        <v/>
      </c>
      <c r="T208" s="49" t="str">
        <f>IFERROR(__xludf.DUMMYFUNCTION("""COMPUTED_VALUE"""),"")</f>
        <v/>
      </c>
      <c r="U208" s="49" t="str">
        <f>IFERROR(__xludf.DUMMYFUNCTION("""COMPUTED_VALUE"""),"")</f>
        <v/>
      </c>
      <c r="V208" s="49" t="str">
        <f>IFERROR(__xludf.DUMMYFUNCTION("""COMPUTED_VALUE"""),"")</f>
        <v/>
      </c>
      <c r="W208" s="49" t="str">
        <f>IFERROR(__xludf.DUMMYFUNCTION("""COMPUTED_VALUE"""),"")</f>
        <v/>
      </c>
      <c r="X208" s="49" t="str">
        <f>IFERROR(__xludf.DUMMYFUNCTION("""COMPUTED_VALUE"""),"")</f>
        <v/>
      </c>
      <c r="Y208" s="49" t="str">
        <f>IFERROR(__xludf.DUMMYFUNCTION("""COMPUTED_VALUE"""),"")</f>
        <v/>
      </c>
      <c r="Z208" s="49"/>
      <c r="AA208" s="49"/>
      <c r="AB208" s="49"/>
      <c r="AC208" s="49"/>
      <c r="AD208" s="49"/>
      <c r="AE208" s="49"/>
      <c r="AF208" s="49"/>
      <c r="AG208" s="49"/>
      <c r="AH208" s="49"/>
      <c r="AI208" s="49"/>
      <c r="AJ208" s="49"/>
      <c r="AK208" s="49"/>
      <c r="AL208" s="49"/>
      <c r="AM208" s="49"/>
      <c r="AN208" s="49"/>
      <c r="AO208" s="49"/>
      <c r="AP208" s="49"/>
      <c r="AQ208" s="49"/>
      <c r="AR208" s="49"/>
      <c r="AS208" s="49"/>
      <c r="AT208" s="49"/>
      <c r="AU208" s="49"/>
      <c r="AV208" s="49"/>
      <c r="AW208" s="49"/>
      <c r="AX208" s="49"/>
    </row>
    <row r="209">
      <c r="A209" s="49"/>
      <c r="B209" s="49"/>
      <c r="C209" s="49" t="str">
        <f>IFERROR(__xludf.DUMMYFUNCTION("""COMPUTED_VALUE"""),"")</f>
        <v/>
      </c>
      <c r="D209" s="49" t="str">
        <f>IFERROR(__xludf.DUMMYFUNCTION("""COMPUTED_VALUE"""),"")</f>
        <v/>
      </c>
      <c r="E209" s="49" t="str">
        <f>IFERROR(__xludf.DUMMYFUNCTION("""COMPUTED_VALUE"""),"")</f>
        <v/>
      </c>
      <c r="F209" s="49" t="str">
        <f>IFERROR(__xludf.DUMMYFUNCTION("""COMPUTED_VALUE"""),"")</f>
        <v/>
      </c>
      <c r="G209" s="49" t="str">
        <f>IFERROR(__xludf.DUMMYFUNCTION("""COMPUTED_VALUE"""),"")</f>
        <v/>
      </c>
      <c r="H209" s="49" t="str">
        <f>IFERROR(__xludf.DUMMYFUNCTION("""COMPUTED_VALUE"""),"")</f>
        <v/>
      </c>
      <c r="I209" s="49" t="str">
        <f>IFERROR(__xludf.DUMMYFUNCTION("""COMPUTED_VALUE"""),"")</f>
        <v/>
      </c>
      <c r="J209" s="49" t="str">
        <f>IFERROR(__xludf.DUMMYFUNCTION("""COMPUTED_VALUE"""),"")</f>
        <v/>
      </c>
      <c r="K209" s="49" t="str">
        <f>IFERROR(__xludf.DUMMYFUNCTION("""COMPUTED_VALUE"""),"")</f>
        <v/>
      </c>
      <c r="L209" s="49" t="str">
        <f>IFERROR(__xludf.DUMMYFUNCTION("""COMPUTED_VALUE"""),"")</f>
        <v/>
      </c>
      <c r="M209" s="49" t="str">
        <f>IFERROR(__xludf.DUMMYFUNCTION("""COMPUTED_VALUE"""),"")</f>
        <v/>
      </c>
      <c r="N209" s="49" t="str">
        <f>IFERROR(__xludf.DUMMYFUNCTION("""COMPUTED_VALUE"""),"")</f>
        <v/>
      </c>
      <c r="O209" s="49" t="str">
        <f>IFERROR(__xludf.DUMMYFUNCTION("""COMPUTED_VALUE"""),"")</f>
        <v/>
      </c>
      <c r="P209" s="49" t="str">
        <f>IFERROR(__xludf.DUMMYFUNCTION("""COMPUTED_VALUE"""),"")</f>
        <v/>
      </c>
      <c r="Q209" s="49" t="str">
        <f>IFERROR(__xludf.DUMMYFUNCTION("""COMPUTED_VALUE"""),"")</f>
        <v/>
      </c>
      <c r="R209" s="49" t="str">
        <f>IFERROR(__xludf.DUMMYFUNCTION("""COMPUTED_VALUE"""),"")</f>
        <v/>
      </c>
      <c r="S209" s="49" t="str">
        <f>IFERROR(__xludf.DUMMYFUNCTION("""COMPUTED_VALUE"""),"")</f>
        <v/>
      </c>
      <c r="T209" s="49" t="str">
        <f>IFERROR(__xludf.DUMMYFUNCTION("""COMPUTED_VALUE"""),"")</f>
        <v/>
      </c>
      <c r="U209" s="49" t="str">
        <f>IFERROR(__xludf.DUMMYFUNCTION("""COMPUTED_VALUE"""),"")</f>
        <v/>
      </c>
      <c r="V209" s="49" t="str">
        <f>IFERROR(__xludf.DUMMYFUNCTION("""COMPUTED_VALUE"""),"")</f>
        <v/>
      </c>
      <c r="W209" s="49" t="str">
        <f>IFERROR(__xludf.DUMMYFUNCTION("""COMPUTED_VALUE"""),"")</f>
        <v/>
      </c>
      <c r="X209" s="49" t="str">
        <f>IFERROR(__xludf.DUMMYFUNCTION("""COMPUTED_VALUE"""),"")</f>
        <v/>
      </c>
      <c r="Y209" s="49" t="str">
        <f>IFERROR(__xludf.DUMMYFUNCTION("""COMPUTED_VALUE"""),"")</f>
        <v/>
      </c>
      <c r="Z209" s="49"/>
      <c r="AA209" s="49"/>
      <c r="AB209" s="49"/>
      <c r="AC209" s="49"/>
      <c r="AD209" s="49"/>
      <c r="AE209" s="49"/>
      <c r="AF209" s="49"/>
      <c r="AG209" s="49"/>
      <c r="AH209" s="49"/>
      <c r="AI209" s="49"/>
      <c r="AJ209" s="49"/>
      <c r="AK209" s="49"/>
      <c r="AL209" s="49"/>
      <c r="AM209" s="49"/>
      <c r="AN209" s="49"/>
      <c r="AO209" s="49"/>
      <c r="AP209" s="49"/>
      <c r="AQ209" s="49"/>
      <c r="AR209" s="49"/>
      <c r="AS209" s="49"/>
      <c r="AT209" s="49"/>
      <c r="AU209" s="49"/>
      <c r="AV209" s="49"/>
      <c r="AW209" s="49"/>
      <c r="AX209" s="49"/>
    </row>
    <row r="210">
      <c r="A210" s="49"/>
      <c r="B210" s="49"/>
      <c r="C210" s="49" t="str">
        <f>IFERROR(__xludf.DUMMYFUNCTION("""COMPUTED_VALUE"""),"")</f>
        <v/>
      </c>
      <c r="D210" s="49" t="str">
        <f>IFERROR(__xludf.DUMMYFUNCTION("""COMPUTED_VALUE"""),"")</f>
        <v/>
      </c>
      <c r="E210" s="49" t="str">
        <f>IFERROR(__xludf.DUMMYFUNCTION("""COMPUTED_VALUE"""),"")</f>
        <v/>
      </c>
      <c r="F210" s="49" t="str">
        <f>IFERROR(__xludf.DUMMYFUNCTION("""COMPUTED_VALUE"""),"")</f>
        <v/>
      </c>
      <c r="G210" s="49" t="str">
        <f>IFERROR(__xludf.DUMMYFUNCTION("""COMPUTED_VALUE"""),"")</f>
        <v/>
      </c>
      <c r="H210" s="49" t="str">
        <f>IFERROR(__xludf.DUMMYFUNCTION("""COMPUTED_VALUE"""),"")</f>
        <v/>
      </c>
      <c r="I210" s="49" t="str">
        <f>IFERROR(__xludf.DUMMYFUNCTION("""COMPUTED_VALUE"""),"")</f>
        <v/>
      </c>
      <c r="J210" s="49" t="str">
        <f>IFERROR(__xludf.DUMMYFUNCTION("""COMPUTED_VALUE"""),"")</f>
        <v/>
      </c>
      <c r="K210" s="49" t="str">
        <f>IFERROR(__xludf.DUMMYFUNCTION("""COMPUTED_VALUE"""),"")</f>
        <v/>
      </c>
      <c r="L210" s="49" t="str">
        <f>IFERROR(__xludf.DUMMYFUNCTION("""COMPUTED_VALUE"""),"")</f>
        <v/>
      </c>
      <c r="M210" s="49" t="str">
        <f>IFERROR(__xludf.DUMMYFUNCTION("""COMPUTED_VALUE"""),"")</f>
        <v/>
      </c>
      <c r="N210" s="49" t="str">
        <f>IFERROR(__xludf.DUMMYFUNCTION("""COMPUTED_VALUE"""),"")</f>
        <v/>
      </c>
      <c r="O210" s="49" t="str">
        <f>IFERROR(__xludf.DUMMYFUNCTION("""COMPUTED_VALUE"""),"")</f>
        <v/>
      </c>
      <c r="P210" s="49" t="str">
        <f>IFERROR(__xludf.DUMMYFUNCTION("""COMPUTED_VALUE"""),"")</f>
        <v/>
      </c>
      <c r="Q210" s="49" t="str">
        <f>IFERROR(__xludf.DUMMYFUNCTION("""COMPUTED_VALUE"""),"")</f>
        <v/>
      </c>
      <c r="R210" s="49" t="str">
        <f>IFERROR(__xludf.DUMMYFUNCTION("""COMPUTED_VALUE"""),"")</f>
        <v/>
      </c>
      <c r="S210" s="49" t="str">
        <f>IFERROR(__xludf.DUMMYFUNCTION("""COMPUTED_VALUE"""),"")</f>
        <v/>
      </c>
      <c r="T210" s="49" t="str">
        <f>IFERROR(__xludf.DUMMYFUNCTION("""COMPUTED_VALUE"""),"")</f>
        <v/>
      </c>
      <c r="U210" s="49" t="str">
        <f>IFERROR(__xludf.DUMMYFUNCTION("""COMPUTED_VALUE"""),"")</f>
        <v/>
      </c>
      <c r="V210" s="49" t="str">
        <f>IFERROR(__xludf.DUMMYFUNCTION("""COMPUTED_VALUE"""),"")</f>
        <v/>
      </c>
      <c r="W210" s="49" t="str">
        <f>IFERROR(__xludf.DUMMYFUNCTION("""COMPUTED_VALUE"""),"")</f>
        <v/>
      </c>
      <c r="X210" s="49" t="str">
        <f>IFERROR(__xludf.DUMMYFUNCTION("""COMPUTED_VALUE"""),"")</f>
        <v/>
      </c>
      <c r="Y210" s="49" t="str">
        <f>IFERROR(__xludf.DUMMYFUNCTION("""COMPUTED_VALUE"""),"")</f>
        <v/>
      </c>
      <c r="Z210" s="49"/>
      <c r="AA210" s="49"/>
      <c r="AB210" s="49"/>
      <c r="AC210" s="49"/>
      <c r="AD210" s="49"/>
      <c r="AE210" s="49"/>
      <c r="AF210" s="49"/>
      <c r="AG210" s="49"/>
      <c r="AH210" s="49"/>
      <c r="AI210" s="49"/>
      <c r="AJ210" s="49"/>
      <c r="AK210" s="49"/>
      <c r="AL210" s="49"/>
      <c r="AM210" s="49"/>
      <c r="AN210" s="49"/>
      <c r="AO210" s="49"/>
      <c r="AP210" s="49"/>
      <c r="AQ210" s="49"/>
      <c r="AR210" s="49"/>
      <c r="AS210" s="49"/>
      <c r="AT210" s="49"/>
      <c r="AU210" s="49"/>
      <c r="AV210" s="49"/>
      <c r="AW210" s="49"/>
      <c r="AX210" s="49"/>
    </row>
    <row r="211">
      <c r="A211" s="49"/>
      <c r="B211" s="49"/>
      <c r="C211" s="49" t="str">
        <f>IFERROR(__xludf.DUMMYFUNCTION("""COMPUTED_VALUE"""),"")</f>
        <v/>
      </c>
      <c r="D211" s="49" t="str">
        <f>IFERROR(__xludf.DUMMYFUNCTION("""COMPUTED_VALUE"""),"")</f>
        <v/>
      </c>
      <c r="E211" s="49" t="str">
        <f>IFERROR(__xludf.DUMMYFUNCTION("""COMPUTED_VALUE"""),"")</f>
        <v/>
      </c>
      <c r="F211" s="49" t="str">
        <f>IFERROR(__xludf.DUMMYFUNCTION("""COMPUTED_VALUE"""),"")</f>
        <v/>
      </c>
      <c r="G211" s="49" t="str">
        <f>IFERROR(__xludf.DUMMYFUNCTION("""COMPUTED_VALUE"""),"")</f>
        <v/>
      </c>
      <c r="H211" s="49" t="str">
        <f>IFERROR(__xludf.DUMMYFUNCTION("""COMPUTED_VALUE"""),"")</f>
        <v/>
      </c>
      <c r="I211" s="49" t="str">
        <f>IFERROR(__xludf.DUMMYFUNCTION("""COMPUTED_VALUE"""),"")</f>
        <v/>
      </c>
      <c r="J211" s="49" t="str">
        <f>IFERROR(__xludf.DUMMYFUNCTION("""COMPUTED_VALUE"""),"")</f>
        <v/>
      </c>
      <c r="K211" s="49" t="str">
        <f>IFERROR(__xludf.DUMMYFUNCTION("""COMPUTED_VALUE"""),"")</f>
        <v/>
      </c>
      <c r="L211" s="49" t="str">
        <f>IFERROR(__xludf.DUMMYFUNCTION("""COMPUTED_VALUE"""),"")</f>
        <v/>
      </c>
      <c r="M211" s="49" t="str">
        <f>IFERROR(__xludf.DUMMYFUNCTION("""COMPUTED_VALUE"""),"")</f>
        <v/>
      </c>
      <c r="N211" s="49" t="str">
        <f>IFERROR(__xludf.DUMMYFUNCTION("""COMPUTED_VALUE"""),"")</f>
        <v/>
      </c>
      <c r="O211" s="49" t="str">
        <f>IFERROR(__xludf.DUMMYFUNCTION("""COMPUTED_VALUE"""),"")</f>
        <v/>
      </c>
      <c r="P211" s="49" t="str">
        <f>IFERROR(__xludf.DUMMYFUNCTION("""COMPUTED_VALUE"""),"")</f>
        <v/>
      </c>
      <c r="Q211" s="49" t="str">
        <f>IFERROR(__xludf.DUMMYFUNCTION("""COMPUTED_VALUE"""),"")</f>
        <v/>
      </c>
      <c r="R211" s="49" t="str">
        <f>IFERROR(__xludf.DUMMYFUNCTION("""COMPUTED_VALUE"""),"")</f>
        <v/>
      </c>
      <c r="S211" s="49" t="str">
        <f>IFERROR(__xludf.DUMMYFUNCTION("""COMPUTED_VALUE"""),"")</f>
        <v/>
      </c>
      <c r="T211" s="49" t="str">
        <f>IFERROR(__xludf.DUMMYFUNCTION("""COMPUTED_VALUE"""),"")</f>
        <v/>
      </c>
      <c r="U211" s="49" t="str">
        <f>IFERROR(__xludf.DUMMYFUNCTION("""COMPUTED_VALUE"""),"")</f>
        <v/>
      </c>
      <c r="V211" s="49" t="str">
        <f>IFERROR(__xludf.DUMMYFUNCTION("""COMPUTED_VALUE"""),"")</f>
        <v/>
      </c>
      <c r="W211" s="49" t="str">
        <f>IFERROR(__xludf.DUMMYFUNCTION("""COMPUTED_VALUE"""),"")</f>
        <v/>
      </c>
      <c r="X211" s="49" t="str">
        <f>IFERROR(__xludf.DUMMYFUNCTION("""COMPUTED_VALUE"""),"")</f>
        <v/>
      </c>
      <c r="Y211" s="49" t="str">
        <f>IFERROR(__xludf.DUMMYFUNCTION("""COMPUTED_VALUE"""),"")</f>
        <v/>
      </c>
      <c r="Z211" s="49"/>
      <c r="AA211" s="49"/>
      <c r="AB211" s="49"/>
      <c r="AC211" s="49"/>
      <c r="AD211" s="49"/>
      <c r="AE211" s="49"/>
      <c r="AF211" s="49"/>
      <c r="AG211" s="49"/>
      <c r="AH211" s="49"/>
      <c r="AI211" s="49"/>
      <c r="AJ211" s="49"/>
      <c r="AK211" s="49"/>
      <c r="AL211" s="49"/>
      <c r="AM211" s="49"/>
      <c r="AN211" s="49"/>
      <c r="AO211" s="49"/>
      <c r="AP211" s="49"/>
      <c r="AQ211" s="49"/>
      <c r="AR211" s="49"/>
      <c r="AS211" s="49"/>
      <c r="AT211" s="49"/>
      <c r="AU211" s="49"/>
      <c r="AV211" s="49"/>
      <c r="AW211" s="49"/>
      <c r="AX211" s="49"/>
    </row>
    <row r="212">
      <c r="A212" s="49"/>
      <c r="B212" s="49"/>
      <c r="C212" s="49" t="str">
        <f>IFERROR(__xludf.DUMMYFUNCTION("""COMPUTED_VALUE"""),"")</f>
        <v/>
      </c>
      <c r="D212" s="49" t="str">
        <f>IFERROR(__xludf.DUMMYFUNCTION("""COMPUTED_VALUE"""),"")</f>
        <v/>
      </c>
      <c r="E212" s="49" t="str">
        <f>IFERROR(__xludf.DUMMYFUNCTION("""COMPUTED_VALUE"""),"")</f>
        <v/>
      </c>
      <c r="F212" s="49" t="str">
        <f>IFERROR(__xludf.DUMMYFUNCTION("""COMPUTED_VALUE"""),"")</f>
        <v/>
      </c>
      <c r="G212" s="49" t="str">
        <f>IFERROR(__xludf.DUMMYFUNCTION("""COMPUTED_VALUE"""),"")</f>
        <v/>
      </c>
      <c r="H212" s="49" t="str">
        <f>IFERROR(__xludf.DUMMYFUNCTION("""COMPUTED_VALUE"""),"")</f>
        <v/>
      </c>
      <c r="I212" s="49" t="str">
        <f>IFERROR(__xludf.DUMMYFUNCTION("""COMPUTED_VALUE"""),"")</f>
        <v/>
      </c>
      <c r="J212" s="49" t="str">
        <f>IFERROR(__xludf.DUMMYFUNCTION("""COMPUTED_VALUE"""),"")</f>
        <v/>
      </c>
      <c r="K212" s="49" t="str">
        <f>IFERROR(__xludf.DUMMYFUNCTION("""COMPUTED_VALUE"""),"")</f>
        <v/>
      </c>
      <c r="L212" s="49" t="str">
        <f>IFERROR(__xludf.DUMMYFUNCTION("""COMPUTED_VALUE"""),"")</f>
        <v/>
      </c>
      <c r="M212" s="49" t="str">
        <f>IFERROR(__xludf.DUMMYFUNCTION("""COMPUTED_VALUE"""),"")</f>
        <v/>
      </c>
      <c r="N212" s="49" t="str">
        <f>IFERROR(__xludf.DUMMYFUNCTION("""COMPUTED_VALUE"""),"")</f>
        <v/>
      </c>
      <c r="O212" s="49" t="str">
        <f>IFERROR(__xludf.DUMMYFUNCTION("""COMPUTED_VALUE"""),"")</f>
        <v/>
      </c>
      <c r="P212" s="49" t="str">
        <f>IFERROR(__xludf.DUMMYFUNCTION("""COMPUTED_VALUE"""),"")</f>
        <v/>
      </c>
      <c r="Q212" s="49" t="str">
        <f>IFERROR(__xludf.DUMMYFUNCTION("""COMPUTED_VALUE"""),"")</f>
        <v/>
      </c>
      <c r="R212" s="49" t="str">
        <f>IFERROR(__xludf.DUMMYFUNCTION("""COMPUTED_VALUE"""),"")</f>
        <v/>
      </c>
      <c r="S212" s="49" t="str">
        <f>IFERROR(__xludf.DUMMYFUNCTION("""COMPUTED_VALUE"""),"")</f>
        <v/>
      </c>
      <c r="T212" s="49" t="str">
        <f>IFERROR(__xludf.DUMMYFUNCTION("""COMPUTED_VALUE"""),"")</f>
        <v/>
      </c>
      <c r="U212" s="49" t="str">
        <f>IFERROR(__xludf.DUMMYFUNCTION("""COMPUTED_VALUE"""),"")</f>
        <v/>
      </c>
      <c r="V212" s="49" t="str">
        <f>IFERROR(__xludf.DUMMYFUNCTION("""COMPUTED_VALUE"""),"")</f>
        <v/>
      </c>
      <c r="W212" s="49" t="str">
        <f>IFERROR(__xludf.DUMMYFUNCTION("""COMPUTED_VALUE"""),"")</f>
        <v/>
      </c>
      <c r="X212" s="49" t="str">
        <f>IFERROR(__xludf.DUMMYFUNCTION("""COMPUTED_VALUE"""),"")</f>
        <v/>
      </c>
      <c r="Y212" s="49" t="str">
        <f>IFERROR(__xludf.DUMMYFUNCTION("""COMPUTED_VALUE"""),"")</f>
        <v/>
      </c>
      <c r="Z212" s="49"/>
      <c r="AA212" s="49"/>
      <c r="AB212" s="49"/>
      <c r="AC212" s="49"/>
      <c r="AD212" s="49"/>
      <c r="AE212" s="49"/>
      <c r="AF212" s="49"/>
      <c r="AG212" s="49"/>
      <c r="AH212" s="49"/>
      <c r="AI212" s="49"/>
      <c r="AJ212" s="49"/>
      <c r="AK212" s="49"/>
      <c r="AL212" s="49"/>
      <c r="AM212" s="49"/>
      <c r="AN212" s="49"/>
      <c r="AO212" s="49"/>
      <c r="AP212" s="49"/>
      <c r="AQ212" s="49"/>
      <c r="AR212" s="49"/>
      <c r="AS212" s="49"/>
      <c r="AT212" s="49"/>
      <c r="AU212" s="49"/>
      <c r="AV212" s="49"/>
      <c r="AW212" s="49"/>
      <c r="AX212" s="49"/>
    </row>
    <row r="213">
      <c r="A213" s="49"/>
      <c r="B213" s="49"/>
      <c r="C213" s="49" t="str">
        <f>IFERROR(__xludf.DUMMYFUNCTION("""COMPUTED_VALUE"""),"")</f>
        <v/>
      </c>
      <c r="D213" s="49" t="str">
        <f>IFERROR(__xludf.DUMMYFUNCTION("""COMPUTED_VALUE"""),"")</f>
        <v/>
      </c>
      <c r="E213" s="49" t="str">
        <f>IFERROR(__xludf.DUMMYFUNCTION("""COMPUTED_VALUE"""),"")</f>
        <v/>
      </c>
      <c r="F213" s="49" t="str">
        <f>IFERROR(__xludf.DUMMYFUNCTION("""COMPUTED_VALUE"""),"")</f>
        <v/>
      </c>
      <c r="G213" s="49" t="str">
        <f>IFERROR(__xludf.DUMMYFUNCTION("""COMPUTED_VALUE"""),"")</f>
        <v/>
      </c>
      <c r="H213" s="49" t="str">
        <f>IFERROR(__xludf.DUMMYFUNCTION("""COMPUTED_VALUE"""),"")</f>
        <v/>
      </c>
      <c r="I213" s="49" t="str">
        <f>IFERROR(__xludf.DUMMYFUNCTION("""COMPUTED_VALUE"""),"")</f>
        <v/>
      </c>
      <c r="J213" s="49" t="str">
        <f>IFERROR(__xludf.DUMMYFUNCTION("""COMPUTED_VALUE"""),"")</f>
        <v/>
      </c>
      <c r="K213" s="49" t="str">
        <f>IFERROR(__xludf.DUMMYFUNCTION("""COMPUTED_VALUE"""),"")</f>
        <v/>
      </c>
      <c r="L213" s="49" t="str">
        <f>IFERROR(__xludf.DUMMYFUNCTION("""COMPUTED_VALUE"""),"")</f>
        <v/>
      </c>
      <c r="M213" s="49" t="str">
        <f>IFERROR(__xludf.DUMMYFUNCTION("""COMPUTED_VALUE"""),"")</f>
        <v/>
      </c>
      <c r="N213" s="49" t="str">
        <f>IFERROR(__xludf.DUMMYFUNCTION("""COMPUTED_VALUE"""),"")</f>
        <v/>
      </c>
      <c r="O213" s="49" t="str">
        <f>IFERROR(__xludf.DUMMYFUNCTION("""COMPUTED_VALUE"""),"")</f>
        <v/>
      </c>
      <c r="P213" s="49" t="str">
        <f>IFERROR(__xludf.DUMMYFUNCTION("""COMPUTED_VALUE"""),"")</f>
        <v/>
      </c>
      <c r="Q213" s="49" t="str">
        <f>IFERROR(__xludf.DUMMYFUNCTION("""COMPUTED_VALUE"""),"")</f>
        <v/>
      </c>
      <c r="R213" s="49" t="str">
        <f>IFERROR(__xludf.DUMMYFUNCTION("""COMPUTED_VALUE"""),"")</f>
        <v/>
      </c>
      <c r="S213" s="49" t="str">
        <f>IFERROR(__xludf.DUMMYFUNCTION("""COMPUTED_VALUE"""),"")</f>
        <v/>
      </c>
      <c r="T213" s="49" t="str">
        <f>IFERROR(__xludf.DUMMYFUNCTION("""COMPUTED_VALUE"""),"")</f>
        <v/>
      </c>
      <c r="U213" s="49" t="str">
        <f>IFERROR(__xludf.DUMMYFUNCTION("""COMPUTED_VALUE"""),"")</f>
        <v/>
      </c>
      <c r="V213" s="49" t="str">
        <f>IFERROR(__xludf.DUMMYFUNCTION("""COMPUTED_VALUE"""),"")</f>
        <v/>
      </c>
      <c r="W213" s="49" t="str">
        <f>IFERROR(__xludf.DUMMYFUNCTION("""COMPUTED_VALUE"""),"")</f>
        <v/>
      </c>
      <c r="X213" s="49" t="str">
        <f>IFERROR(__xludf.DUMMYFUNCTION("""COMPUTED_VALUE"""),"")</f>
        <v/>
      </c>
      <c r="Y213" s="49" t="str">
        <f>IFERROR(__xludf.DUMMYFUNCTION("""COMPUTED_VALUE"""),"")</f>
        <v/>
      </c>
      <c r="Z213" s="49"/>
      <c r="AA213" s="49"/>
      <c r="AB213" s="49"/>
      <c r="AC213" s="49"/>
      <c r="AD213" s="49"/>
      <c r="AE213" s="49"/>
      <c r="AF213" s="49"/>
      <c r="AG213" s="49"/>
      <c r="AH213" s="49"/>
      <c r="AI213" s="49"/>
      <c r="AJ213" s="49"/>
      <c r="AK213" s="49"/>
      <c r="AL213" s="49"/>
      <c r="AM213" s="49"/>
      <c r="AN213" s="49"/>
      <c r="AO213" s="49"/>
      <c r="AP213" s="49"/>
      <c r="AQ213" s="49"/>
      <c r="AR213" s="49"/>
      <c r="AS213" s="49"/>
      <c r="AT213" s="49"/>
      <c r="AU213" s="49"/>
      <c r="AV213" s="49"/>
      <c r="AW213" s="49"/>
      <c r="AX213" s="49"/>
    </row>
    <row r="214">
      <c r="A214" s="49"/>
      <c r="B214" s="49"/>
      <c r="C214" s="49" t="str">
        <f>IFERROR(__xludf.DUMMYFUNCTION("""COMPUTED_VALUE"""),"")</f>
        <v/>
      </c>
      <c r="D214" s="49" t="str">
        <f>IFERROR(__xludf.DUMMYFUNCTION("""COMPUTED_VALUE"""),"")</f>
        <v/>
      </c>
      <c r="E214" s="49" t="str">
        <f>IFERROR(__xludf.DUMMYFUNCTION("""COMPUTED_VALUE"""),"")</f>
        <v/>
      </c>
      <c r="F214" s="49" t="str">
        <f>IFERROR(__xludf.DUMMYFUNCTION("""COMPUTED_VALUE"""),"")</f>
        <v/>
      </c>
      <c r="G214" s="49" t="str">
        <f>IFERROR(__xludf.DUMMYFUNCTION("""COMPUTED_VALUE"""),"")</f>
        <v/>
      </c>
      <c r="H214" s="49" t="str">
        <f>IFERROR(__xludf.DUMMYFUNCTION("""COMPUTED_VALUE"""),"")</f>
        <v/>
      </c>
      <c r="I214" s="49" t="str">
        <f>IFERROR(__xludf.DUMMYFUNCTION("""COMPUTED_VALUE"""),"")</f>
        <v/>
      </c>
      <c r="J214" s="49" t="str">
        <f>IFERROR(__xludf.DUMMYFUNCTION("""COMPUTED_VALUE"""),"")</f>
        <v/>
      </c>
      <c r="K214" s="49" t="str">
        <f>IFERROR(__xludf.DUMMYFUNCTION("""COMPUTED_VALUE"""),"")</f>
        <v/>
      </c>
      <c r="L214" s="49" t="str">
        <f>IFERROR(__xludf.DUMMYFUNCTION("""COMPUTED_VALUE"""),"")</f>
        <v/>
      </c>
      <c r="M214" s="49" t="str">
        <f>IFERROR(__xludf.DUMMYFUNCTION("""COMPUTED_VALUE"""),"")</f>
        <v/>
      </c>
      <c r="N214" s="49" t="str">
        <f>IFERROR(__xludf.DUMMYFUNCTION("""COMPUTED_VALUE"""),"")</f>
        <v/>
      </c>
      <c r="O214" s="49" t="str">
        <f>IFERROR(__xludf.DUMMYFUNCTION("""COMPUTED_VALUE"""),"")</f>
        <v/>
      </c>
      <c r="P214" s="49" t="str">
        <f>IFERROR(__xludf.DUMMYFUNCTION("""COMPUTED_VALUE"""),"")</f>
        <v/>
      </c>
      <c r="Q214" s="49" t="str">
        <f>IFERROR(__xludf.DUMMYFUNCTION("""COMPUTED_VALUE"""),"")</f>
        <v/>
      </c>
      <c r="R214" s="49" t="str">
        <f>IFERROR(__xludf.DUMMYFUNCTION("""COMPUTED_VALUE"""),"")</f>
        <v/>
      </c>
      <c r="S214" s="49" t="str">
        <f>IFERROR(__xludf.DUMMYFUNCTION("""COMPUTED_VALUE"""),"")</f>
        <v/>
      </c>
      <c r="T214" s="49" t="str">
        <f>IFERROR(__xludf.DUMMYFUNCTION("""COMPUTED_VALUE"""),"")</f>
        <v/>
      </c>
      <c r="U214" s="49" t="str">
        <f>IFERROR(__xludf.DUMMYFUNCTION("""COMPUTED_VALUE"""),"")</f>
        <v/>
      </c>
      <c r="V214" s="49" t="str">
        <f>IFERROR(__xludf.DUMMYFUNCTION("""COMPUTED_VALUE"""),"")</f>
        <v/>
      </c>
      <c r="W214" s="49" t="str">
        <f>IFERROR(__xludf.DUMMYFUNCTION("""COMPUTED_VALUE"""),"")</f>
        <v/>
      </c>
      <c r="X214" s="49" t="str">
        <f>IFERROR(__xludf.DUMMYFUNCTION("""COMPUTED_VALUE"""),"")</f>
        <v/>
      </c>
      <c r="Y214" s="49" t="str">
        <f>IFERROR(__xludf.DUMMYFUNCTION("""COMPUTED_VALUE"""),"")</f>
        <v/>
      </c>
      <c r="Z214" s="49"/>
      <c r="AA214" s="49"/>
      <c r="AB214" s="49"/>
      <c r="AC214" s="49"/>
      <c r="AD214" s="49"/>
      <c r="AE214" s="49"/>
      <c r="AF214" s="49"/>
      <c r="AG214" s="49"/>
      <c r="AH214" s="49"/>
      <c r="AI214" s="49"/>
      <c r="AJ214" s="49"/>
      <c r="AK214" s="49"/>
      <c r="AL214" s="49"/>
      <c r="AM214" s="49"/>
      <c r="AN214" s="49"/>
      <c r="AO214" s="49"/>
      <c r="AP214" s="49"/>
      <c r="AQ214" s="49"/>
      <c r="AR214" s="49"/>
      <c r="AS214" s="49"/>
      <c r="AT214" s="49"/>
      <c r="AU214" s="49"/>
      <c r="AV214" s="49"/>
      <c r="AW214" s="49"/>
      <c r="AX214" s="49"/>
    </row>
    <row r="215">
      <c r="A215" s="49"/>
      <c r="B215" s="49"/>
      <c r="C215" s="49" t="str">
        <f>IFERROR(__xludf.DUMMYFUNCTION("""COMPUTED_VALUE"""),"")</f>
        <v/>
      </c>
      <c r="D215" s="49" t="str">
        <f>IFERROR(__xludf.DUMMYFUNCTION("""COMPUTED_VALUE"""),"")</f>
        <v/>
      </c>
      <c r="E215" s="49" t="str">
        <f>IFERROR(__xludf.DUMMYFUNCTION("""COMPUTED_VALUE"""),"")</f>
        <v/>
      </c>
      <c r="F215" s="49" t="str">
        <f>IFERROR(__xludf.DUMMYFUNCTION("""COMPUTED_VALUE"""),"")</f>
        <v/>
      </c>
      <c r="G215" s="49" t="str">
        <f>IFERROR(__xludf.DUMMYFUNCTION("""COMPUTED_VALUE"""),"")</f>
        <v/>
      </c>
      <c r="H215" s="49" t="str">
        <f>IFERROR(__xludf.DUMMYFUNCTION("""COMPUTED_VALUE"""),"")</f>
        <v/>
      </c>
      <c r="I215" s="49" t="str">
        <f>IFERROR(__xludf.DUMMYFUNCTION("""COMPUTED_VALUE"""),"")</f>
        <v/>
      </c>
      <c r="J215" s="49" t="str">
        <f>IFERROR(__xludf.DUMMYFUNCTION("""COMPUTED_VALUE"""),"")</f>
        <v/>
      </c>
      <c r="K215" s="49" t="str">
        <f>IFERROR(__xludf.DUMMYFUNCTION("""COMPUTED_VALUE"""),"")</f>
        <v/>
      </c>
      <c r="L215" s="49" t="str">
        <f>IFERROR(__xludf.DUMMYFUNCTION("""COMPUTED_VALUE"""),"")</f>
        <v/>
      </c>
      <c r="M215" s="49" t="str">
        <f>IFERROR(__xludf.DUMMYFUNCTION("""COMPUTED_VALUE"""),"")</f>
        <v/>
      </c>
      <c r="N215" s="49" t="str">
        <f>IFERROR(__xludf.DUMMYFUNCTION("""COMPUTED_VALUE"""),"")</f>
        <v/>
      </c>
      <c r="O215" s="49" t="str">
        <f>IFERROR(__xludf.DUMMYFUNCTION("""COMPUTED_VALUE"""),"")</f>
        <v/>
      </c>
      <c r="P215" s="49" t="str">
        <f>IFERROR(__xludf.DUMMYFUNCTION("""COMPUTED_VALUE"""),"")</f>
        <v/>
      </c>
      <c r="Q215" s="49" t="str">
        <f>IFERROR(__xludf.DUMMYFUNCTION("""COMPUTED_VALUE"""),"")</f>
        <v/>
      </c>
      <c r="R215" s="49" t="str">
        <f>IFERROR(__xludf.DUMMYFUNCTION("""COMPUTED_VALUE"""),"")</f>
        <v/>
      </c>
      <c r="S215" s="49" t="str">
        <f>IFERROR(__xludf.DUMMYFUNCTION("""COMPUTED_VALUE"""),"")</f>
        <v/>
      </c>
      <c r="T215" s="49" t="str">
        <f>IFERROR(__xludf.DUMMYFUNCTION("""COMPUTED_VALUE"""),"")</f>
        <v/>
      </c>
      <c r="U215" s="49" t="str">
        <f>IFERROR(__xludf.DUMMYFUNCTION("""COMPUTED_VALUE"""),"")</f>
        <v/>
      </c>
      <c r="V215" s="49" t="str">
        <f>IFERROR(__xludf.DUMMYFUNCTION("""COMPUTED_VALUE"""),"")</f>
        <v/>
      </c>
      <c r="W215" s="49" t="str">
        <f>IFERROR(__xludf.DUMMYFUNCTION("""COMPUTED_VALUE"""),"")</f>
        <v/>
      </c>
      <c r="X215" s="49" t="str">
        <f>IFERROR(__xludf.DUMMYFUNCTION("""COMPUTED_VALUE"""),"")</f>
        <v/>
      </c>
      <c r="Y215" s="49" t="str">
        <f>IFERROR(__xludf.DUMMYFUNCTION("""COMPUTED_VALUE"""),"")</f>
        <v/>
      </c>
      <c r="Z215" s="49"/>
      <c r="AA215" s="49"/>
      <c r="AB215" s="49"/>
      <c r="AC215" s="49"/>
      <c r="AD215" s="49"/>
      <c r="AE215" s="49"/>
      <c r="AF215" s="49"/>
      <c r="AG215" s="49"/>
      <c r="AH215" s="49"/>
      <c r="AI215" s="49"/>
      <c r="AJ215" s="49"/>
      <c r="AK215" s="49"/>
      <c r="AL215" s="49"/>
      <c r="AM215" s="49"/>
      <c r="AN215" s="49"/>
      <c r="AO215" s="49"/>
      <c r="AP215" s="49"/>
      <c r="AQ215" s="49"/>
      <c r="AR215" s="49"/>
      <c r="AS215" s="49"/>
      <c r="AT215" s="49"/>
      <c r="AU215" s="49"/>
      <c r="AV215" s="49"/>
      <c r="AW215" s="49"/>
      <c r="AX215" s="49"/>
    </row>
    <row r="216">
      <c r="A216" s="49"/>
      <c r="B216" s="49"/>
      <c r="C216" s="49" t="str">
        <f>IFERROR(__xludf.DUMMYFUNCTION("""COMPUTED_VALUE"""),"")</f>
        <v/>
      </c>
      <c r="D216" s="49" t="str">
        <f>IFERROR(__xludf.DUMMYFUNCTION("""COMPUTED_VALUE"""),"")</f>
        <v/>
      </c>
      <c r="E216" s="49" t="str">
        <f>IFERROR(__xludf.DUMMYFUNCTION("""COMPUTED_VALUE"""),"")</f>
        <v/>
      </c>
      <c r="F216" s="49" t="str">
        <f>IFERROR(__xludf.DUMMYFUNCTION("""COMPUTED_VALUE"""),"")</f>
        <v/>
      </c>
      <c r="G216" s="49" t="str">
        <f>IFERROR(__xludf.DUMMYFUNCTION("""COMPUTED_VALUE"""),"")</f>
        <v/>
      </c>
      <c r="H216" s="49" t="str">
        <f>IFERROR(__xludf.DUMMYFUNCTION("""COMPUTED_VALUE"""),"")</f>
        <v/>
      </c>
      <c r="I216" s="49" t="str">
        <f>IFERROR(__xludf.DUMMYFUNCTION("""COMPUTED_VALUE"""),"")</f>
        <v/>
      </c>
      <c r="J216" s="49" t="str">
        <f>IFERROR(__xludf.DUMMYFUNCTION("""COMPUTED_VALUE"""),"")</f>
        <v/>
      </c>
      <c r="K216" s="49" t="str">
        <f>IFERROR(__xludf.DUMMYFUNCTION("""COMPUTED_VALUE"""),"")</f>
        <v/>
      </c>
      <c r="L216" s="49" t="str">
        <f>IFERROR(__xludf.DUMMYFUNCTION("""COMPUTED_VALUE"""),"")</f>
        <v/>
      </c>
      <c r="M216" s="49" t="str">
        <f>IFERROR(__xludf.DUMMYFUNCTION("""COMPUTED_VALUE"""),"")</f>
        <v/>
      </c>
      <c r="N216" s="49" t="str">
        <f>IFERROR(__xludf.DUMMYFUNCTION("""COMPUTED_VALUE"""),"")</f>
        <v/>
      </c>
      <c r="O216" s="49" t="str">
        <f>IFERROR(__xludf.DUMMYFUNCTION("""COMPUTED_VALUE"""),"")</f>
        <v/>
      </c>
      <c r="P216" s="49" t="str">
        <f>IFERROR(__xludf.DUMMYFUNCTION("""COMPUTED_VALUE"""),"")</f>
        <v/>
      </c>
      <c r="Q216" s="49" t="str">
        <f>IFERROR(__xludf.DUMMYFUNCTION("""COMPUTED_VALUE"""),"")</f>
        <v/>
      </c>
      <c r="R216" s="49" t="str">
        <f>IFERROR(__xludf.DUMMYFUNCTION("""COMPUTED_VALUE"""),"")</f>
        <v/>
      </c>
      <c r="S216" s="49" t="str">
        <f>IFERROR(__xludf.DUMMYFUNCTION("""COMPUTED_VALUE"""),"")</f>
        <v/>
      </c>
      <c r="T216" s="49" t="str">
        <f>IFERROR(__xludf.DUMMYFUNCTION("""COMPUTED_VALUE"""),"")</f>
        <v/>
      </c>
      <c r="U216" s="49" t="str">
        <f>IFERROR(__xludf.DUMMYFUNCTION("""COMPUTED_VALUE"""),"")</f>
        <v/>
      </c>
      <c r="V216" s="49" t="str">
        <f>IFERROR(__xludf.DUMMYFUNCTION("""COMPUTED_VALUE"""),"")</f>
        <v/>
      </c>
      <c r="W216" s="49" t="str">
        <f>IFERROR(__xludf.DUMMYFUNCTION("""COMPUTED_VALUE"""),"")</f>
        <v/>
      </c>
      <c r="X216" s="49" t="str">
        <f>IFERROR(__xludf.DUMMYFUNCTION("""COMPUTED_VALUE"""),"")</f>
        <v/>
      </c>
      <c r="Y216" s="49" t="str">
        <f>IFERROR(__xludf.DUMMYFUNCTION("""COMPUTED_VALUE"""),"")</f>
        <v/>
      </c>
      <c r="Z216" s="49"/>
      <c r="AA216" s="49"/>
      <c r="AB216" s="49"/>
      <c r="AC216" s="49"/>
      <c r="AD216" s="49"/>
      <c r="AE216" s="49"/>
      <c r="AF216" s="49"/>
      <c r="AG216" s="49"/>
      <c r="AH216" s="49"/>
      <c r="AI216" s="49"/>
      <c r="AJ216" s="49"/>
      <c r="AK216" s="49"/>
      <c r="AL216" s="49"/>
      <c r="AM216" s="49"/>
      <c r="AN216" s="49"/>
      <c r="AO216" s="49"/>
      <c r="AP216" s="49"/>
      <c r="AQ216" s="49"/>
      <c r="AR216" s="49"/>
      <c r="AS216" s="49"/>
      <c r="AT216" s="49"/>
      <c r="AU216" s="49"/>
      <c r="AV216" s="49"/>
      <c r="AW216" s="49"/>
      <c r="AX216" s="49"/>
    </row>
    <row r="217">
      <c r="A217" s="49"/>
      <c r="B217" s="49"/>
      <c r="C217" s="49" t="str">
        <f>IFERROR(__xludf.DUMMYFUNCTION("""COMPUTED_VALUE"""),"")</f>
        <v/>
      </c>
      <c r="D217" s="49" t="str">
        <f>IFERROR(__xludf.DUMMYFUNCTION("""COMPUTED_VALUE"""),"")</f>
        <v/>
      </c>
      <c r="E217" s="49" t="str">
        <f>IFERROR(__xludf.DUMMYFUNCTION("""COMPUTED_VALUE"""),"")</f>
        <v/>
      </c>
      <c r="F217" s="49" t="str">
        <f>IFERROR(__xludf.DUMMYFUNCTION("""COMPUTED_VALUE"""),"")</f>
        <v/>
      </c>
      <c r="G217" s="49" t="str">
        <f>IFERROR(__xludf.DUMMYFUNCTION("""COMPUTED_VALUE"""),"")</f>
        <v/>
      </c>
      <c r="H217" s="49" t="str">
        <f>IFERROR(__xludf.DUMMYFUNCTION("""COMPUTED_VALUE"""),"")</f>
        <v/>
      </c>
      <c r="I217" s="49" t="str">
        <f>IFERROR(__xludf.DUMMYFUNCTION("""COMPUTED_VALUE"""),"")</f>
        <v/>
      </c>
      <c r="J217" s="49" t="str">
        <f>IFERROR(__xludf.DUMMYFUNCTION("""COMPUTED_VALUE"""),"")</f>
        <v/>
      </c>
      <c r="K217" s="49" t="str">
        <f>IFERROR(__xludf.DUMMYFUNCTION("""COMPUTED_VALUE"""),"")</f>
        <v/>
      </c>
      <c r="L217" s="49" t="str">
        <f>IFERROR(__xludf.DUMMYFUNCTION("""COMPUTED_VALUE"""),"")</f>
        <v/>
      </c>
      <c r="M217" s="49" t="str">
        <f>IFERROR(__xludf.DUMMYFUNCTION("""COMPUTED_VALUE"""),"")</f>
        <v/>
      </c>
      <c r="N217" s="49" t="str">
        <f>IFERROR(__xludf.DUMMYFUNCTION("""COMPUTED_VALUE"""),"")</f>
        <v/>
      </c>
      <c r="O217" s="49" t="str">
        <f>IFERROR(__xludf.DUMMYFUNCTION("""COMPUTED_VALUE"""),"")</f>
        <v/>
      </c>
      <c r="P217" s="49" t="str">
        <f>IFERROR(__xludf.DUMMYFUNCTION("""COMPUTED_VALUE"""),"")</f>
        <v/>
      </c>
      <c r="Q217" s="49" t="str">
        <f>IFERROR(__xludf.DUMMYFUNCTION("""COMPUTED_VALUE"""),"")</f>
        <v/>
      </c>
      <c r="R217" s="49" t="str">
        <f>IFERROR(__xludf.DUMMYFUNCTION("""COMPUTED_VALUE"""),"")</f>
        <v/>
      </c>
      <c r="S217" s="49" t="str">
        <f>IFERROR(__xludf.DUMMYFUNCTION("""COMPUTED_VALUE"""),"")</f>
        <v/>
      </c>
      <c r="T217" s="49" t="str">
        <f>IFERROR(__xludf.DUMMYFUNCTION("""COMPUTED_VALUE"""),"")</f>
        <v/>
      </c>
      <c r="U217" s="49" t="str">
        <f>IFERROR(__xludf.DUMMYFUNCTION("""COMPUTED_VALUE"""),"")</f>
        <v/>
      </c>
      <c r="V217" s="49" t="str">
        <f>IFERROR(__xludf.DUMMYFUNCTION("""COMPUTED_VALUE"""),"")</f>
        <v/>
      </c>
      <c r="W217" s="49" t="str">
        <f>IFERROR(__xludf.DUMMYFUNCTION("""COMPUTED_VALUE"""),"")</f>
        <v/>
      </c>
      <c r="X217" s="49" t="str">
        <f>IFERROR(__xludf.DUMMYFUNCTION("""COMPUTED_VALUE"""),"")</f>
        <v/>
      </c>
      <c r="Y217" s="49" t="str">
        <f>IFERROR(__xludf.DUMMYFUNCTION("""COMPUTED_VALUE"""),"")</f>
        <v/>
      </c>
      <c r="Z217" s="49"/>
      <c r="AA217" s="49"/>
      <c r="AB217" s="49"/>
      <c r="AC217" s="49"/>
      <c r="AD217" s="49"/>
      <c r="AE217" s="49"/>
      <c r="AF217" s="49"/>
      <c r="AG217" s="49"/>
      <c r="AH217" s="49"/>
      <c r="AI217" s="49"/>
      <c r="AJ217" s="49"/>
      <c r="AK217" s="49"/>
      <c r="AL217" s="49"/>
      <c r="AM217" s="49"/>
      <c r="AN217" s="49"/>
      <c r="AO217" s="49"/>
      <c r="AP217" s="49"/>
      <c r="AQ217" s="49"/>
      <c r="AR217" s="49"/>
      <c r="AS217" s="49"/>
      <c r="AT217" s="49"/>
      <c r="AU217" s="49"/>
      <c r="AV217" s="49"/>
      <c r="AW217" s="49"/>
      <c r="AX217" s="49"/>
    </row>
    <row r="218">
      <c r="A218" s="49"/>
      <c r="B218" s="49"/>
      <c r="C218" s="49" t="str">
        <f>IFERROR(__xludf.DUMMYFUNCTION("""COMPUTED_VALUE"""),"")</f>
        <v/>
      </c>
      <c r="D218" s="49" t="str">
        <f>IFERROR(__xludf.DUMMYFUNCTION("""COMPUTED_VALUE"""),"")</f>
        <v/>
      </c>
      <c r="E218" s="49" t="str">
        <f>IFERROR(__xludf.DUMMYFUNCTION("""COMPUTED_VALUE"""),"")</f>
        <v/>
      </c>
      <c r="F218" s="49" t="str">
        <f>IFERROR(__xludf.DUMMYFUNCTION("""COMPUTED_VALUE"""),"")</f>
        <v/>
      </c>
      <c r="G218" s="49" t="str">
        <f>IFERROR(__xludf.DUMMYFUNCTION("""COMPUTED_VALUE"""),"")</f>
        <v/>
      </c>
      <c r="H218" s="49" t="str">
        <f>IFERROR(__xludf.DUMMYFUNCTION("""COMPUTED_VALUE"""),"")</f>
        <v/>
      </c>
      <c r="I218" s="49" t="str">
        <f>IFERROR(__xludf.DUMMYFUNCTION("""COMPUTED_VALUE"""),"")</f>
        <v/>
      </c>
      <c r="J218" s="49" t="str">
        <f>IFERROR(__xludf.DUMMYFUNCTION("""COMPUTED_VALUE"""),"")</f>
        <v/>
      </c>
      <c r="K218" s="49" t="str">
        <f>IFERROR(__xludf.DUMMYFUNCTION("""COMPUTED_VALUE"""),"")</f>
        <v/>
      </c>
      <c r="L218" s="49" t="str">
        <f>IFERROR(__xludf.DUMMYFUNCTION("""COMPUTED_VALUE"""),"")</f>
        <v/>
      </c>
      <c r="M218" s="49" t="str">
        <f>IFERROR(__xludf.DUMMYFUNCTION("""COMPUTED_VALUE"""),"")</f>
        <v/>
      </c>
      <c r="N218" s="49" t="str">
        <f>IFERROR(__xludf.DUMMYFUNCTION("""COMPUTED_VALUE"""),"")</f>
        <v/>
      </c>
      <c r="O218" s="49" t="str">
        <f>IFERROR(__xludf.DUMMYFUNCTION("""COMPUTED_VALUE"""),"")</f>
        <v/>
      </c>
      <c r="P218" s="49" t="str">
        <f>IFERROR(__xludf.DUMMYFUNCTION("""COMPUTED_VALUE"""),"")</f>
        <v/>
      </c>
      <c r="Q218" s="49" t="str">
        <f>IFERROR(__xludf.DUMMYFUNCTION("""COMPUTED_VALUE"""),"")</f>
        <v/>
      </c>
      <c r="R218" s="49" t="str">
        <f>IFERROR(__xludf.DUMMYFUNCTION("""COMPUTED_VALUE"""),"")</f>
        <v/>
      </c>
      <c r="S218" s="49" t="str">
        <f>IFERROR(__xludf.DUMMYFUNCTION("""COMPUTED_VALUE"""),"")</f>
        <v/>
      </c>
      <c r="T218" s="49" t="str">
        <f>IFERROR(__xludf.DUMMYFUNCTION("""COMPUTED_VALUE"""),"")</f>
        <v/>
      </c>
      <c r="U218" s="49" t="str">
        <f>IFERROR(__xludf.DUMMYFUNCTION("""COMPUTED_VALUE"""),"")</f>
        <v/>
      </c>
      <c r="V218" s="49" t="str">
        <f>IFERROR(__xludf.DUMMYFUNCTION("""COMPUTED_VALUE"""),"")</f>
        <v/>
      </c>
      <c r="W218" s="49" t="str">
        <f>IFERROR(__xludf.DUMMYFUNCTION("""COMPUTED_VALUE"""),"")</f>
        <v/>
      </c>
      <c r="X218" s="49" t="str">
        <f>IFERROR(__xludf.DUMMYFUNCTION("""COMPUTED_VALUE"""),"")</f>
        <v/>
      </c>
      <c r="Y218" s="49" t="str">
        <f>IFERROR(__xludf.DUMMYFUNCTION("""COMPUTED_VALUE"""),"")</f>
        <v/>
      </c>
      <c r="Z218" s="49"/>
      <c r="AA218" s="49"/>
      <c r="AB218" s="49"/>
      <c r="AC218" s="49"/>
      <c r="AD218" s="49"/>
      <c r="AE218" s="49"/>
      <c r="AF218" s="49"/>
      <c r="AG218" s="49"/>
      <c r="AH218" s="49"/>
      <c r="AI218" s="49"/>
      <c r="AJ218" s="49"/>
      <c r="AK218" s="49"/>
      <c r="AL218" s="49"/>
      <c r="AM218" s="49"/>
      <c r="AN218" s="49"/>
      <c r="AO218" s="49"/>
      <c r="AP218" s="49"/>
      <c r="AQ218" s="49"/>
      <c r="AR218" s="49"/>
      <c r="AS218" s="49"/>
      <c r="AT218" s="49"/>
      <c r="AU218" s="49"/>
      <c r="AV218" s="49"/>
      <c r="AW218" s="49"/>
      <c r="AX218" s="49"/>
    </row>
    <row r="219">
      <c r="A219" s="49"/>
      <c r="B219" s="49"/>
      <c r="C219" s="49" t="str">
        <f>IFERROR(__xludf.DUMMYFUNCTION("""COMPUTED_VALUE"""),"")</f>
        <v/>
      </c>
      <c r="D219" s="49" t="str">
        <f>IFERROR(__xludf.DUMMYFUNCTION("""COMPUTED_VALUE"""),"")</f>
        <v/>
      </c>
      <c r="E219" s="49" t="str">
        <f>IFERROR(__xludf.DUMMYFUNCTION("""COMPUTED_VALUE"""),"")</f>
        <v/>
      </c>
      <c r="F219" s="49" t="str">
        <f>IFERROR(__xludf.DUMMYFUNCTION("""COMPUTED_VALUE"""),"")</f>
        <v/>
      </c>
      <c r="G219" s="49" t="str">
        <f>IFERROR(__xludf.DUMMYFUNCTION("""COMPUTED_VALUE"""),"")</f>
        <v/>
      </c>
      <c r="H219" s="49" t="str">
        <f>IFERROR(__xludf.DUMMYFUNCTION("""COMPUTED_VALUE"""),"")</f>
        <v/>
      </c>
      <c r="I219" s="49" t="str">
        <f>IFERROR(__xludf.DUMMYFUNCTION("""COMPUTED_VALUE"""),"")</f>
        <v/>
      </c>
      <c r="J219" s="49" t="str">
        <f>IFERROR(__xludf.DUMMYFUNCTION("""COMPUTED_VALUE"""),"")</f>
        <v/>
      </c>
      <c r="K219" s="49" t="str">
        <f>IFERROR(__xludf.DUMMYFUNCTION("""COMPUTED_VALUE"""),"")</f>
        <v/>
      </c>
      <c r="L219" s="49" t="str">
        <f>IFERROR(__xludf.DUMMYFUNCTION("""COMPUTED_VALUE"""),"")</f>
        <v/>
      </c>
      <c r="M219" s="49" t="str">
        <f>IFERROR(__xludf.DUMMYFUNCTION("""COMPUTED_VALUE"""),"")</f>
        <v/>
      </c>
      <c r="N219" s="49" t="str">
        <f>IFERROR(__xludf.DUMMYFUNCTION("""COMPUTED_VALUE"""),"")</f>
        <v/>
      </c>
      <c r="O219" s="49" t="str">
        <f>IFERROR(__xludf.DUMMYFUNCTION("""COMPUTED_VALUE"""),"")</f>
        <v/>
      </c>
      <c r="P219" s="49" t="str">
        <f>IFERROR(__xludf.DUMMYFUNCTION("""COMPUTED_VALUE"""),"")</f>
        <v/>
      </c>
      <c r="Q219" s="49" t="str">
        <f>IFERROR(__xludf.DUMMYFUNCTION("""COMPUTED_VALUE"""),"")</f>
        <v/>
      </c>
      <c r="R219" s="49" t="str">
        <f>IFERROR(__xludf.DUMMYFUNCTION("""COMPUTED_VALUE"""),"")</f>
        <v/>
      </c>
      <c r="S219" s="49" t="str">
        <f>IFERROR(__xludf.DUMMYFUNCTION("""COMPUTED_VALUE"""),"")</f>
        <v/>
      </c>
      <c r="T219" s="49" t="str">
        <f>IFERROR(__xludf.DUMMYFUNCTION("""COMPUTED_VALUE"""),"")</f>
        <v/>
      </c>
      <c r="U219" s="49" t="str">
        <f>IFERROR(__xludf.DUMMYFUNCTION("""COMPUTED_VALUE"""),"")</f>
        <v/>
      </c>
      <c r="V219" s="49" t="str">
        <f>IFERROR(__xludf.DUMMYFUNCTION("""COMPUTED_VALUE"""),"")</f>
        <v/>
      </c>
      <c r="W219" s="49" t="str">
        <f>IFERROR(__xludf.DUMMYFUNCTION("""COMPUTED_VALUE"""),"")</f>
        <v/>
      </c>
      <c r="X219" s="49" t="str">
        <f>IFERROR(__xludf.DUMMYFUNCTION("""COMPUTED_VALUE"""),"")</f>
        <v/>
      </c>
      <c r="Y219" s="49" t="str">
        <f>IFERROR(__xludf.DUMMYFUNCTION("""COMPUTED_VALUE"""),"")</f>
        <v/>
      </c>
      <c r="Z219" s="49"/>
      <c r="AA219" s="49"/>
      <c r="AB219" s="49"/>
      <c r="AC219" s="49"/>
      <c r="AD219" s="49"/>
      <c r="AE219" s="49"/>
      <c r="AF219" s="49"/>
      <c r="AG219" s="49"/>
      <c r="AH219" s="49"/>
      <c r="AI219" s="49"/>
      <c r="AJ219" s="49"/>
      <c r="AK219" s="49"/>
      <c r="AL219" s="49"/>
      <c r="AM219" s="49"/>
      <c r="AN219" s="49"/>
      <c r="AO219" s="49"/>
      <c r="AP219" s="49"/>
      <c r="AQ219" s="49"/>
      <c r="AR219" s="49"/>
      <c r="AS219" s="49"/>
      <c r="AT219" s="49"/>
      <c r="AU219" s="49"/>
      <c r="AV219" s="49"/>
      <c r="AW219" s="49"/>
      <c r="AX219" s="49"/>
    </row>
    <row r="220">
      <c r="A220" s="49"/>
      <c r="B220" s="49"/>
      <c r="C220" s="49" t="str">
        <f>IFERROR(__xludf.DUMMYFUNCTION("""COMPUTED_VALUE"""),"")</f>
        <v/>
      </c>
      <c r="D220" s="49" t="str">
        <f>IFERROR(__xludf.DUMMYFUNCTION("""COMPUTED_VALUE"""),"")</f>
        <v/>
      </c>
      <c r="E220" s="49" t="str">
        <f>IFERROR(__xludf.DUMMYFUNCTION("""COMPUTED_VALUE"""),"")</f>
        <v/>
      </c>
      <c r="F220" s="49" t="str">
        <f>IFERROR(__xludf.DUMMYFUNCTION("""COMPUTED_VALUE"""),"")</f>
        <v/>
      </c>
      <c r="G220" s="49" t="str">
        <f>IFERROR(__xludf.DUMMYFUNCTION("""COMPUTED_VALUE"""),"")</f>
        <v/>
      </c>
      <c r="H220" s="49" t="str">
        <f>IFERROR(__xludf.DUMMYFUNCTION("""COMPUTED_VALUE"""),"")</f>
        <v/>
      </c>
      <c r="I220" s="49" t="str">
        <f>IFERROR(__xludf.DUMMYFUNCTION("""COMPUTED_VALUE"""),"")</f>
        <v/>
      </c>
      <c r="J220" s="49" t="str">
        <f>IFERROR(__xludf.DUMMYFUNCTION("""COMPUTED_VALUE"""),"")</f>
        <v/>
      </c>
      <c r="K220" s="49" t="str">
        <f>IFERROR(__xludf.DUMMYFUNCTION("""COMPUTED_VALUE"""),"")</f>
        <v/>
      </c>
      <c r="L220" s="49" t="str">
        <f>IFERROR(__xludf.DUMMYFUNCTION("""COMPUTED_VALUE"""),"")</f>
        <v/>
      </c>
      <c r="M220" s="49" t="str">
        <f>IFERROR(__xludf.DUMMYFUNCTION("""COMPUTED_VALUE"""),"")</f>
        <v/>
      </c>
      <c r="N220" s="49" t="str">
        <f>IFERROR(__xludf.DUMMYFUNCTION("""COMPUTED_VALUE"""),"")</f>
        <v/>
      </c>
      <c r="O220" s="49" t="str">
        <f>IFERROR(__xludf.DUMMYFUNCTION("""COMPUTED_VALUE"""),"")</f>
        <v/>
      </c>
      <c r="P220" s="49" t="str">
        <f>IFERROR(__xludf.DUMMYFUNCTION("""COMPUTED_VALUE"""),"")</f>
        <v/>
      </c>
      <c r="Q220" s="49" t="str">
        <f>IFERROR(__xludf.DUMMYFUNCTION("""COMPUTED_VALUE"""),"")</f>
        <v/>
      </c>
      <c r="R220" s="49" t="str">
        <f>IFERROR(__xludf.DUMMYFUNCTION("""COMPUTED_VALUE"""),"")</f>
        <v/>
      </c>
      <c r="S220" s="49" t="str">
        <f>IFERROR(__xludf.DUMMYFUNCTION("""COMPUTED_VALUE"""),"")</f>
        <v/>
      </c>
      <c r="T220" s="49" t="str">
        <f>IFERROR(__xludf.DUMMYFUNCTION("""COMPUTED_VALUE"""),"")</f>
        <v/>
      </c>
      <c r="U220" s="49" t="str">
        <f>IFERROR(__xludf.DUMMYFUNCTION("""COMPUTED_VALUE"""),"")</f>
        <v/>
      </c>
      <c r="V220" s="49" t="str">
        <f>IFERROR(__xludf.DUMMYFUNCTION("""COMPUTED_VALUE"""),"")</f>
        <v/>
      </c>
      <c r="W220" s="49" t="str">
        <f>IFERROR(__xludf.DUMMYFUNCTION("""COMPUTED_VALUE"""),"")</f>
        <v/>
      </c>
      <c r="X220" s="49" t="str">
        <f>IFERROR(__xludf.DUMMYFUNCTION("""COMPUTED_VALUE"""),"")</f>
        <v/>
      </c>
      <c r="Y220" s="49" t="str">
        <f>IFERROR(__xludf.DUMMYFUNCTION("""COMPUTED_VALUE"""),"")</f>
        <v/>
      </c>
      <c r="Z220" s="49"/>
      <c r="AA220" s="49"/>
      <c r="AB220" s="49"/>
      <c r="AC220" s="49"/>
      <c r="AD220" s="49"/>
      <c r="AE220" s="49"/>
      <c r="AF220" s="49"/>
      <c r="AG220" s="49"/>
      <c r="AH220" s="49"/>
      <c r="AI220" s="49"/>
      <c r="AJ220" s="49"/>
      <c r="AK220" s="49"/>
      <c r="AL220" s="49"/>
      <c r="AM220" s="49"/>
      <c r="AN220" s="49"/>
      <c r="AO220" s="49"/>
      <c r="AP220" s="49"/>
      <c r="AQ220" s="49"/>
      <c r="AR220" s="49"/>
      <c r="AS220" s="49"/>
      <c r="AT220" s="49"/>
      <c r="AU220" s="49"/>
      <c r="AV220" s="49"/>
      <c r="AW220" s="49"/>
      <c r="AX220" s="49"/>
    </row>
    <row r="221">
      <c r="A221" s="49"/>
      <c r="B221" s="49"/>
      <c r="C221" s="49" t="str">
        <f>IFERROR(__xludf.DUMMYFUNCTION("""COMPUTED_VALUE"""),"")</f>
        <v/>
      </c>
      <c r="D221" s="49" t="str">
        <f>IFERROR(__xludf.DUMMYFUNCTION("""COMPUTED_VALUE"""),"")</f>
        <v/>
      </c>
      <c r="E221" s="49" t="str">
        <f>IFERROR(__xludf.DUMMYFUNCTION("""COMPUTED_VALUE"""),"")</f>
        <v/>
      </c>
      <c r="F221" s="49" t="str">
        <f>IFERROR(__xludf.DUMMYFUNCTION("""COMPUTED_VALUE"""),"")</f>
        <v/>
      </c>
      <c r="G221" s="49" t="str">
        <f>IFERROR(__xludf.DUMMYFUNCTION("""COMPUTED_VALUE"""),"")</f>
        <v/>
      </c>
      <c r="H221" s="49" t="str">
        <f>IFERROR(__xludf.DUMMYFUNCTION("""COMPUTED_VALUE"""),"")</f>
        <v/>
      </c>
      <c r="I221" s="49" t="str">
        <f>IFERROR(__xludf.DUMMYFUNCTION("""COMPUTED_VALUE"""),"")</f>
        <v/>
      </c>
      <c r="J221" s="49" t="str">
        <f>IFERROR(__xludf.DUMMYFUNCTION("""COMPUTED_VALUE"""),"")</f>
        <v/>
      </c>
      <c r="K221" s="49" t="str">
        <f>IFERROR(__xludf.DUMMYFUNCTION("""COMPUTED_VALUE"""),"")</f>
        <v/>
      </c>
      <c r="L221" s="49" t="str">
        <f>IFERROR(__xludf.DUMMYFUNCTION("""COMPUTED_VALUE"""),"")</f>
        <v/>
      </c>
      <c r="M221" s="49" t="str">
        <f>IFERROR(__xludf.DUMMYFUNCTION("""COMPUTED_VALUE"""),"")</f>
        <v/>
      </c>
      <c r="N221" s="49" t="str">
        <f>IFERROR(__xludf.DUMMYFUNCTION("""COMPUTED_VALUE"""),"")</f>
        <v/>
      </c>
      <c r="O221" s="49" t="str">
        <f>IFERROR(__xludf.DUMMYFUNCTION("""COMPUTED_VALUE"""),"")</f>
        <v/>
      </c>
      <c r="P221" s="49" t="str">
        <f>IFERROR(__xludf.DUMMYFUNCTION("""COMPUTED_VALUE"""),"")</f>
        <v/>
      </c>
      <c r="Q221" s="49" t="str">
        <f>IFERROR(__xludf.DUMMYFUNCTION("""COMPUTED_VALUE"""),"")</f>
        <v/>
      </c>
      <c r="R221" s="49" t="str">
        <f>IFERROR(__xludf.DUMMYFUNCTION("""COMPUTED_VALUE"""),"")</f>
        <v/>
      </c>
      <c r="S221" s="49" t="str">
        <f>IFERROR(__xludf.DUMMYFUNCTION("""COMPUTED_VALUE"""),"")</f>
        <v/>
      </c>
      <c r="T221" s="49" t="str">
        <f>IFERROR(__xludf.DUMMYFUNCTION("""COMPUTED_VALUE"""),"")</f>
        <v/>
      </c>
      <c r="U221" s="49" t="str">
        <f>IFERROR(__xludf.DUMMYFUNCTION("""COMPUTED_VALUE"""),"")</f>
        <v/>
      </c>
      <c r="V221" s="49" t="str">
        <f>IFERROR(__xludf.DUMMYFUNCTION("""COMPUTED_VALUE"""),"")</f>
        <v/>
      </c>
      <c r="W221" s="49" t="str">
        <f>IFERROR(__xludf.DUMMYFUNCTION("""COMPUTED_VALUE"""),"")</f>
        <v/>
      </c>
      <c r="X221" s="49" t="str">
        <f>IFERROR(__xludf.DUMMYFUNCTION("""COMPUTED_VALUE"""),"")</f>
        <v/>
      </c>
      <c r="Y221" s="49" t="str">
        <f>IFERROR(__xludf.DUMMYFUNCTION("""COMPUTED_VALUE"""),"")</f>
        <v/>
      </c>
      <c r="Z221" s="49"/>
      <c r="AA221" s="49"/>
      <c r="AB221" s="49"/>
      <c r="AC221" s="49"/>
      <c r="AD221" s="49"/>
      <c r="AE221" s="49"/>
      <c r="AF221" s="49"/>
      <c r="AG221" s="49"/>
      <c r="AH221" s="49"/>
      <c r="AI221" s="49"/>
      <c r="AJ221" s="49"/>
      <c r="AK221" s="49"/>
      <c r="AL221" s="49"/>
      <c r="AM221" s="49"/>
      <c r="AN221" s="49"/>
      <c r="AO221" s="49"/>
      <c r="AP221" s="49"/>
      <c r="AQ221" s="49"/>
      <c r="AR221" s="49"/>
      <c r="AS221" s="49"/>
      <c r="AT221" s="49"/>
      <c r="AU221" s="49"/>
      <c r="AV221" s="49"/>
      <c r="AW221" s="49"/>
      <c r="AX221" s="49"/>
    </row>
    <row r="222">
      <c r="A222" s="49"/>
      <c r="B222" s="49"/>
      <c r="C222" s="49" t="str">
        <f>IFERROR(__xludf.DUMMYFUNCTION("""COMPUTED_VALUE"""),"")</f>
        <v/>
      </c>
      <c r="D222" s="49" t="str">
        <f>IFERROR(__xludf.DUMMYFUNCTION("""COMPUTED_VALUE"""),"")</f>
        <v/>
      </c>
      <c r="E222" s="49" t="str">
        <f>IFERROR(__xludf.DUMMYFUNCTION("""COMPUTED_VALUE"""),"")</f>
        <v/>
      </c>
      <c r="F222" s="49" t="str">
        <f>IFERROR(__xludf.DUMMYFUNCTION("""COMPUTED_VALUE"""),"")</f>
        <v/>
      </c>
      <c r="G222" s="49" t="str">
        <f>IFERROR(__xludf.DUMMYFUNCTION("""COMPUTED_VALUE"""),"")</f>
        <v/>
      </c>
      <c r="H222" s="49" t="str">
        <f>IFERROR(__xludf.DUMMYFUNCTION("""COMPUTED_VALUE"""),"")</f>
        <v/>
      </c>
      <c r="I222" s="49" t="str">
        <f>IFERROR(__xludf.DUMMYFUNCTION("""COMPUTED_VALUE"""),"")</f>
        <v/>
      </c>
      <c r="J222" s="49" t="str">
        <f>IFERROR(__xludf.DUMMYFUNCTION("""COMPUTED_VALUE"""),"")</f>
        <v/>
      </c>
      <c r="K222" s="49" t="str">
        <f>IFERROR(__xludf.DUMMYFUNCTION("""COMPUTED_VALUE"""),"")</f>
        <v/>
      </c>
      <c r="L222" s="49" t="str">
        <f>IFERROR(__xludf.DUMMYFUNCTION("""COMPUTED_VALUE"""),"")</f>
        <v/>
      </c>
      <c r="M222" s="49" t="str">
        <f>IFERROR(__xludf.DUMMYFUNCTION("""COMPUTED_VALUE"""),"")</f>
        <v/>
      </c>
      <c r="N222" s="49" t="str">
        <f>IFERROR(__xludf.DUMMYFUNCTION("""COMPUTED_VALUE"""),"")</f>
        <v/>
      </c>
      <c r="O222" s="49" t="str">
        <f>IFERROR(__xludf.DUMMYFUNCTION("""COMPUTED_VALUE"""),"")</f>
        <v/>
      </c>
      <c r="P222" s="49" t="str">
        <f>IFERROR(__xludf.DUMMYFUNCTION("""COMPUTED_VALUE"""),"")</f>
        <v/>
      </c>
      <c r="Q222" s="49" t="str">
        <f>IFERROR(__xludf.DUMMYFUNCTION("""COMPUTED_VALUE"""),"")</f>
        <v/>
      </c>
      <c r="R222" s="49" t="str">
        <f>IFERROR(__xludf.DUMMYFUNCTION("""COMPUTED_VALUE"""),"")</f>
        <v/>
      </c>
      <c r="S222" s="49" t="str">
        <f>IFERROR(__xludf.DUMMYFUNCTION("""COMPUTED_VALUE"""),"")</f>
        <v/>
      </c>
      <c r="T222" s="49" t="str">
        <f>IFERROR(__xludf.DUMMYFUNCTION("""COMPUTED_VALUE"""),"")</f>
        <v/>
      </c>
      <c r="U222" s="49" t="str">
        <f>IFERROR(__xludf.DUMMYFUNCTION("""COMPUTED_VALUE"""),"")</f>
        <v/>
      </c>
      <c r="V222" s="49" t="str">
        <f>IFERROR(__xludf.DUMMYFUNCTION("""COMPUTED_VALUE"""),"")</f>
        <v/>
      </c>
      <c r="W222" s="49" t="str">
        <f>IFERROR(__xludf.DUMMYFUNCTION("""COMPUTED_VALUE"""),"")</f>
        <v/>
      </c>
      <c r="X222" s="49" t="str">
        <f>IFERROR(__xludf.DUMMYFUNCTION("""COMPUTED_VALUE"""),"")</f>
        <v/>
      </c>
      <c r="Y222" s="49" t="str">
        <f>IFERROR(__xludf.DUMMYFUNCTION("""COMPUTED_VALUE"""),"")</f>
        <v/>
      </c>
      <c r="Z222" s="49"/>
      <c r="AA222" s="49"/>
      <c r="AB222" s="49"/>
      <c r="AC222" s="49"/>
      <c r="AD222" s="49"/>
      <c r="AE222" s="49"/>
      <c r="AF222" s="49"/>
      <c r="AG222" s="49"/>
      <c r="AH222" s="49"/>
      <c r="AI222" s="49"/>
      <c r="AJ222" s="49"/>
      <c r="AK222" s="49"/>
      <c r="AL222" s="49"/>
      <c r="AM222" s="49"/>
      <c r="AN222" s="49"/>
      <c r="AO222" s="49"/>
      <c r="AP222" s="49"/>
      <c r="AQ222" s="49"/>
      <c r="AR222" s="49"/>
      <c r="AS222" s="49"/>
      <c r="AT222" s="49"/>
      <c r="AU222" s="49"/>
      <c r="AV222" s="49"/>
      <c r="AW222" s="49"/>
      <c r="AX222" s="49"/>
    </row>
    <row r="223">
      <c r="A223" s="49"/>
      <c r="B223" s="49"/>
      <c r="C223" s="49" t="str">
        <f>IFERROR(__xludf.DUMMYFUNCTION("""COMPUTED_VALUE"""),"")</f>
        <v/>
      </c>
      <c r="D223" s="49" t="str">
        <f>IFERROR(__xludf.DUMMYFUNCTION("""COMPUTED_VALUE"""),"")</f>
        <v/>
      </c>
      <c r="E223" s="49" t="str">
        <f>IFERROR(__xludf.DUMMYFUNCTION("""COMPUTED_VALUE"""),"")</f>
        <v/>
      </c>
      <c r="F223" s="49" t="str">
        <f>IFERROR(__xludf.DUMMYFUNCTION("""COMPUTED_VALUE"""),"")</f>
        <v/>
      </c>
      <c r="G223" s="49" t="str">
        <f>IFERROR(__xludf.DUMMYFUNCTION("""COMPUTED_VALUE"""),"")</f>
        <v/>
      </c>
      <c r="H223" s="49" t="str">
        <f>IFERROR(__xludf.DUMMYFUNCTION("""COMPUTED_VALUE"""),"")</f>
        <v/>
      </c>
      <c r="I223" s="49" t="str">
        <f>IFERROR(__xludf.DUMMYFUNCTION("""COMPUTED_VALUE"""),"")</f>
        <v/>
      </c>
      <c r="J223" s="49" t="str">
        <f>IFERROR(__xludf.DUMMYFUNCTION("""COMPUTED_VALUE"""),"")</f>
        <v/>
      </c>
      <c r="K223" s="49" t="str">
        <f>IFERROR(__xludf.DUMMYFUNCTION("""COMPUTED_VALUE"""),"")</f>
        <v/>
      </c>
      <c r="L223" s="49" t="str">
        <f>IFERROR(__xludf.DUMMYFUNCTION("""COMPUTED_VALUE"""),"")</f>
        <v/>
      </c>
      <c r="M223" s="49" t="str">
        <f>IFERROR(__xludf.DUMMYFUNCTION("""COMPUTED_VALUE"""),"")</f>
        <v/>
      </c>
      <c r="N223" s="49" t="str">
        <f>IFERROR(__xludf.DUMMYFUNCTION("""COMPUTED_VALUE"""),"")</f>
        <v/>
      </c>
      <c r="O223" s="49" t="str">
        <f>IFERROR(__xludf.DUMMYFUNCTION("""COMPUTED_VALUE"""),"")</f>
        <v/>
      </c>
      <c r="P223" s="49" t="str">
        <f>IFERROR(__xludf.DUMMYFUNCTION("""COMPUTED_VALUE"""),"")</f>
        <v/>
      </c>
      <c r="Q223" s="49" t="str">
        <f>IFERROR(__xludf.DUMMYFUNCTION("""COMPUTED_VALUE"""),"")</f>
        <v/>
      </c>
      <c r="R223" s="49" t="str">
        <f>IFERROR(__xludf.DUMMYFUNCTION("""COMPUTED_VALUE"""),"")</f>
        <v/>
      </c>
      <c r="S223" s="49" t="str">
        <f>IFERROR(__xludf.DUMMYFUNCTION("""COMPUTED_VALUE"""),"")</f>
        <v/>
      </c>
      <c r="T223" s="49" t="str">
        <f>IFERROR(__xludf.DUMMYFUNCTION("""COMPUTED_VALUE"""),"")</f>
        <v/>
      </c>
      <c r="U223" s="49" t="str">
        <f>IFERROR(__xludf.DUMMYFUNCTION("""COMPUTED_VALUE"""),"")</f>
        <v/>
      </c>
      <c r="V223" s="49" t="str">
        <f>IFERROR(__xludf.DUMMYFUNCTION("""COMPUTED_VALUE"""),"")</f>
        <v/>
      </c>
      <c r="W223" s="49" t="str">
        <f>IFERROR(__xludf.DUMMYFUNCTION("""COMPUTED_VALUE"""),"")</f>
        <v/>
      </c>
      <c r="X223" s="49" t="str">
        <f>IFERROR(__xludf.DUMMYFUNCTION("""COMPUTED_VALUE"""),"")</f>
        <v/>
      </c>
      <c r="Y223" s="49" t="str">
        <f>IFERROR(__xludf.DUMMYFUNCTION("""COMPUTED_VALUE"""),"")</f>
        <v/>
      </c>
      <c r="Z223" s="49"/>
      <c r="AA223" s="49"/>
      <c r="AB223" s="49"/>
      <c r="AC223" s="49"/>
      <c r="AD223" s="49"/>
      <c r="AE223" s="49"/>
      <c r="AF223" s="49"/>
      <c r="AG223" s="49"/>
      <c r="AH223" s="49"/>
      <c r="AI223" s="49"/>
      <c r="AJ223" s="49"/>
      <c r="AK223" s="49"/>
      <c r="AL223" s="49"/>
      <c r="AM223" s="49"/>
      <c r="AN223" s="49"/>
      <c r="AO223" s="49"/>
      <c r="AP223" s="49"/>
      <c r="AQ223" s="49"/>
      <c r="AR223" s="49"/>
      <c r="AS223" s="49"/>
      <c r="AT223" s="49"/>
      <c r="AU223" s="49"/>
      <c r="AV223" s="49"/>
      <c r="AW223" s="49"/>
      <c r="AX223" s="49"/>
    </row>
    <row r="224">
      <c r="A224" s="49"/>
      <c r="B224" s="49"/>
      <c r="C224" s="49" t="str">
        <f>IFERROR(__xludf.DUMMYFUNCTION("""COMPUTED_VALUE"""),"")</f>
        <v/>
      </c>
      <c r="D224" s="49" t="str">
        <f>IFERROR(__xludf.DUMMYFUNCTION("""COMPUTED_VALUE"""),"")</f>
        <v/>
      </c>
      <c r="E224" s="49" t="str">
        <f>IFERROR(__xludf.DUMMYFUNCTION("""COMPUTED_VALUE"""),"")</f>
        <v/>
      </c>
      <c r="F224" s="49" t="str">
        <f>IFERROR(__xludf.DUMMYFUNCTION("""COMPUTED_VALUE"""),"")</f>
        <v/>
      </c>
      <c r="G224" s="49" t="str">
        <f>IFERROR(__xludf.DUMMYFUNCTION("""COMPUTED_VALUE"""),"")</f>
        <v/>
      </c>
      <c r="H224" s="49" t="str">
        <f>IFERROR(__xludf.DUMMYFUNCTION("""COMPUTED_VALUE"""),"")</f>
        <v/>
      </c>
      <c r="I224" s="49" t="str">
        <f>IFERROR(__xludf.DUMMYFUNCTION("""COMPUTED_VALUE"""),"")</f>
        <v/>
      </c>
      <c r="J224" s="49" t="str">
        <f>IFERROR(__xludf.DUMMYFUNCTION("""COMPUTED_VALUE"""),"")</f>
        <v/>
      </c>
      <c r="K224" s="49" t="str">
        <f>IFERROR(__xludf.DUMMYFUNCTION("""COMPUTED_VALUE"""),"")</f>
        <v/>
      </c>
      <c r="L224" s="49" t="str">
        <f>IFERROR(__xludf.DUMMYFUNCTION("""COMPUTED_VALUE"""),"")</f>
        <v/>
      </c>
      <c r="M224" s="49" t="str">
        <f>IFERROR(__xludf.DUMMYFUNCTION("""COMPUTED_VALUE"""),"")</f>
        <v/>
      </c>
      <c r="N224" s="49" t="str">
        <f>IFERROR(__xludf.DUMMYFUNCTION("""COMPUTED_VALUE"""),"")</f>
        <v/>
      </c>
      <c r="O224" s="49" t="str">
        <f>IFERROR(__xludf.DUMMYFUNCTION("""COMPUTED_VALUE"""),"")</f>
        <v/>
      </c>
      <c r="P224" s="49" t="str">
        <f>IFERROR(__xludf.DUMMYFUNCTION("""COMPUTED_VALUE"""),"")</f>
        <v/>
      </c>
      <c r="Q224" s="49" t="str">
        <f>IFERROR(__xludf.DUMMYFUNCTION("""COMPUTED_VALUE"""),"")</f>
        <v/>
      </c>
      <c r="R224" s="49" t="str">
        <f>IFERROR(__xludf.DUMMYFUNCTION("""COMPUTED_VALUE"""),"")</f>
        <v/>
      </c>
      <c r="S224" s="49" t="str">
        <f>IFERROR(__xludf.DUMMYFUNCTION("""COMPUTED_VALUE"""),"")</f>
        <v/>
      </c>
      <c r="T224" s="49" t="str">
        <f>IFERROR(__xludf.DUMMYFUNCTION("""COMPUTED_VALUE"""),"")</f>
        <v/>
      </c>
      <c r="U224" s="49" t="str">
        <f>IFERROR(__xludf.DUMMYFUNCTION("""COMPUTED_VALUE"""),"")</f>
        <v/>
      </c>
      <c r="V224" s="49" t="str">
        <f>IFERROR(__xludf.DUMMYFUNCTION("""COMPUTED_VALUE"""),"")</f>
        <v/>
      </c>
      <c r="W224" s="49" t="str">
        <f>IFERROR(__xludf.DUMMYFUNCTION("""COMPUTED_VALUE"""),"")</f>
        <v/>
      </c>
      <c r="X224" s="49" t="str">
        <f>IFERROR(__xludf.DUMMYFUNCTION("""COMPUTED_VALUE"""),"")</f>
        <v/>
      </c>
      <c r="Y224" s="49" t="str">
        <f>IFERROR(__xludf.DUMMYFUNCTION("""COMPUTED_VALUE"""),"")</f>
        <v/>
      </c>
      <c r="Z224" s="49"/>
      <c r="AA224" s="49"/>
      <c r="AB224" s="49"/>
      <c r="AC224" s="49"/>
      <c r="AD224" s="49"/>
      <c r="AE224" s="49"/>
      <c r="AF224" s="49"/>
      <c r="AG224" s="49"/>
      <c r="AH224" s="49"/>
      <c r="AI224" s="49"/>
      <c r="AJ224" s="49"/>
      <c r="AK224" s="49"/>
      <c r="AL224" s="49"/>
      <c r="AM224" s="49"/>
      <c r="AN224" s="49"/>
      <c r="AO224" s="49"/>
      <c r="AP224" s="49"/>
      <c r="AQ224" s="49"/>
      <c r="AR224" s="49"/>
      <c r="AS224" s="49"/>
      <c r="AT224" s="49"/>
      <c r="AU224" s="49"/>
      <c r="AV224" s="49"/>
      <c r="AW224" s="49"/>
      <c r="AX224" s="49"/>
    </row>
    <row r="225">
      <c r="A225" s="49"/>
      <c r="B225" s="49"/>
      <c r="C225" s="49" t="str">
        <f>IFERROR(__xludf.DUMMYFUNCTION("""COMPUTED_VALUE"""),"")</f>
        <v/>
      </c>
      <c r="D225" s="49" t="str">
        <f>IFERROR(__xludf.DUMMYFUNCTION("""COMPUTED_VALUE"""),"")</f>
        <v/>
      </c>
      <c r="E225" s="49" t="str">
        <f>IFERROR(__xludf.DUMMYFUNCTION("""COMPUTED_VALUE"""),"")</f>
        <v/>
      </c>
      <c r="F225" s="49" t="str">
        <f>IFERROR(__xludf.DUMMYFUNCTION("""COMPUTED_VALUE"""),"")</f>
        <v/>
      </c>
      <c r="G225" s="49" t="str">
        <f>IFERROR(__xludf.DUMMYFUNCTION("""COMPUTED_VALUE"""),"")</f>
        <v/>
      </c>
      <c r="H225" s="49" t="str">
        <f>IFERROR(__xludf.DUMMYFUNCTION("""COMPUTED_VALUE"""),"")</f>
        <v/>
      </c>
      <c r="I225" s="49" t="str">
        <f>IFERROR(__xludf.DUMMYFUNCTION("""COMPUTED_VALUE"""),"")</f>
        <v/>
      </c>
      <c r="J225" s="49" t="str">
        <f>IFERROR(__xludf.DUMMYFUNCTION("""COMPUTED_VALUE"""),"")</f>
        <v/>
      </c>
      <c r="K225" s="49" t="str">
        <f>IFERROR(__xludf.DUMMYFUNCTION("""COMPUTED_VALUE"""),"")</f>
        <v/>
      </c>
      <c r="L225" s="49" t="str">
        <f>IFERROR(__xludf.DUMMYFUNCTION("""COMPUTED_VALUE"""),"")</f>
        <v/>
      </c>
      <c r="M225" s="49" t="str">
        <f>IFERROR(__xludf.DUMMYFUNCTION("""COMPUTED_VALUE"""),"")</f>
        <v/>
      </c>
      <c r="N225" s="49" t="str">
        <f>IFERROR(__xludf.DUMMYFUNCTION("""COMPUTED_VALUE"""),"")</f>
        <v/>
      </c>
      <c r="O225" s="49" t="str">
        <f>IFERROR(__xludf.DUMMYFUNCTION("""COMPUTED_VALUE"""),"")</f>
        <v/>
      </c>
      <c r="P225" s="49" t="str">
        <f>IFERROR(__xludf.DUMMYFUNCTION("""COMPUTED_VALUE"""),"")</f>
        <v/>
      </c>
      <c r="Q225" s="49" t="str">
        <f>IFERROR(__xludf.DUMMYFUNCTION("""COMPUTED_VALUE"""),"")</f>
        <v/>
      </c>
      <c r="R225" s="49" t="str">
        <f>IFERROR(__xludf.DUMMYFUNCTION("""COMPUTED_VALUE"""),"")</f>
        <v/>
      </c>
      <c r="S225" s="49" t="str">
        <f>IFERROR(__xludf.DUMMYFUNCTION("""COMPUTED_VALUE"""),"")</f>
        <v/>
      </c>
      <c r="T225" s="49" t="str">
        <f>IFERROR(__xludf.DUMMYFUNCTION("""COMPUTED_VALUE"""),"")</f>
        <v/>
      </c>
      <c r="U225" s="49" t="str">
        <f>IFERROR(__xludf.DUMMYFUNCTION("""COMPUTED_VALUE"""),"")</f>
        <v/>
      </c>
      <c r="V225" s="49" t="str">
        <f>IFERROR(__xludf.DUMMYFUNCTION("""COMPUTED_VALUE"""),"")</f>
        <v/>
      </c>
      <c r="W225" s="49" t="str">
        <f>IFERROR(__xludf.DUMMYFUNCTION("""COMPUTED_VALUE"""),"")</f>
        <v/>
      </c>
      <c r="X225" s="49" t="str">
        <f>IFERROR(__xludf.DUMMYFUNCTION("""COMPUTED_VALUE"""),"")</f>
        <v/>
      </c>
      <c r="Y225" s="49" t="str">
        <f>IFERROR(__xludf.DUMMYFUNCTION("""COMPUTED_VALUE"""),"")</f>
        <v/>
      </c>
      <c r="Z225" s="49"/>
      <c r="AA225" s="49"/>
      <c r="AB225" s="49"/>
      <c r="AC225" s="49"/>
      <c r="AD225" s="49"/>
      <c r="AE225" s="49"/>
      <c r="AF225" s="49"/>
      <c r="AG225" s="49"/>
      <c r="AH225" s="49"/>
      <c r="AI225" s="49"/>
      <c r="AJ225" s="49"/>
      <c r="AK225" s="49"/>
      <c r="AL225" s="49"/>
      <c r="AM225" s="49"/>
      <c r="AN225" s="49"/>
      <c r="AO225" s="49"/>
      <c r="AP225" s="49"/>
      <c r="AQ225" s="49"/>
      <c r="AR225" s="49"/>
      <c r="AS225" s="49"/>
      <c r="AT225" s="49"/>
      <c r="AU225" s="49"/>
      <c r="AV225" s="49"/>
      <c r="AW225" s="49"/>
      <c r="AX225" s="49"/>
    </row>
    <row r="226">
      <c r="A226" s="49"/>
      <c r="B226" s="49"/>
      <c r="C226" s="49" t="str">
        <f>IFERROR(__xludf.DUMMYFUNCTION("""COMPUTED_VALUE"""),"")</f>
        <v/>
      </c>
      <c r="D226" s="49" t="str">
        <f>IFERROR(__xludf.DUMMYFUNCTION("""COMPUTED_VALUE"""),"")</f>
        <v/>
      </c>
      <c r="E226" s="49" t="str">
        <f>IFERROR(__xludf.DUMMYFUNCTION("""COMPUTED_VALUE"""),"")</f>
        <v/>
      </c>
      <c r="F226" s="49" t="str">
        <f>IFERROR(__xludf.DUMMYFUNCTION("""COMPUTED_VALUE"""),"")</f>
        <v/>
      </c>
      <c r="G226" s="49" t="str">
        <f>IFERROR(__xludf.DUMMYFUNCTION("""COMPUTED_VALUE"""),"")</f>
        <v/>
      </c>
      <c r="H226" s="49" t="str">
        <f>IFERROR(__xludf.DUMMYFUNCTION("""COMPUTED_VALUE"""),"")</f>
        <v/>
      </c>
      <c r="I226" s="49" t="str">
        <f>IFERROR(__xludf.DUMMYFUNCTION("""COMPUTED_VALUE"""),"")</f>
        <v/>
      </c>
      <c r="J226" s="49" t="str">
        <f>IFERROR(__xludf.DUMMYFUNCTION("""COMPUTED_VALUE"""),"")</f>
        <v/>
      </c>
      <c r="K226" s="49" t="str">
        <f>IFERROR(__xludf.DUMMYFUNCTION("""COMPUTED_VALUE"""),"")</f>
        <v/>
      </c>
      <c r="L226" s="49" t="str">
        <f>IFERROR(__xludf.DUMMYFUNCTION("""COMPUTED_VALUE"""),"")</f>
        <v/>
      </c>
      <c r="M226" s="49" t="str">
        <f>IFERROR(__xludf.DUMMYFUNCTION("""COMPUTED_VALUE"""),"")</f>
        <v/>
      </c>
      <c r="N226" s="49" t="str">
        <f>IFERROR(__xludf.DUMMYFUNCTION("""COMPUTED_VALUE"""),"")</f>
        <v/>
      </c>
      <c r="O226" s="49" t="str">
        <f>IFERROR(__xludf.DUMMYFUNCTION("""COMPUTED_VALUE"""),"")</f>
        <v/>
      </c>
      <c r="P226" s="49" t="str">
        <f>IFERROR(__xludf.DUMMYFUNCTION("""COMPUTED_VALUE"""),"")</f>
        <v/>
      </c>
      <c r="Q226" s="49" t="str">
        <f>IFERROR(__xludf.DUMMYFUNCTION("""COMPUTED_VALUE"""),"")</f>
        <v/>
      </c>
      <c r="R226" s="49" t="str">
        <f>IFERROR(__xludf.DUMMYFUNCTION("""COMPUTED_VALUE"""),"")</f>
        <v/>
      </c>
      <c r="S226" s="49" t="str">
        <f>IFERROR(__xludf.DUMMYFUNCTION("""COMPUTED_VALUE"""),"")</f>
        <v/>
      </c>
      <c r="T226" s="49" t="str">
        <f>IFERROR(__xludf.DUMMYFUNCTION("""COMPUTED_VALUE"""),"")</f>
        <v/>
      </c>
      <c r="U226" s="49" t="str">
        <f>IFERROR(__xludf.DUMMYFUNCTION("""COMPUTED_VALUE"""),"")</f>
        <v/>
      </c>
      <c r="V226" s="49" t="str">
        <f>IFERROR(__xludf.DUMMYFUNCTION("""COMPUTED_VALUE"""),"")</f>
        <v/>
      </c>
      <c r="W226" s="49" t="str">
        <f>IFERROR(__xludf.DUMMYFUNCTION("""COMPUTED_VALUE"""),"")</f>
        <v/>
      </c>
      <c r="X226" s="49" t="str">
        <f>IFERROR(__xludf.DUMMYFUNCTION("""COMPUTED_VALUE"""),"")</f>
        <v/>
      </c>
      <c r="Y226" s="49" t="str">
        <f>IFERROR(__xludf.DUMMYFUNCTION("""COMPUTED_VALUE"""),"")</f>
        <v/>
      </c>
      <c r="Z226" s="49"/>
      <c r="AA226" s="49"/>
      <c r="AB226" s="49"/>
      <c r="AC226" s="49"/>
      <c r="AD226" s="49"/>
      <c r="AE226" s="49"/>
      <c r="AF226" s="49"/>
      <c r="AG226" s="49"/>
      <c r="AH226" s="49"/>
      <c r="AI226" s="49"/>
      <c r="AJ226" s="49"/>
      <c r="AK226" s="49"/>
      <c r="AL226" s="49"/>
      <c r="AM226" s="49"/>
      <c r="AN226" s="49"/>
      <c r="AO226" s="49"/>
      <c r="AP226" s="49"/>
      <c r="AQ226" s="49"/>
      <c r="AR226" s="49"/>
      <c r="AS226" s="49"/>
      <c r="AT226" s="49"/>
      <c r="AU226" s="49"/>
      <c r="AV226" s="49"/>
      <c r="AW226" s="49"/>
      <c r="AX226" s="49"/>
    </row>
    <row r="227">
      <c r="A227" s="49"/>
      <c r="B227" s="49"/>
      <c r="C227" s="49" t="str">
        <f>IFERROR(__xludf.DUMMYFUNCTION("""COMPUTED_VALUE"""),"")</f>
        <v/>
      </c>
      <c r="D227" s="49" t="str">
        <f>IFERROR(__xludf.DUMMYFUNCTION("""COMPUTED_VALUE"""),"")</f>
        <v/>
      </c>
      <c r="E227" s="49" t="str">
        <f>IFERROR(__xludf.DUMMYFUNCTION("""COMPUTED_VALUE"""),"")</f>
        <v/>
      </c>
      <c r="F227" s="49" t="str">
        <f>IFERROR(__xludf.DUMMYFUNCTION("""COMPUTED_VALUE"""),"")</f>
        <v/>
      </c>
      <c r="G227" s="49" t="str">
        <f>IFERROR(__xludf.DUMMYFUNCTION("""COMPUTED_VALUE"""),"")</f>
        <v/>
      </c>
      <c r="H227" s="49" t="str">
        <f>IFERROR(__xludf.DUMMYFUNCTION("""COMPUTED_VALUE"""),"")</f>
        <v/>
      </c>
      <c r="I227" s="49" t="str">
        <f>IFERROR(__xludf.DUMMYFUNCTION("""COMPUTED_VALUE"""),"")</f>
        <v/>
      </c>
      <c r="J227" s="49" t="str">
        <f>IFERROR(__xludf.DUMMYFUNCTION("""COMPUTED_VALUE"""),"")</f>
        <v/>
      </c>
      <c r="K227" s="49" t="str">
        <f>IFERROR(__xludf.DUMMYFUNCTION("""COMPUTED_VALUE"""),"")</f>
        <v/>
      </c>
      <c r="L227" s="49" t="str">
        <f>IFERROR(__xludf.DUMMYFUNCTION("""COMPUTED_VALUE"""),"")</f>
        <v/>
      </c>
      <c r="M227" s="49" t="str">
        <f>IFERROR(__xludf.DUMMYFUNCTION("""COMPUTED_VALUE"""),"")</f>
        <v/>
      </c>
      <c r="N227" s="49" t="str">
        <f>IFERROR(__xludf.DUMMYFUNCTION("""COMPUTED_VALUE"""),"")</f>
        <v/>
      </c>
      <c r="O227" s="49" t="str">
        <f>IFERROR(__xludf.DUMMYFUNCTION("""COMPUTED_VALUE"""),"")</f>
        <v/>
      </c>
      <c r="P227" s="49" t="str">
        <f>IFERROR(__xludf.DUMMYFUNCTION("""COMPUTED_VALUE"""),"")</f>
        <v/>
      </c>
      <c r="Q227" s="49" t="str">
        <f>IFERROR(__xludf.DUMMYFUNCTION("""COMPUTED_VALUE"""),"")</f>
        <v/>
      </c>
      <c r="R227" s="49" t="str">
        <f>IFERROR(__xludf.DUMMYFUNCTION("""COMPUTED_VALUE"""),"")</f>
        <v/>
      </c>
      <c r="S227" s="49" t="str">
        <f>IFERROR(__xludf.DUMMYFUNCTION("""COMPUTED_VALUE"""),"")</f>
        <v/>
      </c>
      <c r="T227" s="49" t="str">
        <f>IFERROR(__xludf.DUMMYFUNCTION("""COMPUTED_VALUE"""),"")</f>
        <v/>
      </c>
      <c r="U227" s="49" t="str">
        <f>IFERROR(__xludf.DUMMYFUNCTION("""COMPUTED_VALUE"""),"")</f>
        <v/>
      </c>
      <c r="V227" s="49" t="str">
        <f>IFERROR(__xludf.DUMMYFUNCTION("""COMPUTED_VALUE"""),"")</f>
        <v/>
      </c>
      <c r="W227" s="49" t="str">
        <f>IFERROR(__xludf.DUMMYFUNCTION("""COMPUTED_VALUE"""),"")</f>
        <v/>
      </c>
      <c r="X227" s="49" t="str">
        <f>IFERROR(__xludf.DUMMYFUNCTION("""COMPUTED_VALUE"""),"")</f>
        <v/>
      </c>
      <c r="Y227" s="49" t="str">
        <f>IFERROR(__xludf.DUMMYFUNCTION("""COMPUTED_VALUE"""),"")</f>
        <v/>
      </c>
      <c r="Z227" s="49"/>
      <c r="AA227" s="49"/>
      <c r="AB227" s="49"/>
      <c r="AC227" s="49"/>
      <c r="AD227" s="49"/>
      <c r="AE227" s="49"/>
      <c r="AF227" s="49"/>
      <c r="AG227" s="49"/>
      <c r="AH227" s="49"/>
      <c r="AI227" s="49"/>
      <c r="AJ227" s="49"/>
      <c r="AK227" s="49"/>
      <c r="AL227" s="49"/>
      <c r="AM227" s="49"/>
      <c r="AN227" s="49"/>
      <c r="AO227" s="49"/>
      <c r="AP227" s="49"/>
      <c r="AQ227" s="49"/>
      <c r="AR227" s="49"/>
      <c r="AS227" s="49"/>
      <c r="AT227" s="49"/>
      <c r="AU227" s="49"/>
      <c r="AV227" s="49"/>
      <c r="AW227" s="49"/>
      <c r="AX227" s="49"/>
    </row>
    <row r="228">
      <c r="A228" s="49"/>
      <c r="B228" s="49"/>
      <c r="C228" s="49" t="str">
        <f>IFERROR(__xludf.DUMMYFUNCTION("""COMPUTED_VALUE"""),"")</f>
        <v/>
      </c>
      <c r="D228" s="49" t="str">
        <f>IFERROR(__xludf.DUMMYFUNCTION("""COMPUTED_VALUE"""),"")</f>
        <v/>
      </c>
      <c r="E228" s="49" t="str">
        <f>IFERROR(__xludf.DUMMYFUNCTION("""COMPUTED_VALUE"""),"")</f>
        <v/>
      </c>
      <c r="F228" s="49" t="str">
        <f>IFERROR(__xludf.DUMMYFUNCTION("""COMPUTED_VALUE"""),"")</f>
        <v/>
      </c>
      <c r="G228" s="49" t="str">
        <f>IFERROR(__xludf.DUMMYFUNCTION("""COMPUTED_VALUE"""),"")</f>
        <v/>
      </c>
      <c r="H228" s="49" t="str">
        <f>IFERROR(__xludf.DUMMYFUNCTION("""COMPUTED_VALUE"""),"")</f>
        <v/>
      </c>
      <c r="I228" s="49" t="str">
        <f>IFERROR(__xludf.DUMMYFUNCTION("""COMPUTED_VALUE"""),"")</f>
        <v/>
      </c>
      <c r="J228" s="49" t="str">
        <f>IFERROR(__xludf.DUMMYFUNCTION("""COMPUTED_VALUE"""),"")</f>
        <v/>
      </c>
      <c r="K228" s="49" t="str">
        <f>IFERROR(__xludf.DUMMYFUNCTION("""COMPUTED_VALUE"""),"")</f>
        <v/>
      </c>
      <c r="L228" s="49" t="str">
        <f>IFERROR(__xludf.DUMMYFUNCTION("""COMPUTED_VALUE"""),"")</f>
        <v/>
      </c>
      <c r="M228" s="49" t="str">
        <f>IFERROR(__xludf.DUMMYFUNCTION("""COMPUTED_VALUE"""),"")</f>
        <v/>
      </c>
      <c r="N228" s="49" t="str">
        <f>IFERROR(__xludf.DUMMYFUNCTION("""COMPUTED_VALUE"""),"")</f>
        <v/>
      </c>
      <c r="O228" s="49" t="str">
        <f>IFERROR(__xludf.DUMMYFUNCTION("""COMPUTED_VALUE"""),"")</f>
        <v/>
      </c>
      <c r="P228" s="49" t="str">
        <f>IFERROR(__xludf.DUMMYFUNCTION("""COMPUTED_VALUE"""),"")</f>
        <v/>
      </c>
      <c r="Q228" s="49" t="str">
        <f>IFERROR(__xludf.DUMMYFUNCTION("""COMPUTED_VALUE"""),"")</f>
        <v/>
      </c>
      <c r="R228" s="49" t="str">
        <f>IFERROR(__xludf.DUMMYFUNCTION("""COMPUTED_VALUE"""),"")</f>
        <v/>
      </c>
      <c r="S228" s="49" t="str">
        <f>IFERROR(__xludf.DUMMYFUNCTION("""COMPUTED_VALUE"""),"")</f>
        <v/>
      </c>
      <c r="T228" s="49" t="str">
        <f>IFERROR(__xludf.DUMMYFUNCTION("""COMPUTED_VALUE"""),"")</f>
        <v/>
      </c>
      <c r="U228" s="49" t="str">
        <f>IFERROR(__xludf.DUMMYFUNCTION("""COMPUTED_VALUE"""),"")</f>
        <v/>
      </c>
      <c r="V228" s="49" t="str">
        <f>IFERROR(__xludf.DUMMYFUNCTION("""COMPUTED_VALUE"""),"")</f>
        <v/>
      </c>
      <c r="W228" s="49" t="str">
        <f>IFERROR(__xludf.DUMMYFUNCTION("""COMPUTED_VALUE"""),"")</f>
        <v/>
      </c>
      <c r="X228" s="49" t="str">
        <f>IFERROR(__xludf.DUMMYFUNCTION("""COMPUTED_VALUE"""),"")</f>
        <v/>
      </c>
      <c r="Y228" s="49" t="str">
        <f>IFERROR(__xludf.DUMMYFUNCTION("""COMPUTED_VALUE"""),"")</f>
        <v/>
      </c>
      <c r="Z228" s="49"/>
      <c r="AA228" s="49"/>
      <c r="AB228" s="49"/>
      <c r="AC228" s="49"/>
      <c r="AD228" s="49"/>
      <c r="AE228" s="49"/>
      <c r="AF228" s="49"/>
      <c r="AG228" s="49"/>
      <c r="AH228" s="49"/>
      <c r="AI228" s="49"/>
      <c r="AJ228" s="49"/>
      <c r="AK228" s="49"/>
      <c r="AL228" s="49"/>
      <c r="AM228" s="49"/>
      <c r="AN228" s="49"/>
      <c r="AO228" s="49"/>
      <c r="AP228" s="49"/>
      <c r="AQ228" s="49"/>
      <c r="AR228" s="49"/>
      <c r="AS228" s="49"/>
      <c r="AT228" s="49"/>
      <c r="AU228" s="49"/>
      <c r="AV228" s="49"/>
      <c r="AW228" s="49"/>
      <c r="AX228" s="49"/>
    </row>
    <row r="229">
      <c r="A229" s="49"/>
      <c r="B229" s="49"/>
      <c r="C229" s="49" t="str">
        <f>IFERROR(__xludf.DUMMYFUNCTION("""COMPUTED_VALUE"""),"")</f>
        <v/>
      </c>
      <c r="D229" s="49" t="str">
        <f>IFERROR(__xludf.DUMMYFUNCTION("""COMPUTED_VALUE"""),"")</f>
        <v/>
      </c>
      <c r="E229" s="49" t="str">
        <f>IFERROR(__xludf.DUMMYFUNCTION("""COMPUTED_VALUE"""),"")</f>
        <v/>
      </c>
      <c r="F229" s="49" t="str">
        <f>IFERROR(__xludf.DUMMYFUNCTION("""COMPUTED_VALUE"""),"")</f>
        <v/>
      </c>
      <c r="G229" s="49" t="str">
        <f>IFERROR(__xludf.DUMMYFUNCTION("""COMPUTED_VALUE"""),"")</f>
        <v/>
      </c>
      <c r="H229" s="49" t="str">
        <f>IFERROR(__xludf.DUMMYFUNCTION("""COMPUTED_VALUE"""),"")</f>
        <v/>
      </c>
      <c r="I229" s="49" t="str">
        <f>IFERROR(__xludf.DUMMYFUNCTION("""COMPUTED_VALUE"""),"")</f>
        <v/>
      </c>
      <c r="J229" s="49" t="str">
        <f>IFERROR(__xludf.DUMMYFUNCTION("""COMPUTED_VALUE"""),"")</f>
        <v/>
      </c>
      <c r="K229" s="49" t="str">
        <f>IFERROR(__xludf.DUMMYFUNCTION("""COMPUTED_VALUE"""),"")</f>
        <v/>
      </c>
      <c r="L229" s="49" t="str">
        <f>IFERROR(__xludf.DUMMYFUNCTION("""COMPUTED_VALUE"""),"")</f>
        <v/>
      </c>
      <c r="M229" s="49" t="str">
        <f>IFERROR(__xludf.DUMMYFUNCTION("""COMPUTED_VALUE"""),"")</f>
        <v/>
      </c>
      <c r="N229" s="49" t="str">
        <f>IFERROR(__xludf.DUMMYFUNCTION("""COMPUTED_VALUE"""),"")</f>
        <v/>
      </c>
      <c r="O229" s="49" t="str">
        <f>IFERROR(__xludf.DUMMYFUNCTION("""COMPUTED_VALUE"""),"")</f>
        <v/>
      </c>
      <c r="P229" s="49" t="str">
        <f>IFERROR(__xludf.DUMMYFUNCTION("""COMPUTED_VALUE"""),"")</f>
        <v/>
      </c>
      <c r="Q229" s="49" t="str">
        <f>IFERROR(__xludf.DUMMYFUNCTION("""COMPUTED_VALUE"""),"")</f>
        <v/>
      </c>
      <c r="R229" s="49" t="str">
        <f>IFERROR(__xludf.DUMMYFUNCTION("""COMPUTED_VALUE"""),"")</f>
        <v/>
      </c>
      <c r="S229" s="49" t="str">
        <f>IFERROR(__xludf.DUMMYFUNCTION("""COMPUTED_VALUE"""),"")</f>
        <v/>
      </c>
      <c r="T229" s="49" t="str">
        <f>IFERROR(__xludf.DUMMYFUNCTION("""COMPUTED_VALUE"""),"")</f>
        <v/>
      </c>
      <c r="U229" s="49" t="str">
        <f>IFERROR(__xludf.DUMMYFUNCTION("""COMPUTED_VALUE"""),"")</f>
        <v/>
      </c>
      <c r="V229" s="49" t="str">
        <f>IFERROR(__xludf.DUMMYFUNCTION("""COMPUTED_VALUE"""),"")</f>
        <v/>
      </c>
      <c r="W229" s="49" t="str">
        <f>IFERROR(__xludf.DUMMYFUNCTION("""COMPUTED_VALUE"""),"")</f>
        <v/>
      </c>
      <c r="X229" s="49" t="str">
        <f>IFERROR(__xludf.DUMMYFUNCTION("""COMPUTED_VALUE"""),"")</f>
        <v/>
      </c>
      <c r="Y229" s="49" t="str">
        <f>IFERROR(__xludf.DUMMYFUNCTION("""COMPUTED_VALUE"""),"")</f>
        <v/>
      </c>
      <c r="Z229" s="49"/>
      <c r="AA229" s="49"/>
      <c r="AB229" s="49"/>
      <c r="AC229" s="49"/>
      <c r="AD229" s="49"/>
      <c r="AE229" s="49"/>
      <c r="AF229" s="49"/>
      <c r="AG229" s="49"/>
      <c r="AH229" s="49"/>
      <c r="AI229" s="49"/>
      <c r="AJ229" s="49"/>
      <c r="AK229" s="49"/>
      <c r="AL229" s="49"/>
      <c r="AM229" s="49"/>
      <c r="AN229" s="49"/>
      <c r="AO229" s="49"/>
      <c r="AP229" s="49"/>
      <c r="AQ229" s="49"/>
      <c r="AR229" s="49"/>
      <c r="AS229" s="49"/>
      <c r="AT229" s="49"/>
      <c r="AU229" s="49"/>
      <c r="AV229" s="49"/>
      <c r="AW229" s="49"/>
      <c r="AX229" s="49"/>
    </row>
    <row r="230">
      <c r="A230" s="49"/>
      <c r="B230" s="49"/>
      <c r="C230" s="49" t="str">
        <f>IFERROR(__xludf.DUMMYFUNCTION("""COMPUTED_VALUE"""),"")</f>
        <v/>
      </c>
      <c r="D230" s="49" t="str">
        <f>IFERROR(__xludf.DUMMYFUNCTION("""COMPUTED_VALUE"""),"")</f>
        <v/>
      </c>
      <c r="E230" s="49" t="str">
        <f>IFERROR(__xludf.DUMMYFUNCTION("""COMPUTED_VALUE"""),"")</f>
        <v/>
      </c>
      <c r="F230" s="49" t="str">
        <f>IFERROR(__xludf.DUMMYFUNCTION("""COMPUTED_VALUE"""),"")</f>
        <v/>
      </c>
      <c r="G230" s="49" t="str">
        <f>IFERROR(__xludf.DUMMYFUNCTION("""COMPUTED_VALUE"""),"")</f>
        <v/>
      </c>
      <c r="H230" s="49" t="str">
        <f>IFERROR(__xludf.DUMMYFUNCTION("""COMPUTED_VALUE"""),"")</f>
        <v/>
      </c>
      <c r="I230" s="49" t="str">
        <f>IFERROR(__xludf.DUMMYFUNCTION("""COMPUTED_VALUE"""),"")</f>
        <v/>
      </c>
      <c r="J230" s="49" t="str">
        <f>IFERROR(__xludf.DUMMYFUNCTION("""COMPUTED_VALUE"""),"")</f>
        <v/>
      </c>
      <c r="K230" s="49" t="str">
        <f>IFERROR(__xludf.DUMMYFUNCTION("""COMPUTED_VALUE"""),"")</f>
        <v/>
      </c>
      <c r="L230" s="49" t="str">
        <f>IFERROR(__xludf.DUMMYFUNCTION("""COMPUTED_VALUE"""),"")</f>
        <v/>
      </c>
      <c r="M230" s="49" t="str">
        <f>IFERROR(__xludf.DUMMYFUNCTION("""COMPUTED_VALUE"""),"")</f>
        <v/>
      </c>
      <c r="N230" s="49" t="str">
        <f>IFERROR(__xludf.DUMMYFUNCTION("""COMPUTED_VALUE"""),"")</f>
        <v/>
      </c>
      <c r="O230" s="49" t="str">
        <f>IFERROR(__xludf.DUMMYFUNCTION("""COMPUTED_VALUE"""),"")</f>
        <v/>
      </c>
      <c r="P230" s="49" t="str">
        <f>IFERROR(__xludf.DUMMYFUNCTION("""COMPUTED_VALUE"""),"")</f>
        <v/>
      </c>
      <c r="Q230" s="49" t="str">
        <f>IFERROR(__xludf.DUMMYFUNCTION("""COMPUTED_VALUE"""),"")</f>
        <v/>
      </c>
      <c r="R230" s="49" t="str">
        <f>IFERROR(__xludf.DUMMYFUNCTION("""COMPUTED_VALUE"""),"")</f>
        <v/>
      </c>
      <c r="S230" s="49" t="str">
        <f>IFERROR(__xludf.DUMMYFUNCTION("""COMPUTED_VALUE"""),"")</f>
        <v/>
      </c>
      <c r="T230" s="49" t="str">
        <f>IFERROR(__xludf.DUMMYFUNCTION("""COMPUTED_VALUE"""),"")</f>
        <v/>
      </c>
      <c r="U230" s="49" t="str">
        <f>IFERROR(__xludf.DUMMYFUNCTION("""COMPUTED_VALUE"""),"")</f>
        <v/>
      </c>
      <c r="V230" s="49" t="str">
        <f>IFERROR(__xludf.DUMMYFUNCTION("""COMPUTED_VALUE"""),"")</f>
        <v/>
      </c>
      <c r="W230" s="49" t="str">
        <f>IFERROR(__xludf.DUMMYFUNCTION("""COMPUTED_VALUE"""),"")</f>
        <v/>
      </c>
      <c r="X230" s="49" t="str">
        <f>IFERROR(__xludf.DUMMYFUNCTION("""COMPUTED_VALUE"""),"")</f>
        <v/>
      </c>
      <c r="Y230" s="49" t="str">
        <f>IFERROR(__xludf.DUMMYFUNCTION("""COMPUTED_VALUE"""),"")</f>
        <v/>
      </c>
      <c r="Z230" s="49"/>
      <c r="AA230" s="49"/>
      <c r="AB230" s="49"/>
      <c r="AC230" s="49"/>
      <c r="AD230" s="49"/>
      <c r="AE230" s="49"/>
      <c r="AF230" s="49"/>
      <c r="AG230" s="49"/>
      <c r="AH230" s="49"/>
      <c r="AI230" s="49"/>
      <c r="AJ230" s="49"/>
      <c r="AK230" s="49"/>
      <c r="AL230" s="49"/>
      <c r="AM230" s="49"/>
      <c r="AN230" s="49"/>
      <c r="AO230" s="49"/>
      <c r="AP230" s="49"/>
      <c r="AQ230" s="49"/>
      <c r="AR230" s="49"/>
      <c r="AS230" s="49"/>
      <c r="AT230" s="49"/>
      <c r="AU230" s="49"/>
      <c r="AV230" s="49"/>
      <c r="AW230" s="49"/>
      <c r="AX230" s="49"/>
    </row>
    <row r="231">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c r="AA231" s="49"/>
      <c r="AB231" s="49"/>
      <c r="AC231" s="49"/>
      <c r="AD231" s="49"/>
      <c r="AE231" s="49"/>
      <c r="AF231" s="49"/>
      <c r="AG231" s="49"/>
      <c r="AH231" s="49"/>
      <c r="AI231" s="49"/>
      <c r="AJ231" s="49"/>
      <c r="AK231" s="49"/>
      <c r="AL231" s="49"/>
      <c r="AM231" s="49"/>
      <c r="AN231" s="49"/>
      <c r="AO231" s="49"/>
      <c r="AP231" s="49"/>
      <c r="AQ231" s="49"/>
      <c r="AR231" s="49"/>
      <c r="AS231" s="49"/>
      <c r="AT231" s="49"/>
      <c r="AU231" s="49"/>
      <c r="AV231" s="49"/>
      <c r="AW231" s="49"/>
      <c r="AX231" s="49"/>
    </row>
    <row r="232">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c r="AA232" s="49"/>
      <c r="AB232" s="49"/>
      <c r="AC232" s="49"/>
      <c r="AD232" s="49"/>
      <c r="AE232" s="49"/>
      <c r="AF232" s="49"/>
      <c r="AG232" s="49"/>
      <c r="AH232" s="49"/>
      <c r="AI232" s="49"/>
      <c r="AJ232" s="49"/>
      <c r="AK232" s="49"/>
      <c r="AL232" s="49"/>
      <c r="AM232" s="49"/>
      <c r="AN232" s="49"/>
      <c r="AO232" s="49"/>
      <c r="AP232" s="49"/>
      <c r="AQ232" s="49"/>
      <c r="AR232" s="49"/>
      <c r="AS232" s="49"/>
      <c r="AT232" s="49"/>
      <c r="AU232" s="49"/>
      <c r="AV232" s="49"/>
      <c r="AW232" s="49"/>
      <c r="AX232" s="49"/>
    </row>
    <row r="233">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c r="AA233" s="49"/>
      <c r="AB233" s="49"/>
      <c r="AC233" s="49"/>
      <c r="AD233" s="49"/>
      <c r="AE233" s="49"/>
      <c r="AF233" s="49"/>
      <c r="AG233" s="49"/>
      <c r="AH233" s="49"/>
      <c r="AI233" s="49"/>
      <c r="AJ233" s="49"/>
      <c r="AK233" s="49"/>
      <c r="AL233" s="49"/>
      <c r="AM233" s="49"/>
      <c r="AN233" s="49"/>
      <c r="AO233" s="49"/>
      <c r="AP233" s="49"/>
      <c r="AQ233" s="49"/>
      <c r="AR233" s="49"/>
      <c r="AS233" s="49"/>
      <c r="AT233" s="49"/>
      <c r="AU233" s="49"/>
      <c r="AV233" s="49"/>
      <c r="AW233" s="49"/>
      <c r="AX233" s="49"/>
    </row>
    <row r="234">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c r="AA234" s="49"/>
      <c r="AB234" s="49"/>
      <c r="AC234" s="49"/>
      <c r="AD234" s="49"/>
      <c r="AE234" s="49"/>
      <c r="AF234" s="49"/>
      <c r="AG234" s="49"/>
      <c r="AH234" s="49"/>
      <c r="AI234" s="49"/>
      <c r="AJ234" s="49"/>
      <c r="AK234" s="49"/>
      <c r="AL234" s="49"/>
      <c r="AM234" s="49"/>
      <c r="AN234" s="49"/>
      <c r="AO234" s="49"/>
      <c r="AP234" s="49"/>
      <c r="AQ234" s="49"/>
      <c r="AR234" s="49"/>
      <c r="AS234" s="49"/>
      <c r="AT234" s="49"/>
      <c r="AU234" s="49"/>
      <c r="AV234" s="49"/>
      <c r="AW234" s="49"/>
      <c r="AX234" s="49"/>
    </row>
    <row r="23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c r="AA235" s="49"/>
      <c r="AB235" s="49"/>
      <c r="AC235" s="49"/>
      <c r="AD235" s="49"/>
      <c r="AE235" s="49"/>
      <c r="AF235" s="49"/>
      <c r="AG235" s="49"/>
      <c r="AH235" s="49"/>
      <c r="AI235" s="49"/>
      <c r="AJ235" s="49"/>
      <c r="AK235" s="49"/>
      <c r="AL235" s="49"/>
      <c r="AM235" s="49"/>
      <c r="AN235" s="49"/>
      <c r="AO235" s="49"/>
      <c r="AP235" s="49"/>
      <c r="AQ235" s="49"/>
      <c r="AR235" s="49"/>
      <c r="AS235" s="49"/>
      <c r="AT235" s="49"/>
      <c r="AU235" s="49"/>
      <c r="AV235" s="49"/>
      <c r="AW235" s="49"/>
      <c r="AX235" s="49"/>
    </row>
    <row r="236">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c r="AA236" s="49"/>
      <c r="AB236" s="49"/>
      <c r="AC236" s="49"/>
      <c r="AD236" s="49"/>
      <c r="AE236" s="49"/>
      <c r="AF236" s="49"/>
      <c r="AG236" s="49"/>
      <c r="AH236" s="49"/>
      <c r="AI236" s="49"/>
      <c r="AJ236" s="49"/>
      <c r="AK236" s="49"/>
      <c r="AL236" s="49"/>
      <c r="AM236" s="49"/>
      <c r="AN236" s="49"/>
      <c r="AO236" s="49"/>
      <c r="AP236" s="49"/>
      <c r="AQ236" s="49"/>
      <c r="AR236" s="49"/>
      <c r="AS236" s="49"/>
      <c r="AT236" s="49"/>
      <c r="AU236" s="49"/>
      <c r="AV236" s="49"/>
      <c r="AW236" s="49"/>
      <c r="AX236" s="49"/>
    </row>
    <row r="237">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c r="AA237" s="49"/>
      <c r="AB237" s="49"/>
      <c r="AC237" s="49"/>
      <c r="AD237" s="49"/>
      <c r="AE237" s="49"/>
      <c r="AF237" s="49"/>
      <c r="AG237" s="49"/>
      <c r="AH237" s="49"/>
      <c r="AI237" s="49"/>
      <c r="AJ237" s="49"/>
      <c r="AK237" s="49"/>
      <c r="AL237" s="49"/>
      <c r="AM237" s="49"/>
      <c r="AN237" s="49"/>
      <c r="AO237" s="49"/>
      <c r="AP237" s="49"/>
      <c r="AQ237" s="49"/>
      <c r="AR237" s="49"/>
      <c r="AS237" s="49"/>
      <c r="AT237" s="49"/>
      <c r="AU237" s="49"/>
      <c r="AV237" s="49"/>
      <c r="AW237" s="49"/>
      <c r="AX237" s="49"/>
    </row>
    <row r="238">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c r="AA238" s="49"/>
      <c r="AB238" s="49"/>
      <c r="AC238" s="49"/>
      <c r="AD238" s="49"/>
      <c r="AE238" s="49"/>
      <c r="AF238" s="49"/>
      <c r="AG238" s="49"/>
      <c r="AH238" s="49"/>
      <c r="AI238" s="49"/>
      <c r="AJ238" s="49"/>
      <c r="AK238" s="49"/>
      <c r="AL238" s="49"/>
      <c r="AM238" s="49"/>
      <c r="AN238" s="49"/>
      <c r="AO238" s="49"/>
      <c r="AP238" s="49"/>
      <c r="AQ238" s="49"/>
      <c r="AR238" s="49"/>
      <c r="AS238" s="49"/>
      <c r="AT238" s="49"/>
      <c r="AU238" s="49"/>
      <c r="AV238" s="49"/>
      <c r="AW238" s="49"/>
      <c r="AX238" s="49"/>
    </row>
    <row r="239">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c r="AA239" s="49"/>
      <c r="AB239" s="49"/>
      <c r="AC239" s="49"/>
      <c r="AD239" s="49"/>
      <c r="AE239" s="49"/>
      <c r="AF239" s="49"/>
      <c r="AG239" s="49"/>
      <c r="AH239" s="49"/>
      <c r="AI239" s="49"/>
      <c r="AJ239" s="49"/>
      <c r="AK239" s="49"/>
      <c r="AL239" s="49"/>
      <c r="AM239" s="49"/>
      <c r="AN239" s="49"/>
      <c r="AO239" s="49"/>
      <c r="AP239" s="49"/>
      <c r="AQ239" s="49"/>
      <c r="AR239" s="49"/>
      <c r="AS239" s="49"/>
      <c r="AT239" s="49"/>
      <c r="AU239" s="49"/>
      <c r="AV239" s="49"/>
      <c r="AW239" s="49"/>
      <c r="AX239" s="49"/>
    </row>
    <row r="240">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c r="AA240" s="49"/>
      <c r="AB240" s="49"/>
      <c r="AC240" s="49"/>
      <c r="AD240" s="49"/>
      <c r="AE240" s="49"/>
      <c r="AF240" s="49"/>
      <c r="AG240" s="49"/>
      <c r="AH240" s="49"/>
      <c r="AI240" s="49"/>
      <c r="AJ240" s="49"/>
      <c r="AK240" s="49"/>
      <c r="AL240" s="49"/>
      <c r="AM240" s="49"/>
      <c r="AN240" s="49"/>
      <c r="AO240" s="49"/>
      <c r="AP240" s="49"/>
      <c r="AQ240" s="49"/>
      <c r="AR240" s="49"/>
      <c r="AS240" s="49"/>
      <c r="AT240" s="49"/>
      <c r="AU240" s="49"/>
      <c r="AV240" s="49"/>
      <c r="AW240" s="49"/>
      <c r="AX240" s="49"/>
    </row>
    <row r="241">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c r="AA241" s="49"/>
      <c r="AB241" s="49"/>
      <c r="AC241" s="49"/>
      <c r="AD241" s="49"/>
      <c r="AE241" s="49"/>
      <c r="AF241" s="49"/>
      <c r="AG241" s="49"/>
      <c r="AH241" s="49"/>
      <c r="AI241" s="49"/>
      <c r="AJ241" s="49"/>
      <c r="AK241" s="49"/>
      <c r="AL241" s="49"/>
      <c r="AM241" s="49"/>
      <c r="AN241" s="49"/>
      <c r="AO241" s="49"/>
      <c r="AP241" s="49"/>
      <c r="AQ241" s="49"/>
      <c r="AR241" s="49"/>
      <c r="AS241" s="49"/>
      <c r="AT241" s="49"/>
      <c r="AU241" s="49"/>
      <c r="AV241" s="49"/>
      <c r="AW241" s="49"/>
      <c r="AX241" s="49"/>
    </row>
    <row r="242">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c r="AA242" s="49"/>
      <c r="AB242" s="49"/>
      <c r="AC242" s="49"/>
      <c r="AD242" s="49"/>
      <c r="AE242" s="49"/>
      <c r="AF242" s="49"/>
      <c r="AG242" s="49"/>
      <c r="AH242" s="49"/>
      <c r="AI242" s="49"/>
      <c r="AJ242" s="49"/>
      <c r="AK242" s="49"/>
      <c r="AL242" s="49"/>
      <c r="AM242" s="49"/>
      <c r="AN242" s="49"/>
      <c r="AO242" s="49"/>
      <c r="AP242" s="49"/>
      <c r="AQ242" s="49"/>
      <c r="AR242" s="49"/>
      <c r="AS242" s="49"/>
      <c r="AT242" s="49"/>
      <c r="AU242" s="49"/>
      <c r="AV242" s="49"/>
      <c r="AW242" s="49"/>
      <c r="AX242" s="49"/>
    </row>
    <row r="243">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c r="AA243" s="49"/>
      <c r="AB243" s="49"/>
      <c r="AC243" s="49"/>
      <c r="AD243" s="49"/>
      <c r="AE243" s="49"/>
      <c r="AF243" s="49"/>
      <c r="AG243" s="49"/>
      <c r="AH243" s="49"/>
      <c r="AI243" s="49"/>
      <c r="AJ243" s="49"/>
      <c r="AK243" s="49"/>
      <c r="AL243" s="49"/>
      <c r="AM243" s="49"/>
      <c r="AN243" s="49"/>
      <c r="AO243" s="49"/>
      <c r="AP243" s="49"/>
      <c r="AQ243" s="49"/>
      <c r="AR243" s="49"/>
      <c r="AS243" s="49"/>
      <c r="AT243" s="49"/>
      <c r="AU243" s="49"/>
      <c r="AV243" s="49"/>
      <c r="AW243" s="49"/>
      <c r="AX243" s="49"/>
    </row>
    <row r="244">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c r="AA244" s="49"/>
      <c r="AB244" s="49"/>
      <c r="AC244" s="49"/>
      <c r="AD244" s="49"/>
      <c r="AE244" s="49"/>
      <c r="AF244" s="49"/>
      <c r="AG244" s="49"/>
      <c r="AH244" s="49"/>
      <c r="AI244" s="49"/>
      <c r="AJ244" s="49"/>
      <c r="AK244" s="49"/>
      <c r="AL244" s="49"/>
      <c r="AM244" s="49"/>
      <c r="AN244" s="49"/>
      <c r="AO244" s="49"/>
      <c r="AP244" s="49"/>
      <c r="AQ244" s="49"/>
      <c r="AR244" s="49"/>
      <c r="AS244" s="49"/>
      <c r="AT244" s="49"/>
      <c r="AU244" s="49"/>
      <c r="AV244" s="49"/>
      <c r="AW244" s="49"/>
      <c r="AX244" s="49"/>
    </row>
    <row r="24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c r="AA245" s="49"/>
      <c r="AB245" s="49"/>
      <c r="AC245" s="49"/>
      <c r="AD245" s="49"/>
      <c r="AE245" s="49"/>
      <c r="AF245" s="49"/>
      <c r="AG245" s="49"/>
      <c r="AH245" s="49"/>
      <c r="AI245" s="49"/>
      <c r="AJ245" s="49"/>
      <c r="AK245" s="49"/>
      <c r="AL245" s="49"/>
      <c r="AM245" s="49"/>
      <c r="AN245" s="49"/>
      <c r="AO245" s="49"/>
      <c r="AP245" s="49"/>
      <c r="AQ245" s="49"/>
      <c r="AR245" s="49"/>
      <c r="AS245" s="49"/>
      <c r="AT245" s="49"/>
      <c r="AU245" s="49"/>
      <c r="AV245" s="49"/>
      <c r="AW245" s="49"/>
      <c r="AX245" s="49"/>
    </row>
    <row r="246">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c r="AA246" s="49"/>
      <c r="AB246" s="49"/>
      <c r="AC246" s="49"/>
      <c r="AD246" s="49"/>
      <c r="AE246" s="49"/>
      <c r="AF246" s="49"/>
      <c r="AG246" s="49"/>
      <c r="AH246" s="49"/>
      <c r="AI246" s="49"/>
      <c r="AJ246" s="49"/>
      <c r="AK246" s="49"/>
      <c r="AL246" s="49"/>
      <c r="AM246" s="49"/>
      <c r="AN246" s="49"/>
      <c r="AO246" s="49"/>
      <c r="AP246" s="49"/>
      <c r="AQ246" s="49"/>
      <c r="AR246" s="49"/>
      <c r="AS246" s="49"/>
      <c r="AT246" s="49"/>
      <c r="AU246" s="49"/>
      <c r="AV246" s="49"/>
      <c r="AW246" s="49"/>
      <c r="AX246" s="49"/>
    </row>
    <row r="247">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c r="AA247" s="49"/>
      <c r="AB247" s="49"/>
      <c r="AC247" s="49"/>
      <c r="AD247" s="49"/>
      <c r="AE247" s="49"/>
      <c r="AF247" s="49"/>
      <c r="AG247" s="49"/>
      <c r="AH247" s="49"/>
      <c r="AI247" s="49"/>
      <c r="AJ247" s="49"/>
      <c r="AK247" s="49"/>
      <c r="AL247" s="49"/>
      <c r="AM247" s="49"/>
      <c r="AN247" s="49"/>
      <c r="AO247" s="49"/>
      <c r="AP247" s="49"/>
      <c r="AQ247" s="49"/>
      <c r="AR247" s="49"/>
      <c r="AS247" s="49"/>
      <c r="AT247" s="49"/>
      <c r="AU247" s="49"/>
      <c r="AV247" s="49"/>
      <c r="AW247" s="49"/>
      <c r="AX247" s="49"/>
    </row>
    <row r="248">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c r="AA248" s="49"/>
      <c r="AB248" s="49"/>
      <c r="AC248" s="49"/>
      <c r="AD248" s="49"/>
      <c r="AE248" s="49"/>
      <c r="AF248" s="49"/>
      <c r="AG248" s="49"/>
      <c r="AH248" s="49"/>
      <c r="AI248" s="49"/>
      <c r="AJ248" s="49"/>
      <c r="AK248" s="49"/>
      <c r="AL248" s="49"/>
      <c r="AM248" s="49"/>
      <c r="AN248" s="49"/>
      <c r="AO248" s="49"/>
      <c r="AP248" s="49"/>
      <c r="AQ248" s="49"/>
      <c r="AR248" s="49"/>
      <c r="AS248" s="49"/>
      <c r="AT248" s="49"/>
      <c r="AU248" s="49"/>
      <c r="AV248" s="49"/>
      <c r="AW248" s="49"/>
      <c r="AX248" s="49"/>
    </row>
    <row r="249">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c r="AA249" s="49"/>
      <c r="AB249" s="49"/>
      <c r="AC249" s="49"/>
      <c r="AD249" s="49"/>
      <c r="AE249" s="49"/>
      <c r="AF249" s="49"/>
      <c r="AG249" s="49"/>
      <c r="AH249" s="49"/>
      <c r="AI249" s="49"/>
      <c r="AJ249" s="49"/>
      <c r="AK249" s="49"/>
      <c r="AL249" s="49"/>
      <c r="AM249" s="49"/>
      <c r="AN249" s="49"/>
      <c r="AO249" s="49"/>
      <c r="AP249" s="49"/>
      <c r="AQ249" s="49"/>
      <c r="AR249" s="49"/>
      <c r="AS249" s="49"/>
      <c r="AT249" s="49"/>
      <c r="AU249" s="49"/>
      <c r="AV249" s="49"/>
      <c r="AW249" s="49"/>
      <c r="AX249" s="49"/>
    </row>
    <row r="250">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c r="AA250" s="49"/>
      <c r="AB250" s="49"/>
      <c r="AC250" s="49"/>
      <c r="AD250" s="49"/>
      <c r="AE250" s="49"/>
      <c r="AF250" s="49"/>
      <c r="AG250" s="49"/>
      <c r="AH250" s="49"/>
      <c r="AI250" s="49"/>
      <c r="AJ250" s="49"/>
      <c r="AK250" s="49"/>
      <c r="AL250" s="49"/>
      <c r="AM250" s="49"/>
      <c r="AN250" s="49"/>
      <c r="AO250" s="49"/>
      <c r="AP250" s="49"/>
      <c r="AQ250" s="49"/>
      <c r="AR250" s="49"/>
      <c r="AS250" s="49"/>
      <c r="AT250" s="49"/>
      <c r="AU250" s="49"/>
      <c r="AV250" s="49"/>
      <c r="AW250" s="49"/>
      <c r="AX250" s="49"/>
    </row>
    <row r="251">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c r="AA251" s="49"/>
      <c r="AB251" s="49"/>
      <c r="AC251" s="49"/>
      <c r="AD251" s="49"/>
      <c r="AE251" s="49"/>
      <c r="AF251" s="49"/>
      <c r="AG251" s="49"/>
      <c r="AH251" s="49"/>
      <c r="AI251" s="49"/>
      <c r="AJ251" s="49"/>
      <c r="AK251" s="49"/>
      <c r="AL251" s="49"/>
      <c r="AM251" s="49"/>
      <c r="AN251" s="49"/>
      <c r="AO251" s="49"/>
      <c r="AP251" s="49"/>
      <c r="AQ251" s="49"/>
      <c r="AR251" s="49"/>
      <c r="AS251" s="49"/>
      <c r="AT251" s="49"/>
      <c r="AU251" s="49"/>
      <c r="AV251" s="49"/>
      <c r="AW251" s="49"/>
      <c r="AX251" s="49"/>
    </row>
    <row r="252">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c r="AA252" s="49"/>
      <c r="AB252" s="49"/>
      <c r="AC252" s="49"/>
      <c r="AD252" s="49"/>
      <c r="AE252" s="49"/>
      <c r="AF252" s="49"/>
      <c r="AG252" s="49"/>
      <c r="AH252" s="49"/>
      <c r="AI252" s="49"/>
      <c r="AJ252" s="49"/>
      <c r="AK252" s="49"/>
      <c r="AL252" s="49"/>
      <c r="AM252" s="49"/>
      <c r="AN252" s="49"/>
      <c r="AO252" s="49"/>
      <c r="AP252" s="49"/>
      <c r="AQ252" s="49"/>
      <c r="AR252" s="49"/>
      <c r="AS252" s="49"/>
      <c r="AT252" s="49"/>
      <c r="AU252" s="49"/>
      <c r="AV252" s="49"/>
      <c r="AW252" s="49"/>
      <c r="AX252" s="49"/>
    </row>
    <row r="253">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c r="AA253" s="49"/>
      <c r="AB253" s="49"/>
      <c r="AC253" s="49"/>
      <c r="AD253" s="49"/>
      <c r="AE253" s="49"/>
      <c r="AF253" s="49"/>
      <c r="AG253" s="49"/>
      <c r="AH253" s="49"/>
      <c r="AI253" s="49"/>
      <c r="AJ253" s="49"/>
      <c r="AK253" s="49"/>
      <c r="AL253" s="49"/>
      <c r="AM253" s="49"/>
      <c r="AN253" s="49"/>
      <c r="AO253" s="49"/>
      <c r="AP253" s="49"/>
      <c r="AQ253" s="49"/>
      <c r="AR253" s="49"/>
      <c r="AS253" s="49"/>
      <c r="AT253" s="49"/>
      <c r="AU253" s="49"/>
      <c r="AV253" s="49"/>
      <c r="AW253" s="49"/>
      <c r="AX253" s="49"/>
    </row>
    <row r="254">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c r="AA254" s="49"/>
      <c r="AB254" s="49"/>
      <c r="AC254" s="49"/>
      <c r="AD254" s="49"/>
      <c r="AE254" s="49"/>
      <c r="AF254" s="49"/>
      <c r="AG254" s="49"/>
      <c r="AH254" s="49"/>
      <c r="AI254" s="49"/>
      <c r="AJ254" s="49"/>
      <c r="AK254" s="49"/>
      <c r="AL254" s="49"/>
      <c r="AM254" s="49"/>
      <c r="AN254" s="49"/>
      <c r="AO254" s="49"/>
      <c r="AP254" s="49"/>
      <c r="AQ254" s="49"/>
      <c r="AR254" s="49"/>
      <c r="AS254" s="49"/>
      <c r="AT254" s="49"/>
      <c r="AU254" s="49"/>
      <c r="AV254" s="49"/>
      <c r="AW254" s="49"/>
      <c r="AX254" s="49"/>
    </row>
    <row r="25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c r="AA255" s="49"/>
      <c r="AB255" s="49"/>
      <c r="AC255" s="49"/>
      <c r="AD255" s="49"/>
      <c r="AE255" s="49"/>
      <c r="AF255" s="49"/>
      <c r="AG255" s="49"/>
      <c r="AH255" s="49"/>
      <c r="AI255" s="49"/>
      <c r="AJ255" s="49"/>
      <c r="AK255" s="49"/>
      <c r="AL255" s="49"/>
      <c r="AM255" s="49"/>
      <c r="AN255" s="49"/>
      <c r="AO255" s="49"/>
      <c r="AP255" s="49"/>
      <c r="AQ255" s="49"/>
      <c r="AR255" s="49"/>
      <c r="AS255" s="49"/>
      <c r="AT255" s="49"/>
      <c r="AU255" s="49"/>
      <c r="AV255" s="49"/>
      <c r="AW255" s="49"/>
      <c r="AX255" s="49"/>
    </row>
    <row r="256">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c r="AA256" s="49"/>
      <c r="AB256" s="49"/>
      <c r="AC256" s="49"/>
      <c r="AD256" s="49"/>
      <c r="AE256" s="49"/>
      <c r="AF256" s="49"/>
      <c r="AG256" s="49"/>
      <c r="AH256" s="49"/>
      <c r="AI256" s="49"/>
      <c r="AJ256" s="49"/>
      <c r="AK256" s="49"/>
      <c r="AL256" s="49"/>
      <c r="AM256" s="49"/>
      <c r="AN256" s="49"/>
      <c r="AO256" s="49"/>
      <c r="AP256" s="49"/>
      <c r="AQ256" s="49"/>
      <c r="AR256" s="49"/>
      <c r="AS256" s="49"/>
      <c r="AT256" s="49"/>
      <c r="AU256" s="49"/>
      <c r="AV256" s="49"/>
      <c r="AW256" s="49"/>
      <c r="AX256" s="49"/>
    </row>
    <row r="257">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c r="AA257" s="49"/>
      <c r="AB257" s="49"/>
      <c r="AC257" s="49"/>
      <c r="AD257" s="49"/>
      <c r="AE257" s="49"/>
      <c r="AF257" s="49"/>
      <c r="AG257" s="49"/>
      <c r="AH257" s="49"/>
      <c r="AI257" s="49"/>
      <c r="AJ257" s="49"/>
      <c r="AK257" s="49"/>
      <c r="AL257" s="49"/>
      <c r="AM257" s="49"/>
      <c r="AN257" s="49"/>
      <c r="AO257" s="49"/>
      <c r="AP257" s="49"/>
      <c r="AQ257" s="49"/>
      <c r="AR257" s="49"/>
      <c r="AS257" s="49"/>
      <c r="AT257" s="49"/>
      <c r="AU257" s="49"/>
      <c r="AV257" s="49"/>
      <c r="AW257" s="49"/>
      <c r="AX257" s="49"/>
    </row>
    <row r="258">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c r="AA258" s="49"/>
      <c r="AB258" s="49"/>
      <c r="AC258" s="49"/>
      <c r="AD258" s="49"/>
      <c r="AE258" s="49"/>
      <c r="AF258" s="49"/>
      <c r="AG258" s="49"/>
      <c r="AH258" s="49"/>
      <c r="AI258" s="49"/>
      <c r="AJ258" s="49"/>
      <c r="AK258" s="49"/>
      <c r="AL258" s="49"/>
      <c r="AM258" s="49"/>
      <c r="AN258" s="49"/>
      <c r="AO258" s="49"/>
      <c r="AP258" s="49"/>
      <c r="AQ258" s="49"/>
      <c r="AR258" s="49"/>
      <c r="AS258" s="49"/>
      <c r="AT258" s="49"/>
      <c r="AU258" s="49"/>
      <c r="AV258" s="49"/>
      <c r="AW258" s="49"/>
      <c r="AX258" s="49"/>
    </row>
    <row r="259">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c r="AA259" s="49"/>
      <c r="AB259" s="49"/>
      <c r="AC259" s="49"/>
      <c r="AD259" s="49"/>
      <c r="AE259" s="49"/>
      <c r="AF259" s="49"/>
      <c r="AG259" s="49"/>
      <c r="AH259" s="49"/>
      <c r="AI259" s="49"/>
      <c r="AJ259" s="49"/>
      <c r="AK259" s="49"/>
      <c r="AL259" s="49"/>
      <c r="AM259" s="49"/>
      <c r="AN259" s="49"/>
      <c r="AO259" s="49"/>
      <c r="AP259" s="49"/>
      <c r="AQ259" s="49"/>
      <c r="AR259" s="49"/>
      <c r="AS259" s="49"/>
      <c r="AT259" s="49"/>
      <c r="AU259" s="49"/>
      <c r="AV259" s="49"/>
      <c r="AW259" s="49"/>
      <c r="AX259" s="49"/>
    </row>
    <row r="260">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c r="AA260" s="49"/>
      <c r="AB260" s="49"/>
      <c r="AC260" s="49"/>
      <c r="AD260" s="49"/>
      <c r="AE260" s="49"/>
      <c r="AF260" s="49"/>
      <c r="AG260" s="49"/>
      <c r="AH260" s="49"/>
      <c r="AI260" s="49"/>
      <c r="AJ260" s="49"/>
      <c r="AK260" s="49"/>
      <c r="AL260" s="49"/>
      <c r="AM260" s="49"/>
      <c r="AN260" s="49"/>
      <c r="AO260" s="49"/>
      <c r="AP260" s="49"/>
      <c r="AQ260" s="49"/>
      <c r="AR260" s="49"/>
      <c r="AS260" s="49"/>
      <c r="AT260" s="49"/>
      <c r="AU260" s="49"/>
      <c r="AV260" s="49"/>
      <c r="AW260" s="49"/>
      <c r="AX260" s="49"/>
    </row>
    <row r="261">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c r="AA261" s="49"/>
      <c r="AB261" s="49"/>
      <c r="AC261" s="49"/>
      <c r="AD261" s="49"/>
      <c r="AE261" s="49"/>
      <c r="AF261" s="49"/>
      <c r="AG261" s="49"/>
      <c r="AH261" s="49"/>
      <c r="AI261" s="49"/>
      <c r="AJ261" s="49"/>
      <c r="AK261" s="49"/>
      <c r="AL261" s="49"/>
      <c r="AM261" s="49"/>
      <c r="AN261" s="49"/>
      <c r="AO261" s="49"/>
      <c r="AP261" s="49"/>
      <c r="AQ261" s="49"/>
      <c r="AR261" s="49"/>
      <c r="AS261" s="49"/>
      <c r="AT261" s="49"/>
      <c r="AU261" s="49"/>
      <c r="AV261" s="49"/>
      <c r="AW261" s="49"/>
      <c r="AX261" s="49"/>
    </row>
    <row r="262">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c r="AA262" s="49"/>
      <c r="AB262" s="49"/>
      <c r="AC262" s="49"/>
      <c r="AD262" s="49"/>
      <c r="AE262" s="49"/>
      <c r="AF262" s="49"/>
      <c r="AG262" s="49"/>
      <c r="AH262" s="49"/>
      <c r="AI262" s="49"/>
      <c r="AJ262" s="49"/>
      <c r="AK262" s="49"/>
      <c r="AL262" s="49"/>
      <c r="AM262" s="49"/>
      <c r="AN262" s="49"/>
      <c r="AO262" s="49"/>
      <c r="AP262" s="49"/>
      <c r="AQ262" s="49"/>
      <c r="AR262" s="49"/>
      <c r="AS262" s="49"/>
      <c r="AT262" s="49"/>
      <c r="AU262" s="49"/>
      <c r="AV262" s="49"/>
      <c r="AW262" s="49"/>
      <c r="AX262" s="49"/>
    </row>
    <row r="263">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c r="AA263" s="49"/>
      <c r="AB263" s="49"/>
      <c r="AC263" s="49"/>
      <c r="AD263" s="49"/>
      <c r="AE263" s="49"/>
      <c r="AF263" s="49"/>
      <c r="AG263" s="49"/>
      <c r="AH263" s="49"/>
      <c r="AI263" s="49"/>
      <c r="AJ263" s="49"/>
      <c r="AK263" s="49"/>
      <c r="AL263" s="49"/>
      <c r="AM263" s="49"/>
      <c r="AN263" s="49"/>
      <c r="AO263" s="49"/>
      <c r="AP263" s="49"/>
      <c r="AQ263" s="49"/>
      <c r="AR263" s="49"/>
      <c r="AS263" s="49"/>
      <c r="AT263" s="49"/>
      <c r="AU263" s="49"/>
      <c r="AV263" s="49"/>
      <c r="AW263" s="49"/>
      <c r="AX263" s="49"/>
    </row>
    <row r="264">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c r="AA264" s="49"/>
      <c r="AB264" s="49"/>
      <c r="AC264" s="49"/>
      <c r="AD264" s="49"/>
      <c r="AE264" s="49"/>
      <c r="AF264" s="49"/>
      <c r="AG264" s="49"/>
      <c r="AH264" s="49"/>
      <c r="AI264" s="49"/>
      <c r="AJ264" s="49"/>
      <c r="AK264" s="49"/>
      <c r="AL264" s="49"/>
      <c r="AM264" s="49"/>
      <c r="AN264" s="49"/>
      <c r="AO264" s="49"/>
      <c r="AP264" s="49"/>
      <c r="AQ264" s="49"/>
      <c r="AR264" s="49"/>
      <c r="AS264" s="49"/>
      <c r="AT264" s="49"/>
      <c r="AU264" s="49"/>
      <c r="AV264" s="49"/>
      <c r="AW264" s="49"/>
      <c r="AX264" s="49"/>
    </row>
    <row r="26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c r="AA265" s="49"/>
      <c r="AB265" s="49"/>
      <c r="AC265" s="49"/>
      <c r="AD265" s="49"/>
      <c r="AE265" s="49"/>
      <c r="AF265" s="49"/>
      <c r="AG265" s="49"/>
      <c r="AH265" s="49"/>
      <c r="AI265" s="49"/>
      <c r="AJ265" s="49"/>
      <c r="AK265" s="49"/>
      <c r="AL265" s="49"/>
      <c r="AM265" s="49"/>
      <c r="AN265" s="49"/>
      <c r="AO265" s="49"/>
      <c r="AP265" s="49"/>
      <c r="AQ265" s="49"/>
      <c r="AR265" s="49"/>
      <c r="AS265" s="49"/>
      <c r="AT265" s="49"/>
      <c r="AU265" s="49"/>
      <c r="AV265" s="49"/>
      <c r="AW265" s="49"/>
      <c r="AX265" s="49"/>
    </row>
    <row r="266">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c r="AA266" s="49"/>
      <c r="AB266" s="49"/>
      <c r="AC266" s="49"/>
      <c r="AD266" s="49"/>
      <c r="AE266" s="49"/>
      <c r="AF266" s="49"/>
      <c r="AG266" s="49"/>
      <c r="AH266" s="49"/>
      <c r="AI266" s="49"/>
      <c r="AJ266" s="49"/>
      <c r="AK266" s="49"/>
      <c r="AL266" s="49"/>
      <c r="AM266" s="49"/>
      <c r="AN266" s="49"/>
      <c r="AO266" s="49"/>
      <c r="AP266" s="49"/>
      <c r="AQ266" s="49"/>
      <c r="AR266" s="49"/>
      <c r="AS266" s="49"/>
      <c r="AT266" s="49"/>
      <c r="AU266" s="49"/>
      <c r="AV266" s="49"/>
      <c r="AW266" s="49"/>
      <c r="AX266" s="49"/>
    </row>
    <row r="267">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c r="AA267" s="49"/>
      <c r="AB267" s="49"/>
      <c r="AC267" s="49"/>
      <c r="AD267" s="49"/>
      <c r="AE267" s="49"/>
      <c r="AF267" s="49"/>
      <c r="AG267" s="49"/>
      <c r="AH267" s="49"/>
      <c r="AI267" s="49"/>
      <c r="AJ267" s="49"/>
      <c r="AK267" s="49"/>
      <c r="AL267" s="49"/>
      <c r="AM267" s="49"/>
      <c r="AN267" s="49"/>
      <c r="AO267" s="49"/>
      <c r="AP267" s="49"/>
      <c r="AQ267" s="49"/>
      <c r="AR267" s="49"/>
      <c r="AS267" s="49"/>
      <c r="AT267" s="49"/>
      <c r="AU267" s="49"/>
      <c r="AV267" s="49"/>
      <c r="AW267" s="49"/>
      <c r="AX267" s="49"/>
    </row>
    <row r="268">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c r="AA268" s="49"/>
      <c r="AB268" s="49"/>
      <c r="AC268" s="49"/>
      <c r="AD268" s="49"/>
      <c r="AE268" s="49"/>
      <c r="AF268" s="49"/>
      <c r="AG268" s="49"/>
      <c r="AH268" s="49"/>
      <c r="AI268" s="49"/>
      <c r="AJ268" s="49"/>
      <c r="AK268" s="49"/>
      <c r="AL268" s="49"/>
      <c r="AM268" s="49"/>
      <c r="AN268" s="49"/>
      <c r="AO268" s="49"/>
      <c r="AP268" s="49"/>
      <c r="AQ268" s="49"/>
      <c r="AR268" s="49"/>
      <c r="AS268" s="49"/>
      <c r="AT268" s="49"/>
      <c r="AU268" s="49"/>
      <c r="AV268" s="49"/>
      <c r="AW268" s="49"/>
      <c r="AX268" s="49"/>
    </row>
    <row r="269">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c r="AA269" s="49"/>
      <c r="AB269" s="49"/>
      <c r="AC269" s="49"/>
      <c r="AD269" s="49"/>
      <c r="AE269" s="49"/>
      <c r="AF269" s="49"/>
      <c r="AG269" s="49"/>
      <c r="AH269" s="49"/>
      <c r="AI269" s="49"/>
      <c r="AJ269" s="49"/>
      <c r="AK269" s="49"/>
      <c r="AL269" s="49"/>
      <c r="AM269" s="49"/>
      <c r="AN269" s="49"/>
      <c r="AO269" s="49"/>
      <c r="AP269" s="49"/>
      <c r="AQ269" s="49"/>
      <c r="AR269" s="49"/>
      <c r="AS269" s="49"/>
      <c r="AT269" s="49"/>
      <c r="AU269" s="49"/>
      <c r="AV269" s="49"/>
      <c r="AW269" s="49"/>
      <c r="AX269" s="49"/>
    </row>
    <row r="270">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c r="AA270" s="49"/>
      <c r="AB270" s="49"/>
      <c r="AC270" s="49"/>
      <c r="AD270" s="49"/>
      <c r="AE270" s="49"/>
      <c r="AF270" s="49"/>
      <c r="AG270" s="49"/>
      <c r="AH270" s="49"/>
      <c r="AI270" s="49"/>
      <c r="AJ270" s="49"/>
      <c r="AK270" s="49"/>
      <c r="AL270" s="49"/>
      <c r="AM270" s="49"/>
      <c r="AN270" s="49"/>
      <c r="AO270" s="49"/>
      <c r="AP270" s="49"/>
      <c r="AQ270" s="49"/>
      <c r="AR270" s="49"/>
      <c r="AS270" s="49"/>
      <c r="AT270" s="49"/>
      <c r="AU270" s="49"/>
      <c r="AV270" s="49"/>
      <c r="AW270" s="49"/>
      <c r="AX270" s="49"/>
    </row>
    <row r="271">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c r="AA271" s="49"/>
      <c r="AB271" s="49"/>
      <c r="AC271" s="49"/>
      <c r="AD271" s="49"/>
      <c r="AE271" s="49"/>
      <c r="AF271" s="49"/>
      <c r="AG271" s="49"/>
      <c r="AH271" s="49"/>
      <c r="AI271" s="49"/>
      <c r="AJ271" s="49"/>
      <c r="AK271" s="49"/>
      <c r="AL271" s="49"/>
      <c r="AM271" s="49"/>
      <c r="AN271" s="49"/>
      <c r="AO271" s="49"/>
      <c r="AP271" s="49"/>
      <c r="AQ271" s="49"/>
      <c r="AR271" s="49"/>
      <c r="AS271" s="49"/>
      <c r="AT271" s="49"/>
      <c r="AU271" s="49"/>
      <c r="AV271" s="49"/>
      <c r="AW271" s="49"/>
      <c r="AX271" s="49"/>
    </row>
    <row r="272">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c r="AA272" s="49"/>
      <c r="AB272" s="49"/>
      <c r="AC272" s="49"/>
      <c r="AD272" s="49"/>
      <c r="AE272" s="49"/>
      <c r="AF272" s="49"/>
      <c r="AG272" s="49"/>
      <c r="AH272" s="49"/>
      <c r="AI272" s="49"/>
      <c r="AJ272" s="49"/>
      <c r="AK272" s="49"/>
      <c r="AL272" s="49"/>
      <c r="AM272" s="49"/>
      <c r="AN272" s="49"/>
      <c r="AO272" s="49"/>
      <c r="AP272" s="49"/>
      <c r="AQ272" s="49"/>
      <c r="AR272" s="49"/>
      <c r="AS272" s="49"/>
      <c r="AT272" s="49"/>
      <c r="AU272" s="49"/>
      <c r="AV272" s="49"/>
      <c r="AW272" s="49"/>
      <c r="AX272" s="49"/>
    </row>
    <row r="273">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c r="AA273" s="49"/>
      <c r="AB273" s="49"/>
      <c r="AC273" s="49"/>
      <c r="AD273" s="49"/>
      <c r="AE273" s="49"/>
      <c r="AF273" s="49"/>
      <c r="AG273" s="49"/>
      <c r="AH273" s="49"/>
      <c r="AI273" s="49"/>
      <c r="AJ273" s="49"/>
      <c r="AK273" s="49"/>
      <c r="AL273" s="49"/>
      <c r="AM273" s="49"/>
      <c r="AN273" s="49"/>
      <c r="AO273" s="49"/>
      <c r="AP273" s="49"/>
      <c r="AQ273" s="49"/>
      <c r="AR273" s="49"/>
      <c r="AS273" s="49"/>
      <c r="AT273" s="49"/>
      <c r="AU273" s="49"/>
      <c r="AV273" s="49"/>
      <c r="AW273" s="49"/>
      <c r="AX273" s="49"/>
    </row>
    <row r="274">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c r="AA274" s="49"/>
      <c r="AB274" s="49"/>
      <c r="AC274" s="49"/>
      <c r="AD274" s="49"/>
      <c r="AE274" s="49"/>
      <c r="AF274" s="49"/>
      <c r="AG274" s="49"/>
      <c r="AH274" s="49"/>
      <c r="AI274" s="49"/>
      <c r="AJ274" s="49"/>
      <c r="AK274" s="49"/>
      <c r="AL274" s="49"/>
      <c r="AM274" s="49"/>
      <c r="AN274" s="49"/>
      <c r="AO274" s="49"/>
      <c r="AP274" s="49"/>
      <c r="AQ274" s="49"/>
      <c r="AR274" s="49"/>
      <c r="AS274" s="49"/>
      <c r="AT274" s="49"/>
      <c r="AU274" s="49"/>
      <c r="AV274" s="49"/>
      <c r="AW274" s="49"/>
      <c r="AX274" s="49"/>
    </row>
    <row r="27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c r="AA275" s="49"/>
      <c r="AB275" s="49"/>
      <c r="AC275" s="49"/>
      <c r="AD275" s="49"/>
      <c r="AE275" s="49"/>
      <c r="AF275" s="49"/>
      <c r="AG275" s="49"/>
      <c r="AH275" s="49"/>
      <c r="AI275" s="49"/>
      <c r="AJ275" s="49"/>
      <c r="AK275" s="49"/>
      <c r="AL275" s="49"/>
      <c r="AM275" s="49"/>
      <c r="AN275" s="49"/>
      <c r="AO275" s="49"/>
      <c r="AP275" s="49"/>
      <c r="AQ275" s="49"/>
      <c r="AR275" s="49"/>
      <c r="AS275" s="49"/>
      <c r="AT275" s="49"/>
      <c r="AU275" s="49"/>
      <c r="AV275" s="49"/>
      <c r="AW275" s="49"/>
      <c r="AX275" s="49"/>
    </row>
    <row r="276">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c r="AA276" s="49"/>
      <c r="AB276" s="49"/>
      <c r="AC276" s="49"/>
      <c r="AD276" s="49"/>
      <c r="AE276" s="49"/>
      <c r="AF276" s="49"/>
      <c r="AG276" s="49"/>
      <c r="AH276" s="49"/>
      <c r="AI276" s="49"/>
      <c r="AJ276" s="49"/>
      <c r="AK276" s="49"/>
      <c r="AL276" s="49"/>
      <c r="AM276" s="49"/>
      <c r="AN276" s="49"/>
      <c r="AO276" s="49"/>
      <c r="AP276" s="49"/>
      <c r="AQ276" s="49"/>
      <c r="AR276" s="49"/>
      <c r="AS276" s="49"/>
      <c r="AT276" s="49"/>
      <c r="AU276" s="49"/>
      <c r="AV276" s="49"/>
      <c r="AW276" s="49"/>
      <c r="AX276" s="49"/>
    </row>
    <row r="277">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c r="AA277" s="49"/>
      <c r="AB277" s="49"/>
      <c r="AC277" s="49"/>
      <c r="AD277" s="49"/>
      <c r="AE277" s="49"/>
      <c r="AF277" s="49"/>
      <c r="AG277" s="49"/>
      <c r="AH277" s="49"/>
      <c r="AI277" s="49"/>
      <c r="AJ277" s="49"/>
      <c r="AK277" s="49"/>
      <c r="AL277" s="49"/>
      <c r="AM277" s="49"/>
      <c r="AN277" s="49"/>
      <c r="AO277" s="49"/>
      <c r="AP277" s="49"/>
      <c r="AQ277" s="49"/>
      <c r="AR277" s="49"/>
      <c r="AS277" s="49"/>
      <c r="AT277" s="49"/>
      <c r="AU277" s="49"/>
      <c r="AV277" s="49"/>
      <c r="AW277" s="49"/>
      <c r="AX277" s="49"/>
    </row>
    <row r="278">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c r="AA278" s="49"/>
      <c r="AB278" s="49"/>
      <c r="AC278" s="49"/>
      <c r="AD278" s="49"/>
      <c r="AE278" s="49"/>
      <c r="AF278" s="49"/>
      <c r="AG278" s="49"/>
      <c r="AH278" s="49"/>
      <c r="AI278" s="49"/>
      <c r="AJ278" s="49"/>
      <c r="AK278" s="49"/>
      <c r="AL278" s="49"/>
      <c r="AM278" s="49"/>
      <c r="AN278" s="49"/>
      <c r="AO278" s="49"/>
      <c r="AP278" s="49"/>
      <c r="AQ278" s="49"/>
      <c r="AR278" s="49"/>
      <c r="AS278" s="49"/>
      <c r="AT278" s="49"/>
      <c r="AU278" s="49"/>
      <c r="AV278" s="49"/>
      <c r="AW278" s="49"/>
      <c r="AX278" s="49"/>
    </row>
    <row r="279">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c r="AA279" s="49"/>
      <c r="AB279" s="49"/>
      <c r="AC279" s="49"/>
      <c r="AD279" s="49"/>
      <c r="AE279" s="49"/>
      <c r="AF279" s="49"/>
      <c r="AG279" s="49"/>
      <c r="AH279" s="49"/>
      <c r="AI279" s="49"/>
      <c r="AJ279" s="49"/>
      <c r="AK279" s="49"/>
      <c r="AL279" s="49"/>
      <c r="AM279" s="49"/>
      <c r="AN279" s="49"/>
      <c r="AO279" s="49"/>
      <c r="AP279" s="49"/>
      <c r="AQ279" s="49"/>
      <c r="AR279" s="49"/>
      <c r="AS279" s="49"/>
      <c r="AT279" s="49"/>
      <c r="AU279" s="49"/>
      <c r="AV279" s="49"/>
      <c r="AW279" s="49"/>
      <c r="AX279" s="49"/>
    </row>
    <row r="280">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c r="AA280" s="49"/>
      <c r="AB280" s="49"/>
      <c r="AC280" s="49"/>
      <c r="AD280" s="49"/>
      <c r="AE280" s="49"/>
      <c r="AF280" s="49"/>
      <c r="AG280" s="49"/>
      <c r="AH280" s="49"/>
      <c r="AI280" s="49"/>
      <c r="AJ280" s="49"/>
      <c r="AK280" s="49"/>
      <c r="AL280" s="49"/>
      <c r="AM280" s="49"/>
      <c r="AN280" s="49"/>
      <c r="AO280" s="49"/>
      <c r="AP280" s="49"/>
      <c r="AQ280" s="49"/>
      <c r="AR280" s="49"/>
      <c r="AS280" s="49"/>
      <c r="AT280" s="49"/>
      <c r="AU280" s="49"/>
      <c r="AV280" s="49"/>
      <c r="AW280" s="49"/>
      <c r="AX280" s="49"/>
    </row>
    <row r="281">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c r="AA281" s="49"/>
      <c r="AB281" s="49"/>
      <c r="AC281" s="49"/>
      <c r="AD281" s="49"/>
      <c r="AE281" s="49"/>
      <c r="AF281" s="49"/>
      <c r="AG281" s="49"/>
      <c r="AH281" s="49"/>
      <c r="AI281" s="49"/>
      <c r="AJ281" s="49"/>
      <c r="AK281" s="49"/>
      <c r="AL281" s="49"/>
      <c r="AM281" s="49"/>
      <c r="AN281" s="49"/>
      <c r="AO281" s="49"/>
      <c r="AP281" s="49"/>
      <c r="AQ281" s="49"/>
      <c r="AR281" s="49"/>
      <c r="AS281" s="49"/>
      <c r="AT281" s="49"/>
      <c r="AU281" s="49"/>
      <c r="AV281" s="49"/>
      <c r="AW281" s="49"/>
      <c r="AX281" s="49"/>
    </row>
    <row r="282">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c r="AA282" s="49"/>
      <c r="AB282" s="49"/>
      <c r="AC282" s="49"/>
      <c r="AD282" s="49"/>
      <c r="AE282" s="49"/>
      <c r="AF282" s="49"/>
      <c r="AG282" s="49"/>
      <c r="AH282" s="49"/>
      <c r="AI282" s="49"/>
      <c r="AJ282" s="49"/>
      <c r="AK282" s="49"/>
      <c r="AL282" s="49"/>
      <c r="AM282" s="49"/>
      <c r="AN282" s="49"/>
      <c r="AO282" s="49"/>
      <c r="AP282" s="49"/>
      <c r="AQ282" s="49"/>
      <c r="AR282" s="49"/>
      <c r="AS282" s="49"/>
      <c r="AT282" s="49"/>
      <c r="AU282" s="49"/>
      <c r="AV282" s="49"/>
      <c r="AW282" s="49"/>
      <c r="AX282" s="49"/>
    </row>
    <row r="283">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c r="AA283" s="49"/>
      <c r="AB283" s="49"/>
      <c r="AC283" s="49"/>
      <c r="AD283" s="49"/>
      <c r="AE283" s="49"/>
      <c r="AF283" s="49"/>
      <c r="AG283" s="49"/>
      <c r="AH283" s="49"/>
      <c r="AI283" s="49"/>
      <c r="AJ283" s="49"/>
      <c r="AK283" s="49"/>
      <c r="AL283" s="49"/>
      <c r="AM283" s="49"/>
      <c r="AN283" s="49"/>
      <c r="AO283" s="49"/>
      <c r="AP283" s="49"/>
      <c r="AQ283" s="49"/>
      <c r="AR283" s="49"/>
      <c r="AS283" s="49"/>
      <c r="AT283" s="49"/>
      <c r="AU283" s="49"/>
      <c r="AV283" s="49"/>
      <c r="AW283" s="49"/>
      <c r="AX283" s="49"/>
    </row>
    <row r="284">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c r="AA284" s="49"/>
      <c r="AB284" s="49"/>
      <c r="AC284" s="49"/>
      <c r="AD284" s="49"/>
      <c r="AE284" s="49"/>
      <c r="AF284" s="49"/>
      <c r="AG284" s="49"/>
      <c r="AH284" s="49"/>
      <c r="AI284" s="49"/>
      <c r="AJ284" s="49"/>
      <c r="AK284" s="49"/>
      <c r="AL284" s="49"/>
      <c r="AM284" s="49"/>
      <c r="AN284" s="49"/>
      <c r="AO284" s="49"/>
      <c r="AP284" s="49"/>
      <c r="AQ284" s="49"/>
      <c r="AR284" s="49"/>
      <c r="AS284" s="49"/>
      <c r="AT284" s="49"/>
      <c r="AU284" s="49"/>
      <c r="AV284" s="49"/>
      <c r="AW284" s="49"/>
      <c r="AX284" s="49"/>
    </row>
    <row r="28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c r="AA285" s="49"/>
      <c r="AB285" s="49"/>
      <c r="AC285" s="49"/>
      <c r="AD285" s="49"/>
      <c r="AE285" s="49"/>
      <c r="AF285" s="49"/>
      <c r="AG285" s="49"/>
      <c r="AH285" s="49"/>
      <c r="AI285" s="49"/>
      <c r="AJ285" s="49"/>
      <c r="AK285" s="49"/>
      <c r="AL285" s="49"/>
      <c r="AM285" s="49"/>
      <c r="AN285" s="49"/>
      <c r="AO285" s="49"/>
      <c r="AP285" s="49"/>
      <c r="AQ285" s="49"/>
      <c r="AR285" s="49"/>
      <c r="AS285" s="49"/>
      <c r="AT285" s="49"/>
      <c r="AU285" s="49"/>
      <c r="AV285" s="49"/>
      <c r="AW285" s="49"/>
      <c r="AX285" s="49"/>
    </row>
    <row r="286">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c r="AA286" s="49"/>
      <c r="AB286" s="49"/>
      <c r="AC286" s="49"/>
      <c r="AD286" s="49"/>
      <c r="AE286" s="49"/>
      <c r="AF286" s="49"/>
      <c r="AG286" s="49"/>
      <c r="AH286" s="49"/>
      <c r="AI286" s="49"/>
      <c r="AJ286" s="49"/>
      <c r="AK286" s="49"/>
      <c r="AL286" s="49"/>
      <c r="AM286" s="49"/>
      <c r="AN286" s="49"/>
      <c r="AO286" s="49"/>
      <c r="AP286" s="49"/>
      <c r="AQ286" s="49"/>
      <c r="AR286" s="49"/>
      <c r="AS286" s="49"/>
      <c r="AT286" s="49"/>
      <c r="AU286" s="49"/>
      <c r="AV286" s="49"/>
      <c r="AW286" s="49"/>
      <c r="AX286" s="49"/>
    </row>
    <row r="287">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c r="AA287" s="49"/>
      <c r="AB287" s="49"/>
      <c r="AC287" s="49"/>
      <c r="AD287" s="49"/>
      <c r="AE287" s="49"/>
      <c r="AF287" s="49"/>
      <c r="AG287" s="49"/>
      <c r="AH287" s="49"/>
      <c r="AI287" s="49"/>
      <c r="AJ287" s="49"/>
      <c r="AK287" s="49"/>
      <c r="AL287" s="49"/>
      <c r="AM287" s="49"/>
      <c r="AN287" s="49"/>
      <c r="AO287" s="49"/>
      <c r="AP287" s="49"/>
      <c r="AQ287" s="49"/>
      <c r="AR287" s="49"/>
      <c r="AS287" s="49"/>
      <c r="AT287" s="49"/>
      <c r="AU287" s="49"/>
      <c r="AV287" s="49"/>
      <c r="AW287" s="49"/>
      <c r="AX287" s="49"/>
    </row>
    <row r="288">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c r="AA288" s="49"/>
      <c r="AB288" s="49"/>
      <c r="AC288" s="49"/>
      <c r="AD288" s="49"/>
      <c r="AE288" s="49"/>
      <c r="AF288" s="49"/>
      <c r="AG288" s="49"/>
      <c r="AH288" s="49"/>
      <c r="AI288" s="49"/>
      <c r="AJ288" s="49"/>
      <c r="AK288" s="49"/>
      <c r="AL288" s="49"/>
      <c r="AM288" s="49"/>
      <c r="AN288" s="49"/>
      <c r="AO288" s="49"/>
      <c r="AP288" s="49"/>
      <c r="AQ288" s="49"/>
      <c r="AR288" s="49"/>
      <c r="AS288" s="49"/>
      <c r="AT288" s="49"/>
      <c r="AU288" s="49"/>
      <c r="AV288" s="49"/>
      <c r="AW288" s="49"/>
      <c r="AX288" s="49"/>
    </row>
    <row r="289">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c r="AA289" s="49"/>
      <c r="AB289" s="49"/>
      <c r="AC289" s="49"/>
      <c r="AD289" s="49"/>
      <c r="AE289" s="49"/>
      <c r="AF289" s="49"/>
      <c r="AG289" s="49"/>
      <c r="AH289" s="49"/>
      <c r="AI289" s="49"/>
      <c r="AJ289" s="49"/>
      <c r="AK289" s="49"/>
      <c r="AL289" s="49"/>
      <c r="AM289" s="49"/>
      <c r="AN289" s="49"/>
      <c r="AO289" s="49"/>
      <c r="AP289" s="49"/>
      <c r="AQ289" s="49"/>
      <c r="AR289" s="49"/>
      <c r="AS289" s="49"/>
      <c r="AT289" s="49"/>
      <c r="AU289" s="49"/>
      <c r="AV289" s="49"/>
      <c r="AW289" s="49"/>
      <c r="AX289" s="49"/>
    </row>
    <row r="290">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c r="AA290" s="49"/>
      <c r="AB290" s="49"/>
      <c r="AC290" s="49"/>
      <c r="AD290" s="49"/>
      <c r="AE290" s="49"/>
      <c r="AF290" s="49"/>
      <c r="AG290" s="49"/>
      <c r="AH290" s="49"/>
      <c r="AI290" s="49"/>
      <c r="AJ290" s="49"/>
      <c r="AK290" s="49"/>
      <c r="AL290" s="49"/>
      <c r="AM290" s="49"/>
      <c r="AN290" s="49"/>
      <c r="AO290" s="49"/>
      <c r="AP290" s="49"/>
      <c r="AQ290" s="49"/>
      <c r="AR290" s="49"/>
      <c r="AS290" s="49"/>
      <c r="AT290" s="49"/>
      <c r="AU290" s="49"/>
      <c r="AV290" s="49"/>
      <c r="AW290" s="49"/>
      <c r="AX290" s="49"/>
    </row>
    <row r="291">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c r="AA291" s="49"/>
      <c r="AB291" s="49"/>
      <c r="AC291" s="49"/>
      <c r="AD291" s="49"/>
      <c r="AE291" s="49"/>
      <c r="AF291" s="49"/>
      <c r="AG291" s="49"/>
      <c r="AH291" s="49"/>
      <c r="AI291" s="49"/>
      <c r="AJ291" s="49"/>
      <c r="AK291" s="49"/>
      <c r="AL291" s="49"/>
      <c r="AM291" s="49"/>
      <c r="AN291" s="49"/>
      <c r="AO291" s="49"/>
      <c r="AP291" s="49"/>
      <c r="AQ291" s="49"/>
      <c r="AR291" s="49"/>
      <c r="AS291" s="49"/>
      <c r="AT291" s="49"/>
      <c r="AU291" s="49"/>
      <c r="AV291" s="49"/>
      <c r="AW291" s="49"/>
      <c r="AX291" s="49"/>
    </row>
    <row r="292">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c r="AA292" s="49"/>
      <c r="AB292" s="49"/>
      <c r="AC292" s="49"/>
      <c r="AD292" s="49"/>
      <c r="AE292" s="49"/>
      <c r="AF292" s="49"/>
      <c r="AG292" s="49"/>
      <c r="AH292" s="49"/>
      <c r="AI292" s="49"/>
      <c r="AJ292" s="49"/>
      <c r="AK292" s="49"/>
      <c r="AL292" s="49"/>
      <c r="AM292" s="49"/>
      <c r="AN292" s="49"/>
      <c r="AO292" s="49"/>
      <c r="AP292" s="49"/>
      <c r="AQ292" s="49"/>
      <c r="AR292" s="49"/>
      <c r="AS292" s="49"/>
      <c r="AT292" s="49"/>
      <c r="AU292" s="49"/>
      <c r="AV292" s="49"/>
      <c r="AW292" s="49"/>
      <c r="AX292" s="49"/>
    </row>
    <row r="293">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c r="AA293" s="49"/>
      <c r="AB293" s="49"/>
      <c r="AC293" s="49"/>
      <c r="AD293" s="49"/>
      <c r="AE293" s="49"/>
      <c r="AF293" s="49"/>
      <c r="AG293" s="49"/>
      <c r="AH293" s="49"/>
      <c r="AI293" s="49"/>
      <c r="AJ293" s="49"/>
      <c r="AK293" s="49"/>
      <c r="AL293" s="49"/>
      <c r="AM293" s="49"/>
      <c r="AN293" s="49"/>
      <c r="AO293" s="49"/>
      <c r="AP293" s="49"/>
      <c r="AQ293" s="49"/>
      <c r="AR293" s="49"/>
      <c r="AS293" s="49"/>
      <c r="AT293" s="49"/>
      <c r="AU293" s="49"/>
      <c r="AV293" s="49"/>
      <c r="AW293" s="49"/>
      <c r="AX293" s="49"/>
    </row>
    <row r="294">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c r="AA294" s="49"/>
      <c r="AB294" s="49"/>
      <c r="AC294" s="49"/>
      <c r="AD294" s="49"/>
      <c r="AE294" s="49"/>
      <c r="AF294" s="49"/>
      <c r="AG294" s="49"/>
      <c r="AH294" s="49"/>
      <c r="AI294" s="49"/>
      <c r="AJ294" s="49"/>
      <c r="AK294" s="49"/>
      <c r="AL294" s="49"/>
      <c r="AM294" s="49"/>
      <c r="AN294" s="49"/>
      <c r="AO294" s="49"/>
      <c r="AP294" s="49"/>
      <c r="AQ294" s="49"/>
      <c r="AR294" s="49"/>
      <c r="AS294" s="49"/>
      <c r="AT294" s="49"/>
      <c r="AU294" s="49"/>
      <c r="AV294" s="49"/>
      <c r="AW294" s="49"/>
      <c r="AX294" s="49"/>
    </row>
    <row r="29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c r="AA295" s="49"/>
      <c r="AB295" s="49"/>
      <c r="AC295" s="49"/>
      <c r="AD295" s="49"/>
      <c r="AE295" s="49"/>
      <c r="AF295" s="49"/>
      <c r="AG295" s="49"/>
      <c r="AH295" s="49"/>
      <c r="AI295" s="49"/>
      <c r="AJ295" s="49"/>
      <c r="AK295" s="49"/>
      <c r="AL295" s="49"/>
      <c r="AM295" s="49"/>
      <c r="AN295" s="49"/>
      <c r="AO295" s="49"/>
      <c r="AP295" s="49"/>
      <c r="AQ295" s="49"/>
      <c r="AR295" s="49"/>
      <c r="AS295" s="49"/>
      <c r="AT295" s="49"/>
      <c r="AU295" s="49"/>
      <c r="AV295" s="49"/>
      <c r="AW295" s="49"/>
      <c r="AX295" s="49"/>
    </row>
    <row r="296">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c r="AA296" s="49"/>
      <c r="AB296" s="49"/>
      <c r="AC296" s="49"/>
      <c r="AD296" s="49"/>
      <c r="AE296" s="49"/>
      <c r="AF296" s="49"/>
      <c r="AG296" s="49"/>
      <c r="AH296" s="49"/>
      <c r="AI296" s="49"/>
      <c r="AJ296" s="49"/>
      <c r="AK296" s="49"/>
      <c r="AL296" s="49"/>
      <c r="AM296" s="49"/>
      <c r="AN296" s="49"/>
      <c r="AO296" s="49"/>
      <c r="AP296" s="49"/>
      <c r="AQ296" s="49"/>
      <c r="AR296" s="49"/>
      <c r="AS296" s="49"/>
      <c r="AT296" s="49"/>
      <c r="AU296" s="49"/>
      <c r="AV296" s="49"/>
      <c r="AW296" s="49"/>
      <c r="AX296" s="49"/>
    </row>
    <row r="297">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c r="AA297" s="49"/>
      <c r="AB297" s="49"/>
      <c r="AC297" s="49"/>
      <c r="AD297" s="49"/>
      <c r="AE297" s="49"/>
      <c r="AF297" s="49"/>
      <c r="AG297" s="49"/>
      <c r="AH297" s="49"/>
      <c r="AI297" s="49"/>
      <c r="AJ297" s="49"/>
      <c r="AK297" s="49"/>
      <c r="AL297" s="49"/>
      <c r="AM297" s="49"/>
      <c r="AN297" s="49"/>
      <c r="AO297" s="49"/>
      <c r="AP297" s="49"/>
      <c r="AQ297" s="49"/>
      <c r="AR297" s="49"/>
      <c r="AS297" s="49"/>
      <c r="AT297" s="49"/>
      <c r="AU297" s="49"/>
      <c r="AV297" s="49"/>
      <c r="AW297" s="49"/>
      <c r="AX297" s="49"/>
    </row>
    <row r="298">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c r="AA298" s="49"/>
      <c r="AB298" s="49"/>
      <c r="AC298" s="49"/>
      <c r="AD298" s="49"/>
      <c r="AE298" s="49"/>
      <c r="AF298" s="49"/>
      <c r="AG298" s="49"/>
      <c r="AH298" s="49"/>
      <c r="AI298" s="49"/>
      <c r="AJ298" s="49"/>
      <c r="AK298" s="49"/>
      <c r="AL298" s="49"/>
      <c r="AM298" s="49"/>
      <c r="AN298" s="49"/>
      <c r="AO298" s="49"/>
      <c r="AP298" s="49"/>
      <c r="AQ298" s="49"/>
      <c r="AR298" s="49"/>
      <c r="AS298" s="49"/>
      <c r="AT298" s="49"/>
      <c r="AU298" s="49"/>
      <c r="AV298" s="49"/>
      <c r="AW298" s="49"/>
      <c r="AX298" s="49"/>
    </row>
    <row r="299">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c r="AA299" s="49"/>
      <c r="AB299" s="49"/>
      <c r="AC299" s="49"/>
      <c r="AD299" s="49"/>
      <c r="AE299" s="49"/>
      <c r="AF299" s="49"/>
      <c r="AG299" s="49"/>
      <c r="AH299" s="49"/>
      <c r="AI299" s="49"/>
      <c r="AJ299" s="49"/>
      <c r="AK299" s="49"/>
      <c r="AL299" s="49"/>
      <c r="AM299" s="49"/>
      <c r="AN299" s="49"/>
      <c r="AO299" s="49"/>
      <c r="AP299" s="49"/>
      <c r="AQ299" s="49"/>
      <c r="AR299" s="49"/>
      <c r="AS299" s="49"/>
      <c r="AT299" s="49"/>
      <c r="AU299" s="49"/>
      <c r="AV299" s="49"/>
      <c r="AW299" s="49"/>
      <c r="AX299" s="49"/>
    </row>
    <row r="300">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c r="AA300" s="49"/>
      <c r="AB300" s="49"/>
      <c r="AC300" s="49"/>
      <c r="AD300" s="49"/>
      <c r="AE300" s="49"/>
      <c r="AF300" s="49"/>
      <c r="AG300" s="49"/>
      <c r="AH300" s="49"/>
      <c r="AI300" s="49"/>
      <c r="AJ300" s="49"/>
      <c r="AK300" s="49"/>
      <c r="AL300" s="49"/>
      <c r="AM300" s="49"/>
      <c r="AN300" s="49"/>
      <c r="AO300" s="49"/>
      <c r="AP300" s="49"/>
      <c r="AQ300" s="49"/>
      <c r="AR300" s="49"/>
      <c r="AS300" s="49"/>
      <c r="AT300" s="49"/>
      <c r="AU300" s="49"/>
      <c r="AV300" s="49"/>
      <c r="AW300" s="49"/>
      <c r="AX300" s="49"/>
    </row>
    <row r="301">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c r="AA301" s="49"/>
      <c r="AB301" s="49"/>
      <c r="AC301" s="49"/>
      <c r="AD301" s="49"/>
      <c r="AE301" s="49"/>
      <c r="AF301" s="49"/>
      <c r="AG301" s="49"/>
      <c r="AH301" s="49"/>
      <c r="AI301" s="49"/>
      <c r="AJ301" s="49"/>
      <c r="AK301" s="49"/>
      <c r="AL301" s="49"/>
      <c r="AM301" s="49"/>
      <c r="AN301" s="49"/>
      <c r="AO301" s="49"/>
      <c r="AP301" s="49"/>
      <c r="AQ301" s="49"/>
      <c r="AR301" s="49"/>
      <c r="AS301" s="49"/>
      <c r="AT301" s="49"/>
      <c r="AU301" s="49"/>
      <c r="AV301" s="49"/>
      <c r="AW301" s="49"/>
      <c r="AX301" s="49"/>
    </row>
    <row r="302">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c r="AA302" s="49"/>
      <c r="AB302" s="49"/>
      <c r="AC302" s="49"/>
      <c r="AD302" s="49"/>
      <c r="AE302" s="49"/>
      <c r="AF302" s="49"/>
      <c r="AG302" s="49"/>
      <c r="AH302" s="49"/>
      <c r="AI302" s="49"/>
      <c r="AJ302" s="49"/>
      <c r="AK302" s="49"/>
      <c r="AL302" s="49"/>
      <c r="AM302" s="49"/>
      <c r="AN302" s="49"/>
      <c r="AO302" s="49"/>
      <c r="AP302" s="49"/>
      <c r="AQ302" s="49"/>
      <c r="AR302" s="49"/>
      <c r="AS302" s="49"/>
      <c r="AT302" s="49"/>
      <c r="AU302" s="49"/>
      <c r="AV302" s="49"/>
      <c r="AW302" s="49"/>
      <c r="AX302" s="49"/>
    </row>
    <row r="303">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c r="AA303" s="49"/>
      <c r="AB303" s="49"/>
      <c r="AC303" s="49"/>
      <c r="AD303" s="49"/>
      <c r="AE303" s="49"/>
      <c r="AF303" s="49"/>
      <c r="AG303" s="49"/>
      <c r="AH303" s="49"/>
      <c r="AI303" s="49"/>
      <c r="AJ303" s="49"/>
      <c r="AK303" s="49"/>
      <c r="AL303" s="49"/>
      <c r="AM303" s="49"/>
      <c r="AN303" s="49"/>
      <c r="AO303" s="49"/>
      <c r="AP303" s="49"/>
      <c r="AQ303" s="49"/>
      <c r="AR303" s="49"/>
      <c r="AS303" s="49"/>
      <c r="AT303" s="49"/>
      <c r="AU303" s="49"/>
      <c r="AV303" s="49"/>
      <c r="AW303" s="49"/>
      <c r="AX303" s="49"/>
    </row>
    <row r="304">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c r="AA304" s="49"/>
      <c r="AB304" s="49"/>
      <c r="AC304" s="49"/>
      <c r="AD304" s="49"/>
      <c r="AE304" s="49"/>
      <c r="AF304" s="49"/>
      <c r="AG304" s="49"/>
      <c r="AH304" s="49"/>
      <c r="AI304" s="49"/>
      <c r="AJ304" s="49"/>
      <c r="AK304" s="49"/>
      <c r="AL304" s="49"/>
      <c r="AM304" s="49"/>
      <c r="AN304" s="49"/>
      <c r="AO304" s="49"/>
      <c r="AP304" s="49"/>
      <c r="AQ304" s="49"/>
      <c r="AR304" s="49"/>
      <c r="AS304" s="49"/>
      <c r="AT304" s="49"/>
      <c r="AU304" s="49"/>
      <c r="AV304" s="49"/>
      <c r="AW304" s="49"/>
      <c r="AX304" s="49"/>
    </row>
    <row r="30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c r="AA305" s="49"/>
      <c r="AB305" s="49"/>
      <c r="AC305" s="49"/>
      <c r="AD305" s="49"/>
      <c r="AE305" s="49"/>
      <c r="AF305" s="49"/>
      <c r="AG305" s="49"/>
      <c r="AH305" s="49"/>
      <c r="AI305" s="49"/>
      <c r="AJ305" s="49"/>
      <c r="AK305" s="49"/>
      <c r="AL305" s="49"/>
      <c r="AM305" s="49"/>
      <c r="AN305" s="49"/>
      <c r="AO305" s="49"/>
      <c r="AP305" s="49"/>
      <c r="AQ305" s="49"/>
      <c r="AR305" s="49"/>
      <c r="AS305" s="49"/>
      <c r="AT305" s="49"/>
      <c r="AU305" s="49"/>
      <c r="AV305" s="49"/>
      <c r="AW305" s="49"/>
      <c r="AX305" s="49"/>
    </row>
    <row r="306">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c r="AA306" s="49"/>
      <c r="AB306" s="49"/>
      <c r="AC306" s="49"/>
      <c r="AD306" s="49"/>
      <c r="AE306" s="49"/>
      <c r="AF306" s="49"/>
      <c r="AG306" s="49"/>
      <c r="AH306" s="49"/>
      <c r="AI306" s="49"/>
      <c r="AJ306" s="49"/>
      <c r="AK306" s="49"/>
      <c r="AL306" s="49"/>
      <c r="AM306" s="49"/>
      <c r="AN306" s="49"/>
      <c r="AO306" s="49"/>
      <c r="AP306" s="49"/>
      <c r="AQ306" s="49"/>
      <c r="AR306" s="49"/>
      <c r="AS306" s="49"/>
      <c r="AT306" s="49"/>
      <c r="AU306" s="49"/>
      <c r="AV306" s="49"/>
      <c r="AW306" s="49"/>
      <c r="AX306" s="49"/>
    </row>
    <row r="307">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c r="AA307" s="49"/>
      <c r="AB307" s="49"/>
      <c r="AC307" s="49"/>
      <c r="AD307" s="49"/>
      <c r="AE307" s="49"/>
      <c r="AF307" s="49"/>
      <c r="AG307" s="49"/>
      <c r="AH307" s="49"/>
      <c r="AI307" s="49"/>
      <c r="AJ307" s="49"/>
      <c r="AK307" s="49"/>
      <c r="AL307" s="49"/>
      <c r="AM307" s="49"/>
      <c r="AN307" s="49"/>
      <c r="AO307" s="49"/>
      <c r="AP307" s="49"/>
      <c r="AQ307" s="49"/>
      <c r="AR307" s="49"/>
      <c r="AS307" s="49"/>
      <c r="AT307" s="49"/>
      <c r="AU307" s="49"/>
      <c r="AV307" s="49"/>
      <c r="AW307" s="49"/>
      <c r="AX307" s="49"/>
    </row>
    <row r="308">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c r="AA308" s="49"/>
      <c r="AB308" s="49"/>
      <c r="AC308" s="49"/>
      <c r="AD308" s="49"/>
      <c r="AE308" s="49"/>
      <c r="AF308" s="49"/>
      <c r="AG308" s="49"/>
      <c r="AH308" s="49"/>
      <c r="AI308" s="49"/>
      <c r="AJ308" s="49"/>
      <c r="AK308" s="49"/>
      <c r="AL308" s="49"/>
      <c r="AM308" s="49"/>
      <c r="AN308" s="49"/>
      <c r="AO308" s="49"/>
      <c r="AP308" s="49"/>
      <c r="AQ308" s="49"/>
      <c r="AR308" s="49"/>
      <c r="AS308" s="49"/>
      <c r="AT308" s="49"/>
      <c r="AU308" s="49"/>
      <c r="AV308" s="49"/>
      <c r="AW308" s="49"/>
      <c r="AX308" s="49"/>
    </row>
    <row r="309">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c r="AA309" s="49"/>
      <c r="AB309" s="49"/>
      <c r="AC309" s="49"/>
      <c r="AD309" s="49"/>
      <c r="AE309" s="49"/>
      <c r="AF309" s="49"/>
      <c r="AG309" s="49"/>
      <c r="AH309" s="49"/>
      <c r="AI309" s="49"/>
      <c r="AJ309" s="49"/>
      <c r="AK309" s="49"/>
      <c r="AL309" s="49"/>
      <c r="AM309" s="49"/>
      <c r="AN309" s="49"/>
      <c r="AO309" s="49"/>
      <c r="AP309" s="49"/>
      <c r="AQ309" s="49"/>
      <c r="AR309" s="49"/>
      <c r="AS309" s="49"/>
      <c r="AT309" s="49"/>
      <c r="AU309" s="49"/>
      <c r="AV309" s="49"/>
      <c r="AW309" s="49"/>
      <c r="AX309" s="49"/>
    </row>
    <row r="310">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c r="AA310" s="49"/>
      <c r="AB310" s="49"/>
      <c r="AC310" s="49"/>
      <c r="AD310" s="49"/>
      <c r="AE310" s="49"/>
      <c r="AF310" s="49"/>
      <c r="AG310" s="49"/>
      <c r="AH310" s="49"/>
      <c r="AI310" s="49"/>
      <c r="AJ310" s="49"/>
      <c r="AK310" s="49"/>
      <c r="AL310" s="49"/>
      <c r="AM310" s="49"/>
      <c r="AN310" s="49"/>
      <c r="AO310" s="49"/>
      <c r="AP310" s="49"/>
      <c r="AQ310" s="49"/>
      <c r="AR310" s="49"/>
      <c r="AS310" s="49"/>
      <c r="AT310" s="49"/>
      <c r="AU310" s="49"/>
      <c r="AV310" s="49"/>
      <c r="AW310" s="49"/>
      <c r="AX310" s="49"/>
    </row>
    <row r="311">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c r="AA311" s="49"/>
      <c r="AB311" s="49"/>
      <c r="AC311" s="49"/>
      <c r="AD311" s="49"/>
      <c r="AE311" s="49"/>
      <c r="AF311" s="49"/>
      <c r="AG311" s="49"/>
      <c r="AH311" s="49"/>
      <c r="AI311" s="49"/>
      <c r="AJ311" s="49"/>
      <c r="AK311" s="49"/>
      <c r="AL311" s="49"/>
      <c r="AM311" s="49"/>
      <c r="AN311" s="49"/>
      <c r="AO311" s="49"/>
      <c r="AP311" s="49"/>
      <c r="AQ311" s="49"/>
      <c r="AR311" s="49"/>
      <c r="AS311" s="49"/>
      <c r="AT311" s="49"/>
      <c r="AU311" s="49"/>
      <c r="AV311" s="49"/>
      <c r="AW311" s="49"/>
      <c r="AX311" s="49"/>
    </row>
    <row r="312">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c r="AA312" s="49"/>
      <c r="AB312" s="49"/>
      <c r="AC312" s="49"/>
      <c r="AD312" s="49"/>
      <c r="AE312" s="49"/>
      <c r="AF312" s="49"/>
      <c r="AG312" s="49"/>
      <c r="AH312" s="49"/>
      <c r="AI312" s="49"/>
      <c r="AJ312" s="49"/>
      <c r="AK312" s="49"/>
      <c r="AL312" s="49"/>
      <c r="AM312" s="49"/>
      <c r="AN312" s="49"/>
      <c r="AO312" s="49"/>
      <c r="AP312" s="49"/>
      <c r="AQ312" s="49"/>
      <c r="AR312" s="49"/>
      <c r="AS312" s="49"/>
      <c r="AT312" s="49"/>
      <c r="AU312" s="49"/>
      <c r="AV312" s="49"/>
      <c r="AW312" s="49"/>
      <c r="AX312" s="49"/>
    </row>
    <row r="313">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c r="AA313" s="49"/>
      <c r="AB313" s="49"/>
      <c r="AC313" s="49"/>
      <c r="AD313" s="49"/>
      <c r="AE313" s="49"/>
      <c r="AF313" s="49"/>
      <c r="AG313" s="49"/>
      <c r="AH313" s="49"/>
      <c r="AI313" s="49"/>
      <c r="AJ313" s="49"/>
      <c r="AK313" s="49"/>
      <c r="AL313" s="49"/>
      <c r="AM313" s="49"/>
      <c r="AN313" s="49"/>
      <c r="AO313" s="49"/>
      <c r="AP313" s="49"/>
      <c r="AQ313" s="49"/>
      <c r="AR313" s="49"/>
      <c r="AS313" s="49"/>
      <c r="AT313" s="49"/>
      <c r="AU313" s="49"/>
      <c r="AV313" s="49"/>
      <c r="AW313" s="49"/>
      <c r="AX313" s="49"/>
    </row>
    <row r="314">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c r="AA314" s="49"/>
      <c r="AB314" s="49"/>
      <c r="AC314" s="49"/>
      <c r="AD314" s="49"/>
      <c r="AE314" s="49"/>
      <c r="AF314" s="49"/>
      <c r="AG314" s="49"/>
      <c r="AH314" s="49"/>
      <c r="AI314" s="49"/>
      <c r="AJ314" s="49"/>
      <c r="AK314" s="49"/>
      <c r="AL314" s="49"/>
      <c r="AM314" s="49"/>
      <c r="AN314" s="49"/>
      <c r="AO314" s="49"/>
      <c r="AP314" s="49"/>
      <c r="AQ314" s="49"/>
      <c r="AR314" s="49"/>
      <c r="AS314" s="49"/>
      <c r="AT314" s="49"/>
      <c r="AU314" s="49"/>
      <c r="AV314" s="49"/>
      <c r="AW314" s="49"/>
      <c r="AX314" s="49"/>
    </row>
    <row r="31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c r="AA315" s="49"/>
      <c r="AB315" s="49"/>
      <c r="AC315" s="49"/>
      <c r="AD315" s="49"/>
      <c r="AE315" s="49"/>
      <c r="AF315" s="49"/>
      <c r="AG315" s="49"/>
      <c r="AH315" s="49"/>
      <c r="AI315" s="49"/>
      <c r="AJ315" s="49"/>
      <c r="AK315" s="49"/>
      <c r="AL315" s="49"/>
      <c r="AM315" s="49"/>
      <c r="AN315" s="49"/>
      <c r="AO315" s="49"/>
      <c r="AP315" s="49"/>
      <c r="AQ315" s="49"/>
      <c r="AR315" s="49"/>
      <c r="AS315" s="49"/>
      <c r="AT315" s="49"/>
      <c r="AU315" s="49"/>
      <c r="AV315" s="49"/>
      <c r="AW315" s="49"/>
      <c r="AX315" s="49"/>
    </row>
    <row r="316">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c r="AA316" s="49"/>
      <c r="AB316" s="49"/>
      <c r="AC316" s="49"/>
      <c r="AD316" s="49"/>
      <c r="AE316" s="49"/>
      <c r="AF316" s="49"/>
      <c r="AG316" s="49"/>
      <c r="AH316" s="49"/>
      <c r="AI316" s="49"/>
      <c r="AJ316" s="49"/>
      <c r="AK316" s="49"/>
      <c r="AL316" s="49"/>
      <c r="AM316" s="49"/>
      <c r="AN316" s="49"/>
      <c r="AO316" s="49"/>
      <c r="AP316" s="49"/>
      <c r="AQ316" s="49"/>
      <c r="AR316" s="49"/>
      <c r="AS316" s="49"/>
      <c r="AT316" s="49"/>
      <c r="AU316" s="49"/>
      <c r="AV316" s="49"/>
      <c r="AW316" s="49"/>
      <c r="AX316" s="49"/>
    </row>
    <row r="317">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c r="AA317" s="49"/>
      <c r="AB317" s="49"/>
      <c r="AC317" s="49"/>
      <c r="AD317" s="49"/>
      <c r="AE317" s="49"/>
      <c r="AF317" s="49"/>
      <c r="AG317" s="49"/>
      <c r="AH317" s="49"/>
      <c r="AI317" s="49"/>
      <c r="AJ317" s="49"/>
      <c r="AK317" s="49"/>
      <c r="AL317" s="49"/>
      <c r="AM317" s="49"/>
      <c r="AN317" s="49"/>
      <c r="AO317" s="49"/>
      <c r="AP317" s="49"/>
      <c r="AQ317" s="49"/>
      <c r="AR317" s="49"/>
      <c r="AS317" s="49"/>
      <c r="AT317" s="49"/>
      <c r="AU317" s="49"/>
      <c r="AV317" s="49"/>
      <c r="AW317" s="49"/>
      <c r="AX317" s="49"/>
    </row>
    <row r="318">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c r="AA318" s="49"/>
      <c r="AB318" s="49"/>
      <c r="AC318" s="49"/>
      <c r="AD318" s="49"/>
      <c r="AE318" s="49"/>
      <c r="AF318" s="49"/>
      <c r="AG318" s="49"/>
      <c r="AH318" s="49"/>
      <c r="AI318" s="49"/>
      <c r="AJ318" s="49"/>
      <c r="AK318" s="49"/>
      <c r="AL318" s="49"/>
      <c r="AM318" s="49"/>
      <c r="AN318" s="49"/>
      <c r="AO318" s="49"/>
      <c r="AP318" s="49"/>
      <c r="AQ318" s="49"/>
      <c r="AR318" s="49"/>
      <c r="AS318" s="49"/>
      <c r="AT318" s="49"/>
      <c r="AU318" s="49"/>
      <c r="AV318" s="49"/>
      <c r="AW318" s="49"/>
      <c r="AX318" s="49"/>
    </row>
    <row r="319">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c r="AA319" s="49"/>
      <c r="AB319" s="49"/>
      <c r="AC319" s="49"/>
      <c r="AD319" s="49"/>
      <c r="AE319" s="49"/>
      <c r="AF319" s="49"/>
      <c r="AG319" s="49"/>
      <c r="AH319" s="49"/>
      <c r="AI319" s="49"/>
      <c r="AJ319" s="49"/>
      <c r="AK319" s="49"/>
      <c r="AL319" s="49"/>
      <c r="AM319" s="49"/>
      <c r="AN319" s="49"/>
      <c r="AO319" s="49"/>
      <c r="AP319" s="49"/>
      <c r="AQ319" s="49"/>
      <c r="AR319" s="49"/>
      <c r="AS319" s="49"/>
      <c r="AT319" s="49"/>
      <c r="AU319" s="49"/>
      <c r="AV319" s="49"/>
      <c r="AW319" s="49"/>
      <c r="AX319" s="49"/>
    </row>
    <row r="320">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c r="AA320" s="49"/>
      <c r="AB320" s="49"/>
      <c r="AC320" s="49"/>
      <c r="AD320" s="49"/>
      <c r="AE320" s="49"/>
      <c r="AF320" s="49"/>
      <c r="AG320" s="49"/>
      <c r="AH320" s="49"/>
      <c r="AI320" s="49"/>
      <c r="AJ320" s="49"/>
      <c r="AK320" s="49"/>
      <c r="AL320" s="49"/>
      <c r="AM320" s="49"/>
      <c r="AN320" s="49"/>
      <c r="AO320" s="49"/>
      <c r="AP320" s="49"/>
      <c r="AQ320" s="49"/>
      <c r="AR320" s="49"/>
      <c r="AS320" s="49"/>
      <c r="AT320" s="49"/>
      <c r="AU320" s="49"/>
      <c r="AV320" s="49"/>
      <c r="AW320" s="49"/>
      <c r="AX320" s="49"/>
    </row>
    <row r="321">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c r="AA321" s="49"/>
      <c r="AB321" s="49"/>
      <c r="AC321" s="49"/>
      <c r="AD321" s="49"/>
      <c r="AE321" s="49"/>
      <c r="AF321" s="49"/>
      <c r="AG321" s="49"/>
      <c r="AH321" s="49"/>
      <c r="AI321" s="49"/>
      <c r="AJ321" s="49"/>
      <c r="AK321" s="49"/>
      <c r="AL321" s="49"/>
      <c r="AM321" s="49"/>
      <c r="AN321" s="49"/>
      <c r="AO321" s="49"/>
      <c r="AP321" s="49"/>
      <c r="AQ321" s="49"/>
      <c r="AR321" s="49"/>
      <c r="AS321" s="49"/>
      <c r="AT321" s="49"/>
      <c r="AU321" s="49"/>
      <c r="AV321" s="49"/>
      <c r="AW321" s="49"/>
      <c r="AX321" s="49"/>
    </row>
    <row r="322">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c r="AA322" s="49"/>
      <c r="AB322" s="49"/>
      <c r="AC322" s="49"/>
      <c r="AD322" s="49"/>
      <c r="AE322" s="49"/>
      <c r="AF322" s="49"/>
      <c r="AG322" s="49"/>
      <c r="AH322" s="49"/>
      <c r="AI322" s="49"/>
      <c r="AJ322" s="49"/>
      <c r="AK322" s="49"/>
      <c r="AL322" s="49"/>
      <c r="AM322" s="49"/>
      <c r="AN322" s="49"/>
      <c r="AO322" s="49"/>
      <c r="AP322" s="49"/>
      <c r="AQ322" s="49"/>
      <c r="AR322" s="49"/>
      <c r="AS322" s="49"/>
      <c r="AT322" s="49"/>
      <c r="AU322" s="49"/>
      <c r="AV322" s="49"/>
      <c r="AW322" s="49"/>
      <c r="AX322" s="49"/>
    </row>
    <row r="323">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c r="AA323" s="49"/>
      <c r="AB323" s="49"/>
      <c r="AC323" s="49"/>
      <c r="AD323" s="49"/>
      <c r="AE323" s="49"/>
      <c r="AF323" s="49"/>
      <c r="AG323" s="49"/>
      <c r="AH323" s="49"/>
      <c r="AI323" s="49"/>
      <c r="AJ323" s="49"/>
      <c r="AK323" s="49"/>
      <c r="AL323" s="49"/>
      <c r="AM323" s="49"/>
      <c r="AN323" s="49"/>
      <c r="AO323" s="49"/>
      <c r="AP323" s="49"/>
      <c r="AQ323" s="49"/>
      <c r="AR323" s="49"/>
      <c r="AS323" s="49"/>
      <c r="AT323" s="49"/>
      <c r="AU323" s="49"/>
      <c r="AV323" s="49"/>
      <c r="AW323" s="49"/>
      <c r="AX323" s="49"/>
    </row>
    <row r="324">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c r="AA324" s="49"/>
      <c r="AB324" s="49"/>
      <c r="AC324" s="49"/>
      <c r="AD324" s="49"/>
      <c r="AE324" s="49"/>
      <c r="AF324" s="49"/>
      <c r="AG324" s="49"/>
      <c r="AH324" s="49"/>
      <c r="AI324" s="49"/>
      <c r="AJ324" s="49"/>
      <c r="AK324" s="49"/>
      <c r="AL324" s="49"/>
      <c r="AM324" s="49"/>
      <c r="AN324" s="49"/>
      <c r="AO324" s="49"/>
      <c r="AP324" s="49"/>
      <c r="AQ324" s="49"/>
      <c r="AR324" s="49"/>
      <c r="AS324" s="49"/>
      <c r="AT324" s="49"/>
      <c r="AU324" s="49"/>
      <c r="AV324" s="49"/>
      <c r="AW324" s="49"/>
      <c r="AX324" s="49"/>
    </row>
    <row r="3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c r="AA325" s="49"/>
      <c r="AB325" s="49"/>
      <c r="AC325" s="49"/>
      <c r="AD325" s="49"/>
      <c r="AE325" s="49"/>
      <c r="AF325" s="49"/>
      <c r="AG325" s="49"/>
      <c r="AH325" s="49"/>
      <c r="AI325" s="49"/>
      <c r="AJ325" s="49"/>
      <c r="AK325" s="49"/>
      <c r="AL325" s="49"/>
      <c r="AM325" s="49"/>
      <c r="AN325" s="49"/>
      <c r="AO325" s="49"/>
      <c r="AP325" s="49"/>
      <c r="AQ325" s="49"/>
      <c r="AR325" s="49"/>
      <c r="AS325" s="49"/>
      <c r="AT325" s="49"/>
      <c r="AU325" s="49"/>
      <c r="AV325" s="49"/>
      <c r="AW325" s="49"/>
      <c r="AX325" s="49"/>
    </row>
    <row r="326">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c r="AA326" s="49"/>
      <c r="AB326" s="49"/>
      <c r="AC326" s="49"/>
      <c r="AD326" s="49"/>
      <c r="AE326" s="49"/>
      <c r="AF326" s="49"/>
      <c r="AG326" s="49"/>
      <c r="AH326" s="49"/>
      <c r="AI326" s="49"/>
      <c r="AJ326" s="49"/>
      <c r="AK326" s="49"/>
      <c r="AL326" s="49"/>
      <c r="AM326" s="49"/>
      <c r="AN326" s="49"/>
      <c r="AO326" s="49"/>
      <c r="AP326" s="49"/>
      <c r="AQ326" s="49"/>
      <c r="AR326" s="49"/>
      <c r="AS326" s="49"/>
      <c r="AT326" s="49"/>
      <c r="AU326" s="49"/>
      <c r="AV326" s="49"/>
      <c r="AW326" s="49"/>
      <c r="AX326" s="49"/>
    </row>
    <row r="327">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c r="AA327" s="49"/>
      <c r="AB327" s="49"/>
      <c r="AC327" s="49"/>
      <c r="AD327" s="49"/>
      <c r="AE327" s="49"/>
      <c r="AF327" s="49"/>
      <c r="AG327" s="49"/>
      <c r="AH327" s="49"/>
      <c r="AI327" s="49"/>
      <c r="AJ327" s="49"/>
      <c r="AK327" s="49"/>
      <c r="AL327" s="49"/>
      <c r="AM327" s="49"/>
      <c r="AN327" s="49"/>
      <c r="AO327" s="49"/>
      <c r="AP327" s="49"/>
      <c r="AQ327" s="49"/>
      <c r="AR327" s="49"/>
      <c r="AS327" s="49"/>
      <c r="AT327" s="49"/>
      <c r="AU327" s="49"/>
      <c r="AV327" s="49"/>
      <c r="AW327" s="49"/>
      <c r="AX327" s="49"/>
    </row>
    <row r="328">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c r="AA328" s="49"/>
      <c r="AB328" s="49"/>
      <c r="AC328" s="49"/>
      <c r="AD328" s="49"/>
      <c r="AE328" s="49"/>
      <c r="AF328" s="49"/>
      <c r="AG328" s="49"/>
      <c r="AH328" s="49"/>
      <c r="AI328" s="49"/>
      <c r="AJ328" s="49"/>
      <c r="AK328" s="49"/>
      <c r="AL328" s="49"/>
      <c r="AM328" s="49"/>
      <c r="AN328" s="49"/>
      <c r="AO328" s="49"/>
      <c r="AP328" s="49"/>
      <c r="AQ328" s="49"/>
      <c r="AR328" s="49"/>
      <c r="AS328" s="49"/>
      <c r="AT328" s="49"/>
      <c r="AU328" s="49"/>
      <c r="AV328" s="49"/>
      <c r="AW328" s="49"/>
      <c r="AX328" s="49"/>
    </row>
    <row r="329">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c r="AA329" s="49"/>
      <c r="AB329" s="49"/>
      <c r="AC329" s="49"/>
      <c r="AD329" s="49"/>
      <c r="AE329" s="49"/>
      <c r="AF329" s="49"/>
      <c r="AG329" s="49"/>
      <c r="AH329" s="49"/>
      <c r="AI329" s="49"/>
      <c r="AJ329" s="49"/>
      <c r="AK329" s="49"/>
      <c r="AL329" s="49"/>
      <c r="AM329" s="49"/>
      <c r="AN329" s="49"/>
      <c r="AO329" s="49"/>
      <c r="AP329" s="49"/>
      <c r="AQ329" s="49"/>
      <c r="AR329" s="49"/>
      <c r="AS329" s="49"/>
      <c r="AT329" s="49"/>
      <c r="AU329" s="49"/>
      <c r="AV329" s="49"/>
      <c r="AW329" s="49"/>
      <c r="AX329" s="49"/>
    </row>
    <row r="330">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c r="AA330" s="49"/>
      <c r="AB330" s="49"/>
      <c r="AC330" s="49"/>
      <c r="AD330" s="49"/>
      <c r="AE330" s="49"/>
      <c r="AF330" s="49"/>
      <c r="AG330" s="49"/>
      <c r="AH330" s="49"/>
      <c r="AI330" s="49"/>
      <c r="AJ330" s="49"/>
      <c r="AK330" s="49"/>
      <c r="AL330" s="49"/>
      <c r="AM330" s="49"/>
      <c r="AN330" s="49"/>
      <c r="AO330" s="49"/>
      <c r="AP330" s="49"/>
      <c r="AQ330" s="49"/>
      <c r="AR330" s="49"/>
      <c r="AS330" s="49"/>
      <c r="AT330" s="49"/>
      <c r="AU330" s="49"/>
      <c r="AV330" s="49"/>
      <c r="AW330" s="49"/>
      <c r="AX330" s="49"/>
    </row>
    <row r="331">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c r="AA331" s="49"/>
      <c r="AB331" s="49"/>
      <c r="AC331" s="49"/>
      <c r="AD331" s="49"/>
      <c r="AE331" s="49"/>
      <c r="AF331" s="49"/>
      <c r="AG331" s="49"/>
      <c r="AH331" s="49"/>
      <c r="AI331" s="49"/>
      <c r="AJ331" s="49"/>
      <c r="AK331" s="49"/>
      <c r="AL331" s="49"/>
      <c r="AM331" s="49"/>
      <c r="AN331" s="49"/>
      <c r="AO331" s="49"/>
      <c r="AP331" s="49"/>
      <c r="AQ331" s="49"/>
      <c r="AR331" s="49"/>
      <c r="AS331" s="49"/>
      <c r="AT331" s="49"/>
      <c r="AU331" s="49"/>
      <c r="AV331" s="49"/>
      <c r="AW331" s="49"/>
      <c r="AX331" s="49"/>
    </row>
    <row r="332">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c r="AA332" s="49"/>
      <c r="AB332" s="49"/>
      <c r="AC332" s="49"/>
      <c r="AD332" s="49"/>
      <c r="AE332" s="49"/>
      <c r="AF332" s="49"/>
      <c r="AG332" s="49"/>
      <c r="AH332" s="49"/>
      <c r="AI332" s="49"/>
      <c r="AJ332" s="49"/>
      <c r="AK332" s="49"/>
      <c r="AL332" s="49"/>
      <c r="AM332" s="49"/>
      <c r="AN332" s="49"/>
      <c r="AO332" s="49"/>
      <c r="AP332" s="49"/>
      <c r="AQ332" s="49"/>
      <c r="AR332" s="49"/>
      <c r="AS332" s="49"/>
      <c r="AT332" s="49"/>
      <c r="AU332" s="49"/>
      <c r="AV332" s="49"/>
      <c r="AW332" s="49"/>
      <c r="AX332" s="49"/>
    </row>
    <row r="333">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c r="AA333" s="49"/>
      <c r="AB333" s="49"/>
      <c r="AC333" s="49"/>
      <c r="AD333" s="49"/>
      <c r="AE333" s="49"/>
      <c r="AF333" s="49"/>
      <c r="AG333" s="49"/>
      <c r="AH333" s="49"/>
      <c r="AI333" s="49"/>
      <c r="AJ333" s="49"/>
      <c r="AK333" s="49"/>
      <c r="AL333" s="49"/>
      <c r="AM333" s="49"/>
      <c r="AN333" s="49"/>
      <c r="AO333" s="49"/>
      <c r="AP333" s="49"/>
      <c r="AQ333" s="49"/>
      <c r="AR333" s="49"/>
      <c r="AS333" s="49"/>
      <c r="AT333" s="49"/>
      <c r="AU333" s="49"/>
      <c r="AV333" s="49"/>
      <c r="AW333" s="49"/>
      <c r="AX333" s="49"/>
    </row>
    <row r="334">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c r="AA334" s="49"/>
      <c r="AB334" s="49"/>
      <c r="AC334" s="49"/>
      <c r="AD334" s="49"/>
      <c r="AE334" s="49"/>
      <c r="AF334" s="49"/>
      <c r="AG334" s="49"/>
      <c r="AH334" s="49"/>
      <c r="AI334" s="49"/>
      <c r="AJ334" s="49"/>
      <c r="AK334" s="49"/>
      <c r="AL334" s="49"/>
      <c r="AM334" s="49"/>
      <c r="AN334" s="49"/>
      <c r="AO334" s="49"/>
      <c r="AP334" s="49"/>
      <c r="AQ334" s="49"/>
      <c r="AR334" s="49"/>
      <c r="AS334" s="49"/>
      <c r="AT334" s="49"/>
      <c r="AU334" s="49"/>
      <c r="AV334" s="49"/>
      <c r="AW334" s="49"/>
      <c r="AX334" s="49"/>
    </row>
    <row r="33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c r="AA335" s="49"/>
      <c r="AB335" s="49"/>
      <c r="AC335" s="49"/>
      <c r="AD335" s="49"/>
      <c r="AE335" s="49"/>
      <c r="AF335" s="49"/>
      <c r="AG335" s="49"/>
      <c r="AH335" s="49"/>
      <c r="AI335" s="49"/>
      <c r="AJ335" s="49"/>
      <c r="AK335" s="49"/>
      <c r="AL335" s="49"/>
      <c r="AM335" s="49"/>
      <c r="AN335" s="49"/>
      <c r="AO335" s="49"/>
      <c r="AP335" s="49"/>
      <c r="AQ335" s="49"/>
      <c r="AR335" s="49"/>
      <c r="AS335" s="49"/>
      <c r="AT335" s="49"/>
      <c r="AU335" s="49"/>
      <c r="AV335" s="49"/>
      <c r="AW335" s="49"/>
      <c r="AX335" s="49"/>
    </row>
    <row r="336">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c r="AA336" s="49"/>
      <c r="AB336" s="49"/>
      <c r="AC336" s="49"/>
      <c r="AD336" s="49"/>
      <c r="AE336" s="49"/>
      <c r="AF336" s="49"/>
      <c r="AG336" s="49"/>
      <c r="AH336" s="49"/>
      <c r="AI336" s="49"/>
      <c r="AJ336" s="49"/>
      <c r="AK336" s="49"/>
      <c r="AL336" s="49"/>
      <c r="AM336" s="49"/>
      <c r="AN336" s="49"/>
      <c r="AO336" s="49"/>
      <c r="AP336" s="49"/>
      <c r="AQ336" s="49"/>
      <c r="AR336" s="49"/>
      <c r="AS336" s="49"/>
      <c r="AT336" s="49"/>
      <c r="AU336" s="49"/>
      <c r="AV336" s="49"/>
      <c r="AW336" s="49"/>
      <c r="AX336" s="49"/>
    </row>
    <row r="337">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c r="AA337" s="49"/>
      <c r="AB337" s="49"/>
      <c r="AC337" s="49"/>
      <c r="AD337" s="49"/>
      <c r="AE337" s="49"/>
      <c r="AF337" s="49"/>
      <c r="AG337" s="49"/>
      <c r="AH337" s="49"/>
      <c r="AI337" s="49"/>
      <c r="AJ337" s="49"/>
      <c r="AK337" s="49"/>
      <c r="AL337" s="49"/>
      <c r="AM337" s="49"/>
      <c r="AN337" s="49"/>
      <c r="AO337" s="49"/>
      <c r="AP337" s="49"/>
      <c r="AQ337" s="49"/>
      <c r="AR337" s="49"/>
      <c r="AS337" s="49"/>
      <c r="AT337" s="49"/>
      <c r="AU337" s="49"/>
      <c r="AV337" s="49"/>
      <c r="AW337" s="49"/>
      <c r="AX337" s="49"/>
    </row>
    <row r="338">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c r="AA338" s="49"/>
      <c r="AB338" s="49"/>
      <c r="AC338" s="49"/>
      <c r="AD338" s="49"/>
      <c r="AE338" s="49"/>
      <c r="AF338" s="49"/>
      <c r="AG338" s="49"/>
      <c r="AH338" s="49"/>
      <c r="AI338" s="49"/>
      <c r="AJ338" s="49"/>
      <c r="AK338" s="49"/>
      <c r="AL338" s="49"/>
      <c r="AM338" s="49"/>
      <c r="AN338" s="49"/>
      <c r="AO338" s="49"/>
      <c r="AP338" s="49"/>
      <c r="AQ338" s="49"/>
      <c r="AR338" s="49"/>
      <c r="AS338" s="49"/>
      <c r="AT338" s="49"/>
      <c r="AU338" s="49"/>
      <c r="AV338" s="49"/>
      <c r="AW338" s="49"/>
      <c r="AX338" s="49"/>
    </row>
    <row r="339">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c r="AA339" s="49"/>
      <c r="AB339" s="49"/>
      <c r="AC339" s="49"/>
      <c r="AD339" s="49"/>
      <c r="AE339" s="49"/>
      <c r="AF339" s="49"/>
      <c r="AG339" s="49"/>
      <c r="AH339" s="49"/>
      <c r="AI339" s="49"/>
      <c r="AJ339" s="49"/>
      <c r="AK339" s="49"/>
      <c r="AL339" s="49"/>
      <c r="AM339" s="49"/>
      <c r="AN339" s="49"/>
      <c r="AO339" s="49"/>
      <c r="AP339" s="49"/>
      <c r="AQ339" s="49"/>
      <c r="AR339" s="49"/>
      <c r="AS339" s="49"/>
      <c r="AT339" s="49"/>
      <c r="AU339" s="49"/>
      <c r="AV339" s="49"/>
      <c r="AW339" s="49"/>
      <c r="AX339" s="49"/>
    </row>
    <row r="340">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c r="AA340" s="49"/>
      <c r="AB340" s="49"/>
      <c r="AC340" s="49"/>
      <c r="AD340" s="49"/>
      <c r="AE340" s="49"/>
      <c r="AF340" s="49"/>
      <c r="AG340" s="49"/>
      <c r="AH340" s="49"/>
      <c r="AI340" s="49"/>
      <c r="AJ340" s="49"/>
      <c r="AK340" s="49"/>
      <c r="AL340" s="49"/>
      <c r="AM340" s="49"/>
      <c r="AN340" s="49"/>
      <c r="AO340" s="49"/>
      <c r="AP340" s="49"/>
      <c r="AQ340" s="49"/>
      <c r="AR340" s="49"/>
      <c r="AS340" s="49"/>
      <c r="AT340" s="49"/>
      <c r="AU340" s="49"/>
      <c r="AV340" s="49"/>
      <c r="AW340" s="49"/>
      <c r="AX340" s="49"/>
    </row>
    <row r="341">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c r="AA341" s="49"/>
      <c r="AB341" s="49"/>
      <c r="AC341" s="49"/>
      <c r="AD341" s="49"/>
      <c r="AE341" s="49"/>
      <c r="AF341" s="49"/>
      <c r="AG341" s="49"/>
      <c r="AH341" s="49"/>
      <c r="AI341" s="49"/>
      <c r="AJ341" s="49"/>
      <c r="AK341" s="49"/>
      <c r="AL341" s="49"/>
      <c r="AM341" s="49"/>
      <c r="AN341" s="49"/>
      <c r="AO341" s="49"/>
      <c r="AP341" s="49"/>
      <c r="AQ341" s="49"/>
      <c r="AR341" s="49"/>
      <c r="AS341" s="49"/>
      <c r="AT341" s="49"/>
      <c r="AU341" s="49"/>
      <c r="AV341" s="49"/>
      <c r="AW341" s="49"/>
      <c r="AX341" s="49"/>
    </row>
    <row r="342">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c r="AA342" s="49"/>
      <c r="AB342" s="49"/>
      <c r="AC342" s="49"/>
      <c r="AD342" s="49"/>
      <c r="AE342" s="49"/>
      <c r="AF342" s="49"/>
      <c r="AG342" s="49"/>
      <c r="AH342" s="49"/>
      <c r="AI342" s="49"/>
      <c r="AJ342" s="49"/>
      <c r="AK342" s="49"/>
      <c r="AL342" s="49"/>
      <c r="AM342" s="49"/>
      <c r="AN342" s="49"/>
      <c r="AO342" s="49"/>
      <c r="AP342" s="49"/>
      <c r="AQ342" s="49"/>
      <c r="AR342" s="49"/>
      <c r="AS342" s="49"/>
      <c r="AT342" s="49"/>
      <c r="AU342" s="49"/>
      <c r="AV342" s="49"/>
      <c r="AW342" s="49"/>
      <c r="AX342" s="49"/>
    </row>
    <row r="343">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c r="AA343" s="49"/>
      <c r="AB343" s="49"/>
      <c r="AC343" s="49"/>
      <c r="AD343" s="49"/>
      <c r="AE343" s="49"/>
      <c r="AF343" s="49"/>
      <c r="AG343" s="49"/>
      <c r="AH343" s="49"/>
      <c r="AI343" s="49"/>
      <c r="AJ343" s="49"/>
      <c r="AK343" s="49"/>
      <c r="AL343" s="49"/>
      <c r="AM343" s="49"/>
      <c r="AN343" s="49"/>
      <c r="AO343" s="49"/>
      <c r="AP343" s="49"/>
      <c r="AQ343" s="49"/>
      <c r="AR343" s="49"/>
      <c r="AS343" s="49"/>
      <c r="AT343" s="49"/>
      <c r="AU343" s="49"/>
      <c r="AV343" s="49"/>
      <c r="AW343" s="49"/>
      <c r="AX343" s="49"/>
    </row>
    <row r="344">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c r="AA344" s="49"/>
      <c r="AB344" s="49"/>
      <c r="AC344" s="49"/>
      <c r="AD344" s="49"/>
      <c r="AE344" s="49"/>
      <c r="AF344" s="49"/>
      <c r="AG344" s="49"/>
      <c r="AH344" s="49"/>
      <c r="AI344" s="49"/>
      <c r="AJ344" s="49"/>
      <c r="AK344" s="49"/>
      <c r="AL344" s="49"/>
      <c r="AM344" s="49"/>
      <c r="AN344" s="49"/>
      <c r="AO344" s="49"/>
      <c r="AP344" s="49"/>
      <c r="AQ344" s="49"/>
      <c r="AR344" s="49"/>
      <c r="AS344" s="49"/>
      <c r="AT344" s="49"/>
      <c r="AU344" s="49"/>
      <c r="AV344" s="49"/>
      <c r="AW344" s="49"/>
      <c r="AX344" s="49"/>
    </row>
    <row r="34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c r="AA345" s="49"/>
      <c r="AB345" s="49"/>
      <c r="AC345" s="49"/>
      <c r="AD345" s="49"/>
      <c r="AE345" s="49"/>
      <c r="AF345" s="49"/>
      <c r="AG345" s="49"/>
      <c r="AH345" s="49"/>
      <c r="AI345" s="49"/>
      <c r="AJ345" s="49"/>
      <c r="AK345" s="49"/>
      <c r="AL345" s="49"/>
      <c r="AM345" s="49"/>
      <c r="AN345" s="49"/>
      <c r="AO345" s="49"/>
      <c r="AP345" s="49"/>
      <c r="AQ345" s="49"/>
      <c r="AR345" s="49"/>
      <c r="AS345" s="49"/>
      <c r="AT345" s="49"/>
      <c r="AU345" s="49"/>
      <c r="AV345" s="49"/>
      <c r="AW345" s="49"/>
      <c r="AX345" s="49"/>
    </row>
    <row r="346">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c r="AA346" s="49"/>
      <c r="AB346" s="49"/>
      <c r="AC346" s="49"/>
      <c r="AD346" s="49"/>
      <c r="AE346" s="49"/>
      <c r="AF346" s="49"/>
      <c r="AG346" s="49"/>
      <c r="AH346" s="49"/>
      <c r="AI346" s="49"/>
      <c r="AJ346" s="49"/>
      <c r="AK346" s="49"/>
      <c r="AL346" s="49"/>
      <c r="AM346" s="49"/>
      <c r="AN346" s="49"/>
      <c r="AO346" s="49"/>
      <c r="AP346" s="49"/>
      <c r="AQ346" s="49"/>
      <c r="AR346" s="49"/>
      <c r="AS346" s="49"/>
      <c r="AT346" s="49"/>
      <c r="AU346" s="49"/>
      <c r="AV346" s="49"/>
      <c r="AW346" s="49"/>
      <c r="AX346" s="49"/>
    </row>
    <row r="347">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c r="AA347" s="49"/>
      <c r="AB347" s="49"/>
      <c r="AC347" s="49"/>
      <c r="AD347" s="49"/>
      <c r="AE347" s="49"/>
      <c r="AF347" s="49"/>
      <c r="AG347" s="49"/>
      <c r="AH347" s="49"/>
      <c r="AI347" s="49"/>
      <c r="AJ347" s="49"/>
      <c r="AK347" s="49"/>
      <c r="AL347" s="49"/>
      <c r="AM347" s="49"/>
      <c r="AN347" s="49"/>
      <c r="AO347" s="49"/>
      <c r="AP347" s="49"/>
      <c r="AQ347" s="49"/>
      <c r="AR347" s="49"/>
      <c r="AS347" s="49"/>
      <c r="AT347" s="49"/>
      <c r="AU347" s="49"/>
      <c r="AV347" s="49"/>
      <c r="AW347" s="49"/>
      <c r="AX347" s="49"/>
    </row>
    <row r="348">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c r="AA348" s="49"/>
      <c r="AB348" s="49"/>
      <c r="AC348" s="49"/>
      <c r="AD348" s="49"/>
      <c r="AE348" s="49"/>
      <c r="AF348" s="49"/>
      <c r="AG348" s="49"/>
      <c r="AH348" s="49"/>
      <c r="AI348" s="49"/>
      <c r="AJ348" s="49"/>
      <c r="AK348" s="49"/>
      <c r="AL348" s="49"/>
      <c r="AM348" s="49"/>
      <c r="AN348" s="49"/>
      <c r="AO348" s="49"/>
      <c r="AP348" s="49"/>
      <c r="AQ348" s="49"/>
      <c r="AR348" s="49"/>
      <c r="AS348" s="49"/>
      <c r="AT348" s="49"/>
      <c r="AU348" s="49"/>
      <c r="AV348" s="49"/>
      <c r="AW348" s="49"/>
      <c r="AX348" s="49"/>
    </row>
    <row r="349">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c r="AA349" s="49"/>
      <c r="AB349" s="49"/>
      <c r="AC349" s="49"/>
      <c r="AD349" s="49"/>
      <c r="AE349" s="49"/>
      <c r="AF349" s="49"/>
      <c r="AG349" s="49"/>
      <c r="AH349" s="49"/>
      <c r="AI349" s="49"/>
      <c r="AJ349" s="49"/>
      <c r="AK349" s="49"/>
      <c r="AL349" s="49"/>
      <c r="AM349" s="49"/>
      <c r="AN349" s="49"/>
      <c r="AO349" s="49"/>
      <c r="AP349" s="49"/>
      <c r="AQ349" s="49"/>
      <c r="AR349" s="49"/>
      <c r="AS349" s="49"/>
      <c r="AT349" s="49"/>
      <c r="AU349" s="49"/>
      <c r="AV349" s="49"/>
      <c r="AW349" s="49"/>
      <c r="AX349" s="49"/>
    </row>
    <row r="350">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c r="AA350" s="49"/>
      <c r="AB350" s="49"/>
      <c r="AC350" s="49"/>
      <c r="AD350" s="49"/>
      <c r="AE350" s="49"/>
      <c r="AF350" s="49"/>
      <c r="AG350" s="49"/>
      <c r="AH350" s="49"/>
      <c r="AI350" s="49"/>
      <c r="AJ350" s="49"/>
      <c r="AK350" s="49"/>
      <c r="AL350" s="49"/>
      <c r="AM350" s="49"/>
      <c r="AN350" s="49"/>
      <c r="AO350" s="49"/>
      <c r="AP350" s="49"/>
      <c r="AQ350" s="49"/>
      <c r="AR350" s="49"/>
      <c r="AS350" s="49"/>
      <c r="AT350" s="49"/>
      <c r="AU350" s="49"/>
      <c r="AV350" s="49"/>
      <c r="AW350" s="49"/>
      <c r="AX350" s="49"/>
    </row>
    <row r="351">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c r="AA351" s="49"/>
      <c r="AB351" s="49"/>
      <c r="AC351" s="49"/>
      <c r="AD351" s="49"/>
      <c r="AE351" s="49"/>
      <c r="AF351" s="49"/>
      <c r="AG351" s="49"/>
      <c r="AH351" s="49"/>
      <c r="AI351" s="49"/>
      <c r="AJ351" s="49"/>
      <c r="AK351" s="49"/>
      <c r="AL351" s="49"/>
      <c r="AM351" s="49"/>
      <c r="AN351" s="49"/>
      <c r="AO351" s="49"/>
      <c r="AP351" s="49"/>
      <c r="AQ351" s="49"/>
      <c r="AR351" s="49"/>
      <c r="AS351" s="49"/>
      <c r="AT351" s="49"/>
      <c r="AU351" s="49"/>
      <c r="AV351" s="49"/>
      <c r="AW351" s="49"/>
      <c r="AX351" s="49"/>
    </row>
    <row r="352">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c r="AA352" s="49"/>
      <c r="AB352" s="49"/>
      <c r="AC352" s="49"/>
      <c r="AD352" s="49"/>
      <c r="AE352" s="49"/>
      <c r="AF352" s="49"/>
      <c r="AG352" s="49"/>
      <c r="AH352" s="49"/>
      <c r="AI352" s="49"/>
      <c r="AJ352" s="49"/>
      <c r="AK352" s="49"/>
      <c r="AL352" s="49"/>
      <c r="AM352" s="49"/>
      <c r="AN352" s="49"/>
      <c r="AO352" s="49"/>
      <c r="AP352" s="49"/>
      <c r="AQ352" s="49"/>
      <c r="AR352" s="49"/>
      <c r="AS352" s="49"/>
      <c r="AT352" s="49"/>
      <c r="AU352" s="49"/>
      <c r="AV352" s="49"/>
      <c r="AW352" s="49"/>
      <c r="AX352" s="49"/>
    </row>
    <row r="353">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c r="AA353" s="49"/>
      <c r="AB353" s="49"/>
      <c r="AC353" s="49"/>
      <c r="AD353" s="49"/>
      <c r="AE353" s="49"/>
      <c r="AF353" s="49"/>
      <c r="AG353" s="49"/>
      <c r="AH353" s="49"/>
      <c r="AI353" s="49"/>
      <c r="AJ353" s="49"/>
      <c r="AK353" s="49"/>
      <c r="AL353" s="49"/>
      <c r="AM353" s="49"/>
      <c r="AN353" s="49"/>
      <c r="AO353" s="49"/>
      <c r="AP353" s="49"/>
      <c r="AQ353" s="49"/>
      <c r="AR353" s="49"/>
      <c r="AS353" s="49"/>
      <c r="AT353" s="49"/>
      <c r="AU353" s="49"/>
      <c r="AV353" s="49"/>
      <c r="AW353" s="49"/>
      <c r="AX353" s="49"/>
    </row>
    <row r="354">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c r="AA354" s="49"/>
      <c r="AB354" s="49"/>
      <c r="AC354" s="49"/>
      <c r="AD354" s="49"/>
      <c r="AE354" s="49"/>
      <c r="AF354" s="49"/>
      <c r="AG354" s="49"/>
      <c r="AH354" s="49"/>
      <c r="AI354" s="49"/>
      <c r="AJ354" s="49"/>
      <c r="AK354" s="49"/>
      <c r="AL354" s="49"/>
      <c r="AM354" s="49"/>
      <c r="AN354" s="49"/>
      <c r="AO354" s="49"/>
      <c r="AP354" s="49"/>
      <c r="AQ354" s="49"/>
      <c r="AR354" s="49"/>
      <c r="AS354" s="49"/>
      <c r="AT354" s="49"/>
      <c r="AU354" s="49"/>
      <c r="AV354" s="49"/>
      <c r="AW354" s="49"/>
      <c r="AX354" s="49"/>
    </row>
    <row r="35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c r="AA355" s="49"/>
      <c r="AB355" s="49"/>
      <c r="AC355" s="49"/>
      <c r="AD355" s="49"/>
      <c r="AE355" s="49"/>
      <c r="AF355" s="49"/>
      <c r="AG355" s="49"/>
      <c r="AH355" s="49"/>
      <c r="AI355" s="49"/>
      <c r="AJ355" s="49"/>
      <c r="AK355" s="49"/>
      <c r="AL355" s="49"/>
      <c r="AM355" s="49"/>
      <c r="AN355" s="49"/>
      <c r="AO355" s="49"/>
      <c r="AP355" s="49"/>
      <c r="AQ355" s="49"/>
      <c r="AR355" s="49"/>
      <c r="AS355" s="49"/>
      <c r="AT355" s="49"/>
      <c r="AU355" s="49"/>
      <c r="AV355" s="49"/>
      <c r="AW355" s="49"/>
      <c r="AX355" s="49"/>
    </row>
    <row r="356">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c r="AA356" s="49"/>
      <c r="AB356" s="49"/>
      <c r="AC356" s="49"/>
      <c r="AD356" s="49"/>
      <c r="AE356" s="49"/>
      <c r="AF356" s="49"/>
      <c r="AG356" s="49"/>
      <c r="AH356" s="49"/>
      <c r="AI356" s="49"/>
      <c r="AJ356" s="49"/>
      <c r="AK356" s="49"/>
      <c r="AL356" s="49"/>
      <c r="AM356" s="49"/>
      <c r="AN356" s="49"/>
      <c r="AO356" s="49"/>
      <c r="AP356" s="49"/>
      <c r="AQ356" s="49"/>
      <c r="AR356" s="49"/>
      <c r="AS356" s="49"/>
      <c r="AT356" s="49"/>
      <c r="AU356" s="49"/>
      <c r="AV356" s="49"/>
      <c r="AW356" s="49"/>
      <c r="AX356" s="49"/>
    </row>
    <row r="357">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c r="AA357" s="49"/>
      <c r="AB357" s="49"/>
      <c r="AC357" s="49"/>
      <c r="AD357" s="49"/>
      <c r="AE357" s="49"/>
      <c r="AF357" s="49"/>
      <c r="AG357" s="49"/>
      <c r="AH357" s="49"/>
      <c r="AI357" s="49"/>
      <c r="AJ357" s="49"/>
      <c r="AK357" s="49"/>
      <c r="AL357" s="49"/>
      <c r="AM357" s="49"/>
      <c r="AN357" s="49"/>
      <c r="AO357" s="49"/>
      <c r="AP357" s="49"/>
      <c r="AQ357" s="49"/>
      <c r="AR357" s="49"/>
      <c r="AS357" s="49"/>
      <c r="AT357" s="49"/>
      <c r="AU357" s="49"/>
      <c r="AV357" s="49"/>
      <c r="AW357" s="49"/>
      <c r="AX357" s="49"/>
    </row>
    <row r="358">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c r="AA358" s="49"/>
      <c r="AB358" s="49"/>
      <c r="AC358" s="49"/>
      <c r="AD358" s="49"/>
      <c r="AE358" s="49"/>
      <c r="AF358" s="49"/>
      <c r="AG358" s="49"/>
      <c r="AH358" s="49"/>
      <c r="AI358" s="49"/>
      <c r="AJ358" s="49"/>
      <c r="AK358" s="49"/>
      <c r="AL358" s="49"/>
      <c r="AM358" s="49"/>
      <c r="AN358" s="49"/>
      <c r="AO358" s="49"/>
      <c r="AP358" s="49"/>
      <c r="AQ358" s="49"/>
      <c r="AR358" s="49"/>
      <c r="AS358" s="49"/>
      <c r="AT358" s="49"/>
      <c r="AU358" s="49"/>
      <c r="AV358" s="49"/>
      <c r="AW358" s="49"/>
      <c r="AX358" s="49"/>
    </row>
    <row r="359">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c r="AA359" s="49"/>
      <c r="AB359" s="49"/>
      <c r="AC359" s="49"/>
      <c r="AD359" s="49"/>
      <c r="AE359" s="49"/>
      <c r="AF359" s="49"/>
      <c r="AG359" s="49"/>
      <c r="AH359" s="49"/>
      <c r="AI359" s="49"/>
      <c r="AJ359" s="49"/>
      <c r="AK359" s="49"/>
      <c r="AL359" s="49"/>
      <c r="AM359" s="49"/>
      <c r="AN359" s="49"/>
      <c r="AO359" s="49"/>
      <c r="AP359" s="49"/>
      <c r="AQ359" s="49"/>
      <c r="AR359" s="49"/>
      <c r="AS359" s="49"/>
      <c r="AT359" s="49"/>
      <c r="AU359" s="49"/>
      <c r="AV359" s="49"/>
      <c r="AW359" s="49"/>
      <c r="AX359" s="49"/>
    </row>
    <row r="360">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c r="AA360" s="49"/>
      <c r="AB360" s="49"/>
      <c r="AC360" s="49"/>
      <c r="AD360" s="49"/>
      <c r="AE360" s="49"/>
      <c r="AF360" s="49"/>
      <c r="AG360" s="49"/>
      <c r="AH360" s="49"/>
      <c r="AI360" s="49"/>
      <c r="AJ360" s="49"/>
      <c r="AK360" s="49"/>
      <c r="AL360" s="49"/>
      <c r="AM360" s="49"/>
      <c r="AN360" s="49"/>
      <c r="AO360" s="49"/>
      <c r="AP360" s="49"/>
      <c r="AQ360" s="49"/>
      <c r="AR360" s="49"/>
      <c r="AS360" s="49"/>
      <c r="AT360" s="49"/>
      <c r="AU360" s="49"/>
      <c r="AV360" s="49"/>
      <c r="AW360" s="49"/>
      <c r="AX360" s="49"/>
    </row>
    <row r="361">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c r="AA361" s="49"/>
      <c r="AB361" s="49"/>
      <c r="AC361" s="49"/>
      <c r="AD361" s="49"/>
      <c r="AE361" s="49"/>
      <c r="AF361" s="49"/>
      <c r="AG361" s="49"/>
      <c r="AH361" s="49"/>
      <c r="AI361" s="49"/>
      <c r="AJ361" s="49"/>
      <c r="AK361" s="49"/>
      <c r="AL361" s="49"/>
      <c r="AM361" s="49"/>
      <c r="AN361" s="49"/>
      <c r="AO361" s="49"/>
      <c r="AP361" s="49"/>
      <c r="AQ361" s="49"/>
      <c r="AR361" s="49"/>
      <c r="AS361" s="49"/>
      <c r="AT361" s="49"/>
      <c r="AU361" s="49"/>
      <c r="AV361" s="49"/>
      <c r="AW361" s="49"/>
      <c r="AX361" s="49"/>
    </row>
    <row r="362">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c r="AA362" s="49"/>
      <c r="AB362" s="49"/>
      <c r="AC362" s="49"/>
      <c r="AD362" s="49"/>
      <c r="AE362" s="49"/>
      <c r="AF362" s="49"/>
      <c r="AG362" s="49"/>
      <c r="AH362" s="49"/>
      <c r="AI362" s="49"/>
      <c r="AJ362" s="49"/>
      <c r="AK362" s="49"/>
      <c r="AL362" s="49"/>
      <c r="AM362" s="49"/>
      <c r="AN362" s="49"/>
      <c r="AO362" s="49"/>
      <c r="AP362" s="49"/>
      <c r="AQ362" s="49"/>
      <c r="AR362" s="49"/>
      <c r="AS362" s="49"/>
      <c r="AT362" s="49"/>
      <c r="AU362" s="49"/>
      <c r="AV362" s="49"/>
      <c r="AW362" s="49"/>
      <c r="AX362" s="49"/>
    </row>
    <row r="363">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c r="AA363" s="49"/>
      <c r="AB363" s="49"/>
      <c r="AC363" s="49"/>
      <c r="AD363" s="49"/>
      <c r="AE363" s="49"/>
      <c r="AF363" s="49"/>
      <c r="AG363" s="49"/>
      <c r="AH363" s="49"/>
      <c r="AI363" s="49"/>
      <c r="AJ363" s="49"/>
      <c r="AK363" s="49"/>
      <c r="AL363" s="49"/>
      <c r="AM363" s="49"/>
      <c r="AN363" s="49"/>
      <c r="AO363" s="49"/>
      <c r="AP363" s="49"/>
      <c r="AQ363" s="49"/>
      <c r="AR363" s="49"/>
      <c r="AS363" s="49"/>
      <c r="AT363" s="49"/>
      <c r="AU363" s="49"/>
      <c r="AV363" s="49"/>
      <c r="AW363" s="49"/>
      <c r="AX363" s="49"/>
    </row>
    <row r="364">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c r="AA364" s="49"/>
      <c r="AB364" s="49"/>
      <c r="AC364" s="49"/>
      <c r="AD364" s="49"/>
      <c r="AE364" s="49"/>
      <c r="AF364" s="49"/>
      <c r="AG364" s="49"/>
      <c r="AH364" s="49"/>
      <c r="AI364" s="49"/>
      <c r="AJ364" s="49"/>
      <c r="AK364" s="49"/>
      <c r="AL364" s="49"/>
      <c r="AM364" s="49"/>
      <c r="AN364" s="49"/>
      <c r="AO364" s="49"/>
      <c r="AP364" s="49"/>
      <c r="AQ364" s="49"/>
      <c r="AR364" s="49"/>
      <c r="AS364" s="49"/>
      <c r="AT364" s="49"/>
      <c r="AU364" s="49"/>
      <c r="AV364" s="49"/>
      <c r="AW364" s="49"/>
      <c r="AX364" s="49"/>
    </row>
    <row r="36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c r="AA365" s="49"/>
      <c r="AB365" s="49"/>
      <c r="AC365" s="49"/>
      <c r="AD365" s="49"/>
      <c r="AE365" s="49"/>
      <c r="AF365" s="49"/>
      <c r="AG365" s="49"/>
      <c r="AH365" s="49"/>
      <c r="AI365" s="49"/>
      <c r="AJ365" s="49"/>
      <c r="AK365" s="49"/>
      <c r="AL365" s="49"/>
      <c r="AM365" s="49"/>
      <c r="AN365" s="49"/>
      <c r="AO365" s="49"/>
      <c r="AP365" s="49"/>
      <c r="AQ365" s="49"/>
      <c r="AR365" s="49"/>
      <c r="AS365" s="49"/>
      <c r="AT365" s="49"/>
      <c r="AU365" s="49"/>
      <c r="AV365" s="49"/>
      <c r="AW365" s="49"/>
      <c r="AX365" s="49"/>
    </row>
    <row r="366">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c r="AA366" s="49"/>
      <c r="AB366" s="49"/>
      <c r="AC366" s="49"/>
      <c r="AD366" s="49"/>
      <c r="AE366" s="49"/>
      <c r="AF366" s="49"/>
      <c r="AG366" s="49"/>
      <c r="AH366" s="49"/>
      <c r="AI366" s="49"/>
      <c r="AJ366" s="49"/>
      <c r="AK366" s="49"/>
      <c r="AL366" s="49"/>
      <c r="AM366" s="49"/>
      <c r="AN366" s="49"/>
      <c r="AO366" s="49"/>
      <c r="AP366" s="49"/>
      <c r="AQ366" s="49"/>
      <c r="AR366" s="49"/>
      <c r="AS366" s="49"/>
      <c r="AT366" s="49"/>
      <c r="AU366" s="49"/>
      <c r="AV366" s="49"/>
      <c r="AW366" s="49"/>
      <c r="AX366" s="49"/>
    </row>
    <row r="367">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c r="AA367" s="49"/>
      <c r="AB367" s="49"/>
      <c r="AC367" s="49"/>
      <c r="AD367" s="49"/>
      <c r="AE367" s="49"/>
      <c r="AF367" s="49"/>
      <c r="AG367" s="49"/>
      <c r="AH367" s="49"/>
      <c r="AI367" s="49"/>
      <c r="AJ367" s="49"/>
      <c r="AK367" s="49"/>
      <c r="AL367" s="49"/>
      <c r="AM367" s="49"/>
      <c r="AN367" s="49"/>
      <c r="AO367" s="49"/>
      <c r="AP367" s="49"/>
      <c r="AQ367" s="49"/>
      <c r="AR367" s="49"/>
      <c r="AS367" s="49"/>
      <c r="AT367" s="49"/>
      <c r="AU367" s="49"/>
      <c r="AV367" s="49"/>
      <c r="AW367" s="49"/>
      <c r="AX367" s="49"/>
    </row>
    <row r="368">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c r="AA368" s="49"/>
      <c r="AB368" s="49"/>
      <c r="AC368" s="49"/>
      <c r="AD368" s="49"/>
      <c r="AE368" s="49"/>
      <c r="AF368" s="49"/>
      <c r="AG368" s="49"/>
      <c r="AH368" s="49"/>
      <c r="AI368" s="49"/>
      <c r="AJ368" s="49"/>
      <c r="AK368" s="49"/>
      <c r="AL368" s="49"/>
      <c r="AM368" s="49"/>
      <c r="AN368" s="49"/>
      <c r="AO368" s="49"/>
      <c r="AP368" s="49"/>
      <c r="AQ368" s="49"/>
      <c r="AR368" s="49"/>
      <c r="AS368" s="49"/>
      <c r="AT368" s="49"/>
      <c r="AU368" s="49"/>
      <c r="AV368" s="49"/>
      <c r="AW368" s="49"/>
      <c r="AX368" s="49"/>
    </row>
    <row r="369">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c r="AA369" s="49"/>
      <c r="AB369" s="49"/>
      <c r="AC369" s="49"/>
      <c r="AD369" s="49"/>
      <c r="AE369" s="49"/>
      <c r="AF369" s="49"/>
      <c r="AG369" s="49"/>
      <c r="AH369" s="49"/>
      <c r="AI369" s="49"/>
      <c r="AJ369" s="49"/>
      <c r="AK369" s="49"/>
      <c r="AL369" s="49"/>
      <c r="AM369" s="49"/>
      <c r="AN369" s="49"/>
      <c r="AO369" s="49"/>
      <c r="AP369" s="49"/>
      <c r="AQ369" s="49"/>
      <c r="AR369" s="49"/>
      <c r="AS369" s="49"/>
      <c r="AT369" s="49"/>
      <c r="AU369" s="49"/>
      <c r="AV369" s="49"/>
      <c r="AW369" s="49"/>
      <c r="AX369" s="49"/>
    </row>
    <row r="370">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c r="AA370" s="49"/>
      <c r="AB370" s="49"/>
      <c r="AC370" s="49"/>
      <c r="AD370" s="49"/>
      <c r="AE370" s="49"/>
      <c r="AF370" s="49"/>
      <c r="AG370" s="49"/>
      <c r="AH370" s="49"/>
      <c r="AI370" s="49"/>
      <c r="AJ370" s="49"/>
      <c r="AK370" s="49"/>
      <c r="AL370" s="49"/>
      <c r="AM370" s="49"/>
      <c r="AN370" s="49"/>
      <c r="AO370" s="49"/>
      <c r="AP370" s="49"/>
      <c r="AQ370" s="49"/>
      <c r="AR370" s="49"/>
      <c r="AS370" s="49"/>
      <c r="AT370" s="49"/>
      <c r="AU370" s="49"/>
      <c r="AV370" s="49"/>
      <c r="AW370" s="49"/>
      <c r="AX370" s="49"/>
    </row>
    <row r="371">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c r="AA371" s="49"/>
      <c r="AB371" s="49"/>
      <c r="AC371" s="49"/>
      <c r="AD371" s="49"/>
      <c r="AE371" s="49"/>
      <c r="AF371" s="49"/>
      <c r="AG371" s="49"/>
      <c r="AH371" s="49"/>
      <c r="AI371" s="49"/>
      <c r="AJ371" s="49"/>
      <c r="AK371" s="49"/>
      <c r="AL371" s="49"/>
      <c r="AM371" s="49"/>
      <c r="AN371" s="49"/>
      <c r="AO371" s="49"/>
      <c r="AP371" s="49"/>
      <c r="AQ371" s="49"/>
      <c r="AR371" s="49"/>
      <c r="AS371" s="49"/>
      <c r="AT371" s="49"/>
      <c r="AU371" s="49"/>
      <c r="AV371" s="49"/>
      <c r="AW371" s="49"/>
      <c r="AX371" s="49"/>
    </row>
    <row r="372">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c r="AA372" s="49"/>
      <c r="AB372" s="49"/>
      <c r="AC372" s="49"/>
      <c r="AD372" s="49"/>
      <c r="AE372" s="49"/>
      <c r="AF372" s="49"/>
      <c r="AG372" s="49"/>
      <c r="AH372" s="49"/>
      <c r="AI372" s="49"/>
      <c r="AJ372" s="49"/>
      <c r="AK372" s="49"/>
      <c r="AL372" s="49"/>
      <c r="AM372" s="49"/>
      <c r="AN372" s="49"/>
      <c r="AO372" s="49"/>
      <c r="AP372" s="49"/>
      <c r="AQ372" s="49"/>
      <c r="AR372" s="49"/>
      <c r="AS372" s="49"/>
      <c r="AT372" s="49"/>
      <c r="AU372" s="49"/>
      <c r="AV372" s="49"/>
      <c r="AW372" s="49"/>
      <c r="AX372" s="49"/>
    </row>
    <row r="373">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c r="AA373" s="49"/>
      <c r="AB373" s="49"/>
      <c r="AC373" s="49"/>
      <c r="AD373" s="49"/>
      <c r="AE373" s="49"/>
      <c r="AF373" s="49"/>
      <c r="AG373" s="49"/>
      <c r="AH373" s="49"/>
      <c r="AI373" s="49"/>
      <c r="AJ373" s="49"/>
      <c r="AK373" s="49"/>
      <c r="AL373" s="49"/>
      <c r="AM373" s="49"/>
      <c r="AN373" s="49"/>
      <c r="AO373" s="49"/>
      <c r="AP373" s="49"/>
      <c r="AQ373" s="49"/>
      <c r="AR373" s="49"/>
      <c r="AS373" s="49"/>
      <c r="AT373" s="49"/>
      <c r="AU373" s="49"/>
      <c r="AV373" s="49"/>
      <c r="AW373" s="49"/>
      <c r="AX373" s="49"/>
    </row>
    <row r="374">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c r="AA374" s="49"/>
      <c r="AB374" s="49"/>
      <c r="AC374" s="49"/>
      <c r="AD374" s="49"/>
      <c r="AE374" s="49"/>
      <c r="AF374" s="49"/>
      <c r="AG374" s="49"/>
      <c r="AH374" s="49"/>
      <c r="AI374" s="49"/>
      <c r="AJ374" s="49"/>
      <c r="AK374" s="49"/>
      <c r="AL374" s="49"/>
      <c r="AM374" s="49"/>
      <c r="AN374" s="49"/>
      <c r="AO374" s="49"/>
      <c r="AP374" s="49"/>
      <c r="AQ374" s="49"/>
      <c r="AR374" s="49"/>
      <c r="AS374" s="49"/>
      <c r="AT374" s="49"/>
      <c r="AU374" s="49"/>
      <c r="AV374" s="49"/>
      <c r="AW374" s="49"/>
      <c r="AX374" s="49"/>
    </row>
    <row r="37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c r="AA375" s="49"/>
      <c r="AB375" s="49"/>
      <c r="AC375" s="49"/>
      <c r="AD375" s="49"/>
      <c r="AE375" s="49"/>
      <c r="AF375" s="49"/>
      <c r="AG375" s="49"/>
      <c r="AH375" s="49"/>
      <c r="AI375" s="49"/>
      <c r="AJ375" s="49"/>
      <c r="AK375" s="49"/>
      <c r="AL375" s="49"/>
      <c r="AM375" s="49"/>
      <c r="AN375" s="49"/>
      <c r="AO375" s="49"/>
      <c r="AP375" s="49"/>
      <c r="AQ375" s="49"/>
      <c r="AR375" s="49"/>
      <c r="AS375" s="49"/>
      <c r="AT375" s="49"/>
      <c r="AU375" s="49"/>
      <c r="AV375" s="49"/>
      <c r="AW375" s="49"/>
      <c r="AX375" s="49"/>
    </row>
    <row r="376">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c r="AA376" s="49"/>
      <c r="AB376" s="49"/>
      <c r="AC376" s="49"/>
      <c r="AD376" s="49"/>
      <c r="AE376" s="49"/>
      <c r="AF376" s="49"/>
      <c r="AG376" s="49"/>
      <c r="AH376" s="49"/>
      <c r="AI376" s="49"/>
      <c r="AJ376" s="49"/>
      <c r="AK376" s="49"/>
      <c r="AL376" s="49"/>
      <c r="AM376" s="49"/>
      <c r="AN376" s="49"/>
      <c r="AO376" s="49"/>
      <c r="AP376" s="49"/>
      <c r="AQ376" s="49"/>
      <c r="AR376" s="49"/>
      <c r="AS376" s="49"/>
      <c r="AT376" s="49"/>
      <c r="AU376" s="49"/>
      <c r="AV376" s="49"/>
      <c r="AW376" s="49"/>
      <c r="AX376" s="49"/>
    </row>
    <row r="377">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c r="AA377" s="49"/>
      <c r="AB377" s="49"/>
      <c r="AC377" s="49"/>
      <c r="AD377" s="49"/>
      <c r="AE377" s="49"/>
      <c r="AF377" s="49"/>
      <c r="AG377" s="49"/>
      <c r="AH377" s="49"/>
      <c r="AI377" s="49"/>
      <c r="AJ377" s="49"/>
      <c r="AK377" s="49"/>
      <c r="AL377" s="49"/>
      <c r="AM377" s="49"/>
      <c r="AN377" s="49"/>
      <c r="AO377" s="49"/>
      <c r="AP377" s="49"/>
      <c r="AQ377" s="49"/>
      <c r="AR377" s="49"/>
      <c r="AS377" s="49"/>
      <c r="AT377" s="49"/>
      <c r="AU377" s="49"/>
      <c r="AV377" s="49"/>
      <c r="AW377" s="49"/>
      <c r="AX377" s="49"/>
    </row>
    <row r="378">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c r="AA378" s="49"/>
      <c r="AB378" s="49"/>
      <c r="AC378" s="49"/>
      <c r="AD378" s="49"/>
      <c r="AE378" s="49"/>
      <c r="AF378" s="49"/>
      <c r="AG378" s="49"/>
      <c r="AH378" s="49"/>
      <c r="AI378" s="49"/>
      <c r="AJ378" s="49"/>
      <c r="AK378" s="49"/>
      <c r="AL378" s="49"/>
      <c r="AM378" s="49"/>
      <c r="AN378" s="49"/>
      <c r="AO378" s="49"/>
      <c r="AP378" s="49"/>
      <c r="AQ378" s="49"/>
      <c r="AR378" s="49"/>
      <c r="AS378" s="49"/>
      <c r="AT378" s="49"/>
      <c r="AU378" s="49"/>
      <c r="AV378" s="49"/>
      <c r="AW378" s="49"/>
      <c r="AX378" s="49"/>
    </row>
    <row r="379">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c r="AA379" s="49"/>
      <c r="AB379" s="49"/>
      <c r="AC379" s="49"/>
      <c r="AD379" s="49"/>
      <c r="AE379" s="49"/>
      <c r="AF379" s="49"/>
      <c r="AG379" s="49"/>
      <c r="AH379" s="49"/>
      <c r="AI379" s="49"/>
      <c r="AJ379" s="49"/>
      <c r="AK379" s="49"/>
      <c r="AL379" s="49"/>
      <c r="AM379" s="49"/>
      <c r="AN379" s="49"/>
      <c r="AO379" s="49"/>
      <c r="AP379" s="49"/>
      <c r="AQ379" s="49"/>
      <c r="AR379" s="49"/>
      <c r="AS379" s="49"/>
      <c r="AT379" s="49"/>
      <c r="AU379" s="49"/>
      <c r="AV379" s="49"/>
      <c r="AW379" s="49"/>
      <c r="AX379" s="49"/>
    </row>
    <row r="380">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c r="AA380" s="49"/>
      <c r="AB380" s="49"/>
      <c r="AC380" s="49"/>
      <c r="AD380" s="49"/>
      <c r="AE380" s="49"/>
      <c r="AF380" s="49"/>
      <c r="AG380" s="49"/>
      <c r="AH380" s="49"/>
      <c r="AI380" s="49"/>
      <c r="AJ380" s="49"/>
      <c r="AK380" s="49"/>
      <c r="AL380" s="49"/>
      <c r="AM380" s="49"/>
      <c r="AN380" s="49"/>
      <c r="AO380" s="49"/>
      <c r="AP380" s="49"/>
      <c r="AQ380" s="49"/>
      <c r="AR380" s="49"/>
      <c r="AS380" s="49"/>
      <c r="AT380" s="49"/>
      <c r="AU380" s="49"/>
      <c r="AV380" s="49"/>
      <c r="AW380" s="49"/>
      <c r="AX380" s="49"/>
    </row>
    <row r="381">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c r="AA381" s="49"/>
      <c r="AB381" s="49"/>
      <c r="AC381" s="49"/>
      <c r="AD381" s="49"/>
      <c r="AE381" s="49"/>
      <c r="AF381" s="49"/>
      <c r="AG381" s="49"/>
      <c r="AH381" s="49"/>
      <c r="AI381" s="49"/>
      <c r="AJ381" s="49"/>
      <c r="AK381" s="49"/>
      <c r="AL381" s="49"/>
      <c r="AM381" s="49"/>
      <c r="AN381" s="49"/>
      <c r="AO381" s="49"/>
      <c r="AP381" s="49"/>
      <c r="AQ381" s="49"/>
      <c r="AR381" s="49"/>
      <c r="AS381" s="49"/>
      <c r="AT381" s="49"/>
      <c r="AU381" s="49"/>
      <c r="AV381" s="49"/>
      <c r="AW381" s="49"/>
      <c r="AX381" s="49"/>
    </row>
    <row r="382">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c r="AA382" s="49"/>
      <c r="AB382" s="49"/>
      <c r="AC382" s="49"/>
      <c r="AD382" s="49"/>
      <c r="AE382" s="49"/>
      <c r="AF382" s="49"/>
      <c r="AG382" s="49"/>
      <c r="AH382" s="49"/>
      <c r="AI382" s="49"/>
      <c r="AJ382" s="49"/>
      <c r="AK382" s="49"/>
      <c r="AL382" s="49"/>
      <c r="AM382" s="49"/>
      <c r="AN382" s="49"/>
      <c r="AO382" s="49"/>
      <c r="AP382" s="49"/>
      <c r="AQ382" s="49"/>
      <c r="AR382" s="49"/>
      <c r="AS382" s="49"/>
      <c r="AT382" s="49"/>
      <c r="AU382" s="49"/>
      <c r="AV382" s="49"/>
      <c r="AW382" s="49"/>
      <c r="AX382" s="49"/>
    </row>
    <row r="383">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c r="AA383" s="49"/>
      <c r="AB383" s="49"/>
      <c r="AC383" s="49"/>
      <c r="AD383" s="49"/>
      <c r="AE383" s="49"/>
      <c r="AF383" s="49"/>
      <c r="AG383" s="49"/>
      <c r="AH383" s="49"/>
      <c r="AI383" s="49"/>
      <c r="AJ383" s="49"/>
      <c r="AK383" s="49"/>
      <c r="AL383" s="49"/>
      <c r="AM383" s="49"/>
      <c r="AN383" s="49"/>
      <c r="AO383" s="49"/>
      <c r="AP383" s="49"/>
      <c r="AQ383" s="49"/>
      <c r="AR383" s="49"/>
      <c r="AS383" s="49"/>
      <c r="AT383" s="49"/>
      <c r="AU383" s="49"/>
      <c r="AV383" s="49"/>
      <c r="AW383" s="49"/>
      <c r="AX383" s="49"/>
    </row>
    <row r="384">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c r="AA384" s="49"/>
      <c r="AB384" s="49"/>
      <c r="AC384" s="49"/>
      <c r="AD384" s="49"/>
      <c r="AE384" s="49"/>
      <c r="AF384" s="49"/>
      <c r="AG384" s="49"/>
      <c r="AH384" s="49"/>
      <c r="AI384" s="49"/>
      <c r="AJ384" s="49"/>
      <c r="AK384" s="49"/>
      <c r="AL384" s="49"/>
      <c r="AM384" s="49"/>
      <c r="AN384" s="49"/>
      <c r="AO384" s="49"/>
      <c r="AP384" s="49"/>
      <c r="AQ384" s="49"/>
      <c r="AR384" s="49"/>
      <c r="AS384" s="49"/>
      <c r="AT384" s="49"/>
      <c r="AU384" s="49"/>
      <c r="AV384" s="49"/>
      <c r="AW384" s="49"/>
      <c r="AX384" s="49"/>
    </row>
    <row r="38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c r="AA385" s="49"/>
      <c r="AB385" s="49"/>
      <c r="AC385" s="49"/>
      <c r="AD385" s="49"/>
      <c r="AE385" s="49"/>
      <c r="AF385" s="49"/>
      <c r="AG385" s="49"/>
      <c r="AH385" s="49"/>
      <c r="AI385" s="49"/>
      <c r="AJ385" s="49"/>
      <c r="AK385" s="49"/>
      <c r="AL385" s="49"/>
      <c r="AM385" s="49"/>
      <c r="AN385" s="49"/>
      <c r="AO385" s="49"/>
      <c r="AP385" s="49"/>
      <c r="AQ385" s="49"/>
      <c r="AR385" s="49"/>
      <c r="AS385" s="49"/>
      <c r="AT385" s="49"/>
      <c r="AU385" s="49"/>
      <c r="AV385" s="49"/>
      <c r="AW385" s="49"/>
      <c r="AX385" s="49"/>
    </row>
    <row r="386">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c r="AA386" s="49"/>
      <c r="AB386" s="49"/>
      <c r="AC386" s="49"/>
      <c r="AD386" s="49"/>
      <c r="AE386" s="49"/>
      <c r="AF386" s="49"/>
      <c r="AG386" s="49"/>
      <c r="AH386" s="49"/>
      <c r="AI386" s="49"/>
      <c r="AJ386" s="49"/>
      <c r="AK386" s="49"/>
      <c r="AL386" s="49"/>
      <c r="AM386" s="49"/>
      <c r="AN386" s="49"/>
      <c r="AO386" s="49"/>
      <c r="AP386" s="49"/>
      <c r="AQ386" s="49"/>
      <c r="AR386" s="49"/>
      <c r="AS386" s="49"/>
      <c r="AT386" s="49"/>
      <c r="AU386" s="49"/>
      <c r="AV386" s="49"/>
      <c r="AW386" s="49"/>
      <c r="AX386" s="49"/>
    </row>
    <row r="387">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c r="AA387" s="49"/>
      <c r="AB387" s="49"/>
      <c r="AC387" s="49"/>
      <c r="AD387" s="49"/>
      <c r="AE387" s="49"/>
      <c r="AF387" s="49"/>
      <c r="AG387" s="49"/>
      <c r="AH387" s="49"/>
      <c r="AI387" s="49"/>
      <c r="AJ387" s="49"/>
      <c r="AK387" s="49"/>
      <c r="AL387" s="49"/>
      <c r="AM387" s="49"/>
      <c r="AN387" s="49"/>
      <c r="AO387" s="49"/>
      <c r="AP387" s="49"/>
      <c r="AQ387" s="49"/>
      <c r="AR387" s="49"/>
      <c r="AS387" s="49"/>
      <c r="AT387" s="49"/>
      <c r="AU387" s="49"/>
      <c r="AV387" s="49"/>
      <c r="AW387" s="49"/>
      <c r="AX387" s="49"/>
    </row>
    <row r="388">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c r="AA388" s="49"/>
      <c r="AB388" s="49"/>
      <c r="AC388" s="49"/>
      <c r="AD388" s="49"/>
      <c r="AE388" s="49"/>
      <c r="AF388" s="49"/>
      <c r="AG388" s="49"/>
      <c r="AH388" s="49"/>
      <c r="AI388" s="49"/>
      <c r="AJ388" s="49"/>
      <c r="AK388" s="49"/>
      <c r="AL388" s="49"/>
      <c r="AM388" s="49"/>
      <c r="AN388" s="49"/>
      <c r="AO388" s="49"/>
      <c r="AP388" s="49"/>
      <c r="AQ388" s="49"/>
      <c r="AR388" s="49"/>
      <c r="AS388" s="49"/>
      <c r="AT388" s="49"/>
      <c r="AU388" s="49"/>
      <c r="AV388" s="49"/>
      <c r="AW388" s="49"/>
      <c r="AX388" s="49"/>
    </row>
    <row r="389">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c r="AA389" s="49"/>
      <c r="AB389" s="49"/>
      <c r="AC389" s="49"/>
      <c r="AD389" s="49"/>
      <c r="AE389" s="49"/>
      <c r="AF389" s="49"/>
      <c r="AG389" s="49"/>
      <c r="AH389" s="49"/>
      <c r="AI389" s="49"/>
      <c r="AJ389" s="49"/>
      <c r="AK389" s="49"/>
      <c r="AL389" s="49"/>
      <c r="AM389" s="49"/>
      <c r="AN389" s="49"/>
      <c r="AO389" s="49"/>
      <c r="AP389" s="49"/>
      <c r="AQ389" s="49"/>
      <c r="AR389" s="49"/>
      <c r="AS389" s="49"/>
      <c r="AT389" s="49"/>
      <c r="AU389" s="49"/>
      <c r="AV389" s="49"/>
      <c r="AW389" s="49"/>
      <c r="AX389" s="49"/>
    </row>
    <row r="390">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c r="AA390" s="49"/>
      <c r="AB390" s="49"/>
      <c r="AC390" s="49"/>
      <c r="AD390" s="49"/>
      <c r="AE390" s="49"/>
      <c r="AF390" s="49"/>
      <c r="AG390" s="49"/>
      <c r="AH390" s="49"/>
      <c r="AI390" s="49"/>
      <c r="AJ390" s="49"/>
      <c r="AK390" s="49"/>
      <c r="AL390" s="49"/>
      <c r="AM390" s="49"/>
      <c r="AN390" s="49"/>
      <c r="AO390" s="49"/>
      <c r="AP390" s="49"/>
      <c r="AQ390" s="49"/>
      <c r="AR390" s="49"/>
      <c r="AS390" s="49"/>
      <c r="AT390" s="49"/>
      <c r="AU390" s="49"/>
      <c r="AV390" s="49"/>
      <c r="AW390" s="49"/>
      <c r="AX390" s="49"/>
    </row>
    <row r="391">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c r="AA391" s="49"/>
      <c r="AB391" s="49"/>
      <c r="AC391" s="49"/>
      <c r="AD391" s="49"/>
      <c r="AE391" s="49"/>
      <c r="AF391" s="49"/>
      <c r="AG391" s="49"/>
      <c r="AH391" s="49"/>
      <c r="AI391" s="49"/>
      <c r="AJ391" s="49"/>
      <c r="AK391" s="49"/>
      <c r="AL391" s="49"/>
      <c r="AM391" s="49"/>
      <c r="AN391" s="49"/>
      <c r="AO391" s="49"/>
      <c r="AP391" s="49"/>
      <c r="AQ391" s="49"/>
      <c r="AR391" s="49"/>
      <c r="AS391" s="49"/>
      <c r="AT391" s="49"/>
      <c r="AU391" s="49"/>
      <c r="AV391" s="49"/>
      <c r="AW391" s="49"/>
      <c r="AX391" s="49"/>
    </row>
    <row r="392">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c r="AA392" s="49"/>
      <c r="AB392" s="49"/>
      <c r="AC392" s="49"/>
      <c r="AD392" s="49"/>
      <c r="AE392" s="49"/>
      <c r="AF392" s="49"/>
      <c r="AG392" s="49"/>
      <c r="AH392" s="49"/>
      <c r="AI392" s="49"/>
      <c r="AJ392" s="49"/>
      <c r="AK392" s="49"/>
      <c r="AL392" s="49"/>
      <c r="AM392" s="49"/>
      <c r="AN392" s="49"/>
      <c r="AO392" s="49"/>
      <c r="AP392" s="49"/>
      <c r="AQ392" s="49"/>
      <c r="AR392" s="49"/>
      <c r="AS392" s="49"/>
      <c r="AT392" s="49"/>
      <c r="AU392" s="49"/>
      <c r="AV392" s="49"/>
      <c r="AW392" s="49"/>
      <c r="AX392" s="49"/>
    </row>
    <row r="393">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c r="AA393" s="49"/>
      <c r="AB393" s="49"/>
      <c r="AC393" s="49"/>
      <c r="AD393" s="49"/>
      <c r="AE393" s="49"/>
      <c r="AF393" s="49"/>
      <c r="AG393" s="49"/>
      <c r="AH393" s="49"/>
      <c r="AI393" s="49"/>
      <c r="AJ393" s="49"/>
      <c r="AK393" s="49"/>
      <c r="AL393" s="49"/>
      <c r="AM393" s="49"/>
      <c r="AN393" s="49"/>
      <c r="AO393" s="49"/>
      <c r="AP393" s="49"/>
      <c r="AQ393" s="49"/>
      <c r="AR393" s="49"/>
      <c r="AS393" s="49"/>
      <c r="AT393" s="49"/>
      <c r="AU393" s="49"/>
      <c r="AV393" s="49"/>
      <c r="AW393" s="49"/>
      <c r="AX393" s="49"/>
    </row>
    <row r="394">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c r="AA394" s="49"/>
      <c r="AB394" s="49"/>
      <c r="AC394" s="49"/>
      <c r="AD394" s="49"/>
      <c r="AE394" s="49"/>
      <c r="AF394" s="49"/>
      <c r="AG394" s="49"/>
      <c r="AH394" s="49"/>
      <c r="AI394" s="49"/>
      <c r="AJ394" s="49"/>
      <c r="AK394" s="49"/>
      <c r="AL394" s="49"/>
      <c r="AM394" s="49"/>
      <c r="AN394" s="49"/>
      <c r="AO394" s="49"/>
      <c r="AP394" s="49"/>
      <c r="AQ394" s="49"/>
      <c r="AR394" s="49"/>
      <c r="AS394" s="49"/>
      <c r="AT394" s="49"/>
      <c r="AU394" s="49"/>
      <c r="AV394" s="49"/>
      <c r="AW394" s="49"/>
      <c r="AX394" s="49"/>
    </row>
    <row r="39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c r="AA395" s="49"/>
      <c r="AB395" s="49"/>
      <c r="AC395" s="49"/>
      <c r="AD395" s="49"/>
      <c r="AE395" s="49"/>
      <c r="AF395" s="49"/>
      <c r="AG395" s="49"/>
      <c r="AH395" s="49"/>
      <c r="AI395" s="49"/>
      <c r="AJ395" s="49"/>
      <c r="AK395" s="49"/>
      <c r="AL395" s="49"/>
      <c r="AM395" s="49"/>
      <c r="AN395" s="49"/>
      <c r="AO395" s="49"/>
      <c r="AP395" s="49"/>
      <c r="AQ395" s="49"/>
      <c r="AR395" s="49"/>
      <c r="AS395" s="49"/>
      <c r="AT395" s="49"/>
      <c r="AU395" s="49"/>
      <c r="AV395" s="49"/>
      <c r="AW395" s="49"/>
      <c r="AX395" s="49"/>
    </row>
    <row r="396">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c r="AA396" s="49"/>
      <c r="AB396" s="49"/>
      <c r="AC396" s="49"/>
      <c r="AD396" s="49"/>
      <c r="AE396" s="49"/>
      <c r="AF396" s="49"/>
      <c r="AG396" s="49"/>
      <c r="AH396" s="49"/>
      <c r="AI396" s="49"/>
      <c r="AJ396" s="49"/>
      <c r="AK396" s="49"/>
      <c r="AL396" s="49"/>
      <c r="AM396" s="49"/>
      <c r="AN396" s="49"/>
      <c r="AO396" s="49"/>
      <c r="AP396" s="49"/>
      <c r="AQ396" s="49"/>
      <c r="AR396" s="49"/>
      <c r="AS396" s="49"/>
      <c r="AT396" s="49"/>
      <c r="AU396" s="49"/>
      <c r="AV396" s="49"/>
      <c r="AW396" s="49"/>
      <c r="AX396" s="49"/>
    </row>
    <row r="397">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c r="AA397" s="49"/>
      <c r="AB397" s="49"/>
      <c r="AC397" s="49"/>
      <c r="AD397" s="49"/>
      <c r="AE397" s="49"/>
      <c r="AF397" s="49"/>
      <c r="AG397" s="49"/>
      <c r="AH397" s="49"/>
      <c r="AI397" s="49"/>
      <c r="AJ397" s="49"/>
      <c r="AK397" s="49"/>
      <c r="AL397" s="49"/>
      <c r="AM397" s="49"/>
      <c r="AN397" s="49"/>
      <c r="AO397" s="49"/>
      <c r="AP397" s="49"/>
      <c r="AQ397" s="49"/>
      <c r="AR397" s="49"/>
      <c r="AS397" s="49"/>
      <c r="AT397" s="49"/>
      <c r="AU397" s="49"/>
      <c r="AV397" s="49"/>
      <c r="AW397" s="49"/>
      <c r="AX397" s="49"/>
    </row>
    <row r="398">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c r="AA398" s="49"/>
      <c r="AB398" s="49"/>
      <c r="AC398" s="49"/>
      <c r="AD398" s="49"/>
      <c r="AE398" s="49"/>
      <c r="AF398" s="49"/>
      <c r="AG398" s="49"/>
      <c r="AH398" s="49"/>
      <c r="AI398" s="49"/>
      <c r="AJ398" s="49"/>
      <c r="AK398" s="49"/>
      <c r="AL398" s="49"/>
      <c r="AM398" s="49"/>
      <c r="AN398" s="49"/>
      <c r="AO398" s="49"/>
      <c r="AP398" s="49"/>
      <c r="AQ398" s="49"/>
      <c r="AR398" s="49"/>
      <c r="AS398" s="49"/>
      <c r="AT398" s="49"/>
      <c r="AU398" s="49"/>
      <c r="AV398" s="49"/>
      <c r="AW398" s="49"/>
      <c r="AX398" s="49"/>
    </row>
    <row r="399">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c r="AA399" s="49"/>
      <c r="AB399" s="49"/>
      <c r="AC399" s="49"/>
      <c r="AD399" s="49"/>
      <c r="AE399" s="49"/>
      <c r="AF399" s="49"/>
      <c r="AG399" s="49"/>
      <c r="AH399" s="49"/>
      <c r="AI399" s="49"/>
      <c r="AJ399" s="49"/>
      <c r="AK399" s="49"/>
      <c r="AL399" s="49"/>
      <c r="AM399" s="49"/>
      <c r="AN399" s="49"/>
      <c r="AO399" s="49"/>
      <c r="AP399" s="49"/>
      <c r="AQ399" s="49"/>
      <c r="AR399" s="49"/>
      <c r="AS399" s="49"/>
      <c r="AT399" s="49"/>
      <c r="AU399" s="49"/>
      <c r="AV399" s="49"/>
      <c r="AW399" s="49"/>
      <c r="AX399" s="49"/>
    </row>
    <row r="400">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c r="AA400" s="49"/>
      <c r="AB400" s="49"/>
      <c r="AC400" s="49"/>
      <c r="AD400" s="49"/>
      <c r="AE400" s="49"/>
      <c r="AF400" s="49"/>
      <c r="AG400" s="49"/>
      <c r="AH400" s="49"/>
      <c r="AI400" s="49"/>
      <c r="AJ400" s="49"/>
      <c r="AK400" s="49"/>
      <c r="AL400" s="49"/>
      <c r="AM400" s="49"/>
      <c r="AN400" s="49"/>
      <c r="AO400" s="49"/>
      <c r="AP400" s="49"/>
      <c r="AQ400" s="49"/>
      <c r="AR400" s="49"/>
      <c r="AS400" s="49"/>
      <c r="AT400" s="49"/>
      <c r="AU400" s="49"/>
      <c r="AV400" s="49"/>
      <c r="AW400" s="49"/>
      <c r="AX400" s="49"/>
    </row>
    <row r="401">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c r="AA401" s="49"/>
      <c r="AB401" s="49"/>
      <c r="AC401" s="49"/>
      <c r="AD401" s="49"/>
      <c r="AE401" s="49"/>
      <c r="AF401" s="49"/>
      <c r="AG401" s="49"/>
      <c r="AH401" s="49"/>
      <c r="AI401" s="49"/>
      <c r="AJ401" s="49"/>
      <c r="AK401" s="49"/>
      <c r="AL401" s="49"/>
      <c r="AM401" s="49"/>
      <c r="AN401" s="49"/>
      <c r="AO401" s="49"/>
      <c r="AP401" s="49"/>
      <c r="AQ401" s="49"/>
      <c r="AR401" s="49"/>
      <c r="AS401" s="49"/>
      <c r="AT401" s="49"/>
      <c r="AU401" s="49"/>
      <c r="AV401" s="49"/>
      <c r="AW401" s="49"/>
      <c r="AX401" s="49"/>
    </row>
    <row r="402">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c r="AA402" s="49"/>
      <c r="AB402" s="49"/>
      <c r="AC402" s="49"/>
      <c r="AD402" s="49"/>
      <c r="AE402" s="49"/>
      <c r="AF402" s="49"/>
      <c r="AG402" s="49"/>
      <c r="AH402" s="49"/>
      <c r="AI402" s="49"/>
      <c r="AJ402" s="49"/>
      <c r="AK402" s="49"/>
      <c r="AL402" s="49"/>
      <c r="AM402" s="49"/>
      <c r="AN402" s="49"/>
      <c r="AO402" s="49"/>
      <c r="AP402" s="49"/>
      <c r="AQ402" s="49"/>
      <c r="AR402" s="49"/>
      <c r="AS402" s="49"/>
      <c r="AT402" s="49"/>
      <c r="AU402" s="49"/>
      <c r="AV402" s="49"/>
      <c r="AW402" s="49"/>
      <c r="AX402" s="49"/>
    </row>
    <row r="403">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c r="AA403" s="49"/>
      <c r="AB403" s="49"/>
      <c r="AC403" s="49"/>
      <c r="AD403" s="49"/>
      <c r="AE403" s="49"/>
      <c r="AF403" s="49"/>
      <c r="AG403" s="49"/>
      <c r="AH403" s="49"/>
      <c r="AI403" s="49"/>
      <c r="AJ403" s="49"/>
      <c r="AK403" s="49"/>
      <c r="AL403" s="49"/>
      <c r="AM403" s="49"/>
      <c r="AN403" s="49"/>
      <c r="AO403" s="49"/>
      <c r="AP403" s="49"/>
      <c r="AQ403" s="49"/>
      <c r="AR403" s="49"/>
      <c r="AS403" s="49"/>
      <c r="AT403" s="49"/>
      <c r="AU403" s="49"/>
      <c r="AV403" s="49"/>
      <c r="AW403" s="49"/>
      <c r="AX403" s="49"/>
    </row>
    <row r="404">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c r="AA404" s="49"/>
      <c r="AB404" s="49"/>
      <c r="AC404" s="49"/>
      <c r="AD404" s="49"/>
      <c r="AE404" s="49"/>
      <c r="AF404" s="49"/>
      <c r="AG404" s="49"/>
      <c r="AH404" s="49"/>
      <c r="AI404" s="49"/>
      <c r="AJ404" s="49"/>
      <c r="AK404" s="49"/>
      <c r="AL404" s="49"/>
      <c r="AM404" s="49"/>
      <c r="AN404" s="49"/>
      <c r="AO404" s="49"/>
      <c r="AP404" s="49"/>
      <c r="AQ404" s="49"/>
      <c r="AR404" s="49"/>
      <c r="AS404" s="49"/>
      <c r="AT404" s="49"/>
      <c r="AU404" s="49"/>
      <c r="AV404" s="49"/>
      <c r="AW404" s="49"/>
      <c r="AX404" s="49"/>
    </row>
    <row r="40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c r="AA405" s="49"/>
      <c r="AB405" s="49"/>
      <c r="AC405" s="49"/>
      <c r="AD405" s="49"/>
      <c r="AE405" s="49"/>
      <c r="AF405" s="49"/>
      <c r="AG405" s="49"/>
      <c r="AH405" s="49"/>
      <c r="AI405" s="49"/>
      <c r="AJ405" s="49"/>
      <c r="AK405" s="49"/>
      <c r="AL405" s="49"/>
      <c r="AM405" s="49"/>
      <c r="AN405" s="49"/>
      <c r="AO405" s="49"/>
      <c r="AP405" s="49"/>
      <c r="AQ405" s="49"/>
      <c r="AR405" s="49"/>
      <c r="AS405" s="49"/>
      <c r="AT405" s="49"/>
      <c r="AU405" s="49"/>
      <c r="AV405" s="49"/>
      <c r="AW405" s="49"/>
      <c r="AX405" s="49"/>
    </row>
    <row r="406">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c r="AA406" s="49"/>
      <c r="AB406" s="49"/>
      <c r="AC406" s="49"/>
      <c r="AD406" s="49"/>
      <c r="AE406" s="49"/>
      <c r="AF406" s="49"/>
      <c r="AG406" s="49"/>
      <c r="AH406" s="49"/>
      <c r="AI406" s="49"/>
      <c r="AJ406" s="49"/>
      <c r="AK406" s="49"/>
      <c r="AL406" s="49"/>
      <c r="AM406" s="49"/>
      <c r="AN406" s="49"/>
      <c r="AO406" s="49"/>
      <c r="AP406" s="49"/>
      <c r="AQ406" s="49"/>
      <c r="AR406" s="49"/>
      <c r="AS406" s="49"/>
      <c r="AT406" s="49"/>
      <c r="AU406" s="49"/>
      <c r="AV406" s="49"/>
      <c r="AW406" s="49"/>
      <c r="AX406" s="49"/>
    </row>
    <row r="407">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c r="AA407" s="49"/>
      <c r="AB407" s="49"/>
      <c r="AC407" s="49"/>
      <c r="AD407" s="49"/>
      <c r="AE407" s="49"/>
      <c r="AF407" s="49"/>
      <c r="AG407" s="49"/>
      <c r="AH407" s="49"/>
      <c r="AI407" s="49"/>
      <c r="AJ407" s="49"/>
      <c r="AK407" s="49"/>
      <c r="AL407" s="49"/>
      <c r="AM407" s="49"/>
      <c r="AN407" s="49"/>
      <c r="AO407" s="49"/>
      <c r="AP407" s="49"/>
      <c r="AQ407" s="49"/>
      <c r="AR407" s="49"/>
      <c r="AS407" s="49"/>
      <c r="AT407" s="49"/>
      <c r="AU407" s="49"/>
      <c r="AV407" s="49"/>
      <c r="AW407" s="49"/>
      <c r="AX407" s="49"/>
    </row>
    <row r="408">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c r="AA408" s="49"/>
      <c r="AB408" s="49"/>
      <c r="AC408" s="49"/>
      <c r="AD408" s="49"/>
      <c r="AE408" s="49"/>
      <c r="AF408" s="49"/>
      <c r="AG408" s="49"/>
      <c r="AH408" s="49"/>
      <c r="AI408" s="49"/>
      <c r="AJ408" s="49"/>
      <c r="AK408" s="49"/>
      <c r="AL408" s="49"/>
      <c r="AM408" s="49"/>
      <c r="AN408" s="49"/>
      <c r="AO408" s="49"/>
      <c r="AP408" s="49"/>
      <c r="AQ408" s="49"/>
      <c r="AR408" s="49"/>
      <c r="AS408" s="49"/>
      <c r="AT408" s="49"/>
      <c r="AU408" s="49"/>
      <c r="AV408" s="49"/>
      <c r="AW408" s="49"/>
      <c r="AX408" s="49"/>
    </row>
    <row r="409">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c r="AA409" s="49"/>
      <c r="AB409" s="49"/>
      <c r="AC409" s="49"/>
      <c r="AD409" s="49"/>
      <c r="AE409" s="49"/>
      <c r="AF409" s="49"/>
      <c r="AG409" s="49"/>
      <c r="AH409" s="49"/>
      <c r="AI409" s="49"/>
      <c r="AJ409" s="49"/>
      <c r="AK409" s="49"/>
      <c r="AL409" s="49"/>
      <c r="AM409" s="49"/>
      <c r="AN409" s="49"/>
      <c r="AO409" s="49"/>
      <c r="AP409" s="49"/>
      <c r="AQ409" s="49"/>
      <c r="AR409" s="49"/>
      <c r="AS409" s="49"/>
      <c r="AT409" s="49"/>
      <c r="AU409" s="49"/>
      <c r="AV409" s="49"/>
      <c r="AW409" s="49"/>
      <c r="AX409" s="49"/>
    </row>
    <row r="410">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c r="AA410" s="49"/>
      <c r="AB410" s="49"/>
      <c r="AC410" s="49"/>
      <c r="AD410" s="49"/>
      <c r="AE410" s="49"/>
      <c r="AF410" s="49"/>
      <c r="AG410" s="49"/>
      <c r="AH410" s="49"/>
      <c r="AI410" s="49"/>
      <c r="AJ410" s="49"/>
      <c r="AK410" s="49"/>
      <c r="AL410" s="49"/>
      <c r="AM410" s="49"/>
      <c r="AN410" s="49"/>
      <c r="AO410" s="49"/>
      <c r="AP410" s="49"/>
      <c r="AQ410" s="49"/>
      <c r="AR410" s="49"/>
      <c r="AS410" s="49"/>
      <c r="AT410" s="49"/>
      <c r="AU410" s="49"/>
      <c r="AV410" s="49"/>
      <c r="AW410" s="49"/>
      <c r="AX410" s="49"/>
    </row>
    <row r="411">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c r="AA411" s="49"/>
      <c r="AB411" s="49"/>
      <c r="AC411" s="49"/>
      <c r="AD411" s="49"/>
      <c r="AE411" s="49"/>
      <c r="AF411" s="49"/>
      <c r="AG411" s="49"/>
      <c r="AH411" s="49"/>
      <c r="AI411" s="49"/>
      <c r="AJ411" s="49"/>
      <c r="AK411" s="49"/>
      <c r="AL411" s="49"/>
      <c r="AM411" s="49"/>
      <c r="AN411" s="49"/>
      <c r="AO411" s="49"/>
      <c r="AP411" s="49"/>
      <c r="AQ411" s="49"/>
      <c r="AR411" s="49"/>
      <c r="AS411" s="49"/>
      <c r="AT411" s="49"/>
      <c r="AU411" s="49"/>
      <c r="AV411" s="49"/>
      <c r="AW411" s="49"/>
      <c r="AX411" s="49"/>
    </row>
    <row r="412">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c r="AA412" s="49"/>
      <c r="AB412" s="49"/>
      <c r="AC412" s="49"/>
      <c r="AD412" s="49"/>
      <c r="AE412" s="49"/>
      <c r="AF412" s="49"/>
      <c r="AG412" s="49"/>
      <c r="AH412" s="49"/>
      <c r="AI412" s="49"/>
      <c r="AJ412" s="49"/>
      <c r="AK412" s="49"/>
      <c r="AL412" s="49"/>
      <c r="AM412" s="49"/>
      <c r="AN412" s="49"/>
      <c r="AO412" s="49"/>
      <c r="AP412" s="49"/>
      <c r="AQ412" s="49"/>
      <c r="AR412" s="49"/>
      <c r="AS412" s="49"/>
      <c r="AT412" s="49"/>
      <c r="AU412" s="49"/>
      <c r="AV412" s="49"/>
      <c r="AW412" s="49"/>
      <c r="AX412" s="49"/>
    </row>
    <row r="413">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c r="AA413" s="49"/>
      <c r="AB413" s="49"/>
      <c r="AC413" s="49"/>
      <c r="AD413" s="49"/>
      <c r="AE413" s="49"/>
      <c r="AF413" s="49"/>
      <c r="AG413" s="49"/>
      <c r="AH413" s="49"/>
      <c r="AI413" s="49"/>
      <c r="AJ413" s="49"/>
      <c r="AK413" s="49"/>
      <c r="AL413" s="49"/>
      <c r="AM413" s="49"/>
      <c r="AN413" s="49"/>
      <c r="AO413" s="49"/>
      <c r="AP413" s="49"/>
      <c r="AQ413" s="49"/>
      <c r="AR413" s="49"/>
      <c r="AS413" s="49"/>
      <c r="AT413" s="49"/>
      <c r="AU413" s="49"/>
      <c r="AV413" s="49"/>
      <c r="AW413" s="49"/>
      <c r="AX413" s="49"/>
    </row>
    <row r="414">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c r="AA414" s="49"/>
      <c r="AB414" s="49"/>
      <c r="AC414" s="49"/>
      <c r="AD414" s="49"/>
      <c r="AE414" s="49"/>
      <c r="AF414" s="49"/>
      <c r="AG414" s="49"/>
      <c r="AH414" s="49"/>
      <c r="AI414" s="49"/>
      <c r="AJ414" s="49"/>
      <c r="AK414" s="49"/>
      <c r="AL414" s="49"/>
      <c r="AM414" s="49"/>
      <c r="AN414" s="49"/>
      <c r="AO414" s="49"/>
      <c r="AP414" s="49"/>
      <c r="AQ414" s="49"/>
      <c r="AR414" s="49"/>
      <c r="AS414" s="49"/>
      <c r="AT414" s="49"/>
      <c r="AU414" s="49"/>
      <c r="AV414" s="49"/>
      <c r="AW414" s="49"/>
      <c r="AX414" s="49"/>
    </row>
    <row r="41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c r="AF415" s="49"/>
      <c r="AG415" s="49"/>
      <c r="AH415" s="49"/>
      <c r="AI415" s="49"/>
      <c r="AJ415" s="49"/>
      <c r="AK415" s="49"/>
      <c r="AL415" s="49"/>
      <c r="AM415" s="49"/>
      <c r="AN415" s="49"/>
      <c r="AO415" s="49"/>
      <c r="AP415" s="49"/>
      <c r="AQ415" s="49"/>
      <c r="AR415" s="49"/>
      <c r="AS415" s="49"/>
      <c r="AT415" s="49"/>
      <c r="AU415" s="49"/>
      <c r="AV415" s="49"/>
      <c r="AW415" s="49"/>
      <c r="AX415" s="49"/>
    </row>
    <row r="416">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c r="AF416" s="49"/>
      <c r="AG416" s="49"/>
      <c r="AH416" s="49"/>
      <c r="AI416" s="49"/>
      <c r="AJ416" s="49"/>
      <c r="AK416" s="49"/>
      <c r="AL416" s="49"/>
      <c r="AM416" s="49"/>
      <c r="AN416" s="49"/>
      <c r="AO416" s="49"/>
      <c r="AP416" s="49"/>
      <c r="AQ416" s="49"/>
      <c r="AR416" s="49"/>
      <c r="AS416" s="49"/>
      <c r="AT416" s="49"/>
      <c r="AU416" s="49"/>
      <c r="AV416" s="49"/>
      <c r="AW416" s="49"/>
      <c r="AX416" s="49"/>
    </row>
    <row r="417">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c r="AE417" s="49"/>
      <c r="AF417" s="49"/>
      <c r="AG417" s="49"/>
      <c r="AH417" s="49"/>
      <c r="AI417" s="49"/>
      <c r="AJ417" s="49"/>
      <c r="AK417" s="49"/>
      <c r="AL417" s="49"/>
      <c r="AM417" s="49"/>
      <c r="AN417" s="49"/>
      <c r="AO417" s="49"/>
      <c r="AP417" s="49"/>
      <c r="AQ417" s="49"/>
      <c r="AR417" s="49"/>
      <c r="AS417" s="49"/>
      <c r="AT417" s="49"/>
      <c r="AU417" s="49"/>
      <c r="AV417" s="49"/>
      <c r="AW417" s="49"/>
      <c r="AX417" s="49"/>
    </row>
    <row r="418">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c r="AF418" s="49"/>
      <c r="AG418" s="49"/>
      <c r="AH418" s="49"/>
      <c r="AI418" s="49"/>
      <c r="AJ418" s="49"/>
      <c r="AK418" s="49"/>
      <c r="AL418" s="49"/>
      <c r="AM418" s="49"/>
      <c r="AN418" s="49"/>
      <c r="AO418" s="49"/>
      <c r="AP418" s="49"/>
      <c r="AQ418" s="49"/>
      <c r="AR418" s="49"/>
      <c r="AS418" s="49"/>
      <c r="AT418" s="49"/>
      <c r="AU418" s="49"/>
      <c r="AV418" s="49"/>
      <c r="AW418" s="49"/>
      <c r="AX418" s="49"/>
    </row>
    <row r="419">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c r="AF419" s="49"/>
      <c r="AG419" s="49"/>
      <c r="AH419" s="49"/>
      <c r="AI419" s="49"/>
      <c r="AJ419" s="49"/>
      <c r="AK419" s="49"/>
      <c r="AL419" s="49"/>
      <c r="AM419" s="49"/>
      <c r="AN419" s="49"/>
      <c r="AO419" s="49"/>
      <c r="AP419" s="49"/>
      <c r="AQ419" s="49"/>
      <c r="AR419" s="49"/>
      <c r="AS419" s="49"/>
      <c r="AT419" s="49"/>
      <c r="AU419" s="49"/>
      <c r="AV419" s="49"/>
      <c r="AW419" s="49"/>
      <c r="AX419" s="49"/>
    </row>
    <row r="420">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c r="AE420" s="49"/>
      <c r="AF420" s="49"/>
      <c r="AG420" s="49"/>
      <c r="AH420" s="49"/>
      <c r="AI420" s="49"/>
      <c r="AJ420" s="49"/>
      <c r="AK420" s="49"/>
      <c r="AL420" s="49"/>
      <c r="AM420" s="49"/>
      <c r="AN420" s="49"/>
      <c r="AO420" s="49"/>
      <c r="AP420" s="49"/>
      <c r="AQ420" s="49"/>
      <c r="AR420" s="49"/>
      <c r="AS420" s="49"/>
      <c r="AT420" s="49"/>
      <c r="AU420" s="49"/>
      <c r="AV420" s="49"/>
      <c r="AW420" s="49"/>
      <c r="AX420" s="49"/>
    </row>
    <row r="421">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c r="AE421" s="49"/>
      <c r="AF421" s="49"/>
      <c r="AG421" s="49"/>
      <c r="AH421" s="49"/>
      <c r="AI421" s="49"/>
      <c r="AJ421" s="49"/>
      <c r="AK421" s="49"/>
      <c r="AL421" s="49"/>
      <c r="AM421" s="49"/>
      <c r="AN421" s="49"/>
      <c r="AO421" s="49"/>
      <c r="AP421" s="49"/>
      <c r="AQ421" s="49"/>
      <c r="AR421" s="49"/>
      <c r="AS421" s="49"/>
      <c r="AT421" s="49"/>
      <c r="AU421" s="49"/>
      <c r="AV421" s="49"/>
      <c r="AW421" s="49"/>
      <c r="AX421" s="49"/>
    </row>
    <row r="422">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c r="AE422" s="49"/>
      <c r="AF422" s="49"/>
      <c r="AG422" s="49"/>
      <c r="AH422" s="49"/>
      <c r="AI422" s="49"/>
      <c r="AJ422" s="49"/>
      <c r="AK422" s="49"/>
      <c r="AL422" s="49"/>
      <c r="AM422" s="49"/>
      <c r="AN422" s="49"/>
      <c r="AO422" s="49"/>
      <c r="AP422" s="49"/>
      <c r="AQ422" s="49"/>
      <c r="AR422" s="49"/>
      <c r="AS422" s="49"/>
      <c r="AT422" s="49"/>
      <c r="AU422" s="49"/>
      <c r="AV422" s="49"/>
      <c r="AW422" s="49"/>
      <c r="AX422" s="49"/>
    </row>
    <row r="423">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c r="AE423" s="49"/>
      <c r="AF423" s="49"/>
      <c r="AG423" s="49"/>
      <c r="AH423" s="49"/>
      <c r="AI423" s="49"/>
      <c r="AJ423" s="49"/>
      <c r="AK423" s="49"/>
      <c r="AL423" s="49"/>
      <c r="AM423" s="49"/>
      <c r="AN423" s="49"/>
      <c r="AO423" s="49"/>
      <c r="AP423" s="49"/>
      <c r="AQ423" s="49"/>
      <c r="AR423" s="49"/>
      <c r="AS423" s="49"/>
      <c r="AT423" s="49"/>
      <c r="AU423" s="49"/>
      <c r="AV423" s="49"/>
      <c r="AW423" s="49"/>
      <c r="AX423" s="49"/>
    </row>
    <row r="424">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c r="AE424" s="49"/>
      <c r="AF424" s="49"/>
      <c r="AG424" s="49"/>
      <c r="AH424" s="49"/>
      <c r="AI424" s="49"/>
      <c r="AJ424" s="49"/>
      <c r="AK424" s="49"/>
      <c r="AL424" s="49"/>
      <c r="AM424" s="49"/>
      <c r="AN424" s="49"/>
      <c r="AO424" s="49"/>
      <c r="AP424" s="49"/>
      <c r="AQ424" s="49"/>
      <c r="AR424" s="49"/>
      <c r="AS424" s="49"/>
      <c r="AT424" s="49"/>
      <c r="AU424" s="49"/>
      <c r="AV424" s="49"/>
      <c r="AW424" s="49"/>
      <c r="AX424" s="49"/>
    </row>
    <row r="4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c r="AE425" s="49"/>
      <c r="AF425" s="49"/>
      <c r="AG425" s="49"/>
      <c r="AH425" s="49"/>
      <c r="AI425" s="49"/>
      <c r="AJ425" s="49"/>
      <c r="AK425" s="49"/>
      <c r="AL425" s="49"/>
      <c r="AM425" s="49"/>
      <c r="AN425" s="49"/>
      <c r="AO425" s="49"/>
      <c r="AP425" s="49"/>
      <c r="AQ425" s="49"/>
      <c r="AR425" s="49"/>
      <c r="AS425" s="49"/>
      <c r="AT425" s="49"/>
      <c r="AU425" s="49"/>
      <c r="AV425" s="49"/>
      <c r="AW425" s="49"/>
      <c r="AX425" s="49"/>
    </row>
    <row r="426">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c r="AE426" s="49"/>
      <c r="AF426" s="49"/>
      <c r="AG426" s="49"/>
      <c r="AH426" s="49"/>
      <c r="AI426" s="49"/>
      <c r="AJ426" s="49"/>
      <c r="AK426" s="49"/>
      <c r="AL426" s="49"/>
      <c r="AM426" s="49"/>
      <c r="AN426" s="49"/>
      <c r="AO426" s="49"/>
      <c r="AP426" s="49"/>
      <c r="AQ426" s="49"/>
      <c r="AR426" s="49"/>
      <c r="AS426" s="49"/>
      <c r="AT426" s="49"/>
      <c r="AU426" s="49"/>
      <c r="AV426" s="49"/>
      <c r="AW426" s="49"/>
      <c r="AX426" s="49"/>
    </row>
    <row r="427">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c r="AE427" s="49"/>
      <c r="AF427" s="49"/>
      <c r="AG427" s="49"/>
      <c r="AH427" s="49"/>
      <c r="AI427" s="49"/>
      <c r="AJ427" s="49"/>
      <c r="AK427" s="49"/>
      <c r="AL427" s="49"/>
      <c r="AM427" s="49"/>
      <c r="AN427" s="49"/>
      <c r="AO427" s="49"/>
      <c r="AP427" s="49"/>
      <c r="AQ427" s="49"/>
      <c r="AR427" s="49"/>
      <c r="AS427" s="49"/>
      <c r="AT427" s="49"/>
      <c r="AU427" s="49"/>
      <c r="AV427" s="49"/>
      <c r="AW427" s="49"/>
      <c r="AX427" s="49"/>
    </row>
    <row r="428">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c r="AE428" s="49"/>
      <c r="AF428" s="49"/>
      <c r="AG428" s="49"/>
      <c r="AH428" s="49"/>
      <c r="AI428" s="49"/>
      <c r="AJ428" s="49"/>
      <c r="AK428" s="49"/>
      <c r="AL428" s="49"/>
      <c r="AM428" s="49"/>
      <c r="AN428" s="49"/>
      <c r="AO428" s="49"/>
      <c r="AP428" s="49"/>
      <c r="AQ428" s="49"/>
      <c r="AR428" s="49"/>
      <c r="AS428" s="49"/>
      <c r="AT428" s="49"/>
      <c r="AU428" s="49"/>
      <c r="AV428" s="49"/>
      <c r="AW428" s="49"/>
      <c r="AX428" s="49"/>
    </row>
    <row r="429">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c r="AE429" s="49"/>
      <c r="AF429" s="49"/>
      <c r="AG429" s="49"/>
      <c r="AH429" s="49"/>
      <c r="AI429" s="49"/>
      <c r="AJ429" s="49"/>
      <c r="AK429" s="49"/>
      <c r="AL429" s="49"/>
      <c r="AM429" s="49"/>
      <c r="AN429" s="49"/>
      <c r="AO429" s="49"/>
      <c r="AP429" s="49"/>
      <c r="AQ429" s="49"/>
      <c r="AR429" s="49"/>
      <c r="AS429" s="49"/>
      <c r="AT429" s="49"/>
      <c r="AU429" s="49"/>
      <c r="AV429" s="49"/>
      <c r="AW429" s="49"/>
      <c r="AX429" s="49"/>
    </row>
    <row r="430">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c r="AE430" s="49"/>
      <c r="AF430" s="49"/>
      <c r="AG430" s="49"/>
      <c r="AH430" s="49"/>
      <c r="AI430" s="49"/>
      <c r="AJ430" s="49"/>
      <c r="AK430" s="49"/>
      <c r="AL430" s="49"/>
      <c r="AM430" s="49"/>
      <c r="AN430" s="49"/>
      <c r="AO430" s="49"/>
      <c r="AP430" s="49"/>
      <c r="AQ430" s="49"/>
      <c r="AR430" s="49"/>
      <c r="AS430" s="49"/>
      <c r="AT430" s="49"/>
      <c r="AU430" s="49"/>
      <c r="AV430" s="49"/>
      <c r="AW430" s="49"/>
      <c r="AX430" s="49"/>
    </row>
    <row r="431">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c r="AE431" s="49"/>
      <c r="AF431" s="49"/>
      <c r="AG431" s="49"/>
      <c r="AH431" s="49"/>
      <c r="AI431" s="49"/>
      <c r="AJ431" s="49"/>
      <c r="AK431" s="49"/>
      <c r="AL431" s="49"/>
      <c r="AM431" s="49"/>
      <c r="AN431" s="49"/>
      <c r="AO431" s="49"/>
      <c r="AP431" s="49"/>
      <c r="AQ431" s="49"/>
      <c r="AR431" s="49"/>
      <c r="AS431" s="49"/>
      <c r="AT431" s="49"/>
      <c r="AU431" s="49"/>
      <c r="AV431" s="49"/>
      <c r="AW431" s="49"/>
      <c r="AX431" s="49"/>
    </row>
    <row r="432">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c r="AE432" s="49"/>
      <c r="AF432" s="49"/>
      <c r="AG432" s="49"/>
      <c r="AH432" s="49"/>
      <c r="AI432" s="49"/>
      <c r="AJ432" s="49"/>
      <c r="AK432" s="49"/>
      <c r="AL432" s="49"/>
      <c r="AM432" s="49"/>
      <c r="AN432" s="49"/>
      <c r="AO432" s="49"/>
      <c r="AP432" s="49"/>
      <c r="AQ432" s="49"/>
      <c r="AR432" s="49"/>
      <c r="AS432" s="49"/>
      <c r="AT432" s="49"/>
      <c r="AU432" s="49"/>
      <c r="AV432" s="49"/>
      <c r="AW432" s="49"/>
      <c r="AX432" s="49"/>
    </row>
    <row r="433">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c r="AE433" s="49"/>
      <c r="AF433" s="49"/>
      <c r="AG433" s="49"/>
      <c r="AH433" s="49"/>
      <c r="AI433" s="49"/>
      <c r="AJ433" s="49"/>
      <c r="AK433" s="49"/>
      <c r="AL433" s="49"/>
      <c r="AM433" s="49"/>
      <c r="AN433" s="49"/>
      <c r="AO433" s="49"/>
      <c r="AP433" s="49"/>
      <c r="AQ433" s="49"/>
      <c r="AR433" s="49"/>
      <c r="AS433" s="49"/>
      <c r="AT433" s="49"/>
      <c r="AU433" s="49"/>
      <c r="AV433" s="49"/>
      <c r="AW433" s="49"/>
      <c r="AX433" s="49"/>
    </row>
    <row r="434">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c r="AE434" s="49"/>
      <c r="AF434" s="49"/>
      <c r="AG434" s="49"/>
      <c r="AH434" s="49"/>
      <c r="AI434" s="49"/>
      <c r="AJ434" s="49"/>
      <c r="AK434" s="49"/>
      <c r="AL434" s="49"/>
      <c r="AM434" s="49"/>
      <c r="AN434" s="49"/>
      <c r="AO434" s="49"/>
      <c r="AP434" s="49"/>
      <c r="AQ434" s="49"/>
      <c r="AR434" s="49"/>
      <c r="AS434" s="49"/>
      <c r="AT434" s="49"/>
      <c r="AU434" s="49"/>
      <c r="AV434" s="49"/>
      <c r="AW434" s="49"/>
      <c r="AX434" s="49"/>
    </row>
    <row r="4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c r="AE435" s="49"/>
      <c r="AF435" s="49"/>
      <c r="AG435" s="49"/>
      <c r="AH435" s="49"/>
      <c r="AI435" s="49"/>
      <c r="AJ435" s="49"/>
      <c r="AK435" s="49"/>
      <c r="AL435" s="49"/>
      <c r="AM435" s="49"/>
      <c r="AN435" s="49"/>
      <c r="AO435" s="49"/>
      <c r="AP435" s="49"/>
      <c r="AQ435" s="49"/>
      <c r="AR435" s="49"/>
      <c r="AS435" s="49"/>
      <c r="AT435" s="49"/>
      <c r="AU435" s="49"/>
      <c r="AV435" s="49"/>
      <c r="AW435" s="49"/>
      <c r="AX435" s="49"/>
    </row>
    <row r="436">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c r="AE436" s="49"/>
      <c r="AF436" s="49"/>
      <c r="AG436" s="49"/>
      <c r="AH436" s="49"/>
      <c r="AI436" s="49"/>
      <c r="AJ436" s="49"/>
      <c r="AK436" s="49"/>
      <c r="AL436" s="49"/>
      <c r="AM436" s="49"/>
      <c r="AN436" s="49"/>
      <c r="AO436" s="49"/>
      <c r="AP436" s="49"/>
      <c r="AQ436" s="49"/>
      <c r="AR436" s="49"/>
      <c r="AS436" s="49"/>
      <c r="AT436" s="49"/>
      <c r="AU436" s="49"/>
      <c r="AV436" s="49"/>
      <c r="AW436" s="49"/>
      <c r="AX436" s="49"/>
    </row>
    <row r="437">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c r="AE437" s="49"/>
      <c r="AF437" s="49"/>
      <c r="AG437" s="49"/>
      <c r="AH437" s="49"/>
      <c r="AI437" s="49"/>
      <c r="AJ437" s="49"/>
      <c r="AK437" s="49"/>
      <c r="AL437" s="49"/>
      <c r="AM437" s="49"/>
      <c r="AN437" s="49"/>
      <c r="AO437" s="49"/>
      <c r="AP437" s="49"/>
      <c r="AQ437" s="49"/>
      <c r="AR437" s="49"/>
      <c r="AS437" s="49"/>
      <c r="AT437" s="49"/>
      <c r="AU437" s="49"/>
      <c r="AV437" s="49"/>
      <c r="AW437" s="49"/>
      <c r="AX437" s="49"/>
    </row>
    <row r="438">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c r="AE438" s="49"/>
      <c r="AF438" s="49"/>
      <c r="AG438" s="49"/>
      <c r="AH438" s="49"/>
      <c r="AI438" s="49"/>
      <c r="AJ438" s="49"/>
      <c r="AK438" s="49"/>
      <c r="AL438" s="49"/>
      <c r="AM438" s="49"/>
      <c r="AN438" s="49"/>
      <c r="AO438" s="49"/>
      <c r="AP438" s="49"/>
      <c r="AQ438" s="49"/>
      <c r="AR438" s="49"/>
      <c r="AS438" s="49"/>
      <c r="AT438" s="49"/>
      <c r="AU438" s="49"/>
      <c r="AV438" s="49"/>
      <c r="AW438" s="49"/>
      <c r="AX438" s="49"/>
    </row>
    <row r="439">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c r="AF439" s="49"/>
      <c r="AG439" s="49"/>
      <c r="AH439" s="49"/>
      <c r="AI439" s="49"/>
      <c r="AJ439" s="49"/>
      <c r="AK439" s="49"/>
      <c r="AL439" s="49"/>
      <c r="AM439" s="49"/>
      <c r="AN439" s="49"/>
      <c r="AO439" s="49"/>
      <c r="AP439" s="49"/>
      <c r="AQ439" s="49"/>
      <c r="AR439" s="49"/>
      <c r="AS439" s="49"/>
      <c r="AT439" s="49"/>
      <c r="AU439" s="49"/>
      <c r="AV439" s="49"/>
      <c r="AW439" s="49"/>
      <c r="AX439" s="49"/>
    </row>
    <row r="440">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c r="AE440" s="49"/>
      <c r="AF440" s="49"/>
      <c r="AG440" s="49"/>
      <c r="AH440" s="49"/>
      <c r="AI440" s="49"/>
      <c r="AJ440" s="49"/>
      <c r="AK440" s="49"/>
      <c r="AL440" s="49"/>
      <c r="AM440" s="49"/>
      <c r="AN440" s="49"/>
      <c r="AO440" s="49"/>
      <c r="AP440" s="49"/>
      <c r="AQ440" s="49"/>
      <c r="AR440" s="49"/>
      <c r="AS440" s="49"/>
      <c r="AT440" s="49"/>
      <c r="AU440" s="49"/>
      <c r="AV440" s="49"/>
      <c r="AW440" s="49"/>
      <c r="AX440" s="49"/>
    </row>
    <row r="441">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c r="AF441" s="49"/>
      <c r="AG441" s="49"/>
      <c r="AH441" s="49"/>
      <c r="AI441" s="49"/>
      <c r="AJ441" s="49"/>
      <c r="AK441" s="49"/>
      <c r="AL441" s="49"/>
      <c r="AM441" s="49"/>
      <c r="AN441" s="49"/>
      <c r="AO441" s="49"/>
      <c r="AP441" s="49"/>
      <c r="AQ441" s="49"/>
      <c r="AR441" s="49"/>
      <c r="AS441" s="49"/>
      <c r="AT441" s="49"/>
      <c r="AU441" s="49"/>
      <c r="AV441" s="49"/>
      <c r="AW441" s="49"/>
      <c r="AX441" s="49"/>
    </row>
    <row r="442">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c r="AE442" s="49"/>
      <c r="AF442" s="49"/>
      <c r="AG442" s="49"/>
      <c r="AH442" s="49"/>
      <c r="AI442" s="49"/>
      <c r="AJ442" s="49"/>
      <c r="AK442" s="49"/>
      <c r="AL442" s="49"/>
      <c r="AM442" s="49"/>
      <c r="AN442" s="49"/>
      <c r="AO442" s="49"/>
      <c r="AP442" s="49"/>
      <c r="AQ442" s="49"/>
      <c r="AR442" s="49"/>
      <c r="AS442" s="49"/>
      <c r="AT442" s="49"/>
      <c r="AU442" s="49"/>
      <c r="AV442" s="49"/>
      <c r="AW442" s="49"/>
      <c r="AX442" s="49"/>
    </row>
    <row r="443">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c r="AE443" s="49"/>
      <c r="AF443" s="49"/>
      <c r="AG443" s="49"/>
      <c r="AH443" s="49"/>
      <c r="AI443" s="49"/>
      <c r="AJ443" s="49"/>
      <c r="AK443" s="49"/>
      <c r="AL443" s="49"/>
      <c r="AM443" s="49"/>
      <c r="AN443" s="49"/>
      <c r="AO443" s="49"/>
      <c r="AP443" s="49"/>
      <c r="AQ443" s="49"/>
      <c r="AR443" s="49"/>
      <c r="AS443" s="49"/>
      <c r="AT443" s="49"/>
      <c r="AU443" s="49"/>
      <c r="AV443" s="49"/>
      <c r="AW443" s="49"/>
      <c r="AX443" s="49"/>
    </row>
    <row r="444">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c r="AF444" s="49"/>
      <c r="AG444" s="49"/>
      <c r="AH444" s="49"/>
      <c r="AI444" s="49"/>
      <c r="AJ444" s="49"/>
      <c r="AK444" s="49"/>
      <c r="AL444" s="49"/>
      <c r="AM444" s="49"/>
      <c r="AN444" s="49"/>
      <c r="AO444" s="49"/>
      <c r="AP444" s="49"/>
      <c r="AQ444" s="49"/>
      <c r="AR444" s="49"/>
      <c r="AS444" s="49"/>
      <c r="AT444" s="49"/>
      <c r="AU444" s="49"/>
      <c r="AV444" s="49"/>
      <c r="AW444" s="49"/>
      <c r="AX444" s="49"/>
    </row>
    <row r="44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c r="AE445" s="49"/>
      <c r="AF445" s="49"/>
      <c r="AG445" s="49"/>
      <c r="AH445" s="49"/>
      <c r="AI445" s="49"/>
      <c r="AJ445" s="49"/>
      <c r="AK445" s="49"/>
      <c r="AL445" s="49"/>
      <c r="AM445" s="49"/>
      <c r="AN445" s="49"/>
      <c r="AO445" s="49"/>
      <c r="AP445" s="49"/>
      <c r="AQ445" s="49"/>
      <c r="AR445" s="49"/>
      <c r="AS445" s="49"/>
      <c r="AT445" s="49"/>
      <c r="AU445" s="49"/>
      <c r="AV445" s="49"/>
      <c r="AW445" s="49"/>
      <c r="AX445" s="49"/>
    </row>
    <row r="446">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c r="AE446" s="49"/>
      <c r="AF446" s="49"/>
      <c r="AG446" s="49"/>
      <c r="AH446" s="49"/>
      <c r="AI446" s="49"/>
      <c r="AJ446" s="49"/>
      <c r="AK446" s="49"/>
      <c r="AL446" s="49"/>
      <c r="AM446" s="49"/>
      <c r="AN446" s="49"/>
      <c r="AO446" s="49"/>
      <c r="AP446" s="49"/>
      <c r="AQ446" s="49"/>
      <c r="AR446" s="49"/>
      <c r="AS446" s="49"/>
      <c r="AT446" s="49"/>
      <c r="AU446" s="49"/>
      <c r="AV446" s="49"/>
      <c r="AW446" s="49"/>
      <c r="AX446" s="49"/>
    </row>
    <row r="447">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c r="AE447" s="49"/>
      <c r="AF447" s="49"/>
      <c r="AG447" s="49"/>
      <c r="AH447" s="49"/>
      <c r="AI447" s="49"/>
      <c r="AJ447" s="49"/>
      <c r="AK447" s="49"/>
      <c r="AL447" s="49"/>
      <c r="AM447" s="49"/>
      <c r="AN447" s="49"/>
      <c r="AO447" s="49"/>
      <c r="AP447" s="49"/>
      <c r="AQ447" s="49"/>
      <c r="AR447" s="49"/>
      <c r="AS447" s="49"/>
      <c r="AT447" s="49"/>
      <c r="AU447" s="49"/>
      <c r="AV447" s="49"/>
      <c r="AW447" s="49"/>
      <c r="AX447" s="49"/>
    </row>
    <row r="448">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c r="AE448" s="49"/>
      <c r="AF448" s="49"/>
      <c r="AG448" s="49"/>
      <c r="AH448" s="49"/>
      <c r="AI448" s="49"/>
      <c r="AJ448" s="49"/>
      <c r="AK448" s="49"/>
      <c r="AL448" s="49"/>
      <c r="AM448" s="49"/>
      <c r="AN448" s="49"/>
      <c r="AO448" s="49"/>
      <c r="AP448" s="49"/>
      <c r="AQ448" s="49"/>
      <c r="AR448" s="49"/>
      <c r="AS448" s="49"/>
      <c r="AT448" s="49"/>
      <c r="AU448" s="49"/>
      <c r="AV448" s="49"/>
      <c r="AW448" s="49"/>
      <c r="AX448" s="49"/>
    </row>
    <row r="449">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c r="AE449" s="49"/>
      <c r="AF449" s="49"/>
      <c r="AG449" s="49"/>
      <c r="AH449" s="49"/>
      <c r="AI449" s="49"/>
      <c r="AJ449" s="49"/>
      <c r="AK449" s="49"/>
      <c r="AL449" s="49"/>
      <c r="AM449" s="49"/>
      <c r="AN449" s="49"/>
      <c r="AO449" s="49"/>
      <c r="AP449" s="49"/>
      <c r="AQ449" s="49"/>
      <c r="AR449" s="49"/>
      <c r="AS449" s="49"/>
      <c r="AT449" s="49"/>
      <c r="AU449" s="49"/>
      <c r="AV449" s="49"/>
      <c r="AW449" s="49"/>
      <c r="AX449" s="49"/>
    </row>
    <row r="450">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c r="AE450" s="49"/>
      <c r="AF450" s="49"/>
      <c r="AG450" s="49"/>
      <c r="AH450" s="49"/>
      <c r="AI450" s="49"/>
      <c r="AJ450" s="49"/>
      <c r="AK450" s="49"/>
      <c r="AL450" s="49"/>
      <c r="AM450" s="49"/>
      <c r="AN450" s="49"/>
      <c r="AO450" s="49"/>
      <c r="AP450" s="49"/>
      <c r="AQ450" s="49"/>
      <c r="AR450" s="49"/>
      <c r="AS450" s="49"/>
      <c r="AT450" s="49"/>
      <c r="AU450" s="49"/>
      <c r="AV450" s="49"/>
      <c r="AW450" s="49"/>
      <c r="AX450" s="49"/>
    </row>
    <row r="451">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c r="AE451" s="49"/>
      <c r="AF451" s="49"/>
      <c r="AG451" s="49"/>
      <c r="AH451" s="49"/>
      <c r="AI451" s="49"/>
      <c r="AJ451" s="49"/>
      <c r="AK451" s="49"/>
      <c r="AL451" s="49"/>
      <c r="AM451" s="49"/>
      <c r="AN451" s="49"/>
      <c r="AO451" s="49"/>
      <c r="AP451" s="49"/>
      <c r="AQ451" s="49"/>
      <c r="AR451" s="49"/>
      <c r="AS451" s="49"/>
      <c r="AT451" s="49"/>
      <c r="AU451" s="49"/>
      <c r="AV451" s="49"/>
      <c r="AW451" s="49"/>
      <c r="AX451" s="49"/>
    </row>
    <row r="452">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c r="AE452" s="49"/>
      <c r="AF452" s="49"/>
      <c r="AG452" s="49"/>
      <c r="AH452" s="49"/>
      <c r="AI452" s="49"/>
      <c r="AJ452" s="49"/>
      <c r="AK452" s="49"/>
      <c r="AL452" s="49"/>
      <c r="AM452" s="49"/>
      <c r="AN452" s="49"/>
      <c r="AO452" s="49"/>
      <c r="AP452" s="49"/>
      <c r="AQ452" s="49"/>
      <c r="AR452" s="49"/>
      <c r="AS452" s="49"/>
      <c r="AT452" s="49"/>
      <c r="AU452" s="49"/>
      <c r="AV452" s="49"/>
      <c r="AW452" s="49"/>
      <c r="AX452" s="49"/>
    </row>
    <row r="453">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c r="AE453" s="49"/>
      <c r="AF453" s="49"/>
      <c r="AG453" s="49"/>
      <c r="AH453" s="49"/>
      <c r="AI453" s="49"/>
      <c r="AJ453" s="49"/>
      <c r="AK453" s="49"/>
      <c r="AL453" s="49"/>
      <c r="AM453" s="49"/>
      <c r="AN453" s="49"/>
      <c r="AO453" s="49"/>
      <c r="AP453" s="49"/>
      <c r="AQ453" s="49"/>
      <c r="AR453" s="49"/>
      <c r="AS453" s="49"/>
      <c r="AT453" s="49"/>
      <c r="AU453" s="49"/>
      <c r="AV453" s="49"/>
      <c r="AW453" s="49"/>
      <c r="AX453" s="49"/>
    </row>
    <row r="454">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c r="AE454" s="49"/>
      <c r="AF454" s="49"/>
      <c r="AG454" s="49"/>
      <c r="AH454" s="49"/>
      <c r="AI454" s="49"/>
      <c r="AJ454" s="49"/>
      <c r="AK454" s="49"/>
      <c r="AL454" s="49"/>
      <c r="AM454" s="49"/>
      <c r="AN454" s="49"/>
      <c r="AO454" s="49"/>
      <c r="AP454" s="49"/>
      <c r="AQ454" s="49"/>
      <c r="AR454" s="49"/>
      <c r="AS454" s="49"/>
      <c r="AT454" s="49"/>
      <c r="AU454" s="49"/>
      <c r="AV454" s="49"/>
      <c r="AW454" s="49"/>
      <c r="AX454" s="49"/>
    </row>
    <row r="45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c r="AE455" s="49"/>
      <c r="AF455" s="49"/>
      <c r="AG455" s="49"/>
      <c r="AH455" s="49"/>
      <c r="AI455" s="49"/>
      <c r="AJ455" s="49"/>
      <c r="AK455" s="49"/>
      <c r="AL455" s="49"/>
      <c r="AM455" s="49"/>
      <c r="AN455" s="49"/>
      <c r="AO455" s="49"/>
      <c r="AP455" s="49"/>
      <c r="AQ455" s="49"/>
      <c r="AR455" s="49"/>
      <c r="AS455" s="49"/>
      <c r="AT455" s="49"/>
      <c r="AU455" s="49"/>
      <c r="AV455" s="49"/>
      <c r="AW455" s="49"/>
      <c r="AX455" s="49"/>
    </row>
    <row r="456">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c r="AE456" s="49"/>
      <c r="AF456" s="49"/>
      <c r="AG456" s="49"/>
      <c r="AH456" s="49"/>
      <c r="AI456" s="49"/>
      <c r="AJ456" s="49"/>
      <c r="AK456" s="49"/>
      <c r="AL456" s="49"/>
      <c r="AM456" s="49"/>
      <c r="AN456" s="49"/>
      <c r="AO456" s="49"/>
      <c r="AP456" s="49"/>
      <c r="AQ456" s="49"/>
      <c r="AR456" s="49"/>
      <c r="AS456" s="49"/>
      <c r="AT456" s="49"/>
      <c r="AU456" s="49"/>
      <c r="AV456" s="49"/>
      <c r="AW456" s="49"/>
      <c r="AX456" s="49"/>
    </row>
    <row r="457">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c r="AE457" s="49"/>
      <c r="AF457" s="49"/>
      <c r="AG457" s="49"/>
      <c r="AH457" s="49"/>
      <c r="AI457" s="49"/>
      <c r="AJ457" s="49"/>
      <c r="AK457" s="49"/>
      <c r="AL457" s="49"/>
      <c r="AM457" s="49"/>
      <c r="AN457" s="49"/>
      <c r="AO457" s="49"/>
      <c r="AP457" s="49"/>
      <c r="AQ457" s="49"/>
      <c r="AR457" s="49"/>
      <c r="AS457" s="49"/>
      <c r="AT457" s="49"/>
      <c r="AU457" s="49"/>
      <c r="AV457" s="49"/>
      <c r="AW457" s="49"/>
      <c r="AX457" s="49"/>
    </row>
    <row r="458">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c r="AE458" s="49"/>
      <c r="AF458" s="49"/>
      <c r="AG458" s="49"/>
      <c r="AH458" s="49"/>
      <c r="AI458" s="49"/>
      <c r="AJ458" s="49"/>
      <c r="AK458" s="49"/>
      <c r="AL458" s="49"/>
      <c r="AM458" s="49"/>
      <c r="AN458" s="49"/>
      <c r="AO458" s="49"/>
      <c r="AP458" s="49"/>
      <c r="AQ458" s="49"/>
      <c r="AR458" s="49"/>
      <c r="AS458" s="49"/>
      <c r="AT458" s="49"/>
      <c r="AU458" s="49"/>
      <c r="AV458" s="49"/>
      <c r="AW458" s="49"/>
      <c r="AX458" s="49"/>
    </row>
    <row r="459">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c r="AE459" s="49"/>
      <c r="AF459" s="49"/>
      <c r="AG459" s="49"/>
      <c r="AH459" s="49"/>
      <c r="AI459" s="49"/>
      <c r="AJ459" s="49"/>
      <c r="AK459" s="49"/>
      <c r="AL459" s="49"/>
      <c r="AM459" s="49"/>
      <c r="AN459" s="49"/>
      <c r="AO459" s="49"/>
      <c r="AP459" s="49"/>
      <c r="AQ459" s="49"/>
      <c r="AR459" s="49"/>
      <c r="AS459" s="49"/>
      <c r="AT459" s="49"/>
      <c r="AU459" s="49"/>
      <c r="AV459" s="49"/>
      <c r="AW459" s="49"/>
      <c r="AX459" s="49"/>
    </row>
    <row r="460">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c r="AE460" s="49"/>
      <c r="AF460" s="49"/>
      <c r="AG460" s="49"/>
      <c r="AH460" s="49"/>
      <c r="AI460" s="49"/>
      <c r="AJ460" s="49"/>
      <c r="AK460" s="49"/>
      <c r="AL460" s="49"/>
      <c r="AM460" s="49"/>
      <c r="AN460" s="49"/>
      <c r="AO460" s="49"/>
      <c r="AP460" s="49"/>
      <c r="AQ460" s="49"/>
      <c r="AR460" s="49"/>
      <c r="AS460" s="49"/>
      <c r="AT460" s="49"/>
      <c r="AU460" s="49"/>
      <c r="AV460" s="49"/>
      <c r="AW460" s="49"/>
      <c r="AX460" s="49"/>
    </row>
    <row r="461">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c r="AE461" s="49"/>
      <c r="AF461" s="49"/>
      <c r="AG461" s="49"/>
      <c r="AH461" s="49"/>
      <c r="AI461" s="49"/>
      <c r="AJ461" s="49"/>
      <c r="AK461" s="49"/>
      <c r="AL461" s="49"/>
      <c r="AM461" s="49"/>
      <c r="AN461" s="49"/>
      <c r="AO461" s="49"/>
      <c r="AP461" s="49"/>
      <c r="AQ461" s="49"/>
      <c r="AR461" s="49"/>
      <c r="AS461" s="49"/>
      <c r="AT461" s="49"/>
      <c r="AU461" s="49"/>
      <c r="AV461" s="49"/>
      <c r="AW461" s="49"/>
      <c r="AX461" s="49"/>
    </row>
    <row r="462">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c r="AE462" s="49"/>
      <c r="AF462" s="49"/>
      <c r="AG462" s="49"/>
      <c r="AH462" s="49"/>
      <c r="AI462" s="49"/>
      <c r="AJ462" s="49"/>
      <c r="AK462" s="49"/>
      <c r="AL462" s="49"/>
      <c r="AM462" s="49"/>
      <c r="AN462" s="49"/>
      <c r="AO462" s="49"/>
      <c r="AP462" s="49"/>
      <c r="AQ462" s="49"/>
      <c r="AR462" s="49"/>
      <c r="AS462" s="49"/>
      <c r="AT462" s="49"/>
      <c r="AU462" s="49"/>
      <c r="AV462" s="49"/>
      <c r="AW462" s="49"/>
      <c r="AX462" s="49"/>
    </row>
    <row r="463">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c r="AE463" s="49"/>
      <c r="AF463" s="49"/>
      <c r="AG463" s="49"/>
      <c r="AH463" s="49"/>
      <c r="AI463" s="49"/>
      <c r="AJ463" s="49"/>
      <c r="AK463" s="49"/>
      <c r="AL463" s="49"/>
      <c r="AM463" s="49"/>
      <c r="AN463" s="49"/>
      <c r="AO463" s="49"/>
      <c r="AP463" s="49"/>
      <c r="AQ463" s="49"/>
      <c r="AR463" s="49"/>
      <c r="AS463" s="49"/>
      <c r="AT463" s="49"/>
      <c r="AU463" s="49"/>
      <c r="AV463" s="49"/>
      <c r="AW463" s="49"/>
      <c r="AX463" s="49"/>
    </row>
    <row r="464">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c r="AE464" s="49"/>
      <c r="AF464" s="49"/>
      <c r="AG464" s="49"/>
      <c r="AH464" s="49"/>
      <c r="AI464" s="49"/>
      <c r="AJ464" s="49"/>
      <c r="AK464" s="49"/>
      <c r="AL464" s="49"/>
      <c r="AM464" s="49"/>
      <c r="AN464" s="49"/>
      <c r="AO464" s="49"/>
      <c r="AP464" s="49"/>
      <c r="AQ464" s="49"/>
      <c r="AR464" s="49"/>
      <c r="AS464" s="49"/>
      <c r="AT464" s="49"/>
      <c r="AU464" s="49"/>
      <c r="AV464" s="49"/>
      <c r="AW464" s="49"/>
      <c r="AX464" s="49"/>
    </row>
    <row r="46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c r="AE465" s="49"/>
      <c r="AF465" s="49"/>
      <c r="AG465" s="49"/>
      <c r="AH465" s="49"/>
      <c r="AI465" s="49"/>
      <c r="AJ465" s="49"/>
      <c r="AK465" s="49"/>
      <c r="AL465" s="49"/>
      <c r="AM465" s="49"/>
      <c r="AN465" s="49"/>
      <c r="AO465" s="49"/>
      <c r="AP465" s="49"/>
      <c r="AQ465" s="49"/>
      <c r="AR465" s="49"/>
      <c r="AS465" s="49"/>
      <c r="AT465" s="49"/>
      <c r="AU465" s="49"/>
      <c r="AV465" s="49"/>
      <c r="AW465" s="49"/>
      <c r="AX465" s="49"/>
    </row>
    <row r="466">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c r="AE466" s="49"/>
      <c r="AF466" s="49"/>
      <c r="AG466" s="49"/>
      <c r="AH466" s="49"/>
      <c r="AI466" s="49"/>
      <c r="AJ466" s="49"/>
      <c r="AK466" s="49"/>
      <c r="AL466" s="49"/>
      <c r="AM466" s="49"/>
      <c r="AN466" s="49"/>
      <c r="AO466" s="49"/>
      <c r="AP466" s="49"/>
      <c r="AQ466" s="49"/>
      <c r="AR466" s="49"/>
      <c r="AS466" s="49"/>
      <c r="AT466" s="49"/>
      <c r="AU466" s="49"/>
      <c r="AV466" s="49"/>
      <c r="AW466" s="49"/>
      <c r="AX466" s="49"/>
    </row>
    <row r="467">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c r="AF467" s="49"/>
      <c r="AG467" s="49"/>
      <c r="AH467" s="49"/>
      <c r="AI467" s="49"/>
      <c r="AJ467" s="49"/>
      <c r="AK467" s="49"/>
      <c r="AL467" s="49"/>
      <c r="AM467" s="49"/>
      <c r="AN467" s="49"/>
      <c r="AO467" s="49"/>
      <c r="AP467" s="49"/>
      <c r="AQ467" s="49"/>
      <c r="AR467" s="49"/>
      <c r="AS467" s="49"/>
      <c r="AT467" s="49"/>
      <c r="AU467" s="49"/>
      <c r="AV467" s="49"/>
      <c r="AW467" s="49"/>
      <c r="AX467" s="49"/>
    </row>
    <row r="468">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c r="AE468" s="49"/>
      <c r="AF468" s="49"/>
      <c r="AG468" s="49"/>
      <c r="AH468" s="49"/>
      <c r="AI468" s="49"/>
      <c r="AJ468" s="49"/>
      <c r="AK468" s="49"/>
      <c r="AL468" s="49"/>
      <c r="AM468" s="49"/>
      <c r="AN468" s="49"/>
      <c r="AO468" s="49"/>
      <c r="AP468" s="49"/>
      <c r="AQ468" s="49"/>
      <c r="AR468" s="49"/>
      <c r="AS468" s="49"/>
      <c r="AT468" s="49"/>
      <c r="AU468" s="49"/>
      <c r="AV468" s="49"/>
      <c r="AW468" s="49"/>
      <c r="AX468" s="49"/>
    </row>
    <row r="469">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c r="AE469" s="49"/>
      <c r="AF469" s="49"/>
      <c r="AG469" s="49"/>
      <c r="AH469" s="49"/>
      <c r="AI469" s="49"/>
      <c r="AJ469" s="49"/>
      <c r="AK469" s="49"/>
      <c r="AL469" s="49"/>
      <c r="AM469" s="49"/>
      <c r="AN469" s="49"/>
      <c r="AO469" s="49"/>
      <c r="AP469" s="49"/>
      <c r="AQ469" s="49"/>
      <c r="AR469" s="49"/>
      <c r="AS469" s="49"/>
      <c r="AT469" s="49"/>
      <c r="AU469" s="49"/>
      <c r="AV469" s="49"/>
      <c r="AW469" s="49"/>
      <c r="AX469" s="49"/>
    </row>
    <row r="470">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c r="AE470" s="49"/>
      <c r="AF470" s="49"/>
      <c r="AG470" s="49"/>
      <c r="AH470" s="49"/>
      <c r="AI470" s="49"/>
      <c r="AJ470" s="49"/>
      <c r="AK470" s="49"/>
      <c r="AL470" s="49"/>
      <c r="AM470" s="49"/>
      <c r="AN470" s="49"/>
      <c r="AO470" s="49"/>
      <c r="AP470" s="49"/>
      <c r="AQ470" s="49"/>
      <c r="AR470" s="49"/>
      <c r="AS470" s="49"/>
      <c r="AT470" s="49"/>
      <c r="AU470" s="49"/>
      <c r="AV470" s="49"/>
      <c r="AW470" s="49"/>
      <c r="AX470" s="49"/>
    </row>
    <row r="471">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c r="AE471" s="49"/>
      <c r="AF471" s="49"/>
      <c r="AG471" s="49"/>
      <c r="AH471" s="49"/>
      <c r="AI471" s="49"/>
      <c r="AJ471" s="49"/>
      <c r="AK471" s="49"/>
      <c r="AL471" s="49"/>
      <c r="AM471" s="49"/>
      <c r="AN471" s="49"/>
      <c r="AO471" s="49"/>
      <c r="AP471" s="49"/>
      <c r="AQ471" s="49"/>
      <c r="AR471" s="49"/>
      <c r="AS471" s="49"/>
      <c r="AT471" s="49"/>
      <c r="AU471" s="49"/>
      <c r="AV471" s="49"/>
      <c r="AW471" s="49"/>
      <c r="AX471" s="49"/>
    </row>
    <row r="472">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c r="AE472" s="49"/>
      <c r="AF472" s="49"/>
      <c r="AG472" s="49"/>
      <c r="AH472" s="49"/>
      <c r="AI472" s="49"/>
      <c r="AJ472" s="49"/>
      <c r="AK472" s="49"/>
      <c r="AL472" s="49"/>
      <c r="AM472" s="49"/>
      <c r="AN472" s="49"/>
      <c r="AO472" s="49"/>
      <c r="AP472" s="49"/>
      <c r="AQ472" s="49"/>
      <c r="AR472" s="49"/>
      <c r="AS472" s="49"/>
      <c r="AT472" s="49"/>
      <c r="AU472" s="49"/>
      <c r="AV472" s="49"/>
      <c r="AW472" s="49"/>
      <c r="AX472" s="49"/>
    </row>
    <row r="473">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c r="AE473" s="49"/>
      <c r="AF473" s="49"/>
      <c r="AG473" s="49"/>
      <c r="AH473" s="49"/>
      <c r="AI473" s="49"/>
      <c r="AJ473" s="49"/>
      <c r="AK473" s="49"/>
      <c r="AL473" s="49"/>
      <c r="AM473" s="49"/>
      <c r="AN473" s="49"/>
      <c r="AO473" s="49"/>
      <c r="AP473" s="49"/>
      <c r="AQ473" s="49"/>
      <c r="AR473" s="49"/>
      <c r="AS473" s="49"/>
      <c r="AT473" s="49"/>
      <c r="AU473" s="49"/>
      <c r="AV473" s="49"/>
      <c r="AW473" s="49"/>
      <c r="AX473" s="49"/>
    </row>
    <row r="474">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c r="AE474" s="49"/>
      <c r="AF474" s="49"/>
      <c r="AG474" s="49"/>
      <c r="AH474" s="49"/>
      <c r="AI474" s="49"/>
      <c r="AJ474" s="49"/>
      <c r="AK474" s="49"/>
      <c r="AL474" s="49"/>
      <c r="AM474" s="49"/>
      <c r="AN474" s="49"/>
      <c r="AO474" s="49"/>
      <c r="AP474" s="49"/>
      <c r="AQ474" s="49"/>
      <c r="AR474" s="49"/>
      <c r="AS474" s="49"/>
      <c r="AT474" s="49"/>
      <c r="AU474" s="49"/>
      <c r="AV474" s="49"/>
      <c r="AW474" s="49"/>
      <c r="AX474" s="49"/>
    </row>
    <row r="47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c r="AE475" s="49"/>
      <c r="AF475" s="49"/>
      <c r="AG475" s="49"/>
      <c r="AH475" s="49"/>
      <c r="AI475" s="49"/>
      <c r="AJ475" s="49"/>
      <c r="AK475" s="49"/>
      <c r="AL475" s="49"/>
      <c r="AM475" s="49"/>
      <c r="AN475" s="49"/>
      <c r="AO475" s="49"/>
      <c r="AP475" s="49"/>
      <c r="AQ475" s="49"/>
      <c r="AR475" s="49"/>
      <c r="AS475" s="49"/>
      <c r="AT475" s="49"/>
      <c r="AU475" s="49"/>
      <c r="AV475" s="49"/>
      <c r="AW475" s="49"/>
      <c r="AX475" s="49"/>
    </row>
    <row r="476">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c r="AE476" s="49"/>
      <c r="AF476" s="49"/>
      <c r="AG476" s="49"/>
      <c r="AH476" s="49"/>
      <c r="AI476" s="49"/>
      <c r="AJ476" s="49"/>
      <c r="AK476" s="49"/>
      <c r="AL476" s="49"/>
      <c r="AM476" s="49"/>
      <c r="AN476" s="49"/>
      <c r="AO476" s="49"/>
      <c r="AP476" s="49"/>
      <c r="AQ476" s="49"/>
      <c r="AR476" s="49"/>
      <c r="AS476" s="49"/>
      <c r="AT476" s="49"/>
      <c r="AU476" s="49"/>
      <c r="AV476" s="49"/>
      <c r="AW476" s="49"/>
      <c r="AX476" s="49"/>
    </row>
    <row r="477">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c r="AE477" s="49"/>
      <c r="AF477" s="49"/>
      <c r="AG477" s="49"/>
      <c r="AH477" s="49"/>
      <c r="AI477" s="49"/>
      <c r="AJ477" s="49"/>
      <c r="AK477" s="49"/>
      <c r="AL477" s="49"/>
      <c r="AM477" s="49"/>
      <c r="AN477" s="49"/>
      <c r="AO477" s="49"/>
      <c r="AP477" s="49"/>
      <c r="AQ477" s="49"/>
      <c r="AR477" s="49"/>
      <c r="AS477" s="49"/>
      <c r="AT477" s="49"/>
      <c r="AU477" s="49"/>
      <c r="AV477" s="49"/>
      <c r="AW477" s="49"/>
      <c r="AX477" s="49"/>
    </row>
    <row r="478">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c r="AE478" s="49"/>
      <c r="AF478" s="49"/>
      <c r="AG478" s="49"/>
      <c r="AH478" s="49"/>
      <c r="AI478" s="49"/>
      <c r="AJ478" s="49"/>
      <c r="AK478" s="49"/>
      <c r="AL478" s="49"/>
      <c r="AM478" s="49"/>
      <c r="AN478" s="49"/>
      <c r="AO478" s="49"/>
      <c r="AP478" s="49"/>
      <c r="AQ478" s="49"/>
      <c r="AR478" s="49"/>
      <c r="AS478" s="49"/>
      <c r="AT478" s="49"/>
      <c r="AU478" s="49"/>
      <c r="AV478" s="49"/>
      <c r="AW478" s="49"/>
      <c r="AX478" s="49"/>
    </row>
    <row r="479">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c r="AF479" s="49"/>
      <c r="AG479" s="49"/>
      <c r="AH479" s="49"/>
      <c r="AI479" s="49"/>
      <c r="AJ479" s="49"/>
      <c r="AK479" s="49"/>
      <c r="AL479" s="49"/>
      <c r="AM479" s="49"/>
      <c r="AN479" s="49"/>
      <c r="AO479" s="49"/>
      <c r="AP479" s="49"/>
      <c r="AQ479" s="49"/>
      <c r="AR479" s="49"/>
      <c r="AS479" s="49"/>
      <c r="AT479" s="49"/>
      <c r="AU479" s="49"/>
      <c r="AV479" s="49"/>
      <c r="AW479" s="49"/>
      <c r="AX479" s="49"/>
    </row>
    <row r="480">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c r="AF480" s="49"/>
      <c r="AG480" s="49"/>
      <c r="AH480" s="49"/>
      <c r="AI480" s="49"/>
      <c r="AJ480" s="49"/>
      <c r="AK480" s="49"/>
      <c r="AL480" s="49"/>
      <c r="AM480" s="49"/>
      <c r="AN480" s="49"/>
      <c r="AO480" s="49"/>
      <c r="AP480" s="49"/>
      <c r="AQ480" s="49"/>
      <c r="AR480" s="49"/>
      <c r="AS480" s="49"/>
      <c r="AT480" s="49"/>
      <c r="AU480" s="49"/>
      <c r="AV480" s="49"/>
      <c r="AW480" s="49"/>
      <c r="AX480" s="49"/>
    </row>
    <row r="481">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c r="AF481" s="49"/>
      <c r="AG481" s="49"/>
      <c r="AH481" s="49"/>
      <c r="AI481" s="49"/>
      <c r="AJ481" s="49"/>
      <c r="AK481" s="49"/>
      <c r="AL481" s="49"/>
      <c r="AM481" s="49"/>
      <c r="AN481" s="49"/>
      <c r="AO481" s="49"/>
      <c r="AP481" s="49"/>
      <c r="AQ481" s="49"/>
      <c r="AR481" s="49"/>
      <c r="AS481" s="49"/>
      <c r="AT481" s="49"/>
      <c r="AU481" s="49"/>
      <c r="AV481" s="49"/>
      <c r="AW481" s="49"/>
      <c r="AX481" s="49"/>
    </row>
    <row r="482">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c r="AE482" s="49"/>
      <c r="AF482" s="49"/>
      <c r="AG482" s="49"/>
      <c r="AH482" s="49"/>
      <c r="AI482" s="49"/>
      <c r="AJ482" s="49"/>
      <c r="AK482" s="49"/>
      <c r="AL482" s="49"/>
      <c r="AM482" s="49"/>
      <c r="AN482" s="49"/>
      <c r="AO482" s="49"/>
      <c r="AP482" s="49"/>
      <c r="AQ482" s="49"/>
      <c r="AR482" s="49"/>
      <c r="AS482" s="49"/>
      <c r="AT482" s="49"/>
      <c r="AU482" s="49"/>
      <c r="AV482" s="49"/>
      <c r="AW482" s="49"/>
      <c r="AX482" s="49"/>
    </row>
    <row r="483">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c r="AE483" s="49"/>
      <c r="AF483" s="49"/>
      <c r="AG483" s="49"/>
      <c r="AH483" s="49"/>
      <c r="AI483" s="49"/>
      <c r="AJ483" s="49"/>
      <c r="AK483" s="49"/>
      <c r="AL483" s="49"/>
      <c r="AM483" s="49"/>
      <c r="AN483" s="49"/>
      <c r="AO483" s="49"/>
      <c r="AP483" s="49"/>
      <c r="AQ483" s="49"/>
      <c r="AR483" s="49"/>
      <c r="AS483" s="49"/>
      <c r="AT483" s="49"/>
      <c r="AU483" s="49"/>
      <c r="AV483" s="49"/>
      <c r="AW483" s="49"/>
      <c r="AX483" s="49"/>
    </row>
    <row r="484">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c r="AF484" s="49"/>
      <c r="AG484" s="49"/>
      <c r="AH484" s="49"/>
      <c r="AI484" s="49"/>
      <c r="AJ484" s="49"/>
      <c r="AK484" s="49"/>
      <c r="AL484" s="49"/>
      <c r="AM484" s="49"/>
      <c r="AN484" s="49"/>
      <c r="AO484" s="49"/>
      <c r="AP484" s="49"/>
      <c r="AQ484" s="49"/>
      <c r="AR484" s="49"/>
      <c r="AS484" s="49"/>
      <c r="AT484" s="49"/>
      <c r="AU484" s="49"/>
      <c r="AV484" s="49"/>
      <c r="AW484" s="49"/>
      <c r="AX484" s="49"/>
    </row>
    <row r="48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c r="AE485" s="49"/>
      <c r="AF485" s="49"/>
      <c r="AG485" s="49"/>
      <c r="AH485" s="49"/>
      <c r="AI485" s="49"/>
      <c r="AJ485" s="49"/>
      <c r="AK485" s="49"/>
      <c r="AL485" s="49"/>
      <c r="AM485" s="49"/>
      <c r="AN485" s="49"/>
      <c r="AO485" s="49"/>
      <c r="AP485" s="49"/>
      <c r="AQ485" s="49"/>
      <c r="AR485" s="49"/>
      <c r="AS485" s="49"/>
      <c r="AT485" s="49"/>
      <c r="AU485" s="49"/>
      <c r="AV485" s="49"/>
      <c r="AW485" s="49"/>
      <c r="AX485" s="49"/>
    </row>
    <row r="486">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c r="AE486" s="49"/>
      <c r="AF486" s="49"/>
      <c r="AG486" s="49"/>
      <c r="AH486" s="49"/>
      <c r="AI486" s="49"/>
      <c r="AJ486" s="49"/>
      <c r="AK486" s="49"/>
      <c r="AL486" s="49"/>
      <c r="AM486" s="49"/>
      <c r="AN486" s="49"/>
      <c r="AO486" s="49"/>
      <c r="AP486" s="49"/>
      <c r="AQ486" s="49"/>
      <c r="AR486" s="49"/>
      <c r="AS486" s="49"/>
      <c r="AT486" s="49"/>
      <c r="AU486" s="49"/>
      <c r="AV486" s="49"/>
      <c r="AW486" s="49"/>
      <c r="AX486" s="49"/>
    </row>
    <row r="487">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c r="AF487" s="49"/>
      <c r="AG487" s="49"/>
      <c r="AH487" s="49"/>
      <c r="AI487" s="49"/>
      <c r="AJ487" s="49"/>
      <c r="AK487" s="49"/>
      <c r="AL487" s="49"/>
      <c r="AM487" s="49"/>
      <c r="AN487" s="49"/>
      <c r="AO487" s="49"/>
      <c r="AP487" s="49"/>
      <c r="AQ487" s="49"/>
      <c r="AR487" s="49"/>
      <c r="AS487" s="49"/>
      <c r="AT487" s="49"/>
      <c r="AU487" s="49"/>
      <c r="AV487" s="49"/>
      <c r="AW487" s="49"/>
      <c r="AX487" s="49"/>
    </row>
    <row r="488">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c r="AE488" s="49"/>
      <c r="AF488" s="49"/>
      <c r="AG488" s="49"/>
      <c r="AH488" s="49"/>
      <c r="AI488" s="49"/>
      <c r="AJ488" s="49"/>
      <c r="AK488" s="49"/>
      <c r="AL488" s="49"/>
      <c r="AM488" s="49"/>
      <c r="AN488" s="49"/>
      <c r="AO488" s="49"/>
      <c r="AP488" s="49"/>
      <c r="AQ488" s="49"/>
      <c r="AR488" s="49"/>
      <c r="AS488" s="49"/>
      <c r="AT488" s="49"/>
      <c r="AU488" s="49"/>
      <c r="AV488" s="49"/>
      <c r="AW488" s="49"/>
      <c r="AX488" s="49"/>
    </row>
    <row r="489">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c r="AE489" s="49"/>
      <c r="AF489" s="49"/>
      <c r="AG489" s="49"/>
      <c r="AH489" s="49"/>
      <c r="AI489" s="49"/>
      <c r="AJ489" s="49"/>
      <c r="AK489" s="49"/>
      <c r="AL489" s="49"/>
      <c r="AM489" s="49"/>
      <c r="AN489" s="49"/>
      <c r="AO489" s="49"/>
      <c r="AP489" s="49"/>
      <c r="AQ489" s="49"/>
      <c r="AR489" s="49"/>
      <c r="AS489" s="49"/>
      <c r="AT489" s="49"/>
      <c r="AU489" s="49"/>
      <c r="AV489" s="49"/>
      <c r="AW489" s="49"/>
      <c r="AX489" s="49"/>
    </row>
    <row r="490">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c r="AE490" s="49"/>
      <c r="AF490" s="49"/>
      <c r="AG490" s="49"/>
      <c r="AH490" s="49"/>
      <c r="AI490" s="49"/>
      <c r="AJ490" s="49"/>
      <c r="AK490" s="49"/>
      <c r="AL490" s="49"/>
      <c r="AM490" s="49"/>
      <c r="AN490" s="49"/>
      <c r="AO490" s="49"/>
      <c r="AP490" s="49"/>
      <c r="AQ490" s="49"/>
      <c r="AR490" s="49"/>
      <c r="AS490" s="49"/>
      <c r="AT490" s="49"/>
      <c r="AU490" s="49"/>
      <c r="AV490" s="49"/>
      <c r="AW490" s="49"/>
      <c r="AX490" s="49"/>
    </row>
    <row r="491">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c r="AE491" s="49"/>
      <c r="AF491" s="49"/>
      <c r="AG491" s="49"/>
      <c r="AH491" s="49"/>
      <c r="AI491" s="49"/>
      <c r="AJ491" s="49"/>
      <c r="AK491" s="49"/>
      <c r="AL491" s="49"/>
      <c r="AM491" s="49"/>
      <c r="AN491" s="49"/>
      <c r="AO491" s="49"/>
      <c r="AP491" s="49"/>
      <c r="AQ491" s="49"/>
      <c r="AR491" s="49"/>
      <c r="AS491" s="49"/>
      <c r="AT491" s="49"/>
      <c r="AU491" s="49"/>
      <c r="AV491" s="49"/>
      <c r="AW491" s="49"/>
      <c r="AX491" s="49"/>
    </row>
    <row r="492">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c r="AE492" s="49"/>
      <c r="AF492" s="49"/>
      <c r="AG492" s="49"/>
      <c r="AH492" s="49"/>
      <c r="AI492" s="49"/>
      <c r="AJ492" s="49"/>
      <c r="AK492" s="49"/>
      <c r="AL492" s="49"/>
      <c r="AM492" s="49"/>
      <c r="AN492" s="49"/>
      <c r="AO492" s="49"/>
      <c r="AP492" s="49"/>
      <c r="AQ492" s="49"/>
      <c r="AR492" s="49"/>
      <c r="AS492" s="49"/>
      <c r="AT492" s="49"/>
      <c r="AU492" s="49"/>
      <c r="AV492" s="49"/>
      <c r="AW492" s="49"/>
      <c r="AX492" s="49"/>
    </row>
    <row r="493">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c r="AF493" s="49"/>
      <c r="AG493" s="49"/>
      <c r="AH493" s="49"/>
      <c r="AI493" s="49"/>
      <c r="AJ493" s="49"/>
      <c r="AK493" s="49"/>
      <c r="AL493" s="49"/>
      <c r="AM493" s="49"/>
      <c r="AN493" s="49"/>
      <c r="AO493" s="49"/>
      <c r="AP493" s="49"/>
      <c r="AQ493" s="49"/>
      <c r="AR493" s="49"/>
      <c r="AS493" s="49"/>
      <c r="AT493" s="49"/>
      <c r="AU493" s="49"/>
      <c r="AV493" s="49"/>
      <c r="AW493" s="49"/>
      <c r="AX493" s="49"/>
    </row>
    <row r="494">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c r="AE494" s="49"/>
      <c r="AF494" s="49"/>
      <c r="AG494" s="49"/>
      <c r="AH494" s="49"/>
      <c r="AI494" s="49"/>
      <c r="AJ494" s="49"/>
      <c r="AK494" s="49"/>
      <c r="AL494" s="49"/>
      <c r="AM494" s="49"/>
      <c r="AN494" s="49"/>
      <c r="AO494" s="49"/>
      <c r="AP494" s="49"/>
      <c r="AQ494" s="49"/>
      <c r="AR494" s="49"/>
      <c r="AS494" s="49"/>
      <c r="AT494" s="49"/>
      <c r="AU494" s="49"/>
      <c r="AV494" s="49"/>
      <c r="AW494" s="49"/>
      <c r="AX494" s="49"/>
    </row>
    <row r="49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c r="AE495" s="49"/>
      <c r="AF495" s="49"/>
      <c r="AG495" s="49"/>
      <c r="AH495" s="49"/>
      <c r="AI495" s="49"/>
      <c r="AJ495" s="49"/>
      <c r="AK495" s="49"/>
      <c r="AL495" s="49"/>
      <c r="AM495" s="49"/>
      <c r="AN495" s="49"/>
      <c r="AO495" s="49"/>
      <c r="AP495" s="49"/>
      <c r="AQ495" s="49"/>
      <c r="AR495" s="49"/>
      <c r="AS495" s="49"/>
      <c r="AT495" s="49"/>
      <c r="AU495" s="49"/>
      <c r="AV495" s="49"/>
      <c r="AW495" s="49"/>
      <c r="AX495" s="49"/>
    </row>
    <row r="496">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c r="AE496" s="49"/>
      <c r="AF496" s="49"/>
      <c r="AG496" s="49"/>
      <c r="AH496" s="49"/>
      <c r="AI496" s="49"/>
      <c r="AJ496" s="49"/>
      <c r="AK496" s="49"/>
      <c r="AL496" s="49"/>
      <c r="AM496" s="49"/>
      <c r="AN496" s="49"/>
      <c r="AO496" s="49"/>
      <c r="AP496" s="49"/>
      <c r="AQ496" s="49"/>
      <c r="AR496" s="49"/>
      <c r="AS496" s="49"/>
      <c r="AT496" s="49"/>
      <c r="AU496" s="49"/>
      <c r="AV496" s="49"/>
      <c r="AW496" s="49"/>
      <c r="AX496" s="49"/>
    </row>
    <row r="497">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c r="AE497" s="49"/>
      <c r="AF497" s="49"/>
      <c r="AG497" s="49"/>
      <c r="AH497" s="49"/>
      <c r="AI497" s="49"/>
      <c r="AJ497" s="49"/>
      <c r="AK497" s="49"/>
      <c r="AL497" s="49"/>
      <c r="AM497" s="49"/>
      <c r="AN497" s="49"/>
      <c r="AO497" s="49"/>
      <c r="AP497" s="49"/>
      <c r="AQ497" s="49"/>
      <c r="AR497" s="49"/>
      <c r="AS497" s="49"/>
      <c r="AT497" s="49"/>
      <c r="AU497" s="49"/>
      <c r="AV497" s="49"/>
      <c r="AW497" s="49"/>
      <c r="AX497" s="49"/>
    </row>
    <row r="498">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c r="AE498" s="49"/>
      <c r="AF498" s="49"/>
      <c r="AG498" s="49"/>
      <c r="AH498" s="49"/>
      <c r="AI498" s="49"/>
      <c r="AJ498" s="49"/>
      <c r="AK498" s="49"/>
      <c r="AL498" s="49"/>
      <c r="AM498" s="49"/>
      <c r="AN498" s="49"/>
      <c r="AO498" s="49"/>
      <c r="AP498" s="49"/>
      <c r="AQ498" s="49"/>
      <c r="AR498" s="49"/>
      <c r="AS498" s="49"/>
      <c r="AT498" s="49"/>
      <c r="AU498" s="49"/>
      <c r="AV498" s="49"/>
      <c r="AW498" s="49"/>
      <c r="AX498" s="49"/>
    </row>
    <row r="499">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c r="AE499" s="49"/>
      <c r="AF499" s="49"/>
      <c r="AG499" s="49"/>
      <c r="AH499" s="49"/>
      <c r="AI499" s="49"/>
      <c r="AJ499" s="49"/>
      <c r="AK499" s="49"/>
      <c r="AL499" s="49"/>
      <c r="AM499" s="49"/>
      <c r="AN499" s="49"/>
      <c r="AO499" s="49"/>
      <c r="AP499" s="49"/>
      <c r="AQ499" s="49"/>
      <c r="AR499" s="49"/>
      <c r="AS499" s="49"/>
      <c r="AT499" s="49"/>
      <c r="AU499" s="49"/>
      <c r="AV499" s="49"/>
      <c r="AW499" s="49"/>
      <c r="AX499" s="49"/>
    </row>
    <row r="500">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c r="AF500" s="49"/>
      <c r="AG500" s="49"/>
      <c r="AH500" s="49"/>
      <c r="AI500" s="49"/>
      <c r="AJ500" s="49"/>
      <c r="AK500" s="49"/>
      <c r="AL500" s="49"/>
      <c r="AM500" s="49"/>
      <c r="AN500" s="49"/>
      <c r="AO500" s="49"/>
      <c r="AP500" s="49"/>
      <c r="AQ500" s="49"/>
      <c r="AR500" s="49"/>
      <c r="AS500" s="49"/>
      <c r="AT500" s="49"/>
      <c r="AU500" s="49"/>
      <c r="AV500" s="49"/>
      <c r="AW500" s="49"/>
      <c r="AX500" s="49"/>
    </row>
    <row r="501">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c r="AF501" s="49"/>
      <c r="AG501" s="49"/>
      <c r="AH501" s="49"/>
      <c r="AI501" s="49"/>
      <c r="AJ501" s="49"/>
      <c r="AK501" s="49"/>
      <c r="AL501" s="49"/>
      <c r="AM501" s="49"/>
      <c r="AN501" s="49"/>
      <c r="AO501" s="49"/>
      <c r="AP501" s="49"/>
      <c r="AQ501" s="49"/>
      <c r="AR501" s="49"/>
      <c r="AS501" s="49"/>
      <c r="AT501" s="49"/>
      <c r="AU501" s="49"/>
      <c r="AV501" s="49"/>
      <c r="AW501" s="49"/>
      <c r="AX501" s="49"/>
    </row>
    <row r="502">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c r="AE502" s="49"/>
      <c r="AF502" s="49"/>
      <c r="AG502" s="49"/>
      <c r="AH502" s="49"/>
      <c r="AI502" s="49"/>
      <c r="AJ502" s="49"/>
      <c r="AK502" s="49"/>
      <c r="AL502" s="49"/>
      <c r="AM502" s="49"/>
      <c r="AN502" s="49"/>
      <c r="AO502" s="49"/>
      <c r="AP502" s="49"/>
      <c r="AQ502" s="49"/>
      <c r="AR502" s="49"/>
      <c r="AS502" s="49"/>
      <c r="AT502" s="49"/>
      <c r="AU502" s="49"/>
      <c r="AV502" s="49"/>
      <c r="AW502" s="49"/>
      <c r="AX502" s="49"/>
    </row>
    <row r="503">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c r="AE503" s="49"/>
      <c r="AF503" s="49"/>
      <c r="AG503" s="49"/>
      <c r="AH503" s="49"/>
      <c r="AI503" s="49"/>
      <c r="AJ503" s="49"/>
      <c r="AK503" s="49"/>
      <c r="AL503" s="49"/>
      <c r="AM503" s="49"/>
      <c r="AN503" s="49"/>
      <c r="AO503" s="49"/>
      <c r="AP503" s="49"/>
      <c r="AQ503" s="49"/>
      <c r="AR503" s="49"/>
      <c r="AS503" s="49"/>
      <c r="AT503" s="49"/>
      <c r="AU503" s="49"/>
      <c r="AV503" s="49"/>
      <c r="AW503" s="49"/>
      <c r="AX503" s="49"/>
    </row>
    <row r="504">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c r="AF504" s="49"/>
      <c r="AG504" s="49"/>
      <c r="AH504" s="49"/>
      <c r="AI504" s="49"/>
      <c r="AJ504" s="49"/>
      <c r="AK504" s="49"/>
      <c r="AL504" s="49"/>
      <c r="AM504" s="49"/>
      <c r="AN504" s="49"/>
      <c r="AO504" s="49"/>
      <c r="AP504" s="49"/>
      <c r="AQ504" s="49"/>
      <c r="AR504" s="49"/>
      <c r="AS504" s="49"/>
      <c r="AT504" s="49"/>
      <c r="AU504" s="49"/>
      <c r="AV504" s="49"/>
      <c r="AW504" s="49"/>
      <c r="AX504" s="49"/>
    </row>
    <row r="50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c r="AF505" s="49"/>
      <c r="AG505" s="49"/>
      <c r="AH505" s="49"/>
      <c r="AI505" s="49"/>
      <c r="AJ505" s="49"/>
      <c r="AK505" s="49"/>
      <c r="AL505" s="49"/>
      <c r="AM505" s="49"/>
      <c r="AN505" s="49"/>
      <c r="AO505" s="49"/>
      <c r="AP505" s="49"/>
      <c r="AQ505" s="49"/>
      <c r="AR505" s="49"/>
      <c r="AS505" s="49"/>
      <c r="AT505" s="49"/>
      <c r="AU505" s="49"/>
      <c r="AV505" s="49"/>
      <c r="AW505" s="49"/>
      <c r="AX505" s="49"/>
    </row>
    <row r="506">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c r="AF506" s="49"/>
      <c r="AG506" s="49"/>
      <c r="AH506" s="49"/>
      <c r="AI506" s="49"/>
      <c r="AJ506" s="49"/>
      <c r="AK506" s="49"/>
      <c r="AL506" s="49"/>
      <c r="AM506" s="49"/>
      <c r="AN506" s="49"/>
      <c r="AO506" s="49"/>
      <c r="AP506" s="49"/>
      <c r="AQ506" s="49"/>
      <c r="AR506" s="49"/>
      <c r="AS506" s="49"/>
      <c r="AT506" s="49"/>
      <c r="AU506" s="49"/>
      <c r="AV506" s="49"/>
      <c r="AW506" s="49"/>
      <c r="AX506" s="49"/>
    </row>
    <row r="507">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c r="AF507" s="49"/>
      <c r="AG507" s="49"/>
      <c r="AH507" s="49"/>
      <c r="AI507" s="49"/>
      <c r="AJ507" s="49"/>
      <c r="AK507" s="49"/>
      <c r="AL507" s="49"/>
      <c r="AM507" s="49"/>
      <c r="AN507" s="49"/>
      <c r="AO507" s="49"/>
      <c r="AP507" s="49"/>
      <c r="AQ507" s="49"/>
      <c r="AR507" s="49"/>
      <c r="AS507" s="49"/>
      <c r="AT507" s="49"/>
      <c r="AU507" s="49"/>
      <c r="AV507" s="49"/>
      <c r="AW507" s="49"/>
      <c r="AX507" s="49"/>
    </row>
    <row r="508">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c r="AF508" s="49"/>
      <c r="AG508" s="49"/>
      <c r="AH508" s="49"/>
      <c r="AI508" s="49"/>
      <c r="AJ508" s="49"/>
      <c r="AK508" s="49"/>
      <c r="AL508" s="49"/>
      <c r="AM508" s="49"/>
      <c r="AN508" s="49"/>
      <c r="AO508" s="49"/>
      <c r="AP508" s="49"/>
      <c r="AQ508" s="49"/>
      <c r="AR508" s="49"/>
      <c r="AS508" s="49"/>
      <c r="AT508" s="49"/>
      <c r="AU508" s="49"/>
      <c r="AV508" s="49"/>
      <c r="AW508" s="49"/>
      <c r="AX508" s="49"/>
    </row>
    <row r="509">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c r="AF509" s="49"/>
      <c r="AG509" s="49"/>
      <c r="AH509" s="49"/>
      <c r="AI509" s="49"/>
      <c r="AJ509" s="49"/>
      <c r="AK509" s="49"/>
      <c r="AL509" s="49"/>
      <c r="AM509" s="49"/>
      <c r="AN509" s="49"/>
      <c r="AO509" s="49"/>
      <c r="AP509" s="49"/>
      <c r="AQ509" s="49"/>
      <c r="AR509" s="49"/>
      <c r="AS509" s="49"/>
      <c r="AT509" s="49"/>
      <c r="AU509" s="49"/>
      <c r="AV509" s="49"/>
      <c r="AW509" s="49"/>
      <c r="AX509" s="49"/>
    </row>
    <row r="510">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c r="AF510" s="49"/>
      <c r="AG510" s="49"/>
      <c r="AH510" s="49"/>
      <c r="AI510" s="49"/>
      <c r="AJ510" s="49"/>
      <c r="AK510" s="49"/>
      <c r="AL510" s="49"/>
      <c r="AM510" s="49"/>
      <c r="AN510" s="49"/>
      <c r="AO510" s="49"/>
      <c r="AP510" s="49"/>
      <c r="AQ510" s="49"/>
      <c r="AR510" s="49"/>
      <c r="AS510" s="49"/>
      <c r="AT510" s="49"/>
      <c r="AU510" s="49"/>
      <c r="AV510" s="49"/>
      <c r="AW510" s="49"/>
      <c r="AX510" s="49"/>
    </row>
    <row r="511">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c r="AF511" s="49"/>
      <c r="AG511" s="49"/>
      <c r="AH511" s="49"/>
      <c r="AI511" s="49"/>
      <c r="AJ511" s="49"/>
      <c r="AK511" s="49"/>
      <c r="AL511" s="49"/>
      <c r="AM511" s="49"/>
      <c r="AN511" s="49"/>
      <c r="AO511" s="49"/>
      <c r="AP511" s="49"/>
      <c r="AQ511" s="49"/>
      <c r="AR511" s="49"/>
      <c r="AS511" s="49"/>
      <c r="AT511" s="49"/>
      <c r="AU511" s="49"/>
      <c r="AV511" s="49"/>
      <c r="AW511" s="49"/>
      <c r="AX511" s="49"/>
    </row>
    <row r="512">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c r="AF512" s="49"/>
      <c r="AG512" s="49"/>
      <c r="AH512" s="49"/>
      <c r="AI512" s="49"/>
      <c r="AJ512" s="49"/>
      <c r="AK512" s="49"/>
      <c r="AL512" s="49"/>
      <c r="AM512" s="49"/>
      <c r="AN512" s="49"/>
      <c r="AO512" s="49"/>
      <c r="AP512" s="49"/>
      <c r="AQ512" s="49"/>
      <c r="AR512" s="49"/>
      <c r="AS512" s="49"/>
      <c r="AT512" s="49"/>
      <c r="AU512" s="49"/>
      <c r="AV512" s="49"/>
      <c r="AW512" s="49"/>
      <c r="AX512" s="49"/>
    </row>
    <row r="513">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c r="AF513" s="49"/>
      <c r="AG513" s="49"/>
      <c r="AH513" s="49"/>
      <c r="AI513" s="49"/>
      <c r="AJ513" s="49"/>
      <c r="AK513" s="49"/>
      <c r="AL513" s="49"/>
      <c r="AM513" s="49"/>
      <c r="AN513" s="49"/>
      <c r="AO513" s="49"/>
      <c r="AP513" s="49"/>
      <c r="AQ513" s="49"/>
      <c r="AR513" s="49"/>
      <c r="AS513" s="49"/>
      <c r="AT513" s="49"/>
      <c r="AU513" s="49"/>
      <c r="AV513" s="49"/>
      <c r="AW513" s="49"/>
      <c r="AX513" s="49"/>
    </row>
    <row r="514">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c r="AF514" s="49"/>
      <c r="AG514" s="49"/>
      <c r="AH514" s="49"/>
      <c r="AI514" s="49"/>
      <c r="AJ514" s="49"/>
      <c r="AK514" s="49"/>
      <c r="AL514" s="49"/>
      <c r="AM514" s="49"/>
      <c r="AN514" s="49"/>
      <c r="AO514" s="49"/>
      <c r="AP514" s="49"/>
      <c r="AQ514" s="49"/>
      <c r="AR514" s="49"/>
      <c r="AS514" s="49"/>
      <c r="AT514" s="49"/>
      <c r="AU514" s="49"/>
      <c r="AV514" s="49"/>
      <c r="AW514" s="49"/>
      <c r="AX514" s="49"/>
    </row>
    <row r="51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c r="AF515" s="49"/>
      <c r="AG515" s="49"/>
      <c r="AH515" s="49"/>
      <c r="AI515" s="49"/>
      <c r="AJ515" s="49"/>
      <c r="AK515" s="49"/>
      <c r="AL515" s="49"/>
      <c r="AM515" s="49"/>
      <c r="AN515" s="49"/>
      <c r="AO515" s="49"/>
      <c r="AP515" s="49"/>
      <c r="AQ515" s="49"/>
      <c r="AR515" s="49"/>
      <c r="AS515" s="49"/>
      <c r="AT515" s="49"/>
      <c r="AU515" s="49"/>
      <c r="AV515" s="49"/>
      <c r="AW515" s="49"/>
      <c r="AX515" s="49"/>
    </row>
    <row r="516">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c r="AF516" s="49"/>
      <c r="AG516" s="49"/>
      <c r="AH516" s="49"/>
      <c r="AI516" s="49"/>
      <c r="AJ516" s="49"/>
      <c r="AK516" s="49"/>
      <c r="AL516" s="49"/>
      <c r="AM516" s="49"/>
      <c r="AN516" s="49"/>
      <c r="AO516" s="49"/>
      <c r="AP516" s="49"/>
      <c r="AQ516" s="49"/>
      <c r="AR516" s="49"/>
      <c r="AS516" s="49"/>
      <c r="AT516" s="49"/>
      <c r="AU516" s="49"/>
      <c r="AV516" s="49"/>
      <c r="AW516" s="49"/>
      <c r="AX516" s="49"/>
    </row>
    <row r="517">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c r="AF517" s="49"/>
      <c r="AG517" s="49"/>
      <c r="AH517" s="49"/>
      <c r="AI517" s="49"/>
      <c r="AJ517" s="49"/>
      <c r="AK517" s="49"/>
      <c r="AL517" s="49"/>
      <c r="AM517" s="49"/>
      <c r="AN517" s="49"/>
      <c r="AO517" s="49"/>
      <c r="AP517" s="49"/>
      <c r="AQ517" s="49"/>
      <c r="AR517" s="49"/>
      <c r="AS517" s="49"/>
      <c r="AT517" s="49"/>
      <c r="AU517" s="49"/>
      <c r="AV517" s="49"/>
      <c r="AW517" s="49"/>
      <c r="AX517" s="49"/>
    </row>
    <row r="518">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c r="AF518" s="49"/>
      <c r="AG518" s="49"/>
      <c r="AH518" s="49"/>
      <c r="AI518" s="49"/>
      <c r="AJ518" s="49"/>
      <c r="AK518" s="49"/>
      <c r="AL518" s="49"/>
      <c r="AM518" s="49"/>
      <c r="AN518" s="49"/>
      <c r="AO518" s="49"/>
      <c r="AP518" s="49"/>
      <c r="AQ518" s="49"/>
      <c r="AR518" s="49"/>
      <c r="AS518" s="49"/>
      <c r="AT518" s="49"/>
      <c r="AU518" s="49"/>
      <c r="AV518" s="49"/>
      <c r="AW518" s="49"/>
      <c r="AX518" s="49"/>
    </row>
    <row r="519">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c r="AF519" s="49"/>
      <c r="AG519" s="49"/>
      <c r="AH519" s="49"/>
      <c r="AI519" s="49"/>
      <c r="AJ519" s="49"/>
      <c r="AK519" s="49"/>
      <c r="AL519" s="49"/>
      <c r="AM519" s="49"/>
      <c r="AN519" s="49"/>
      <c r="AO519" s="49"/>
      <c r="AP519" s="49"/>
      <c r="AQ519" s="49"/>
      <c r="AR519" s="49"/>
      <c r="AS519" s="49"/>
      <c r="AT519" s="49"/>
      <c r="AU519" s="49"/>
      <c r="AV519" s="49"/>
      <c r="AW519" s="49"/>
      <c r="AX519" s="49"/>
    </row>
    <row r="520">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c r="AF520" s="49"/>
      <c r="AG520" s="49"/>
      <c r="AH520" s="49"/>
      <c r="AI520" s="49"/>
      <c r="AJ520" s="49"/>
      <c r="AK520" s="49"/>
      <c r="AL520" s="49"/>
      <c r="AM520" s="49"/>
      <c r="AN520" s="49"/>
      <c r="AO520" s="49"/>
      <c r="AP520" s="49"/>
      <c r="AQ520" s="49"/>
      <c r="AR520" s="49"/>
      <c r="AS520" s="49"/>
      <c r="AT520" s="49"/>
      <c r="AU520" s="49"/>
      <c r="AV520" s="49"/>
      <c r="AW520" s="49"/>
      <c r="AX520" s="49"/>
    </row>
    <row r="521">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c r="AF521" s="49"/>
      <c r="AG521" s="49"/>
      <c r="AH521" s="49"/>
      <c r="AI521" s="49"/>
      <c r="AJ521" s="49"/>
      <c r="AK521" s="49"/>
      <c r="AL521" s="49"/>
      <c r="AM521" s="49"/>
      <c r="AN521" s="49"/>
      <c r="AO521" s="49"/>
      <c r="AP521" s="49"/>
      <c r="AQ521" s="49"/>
      <c r="AR521" s="49"/>
      <c r="AS521" s="49"/>
      <c r="AT521" s="49"/>
      <c r="AU521" s="49"/>
      <c r="AV521" s="49"/>
      <c r="AW521" s="49"/>
      <c r="AX521" s="49"/>
    </row>
    <row r="522">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c r="AF522" s="49"/>
      <c r="AG522" s="49"/>
      <c r="AH522" s="49"/>
      <c r="AI522" s="49"/>
      <c r="AJ522" s="49"/>
      <c r="AK522" s="49"/>
      <c r="AL522" s="49"/>
      <c r="AM522" s="49"/>
      <c r="AN522" s="49"/>
      <c r="AO522" s="49"/>
      <c r="AP522" s="49"/>
      <c r="AQ522" s="49"/>
      <c r="AR522" s="49"/>
      <c r="AS522" s="49"/>
      <c r="AT522" s="49"/>
      <c r="AU522" s="49"/>
      <c r="AV522" s="49"/>
      <c r="AW522" s="49"/>
      <c r="AX522" s="49"/>
    </row>
    <row r="523">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c r="AF523" s="49"/>
      <c r="AG523" s="49"/>
      <c r="AH523" s="49"/>
      <c r="AI523" s="49"/>
      <c r="AJ523" s="49"/>
      <c r="AK523" s="49"/>
      <c r="AL523" s="49"/>
      <c r="AM523" s="49"/>
      <c r="AN523" s="49"/>
      <c r="AO523" s="49"/>
      <c r="AP523" s="49"/>
      <c r="AQ523" s="49"/>
      <c r="AR523" s="49"/>
      <c r="AS523" s="49"/>
      <c r="AT523" s="49"/>
      <c r="AU523" s="49"/>
      <c r="AV523" s="49"/>
      <c r="AW523" s="49"/>
      <c r="AX523" s="49"/>
    </row>
    <row r="524">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c r="AF524" s="49"/>
      <c r="AG524" s="49"/>
      <c r="AH524" s="49"/>
      <c r="AI524" s="49"/>
      <c r="AJ524" s="49"/>
      <c r="AK524" s="49"/>
      <c r="AL524" s="49"/>
      <c r="AM524" s="49"/>
      <c r="AN524" s="49"/>
      <c r="AO524" s="49"/>
      <c r="AP524" s="49"/>
      <c r="AQ524" s="49"/>
      <c r="AR524" s="49"/>
      <c r="AS524" s="49"/>
      <c r="AT524" s="49"/>
      <c r="AU524" s="49"/>
      <c r="AV524" s="49"/>
      <c r="AW524" s="49"/>
      <c r="AX524" s="49"/>
    </row>
    <row r="5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c r="AF525" s="49"/>
      <c r="AG525" s="49"/>
      <c r="AH525" s="49"/>
      <c r="AI525" s="49"/>
      <c r="AJ525" s="49"/>
      <c r="AK525" s="49"/>
      <c r="AL525" s="49"/>
      <c r="AM525" s="49"/>
      <c r="AN525" s="49"/>
      <c r="AO525" s="49"/>
      <c r="AP525" s="49"/>
      <c r="AQ525" s="49"/>
      <c r="AR525" s="49"/>
      <c r="AS525" s="49"/>
      <c r="AT525" s="49"/>
      <c r="AU525" s="49"/>
      <c r="AV525" s="49"/>
      <c r="AW525" s="49"/>
      <c r="AX525" s="49"/>
    </row>
    <row r="526">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c r="AF526" s="49"/>
      <c r="AG526" s="49"/>
      <c r="AH526" s="49"/>
      <c r="AI526" s="49"/>
      <c r="AJ526" s="49"/>
      <c r="AK526" s="49"/>
      <c r="AL526" s="49"/>
      <c r="AM526" s="49"/>
      <c r="AN526" s="49"/>
      <c r="AO526" s="49"/>
      <c r="AP526" s="49"/>
      <c r="AQ526" s="49"/>
      <c r="AR526" s="49"/>
      <c r="AS526" s="49"/>
      <c r="AT526" s="49"/>
      <c r="AU526" s="49"/>
      <c r="AV526" s="49"/>
      <c r="AW526" s="49"/>
      <c r="AX526" s="49"/>
    </row>
    <row r="527">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c r="AF527" s="49"/>
      <c r="AG527" s="49"/>
      <c r="AH527" s="49"/>
      <c r="AI527" s="49"/>
      <c r="AJ527" s="49"/>
      <c r="AK527" s="49"/>
      <c r="AL527" s="49"/>
      <c r="AM527" s="49"/>
      <c r="AN527" s="49"/>
      <c r="AO527" s="49"/>
      <c r="AP527" s="49"/>
      <c r="AQ527" s="49"/>
      <c r="AR527" s="49"/>
      <c r="AS527" s="49"/>
      <c r="AT527" s="49"/>
      <c r="AU527" s="49"/>
      <c r="AV527" s="49"/>
      <c r="AW527" s="49"/>
      <c r="AX527" s="49"/>
    </row>
    <row r="528">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c r="AF528" s="49"/>
      <c r="AG528" s="49"/>
      <c r="AH528" s="49"/>
      <c r="AI528" s="49"/>
      <c r="AJ528" s="49"/>
      <c r="AK528" s="49"/>
      <c r="AL528" s="49"/>
      <c r="AM528" s="49"/>
      <c r="AN528" s="49"/>
      <c r="AO528" s="49"/>
      <c r="AP528" s="49"/>
      <c r="AQ528" s="49"/>
      <c r="AR528" s="49"/>
      <c r="AS528" s="49"/>
      <c r="AT528" s="49"/>
      <c r="AU528" s="49"/>
      <c r="AV528" s="49"/>
      <c r="AW528" s="49"/>
      <c r="AX528" s="49"/>
    </row>
    <row r="529">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c r="AE529" s="49"/>
      <c r="AF529" s="49"/>
      <c r="AG529" s="49"/>
      <c r="AH529" s="49"/>
      <c r="AI529" s="49"/>
      <c r="AJ529" s="49"/>
      <c r="AK529" s="49"/>
      <c r="AL529" s="49"/>
      <c r="AM529" s="49"/>
      <c r="AN529" s="49"/>
      <c r="AO529" s="49"/>
      <c r="AP529" s="49"/>
      <c r="AQ529" s="49"/>
      <c r="AR529" s="49"/>
      <c r="AS529" s="49"/>
      <c r="AT529" s="49"/>
      <c r="AU529" s="49"/>
      <c r="AV529" s="49"/>
      <c r="AW529" s="49"/>
      <c r="AX529" s="49"/>
    </row>
    <row r="530">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c r="AE530" s="49"/>
      <c r="AF530" s="49"/>
      <c r="AG530" s="49"/>
      <c r="AH530" s="49"/>
      <c r="AI530" s="49"/>
      <c r="AJ530" s="49"/>
      <c r="AK530" s="49"/>
      <c r="AL530" s="49"/>
      <c r="AM530" s="49"/>
      <c r="AN530" s="49"/>
      <c r="AO530" s="49"/>
      <c r="AP530" s="49"/>
      <c r="AQ530" s="49"/>
      <c r="AR530" s="49"/>
      <c r="AS530" s="49"/>
      <c r="AT530" s="49"/>
      <c r="AU530" s="49"/>
      <c r="AV530" s="49"/>
      <c r="AW530" s="49"/>
      <c r="AX530" s="49"/>
    </row>
    <row r="531">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c r="AE531" s="49"/>
      <c r="AF531" s="49"/>
      <c r="AG531" s="49"/>
      <c r="AH531" s="49"/>
      <c r="AI531" s="49"/>
      <c r="AJ531" s="49"/>
      <c r="AK531" s="49"/>
      <c r="AL531" s="49"/>
      <c r="AM531" s="49"/>
      <c r="AN531" s="49"/>
      <c r="AO531" s="49"/>
      <c r="AP531" s="49"/>
      <c r="AQ531" s="49"/>
      <c r="AR531" s="49"/>
      <c r="AS531" s="49"/>
      <c r="AT531" s="49"/>
      <c r="AU531" s="49"/>
      <c r="AV531" s="49"/>
      <c r="AW531" s="49"/>
      <c r="AX531" s="49"/>
    </row>
    <row r="532">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c r="AE532" s="49"/>
      <c r="AF532" s="49"/>
      <c r="AG532" s="49"/>
      <c r="AH532" s="49"/>
      <c r="AI532" s="49"/>
      <c r="AJ532" s="49"/>
      <c r="AK532" s="49"/>
      <c r="AL532" s="49"/>
      <c r="AM532" s="49"/>
      <c r="AN532" s="49"/>
      <c r="AO532" s="49"/>
      <c r="AP532" s="49"/>
      <c r="AQ532" s="49"/>
      <c r="AR532" s="49"/>
      <c r="AS532" s="49"/>
      <c r="AT532" s="49"/>
      <c r="AU532" s="49"/>
      <c r="AV532" s="49"/>
      <c r="AW532" s="49"/>
      <c r="AX532" s="49"/>
    </row>
    <row r="533">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c r="AE533" s="49"/>
      <c r="AF533" s="49"/>
      <c r="AG533" s="49"/>
      <c r="AH533" s="49"/>
      <c r="AI533" s="49"/>
      <c r="AJ533" s="49"/>
      <c r="AK533" s="49"/>
      <c r="AL533" s="49"/>
      <c r="AM533" s="49"/>
      <c r="AN533" s="49"/>
      <c r="AO533" s="49"/>
      <c r="AP533" s="49"/>
      <c r="AQ533" s="49"/>
      <c r="AR533" s="49"/>
      <c r="AS533" s="49"/>
      <c r="AT533" s="49"/>
      <c r="AU533" s="49"/>
      <c r="AV533" s="49"/>
      <c r="AW533" s="49"/>
      <c r="AX533" s="49"/>
    </row>
    <row r="534">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c r="AE534" s="49"/>
      <c r="AF534" s="49"/>
      <c r="AG534" s="49"/>
      <c r="AH534" s="49"/>
      <c r="AI534" s="49"/>
      <c r="AJ534" s="49"/>
      <c r="AK534" s="49"/>
      <c r="AL534" s="49"/>
      <c r="AM534" s="49"/>
      <c r="AN534" s="49"/>
      <c r="AO534" s="49"/>
      <c r="AP534" s="49"/>
      <c r="AQ534" s="49"/>
      <c r="AR534" s="49"/>
      <c r="AS534" s="49"/>
      <c r="AT534" s="49"/>
      <c r="AU534" s="49"/>
      <c r="AV534" s="49"/>
      <c r="AW534" s="49"/>
      <c r="AX534" s="49"/>
    </row>
    <row r="5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c r="AE535" s="49"/>
      <c r="AF535" s="49"/>
      <c r="AG535" s="49"/>
      <c r="AH535" s="49"/>
      <c r="AI535" s="49"/>
      <c r="AJ535" s="49"/>
      <c r="AK535" s="49"/>
      <c r="AL535" s="49"/>
      <c r="AM535" s="49"/>
      <c r="AN535" s="49"/>
      <c r="AO535" s="49"/>
      <c r="AP535" s="49"/>
      <c r="AQ535" s="49"/>
      <c r="AR535" s="49"/>
      <c r="AS535" s="49"/>
      <c r="AT535" s="49"/>
      <c r="AU535" s="49"/>
      <c r="AV535" s="49"/>
      <c r="AW535" s="49"/>
      <c r="AX535" s="49"/>
    </row>
    <row r="536">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c r="AE536" s="49"/>
      <c r="AF536" s="49"/>
      <c r="AG536" s="49"/>
      <c r="AH536" s="49"/>
      <c r="AI536" s="49"/>
      <c r="AJ536" s="49"/>
      <c r="AK536" s="49"/>
      <c r="AL536" s="49"/>
      <c r="AM536" s="49"/>
      <c r="AN536" s="49"/>
      <c r="AO536" s="49"/>
      <c r="AP536" s="49"/>
      <c r="AQ536" s="49"/>
      <c r="AR536" s="49"/>
      <c r="AS536" s="49"/>
      <c r="AT536" s="49"/>
      <c r="AU536" s="49"/>
      <c r="AV536" s="49"/>
      <c r="AW536" s="49"/>
      <c r="AX536" s="49"/>
    </row>
    <row r="537">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c r="AF537" s="49"/>
      <c r="AG537" s="49"/>
      <c r="AH537" s="49"/>
      <c r="AI537" s="49"/>
      <c r="AJ537" s="49"/>
      <c r="AK537" s="49"/>
      <c r="AL537" s="49"/>
      <c r="AM537" s="49"/>
      <c r="AN537" s="49"/>
      <c r="AO537" s="49"/>
      <c r="AP537" s="49"/>
      <c r="AQ537" s="49"/>
      <c r="AR537" s="49"/>
      <c r="AS537" s="49"/>
      <c r="AT537" s="49"/>
      <c r="AU537" s="49"/>
      <c r="AV537" s="49"/>
      <c r="AW537" s="49"/>
      <c r="AX537" s="49"/>
    </row>
    <row r="538">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c r="AF538" s="49"/>
      <c r="AG538" s="49"/>
      <c r="AH538" s="49"/>
      <c r="AI538" s="49"/>
      <c r="AJ538" s="49"/>
      <c r="AK538" s="49"/>
      <c r="AL538" s="49"/>
      <c r="AM538" s="49"/>
      <c r="AN538" s="49"/>
      <c r="AO538" s="49"/>
      <c r="AP538" s="49"/>
      <c r="AQ538" s="49"/>
      <c r="AR538" s="49"/>
      <c r="AS538" s="49"/>
      <c r="AT538" s="49"/>
      <c r="AU538" s="49"/>
      <c r="AV538" s="49"/>
      <c r="AW538" s="49"/>
      <c r="AX538" s="49"/>
    </row>
    <row r="539">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c r="AE539" s="49"/>
      <c r="AF539" s="49"/>
      <c r="AG539" s="49"/>
      <c r="AH539" s="49"/>
      <c r="AI539" s="49"/>
      <c r="AJ539" s="49"/>
      <c r="AK539" s="49"/>
      <c r="AL539" s="49"/>
      <c r="AM539" s="49"/>
      <c r="AN539" s="49"/>
      <c r="AO539" s="49"/>
      <c r="AP539" s="49"/>
      <c r="AQ539" s="49"/>
      <c r="AR539" s="49"/>
      <c r="AS539" s="49"/>
      <c r="AT539" s="49"/>
      <c r="AU539" s="49"/>
      <c r="AV539" s="49"/>
      <c r="AW539" s="49"/>
      <c r="AX539" s="49"/>
    </row>
    <row r="540">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c r="AE540" s="49"/>
      <c r="AF540" s="49"/>
      <c r="AG540" s="49"/>
      <c r="AH540" s="49"/>
      <c r="AI540" s="49"/>
      <c r="AJ540" s="49"/>
      <c r="AK540" s="49"/>
      <c r="AL540" s="49"/>
      <c r="AM540" s="49"/>
      <c r="AN540" s="49"/>
      <c r="AO540" s="49"/>
      <c r="AP540" s="49"/>
      <c r="AQ540" s="49"/>
      <c r="AR540" s="49"/>
      <c r="AS540" s="49"/>
      <c r="AT540" s="49"/>
      <c r="AU540" s="49"/>
      <c r="AV540" s="49"/>
      <c r="AW540" s="49"/>
      <c r="AX540" s="49"/>
    </row>
    <row r="541">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c r="AE541" s="49"/>
      <c r="AF541" s="49"/>
      <c r="AG541" s="49"/>
      <c r="AH541" s="49"/>
      <c r="AI541" s="49"/>
      <c r="AJ541" s="49"/>
      <c r="AK541" s="49"/>
      <c r="AL541" s="49"/>
      <c r="AM541" s="49"/>
      <c r="AN541" s="49"/>
      <c r="AO541" s="49"/>
      <c r="AP541" s="49"/>
      <c r="AQ541" s="49"/>
      <c r="AR541" s="49"/>
      <c r="AS541" s="49"/>
      <c r="AT541" s="49"/>
      <c r="AU541" s="49"/>
      <c r="AV541" s="49"/>
      <c r="AW541" s="49"/>
      <c r="AX541" s="49"/>
    </row>
    <row r="542">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c r="AF542" s="49"/>
      <c r="AG542" s="49"/>
      <c r="AH542" s="49"/>
      <c r="AI542" s="49"/>
      <c r="AJ542" s="49"/>
      <c r="AK542" s="49"/>
      <c r="AL542" s="49"/>
      <c r="AM542" s="49"/>
      <c r="AN542" s="49"/>
      <c r="AO542" s="49"/>
      <c r="AP542" s="49"/>
      <c r="AQ542" s="49"/>
      <c r="AR542" s="49"/>
      <c r="AS542" s="49"/>
      <c r="AT542" s="49"/>
      <c r="AU542" s="49"/>
      <c r="AV542" s="49"/>
      <c r="AW542" s="49"/>
      <c r="AX542" s="49"/>
    </row>
    <row r="543">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c r="AE543" s="49"/>
      <c r="AF543" s="49"/>
      <c r="AG543" s="49"/>
      <c r="AH543" s="49"/>
      <c r="AI543" s="49"/>
      <c r="AJ543" s="49"/>
      <c r="AK543" s="49"/>
      <c r="AL543" s="49"/>
      <c r="AM543" s="49"/>
      <c r="AN543" s="49"/>
      <c r="AO543" s="49"/>
      <c r="AP543" s="49"/>
      <c r="AQ543" s="49"/>
      <c r="AR543" s="49"/>
      <c r="AS543" s="49"/>
      <c r="AT543" s="49"/>
      <c r="AU543" s="49"/>
      <c r="AV543" s="49"/>
      <c r="AW543" s="49"/>
      <c r="AX543" s="49"/>
    </row>
    <row r="544">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c r="AE544" s="49"/>
      <c r="AF544" s="49"/>
      <c r="AG544" s="49"/>
      <c r="AH544" s="49"/>
      <c r="AI544" s="49"/>
      <c r="AJ544" s="49"/>
      <c r="AK544" s="49"/>
      <c r="AL544" s="49"/>
      <c r="AM544" s="49"/>
      <c r="AN544" s="49"/>
      <c r="AO544" s="49"/>
      <c r="AP544" s="49"/>
      <c r="AQ544" s="49"/>
      <c r="AR544" s="49"/>
      <c r="AS544" s="49"/>
      <c r="AT544" s="49"/>
      <c r="AU544" s="49"/>
      <c r="AV544" s="49"/>
      <c r="AW544" s="49"/>
      <c r="AX544" s="49"/>
    </row>
    <row r="54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c r="AE545" s="49"/>
      <c r="AF545" s="49"/>
      <c r="AG545" s="49"/>
      <c r="AH545" s="49"/>
      <c r="AI545" s="49"/>
      <c r="AJ545" s="49"/>
      <c r="AK545" s="49"/>
      <c r="AL545" s="49"/>
      <c r="AM545" s="49"/>
      <c r="AN545" s="49"/>
      <c r="AO545" s="49"/>
      <c r="AP545" s="49"/>
      <c r="AQ545" s="49"/>
      <c r="AR545" s="49"/>
      <c r="AS545" s="49"/>
      <c r="AT545" s="49"/>
      <c r="AU545" s="49"/>
      <c r="AV545" s="49"/>
      <c r="AW545" s="49"/>
      <c r="AX545" s="49"/>
    </row>
    <row r="546">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c r="AE546" s="49"/>
      <c r="AF546" s="49"/>
      <c r="AG546" s="49"/>
      <c r="AH546" s="49"/>
      <c r="AI546" s="49"/>
      <c r="AJ546" s="49"/>
      <c r="AK546" s="49"/>
      <c r="AL546" s="49"/>
      <c r="AM546" s="49"/>
      <c r="AN546" s="49"/>
      <c r="AO546" s="49"/>
      <c r="AP546" s="49"/>
      <c r="AQ546" s="49"/>
      <c r="AR546" s="49"/>
      <c r="AS546" s="49"/>
      <c r="AT546" s="49"/>
      <c r="AU546" s="49"/>
      <c r="AV546" s="49"/>
      <c r="AW546" s="49"/>
      <c r="AX546" s="49"/>
    </row>
    <row r="547">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c r="AF547" s="49"/>
      <c r="AG547" s="49"/>
      <c r="AH547" s="49"/>
      <c r="AI547" s="49"/>
      <c r="AJ547" s="49"/>
      <c r="AK547" s="49"/>
      <c r="AL547" s="49"/>
      <c r="AM547" s="49"/>
      <c r="AN547" s="49"/>
      <c r="AO547" s="49"/>
      <c r="AP547" s="49"/>
      <c r="AQ547" s="49"/>
      <c r="AR547" s="49"/>
      <c r="AS547" s="49"/>
      <c r="AT547" s="49"/>
      <c r="AU547" s="49"/>
      <c r="AV547" s="49"/>
      <c r="AW547" s="49"/>
      <c r="AX547" s="49"/>
    </row>
    <row r="548">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c r="AF548" s="49"/>
      <c r="AG548" s="49"/>
      <c r="AH548" s="49"/>
      <c r="AI548" s="49"/>
      <c r="AJ548" s="49"/>
      <c r="AK548" s="49"/>
      <c r="AL548" s="49"/>
      <c r="AM548" s="49"/>
      <c r="AN548" s="49"/>
      <c r="AO548" s="49"/>
      <c r="AP548" s="49"/>
      <c r="AQ548" s="49"/>
      <c r="AR548" s="49"/>
      <c r="AS548" s="49"/>
      <c r="AT548" s="49"/>
      <c r="AU548" s="49"/>
      <c r="AV548" s="49"/>
      <c r="AW548" s="49"/>
      <c r="AX548" s="49"/>
    </row>
    <row r="549">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c r="AE549" s="49"/>
      <c r="AF549" s="49"/>
      <c r="AG549" s="49"/>
      <c r="AH549" s="49"/>
      <c r="AI549" s="49"/>
      <c r="AJ549" s="49"/>
      <c r="AK549" s="49"/>
      <c r="AL549" s="49"/>
      <c r="AM549" s="49"/>
      <c r="AN549" s="49"/>
      <c r="AO549" s="49"/>
      <c r="AP549" s="49"/>
      <c r="AQ549" s="49"/>
      <c r="AR549" s="49"/>
      <c r="AS549" s="49"/>
      <c r="AT549" s="49"/>
      <c r="AU549" s="49"/>
      <c r="AV549" s="49"/>
      <c r="AW549" s="49"/>
      <c r="AX549" s="49"/>
    </row>
    <row r="550">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c r="AE550" s="49"/>
      <c r="AF550" s="49"/>
      <c r="AG550" s="49"/>
      <c r="AH550" s="49"/>
      <c r="AI550" s="49"/>
      <c r="AJ550" s="49"/>
      <c r="AK550" s="49"/>
      <c r="AL550" s="49"/>
      <c r="AM550" s="49"/>
      <c r="AN550" s="49"/>
      <c r="AO550" s="49"/>
      <c r="AP550" s="49"/>
      <c r="AQ550" s="49"/>
      <c r="AR550" s="49"/>
      <c r="AS550" s="49"/>
      <c r="AT550" s="49"/>
      <c r="AU550" s="49"/>
      <c r="AV550" s="49"/>
      <c r="AW550" s="49"/>
      <c r="AX550" s="49"/>
    </row>
    <row r="551">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c r="AE551" s="49"/>
      <c r="AF551" s="49"/>
      <c r="AG551" s="49"/>
      <c r="AH551" s="49"/>
      <c r="AI551" s="49"/>
      <c r="AJ551" s="49"/>
      <c r="AK551" s="49"/>
      <c r="AL551" s="49"/>
      <c r="AM551" s="49"/>
      <c r="AN551" s="49"/>
      <c r="AO551" s="49"/>
      <c r="AP551" s="49"/>
      <c r="AQ551" s="49"/>
      <c r="AR551" s="49"/>
      <c r="AS551" s="49"/>
      <c r="AT551" s="49"/>
      <c r="AU551" s="49"/>
      <c r="AV551" s="49"/>
      <c r="AW551" s="49"/>
      <c r="AX551" s="49"/>
    </row>
    <row r="552">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c r="AE552" s="49"/>
      <c r="AF552" s="49"/>
      <c r="AG552" s="49"/>
      <c r="AH552" s="49"/>
      <c r="AI552" s="49"/>
      <c r="AJ552" s="49"/>
      <c r="AK552" s="49"/>
      <c r="AL552" s="49"/>
      <c r="AM552" s="49"/>
      <c r="AN552" s="49"/>
      <c r="AO552" s="49"/>
      <c r="AP552" s="49"/>
      <c r="AQ552" s="49"/>
      <c r="AR552" s="49"/>
      <c r="AS552" s="49"/>
      <c r="AT552" s="49"/>
      <c r="AU552" s="49"/>
      <c r="AV552" s="49"/>
      <c r="AW552" s="49"/>
      <c r="AX552" s="49"/>
    </row>
    <row r="553">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c r="AE553" s="49"/>
      <c r="AF553" s="49"/>
      <c r="AG553" s="49"/>
      <c r="AH553" s="49"/>
      <c r="AI553" s="49"/>
      <c r="AJ553" s="49"/>
      <c r="AK553" s="49"/>
      <c r="AL553" s="49"/>
      <c r="AM553" s="49"/>
      <c r="AN553" s="49"/>
      <c r="AO553" s="49"/>
      <c r="AP553" s="49"/>
      <c r="AQ553" s="49"/>
      <c r="AR553" s="49"/>
      <c r="AS553" s="49"/>
      <c r="AT553" s="49"/>
      <c r="AU553" s="49"/>
      <c r="AV553" s="49"/>
      <c r="AW553" s="49"/>
      <c r="AX553" s="49"/>
    </row>
    <row r="554">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c r="AE554" s="49"/>
      <c r="AF554" s="49"/>
      <c r="AG554" s="49"/>
      <c r="AH554" s="49"/>
      <c r="AI554" s="49"/>
      <c r="AJ554" s="49"/>
      <c r="AK554" s="49"/>
      <c r="AL554" s="49"/>
      <c r="AM554" s="49"/>
      <c r="AN554" s="49"/>
      <c r="AO554" s="49"/>
      <c r="AP554" s="49"/>
      <c r="AQ554" s="49"/>
      <c r="AR554" s="49"/>
      <c r="AS554" s="49"/>
      <c r="AT554" s="49"/>
      <c r="AU554" s="49"/>
      <c r="AV554" s="49"/>
      <c r="AW554" s="49"/>
      <c r="AX554" s="49"/>
    </row>
    <row r="55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c r="AE555" s="49"/>
      <c r="AF555" s="49"/>
      <c r="AG555" s="49"/>
      <c r="AH555" s="49"/>
      <c r="AI555" s="49"/>
      <c r="AJ555" s="49"/>
      <c r="AK555" s="49"/>
      <c r="AL555" s="49"/>
      <c r="AM555" s="49"/>
      <c r="AN555" s="49"/>
      <c r="AO555" s="49"/>
      <c r="AP555" s="49"/>
      <c r="AQ555" s="49"/>
      <c r="AR555" s="49"/>
      <c r="AS555" s="49"/>
      <c r="AT555" s="49"/>
      <c r="AU555" s="49"/>
      <c r="AV555" s="49"/>
      <c r="AW555" s="49"/>
      <c r="AX555" s="49"/>
    </row>
    <row r="556">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c r="AE556" s="49"/>
      <c r="AF556" s="49"/>
      <c r="AG556" s="49"/>
      <c r="AH556" s="49"/>
      <c r="AI556" s="49"/>
      <c r="AJ556" s="49"/>
      <c r="AK556" s="49"/>
      <c r="AL556" s="49"/>
      <c r="AM556" s="49"/>
      <c r="AN556" s="49"/>
      <c r="AO556" s="49"/>
      <c r="AP556" s="49"/>
      <c r="AQ556" s="49"/>
      <c r="AR556" s="49"/>
      <c r="AS556" s="49"/>
      <c r="AT556" s="49"/>
      <c r="AU556" s="49"/>
      <c r="AV556" s="49"/>
      <c r="AW556" s="49"/>
      <c r="AX556" s="49"/>
    </row>
    <row r="557">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c r="AF557" s="49"/>
      <c r="AG557" s="49"/>
      <c r="AH557" s="49"/>
      <c r="AI557" s="49"/>
      <c r="AJ557" s="49"/>
      <c r="AK557" s="49"/>
      <c r="AL557" s="49"/>
      <c r="AM557" s="49"/>
      <c r="AN557" s="49"/>
      <c r="AO557" s="49"/>
      <c r="AP557" s="49"/>
      <c r="AQ557" s="49"/>
      <c r="AR557" s="49"/>
      <c r="AS557" s="49"/>
      <c r="AT557" s="49"/>
      <c r="AU557" s="49"/>
      <c r="AV557" s="49"/>
      <c r="AW557" s="49"/>
      <c r="AX557" s="49"/>
    </row>
    <row r="558">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c r="AF558" s="49"/>
      <c r="AG558" s="49"/>
      <c r="AH558" s="49"/>
      <c r="AI558" s="49"/>
      <c r="AJ558" s="49"/>
      <c r="AK558" s="49"/>
      <c r="AL558" s="49"/>
      <c r="AM558" s="49"/>
      <c r="AN558" s="49"/>
      <c r="AO558" s="49"/>
      <c r="AP558" s="49"/>
      <c r="AQ558" s="49"/>
      <c r="AR558" s="49"/>
      <c r="AS558" s="49"/>
      <c r="AT558" s="49"/>
      <c r="AU558" s="49"/>
      <c r="AV558" s="49"/>
      <c r="AW558" s="49"/>
      <c r="AX558" s="49"/>
    </row>
    <row r="559">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c r="AF559" s="49"/>
      <c r="AG559" s="49"/>
      <c r="AH559" s="49"/>
      <c r="AI559" s="49"/>
      <c r="AJ559" s="49"/>
      <c r="AK559" s="49"/>
      <c r="AL559" s="49"/>
      <c r="AM559" s="49"/>
      <c r="AN559" s="49"/>
      <c r="AO559" s="49"/>
      <c r="AP559" s="49"/>
      <c r="AQ559" s="49"/>
      <c r="AR559" s="49"/>
      <c r="AS559" s="49"/>
      <c r="AT559" s="49"/>
      <c r="AU559" s="49"/>
      <c r="AV559" s="49"/>
      <c r="AW559" s="49"/>
      <c r="AX559" s="49"/>
    </row>
    <row r="560">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c r="AF560" s="49"/>
      <c r="AG560" s="49"/>
      <c r="AH560" s="49"/>
      <c r="AI560" s="49"/>
      <c r="AJ560" s="49"/>
      <c r="AK560" s="49"/>
      <c r="AL560" s="49"/>
      <c r="AM560" s="49"/>
      <c r="AN560" s="49"/>
      <c r="AO560" s="49"/>
      <c r="AP560" s="49"/>
      <c r="AQ560" s="49"/>
      <c r="AR560" s="49"/>
      <c r="AS560" s="49"/>
      <c r="AT560" s="49"/>
      <c r="AU560" s="49"/>
      <c r="AV560" s="49"/>
      <c r="AW560" s="49"/>
      <c r="AX560" s="49"/>
    </row>
    <row r="561">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c r="AF561" s="49"/>
      <c r="AG561" s="49"/>
      <c r="AH561" s="49"/>
      <c r="AI561" s="49"/>
      <c r="AJ561" s="49"/>
      <c r="AK561" s="49"/>
      <c r="AL561" s="49"/>
      <c r="AM561" s="49"/>
      <c r="AN561" s="49"/>
      <c r="AO561" s="49"/>
      <c r="AP561" s="49"/>
      <c r="AQ561" s="49"/>
      <c r="AR561" s="49"/>
      <c r="AS561" s="49"/>
      <c r="AT561" s="49"/>
      <c r="AU561" s="49"/>
      <c r="AV561" s="49"/>
      <c r="AW561" s="49"/>
      <c r="AX561" s="49"/>
    </row>
    <row r="562">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c r="AF562" s="49"/>
      <c r="AG562" s="49"/>
      <c r="AH562" s="49"/>
      <c r="AI562" s="49"/>
      <c r="AJ562" s="49"/>
      <c r="AK562" s="49"/>
      <c r="AL562" s="49"/>
      <c r="AM562" s="49"/>
      <c r="AN562" s="49"/>
      <c r="AO562" s="49"/>
      <c r="AP562" s="49"/>
      <c r="AQ562" s="49"/>
      <c r="AR562" s="49"/>
      <c r="AS562" s="49"/>
      <c r="AT562" s="49"/>
      <c r="AU562" s="49"/>
      <c r="AV562" s="49"/>
      <c r="AW562" s="49"/>
      <c r="AX562" s="49"/>
    </row>
    <row r="563">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c r="AE563" s="49"/>
      <c r="AF563" s="49"/>
      <c r="AG563" s="49"/>
      <c r="AH563" s="49"/>
      <c r="AI563" s="49"/>
      <c r="AJ563" s="49"/>
      <c r="AK563" s="49"/>
      <c r="AL563" s="49"/>
      <c r="AM563" s="49"/>
      <c r="AN563" s="49"/>
      <c r="AO563" s="49"/>
      <c r="AP563" s="49"/>
      <c r="AQ563" s="49"/>
      <c r="AR563" s="49"/>
      <c r="AS563" s="49"/>
      <c r="AT563" s="49"/>
      <c r="AU563" s="49"/>
      <c r="AV563" s="49"/>
      <c r="AW563" s="49"/>
      <c r="AX563" s="49"/>
    </row>
    <row r="564">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c r="AE564" s="49"/>
      <c r="AF564" s="49"/>
      <c r="AG564" s="49"/>
      <c r="AH564" s="49"/>
      <c r="AI564" s="49"/>
      <c r="AJ564" s="49"/>
      <c r="AK564" s="49"/>
      <c r="AL564" s="49"/>
      <c r="AM564" s="49"/>
      <c r="AN564" s="49"/>
      <c r="AO564" s="49"/>
      <c r="AP564" s="49"/>
      <c r="AQ564" s="49"/>
      <c r="AR564" s="49"/>
      <c r="AS564" s="49"/>
      <c r="AT564" s="49"/>
      <c r="AU564" s="49"/>
      <c r="AV564" s="49"/>
      <c r="AW564" s="49"/>
      <c r="AX564" s="49"/>
    </row>
    <row r="56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c r="AF565" s="49"/>
      <c r="AG565" s="49"/>
      <c r="AH565" s="49"/>
      <c r="AI565" s="49"/>
      <c r="AJ565" s="49"/>
      <c r="AK565" s="49"/>
      <c r="AL565" s="49"/>
      <c r="AM565" s="49"/>
      <c r="AN565" s="49"/>
      <c r="AO565" s="49"/>
      <c r="AP565" s="49"/>
      <c r="AQ565" s="49"/>
      <c r="AR565" s="49"/>
      <c r="AS565" s="49"/>
      <c r="AT565" s="49"/>
      <c r="AU565" s="49"/>
      <c r="AV565" s="49"/>
      <c r="AW565" s="49"/>
      <c r="AX565" s="49"/>
    </row>
    <row r="566">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c r="AF566" s="49"/>
      <c r="AG566" s="49"/>
      <c r="AH566" s="49"/>
      <c r="AI566" s="49"/>
      <c r="AJ566" s="49"/>
      <c r="AK566" s="49"/>
      <c r="AL566" s="49"/>
      <c r="AM566" s="49"/>
      <c r="AN566" s="49"/>
      <c r="AO566" s="49"/>
      <c r="AP566" s="49"/>
      <c r="AQ566" s="49"/>
      <c r="AR566" s="49"/>
      <c r="AS566" s="49"/>
      <c r="AT566" s="49"/>
      <c r="AU566" s="49"/>
      <c r="AV566" s="49"/>
      <c r="AW566" s="49"/>
      <c r="AX566" s="49"/>
    </row>
    <row r="567">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c r="AF567" s="49"/>
      <c r="AG567" s="49"/>
      <c r="AH567" s="49"/>
      <c r="AI567" s="49"/>
      <c r="AJ567" s="49"/>
      <c r="AK567" s="49"/>
      <c r="AL567" s="49"/>
      <c r="AM567" s="49"/>
      <c r="AN567" s="49"/>
      <c r="AO567" s="49"/>
      <c r="AP567" s="49"/>
      <c r="AQ567" s="49"/>
      <c r="AR567" s="49"/>
      <c r="AS567" s="49"/>
      <c r="AT567" s="49"/>
      <c r="AU567" s="49"/>
      <c r="AV567" s="49"/>
      <c r="AW567" s="49"/>
      <c r="AX567" s="49"/>
    </row>
    <row r="568">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c r="AF568" s="49"/>
      <c r="AG568" s="49"/>
      <c r="AH568" s="49"/>
      <c r="AI568" s="49"/>
      <c r="AJ568" s="49"/>
      <c r="AK568" s="49"/>
      <c r="AL568" s="49"/>
      <c r="AM568" s="49"/>
      <c r="AN568" s="49"/>
      <c r="AO568" s="49"/>
      <c r="AP568" s="49"/>
      <c r="AQ568" s="49"/>
      <c r="AR568" s="49"/>
      <c r="AS568" s="49"/>
      <c r="AT568" s="49"/>
      <c r="AU568" s="49"/>
      <c r="AV568" s="49"/>
      <c r="AW568" s="49"/>
      <c r="AX568" s="49"/>
    </row>
    <row r="569">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c r="AE569" s="49"/>
      <c r="AF569" s="49"/>
      <c r="AG569" s="49"/>
      <c r="AH569" s="49"/>
      <c r="AI569" s="49"/>
      <c r="AJ569" s="49"/>
      <c r="AK569" s="49"/>
      <c r="AL569" s="49"/>
      <c r="AM569" s="49"/>
      <c r="AN569" s="49"/>
      <c r="AO569" s="49"/>
      <c r="AP569" s="49"/>
      <c r="AQ569" s="49"/>
      <c r="AR569" s="49"/>
      <c r="AS569" s="49"/>
      <c r="AT569" s="49"/>
      <c r="AU569" s="49"/>
      <c r="AV569" s="49"/>
      <c r="AW569" s="49"/>
      <c r="AX569" s="49"/>
    </row>
    <row r="570">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c r="AE570" s="49"/>
      <c r="AF570" s="49"/>
      <c r="AG570" s="49"/>
      <c r="AH570" s="49"/>
      <c r="AI570" s="49"/>
      <c r="AJ570" s="49"/>
      <c r="AK570" s="49"/>
      <c r="AL570" s="49"/>
      <c r="AM570" s="49"/>
      <c r="AN570" s="49"/>
      <c r="AO570" s="49"/>
      <c r="AP570" s="49"/>
      <c r="AQ570" s="49"/>
      <c r="AR570" s="49"/>
      <c r="AS570" s="49"/>
      <c r="AT570" s="49"/>
      <c r="AU570" s="49"/>
      <c r="AV570" s="49"/>
      <c r="AW570" s="49"/>
      <c r="AX570" s="49"/>
    </row>
    <row r="571">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c r="AE571" s="49"/>
      <c r="AF571" s="49"/>
      <c r="AG571" s="49"/>
      <c r="AH571" s="49"/>
      <c r="AI571" s="49"/>
      <c r="AJ571" s="49"/>
      <c r="AK571" s="49"/>
      <c r="AL571" s="49"/>
      <c r="AM571" s="49"/>
      <c r="AN571" s="49"/>
      <c r="AO571" s="49"/>
      <c r="AP571" s="49"/>
      <c r="AQ571" s="49"/>
      <c r="AR571" s="49"/>
      <c r="AS571" s="49"/>
      <c r="AT571" s="49"/>
      <c r="AU571" s="49"/>
      <c r="AV571" s="49"/>
      <c r="AW571" s="49"/>
      <c r="AX571" s="49"/>
    </row>
    <row r="572">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c r="AE572" s="49"/>
      <c r="AF572" s="49"/>
      <c r="AG572" s="49"/>
      <c r="AH572" s="49"/>
      <c r="AI572" s="49"/>
      <c r="AJ572" s="49"/>
      <c r="AK572" s="49"/>
      <c r="AL572" s="49"/>
      <c r="AM572" s="49"/>
      <c r="AN572" s="49"/>
      <c r="AO572" s="49"/>
      <c r="AP572" s="49"/>
      <c r="AQ572" s="49"/>
      <c r="AR572" s="49"/>
      <c r="AS572" s="49"/>
      <c r="AT572" s="49"/>
      <c r="AU572" s="49"/>
      <c r="AV572" s="49"/>
      <c r="AW572" s="49"/>
      <c r="AX572" s="49"/>
    </row>
    <row r="573">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c r="AE573" s="49"/>
      <c r="AF573" s="49"/>
      <c r="AG573" s="49"/>
      <c r="AH573" s="49"/>
      <c r="AI573" s="49"/>
      <c r="AJ573" s="49"/>
      <c r="AK573" s="49"/>
      <c r="AL573" s="49"/>
      <c r="AM573" s="49"/>
      <c r="AN573" s="49"/>
      <c r="AO573" s="49"/>
      <c r="AP573" s="49"/>
      <c r="AQ573" s="49"/>
      <c r="AR573" s="49"/>
      <c r="AS573" s="49"/>
      <c r="AT573" s="49"/>
      <c r="AU573" s="49"/>
      <c r="AV573" s="49"/>
      <c r="AW573" s="49"/>
      <c r="AX573" s="49"/>
    </row>
    <row r="574">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c r="AF574" s="49"/>
      <c r="AG574" s="49"/>
      <c r="AH574" s="49"/>
      <c r="AI574" s="49"/>
      <c r="AJ574" s="49"/>
      <c r="AK574" s="49"/>
      <c r="AL574" s="49"/>
      <c r="AM574" s="49"/>
      <c r="AN574" s="49"/>
      <c r="AO574" s="49"/>
      <c r="AP574" s="49"/>
      <c r="AQ574" s="49"/>
      <c r="AR574" s="49"/>
      <c r="AS574" s="49"/>
      <c r="AT574" s="49"/>
      <c r="AU574" s="49"/>
      <c r="AV574" s="49"/>
      <c r="AW574" s="49"/>
      <c r="AX574" s="49"/>
    </row>
    <row r="57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c r="AF575" s="49"/>
      <c r="AG575" s="49"/>
      <c r="AH575" s="49"/>
      <c r="AI575" s="49"/>
      <c r="AJ575" s="49"/>
      <c r="AK575" s="49"/>
      <c r="AL575" s="49"/>
      <c r="AM575" s="49"/>
      <c r="AN575" s="49"/>
      <c r="AO575" s="49"/>
      <c r="AP575" s="49"/>
      <c r="AQ575" s="49"/>
      <c r="AR575" s="49"/>
      <c r="AS575" s="49"/>
      <c r="AT575" s="49"/>
      <c r="AU575" s="49"/>
      <c r="AV575" s="49"/>
      <c r="AW575" s="49"/>
      <c r="AX575" s="49"/>
    </row>
    <row r="576">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c r="AF576" s="49"/>
      <c r="AG576" s="49"/>
      <c r="AH576" s="49"/>
      <c r="AI576" s="49"/>
      <c r="AJ576" s="49"/>
      <c r="AK576" s="49"/>
      <c r="AL576" s="49"/>
      <c r="AM576" s="49"/>
      <c r="AN576" s="49"/>
      <c r="AO576" s="49"/>
      <c r="AP576" s="49"/>
      <c r="AQ576" s="49"/>
      <c r="AR576" s="49"/>
      <c r="AS576" s="49"/>
      <c r="AT576" s="49"/>
      <c r="AU576" s="49"/>
      <c r="AV576" s="49"/>
      <c r="AW576" s="49"/>
      <c r="AX576" s="49"/>
    </row>
    <row r="577">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c r="AF577" s="49"/>
      <c r="AG577" s="49"/>
      <c r="AH577" s="49"/>
      <c r="AI577" s="49"/>
      <c r="AJ577" s="49"/>
      <c r="AK577" s="49"/>
      <c r="AL577" s="49"/>
      <c r="AM577" s="49"/>
      <c r="AN577" s="49"/>
      <c r="AO577" s="49"/>
      <c r="AP577" s="49"/>
      <c r="AQ577" s="49"/>
      <c r="AR577" s="49"/>
      <c r="AS577" s="49"/>
      <c r="AT577" s="49"/>
      <c r="AU577" s="49"/>
      <c r="AV577" s="49"/>
      <c r="AW577" s="49"/>
      <c r="AX577" s="49"/>
    </row>
    <row r="578">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c r="AF578" s="49"/>
      <c r="AG578" s="49"/>
      <c r="AH578" s="49"/>
      <c r="AI578" s="49"/>
      <c r="AJ578" s="49"/>
      <c r="AK578" s="49"/>
      <c r="AL578" s="49"/>
      <c r="AM578" s="49"/>
      <c r="AN578" s="49"/>
      <c r="AO578" s="49"/>
      <c r="AP578" s="49"/>
      <c r="AQ578" s="49"/>
      <c r="AR578" s="49"/>
      <c r="AS578" s="49"/>
      <c r="AT578" s="49"/>
      <c r="AU578" s="49"/>
      <c r="AV578" s="49"/>
      <c r="AW578" s="49"/>
      <c r="AX578" s="49"/>
    </row>
    <row r="579">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c r="AF579" s="49"/>
      <c r="AG579" s="49"/>
      <c r="AH579" s="49"/>
      <c r="AI579" s="49"/>
      <c r="AJ579" s="49"/>
      <c r="AK579" s="49"/>
      <c r="AL579" s="49"/>
      <c r="AM579" s="49"/>
      <c r="AN579" s="49"/>
      <c r="AO579" s="49"/>
      <c r="AP579" s="49"/>
      <c r="AQ579" s="49"/>
      <c r="AR579" s="49"/>
      <c r="AS579" s="49"/>
      <c r="AT579" s="49"/>
      <c r="AU579" s="49"/>
      <c r="AV579" s="49"/>
      <c r="AW579" s="49"/>
      <c r="AX579" s="49"/>
    </row>
    <row r="580">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c r="AF580" s="49"/>
      <c r="AG580" s="49"/>
      <c r="AH580" s="49"/>
      <c r="AI580" s="49"/>
      <c r="AJ580" s="49"/>
      <c r="AK580" s="49"/>
      <c r="AL580" s="49"/>
      <c r="AM580" s="49"/>
      <c r="AN580" s="49"/>
      <c r="AO580" s="49"/>
      <c r="AP580" s="49"/>
      <c r="AQ580" s="49"/>
      <c r="AR580" s="49"/>
      <c r="AS580" s="49"/>
      <c r="AT580" s="49"/>
      <c r="AU580" s="49"/>
      <c r="AV580" s="49"/>
      <c r="AW580" s="49"/>
      <c r="AX580" s="49"/>
    </row>
    <row r="581">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c r="AF581" s="49"/>
      <c r="AG581" s="49"/>
      <c r="AH581" s="49"/>
      <c r="AI581" s="49"/>
      <c r="AJ581" s="49"/>
      <c r="AK581" s="49"/>
      <c r="AL581" s="49"/>
      <c r="AM581" s="49"/>
      <c r="AN581" s="49"/>
      <c r="AO581" s="49"/>
      <c r="AP581" s="49"/>
      <c r="AQ581" s="49"/>
      <c r="AR581" s="49"/>
      <c r="AS581" s="49"/>
      <c r="AT581" s="49"/>
      <c r="AU581" s="49"/>
      <c r="AV581" s="49"/>
      <c r="AW581" s="49"/>
      <c r="AX581" s="49"/>
    </row>
    <row r="582">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c r="AE582" s="49"/>
      <c r="AF582" s="49"/>
      <c r="AG582" s="49"/>
      <c r="AH582" s="49"/>
      <c r="AI582" s="49"/>
      <c r="AJ582" s="49"/>
      <c r="AK582" s="49"/>
      <c r="AL582" s="49"/>
      <c r="AM582" s="49"/>
      <c r="AN582" s="49"/>
      <c r="AO582" s="49"/>
      <c r="AP582" s="49"/>
      <c r="AQ582" s="49"/>
      <c r="AR582" s="49"/>
      <c r="AS582" s="49"/>
      <c r="AT582" s="49"/>
      <c r="AU582" s="49"/>
      <c r="AV582" s="49"/>
      <c r="AW582" s="49"/>
      <c r="AX582" s="49"/>
    </row>
    <row r="583">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c r="AE583" s="49"/>
      <c r="AF583" s="49"/>
      <c r="AG583" s="49"/>
      <c r="AH583" s="49"/>
      <c r="AI583" s="49"/>
      <c r="AJ583" s="49"/>
      <c r="AK583" s="49"/>
      <c r="AL583" s="49"/>
      <c r="AM583" s="49"/>
      <c r="AN583" s="49"/>
      <c r="AO583" s="49"/>
      <c r="AP583" s="49"/>
      <c r="AQ583" s="49"/>
      <c r="AR583" s="49"/>
      <c r="AS583" s="49"/>
      <c r="AT583" s="49"/>
      <c r="AU583" s="49"/>
      <c r="AV583" s="49"/>
      <c r="AW583" s="49"/>
      <c r="AX583" s="49"/>
    </row>
    <row r="584">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c r="AE584" s="49"/>
      <c r="AF584" s="49"/>
      <c r="AG584" s="49"/>
      <c r="AH584" s="49"/>
      <c r="AI584" s="49"/>
      <c r="AJ584" s="49"/>
      <c r="AK584" s="49"/>
      <c r="AL584" s="49"/>
      <c r="AM584" s="49"/>
      <c r="AN584" s="49"/>
      <c r="AO584" s="49"/>
      <c r="AP584" s="49"/>
      <c r="AQ584" s="49"/>
      <c r="AR584" s="49"/>
      <c r="AS584" s="49"/>
      <c r="AT584" s="49"/>
      <c r="AU584" s="49"/>
      <c r="AV584" s="49"/>
      <c r="AW584" s="49"/>
      <c r="AX584" s="49"/>
    </row>
    <row r="58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c r="AF585" s="49"/>
      <c r="AG585" s="49"/>
      <c r="AH585" s="49"/>
      <c r="AI585" s="49"/>
      <c r="AJ585" s="49"/>
      <c r="AK585" s="49"/>
      <c r="AL585" s="49"/>
      <c r="AM585" s="49"/>
      <c r="AN585" s="49"/>
      <c r="AO585" s="49"/>
      <c r="AP585" s="49"/>
      <c r="AQ585" s="49"/>
      <c r="AR585" s="49"/>
      <c r="AS585" s="49"/>
      <c r="AT585" s="49"/>
      <c r="AU585" s="49"/>
      <c r="AV585" s="49"/>
      <c r="AW585" s="49"/>
      <c r="AX585" s="49"/>
    </row>
    <row r="586">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c r="AF586" s="49"/>
      <c r="AG586" s="49"/>
      <c r="AH586" s="49"/>
      <c r="AI586" s="49"/>
      <c r="AJ586" s="49"/>
      <c r="AK586" s="49"/>
      <c r="AL586" s="49"/>
      <c r="AM586" s="49"/>
      <c r="AN586" s="49"/>
      <c r="AO586" s="49"/>
      <c r="AP586" s="49"/>
      <c r="AQ586" s="49"/>
      <c r="AR586" s="49"/>
      <c r="AS586" s="49"/>
      <c r="AT586" s="49"/>
      <c r="AU586" s="49"/>
      <c r="AV586" s="49"/>
      <c r="AW586" s="49"/>
      <c r="AX586" s="49"/>
    </row>
    <row r="587">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c r="AF587" s="49"/>
      <c r="AG587" s="49"/>
      <c r="AH587" s="49"/>
      <c r="AI587" s="49"/>
      <c r="AJ587" s="49"/>
      <c r="AK587" s="49"/>
      <c r="AL587" s="49"/>
      <c r="AM587" s="49"/>
      <c r="AN587" s="49"/>
      <c r="AO587" s="49"/>
      <c r="AP587" s="49"/>
      <c r="AQ587" s="49"/>
      <c r="AR587" s="49"/>
      <c r="AS587" s="49"/>
      <c r="AT587" s="49"/>
      <c r="AU587" s="49"/>
      <c r="AV587" s="49"/>
      <c r="AW587" s="49"/>
      <c r="AX587" s="49"/>
    </row>
    <row r="588">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c r="AF588" s="49"/>
      <c r="AG588" s="49"/>
      <c r="AH588" s="49"/>
      <c r="AI588" s="49"/>
      <c r="AJ588" s="49"/>
      <c r="AK588" s="49"/>
      <c r="AL588" s="49"/>
      <c r="AM588" s="49"/>
      <c r="AN588" s="49"/>
      <c r="AO588" s="49"/>
      <c r="AP588" s="49"/>
      <c r="AQ588" s="49"/>
      <c r="AR588" s="49"/>
      <c r="AS588" s="49"/>
      <c r="AT588" s="49"/>
      <c r="AU588" s="49"/>
      <c r="AV588" s="49"/>
      <c r="AW588" s="49"/>
      <c r="AX588" s="49"/>
    </row>
    <row r="589">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c r="AF589" s="49"/>
      <c r="AG589" s="49"/>
      <c r="AH589" s="49"/>
      <c r="AI589" s="49"/>
      <c r="AJ589" s="49"/>
      <c r="AK589" s="49"/>
      <c r="AL589" s="49"/>
      <c r="AM589" s="49"/>
      <c r="AN589" s="49"/>
      <c r="AO589" s="49"/>
      <c r="AP589" s="49"/>
      <c r="AQ589" s="49"/>
      <c r="AR589" s="49"/>
      <c r="AS589" s="49"/>
      <c r="AT589" s="49"/>
      <c r="AU589" s="49"/>
      <c r="AV589" s="49"/>
      <c r="AW589" s="49"/>
      <c r="AX589" s="49"/>
    </row>
    <row r="590">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c r="AF590" s="49"/>
      <c r="AG590" s="49"/>
      <c r="AH590" s="49"/>
      <c r="AI590" s="49"/>
      <c r="AJ590" s="49"/>
      <c r="AK590" s="49"/>
      <c r="AL590" s="49"/>
      <c r="AM590" s="49"/>
      <c r="AN590" s="49"/>
      <c r="AO590" s="49"/>
      <c r="AP590" s="49"/>
      <c r="AQ590" s="49"/>
      <c r="AR590" s="49"/>
      <c r="AS590" s="49"/>
      <c r="AT590" s="49"/>
      <c r="AU590" s="49"/>
      <c r="AV590" s="49"/>
      <c r="AW590" s="49"/>
      <c r="AX590" s="49"/>
    </row>
    <row r="591">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c r="AF591" s="49"/>
      <c r="AG591" s="49"/>
      <c r="AH591" s="49"/>
      <c r="AI591" s="49"/>
      <c r="AJ591" s="49"/>
      <c r="AK591" s="49"/>
      <c r="AL591" s="49"/>
      <c r="AM591" s="49"/>
      <c r="AN591" s="49"/>
      <c r="AO591" s="49"/>
      <c r="AP591" s="49"/>
      <c r="AQ591" s="49"/>
      <c r="AR591" s="49"/>
      <c r="AS591" s="49"/>
      <c r="AT591" s="49"/>
      <c r="AU591" s="49"/>
      <c r="AV591" s="49"/>
      <c r="AW591" s="49"/>
      <c r="AX591" s="49"/>
    </row>
    <row r="592">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c r="AF592" s="49"/>
      <c r="AG592" s="49"/>
      <c r="AH592" s="49"/>
      <c r="AI592" s="49"/>
      <c r="AJ592" s="49"/>
      <c r="AK592" s="49"/>
      <c r="AL592" s="49"/>
      <c r="AM592" s="49"/>
      <c r="AN592" s="49"/>
      <c r="AO592" s="49"/>
      <c r="AP592" s="49"/>
      <c r="AQ592" s="49"/>
      <c r="AR592" s="49"/>
      <c r="AS592" s="49"/>
      <c r="AT592" s="49"/>
      <c r="AU592" s="49"/>
      <c r="AV592" s="49"/>
      <c r="AW592" s="49"/>
      <c r="AX592" s="49"/>
    </row>
    <row r="593">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c r="AF593" s="49"/>
      <c r="AG593" s="49"/>
      <c r="AH593" s="49"/>
      <c r="AI593" s="49"/>
      <c r="AJ593" s="49"/>
      <c r="AK593" s="49"/>
      <c r="AL593" s="49"/>
      <c r="AM593" s="49"/>
      <c r="AN593" s="49"/>
      <c r="AO593" s="49"/>
      <c r="AP593" s="49"/>
      <c r="AQ593" s="49"/>
      <c r="AR593" s="49"/>
      <c r="AS593" s="49"/>
      <c r="AT593" s="49"/>
      <c r="AU593" s="49"/>
      <c r="AV593" s="49"/>
      <c r="AW593" s="49"/>
      <c r="AX593" s="49"/>
    </row>
    <row r="594">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c r="AF594" s="49"/>
      <c r="AG594" s="49"/>
      <c r="AH594" s="49"/>
      <c r="AI594" s="49"/>
      <c r="AJ594" s="49"/>
      <c r="AK594" s="49"/>
      <c r="AL594" s="49"/>
      <c r="AM594" s="49"/>
      <c r="AN594" s="49"/>
      <c r="AO594" s="49"/>
      <c r="AP594" s="49"/>
      <c r="AQ594" s="49"/>
      <c r="AR594" s="49"/>
      <c r="AS594" s="49"/>
      <c r="AT594" s="49"/>
      <c r="AU594" s="49"/>
      <c r="AV594" s="49"/>
      <c r="AW594" s="49"/>
      <c r="AX594" s="49"/>
    </row>
    <row r="59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c r="AF595" s="49"/>
      <c r="AG595" s="49"/>
      <c r="AH595" s="49"/>
      <c r="AI595" s="49"/>
      <c r="AJ595" s="49"/>
      <c r="AK595" s="49"/>
      <c r="AL595" s="49"/>
      <c r="AM595" s="49"/>
      <c r="AN595" s="49"/>
      <c r="AO595" s="49"/>
      <c r="AP595" s="49"/>
      <c r="AQ595" s="49"/>
      <c r="AR595" s="49"/>
      <c r="AS595" s="49"/>
      <c r="AT595" s="49"/>
      <c r="AU595" s="49"/>
      <c r="AV595" s="49"/>
      <c r="AW595" s="49"/>
      <c r="AX595" s="49"/>
    </row>
    <row r="596">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c r="AF596" s="49"/>
      <c r="AG596" s="49"/>
      <c r="AH596" s="49"/>
      <c r="AI596" s="49"/>
      <c r="AJ596" s="49"/>
      <c r="AK596" s="49"/>
      <c r="AL596" s="49"/>
      <c r="AM596" s="49"/>
      <c r="AN596" s="49"/>
      <c r="AO596" s="49"/>
      <c r="AP596" s="49"/>
      <c r="AQ596" s="49"/>
      <c r="AR596" s="49"/>
      <c r="AS596" s="49"/>
      <c r="AT596" s="49"/>
      <c r="AU596" s="49"/>
      <c r="AV596" s="49"/>
      <c r="AW596" s="49"/>
      <c r="AX596" s="49"/>
    </row>
    <row r="597">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c r="AF597" s="49"/>
      <c r="AG597" s="49"/>
      <c r="AH597" s="49"/>
      <c r="AI597" s="49"/>
      <c r="AJ597" s="49"/>
      <c r="AK597" s="49"/>
      <c r="AL597" s="49"/>
      <c r="AM597" s="49"/>
      <c r="AN597" s="49"/>
      <c r="AO597" s="49"/>
      <c r="AP597" s="49"/>
      <c r="AQ597" s="49"/>
      <c r="AR597" s="49"/>
      <c r="AS597" s="49"/>
      <c r="AT597" s="49"/>
      <c r="AU597" s="49"/>
      <c r="AV597" s="49"/>
      <c r="AW597" s="49"/>
      <c r="AX597" s="49"/>
    </row>
    <row r="598">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c r="AF598" s="49"/>
      <c r="AG598" s="49"/>
      <c r="AH598" s="49"/>
      <c r="AI598" s="49"/>
      <c r="AJ598" s="49"/>
      <c r="AK598" s="49"/>
      <c r="AL598" s="49"/>
      <c r="AM598" s="49"/>
      <c r="AN598" s="49"/>
      <c r="AO598" s="49"/>
      <c r="AP598" s="49"/>
      <c r="AQ598" s="49"/>
      <c r="AR598" s="49"/>
      <c r="AS598" s="49"/>
      <c r="AT598" s="49"/>
      <c r="AU598" s="49"/>
      <c r="AV598" s="49"/>
      <c r="AW598" s="49"/>
      <c r="AX598" s="49"/>
    </row>
    <row r="599">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c r="AF599" s="49"/>
      <c r="AG599" s="49"/>
      <c r="AH599" s="49"/>
      <c r="AI599" s="49"/>
      <c r="AJ599" s="49"/>
      <c r="AK599" s="49"/>
      <c r="AL599" s="49"/>
      <c r="AM599" s="49"/>
      <c r="AN599" s="49"/>
      <c r="AO599" s="49"/>
      <c r="AP599" s="49"/>
      <c r="AQ599" s="49"/>
      <c r="AR599" s="49"/>
      <c r="AS599" s="49"/>
      <c r="AT599" s="49"/>
      <c r="AU599" s="49"/>
      <c r="AV599" s="49"/>
      <c r="AW599" s="49"/>
      <c r="AX599" s="49"/>
    </row>
    <row r="600">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c r="AF600" s="49"/>
      <c r="AG600" s="49"/>
      <c r="AH600" s="49"/>
      <c r="AI600" s="49"/>
      <c r="AJ600" s="49"/>
      <c r="AK600" s="49"/>
      <c r="AL600" s="49"/>
      <c r="AM600" s="49"/>
      <c r="AN600" s="49"/>
      <c r="AO600" s="49"/>
      <c r="AP600" s="49"/>
      <c r="AQ600" s="49"/>
      <c r="AR600" s="49"/>
      <c r="AS600" s="49"/>
      <c r="AT600" s="49"/>
      <c r="AU600" s="49"/>
      <c r="AV600" s="49"/>
      <c r="AW600" s="49"/>
      <c r="AX600" s="49"/>
    </row>
    <row r="601">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c r="AF601" s="49"/>
      <c r="AG601" s="49"/>
      <c r="AH601" s="49"/>
      <c r="AI601" s="49"/>
      <c r="AJ601" s="49"/>
      <c r="AK601" s="49"/>
      <c r="AL601" s="49"/>
      <c r="AM601" s="49"/>
      <c r="AN601" s="49"/>
      <c r="AO601" s="49"/>
      <c r="AP601" s="49"/>
      <c r="AQ601" s="49"/>
      <c r="AR601" s="49"/>
      <c r="AS601" s="49"/>
      <c r="AT601" s="49"/>
      <c r="AU601" s="49"/>
      <c r="AV601" s="49"/>
      <c r="AW601" s="49"/>
      <c r="AX601" s="49"/>
    </row>
    <row r="602">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c r="AF602" s="49"/>
      <c r="AG602" s="49"/>
      <c r="AH602" s="49"/>
      <c r="AI602" s="49"/>
      <c r="AJ602" s="49"/>
      <c r="AK602" s="49"/>
      <c r="AL602" s="49"/>
      <c r="AM602" s="49"/>
      <c r="AN602" s="49"/>
      <c r="AO602" s="49"/>
      <c r="AP602" s="49"/>
      <c r="AQ602" s="49"/>
      <c r="AR602" s="49"/>
      <c r="AS602" s="49"/>
      <c r="AT602" s="49"/>
      <c r="AU602" s="49"/>
      <c r="AV602" s="49"/>
      <c r="AW602" s="49"/>
      <c r="AX602" s="49"/>
    </row>
    <row r="603">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c r="AF603" s="49"/>
      <c r="AG603" s="49"/>
      <c r="AH603" s="49"/>
      <c r="AI603" s="49"/>
      <c r="AJ603" s="49"/>
      <c r="AK603" s="49"/>
      <c r="AL603" s="49"/>
      <c r="AM603" s="49"/>
      <c r="AN603" s="49"/>
      <c r="AO603" s="49"/>
      <c r="AP603" s="49"/>
      <c r="AQ603" s="49"/>
      <c r="AR603" s="49"/>
      <c r="AS603" s="49"/>
      <c r="AT603" s="49"/>
      <c r="AU603" s="49"/>
      <c r="AV603" s="49"/>
      <c r="AW603" s="49"/>
      <c r="AX603" s="49"/>
    </row>
    <row r="604">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c r="AF604" s="49"/>
      <c r="AG604" s="49"/>
      <c r="AH604" s="49"/>
      <c r="AI604" s="49"/>
      <c r="AJ604" s="49"/>
      <c r="AK604" s="49"/>
      <c r="AL604" s="49"/>
      <c r="AM604" s="49"/>
      <c r="AN604" s="49"/>
      <c r="AO604" s="49"/>
      <c r="AP604" s="49"/>
      <c r="AQ604" s="49"/>
      <c r="AR604" s="49"/>
      <c r="AS604" s="49"/>
      <c r="AT604" s="49"/>
      <c r="AU604" s="49"/>
      <c r="AV604" s="49"/>
      <c r="AW604" s="49"/>
      <c r="AX604" s="49"/>
    </row>
    <row r="60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c r="AE605" s="49"/>
      <c r="AF605" s="49"/>
      <c r="AG605" s="49"/>
      <c r="AH605" s="49"/>
      <c r="AI605" s="49"/>
      <c r="AJ605" s="49"/>
      <c r="AK605" s="49"/>
      <c r="AL605" s="49"/>
      <c r="AM605" s="49"/>
      <c r="AN605" s="49"/>
      <c r="AO605" s="49"/>
      <c r="AP605" s="49"/>
      <c r="AQ605" s="49"/>
      <c r="AR605" s="49"/>
      <c r="AS605" s="49"/>
      <c r="AT605" s="49"/>
      <c r="AU605" s="49"/>
      <c r="AV605" s="49"/>
      <c r="AW605" s="49"/>
      <c r="AX605" s="49"/>
    </row>
    <row r="606">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c r="AE606" s="49"/>
      <c r="AF606" s="49"/>
      <c r="AG606" s="49"/>
      <c r="AH606" s="49"/>
      <c r="AI606" s="49"/>
      <c r="AJ606" s="49"/>
      <c r="AK606" s="49"/>
      <c r="AL606" s="49"/>
      <c r="AM606" s="49"/>
      <c r="AN606" s="49"/>
      <c r="AO606" s="49"/>
      <c r="AP606" s="49"/>
      <c r="AQ606" s="49"/>
      <c r="AR606" s="49"/>
      <c r="AS606" s="49"/>
      <c r="AT606" s="49"/>
      <c r="AU606" s="49"/>
      <c r="AV606" s="49"/>
      <c r="AW606" s="49"/>
      <c r="AX606" s="49"/>
    </row>
    <row r="607">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c r="AF607" s="49"/>
      <c r="AG607" s="49"/>
      <c r="AH607" s="49"/>
      <c r="AI607" s="49"/>
      <c r="AJ607" s="49"/>
      <c r="AK607" s="49"/>
      <c r="AL607" s="49"/>
      <c r="AM607" s="49"/>
      <c r="AN607" s="49"/>
      <c r="AO607" s="49"/>
      <c r="AP607" s="49"/>
      <c r="AQ607" s="49"/>
      <c r="AR607" s="49"/>
      <c r="AS607" s="49"/>
      <c r="AT607" s="49"/>
      <c r="AU607" s="49"/>
      <c r="AV607" s="49"/>
      <c r="AW607" s="49"/>
      <c r="AX607" s="49"/>
    </row>
    <row r="608">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c r="AF608" s="49"/>
      <c r="AG608" s="49"/>
      <c r="AH608" s="49"/>
      <c r="AI608" s="49"/>
      <c r="AJ608" s="49"/>
      <c r="AK608" s="49"/>
      <c r="AL608" s="49"/>
      <c r="AM608" s="49"/>
      <c r="AN608" s="49"/>
      <c r="AO608" s="49"/>
      <c r="AP608" s="49"/>
      <c r="AQ608" s="49"/>
      <c r="AR608" s="49"/>
      <c r="AS608" s="49"/>
      <c r="AT608" s="49"/>
      <c r="AU608" s="49"/>
      <c r="AV608" s="49"/>
      <c r="AW608" s="49"/>
      <c r="AX608" s="49"/>
    </row>
    <row r="609">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c r="AF609" s="49"/>
      <c r="AG609" s="49"/>
      <c r="AH609" s="49"/>
      <c r="AI609" s="49"/>
      <c r="AJ609" s="49"/>
      <c r="AK609" s="49"/>
      <c r="AL609" s="49"/>
      <c r="AM609" s="49"/>
      <c r="AN609" s="49"/>
      <c r="AO609" s="49"/>
      <c r="AP609" s="49"/>
      <c r="AQ609" s="49"/>
      <c r="AR609" s="49"/>
      <c r="AS609" s="49"/>
      <c r="AT609" s="49"/>
      <c r="AU609" s="49"/>
      <c r="AV609" s="49"/>
      <c r="AW609" s="49"/>
      <c r="AX609" s="49"/>
    </row>
    <row r="610">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c r="AF610" s="49"/>
      <c r="AG610" s="49"/>
      <c r="AH610" s="49"/>
      <c r="AI610" s="49"/>
      <c r="AJ610" s="49"/>
      <c r="AK610" s="49"/>
      <c r="AL610" s="49"/>
      <c r="AM610" s="49"/>
      <c r="AN610" s="49"/>
      <c r="AO610" s="49"/>
      <c r="AP610" s="49"/>
      <c r="AQ610" s="49"/>
      <c r="AR610" s="49"/>
      <c r="AS610" s="49"/>
      <c r="AT610" s="49"/>
      <c r="AU610" s="49"/>
      <c r="AV610" s="49"/>
      <c r="AW610" s="49"/>
      <c r="AX610" s="49"/>
    </row>
    <row r="611">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c r="AF611" s="49"/>
      <c r="AG611" s="49"/>
      <c r="AH611" s="49"/>
      <c r="AI611" s="49"/>
      <c r="AJ611" s="49"/>
      <c r="AK611" s="49"/>
      <c r="AL611" s="49"/>
      <c r="AM611" s="49"/>
      <c r="AN611" s="49"/>
      <c r="AO611" s="49"/>
      <c r="AP611" s="49"/>
      <c r="AQ611" s="49"/>
      <c r="AR611" s="49"/>
      <c r="AS611" s="49"/>
      <c r="AT611" s="49"/>
      <c r="AU611" s="49"/>
      <c r="AV611" s="49"/>
      <c r="AW611" s="49"/>
      <c r="AX611" s="49"/>
    </row>
    <row r="612">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c r="AF612" s="49"/>
      <c r="AG612" s="49"/>
      <c r="AH612" s="49"/>
      <c r="AI612" s="49"/>
      <c r="AJ612" s="49"/>
      <c r="AK612" s="49"/>
      <c r="AL612" s="49"/>
      <c r="AM612" s="49"/>
      <c r="AN612" s="49"/>
      <c r="AO612" s="49"/>
      <c r="AP612" s="49"/>
      <c r="AQ612" s="49"/>
      <c r="AR612" s="49"/>
      <c r="AS612" s="49"/>
      <c r="AT612" s="49"/>
      <c r="AU612" s="49"/>
      <c r="AV612" s="49"/>
      <c r="AW612" s="49"/>
      <c r="AX612" s="49"/>
    </row>
    <row r="613">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c r="AF613" s="49"/>
      <c r="AG613" s="49"/>
      <c r="AH613" s="49"/>
      <c r="AI613" s="49"/>
      <c r="AJ613" s="49"/>
      <c r="AK613" s="49"/>
      <c r="AL613" s="49"/>
      <c r="AM613" s="49"/>
      <c r="AN613" s="49"/>
      <c r="AO613" s="49"/>
      <c r="AP613" s="49"/>
      <c r="AQ613" s="49"/>
      <c r="AR613" s="49"/>
      <c r="AS613" s="49"/>
      <c r="AT613" s="49"/>
      <c r="AU613" s="49"/>
      <c r="AV613" s="49"/>
      <c r="AW613" s="49"/>
      <c r="AX613" s="49"/>
    </row>
    <row r="614">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c r="AF614" s="49"/>
      <c r="AG614" s="49"/>
      <c r="AH614" s="49"/>
      <c r="AI614" s="49"/>
      <c r="AJ614" s="49"/>
      <c r="AK614" s="49"/>
      <c r="AL614" s="49"/>
      <c r="AM614" s="49"/>
      <c r="AN614" s="49"/>
      <c r="AO614" s="49"/>
      <c r="AP614" s="49"/>
      <c r="AQ614" s="49"/>
      <c r="AR614" s="49"/>
      <c r="AS614" s="49"/>
      <c r="AT614" s="49"/>
      <c r="AU614" s="49"/>
      <c r="AV614" s="49"/>
      <c r="AW614" s="49"/>
      <c r="AX614" s="49"/>
    </row>
    <row r="61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c r="AF615" s="49"/>
      <c r="AG615" s="49"/>
      <c r="AH615" s="49"/>
      <c r="AI615" s="49"/>
      <c r="AJ615" s="49"/>
      <c r="AK615" s="49"/>
      <c r="AL615" s="49"/>
      <c r="AM615" s="49"/>
      <c r="AN615" s="49"/>
      <c r="AO615" s="49"/>
      <c r="AP615" s="49"/>
      <c r="AQ615" s="49"/>
      <c r="AR615" s="49"/>
      <c r="AS615" s="49"/>
      <c r="AT615" s="49"/>
      <c r="AU615" s="49"/>
      <c r="AV615" s="49"/>
      <c r="AW615" s="49"/>
      <c r="AX615" s="49"/>
    </row>
    <row r="616">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c r="AF616" s="49"/>
      <c r="AG616" s="49"/>
      <c r="AH616" s="49"/>
      <c r="AI616" s="49"/>
      <c r="AJ616" s="49"/>
      <c r="AK616" s="49"/>
      <c r="AL616" s="49"/>
      <c r="AM616" s="49"/>
      <c r="AN616" s="49"/>
      <c r="AO616" s="49"/>
      <c r="AP616" s="49"/>
      <c r="AQ616" s="49"/>
      <c r="AR616" s="49"/>
      <c r="AS616" s="49"/>
      <c r="AT616" s="49"/>
      <c r="AU616" s="49"/>
      <c r="AV616" s="49"/>
      <c r="AW616" s="49"/>
      <c r="AX616" s="49"/>
    </row>
    <row r="617">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c r="AF617" s="49"/>
      <c r="AG617" s="49"/>
      <c r="AH617" s="49"/>
      <c r="AI617" s="49"/>
      <c r="AJ617" s="49"/>
      <c r="AK617" s="49"/>
      <c r="AL617" s="49"/>
      <c r="AM617" s="49"/>
      <c r="AN617" s="49"/>
      <c r="AO617" s="49"/>
      <c r="AP617" s="49"/>
      <c r="AQ617" s="49"/>
      <c r="AR617" s="49"/>
      <c r="AS617" s="49"/>
      <c r="AT617" s="49"/>
      <c r="AU617" s="49"/>
      <c r="AV617" s="49"/>
      <c r="AW617" s="49"/>
      <c r="AX617" s="49"/>
    </row>
    <row r="618">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c r="AE618" s="49"/>
      <c r="AF618" s="49"/>
      <c r="AG618" s="49"/>
      <c r="AH618" s="49"/>
      <c r="AI618" s="49"/>
      <c r="AJ618" s="49"/>
      <c r="AK618" s="49"/>
      <c r="AL618" s="49"/>
      <c r="AM618" s="49"/>
      <c r="AN618" s="49"/>
      <c r="AO618" s="49"/>
      <c r="AP618" s="49"/>
      <c r="AQ618" s="49"/>
      <c r="AR618" s="49"/>
      <c r="AS618" s="49"/>
      <c r="AT618" s="49"/>
      <c r="AU618" s="49"/>
      <c r="AV618" s="49"/>
      <c r="AW618" s="49"/>
      <c r="AX618" s="49"/>
    </row>
    <row r="619">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c r="AE619" s="49"/>
      <c r="AF619" s="49"/>
      <c r="AG619" s="49"/>
      <c r="AH619" s="49"/>
      <c r="AI619" s="49"/>
      <c r="AJ619" s="49"/>
      <c r="AK619" s="49"/>
      <c r="AL619" s="49"/>
      <c r="AM619" s="49"/>
      <c r="AN619" s="49"/>
      <c r="AO619" s="49"/>
      <c r="AP619" s="49"/>
      <c r="AQ619" s="49"/>
      <c r="AR619" s="49"/>
      <c r="AS619" s="49"/>
      <c r="AT619" s="49"/>
      <c r="AU619" s="49"/>
      <c r="AV619" s="49"/>
      <c r="AW619" s="49"/>
      <c r="AX619" s="49"/>
    </row>
    <row r="620">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c r="AE620" s="49"/>
      <c r="AF620" s="49"/>
      <c r="AG620" s="49"/>
      <c r="AH620" s="49"/>
      <c r="AI620" s="49"/>
      <c r="AJ620" s="49"/>
      <c r="AK620" s="49"/>
      <c r="AL620" s="49"/>
      <c r="AM620" s="49"/>
      <c r="AN620" s="49"/>
      <c r="AO620" s="49"/>
      <c r="AP620" s="49"/>
      <c r="AQ620" s="49"/>
      <c r="AR620" s="49"/>
      <c r="AS620" s="49"/>
      <c r="AT620" s="49"/>
      <c r="AU620" s="49"/>
      <c r="AV620" s="49"/>
      <c r="AW620" s="49"/>
      <c r="AX620" s="49"/>
    </row>
    <row r="621">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c r="AE621" s="49"/>
      <c r="AF621" s="49"/>
      <c r="AG621" s="49"/>
      <c r="AH621" s="49"/>
      <c r="AI621" s="49"/>
      <c r="AJ621" s="49"/>
      <c r="AK621" s="49"/>
      <c r="AL621" s="49"/>
      <c r="AM621" s="49"/>
      <c r="AN621" s="49"/>
      <c r="AO621" s="49"/>
      <c r="AP621" s="49"/>
      <c r="AQ621" s="49"/>
      <c r="AR621" s="49"/>
      <c r="AS621" s="49"/>
      <c r="AT621" s="49"/>
      <c r="AU621" s="49"/>
      <c r="AV621" s="49"/>
      <c r="AW621" s="49"/>
      <c r="AX621" s="49"/>
    </row>
    <row r="622">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c r="AE622" s="49"/>
      <c r="AF622" s="49"/>
      <c r="AG622" s="49"/>
      <c r="AH622" s="49"/>
      <c r="AI622" s="49"/>
      <c r="AJ622" s="49"/>
      <c r="AK622" s="49"/>
      <c r="AL622" s="49"/>
      <c r="AM622" s="49"/>
      <c r="AN622" s="49"/>
      <c r="AO622" s="49"/>
      <c r="AP622" s="49"/>
      <c r="AQ622" s="49"/>
      <c r="AR622" s="49"/>
      <c r="AS622" s="49"/>
      <c r="AT622" s="49"/>
      <c r="AU622" s="49"/>
      <c r="AV622" s="49"/>
      <c r="AW622" s="49"/>
      <c r="AX622" s="49"/>
    </row>
    <row r="623">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c r="AE623" s="49"/>
      <c r="AF623" s="49"/>
      <c r="AG623" s="49"/>
      <c r="AH623" s="49"/>
      <c r="AI623" s="49"/>
      <c r="AJ623" s="49"/>
      <c r="AK623" s="49"/>
      <c r="AL623" s="49"/>
      <c r="AM623" s="49"/>
      <c r="AN623" s="49"/>
      <c r="AO623" s="49"/>
      <c r="AP623" s="49"/>
      <c r="AQ623" s="49"/>
      <c r="AR623" s="49"/>
      <c r="AS623" s="49"/>
      <c r="AT623" s="49"/>
      <c r="AU623" s="49"/>
      <c r="AV623" s="49"/>
      <c r="AW623" s="49"/>
      <c r="AX623" s="49"/>
    </row>
    <row r="624">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c r="AF624" s="49"/>
      <c r="AG624" s="49"/>
      <c r="AH624" s="49"/>
      <c r="AI624" s="49"/>
      <c r="AJ624" s="49"/>
      <c r="AK624" s="49"/>
      <c r="AL624" s="49"/>
      <c r="AM624" s="49"/>
      <c r="AN624" s="49"/>
      <c r="AO624" s="49"/>
      <c r="AP624" s="49"/>
      <c r="AQ624" s="49"/>
      <c r="AR624" s="49"/>
      <c r="AS624" s="49"/>
      <c r="AT624" s="49"/>
      <c r="AU624" s="49"/>
      <c r="AV624" s="49"/>
      <c r="AW624" s="49"/>
      <c r="AX624" s="49"/>
    </row>
    <row r="6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c r="AF625" s="49"/>
      <c r="AG625" s="49"/>
      <c r="AH625" s="49"/>
      <c r="AI625" s="49"/>
      <c r="AJ625" s="49"/>
      <c r="AK625" s="49"/>
      <c r="AL625" s="49"/>
      <c r="AM625" s="49"/>
      <c r="AN625" s="49"/>
      <c r="AO625" s="49"/>
      <c r="AP625" s="49"/>
      <c r="AQ625" s="49"/>
      <c r="AR625" s="49"/>
      <c r="AS625" s="49"/>
      <c r="AT625" s="49"/>
      <c r="AU625" s="49"/>
      <c r="AV625" s="49"/>
      <c r="AW625" s="49"/>
      <c r="AX625" s="49"/>
    </row>
    <row r="626">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c r="AE626" s="49"/>
      <c r="AF626" s="49"/>
      <c r="AG626" s="49"/>
      <c r="AH626" s="49"/>
      <c r="AI626" s="49"/>
      <c r="AJ626" s="49"/>
      <c r="AK626" s="49"/>
      <c r="AL626" s="49"/>
      <c r="AM626" s="49"/>
      <c r="AN626" s="49"/>
      <c r="AO626" s="49"/>
      <c r="AP626" s="49"/>
      <c r="AQ626" s="49"/>
      <c r="AR626" s="49"/>
      <c r="AS626" s="49"/>
      <c r="AT626" s="49"/>
      <c r="AU626" s="49"/>
      <c r="AV626" s="49"/>
      <c r="AW626" s="49"/>
      <c r="AX626" s="49"/>
    </row>
    <row r="627">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c r="AE627" s="49"/>
      <c r="AF627" s="49"/>
      <c r="AG627" s="49"/>
      <c r="AH627" s="49"/>
      <c r="AI627" s="49"/>
      <c r="AJ627" s="49"/>
      <c r="AK627" s="49"/>
      <c r="AL627" s="49"/>
      <c r="AM627" s="49"/>
      <c r="AN627" s="49"/>
      <c r="AO627" s="49"/>
      <c r="AP627" s="49"/>
      <c r="AQ627" s="49"/>
      <c r="AR627" s="49"/>
      <c r="AS627" s="49"/>
      <c r="AT627" s="49"/>
      <c r="AU627" s="49"/>
      <c r="AV627" s="49"/>
      <c r="AW627" s="49"/>
      <c r="AX627" s="49"/>
    </row>
    <row r="628">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c r="AF628" s="49"/>
      <c r="AG628" s="49"/>
      <c r="AH628" s="49"/>
      <c r="AI628" s="49"/>
      <c r="AJ628" s="49"/>
      <c r="AK628" s="49"/>
      <c r="AL628" s="49"/>
      <c r="AM628" s="49"/>
      <c r="AN628" s="49"/>
      <c r="AO628" s="49"/>
      <c r="AP628" s="49"/>
      <c r="AQ628" s="49"/>
      <c r="AR628" s="49"/>
      <c r="AS628" s="49"/>
      <c r="AT628" s="49"/>
      <c r="AU628" s="49"/>
      <c r="AV628" s="49"/>
      <c r="AW628" s="49"/>
      <c r="AX628" s="49"/>
    </row>
    <row r="629">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c r="AE629" s="49"/>
      <c r="AF629" s="49"/>
      <c r="AG629" s="49"/>
      <c r="AH629" s="49"/>
      <c r="AI629" s="49"/>
      <c r="AJ629" s="49"/>
      <c r="AK629" s="49"/>
      <c r="AL629" s="49"/>
      <c r="AM629" s="49"/>
      <c r="AN629" s="49"/>
      <c r="AO629" s="49"/>
      <c r="AP629" s="49"/>
      <c r="AQ629" s="49"/>
      <c r="AR629" s="49"/>
      <c r="AS629" s="49"/>
      <c r="AT629" s="49"/>
      <c r="AU629" s="49"/>
      <c r="AV629" s="49"/>
      <c r="AW629" s="49"/>
      <c r="AX629" s="49"/>
    </row>
    <row r="630">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c r="AF630" s="49"/>
      <c r="AG630" s="49"/>
      <c r="AH630" s="49"/>
      <c r="AI630" s="49"/>
      <c r="AJ630" s="49"/>
      <c r="AK630" s="49"/>
      <c r="AL630" s="49"/>
      <c r="AM630" s="49"/>
      <c r="AN630" s="49"/>
      <c r="AO630" s="49"/>
      <c r="AP630" s="49"/>
      <c r="AQ630" s="49"/>
      <c r="AR630" s="49"/>
      <c r="AS630" s="49"/>
      <c r="AT630" s="49"/>
      <c r="AU630" s="49"/>
      <c r="AV630" s="49"/>
      <c r="AW630" s="49"/>
      <c r="AX630" s="49"/>
    </row>
    <row r="631">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c r="AF631" s="49"/>
      <c r="AG631" s="49"/>
      <c r="AH631" s="49"/>
      <c r="AI631" s="49"/>
      <c r="AJ631" s="49"/>
      <c r="AK631" s="49"/>
      <c r="AL631" s="49"/>
      <c r="AM631" s="49"/>
      <c r="AN631" s="49"/>
      <c r="AO631" s="49"/>
      <c r="AP631" s="49"/>
      <c r="AQ631" s="49"/>
      <c r="AR631" s="49"/>
      <c r="AS631" s="49"/>
      <c r="AT631" s="49"/>
      <c r="AU631" s="49"/>
      <c r="AV631" s="49"/>
      <c r="AW631" s="49"/>
      <c r="AX631" s="49"/>
    </row>
    <row r="632">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c r="AF632" s="49"/>
      <c r="AG632" s="49"/>
      <c r="AH632" s="49"/>
      <c r="AI632" s="49"/>
      <c r="AJ632" s="49"/>
      <c r="AK632" s="49"/>
      <c r="AL632" s="49"/>
      <c r="AM632" s="49"/>
      <c r="AN632" s="49"/>
      <c r="AO632" s="49"/>
      <c r="AP632" s="49"/>
      <c r="AQ632" s="49"/>
      <c r="AR632" s="49"/>
      <c r="AS632" s="49"/>
      <c r="AT632" s="49"/>
      <c r="AU632" s="49"/>
      <c r="AV632" s="49"/>
      <c r="AW632" s="49"/>
      <c r="AX632" s="49"/>
    </row>
    <row r="633">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c r="AE633" s="49"/>
      <c r="AF633" s="49"/>
      <c r="AG633" s="49"/>
      <c r="AH633" s="49"/>
      <c r="AI633" s="49"/>
      <c r="AJ633" s="49"/>
      <c r="AK633" s="49"/>
      <c r="AL633" s="49"/>
      <c r="AM633" s="49"/>
      <c r="AN633" s="49"/>
      <c r="AO633" s="49"/>
      <c r="AP633" s="49"/>
      <c r="AQ633" s="49"/>
      <c r="AR633" s="49"/>
      <c r="AS633" s="49"/>
      <c r="AT633" s="49"/>
      <c r="AU633" s="49"/>
      <c r="AV633" s="49"/>
      <c r="AW633" s="49"/>
      <c r="AX633" s="49"/>
    </row>
    <row r="634">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c r="AF634" s="49"/>
      <c r="AG634" s="49"/>
      <c r="AH634" s="49"/>
      <c r="AI634" s="49"/>
      <c r="AJ634" s="49"/>
      <c r="AK634" s="49"/>
      <c r="AL634" s="49"/>
      <c r="AM634" s="49"/>
      <c r="AN634" s="49"/>
      <c r="AO634" s="49"/>
      <c r="AP634" s="49"/>
      <c r="AQ634" s="49"/>
      <c r="AR634" s="49"/>
      <c r="AS634" s="49"/>
      <c r="AT634" s="49"/>
      <c r="AU634" s="49"/>
      <c r="AV634" s="49"/>
      <c r="AW634" s="49"/>
      <c r="AX634" s="49"/>
    </row>
    <row r="6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c r="AF635" s="49"/>
      <c r="AG635" s="49"/>
      <c r="AH635" s="49"/>
      <c r="AI635" s="49"/>
      <c r="AJ635" s="49"/>
      <c r="AK635" s="49"/>
      <c r="AL635" s="49"/>
      <c r="AM635" s="49"/>
      <c r="AN635" s="49"/>
      <c r="AO635" s="49"/>
      <c r="AP635" s="49"/>
      <c r="AQ635" s="49"/>
      <c r="AR635" s="49"/>
      <c r="AS635" s="49"/>
      <c r="AT635" s="49"/>
      <c r="AU635" s="49"/>
      <c r="AV635" s="49"/>
      <c r="AW635" s="49"/>
      <c r="AX635" s="49"/>
    </row>
    <row r="636">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c r="AE636" s="49"/>
      <c r="AF636" s="49"/>
      <c r="AG636" s="49"/>
      <c r="AH636" s="49"/>
      <c r="AI636" s="49"/>
      <c r="AJ636" s="49"/>
      <c r="AK636" s="49"/>
      <c r="AL636" s="49"/>
      <c r="AM636" s="49"/>
      <c r="AN636" s="49"/>
      <c r="AO636" s="49"/>
      <c r="AP636" s="49"/>
      <c r="AQ636" s="49"/>
      <c r="AR636" s="49"/>
      <c r="AS636" s="49"/>
      <c r="AT636" s="49"/>
      <c r="AU636" s="49"/>
      <c r="AV636" s="49"/>
      <c r="AW636" s="49"/>
      <c r="AX636" s="49"/>
    </row>
    <row r="637">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c r="AF637" s="49"/>
      <c r="AG637" s="49"/>
      <c r="AH637" s="49"/>
      <c r="AI637" s="49"/>
      <c r="AJ637" s="49"/>
      <c r="AK637" s="49"/>
      <c r="AL637" s="49"/>
      <c r="AM637" s="49"/>
      <c r="AN637" s="49"/>
      <c r="AO637" s="49"/>
      <c r="AP637" s="49"/>
      <c r="AQ637" s="49"/>
      <c r="AR637" s="49"/>
      <c r="AS637" s="49"/>
      <c r="AT637" s="49"/>
      <c r="AU637" s="49"/>
      <c r="AV637" s="49"/>
      <c r="AW637" s="49"/>
      <c r="AX637" s="49"/>
    </row>
    <row r="638">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c r="AE638" s="49"/>
      <c r="AF638" s="49"/>
      <c r="AG638" s="49"/>
      <c r="AH638" s="49"/>
      <c r="AI638" s="49"/>
      <c r="AJ638" s="49"/>
      <c r="AK638" s="49"/>
      <c r="AL638" s="49"/>
      <c r="AM638" s="49"/>
      <c r="AN638" s="49"/>
      <c r="AO638" s="49"/>
      <c r="AP638" s="49"/>
      <c r="AQ638" s="49"/>
      <c r="AR638" s="49"/>
      <c r="AS638" s="49"/>
      <c r="AT638" s="49"/>
      <c r="AU638" s="49"/>
      <c r="AV638" s="49"/>
      <c r="AW638" s="49"/>
      <c r="AX638" s="49"/>
    </row>
    <row r="639">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c r="AF639" s="49"/>
      <c r="AG639" s="49"/>
      <c r="AH639" s="49"/>
      <c r="AI639" s="49"/>
      <c r="AJ639" s="49"/>
      <c r="AK639" s="49"/>
      <c r="AL639" s="49"/>
      <c r="AM639" s="49"/>
      <c r="AN639" s="49"/>
      <c r="AO639" s="49"/>
      <c r="AP639" s="49"/>
      <c r="AQ639" s="49"/>
      <c r="AR639" s="49"/>
      <c r="AS639" s="49"/>
      <c r="AT639" s="49"/>
      <c r="AU639" s="49"/>
      <c r="AV639" s="49"/>
      <c r="AW639" s="49"/>
      <c r="AX639" s="49"/>
    </row>
    <row r="640">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c r="AF640" s="49"/>
      <c r="AG640" s="49"/>
      <c r="AH640" s="49"/>
      <c r="AI640" s="49"/>
      <c r="AJ640" s="49"/>
      <c r="AK640" s="49"/>
      <c r="AL640" s="49"/>
      <c r="AM640" s="49"/>
      <c r="AN640" s="49"/>
      <c r="AO640" s="49"/>
      <c r="AP640" s="49"/>
      <c r="AQ640" s="49"/>
      <c r="AR640" s="49"/>
      <c r="AS640" s="49"/>
      <c r="AT640" s="49"/>
      <c r="AU640" s="49"/>
      <c r="AV640" s="49"/>
      <c r="AW640" s="49"/>
      <c r="AX640" s="49"/>
    </row>
    <row r="641">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c r="AE641" s="49"/>
      <c r="AF641" s="49"/>
      <c r="AG641" s="49"/>
      <c r="AH641" s="49"/>
      <c r="AI641" s="49"/>
      <c r="AJ641" s="49"/>
      <c r="AK641" s="49"/>
      <c r="AL641" s="49"/>
      <c r="AM641" s="49"/>
      <c r="AN641" s="49"/>
      <c r="AO641" s="49"/>
      <c r="AP641" s="49"/>
      <c r="AQ641" s="49"/>
      <c r="AR641" s="49"/>
      <c r="AS641" s="49"/>
      <c r="AT641" s="49"/>
      <c r="AU641" s="49"/>
      <c r="AV641" s="49"/>
      <c r="AW641" s="49"/>
      <c r="AX641" s="49"/>
    </row>
    <row r="642">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c r="AE642" s="49"/>
      <c r="AF642" s="49"/>
      <c r="AG642" s="49"/>
      <c r="AH642" s="49"/>
      <c r="AI642" s="49"/>
      <c r="AJ642" s="49"/>
      <c r="AK642" s="49"/>
      <c r="AL642" s="49"/>
      <c r="AM642" s="49"/>
      <c r="AN642" s="49"/>
      <c r="AO642" s="49"/>
      <c r="AP642" s="49"/>
      <c r="AQ642" s="49"/>
      <c r="AR642" s="49"/>
      <c r="AS642" s="49"/>
      <c r="AT642" s="49"/>
      <c r="AU642" s="49"/>
      <c r="AV642" s="49"/>
      <c r="AW642" s="49"/>
      <c r="AX642" s="49"/>
    </row>
    <row r="643">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c r="AE643" s="49"/>
      <c r="AF643" s="49"/>
      <c r="AG643" s="49"/>
      <c r="AH643" s="49"/>
      <c r="AI643" s="49"/>
      <c r="AJ643" s="49"/>
      <c r="AK643" s="49"/>
      <c r="AL643" s="49"/>
      <c r="AM643" s="49"/>
      <c r="AN643" s="49"/>
      <c r="AO643" s="49"/>
      <c r="AP643" s="49"/>
      <c r="AQ643" s="49"/>
      <c r="AR643" s="49"/>
      <c r="AS643" s="49"/>
      <c r="AT643" s="49"/>
      <c r="AU643" s="49"/>
      <c r="AV643" s="49"/>
      <c r="AW643" s="49"/>
      <c r="AX643" s="49"/>
    </row>
    <row r="644">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c r="AF644" s="49"/>
      <c r="AG644" s="49"/>
      <c r="AH644" s="49"/>
      <c r="AI644" s="49"/>
      <c r="AJ644" s="49"/>
      <c r="AK644" s="49"/>
      <c r="AL644" s="49"/>
      <c r="AM644" s="49"/>
      <c r="AN644" s="49"/>
      <c r="AO644" s="49"/>
      <c r="AP644" s="49"/>
      <c r="AQ644" s="49"/>
      <c r="AR644" s="49"/>
      <c r="AS644" s="49"/>
      <c r="AT644" s="49"/>
      <c r="AU644" s="49"/>
      <c r="AV644" s="49"/>
      <c r="AW644" s="49"/>
      <c r="AX644" s="49"/>
    </row>
    <row r="64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49"/>
      <c r="AF645" s="49"/>
      <c r="AG645" s="49"/>
      <c r="AH645" s="49"/>
      <c r="AI645" s="49"/>
      <c r="AJ645" s="49"/>
      <c r="AK645" s="49"/>
      <c r="AL645" s="49"/>
      <c r="AM645" s="49"/>
      <c r="AN645" s="49"/>
      <c r="AO645" s="49"/>
      <c r="AP645" s="49"/>
      <c r="AQ645" s="49"/>
      <c r="AR645" s="49"/>
      <c r="AS645" s="49"/>
      <c r="AT645" s="49"/>
      <c r="AU645" s="49"/>
      <c r="AV645" s="49"/>
      <c r="AW645" s="49"/>
      <c r="AX645" s="49"/>
    </row>
    <row r="646">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c r="AF646" s="49"/>
      <c r="AG646" s="49"/>
      <c r="AH646" s="49"/>
      <c r="AI646" s="49"/>
      <c r="AJ646" s="49"/>
      <c r="AK646" s="49"/>
      <c r="AL646" s="49"/>
      <c r="AM646" s="49"/>
      <c r="AN646" s="49"/>
      <c r="AO646" s="49"/>
      <c r="AP646" s="49"/>
      <c r="AQ646" s="49"/>
      <c r="AR646" s="49"/>
      <c r="AS646" s="49"/>
      <c r="AT646" s="49"/>
      <c r="AU646" s="49"/>
      <c r="AV646" s="49"/>
      <c r="AW646" s="49"/>
      <c r="AX646" s="49"/>
    </row>
    <row r="647">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c r="AF647" s="49"/>
      <c r="AG647" s="49"/>
      <c r="AH647" s="49"/>
      <c r="AI647" s="49"/>
      <c r="AJ647" s="49"/>
      <c r="AK647" s="49"/>
      <c r="AL647" s="49"/>
      <c r="AM647" s="49"/>
      <c r="AN647" s="49"/>
      <c r="AO647" s="49"/>
      <c r="AP647" s="49"/>
      <c r="AQ647" s="49"/>
      <c r="AR647" s="49"/>
      <c r="AS647" s="49"/>
      <c r="AT647" s="49"/>
      <c r="AU647" s="49"/>
      <c r="AV647" s="49"/>
      <c r="AW647" s="49"/>
      <c r="AX647" s="49"/>
    </row>
    <row r="648">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c r="AF648" s="49"/>
      <c r="AG648" s="49"/>
      <c r="AH648" s="49"/>
      <c r="AI648" s="49"/>
      <c r="AJ648" s="49"/>
      <c r="AK648" s="49"/>
      <c r="AL648" s="49"/>
      <c r="AM648" s="49"/>
      <c r="AN648" s="49"/>
      <c r="AO648" s="49"/>
      <c r="AP648" s="49"/>
      <c r="AQ648" s="49"/>
      <c r="AR648" s="49"/>
      <c r="AS648" s="49"/>
      <c r="AT648" s="49"/>
      <c r="AU648" s="49"/>
      <c r="AV648" s="49"/>
      <c r="AW648" s="49"/>
      <c r="AX648" s="49"/>
    </row>
    <row r="649">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c r="AF649" s="49"/>
      <c r="AG649" s="49"/>
      <c r="AH649" s="49"/>
      <c r="AI649" s="49"/>
      <c r="AJ649" s="49"/>
      <c r="AK649" s="49"/>
      <c r="AL649" s="49"/>
      <c r="AM649" s="49"/>
      <c r="AN649" s="49"/>
      <c r="AO649" s="49"/>
      <c r="AP649" s="49"/>
      <c r="AQ649" s="49"/>
      <c r="AR649" s="49"/>
      <c r="AS649" s="49"/>
      <c r="AT649" s="49"/>
      <c r="AU649" s="49"/>
      <c r="AV649" s="49"/>
      <c r="AW649" s="49"/>
      <c r="AX649" s="49"/>
    </row>
    <row r="650">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c r="AF650" s="49"/>
      <c r="AG650" s="49"/>
      <c r="AH650" s="49"/>
      <c r="AI650" s="49"/>
      <c r="AJ650" s="49"/>
      <c r="AK650" s="49"/>
      <c r="AL650" s="49"/>
      <c r="AM650" s="49"/>
      <c r="AN650" s="49"/>
      <c r="AO650" s="49"/>
      <c r="AP650" s="49"/>
      <c r="AQ650" s="49"/>
      <c r="AR650" s="49"/>
      <c r="AS650" s="49"/>
      <c r="AT650" s="49"/>
      <c r="AU650" s="49"/>
      <c r="AV650" s="49"/>
      <c r="AW650" s="49"/>
      <c r="AX650" s="49"/>
    </row>
    <row r="651">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c r="AE651" s="49"/>
      <c r="AF651" s="49"/>
      <c r="AG651" s="49"/>
      <c r="AH651" s="49"/>
      <c r="AI651" s="49"/>
      <c r="AJ651" s="49"/>
      <c r="AK651" s="49"/>
      <c r="AL651" s="49"/>
      <c r="AM651" s="49"/>
      <c r="AN651" s="49"/>
      <c r="AO651" s="49"/>
      <c r="AP651" s="49"/>
      <c r="AQ651" s="49"/>
      <c r="AR651" s="49"/>
      <c r="AS651" s="49"/>
      <c r="AT651" s="49"/>
      <c r="AU651" s="49"/>
      <c r="AV651" s="49"/>
      <c r="AW651" s="49"/>
      <c r="AX651" s="49"/>
    </row>
    <row r="652">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c r="AF652" s="49"/>
      <c r="AG652" s="49"/>
      <c r="AH652" s="49"/>
      <c r="AI652" s="49"/>
      <c r="AJ652" s="49"/>
      <c r="AK652" s="49"/>
      <c r="AL652" s="49"/>
      <c r="AM652" s="49"/>
      <c r="AN652" s="49"/>
      <c r="AO652" s="49"/>
      <c r="AP652" s="49"/>
      <c r="AQ652" s="49"/>
      <c r="AR652" s="49"/>
      <c r="AS652" s="49"/>
      <c r="AT652" s="49"/>
      <c r="AU652" s="49"/>
      <c r="AV652" s="49"/>
      <c r="AW652" s="49"/>
      <c r="AX652" s="49"/>
    </row>
    <row r="653">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c r="AF653" s="49"/>
      <c r="AG653" s="49"/>
      <c r="AH653" s="49"/>
      <c r="AI653" s="49"/>
      <c r="AJ653" s="49"/>
      <c r="AK653" s="49"/>
      <c r="AL653" s="49"/>
      <c r="AM653" s="49"/>
      <c r="AN653" s="49"/>
      <c r="AO653" s="49"/>
      <c r="AP653" s="49"/>
      <c r="AQ653" s="49"/>
      <c r="AR653" s="49"/>
      <c r="AS653" s="49"/>
      <c r="AT653" s="49"/>
      <c r="AU653" s="49"/>
      <c r="AV653" s="49"/>
      <c r="AW653" s="49"/>
      <c r="AX653" s="49"/>
    </row>
    <row r="654">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c r="AF654" s="49"/>
      <c r="AG654" s="49"/>
      <c r="AH654" s="49"/>
      <c r="AI654" s="49"/>
      <c r="AJ654" s="49"/>
      <c r="AK654" s="49"/>
      <c r="AL654" s="49"/>
      <c r="AM654" s="49"/>
      <c r="AN654" s="49"/>
      <c r="AO654" s="49"/>
      <c r="AP654" s="49"/>
      <c r="AQ654" s="49"/>
      <c r="AR654" s="49"/>
      <c r="AS654" s="49"/>
      <c r="AT654" s="49"/>
      <c r="AU654" s="49"/>
      <c r="AV654" s="49"/>
      <c r="AW654" s="49"/>
      <c r="AX654" s="49"/>
    </row>
    <row r="65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c r="AF655" s="49"/>
      <c r="AG655" s="49"/>
      <c r="AH655" s="49"/>
      <c r="AI655" s="49"/>
      <c r="AJ655" s="49"/>
      <c r="AK655" s="49"/>
      <c r="AL655" s="49"/>
      <c r="AM655" s="49"/>
      <c r="AN655" s="49"/>
      <c r="AO655" s="49"/>
      <c r="AP655" s="49"/>
      <c r="AQ655" s="49"/>
      <c r="AR655" s="49"/>
      <c r="AS655" s="49"/>
      <c r="AT655" s="49"/>
      <c r="AU655" s="49"/>
      <c r="AV655" s="49"/>
      <c r="AW655" s="49"/>
      <c r="AX655" s="49"/>
    </row>
    <row r="656">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c r="AF656" s="49"/>
      <c r="AG656" s="49"/>
      <c r="AH656" s="49"/>
      <c r="AI656" s="49"/>
      <c r="AJ656" s="49"/>
      <c r="AK656" s="49"/>
      <c r="AL656" s="49"/>
      <c r="AM656" s="49"/>
      <c r="AN656" s="49"/>
      <c r="AO656" s="49"/>
      <c r="AP656" s="49"/>
      <c r="AQ656" s="49"/>
      <c r="AR656" s="49"/>
      <c r="AS656" s="49"/>
      <c r="AT656" s="49"/>
      <c r="AU656" s="49"/>
      <c r="AV656" s="49"/>
      <c r="AW656" s="49"/>
      <c r="AX656" s="49"/>
    </row>
    <row r="657">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c r="AF657" s="49"/>
      <c r="AG657" s="49"/>
      <c r="AH657" s="49"/>
      <c r="AI657" s="49"/>
      <c r="AJ657" s="49"/>
      <c r="AK657" s="49"/>
      <c r="AL657" s="49"/>
      <c r="AM657" s="49"/>
      <c r="AN657" s="49"/>
      <c r="AO657" s="49"/>
      <c r="AP657" s="49"/>
      <c r="AQ657" s="49"/>
      <c r="AR657" s="49"/>
      <c r="AS657" s="49"/>
      <c r="AT657" s="49"/>
      <c r="AU657" s="49"/>
      <c r="AV657" s="49"/>
      <c r="AW657" s="49"/>
      <c r="AX657" s="49"/>
    </row>
    <row r="658">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c r="AF658" s="49"/>
      <c r="AG658" s="49"/>
      <c r="AH658" s="49"/>
      <c r="AI658" s="49"/>
      <c r="AJ658" s="49"/>
      <c r="AK658" s="49"/>
      <c r="AL658" s="49"/>
      <c r="AM658" s="49"/>
      <c r="AN658" s="49"/>
      <c r="AO658" s="49"/>
      <c r="AP658" s="49"/>
      <c r="AQ658" s="49"/>
      <c r="AR658" s="49"/>
      <c r="AS658" s="49"/>
      <c r="AT658" s="49"/>
      <c r="AU658" s="49"/>
      <c r="AV658" s="49"/>
      <c r="AW658" s="49"/>
      <c r="AX658" s="49"/>
    </row>
    <row r="659">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c r="AF659" s="49"/>
      <c r="AG659" s="49"/>
      <c r="AH659" s="49"/>
      <c r="AI659" s="49"/>
      <c r="AJ659" s="49"/>
      <c r="AK659" s="49"/>
      <c r="AL659" s="49"/>
      <c r="AM659" s="49"/>
      <c r="AN659" s="49"/>
      <c r="AO659" s="49"/>
      <c r="AP659" s="49"/>
      <c r="AQ659" s="49"/>
      <c r="AR659" s="49"/>
      <c r="AS659" s="49"/>
      <c r="AT659" s="49"/>
      <c r="AU659" s="49"/>
      <c r="AV659" s="49"/>
      <c r="AW659" s="49"/>
      <c r="AX659" s="49"/>
    </row>
    <row r="660">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c r="AF660" s="49"/>
      <c r="AG660" s="49"/>
      <c r="AH660" s="49"/>
      <c r="AI660" s="49"/>
      <c r="AJ660" s="49"/>
      <c r="AK660" s="49"/>
      <c r="AL660" s="49"/>
      <c r="AM660" s="49"/>
      <c r="AN660" s="49"/>
      <c r="AO660" s="49"/>
      <c r="AP660" s="49"/>
      <c r="AQ660" s="49"/>
      <c r="AR660" s="49"/>
      <c r="AS660" s="49"/>
      <c r="AT660" s="49"/>
      <c r="AU660" s="49"/>
      <c r="AV660" s="49"/>
      <c r="AW660" s="49"/>
      <c r="AX660" s="49"/>
    </row>
    <row r="661">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c r="AF661" s="49"/>
      <c r="AG661" s="49"/>
      <c r="AH661" s="49"/>
      <c r="AI661" s="49"/>
      <c r="AJ661" s="49"/>
      <c r="AK661" s="49"/>
      <c r="AL661" s="49"/>
      <c r="AM661" s="49"/>
      <c r="AN661" s="49"/>
      <c r="AO661" s="49"/>
      <c r="AP661" s="49"/>
      <c r="AQ661" s="49"/>
      <c r="AR661" s="49"/>
      <c r="AS661" s="49"/>
      <c r="AT661" s="49"/>
      <c r="AU661" s="49"/>
      <c r="AV661" s="49"/>
      <c r="AW661" s="49"/>
      <c r="AX661" s="49"/>
    </row>
    <row r="662">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c r="AF662" s="49"/>
      <c r="AG662" s="49"/>
      <c r="AH662" s="49"/>
      <c r="AI662" s="49"/>
      <c r="AJ662" s="49"/>
      <c r="AK662" s="49"/>
      <c r="AL662" s="49"/>
      <c r="AM662" s="49"/>
      <c r="AN662" s="49"/>
      <c r="AO662" s="49"/>
      <c r="AP662" s="49"/>
      <c r="AQ662" s="49"/>
      <c r="AR662" s="49"/>
      <c r="AS662" s="49"/>
      <c r="AT662" s="49"/>
      <c r="AU662" s="49"/>
      <c r="AV662" s="49"/>
      <c r="AW662" s="49"/>
      <c r="AX662" s="49"/>
    </row>
    <row r="663">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c r="AF663" s="49"/>
      <c r="AG663" s="49"/>
      <c r="AH663" s="49"/>
      <c r="AI663" s="49"/>
      <c r="AJ663" s="49"/>
      <c r="AK663" s="49"/>
      <c r="AL663" s="49"/>
      <c r="AM663" s="49"/>
      <c r="AN663" s="49"/>
      <c r="AO663" s="49"/>
      <c r="AP663" s="49"/>
      <c r="AQ663" s="49"/>
      <c r="AR663" s="49"/>
      <c r="AS663" s="49"/>
      <c r="AT663" s="49"/>
      <c r="AU663" s="49"/>
      <c r="AV663" s="49"/>
      <c r="AW663" s="49"/>
      <c r="AX663" s="49"/>
    </row>
    <row r="664">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c r="AF664" s="49"/>
      <c r="AG664" s="49"/>
      <c r="AH664" s="49"/>
      <c r="AI664" s="49"/>
      <c r="AJ664" s="49"/>
      <c r="AK664" s="49"/>
      <c r="AL664" s="49"/>
      <c r="AM664" s="49"/>
      <c r="AN664" s="49"/>
      <c r="AO664" s="49"/>
      <c r="AP664" s="49"/>
      <c r="AQ664" s="49"/>
      <c r="AR664" s="49"/>
      <c r="AS664" s="49"/>
      <c r="AT664" s="49"/>
      <c r="AU664" s="49"/>
      <c r="AV664" s="49"/>
      <c r="AW664" s="49"/>
      <c r="AX664" s="49"/>
    </row>
    <row r="66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c r="AF665" s="49"/>
      <c r="AG665" s="49"/>
      <c r="AH665" s="49"/>
      <c r="AI665" s="49"/>
      <c r="AJ665" s="49"/>
      <c r="AK665" s="49"/>
      <c r="AL665" s="49"/>
      <c r="AM665" s="49"/>
      <c r="AN665" s="49"/>
      <c r="AO665" s="49"/>
      <c r="AP665" s="49"/>
      <c r="AQ665" s="49"/>
      <c r="AR665" s="49"/>
      <c r="AS665" s="49"/>
      <c r="AT665" s="49"/>
      <c r="AU665" s="49"/>
      <c r="AV665" s="49"/>
      <c r="AW665" s="49"/>
      <c r="AX665" s="49"/>
    </row>
    <row r="666">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c r="AF666" s="49"/>
      <c r="AG666" s="49"/>
      <c r="AH666" s="49"/>
      <c r="AI666" s="49"/>
      <c r="AJ666" s="49"/>
      <c r="AK666" s="49"/>
      <c r="AL666" s="49"/>
      <c r="AM666" s="49"/>
      <c r="AN666" s="49"/>
      <c r="AO666" s="49"/>
      <c r="AP666" s="49"/>
      <c r="AQ666" s="49"/>
      <c r="AR666" s="49"/>
      <c r="AS666" s="49"/>
      <c r="AT666" s="49"/>
      <c r="AU666" s="49"/>
      <c r="AV666" s="49"/>
      <c r="AW666" s="49"/>
      <c r="AX666" s="49"/>
    </row>
    <row r="667">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c r="AF667" s="49"/>
      <c r="AG667" s="49"/>
      <c r="AH667" s="49"/>
      <c r="AI667" s="49"/>
      <c r="AJ667" s="49"/>
      <c r="AK667" s="49"/>
      <c r="AL667" s="49"/>
      <c r="AM667" s="49"/>
      <c r="AN667" s="49"/>
      <c r="AO667" s="49"/>
      <c r="AP667" s="49"/>
      <c r="AQ667" s="49"/>
      <c r="AR667" s="49"/>
      <c r="AS667" s="49"/>
      <c r="AT667" s="49"/>
      <c r="AU667" s="49"/>
      <c r="AV667" s="49"/>
      <c r="AW667" s="49"/>
      <c r="AX667" s="49"/>
    </row>
    <row r="668">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c r="AF668" s="49"/>
      <c r="AG668" s="49"/>
      <c r="AH668" s="49"/>
      <c r="AI668" s="49"/>
      <c r="AJ668" s="49"/>
      <c r="AK668" s="49"/>
      <c r="AL668" s="49"/>
      <c r="AM668" s="49"/>
      <c r="AN668" s="49"/>
      <c r="AO668" s="49"/>
      <c r="AP668" s="49"/>
      <c r="AQ668" s="49"/>
      <c r="AR668" s="49"/>
      <c r="AS668" s="49"/>
      <c r="AT668" s="49"/>
      <c r="AU668" s="49"/>
      <c r="AV668" s="49"/>
      <c r="AW668" s="49"/>
      <c r="AX668" s="49"/>
    </row>
    <row r="669">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c r="AF669" s="49"/>
      <c r="AG669" s="49"/>
      <c r="AH669" s="49"/>
      <c r="AI669" s="49"/>
      <c r="AJ669" s="49"/>
      <c r="AK669" s="49"/>
      <c r="AL669" s="49"/>
      <c r="AM669" s="49"/>
      <c r="AN669" s="49"/>
      <c r="AO669" s="49"/>
      <c r="AP669" s="49"/>
      <c r="AQ669" s="49"/>
      <c r="AR669" s="49"/>
      <c r="AS669" s="49"/>
      <c r="AT669" s="49"/>
      <c r="AU669" s="49"/>
      <c r="AV669" s="49"/>
      <c r="AW669" s="49"/>
      <c r="AX669" s="49"/>
    </row>
    <row r="670">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c r="AF670" s="49"/>
      <c r="AG670" s="49"/>
      <c r="AH670" s="49"/>
      <c r="AI670" s="49"/>
      <c r="AJ670" s="49"/>
      <c r="AK670" s="49"/>
      <c r="AL670" s="49"/>
      <c r="AM670" s="49"/>
      <c r="AN670" s="49"/>
      <c r="AO670" s="49"/>
      <c r="AP670" s="49"/>
      <c r="AQ670" s="49"/>
      <c r="AR670" s="49"/>
      <c r="AS670" s="49"/>
      <c r="AT670" s="49"/>
      <c r="AU670" s="49"/>
      <c r="AV670" s="49"/>
      <c r="AW670" s="49"/>
      <c r="AX670" s="49"/>
    </row>
    <row r="671">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c r="AF671" s="49"/>
      <c r="AG671" s="49"/>
      <c r="AH671" s="49"/>
      <c r="AI671" s="49"/>
      <c r="AJ671" s="49"/>
      <c r="AK671" s="49"/>
      <c r="AL671" s="49"/>
      <c r="AM671" s="49"/>
      <c r="AN671" s="49"/>
      <c r="AO671" s="49"/>
      <c r="AP671" s="49"/>
      <c r="AQ671" s="49"/>
      <c r="AR671" s="49"/>
      <c r="AS671" s="49"/>
      <c r="AT671" s="49"/>
      <c r="AU671" s="49"/>
      <c r="AV671" s="49"/>
      <c r="AW671" s="49"/>
      <c r="AX671" s="49"/>
    </row>
    <row r="672">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c r="AF672" s="49"/>
      <c r="AG672" s="49"/>
      <c r="AH672" s="49"/>
      <c r="AI672" s="49"/>
      <c r="AJ672" s="49"/>
      <c r="AK672" s="49"/>
      <c r="AL672" s="49"/>
      <c r="AM672" s="49"/>
      <c r="AN672" s="49"/>
      <c r="AO672" s="49"/>
      <c r="AP672" s="49"/>
      <c r="AQ672" s="49"/>
      <c r="AR672" s="49"/>
      <c r="AS672" s="49"/>
      <c r="AT672" s="49"/>
      <c r="AU672" s="49"/>
      <c r="AV672" s="49"/>
      <c r="AW672" s="49"/>
      <c r="AX672" s="49"/>
    </row>
    <row r="673">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c r="AF673" s="49"/>
      <c r="AG673" s="49"/>
      <c r="AH673" s="49"/>
      <c r="AI673" s="49"/>
      <c r="AJ673" s="49"/>
      <c r="AK673" s="49"/>
      <c r="AL673" s="49"/>
      <c r="AM673" s="49"/>
      <c r="AN673" s="49"/>
      <c r="AO673" s="49"/>
      <c r="AP673" s="49"/>
      <c r="AQ673" s="49"/>
      <c r="AR673" s="49"/>
      <c r="AS673" s="49"/>
      <c r="AT673" s="49"/>
      <c r="AU673" s="49"/>
      <c r="AV673" s="49"/>
      <c r="AW673" s="49"/>
      <c r="AX673" s="49"/>
    </row>
    <row r="674">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c r="AE674" s="49"/>
      <c r="AF674" s="49"/>
      <c r="AG674" s="49"/>
      <c r="AH674" s="49"/>
      <c r="AI674" s="49"/>
      <c r="AJ674" s="49"/>
      <c r="AK674" s="49"/>
      <c r="AL674" s="49"/>
      <c r="AM674" s="49"/>
      <c r="AN674" s="49"/>
      <c r="AO674" s="49"/>
      <c r="AP674" s="49"/>
      <c r="AQ674" s="49"/>
      <c r="AR674" s="49"/>
      <c r="AS674" s="49"/>
      <c r="AT674" s="49"/>
      <c r="AU674" s="49"/>
      <c r="AV674" s="49"/>
      <c r="AW674" s="49"/>
      <c r="AX674" s="49"/>
    </row>
    <row r="67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c r="AF675" s="49"/>
      <c r="AG675" s="49"/>
      <c r="AH675" s="49"/>
      <c r="AI675" s="49"/>
      <c r="AJ675" s="49"/>
      <c r="AK675" s="49"/>
      <c r="AL675" s="49"/>
      <c r="AM675" s="49"/>
      <c r="AN675" s="49"/>
      <c r="AO675" s="49"/>
      <c r="AP675" s="49"/>
      <c r="AQ675" s="49"/>
      <c r="AR675" s="49"/>
      <c r="AS675" s="49"/>
      <c r="AT675" s="49"/>
      <c r="AU675" s="49"/>
      <c r="AV675" s="49"/>
      <c r="AW675" s="49"/>
      <c r="AX675" s="49"/>
    </row>
    <row r="676">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c r="AE676" s="49"/>
      <c r="AF676" s="49"/>
      <c r="AG676" s="49"/>
      <c r="AH676" s="49"/>
      <c r="AI676" s="49"/>
      <c r="AJ676" s="49"/>
      <c r="AK676" s="49"/>
      <c r="AL676" s="49"/>
      <c r="AM676" s="49"/>
      <c r="AN676" s="49"/>
      <c r="AO676" s="49"/>
      <c r="AP676" s="49"/>
      <c r="AQ676" s="49"/>
      <c r="AR676" s="49"/>
      <c r="AS676" s="49"/>
      <c r="AT676" s="49"/>
      <c r="AU676" s="49"/>
      <c r="AV676" s="49"/>
      <c r="AW676" s="49"/>
      <c r="AX676" s="49"/>
    </row>
    <row r="677">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c r="AF677" s="49"/>
      <c r="AG677" s="49"/>
      <c r="AH677" s="49"/>
      <c r="AI677" s="49"/>
      <c r="AJ677" s="49"/>
      <c r="AK677" s="49"/>
      <c r="AL677" s="49"/>
      <c r="AM677" s="49"/>
      <c r="AN677" s="49"/>
      <c r="AO677" s="49"/>
      <c r="AP677" s="49"/>
      <c r="AQ677" s="49"/>
      <c r="AR677" s="49"/>
      <c r="AS677" s="49"/>
      <c r="AT677" s="49"/>
      <c r="AU677" s="49"/>
      <c r="AV677" s="49"/>
      <c r="AW677" s="49"/>
      <c r="AX677" s="49"/>
    </row>
    <row r="678">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c r="AF678" s="49"/>
      <c r="AG678" s="49"/>
      <c r="AH678" s="49"/>
      <c r="AI678" s="49"/>
      <c r="AJ678" s="49"/>
      <c r="AK678" s="49"/>
      <c r="AL678" s="49"/>
      <c r="AM678" s="49"/>
      <c r="AN678" s="49"/>
      <c r="AO678" s="49"/>
      <c r="AP678" s="49"/>
      <c r="AQ678" s="49"/>
      <c r="AR678" s="49"/>
      <c r="AS678" s="49"/>
      <c r="AT678" s="49"/>
      <c r="AU678" s="49"/>
      <c r="AV678" s="49"/>
      <c r="AW678" s="49"/>
      <c r="AX678" s="49"/>
    </row>
    <row r="679">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c r="AF679" s="49"/>
      <c r="AG679" s="49"/>
      <c r="AH679" s="49"/>
      <c r="AI679" s="49"/>
      <c r="AJ679" s="49"/>
      <c r="AK679" s="49"/>
      <c r="AL679" s="49"/>
      <c r="AM679" s="49"/>
      <c r="AN679" s="49"/>
      <c r="AO679" s="49"/>
      <c r="AP679" s="49"/>
      <c r="AQ679" s="49"/>
      <c r="AR679" s="49"/>
      <c r="AS679" s="49"/>
      <c r="AT679" s="49"/>
      <c r="AU679" s="49"/>
      <c r="AV679" s="49"/>
      <c r="AW679" s="49"/>
      <c r="AX679" s="49"/>
    </row>
    <row r="680">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c r="AF680" s="49"/>
      <c r="AG680" s="49"/>
      <c r="AH680" s="49"/>
      <c r="AI680" s="49"/>
      <c r="AJ680" s="49"/>
      <c r="AK680" s="49"/>
      <c r="AL680" s="49"/>
      <c r="AM680" s="49"/>
      <c r="AN680" s="49"/>
      <c r="AO680" s="49"/>
      <c r="AP680" s="49"/>
      <c r="AQ680" s="49"/>
      <c r="AR680" s="49"/>
      <c r="AS680" s="49"/>
      <c r="AT680" s="49"/>
      <c r="AU680" s="49"/>
      <c r="AV680" s="49"/>
      <c r="AW680" s="49"/>
      <c r="AX680" s="49"/>
    </row>
    <row r="681">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c r="AF681" s="49"/>
      <c r="AG681" s="49"/>
      <c r="AH681" s="49"/>
      <c r="AI681" s="49"/>
      <c r="AJ681" s="49"/>
      <c r="AK681" s="49"/>
      <c r="AL681" s="49"/>
      <c r="AM681" s="49"/>
      <c r="AN681" s="49"/>
      <c r="AO681" s="49"/>
      <c r="AP681" s="49"/>
      <c r="AQ681" s="49"/>
      <c r="AR681" s="49"/>
      <c r="AS681" s="49"/>
      <c r="AT681" s="49"/>
      <c r="AU681" s="49"/>
      <c r="AV681" s="49"/>
      <c r="AW681" s="49"/>
      <c r="AX681" s="49"/>
    </row>
    <row r="682">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c r="AF682" s="49"/>
      <c r="AG682" s="49"/>
      <c r="AH682" s="49"/>
      <c r="AI682" s="49"/>
      <c r="AJ682" s="49"/>
      <c r="AK682" s="49"/>
      <c r="AL682" s="49"/>
      <c r="AM682" s="49"/>
      <c r="AN682" s="49"/>
      <c r="AO682" s="49"/>
      <c r="AP682" s="49"/>
      <c r="AQ682" s="49"/>
      <c r="AR682" s="49"/>
      <c r="AS682" s="49"/>
      <c r="AT682" s="49"/>
      <c r="AU682" s="49"/>
      <c r="AV682" s="49"/>
      <c r="AW682" s="49"/>
      <c r="AX682" s="49"/>
    </row>
    <row r="683">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c r="AE683" s="49"/>
      <c r="AF683" s="49"/>
      <c r="AG683" s="49"/>
      <c r="AH683" s="49"/>
      <c r="AI683" s="49"/>
      <c r="AJ683" s="49"/>
      <c r="AK683" s="49"/>
      <c r="AL683" s="49"/>
      <c r="AM683" s="49"/>
      <c r="AN683" s="49"/>
      <c r="AO683" s="49"/>
      <c r="AP683" s="49"/>
      <c r="AQ683" s="49"/>
      <c r="AR683" s="49"/>
      <c r="AS683" s="49"/>
      <c r="AT683" s="49"/>
      <c r="AU683" s="49"/>
      <c r="AV683" s="49"/>
      <c r="AW683" s="49"/>
      <c r="AX683" s="49"/>
    </row>
    <row r="684">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c r="AE684" s="49"/>
      <c r="AF684" s="49"/>
      <c r="AG684" s="49"/>
      <c r="AH684" s="49"/>
      <c r="AI684" s="49"/>
      <c r="AJ684" s="49"/>
      <c r="AK684" s="49"/>
      <c r="AL684" s="49"/>
      <c r="AM684" s="49"/>
      <c r="AN684" s="49"/>
      <c r="AO684" s="49"/>
      <c r="AP684" s="49"/>
      <c r="AQ684" s="49"/>
      <c r="AR684" s="49"/>
      <c r="AS684" s="49"/>
      <c r="AT684" s="49"/>
      <c r="AU684" s="49"/>
      <c r="AV684" s="49"/>
      <c r="AW684" s="49"/>
      <c r="AX684" s="49"/>
    </row>
    <row r="68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c r="AE685" s="49"/>
      <c r="AF685" s="49"/>
      <c r="AG685" s="49"/>
      <c r="AH685" s="49"/>
      <c r="AI685" s="49"/>
      <c r="AJ685" s="49"/>
      <c r="AK685" s="49"/>
      <c r="AL685" s="49"/>
      <c r="AM685" s="49"/>
      <c r="AN685" s="49"/>
      <c r="AO685" s="49"/>
      <c r="AP685" s="49"/>
      <c r="AQ685" s="49"/>
      <c r="AR685" s="49"/>
      <c r="AS685" s="49"/>
      <c r="AT685" s="49"/>
      <c r="AU685" s="49"/>
      <c r="AV685" s="49"/>
      <c r="AW685" s="49"/>
      <c r="AX685" s="49"/>
    </row>
    <row r="686">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c r="AE686" s="49"/>
      <c r="AF686" s="49"/>
      <c r="AG686" s="49"/>
      <c r="AH686" s="49"/>
      <c r="AI686" s="49"/>
      <c r="AJ686" s="49"/>
      <c r="AK686" s="49"/>
      <c r="AL686" s="49"/>
      <c r="AM686" s="49"/>
      <c r="AN686" s="49"/>
      <c r="AO686" s="49"/>
      <c r="AP686" s="49"/>
      <c r="AQ686" s="49"/>
      <c r="AR686" s="49"/>
      <c r="AS686" s="49"/>
      <c r="AT686" s="49"/>
      <c r="AU686" s="49"/>
      <c r="AV686" s="49"/>
      <c r="AW686" s="49"/>
      <c r="AX686" s="49"/>
    </row>
    <row r="687">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c r="AE687" s="49"/>
      <c r="AF687" s="49"/>
      <c r="AG687" s="49"/>
      <c r="AH687" s="49"/>
      <c r="AI687" s="49"/>
      <c r="AJ687" s="49"/>
      <c r="AK687" s="49"/>
      <c r="AL687" s="49"/>
      <c r="AM687" s="49"/>
      <c r="AN687" s="49"/>
      <c r="AO687" s="49"/>
      <c r="AP687" s="49"/>
      <c r="AQ687" s="49"/>
      <c r="AR687" s="49"/>
      <c r="AS687" s="49"/>
      <c r="AT687" s="49"/>
      <c r="AU687" s="49"/>
      <c r="AV687" s="49"/>
      <c r="AW687" s="49"/>
      <c r="AX687" s="49"/>
    </row>
    <row r="688">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c r="AE688" s="49"/>
      <c r="AF688" s="49"/>
      <c r="AG688" s="49"/>
      <c r="AH688" s="49"/>
      <c r="AI688" s="49"/>
      <c r="AJ688" s="49"/>
      <c r="AK688" s="49"/>
      <c r="AL688" s="49"/>
      <c r="AM688" s="49"/>
      <c r="AN688" s="49"/>
      <c r="AO688" s="49"/>
      <c r="AP688" s="49"/>
      <c r="AQ688" s="49"/>
      <c r="AR688" s="49"/>
      <c r="AS688" s="49"/>
      <c r="AT688" s="49"/>
      <c r="AU688" s="49"/>
      <c r="AV688" s="49"/>
      <c r="AW688" s="49"/>
      <c r="AX688" s="49"/>
    </row>
    <row r="689">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c r="AE689" s="49"/>
      <c r="AF689" s="49"/>
      <c r="AG689" s="49"/>
      <c r="AH689" s="49"/>
      <c r="AI689" s="49"/>
      <c r="AJ689" s="49"/>
      <c r="AK689" s="49"/>
      <c r="AL689" s="49"/>
      <c r="AM689" s="49"/>
      <c r="AN689" s="49"/>
      <c r="AO689" s="49"/>
      <c r="AP689" s="49"/>
      <c r="AQ689" s="49"/>
      <c r="AR689" s="49"/>
      <c r="AS689" s="49"/>
      <c r="AT689" s="49"/>
      <c r="AU689" s="49"/>
      <c r="AV689" s="49"/>
      <c r="AW689" s="49"/>
      <c r="AX689" s="49"/>
    </row>
    <row r="690">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c r="AE690" s="49"/>
      <c r="AF690" s="49"/>
      <c r="AG690" s="49"/>
      <c r="AH690" s="49"/>
      <c r="AI690" s="49"/>
      <c r="AJ690" s="49"/>
      <c r="AK690" s="49"/>
      <c r="AL690" s="49"/>
      <c r="AM690" s="49"/>
      <c r="AN690" s="49"/>
      <c r="AO690" s="49"/>
      <c r="AP690" s="49"/>
      <c r="AQ690" s="49"/>
      <c r="AR690" s="49"/>
      <c r="AS690" s="49"/>
      <c r="AT690" s="49"/>
      <c r="AU690" s="49"/>
      <c r="AV690" s="49"/>
      <c r="AW690" s="49"/>
      <c r="AX690" s="49"/>
    </row>
    <row r="691">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c r="AE691" s="49"/>
      <c r="AF691" s="49"/>
      <c r="AG691" s="49"/>
      <c r="AH691" s="49"/>
      <c r="AI691" s="49"/>
      <c r="AJ691" s="49"/>
      <c r="AK691" s="49"/>
      <c r="AL691" s="49"/>
      <c r="AM691" s="49"/>
      <c r="AN691" s="49"/>
      <c r="AO691" s="49"/>
      <c r="AP691" s="49"/>
      <c r="AQ691" s="49"/>
      <c r="AR691" s="49"/>
      <c r="AS691" s="49"/>
      <c r="AT691" s="49"/>
      <c r="AU691" s="49"/>
      <c r="AV691" s="49"/>
      <c r="AW691" s="49"/>
      <c r="AX691" s="49"/>
    </row>
    <row r="692">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c r="AE692" s="49"/>
      <c r="AF692" s="49"/>
      <c r="AG692" s="49"/>
      <c r="AH692" s="49"/>
      <c r="AI692" s="49"/>
      <c r="AJ692" s="49"/>
      <c r="AK692" s="49"/>
      <c r="AL692" s="49"/>
      <c r="AM692" s="49"/>
      <c r="AN692" s="49"/>
      <c r="AO692" s="49"/>
      <c r="AP692" s="49"/>
      <c r="AQ692" s="49"/>
      <c r="AR692" s="49"/>
      <c r="AS692" s="49"/>
      <c r="AT692" s="49"/>
      <c r="AU692" s="49"/>
      <c r="AV692" s="49"/>
      <c r="AW692" s="49"/>
      <c r="AX692" s="49"/>
    </row>
    <row r="693">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c r="AE693" s="49"/>
      <c r="AF693" s="49"/>
      <c r="AG693" s="49"/>
      <c r="AH693" s="49"/>
      <c r="AI693" s="49"/>
      <c r="AJ693" s="49"/>
      <c r="AK693" s="49"/>
      <c r="AL693" s="49"/>
      <c r="AM693" s="49"/>
      <c r="AN693" s="49"/>
      <c r="AO693" s="49"/>
      <c r="AP693" s="49"/>
      <c r="AQ693" s="49"/>
      <c r="AR693" s="49"/>
      <c r="AS693" s="49"/>
      <c r="AT693" s="49"/>
      <c r="AU693" s="49"/>
      <c r="AV693" s="49"/>
      <c r="AW693" s="49"/>
      <c r="AX693" s="49"/>
    </row>
    <row r="694">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c r="AE694" s="49"/>
      <c r="AF694" s="49"/>
      <c r="AG694" s="49"/>
      <c r="AH694" s="49"/>
      <c r="AI694" s="49"/>
      <c r="AJ694" s="49"/>
      <c r="AK694" s="49"/>
      <c r="AL694" s="49"/>
      <c r="AM694" s="49"/>
      <c r="AN694" s="49"/>
      <c r="AO694" s="49"/>
      <c r="AP694" s="49"/>
      <c r="AQ694" s="49"/>
      <c r="AR694" s="49"/>
      <c r="AS694" s="49"/>
      <c r="AT694" s="49"/>
      <c r="AU694" s="49"/>
      <c r="AV694" s="49"/>
      <c r="AW694" s="49"/>
      <c r="AX694" s="49"/>
    </row>
    <row r="69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c r="AE695" s="49"/>
      <c r="AF695" s="49"/>
      <c r="AG695" s="49"/>
      <c r="AH695" s="49"/>
      <c r="AI695" s="49"/>
      <c r="AJ695" s="49"/>
      <c r="AK695" s="49"/>
      <c r="AL695" s="49"/>
      <c r="AM695" s="49"/>
      <c r="AN695" s="49"/>
      <c r="AO695" s="49"/>
      <c r="AP695" s="49"/>
      <c r="AQ695" s="49"/>
      <c r="AR695" s="49"/>
      <c r="AS695" s="49"/>
      <c r="AT695" s="49"/>
      <c r="AU695" s="49"/>
      <c r="AV695" s="49"/>
      <c r="AW695" s="49"/>
      <c r="AX695" s="49"/>
    </row>
    <row r="696">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c r="AE696" s="49"/>
      <c r="AF696" s="49"/>
      <c r="AG696" s="49"/>
      <c r="AH696" s="49"/>
      <c r="AI696" s="49"/>
      <c r="AJ696" s="49"/>
      <c r="AK696" s="49"/>
      <c r="AL696" s="49"/>
      <c r="AM696" s="49"/>
      <c r="AN696" s="49"/>
      <c r="AO696" s="49"/>
      <c r="AP696" s="49"/>
      <c r="AQ696" s="49"/>
      <c r="AR696" s="49"/>
      <c r="AS696" s="49"/>
      <c r="AT696" s="49"/>
      <c r="AU696" s="49"/>
      <c r="AV696" s="49"/>
      <c r="AW696" s="49"/>
      <c r="AX696" s="49"/>
    </row>
    <row r="697">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c r="AE697" s="49"/>
      <c r="AF697" s="49"/>
      <c r="AG697" s="49"/>
      <c r="AH697" s="49"/>
      <c r="AI697" s="49"/>
      <c r="AJ697" s="49"/>
      <c r="AK697" s="49"/>
      <c r="AL697" s="49"/>
      <c r="AM697" s="49"/>
      <c r="AN697" s="49"/>
      <c r="AO697" s="49"/>
      <c r="AP697" s="49"/>
      <c r="AQ697" s="49"/>
      <c r="AR697" s="49"/>
      <c r="AS697" s="49"/>
      <c r="AT697" s="49"/>
      <c r="AU697" s="49"/>
      <c r="AV697" s="49"/>
      <c r="AW697" s="49"/>
      <c r="AX697" s="49"/>
    </row>
    <row r="698">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c r="AE698" s="49"/>
      <c r="AF698" s="49"/>
      <c r="AG698" s="49"/>
      <c r="AH698" s="49"/>
      <c r="AI698" s="49"/>
      <c r="AJ698" s="49"/>
      <c r="AK698" s="49"/>
      <c r="AL698" s="49"/>
      <c r="AM698" s="49"/>
      <c r="AN698" s="49"/>
      <c r="AO698" s="49"/>
      <c r="AP698" s="49"/>
      <c r="AQ698" s="49"/>
      <c r="AR698" s="49"/>
      <c r="AS698" s="49"/>
      <c r="AT698" s="49"/>
      <c r="AU698" s="49"/>
      <c r="AV698" s="49"/>
      <c r="AW698" s="49"/>
      <c r="AX698" s="49"/>
    </row>
    <row r="699">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c r="AE699" s="49"/>
      <c r="AF699" s="49"/>
      <c r="AG699" s="49"/>
      <c r="AH699" s="49"/>
      <c r="AI699" s="49"/>
      <c r="AJ699" s="49"/>
      <c r="AK699" s="49"/>
      <c r="AL699" s="49"/>
      <c r="AM699" s="49"/>
      <c r="AN699" s="49"/>
      <c r="AO699" s="49"/>
      <c r="AP699" s="49"/>
      <c r="AQ699" s="49"/>
      <c r="AR699" s="49"/>
      <c r="AS699" s="49"/>
      <c r="AT699" s="49"/>
      <c r="AU699" s="49"/>
      <c r="AV699" s="49"/>
      <c r="AW699" s="49"/>
      <c r="AX699" s="49"/>
    </row>
    <row r="700">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c r="AF700" s="49"/>
      <c r="AG700" s="49"/>
      <c r="AH700" s="49"/>
      <c r="AI700" s="49"/>
      <c r="AJ700" s="49"/>
      <c r="AK700" s="49"/>
      <c r="AL700" s="49"/>
      <c r="AM700" s="49"/>
      <c r="AN700" s="49"/>
      <c r="AO700" s="49"/>
      <c r="AP700" s="49"/>
      <c r="AQ700" s="49"/>
      <c r="AR700" s="49"/>
      <c r="AS700" s="49"/>
      <c r="AT700" s="49"/>
      <c r="AU700" s="49"/>
      <c r="AV700" s="49"/>
      <c r="AW700" s="49"/>
      <c r="AX700" s="49"/>
    </row>
    <row r="701">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c r="AF701" s="49"/>
      <c r="AG701" s="49"/>
      <c r="AH701" s="49"/>
      <c r="AI701" s="49"/>
      <c r="AJ701" s="49"/>
      <c r="AK701" s="49"/>
      <c r="AL701" s="49"/>
      <c r="AM701" s="49"/>
      <c r="AN701" s="49"/>
      <c r="AO701" s="49"/>
      <c r="AP701" s="49"/>
      <c r="AQ701" s="49"/>
      <c r="AR701" s="49"/>
      <c r="AS701" s="49"/>
      <c r="AT701" s="49"/>
      <c r="AU701" s="49"/>
      <c r="AV701" s="49"/>
      <c r="AW701" s="49"/>
      <c r="AX701" s="49"/>
    </row>
    <row r="702">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c r="AF702" s="49"/>
      <c r="AG702" s="49"/>
      <c r="AH702" s="49"/>
      <c r="AI702" s="49"/>
      <c r="AJ702" s="49"/>
      <c r="AK702" s="49"/>
      <c r="AL702" s="49"/>
      <c r="AM702" s="49"/>
      <c r="AN702" s="49"/>
      <c r="AO702" s="49"/>
      <c r="AP702" s="49"/>
      <c r="AQ702" s="49"/>
      <c r="AR702" s="49"/>
      <c r="AS702" s="49"/>
      <c r="AT702" s="49"/>
      <c r="AU702" s="49"/>
      <c r="AV702" s="49"/>
      <c r="AW702" s="49"/>
      <c r="AX702" s="49"/>
    </row>
    <row r="703">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c r="AF703" s="49"/>
      <c r="AG703" s="49"/>
      <c r="AH703" s="49"/>
      <c r="AI703" s="49"/>
      <c r="AJ703" s="49"/>
      <c r="AK703" s="49"/>
      <c r="AL703" s="49"/>
      <c r="AM703" s="49"/>
      <c r="AN703" s="49"/>
      <c r="AO703" s="49"/>
      <c r="AP703" s="49"/>
      <c r="AQ703" s="49"/>
      <c r="AR703" s="49"/>
      <c r="AS703" s="49"/>
      <c r="AT703" s="49"/>
      <c r="AU703" s="49"/>
      <c r="AV703" s="49"/>
      <c r="AW703" s="49"/>
      <c r="AX703" s="49"/>
    </row>
    <row r="704">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c r="AF704" s="49"/>
      <c r="AG704" s="49"/>
      <c r="AH704" s="49"/>
      <c r="AI704" s="49"/>
      <c r="AJ704" s="49"/>
      <c r="AK704" s="49"/>
      <c r="AL704" s="49"/>
      <c r="AM704" s="49"/>
      <c r="AN704" s="49"/>
      <c r="AO704" s="49"/>
      <c r="AP704" s="49"/>
      <c r="AQ704" s="49"/>
      <c r="AR704" s="49"/>
      <c r="AS704" s="49"/>
      <c r="AT704" s="49"/>
      <c r="AU704" s="49"/>
      <c r="AV704" s="49"/>
      <c r="AW704" s="49"/>
      <c r="AX704" s="49"/>
    </row>
    <row r="70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c r="AF705" s="49"/>
      <c r="AG705" s="49"/>
      <c r="AH705" s="49"/>
      <c r="AI705" s="49"/>
      <c r="AJ705" s="49"/>
      <c r="AK705" s="49"/>
      <c r="AL705" s="49"/>
      <c r="AM705" s="49"/>
      <c r="AN705" s="49"/>
      <c r="AO705" s="49"/>
      <c r="AP705" s="49"/>
      <c r="AQ705" s="49"/>
      <c r="AR705" s="49"/>
      <c r="AS705" s="49"/>
      <c r="AT705" s="49"/>
      <c r="AU705" s="49"/>
      <c r="AV705" s="49"/>
      <c r="AW705" s="49"/>
      <c r="AX705" s="49"/>
    </row>
    <row r="706">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c r="AF706" s="49"/>
      <c r="AG706" s="49"/>
      <c r="AH706" s="49"/>
      <c r="AI706" s="49"/>
      <c r="AJ706" s="49"/>
      <c r="AK706" s="49"/>
      <c r="AL706" s="49"/>
      <c r="AM706" s="49"/>
      <c r="AN706" s="49"/>
      <c r="AO706" s="49"/>
      <c r="AP706" s="49"/>
      <c r="AQ706" s="49"/>
      <c r="AR706" s="49"/>
      <c r="AS706" s="49"/>
      <c r="AT706" s="49"/>
      <c r="AU706" s="49"/>
      <c r="AV706" s="49"/>
      <c r="AW706" s="49"/>
      <c r="AX706" s="49"/>
    </row>
    <row r="707">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c r="AF707" s="49"/>
      <c r="AG707" s="49"/>
      <c r="AH707" s="49"/>
      <c r="AI707" s="49"/>
      <c r="AJ707" s="49"/>
      <c r="AK707" s="49"/>
      <c r="AL707" s="49"/>
      <c r="AM707" s="49"/>
      <c r="AN707" s="49"/>
      <c r="AO707" s="49"/>
      <c r="AP707" s="49"/>
      <c r="AQ707" s="49"/>
      <c r="AR707" s="49"/>
      <c r="AS707" s="49"/>
      <c r="AT707" s="49"/>
      <c r="AU707" s="49"/>
      <c r="AV707" s="49"/>
      <c r="AW707" s="49"/>
      <c r="AX707" s="49"/>
    </row>
    <row r="708">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c r="AF708" s="49"/>
      <c r="AG708" s="49"/>
      <c r="AH708" s="49"/>
      <c r="AI708" s="49"/>
      <c r="AJ708" s="49"/>
      <c r="AK708" s="49"/>
      <c r="AL708" s="49"/>
      <c r="AM708" s="49"/>
      <c r="AN708" s="49"/>
      <c r="AO708" s="49"/>
      <c r="AP708" s="49"/>
      <c r="AQ708" s="49"/>
      <c r="AR708" s="49"/>
      <c r="AS708" s="49"/>
      <c r="AT708" s="49"/>
      <c r="AU708" s="49"/>
      <c r="AV708" s="49"/>
      <c r="AW708" s="49"/>
      <c r="AX708" s="49"/>
    </row>
    <row r="709">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c r="AE709" s="49"/>
      <c r="AF709" s="49"/>
      <c r="AG709" s="49"/>
      <c r="AH709" s="49"/>
      <c r="AI709" s="49"/>
      <c r="AJ709" s="49"/>
      <c r="AK709" s="49"/>
      <c r="AL709" s="49"/>
      <c r="AM709" s="49"/>
      <c r="AN709" s="49"/>
      <c r="AO709" s="49"/>
      <c r="AP709" s="49"/>
      <c r="AQ709" s="49"/>
      <c r="AR709" s="49"/>
      <c r="AS709" s="49"/>
      <c r="AT709" s="49"/>
      <c r="AU709" s="49"/>
      <c r="AV709" s="49"/>
      <c r="AW709" s="49"/>
      <c r="AX709" s="49"/>
    </row>
    <row r="710">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c r="AE710" s="49"/>
      <c r="AF710" s="49"/>
      <c r="AG710" s="49"/>
      <c r="AH710" s="49"/>
      <c r="AI710" s="49"/>
      <c r="AJ710" s="49"/>
      <c r="AK710" s="49"/>
      <c r="AL710" s="49"/>
      <c r="AM710" s="49"/>
      <c r="AN710" s="49"/>
      <c r="AO710" s="49"/>
      <c r="AP710" s="49"/>
      <c r="AQ710" s="49"/>
      <c r="AR710" s="49"/>
      <c r="AS710" s="49"/>
      <c r="AT710" s="49"/>
      <c r="AU710" s="49"/>
      <c r="AV710" s="49"/>
      <c r="AW710" s="49"/>
      <c r="AX710" s="49"/>
    </row>
    <row r="711">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c r="AE711" s="49"/>
      <c r="AF711" s="49"/>
      <c r="AG711" s="49"/>
      <c r="AH711" s="49"/>
      <c r="AI711" s="49"/>
      <c r="AJ711" s="49"/>
      <c r="AK711" s="49"/>
      <c r="AL711" s="49"/>
      <c r="AM711" s="49"/>
      <c r="AN711" s="49"/>
      <c r="AO711" s="49"/>
      <c r="AP711" s="49"/>
      <c r="AQ711" s="49"/>
      <c r="AR711" s="49"/>
      <c r="AS711" s="49"/>
      <c r="AT711" s="49"/>
      <c r="AU711" s="49"/>
      <c r="AV711" s="49"/>
      <c r="AW711" s="49"/>
      <c r="AX711" s="49"/>
    </row>
    <row r="712">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c r="AF712" s="49"/>
      <c r="AG712" s="49"/>
      <c r="AH712" s="49"/>
      <c r="AI712" s="49"/>
      <c r="AJ712" s="49"/>
      <c r="AK712" s="49"/>
      <c r="AL712" s="49"/>
      <c r="AM712" s="49"/>
      <c r="AN712" s="49"/>
      <c r="AO712" s="49"/>
      <c r="AP712" s="49"/>
      <c r="AQ712" s="49"/>
      <c r="AR712" s="49"/>
      <c r="AS712" s="49"/>
      <c r="AT712" s="49"/>
      <c r="AU712" s="49"/>
      <c r="AV712" s="49"/>
      <c r="AW712" s="49"/>
      <c r="AX712" s="49"/>
    </row>
    <row r="713">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c r="AE713" s="49"/>
      <c r="AF713" s="49"/>
      <c r="AG713" s="49"/>
      <c r="AH713" s="49"/>
      <c r="AI713" s="49"/>
      <c r="AJ713" s="49"/>
      <c r="AK713" s="49"/>
      <c r="AL713" s="49"/>
      <c r="AM713" s="49"/>
      <c r="AN713" s="49"/>
      <c r="AO713" s="49"/>
      <c r="AP713" s="49"/>
      <c r="AQ713" s="49"/>
      <c r="AR713" s="49"/>
      <c r="AS713" s="49"/>
      <c r="AT713" s="49"/>
      <c r="AU713" s="49"/>
      <c r="AV713" s="49"/>
      <c r="AW713" s="49"/>
      <c r="AX713" s="49"/>
    </row>
    <row r="714">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c r="AE714" s="49"/>
      <c r="AF714" s="49"/>
      <c r="AG714" s="49"/>
      <c r="AH714" s="49"/>
      <c r="AI714" s="49"/>
      <c r="AJ714" s="49"/>
      <c r="AK714" s="49"/>
      <c r="AL714" s="49"/>
      <c r="AM714" s="49"/>
      <c r="AN714" s="49"/>
      <c r="AO714" s="49"/>
      <c r="AP714" s="49"/>
      <c r="AQ714" s="49"/>
      <c r="AR714" s="49"/>
      <c r="AS714" s="49"/>
      <c r="AT714" s="49"/>
      <c r="AU714" s="49"/>
      <c r="AV714" s="49"/>
      <c r="AW714" s="49"/>
      <c r="AX714" s="49"/>
    </row>
    <row r="71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c r="AE715" s="49"/>
      <c r="AF715" s="49"/>
      <c r="AG715" s="49"/>
      <c r="AH715" s="49"/>
      <c r="AI715" s="49"/>
      <c r="AJ715" s="49"/>
      <c r="AK715" s="49"/>
      <c r="AL715" s="49"/>
      <c r="AM715" s="49"/>
      <c r="AN715" s="49"/>
      <c r="AO715" s="49"/>
      <c r="AP715" s="49"/>
      <c r="AQ715" s="49"/>
      <c r="AR715" s="49"/>
      <c r="AS715" s="49"/>
      <c r="AT715" s="49"/>
      <c r="AU715" s="49"/>
      <c r="AV715" s="49"/>
      <c r="AW715" s="49"/>
      <c r="AX715" s="49"/>
    </row>
    <row r="716">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c r="AE716" s="49"/>
      <c r="AF716" s="49"/>
      <c r="AG716" s="49"/>
      <c r="AH716" s="49"/>
      <c r="AI716" s="49"/>
      <c r="AJ716" s="49"/>
      <c r="AK716" s="49"/>
      <c r="AL716" s="49"/>
      <c r="AM716" s="49"/>
      <c r="AN716" s="49"/>
      <c r="AO716" s="49"/>
      <c r="AP716" s="49"/>
      <c r="AQ716" s="49"/>
      <c r="AR716" s="49"/>
      <c r="AS716" s="49"/>
      <c r="AT716" s="49"/>
      <c r="AU716" s="49"/>
      <c r="AV716" s="49"/>
      <c r="AW716" s="49"/>
      <c r="AX716" s="49"/>
    </row>
    <row r="717">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c r="AF717" s="49"/>
      <c r="AG717" s="49"/>
      <c r="AH717" s="49"/>
      <c r="AI717" s="49"/>
      <c r="AJ717" s="49"/>
      <c r="AK717" s="49"/>
      <c r="AL717" s="49"/>
      <c r="AM717" s="49"/>
      <c r="AN717" s="49"/>
      <c r="AO717" s="49"/>
      <c r="AP717" s="49"/>
      <c r="AQ717" s="49"/>
      <c r="AR717" s="49"/>
      <c r="AS717" s="49"/>
      <c r="AT717" s="49"/>
      <c r="AU717" s="49"/>
      <c r="AV717" s="49"/>
      <c r="AW717" s="49"/>
      <c r="AX717" s="49"/>
    </row>
    <row r="718">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c r="AE718" s="49"/>
      <c r="AF718" s="49"/>
      <c r="AG718" s="49"/>
      <c r="AH718" s="49"/>
      <c r="AI718" s="49"/>
      <c r="AJ718" s="49"/>
      <c r="AK718" s="49"/>
      <c r="AL718" s="49"/>
      <c r="AM718" s="49"/>
      <c r="AN718" s="49"/>
      <c r="AO718" s="49"/>
      <c r="AP718" s="49"/>
      <c r="AQ718" s="49"/>
      <c r="AR718" s="49"/>
      <c r="AS718" s="49"/>
      <c r="AT718" s="49"/>
      <c r="AU718" s="49"/>
      <c r="AV718" s="49"/>
      <c r="AW718" s="49"/>
      <c r="AX718" s="49"/>
    </row>
    <row r="719">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c r="AE719" s="49"/>
      <c r="AF719" s="49"/>
      <c r="AG719" s="49"/>
      <c r="AH719" s="49"/>
      <c r="AI719" s="49"/>
      <c r="AJ719" s="49"/>
      <c r="AK719" s="49"/>
      <c r="AL719" s="49"/>
      <c r="AM719" s="49"/>
      <c r="AN719" s="49"/>
      <c r="AO719" s="49"/>
      <c r="AP719" s="49"/>
      <c r="AQ719" s="49"/>
      <c r="AR719" s="49"/>
      <c r="AS719" s="49"/>
      <c r="AT719" s="49"/>
      <c r="AU719" s="49"/>
      <c r="AV719" s="49"/>
      <c r="AW719" s="49"/>
      <c r="AX719" s="49"/>
    </row>
    <row r="720">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c r="AE720" s="49"/>
      <c r="AF720" s="49"/>
      <c r="AG720" s="49"/>
      <c r="AH720" s="49"/>
      <c r="AI720" s="49"/>
      <c r="AJ720" s="49"/>
      <c r="AK720" s="49"/>
      <c r="AL720" s="49"/>
      <c r="AM720" s="49"/>
      <c r="AN720" s="49"/>
      <c r="AO720" s="49"/>
      <c r="AP720" s="49"/>
      <c r="AQ720" s="49"/>
      <c r="AR720" s="49"/>
      <c r="AS720" s="49"/>
      <c r="AT720" s="49"/>
      <c r="AU720" s="49"/>
      <c r="AV720" s="49"/>
      <c r="AW720" s="49"/>
      <c r="AX720" s="49"/>
    </row>
    <row r="721">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c r="AE721" s="49"/>
      <c r="AF721" s="49"/>
      <c r="AG721" s="49"/>
      <c r="AH721" s="49"/>
      <c r="AI721" s="49"/>
      <c r="AJ721" s="49"/>
      <c r="AK721" s="49"/>
      <c r="AL721" s="49"/>
      <c r="AM721" s="49"/>
      <c r="AN721" s="49"/>
      <c r="AO721" s="49"/>
      <c r="AP721" s="49"/>
      <c r="AQ721" s="49"/>
      <c r="AR721" s="49"/>
      <c r="AS721" s="49"/>
      <c r="AT721" s="49"/>
      <c r="AU721" s="49"/>
      <c r="AV721" s="49"/>
      <c r="AW721" s="49"/>
      <c r="AX721" s="49"/>
    </row>
    <row r="722">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c r="AE722" s="49"/>
      <c r="AF722" s="49"/>
      <c r="AG722" s="49"/>
      <c r="AH722" s="49"/>
      <c r="AI722" s="49"/>
      <c r="AJ722" s="49"/>
      <c r="AK722" s="49"/>
      <c r="AL722" s="49"/>
      <c r="AM722" s="49"/>
      <c r="AN722" s="49"/>
      <c r="AO722" s="49"/>
      <c r="AP722" s="49"/>
      <c r="AQ722" s="49"/>
      <c r="AR722" s="49"/>
      <c r="AS722" s="49"/>
      <c r="AT722" s="49"/>
      <c r="AU722" s="49"/>
      <c r="AV722" s="49"/>
      <c r="AW722" s="49"/>
      <c r="AX722" s="49"/>
    </row>
    <row r="723">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c r="AE723" s="49"/>
      <c r="AF723" s="49"/>
      <c r="AG723" s="49"/>
      <c r="AH723" s="49"/>
      <c r="AI723" s="49"/>
      <c r="AJ723" s="49"/>
      <c r="AK723" s="49"/>
      <c r="AL723" s="49"/>
      <c r="AM723" s="49"/>
      <c r="AN723" s="49"/>
      <c r="AO723" s="49"/>
      <c r="AP723" s="49"/>
      <c r="AQ723" s="49"/>
      <c r="AR723" s="49"/>
      <c r="AS723" s="49"/>
      <c r="AT723" s="49"/>
      <c r="AU723" s="49"/>
      <c r="AV723" s="49"/>
      <c r="AW723" s="49"/>
      <c r="AX723" s="49"/>
    </row>
    <row r="724">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c r="AE724" s="49"/>
      <c r="AF724" s="49"/>
      <c r="AG724" s="49"/>
      <c r="AH724" s="49"/>
      <c r="AI724" s="49"/>
      <c r="AJ724" s="49"/>
      <c r="AK724" s="49"/>
      <c r="AL724" s="49"/>
      <c r="AM724" s="49"/>
      <c r="AN724" s="49"/>
      <c r="AO724" s="49"/>
      <c r="AP724" s="49"/>
      <c r="AQ724" s="49"/>
      <c r="AR724" s="49"/>
      <c r="AS724" s="49"/>
      <c r="AT724" s="49"/>
      <c r="AU724" s="49"/>
      <c r="AV724" s="49"/>
      <c r="AW724" s="49"/>
      <c r="AX724" s="49"/>
    </row>
    <row r="7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c r="AE725" s="49"/>
      <c r="AF725" s="49"/>
      <c r="AG725" s="49"/>
      <c r="AH725" s="49"/>
      <c r="AI725" s="49"/>
      <c r="AJ725" s="49"/>
      <c r="AK725" s="49"/>
      <c r="AL725" s="49"/>
      <c r="AM725" s="49"/>
      <c r="AN725" s="49"/>
      <c r="AO725" s="49"/>
      <c r="AP725" s="49"/>
      <c r="AQ725" s="49"/>
      <c r="AR725" s="49"/>
      <c r="AS725" s="49"/>
      <c r="AT725" s="49"/>
      <c r="AU725" s="49"/>
      <c r="AV725" s="49"/>
      <c r="AW725" s="49"/>
      <c r="AX725" s="49"/>
    </row>
    <row r="726">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c r="AE726" s="49"/>
      <c r="AF726" s="49"/>
      <c r="AG726" s="49"/>
      <c r="AH726" s="49"/>
      <c r="AI726" s="49"/>
      <c r="AJ726" s="49"/>
      <c r="AK726" s="49"/>
      <c r="AL726" s="49"/>
      <c r="AM726" s="49"/>
      <c r="AN726" s="49"/>
      <c r="AO726" s="49"/>
      <c r="AP726" s="49"/>
      <c r="AQ726" s="49"/>
      <c r="AR726" s="49"/>
      <c r="AS726" s="49"/>
      <c r="AT726" s="49"/>
      <c r="AU726" s="49"/>
      <c r="AV726" s="49"/>
      <c r="AW726" s="49"/>
      <c r="AX726" s="49"/>
    </row>
    <row r="727">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c r="AE727" s="49"/>
      <c r="AF727" s="49"/>
      <c r="AG727" s="49"/>
      <c r="AH727" s="49"/>
      <c r="AI727" s="49"/>
      <c r="AJ727" s="49"/>
      <c r="AK727" s="49"/>
      <c r="AL727" s="49"/>
      <c r="AM727" s="49"/>
      <c r="AN727" s="49"/>
      <c r="AO727" s="49"/>
      <c r="AP727" s="49"/>
      <c r="AQ727" s="49"/>
      <c r="AR727" s="49"/>
      <c r="AS727" s="49"/>
      <c r="AT727" s="49"/>
      <c r="AU727" s="49"/>
      <c r="AV727" s="49"/>
      <c r="AW727" s="49"/>
      <c r="AX727" s="49"/>
    </row>
    <row r="728">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c r="AE728" s="49"/>
      <c r="AF728" s="49"/>
      <c r="AG728" s="49"/>
      <c r="AH728" s="49"/>
      <c r="AI728" s="49"/>
      <c r="AJ728" s="49"/>
      <c r="AK728" s="49"/>
      <c r="AL728" s="49"/>
      <c r="AM728" s="49"/>
      <c r="AN728" s="49"/>
      <c r="AO728" s="49"/>
      <c r="AP728" s="49"/>
      <c r="AQ728" s="49"/>
      <c r="AR728" s="49"/>
      <c r="AS728" s="49"/>
      <c r="AT728" s="49"/>
      <c r="AU728" s="49"/>
      <c r="AV728" s="49"/>
      <c r="AW728" s="49"/>
      <c r="AX728" s="49"/>
    </row>
    <row r="729">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c r="AF729" s="49"/>
      <c r="AG729" s="49"/>
      <c r="AH729" s="49"/>
      <c r="AI729" s="49"/>
      <c r="AJ729" s="49"/>
      <c r="AK729" s="49"/>
      <c r="AL729" s="49"/>
      <c r="AM729" s="49"/>
      <c r="AN729" s="49"/>
      <c r="AO729" s="49"/>
      <c r="AP729" s="49"/>
      <c r="AQ729" s="49"/>
      <c r="AR729" s="49"/>
      <c r="AS729" s="49"/>
      <c r="AT729" s="49"/>
      <c r="AU729" s="49"/>
      <c r="AV729" s="49"/>
      <c r="AW729" s="49"/>
      <c r="AX729" s="49"/>
    </row>
    <row r="730">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c r="AF730" s="49"/>
      <c r="AG730" s="49"/>
      <c r="AH730" s="49"/>
      <c r="AI730" s="49"/>
      <c r="AJ730" s="49"/>
      <c r="AK730" s="49"/>
      <c r="AL730" s="49"/>
      <c r="AM730" s="49"/>
      <c r="AN730" s="49"/>
      <c r="AO730" s="49"/>
      <c r="AP730" s="49"/>
      <c r="AQ730" s="49"/>
      <c r="AR730" s="49"/>
      <c r="AS730" s="49"/>
      <c r="AT730" s="49"/>
      <c r="AU730" s="49"/>
      <c r="AV730" s="49"/>
      <c r="AW730" s="49"/>
      <c r="AX730" s="49"/>
    </row>
    <row r="731">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c r="AF731" s="49"/>
      <c r="AG731" s="49"/>
      <c r="AH731" s="49"/>
      <c r="AI731" s="49"/>
      <c r="AJ731" s="49"/>
      <c r="AK731" s="49"/>
      <c r="AL731" s="49"/>
      <c r="AM731" s="49"/>
      <c r="AN731" s="49"/>
      <c r="AO731" s="49"/>
      <c r="AP731" s="49"/>
      <c r="AQ731" s="49"/>
      <c r="AR731" s="49"/>
      <c r="AS731" s="49"/>
      <c r="AT731" s="49"/>
      <c r="AU731" s="49"/>
      <c r="AV731" s="49"/>
      <c r="AW731" s="49"/>
      <c r="AX731" s="49"/>
    </row>
    <row r="732">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c r="AF732" s="49"/>
      <c r="AG732" s="49"/>
      <c r="AH732" s="49"/>
      <c r="AI732" s="49"/>
      <c r="AJ732" s="49"/>
      <c r="AK732" s="49"/>
      <c r="AL732" s="49"/>
      <c r="AM732" s="49"/>
      <c r="AN732" s="49"/>
      <c r="AO732" s="49"/>
      <c r="AP732" s="49"/>
      <c r="AQ732" s="49"/>
      <c r="AR732" s="49"/>
      <c r="AS732" s="49"/>
      <c r="AT732" s="49"/>
      <c r="AU732" s="49"/>
      <c r="AV732" s="49"/>
      <c r="AW732" s="49"/>
      <c r="AX732" s="49"/>
    </row>
    <row r="733">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c r="AF733" s="49"/>
      <c r="AG733" s="49"/>
      <c r="AH733" s="49"/>
      <c r="AI733" s="49"/>
      <c r="AJ733" s="49"/>
      <c r="AK733" s="49"/>
      <c r="AL733" s="49"/>
      <c r="AM733" s="49"/>
      <c r="AN733" s="49"/>
      <c r="AO733" s="49"/>
      <c r="AP733" s="49"/>
      <c r="AQ733" s="49"/>
      <c r="AR733" s="49"/>
      <c r="AS733" s="49"/>
      <c r="AT733" s="49"/>
      <c r="AU733" s="49"/>
      <c r="AV733" s="49"/>
      <c r="AW733" s="49"/>
      <c r="AX733" s="49"/>
    </row>
    <row r="734">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c r="AF734" s="49"/>
      <c r="AG734" s="49"/>
      <c r="AH734" s="49"/>
      <c r="AI734" s="49"/>
      <c r="AJ734" s="49"/>
      <c r="AK734" s="49"/>
      <c r="AL734" s="49"/>
      <c r="AM734" s="49"/>
      <c r="AN734" s="49"/>
      <c r="AO734" s="49"/>
      <c r="AP734" s="49"/>
      <c r="AQ734" s="49"/>
      <c r="AR734" s="49"/>
      <c r="AS734" s="49"/>
      <c r="AT734" s="49"/>
      <c r="AU734" s="49"/>
      <c r="AV734" s="49"/>
      <c r="AW734" s="49"/>
      <c r="AX734" s="49"/>
    </row>
    <row r="7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c r="AF735" s="49"/>
      <c r="AG735" s="49"/>
      <c r="AH735" s="49"/>
      <c r="AI735" s="49"/>
      <c r="AJ735" s="49"/>
      <c r="AK735" s="49"/>
      <c r="AL735" s="49"/>
      <c r="AM735" s="49"/>
      <c r="AN735" s="49"/>
      <c r="AO735" s="49"/>
      <c r="AP735" s="49"/>
      <c r="AQ735" s="49"/>
      <c r="AR735" s="49"/>
      <c r="AS735" s="49"/>
      <c r="AT735" s="49"/>
      <c r="AU735" s="49"/>
      <c r="AV735" s="49"/>
      <c r="AW735" s="49"/>
      <c r="AX735" s="49"/>
    </row>
    <row r="736">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c r="AF736" s="49"/>
      <c r="AG736" s="49"/>
      <c r="AH736" s="49"/>
      <c r="AI736" s="49"/>
      <c r="AJ736" s="49"/>
      <c r="AK736" s="49"/>
      <c r="AL736" s="49"/>
      <c r="AM736" s="49"/>
      <c r="AN736" s="49"/>
      <c r="AO736" s="49"/>
      <c r="AP736" s="49"/>
      <c r="AQ736" s="49"/>
      <c r="AR736" s="49"/>
      <c r="AS736" s="49"/>
      <c r="AT736" s="49"/>
      <c r="AU736" s="49"/>
      <c r="AV736" s="49"/>
      <c r="AW736" s="49"/>
      <c r="AX736" s="49"/>
    </row>
    <row r="737">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c r="AF737" s="49"/>
      <c r="AG737" s="49"/>
      <c r="AH737" s="49"/>
      <c r="AI737" s="49"/>
      <c r="AJ737" s="49"/>
      <c r="AK737" s="49"/>
      <c r="AL737" s="49"/>
      <c r="AM737" s="49"/>
      <c r="AN737" s="49"/>
      <c r="AO737" s="49"/>
      <c r="AP737" s="49"/>
      <c r="AQ737" s="49"/>
      <c r="AR737" s="49"/>
      <c r="AS737" s="49"/>
      <c r="AT737" s="49"/>
      <c r="AU737" s="49"/>
      <c r="AV737" s="49"/>
      <c r="AW737" s="49"/>
      <c r="AX737" s="49"/>
    </row>
    <row r="738">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c r="AF738" s="49"/>
      <c r="AG738" s="49"/>
      <c r="AH738" s="49"/>
      <c r="AI738" s="49"/>
      <c r="AJ738" s="49"/>
      <c r="AK738" s="49"/>
      <c r="AL738" s="49"/>
      <c r="AM738" s="49"/>
      <c r="AN738" s="49"/>
      <c r="AO738" s="49"/>
      <c r="AP738" s="49"/>
      <c r="AQ738" s="49"/>
      <c r="AR738" s="49"/>
      <c r="AS738" s="49"/>
      <c r="AT738" s="49"/>
      <c r="AU738" s="49"/>
      <c r="AV738" s="49"/>
      <c r="AW738" s="49"/>
      <c r="AX738" s="49"/>
    </row>
    <row r="739">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c r="AF739" s="49"/>
      <c r="AG739" s="49"/>
      <c r="AH739" s="49"/>
      <c r="AI739" s="49"/>
      <c r="AJ739" s="49"/>
      <c r="AK739" s="49"/>
      <c r="AL739" s="49"/>
      <c r="AM739" s="49"/>
      <c r="AN739" s="49"/>
      <c r="AO739" s="49"/>
      <c r="AP739" s="49"/>
      <c r="AQ739" s="49"/>
      <c r="AR739" s="49"/>
      <c r="AS739" s="49"/>
      <c r="AT739" s="49"/>
      <c r="AU739" s="49"/>
      <c r="AV739" s="49"/>
      <c r="AW739" s="49"/>
      <c r="AX739" s="49"/>
    </row>
    <row r="740">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c r="AF740" s="49"/>
      <c r="AG740" s="49"/>
      <c r="AH740" s="49"/>
      <c r="AI740" s="49"/>
      <c r="AJ740" s="49"/>
      <c r="AK740" s="49"/>
      <c r="AL740" s="49"/>
      <c r="AM740" s="49"/>
      <c r="AN740" s="49"/>
      <c r="AO740" s="49"/>
      <c r="AP740" s="49"/>
      <c r="AQ740" s="49"/>
      <c r="AR740" s="49"/>
      <c r="AS740" s="49"/>
      <c r="AT740" s="49"/>
      <c r="AU740" s="49"/>
      <c r="AV740" s="49"/>
      <c r="AW740" s="49"/>
      <c r="AX740" s="49"/>
    </row>
    <row r="741">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c r="AF741" s="49"/>
      <c r="AG741" s="49"/>
      <c r="AH741" s="49"/>
      <c r="AI741" s="49"/>
      <c r="AJ741" s="49"/>
      <c r="AK741" s="49"/>
      <c r="AL741" s="49"/>
      <c r="AM741" s="49"/>
      <c r="AN741" s="49"/>
      <c r="AO741" s="49"/>
      <c r="AP741" s="49"/>
      <c r="AQ741" s="49"/>
      <c r="AR741" s="49"/>
      <c r="AS741" s="49"/>
      <c r="AT741" s="49"/>
      <c r="AU741" s="49"/>
      <c r="AV741" s="49"/>
      <c r="AW741" s="49"/>
      <c r="AX741" s="49"/>
    </row>
    <row r="742">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c r="AF742" s="49"/>
      <c r="AG742" s="49"/>
      <c r="AH742" s="49"/>
      <c r="AI742" s="49"/>
      <c r="AJ742" s="49"/>
      <c r="AK742" s="49"/>
      <c r="AL742" s="49"/>
      <c r="AM742" s="49"/>
      <c r="AN742" s="49"/>
      <c r="AO742" s="49"/>
      <c r="AP742" s="49"/>
      <c r="AQ742" s="49"/>
      <c r="AR742" s="49"/>
      <c r="AS742" s="49"/>
      <c r="AT742" s="49"/>
      <c r="AU742" s="49"/>
      <c r="AV742" s="49"/>
      <c r="AW742" s="49"/>
      <c r="AX742" s="49"/>
    </row>
    <row r="743">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c r="AF743" s="49"/>
      <c r="AG743" s="49"/>
      <c r="AH743" s="49"/>
      <c r="AI743" s="49"/>
      <c r="AJ743" s="49"/>
      <c r="AK743" s="49"/>
      <c r="AL743" s="49"/>
      <c r="AM743" s="49"/>
      <c r="AN743" s="49"/>
      <c r="AO743" s="49"/>
      <c r="AP743" s="49"/>
      <c r="AQ743" s="49"/>
      <c r="AR743" s="49"/>
      <c r="AS743" s="49"/>
      <c r="AT743" s="49"/>
      <c r="AU743" s="49"/>
      <c r="AV743" s="49"/>
      <c r="AW743" s="49"/>
      <c r="AX743" s="49"/>
    </row>
    <row r="744">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c r="AF744" s="49"/>
      <c r="AG744" s="49"/>
      <c r="AH744" s="49"/>
      <c r="AI744" s="49"/>
      <c r="AJ744" s="49"/>
      <c r="AK744" s="49"/>
      <c r="AL744" s="49"/>
      <c r="AM744" s="49"/>
      <c r="AN744" s="49"/>
      <c r="AO744" s="49"/>
      <c r="AP744" s="49"/>
      <c r="AQ744" s="49"/>
      <c r="AR744" s="49"/>
      <c r="AS744" s="49"/>
      <c r="AT744" s="49"/>
      <c r="AU744" s="49"/>
      <c r="AV744" s="49"/>
      <c r="AW744" s="49"/>
      <c r="AX744" s="49"/>
    </row>
    <row r="74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c r="AF745" s="49"/>
      <c r="AG745" s="49"/>
      <c r="AH745" s="49"/>
      <c r="AI745" s="49"/>
      <c r="AJ745" s="49"/>
      <c r="AK745" s="49"/>
      <c r="AL745" s="49"/>
      <c r="AM745" s="49"/>
      <c r="AN745" s="49"/>
      <c r="AO745" s="49"/>
      <c r="AP745" s="49"/>
      <c r="AQ745" s="49"/>
      <c r="AR745" s="49"/>
      <c r="AS745" s="49"/>
      <c r="AT745" s="49"/>
      <c r="AU745" s="49"/>
      <c r="AV745" s="49"/>
      <c r="AW745" s="49"/>
      <c r="AX745" s="49"/>
    </row>
    <row r="746">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c r="AF746" s="49"/>
      <c r="AG746" s="49"/>
      <c r="AH746" s="49"/>
      <c r="AI746" s="49"/>
      <c r="AJ746" s="49"/>
      <c r="AK746" s="49"/>
      <c r="AL746" s="49"/>
      <c r="AM746" s="49"/>
      <c r="AN746" s="49"/>
      <c r="AO746" s="49"/>
      <c r="AP746" s="49"/>
      <c r="AQ746" s="49"/>
      <c r="AR746" s="49"/>
      <c r="AS746" s="49"/>
      <c r="AT746" s="49"/>
      <c r="AU746" s="49"/>
      <c r="AV746" s="49"/>
      <c r="AW746" s="49"/>
      <c r="AX746" s="49"/>
    </row>
    <row r="747">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c r="AF747" s="49"/>
      <c r="AG747" s="49"/>
      <c r="AH747" s="49"/>
      <c r="AI747" s="49"/>
      <c r="AJ747" s="49"/>
      <c r="AK747" s="49"/>
      <c r="AL747" s="49"/>
      <c r="AM747" s="49"/>
      <c r="AN747" s="49"/>
      <c r="AO747" s="49"/>
      <c r="AP747" s="49"/>
      <c r="AQ747" s="49"/>
      <c r="AR747" s="49"/>
      <c r="AS747" s="49"/>
      <c r="AT747" s="49"/>
      <c r="AU747" s="49"/>
      <c r="AV747" s="49"/>
      <c r="AW747" s="49"/>
      <c r="AX747" s="49"/>
    </row>
    <row r="748">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c r="AF748" s="49"/>
      <c r="AG748" s="49"/>
      <c r="AH748" s="49"/>
      <c r="AI748" s="49"/>
      <c r="AJ748" s="49"/>
      <c r="AK748" s="49"/>
      <c r="AL748" s="49"/>
      <c r="AM748" s="49"/>
      <c r="AN748" s="49"/>
      <c r="AO748" s="49"/>
      <c r="AP748" s="49"/>
      <c r="AQ748" s="49"/>
      <c r="AR748" s="49"/>
      <c r="AS748" s="49"/>
      <c r="AT748" s="49"/>
      <c r="AU748" s="49"/>
      <c r="AV748" s="49"/>
      <c r="AW748" s="49"/>
      <c r="AX748" s="49"/>
    </row>
    <row r="749">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c r="AF749" s="49"/>
      <c r="AG749" s="49"/>
      <c r="AH749" s="49"/>
      <c r="AI749" s="49"/>
      <c r="AJ749" s="49"/>
      <c r="AK749" s="49"/>
      <c r="AL749" s="49"/>
      <c r="AM749" s="49"/>
      <c r="AN749" s="49"/>
      <c r="AO749" s="49"/>
      <c r="AP749" s="49"/>
      <c r="AQ749" s="49"/>
      <c r="AR749" s="49"/>
      <c r="AS749" s="49"/>
      <c r="AT749" s="49"/>
      <c r="AU749" s="49"/>
      <c r="AV749" s="49"/>
      <c r="AW749" s="49"/>
      <c r="AX749" s="49"/>
    </row>
    <row r="750">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c r="AF750" s="49"/>
      <c r="AG750" s="49"/>
      <c r="AH750" s="49"/>
      <c r="AI750" s="49"/>
      <c r="AJ750" s="49"/>
      <c r="AK750" s="49"/>
      <c r="AL750" s="49"/>
      <c r="AM750" s="49"/>
      <c r="AN750" s="49"/>
      <c r="AO750" s="49"/>
      <c r="AP750" s="49"/>
      <c r="AQ750" s="49"/>
      <c r="AR750" s="49"/>
      <c r="AS750" s="49"/>
      <c r="AT750" s="49"/>
      <c r="AU750" s="49"/>
      <c r="AV750" s="49"/>
      <c r="AW750" s="49"/>
      <c r="AX750" s="49"/>
    </row>
    <row r="751">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c r="AF751" s="49"/>
      <c r="AG751" s="49"/>
      <c r="AH751" s="49"/>
      <c r="AI751" s="49"/>
      <c r="AJ751" s="49"/>
      <c r="AK751" s="49"/>
      <c r="AL751" s="49"/>
      <c r="AM751" s="49"/>
      <c r="AN751" s="49"/>
      <c r="AO751" s="49"/>
      <c r="AP751" s="49"/>
      <c r="AQ751" s="49"/>
      <c r="AR751" s="49"/>
      <c r="AS751" s="49"/>
      <c r="AT751" s="49"/>
      <c r="AU751" s="49"/>
      <c r="AV751" s="49"/>
      <c r="AW751" s="49"/>
      <c r="AX751" s="49"/>
    </row>
    <row r="752">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c r="AF752" s="49"/>
      <c r="AG752" s="49"/>
      <c r="AH752" s="49"/>
      <c r="AI752" s="49"/>
      <c r="AJ752" s="49"/>
      <c r="AK752" s="49"/>
      <c r="AL752" s="49"/>
      <c r="AM752" s="49"/>
      <c r="AN752" s="49"/>
      <c r="AO752" s="49"/>
      <c r="AP752" s="49"/>
      <c r="AQ752" s="49"/>
      <c r="AR752" s="49"/>
      <c r="AS752" s="49"/>
      <c r="AT752" s="49"/>
      <c r="AU752" s="49"/>
      <c r="AV752" s="49"/>
      <c r="AW752" s="49"/>
      <c r="AX752" s="49"/>
    </row>
    <row r="753">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c r="AE753" s="49"/>
      <c r="AF753" s="49"/>
      <c r="AG753" s="49"/>
      <c r="AH753" s="49"/>
      <c r="AI753" s="49"/>
      <c r="AJ753" s="49"/>
      <c r="AK753" s="49"/>
      <c r="AL753" s="49"/>
      <c r="AM753" s="49"/>
      <c r="AN753" s="49"/>
      <c r="AO753" s="49"/>
      <c r="AP753" s="49"/>
      <c r="AQ753" s="49"/>
      <c r="AR753" s="49"/>
      <c r="AS753" s="49"/>
      <c r="AT753" s="49"/>
      <c r="AU753" s="49"/>
      <c r="AV753" s="49"/>
      <c r="AW753" s="49"/>
      <c r="AX753" s="49"/>
    </row>
    <row r="754">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c r="AE754" s="49"/>
      <c r="AF754" s="49"/>
      <c r="AG754" s="49"/>
      <c r="AH754" s="49"/>
      <c r="AI754" s="49"/>
      <c r="AJ754" s="49"/>
      <c r="AK754" s="49"/>
      <c r="AL754" s="49"/>
      <c r="AM754" s="49"/>
      <c r="AN754" s="49"/>
      <c r="AO754" s="49"/>
      <c r="AP754" s="49"/>
      <c r="AQ754" s="49"/>
      <c r="AR754" s="49"/>
      <c r="AS754" s="49"/>
      <c r="AT754" s="49"/>
      <c r="AU754" s="49"/>
      <c r="AV754" s="49"/>
      <c r="AW754" s="49"/>
      <c r="AX754" s="49"/>
    </row>
    <row r="75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c r="AF755" s="49"/>
      <c r="AG755" s="49"/>
      <c r="AH755" s="49"/>
      <c r="AI755" s="49"/>
      <c r="AJ755" s="49"/>
      <c r="AK755" s="49"/>
      <c r="AL755" s="49"/>
      <c r="AM755" s="49"/>
      <c r="AN755" s="49"/>
      <c r="AO755" s="49"/>
      <c r="AP755" s="49"/>
      <c r="AQ755" s="49"/>
      <c r="AR755" s="49"/>
      <c r="AS755" s="49"/>
      <c r="AT755" s="49"/>
      <c r="AU755" s="49"/>
      <c r="AV755" s="49"/>
      <c r="AW755" s="49"/>
      <c r="AX755" s="49"/>
    </row>
    <row r="756">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c r="AF756" s="49"/>
      <c r="AG756" s="49"/>
      <c r="AH756" s="49"/>
      <c r="AI756" s="49"/>
      <c r="AJ756" s="49"/>
      <c r="AK756" s="49"/>
      <c r="AL756" s="49"/>
      <c r="AM756" s="49"/>
      <c r="AN756" s="49"/>
      <c r="AO756" s="49"/>
      <c r="AP756" s="49"/>
      <c r="AQ756" s="49"/>
      <c r="AR756" s="49"/>
      <c r="AS756" s="49"/>
      <c r="AT756" s="49"/>
      <c r="AU756" s="49"/>
      <c r="AV756" s="49"/>
      <c r="AW756" s="49"/>
      <c r="AX756" s="49"/>
    </row>
    <row r="757">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c r="AE757" s="49"/>
      <c r="AF757" s="49"/>
      <c r="AG757" s="49"/>
      <c r="AH757" s="49"/>
      <c r="AI757" s="49"/>
      <c r="AJ757" s="49"/>
      <c r="AK757" s="49"/>
      <c r="AL757" s="49"/>
      <c r="AM757" s="49"/>
      <c r="AN757" s="49"/>
      <c r="AO757" s="49"/>
      <c r="AP757" s="49"/>
      <c r="AQ757" s="49"/>
      <c r="AR757" s="49"/>
      <c r="AS757" s="49"/>
      <c r="AT757" s="49"/>
      <c r="AU757" s="49"/>
      <c r="AV757" s="49"/>
      <c r="AW757" s="49"/>
      <c r="AX757" s="49"/>
    </row>
    <row r="758">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c r="AE758" s="49"/>
      <c r="AF758" s="49"/>
      <c r="AG758" s="49"/>
      <c r="AH758" s="49"/>
      <c r="AI758" s="49"/>
      <c r="AJ758" s="49"/>
      <c r="AK758" s="49"/>
      <c r="AL758" s="49"/>
      <c r="AM758" s="49"/>
      <c r="AN758" s="49"/>
      <c r="AO758" s="49"/>
      <c r="AP758" s="49"/>
      <c r="AQ758" s="49"/>
      <c r="AR758" s="49"/>
      <c r="AS758" s="49"/>
      <c r="AT758" s="49"/>
      <c r="AU758" s="49"/>
      <c r="AV758" s="49"/>
      <c r="AW758" s="49"/>
      <c r="AX758" s="49"/>
    </row>
    <row r="759">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c r="AE759" s="49"/>
      <c r="AF759" s="49"/>
      <c r="AG759" s="49"/>
      <c r="AH759" s="49"/>
      <c r="AI759" s="49"/>
      <c r="AJ759" s="49"/>
      <c r="AK759" s="49"/>
      <c r="AL759" s="49"/>
      <c r="AM759" s="49"/>
      <c r="AN759" s="49"/>
      <c r="AO759" s="49"/>
      <c r="AP759" s="49"/>
      <c r="AQ759" s="49"/>
      <c r="AR759" s="49"/>
      <c r="AS759" s="49"/>
      <c r="AT759" s="49"/>
      <c r="AU759" s="49"/>
      <c r="AV759" s="49"/>
      <c r="AW759" s="49"/>
      <c r="AX759" s="49"/>
    </row>
    <row r="760">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c r="AF760" s="49"/>
      <c r="AG760" s="49"/>
      <c r="AH760" s="49"/>
      <c r="AI760" s="49"/>
      <c r="AJ760" s="49"/>
      <c r="AK760" s="49"/>
      <c r="AL760" s="49"/>
      <c r="AM760" s="49"/>
      <c r="AN760" s="49"/>
      <c r="AO760" s="49"/>
      <c r="AP760" s="49"/>
      <c r="AQ760" s="49"/>
      <c r="AR760" s="49"/>
      <c r="AS760" s="49"/>
      <c r="AT760" s="49"/>
      <c r="AU760" s="49"/>
      <c r="AV760" s="49"/>
      <c r="AW760" s="49"/>
      <c r="AX760" s="49"/>
    </row>
    <row r="761">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c r="AF761" s="49"/>
      <c r="AG761" s="49"/>
      <c r="AH761" s="49"/>
      <c r="AI761" s="49"/>
      <c r="AJ761" s="49"/>
      <c r="AK761" s="49"/>
      <c r="AL761" s="49"/>
      <c r="AM761" s="49"/>
      <c r="AN761" s="49"/>
      <c r="AO761" s="49"/>
      <c r="AP761" s="49"/>
      <c r="AQ761" s="49"/>
      <c r="AR761" s="49"/>
      <c r="AS761" s="49"/>
      <c r="AT761" s="49"/>
      <c r="AU761" s="49"/>
      <c r="AV761" s="49"/>
      <c r="AW761" s="49"/>
      <c r="AX761" s="49"/>
    </row>
    <row r="762">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c r="AF762" s="49"/>
      <c r="AG762" s="49"/>
      <c r="AH762" s="49"/>
      <c r="AI762" s="49"/>
      <c r="AJ762" s="49"/>
      <c r="AK762" s="49"/>
      <c r="AL762" s="49"/>
      <c r="AM762" s="49"/>
      <c r="AN762" s="49"/>
      <c r="AO762" s="49"/>
      <c r="AP762" s="49"/>
      <c r="AQ762" s="49"/>
      <c r="AR762" s="49"/>
      <c r="AS762" s="49"/>
      <c r="AT762" s="49"/>
      <c r="AU762" s="49"/>
      <c r="AV762" s="49"/>
      <c r="AW762" s="49"/>
      <c r="AX762" s="49"/>
    </row>
    <row r="763">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c r="AF763" s="49"/>
      <c r="AG763" s="49"/>
      <c r="AH763" s="49"/>
      <c r="AI763" s="49"/>
      <c r="AJ763" s="49"/>
      <c r="AK763" s="49"/>
      <c r="AL763" s="49"/>
      <c r="AM763" s="49"/>
      <c r="AN763" s="49"/>
      <c r="AO763" s="49"/>
      <c r="AP763" s="49"/>
      <c r="AQ763" s="49"/>
      <c r="AR763" s="49"/>
      <c r="AS763" s="49"/>
      <c r="AT763" s="49"/>
      <c r="AU763" s="49"/>
      <c r="AV763" s="49"/>
      <c r="AW763" s="49"/>
      <c r="AX763" s="49"/>
    </row>
    <row r="764">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c r="AF764" s="49"/>
      <c r="AG764" s="49"/>
      <c r="AH764" s="49"/>
      <c r="AI764" s="49"/>
      <c r="AJ764" s="49"/>
      <c r="AK764" s="49"/>
      <c r="AL764" s="49"/>
      <c r="AM764" s="49"/>
      <c r="AN764" s="49"/>
      <c r="AO764" s="49"/>
      <c r="AP764" s="49"/>
      <c r="AQ764" s="49"/>
      <c r="AR764" s="49"/>
      <c r="AS764" s="49"/>
      <c r="AT764" s="49"/>
      <c r="AU764" s="49"/>
      <c r="AV764" s="49"/>
      <c r="AW764" s="49"/>
      <c r="AX764" s="49"/>
    </row>
    <row r="76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c r="AE765" s="49"/>
      <c r="AF765" s="49"/>
      <c r="AG765" s="49"/>
      <c r="AH765" s="49"/>
      <c r="AI765" s="49"/>
      <c r="AJ765" s="49"/>
      <c r="AK765" s="49"/>
      <c r="AL765" s="49"/>
      <c r="AM765" s="49"/>
      <c r="AN765" s="49"/>
      <c r="AO765" s="49"/>
      <c r="AP765" s="49"/>
      <c r="AQ765" s="49"/>
      <c r="AR765" s="49"/>
      <c r="AS765" s="49"/>
      <c r="AT765" s="49"/>
      <c r="AU765" s="49"/>
      <c r="AV765" s="49"/>
      <c r="AW765" s="49"/>
      <c r="AX765" s="49"/>
    </row>
    <row r="766">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c r="AE766" s="49"/>
      <c r="AF766" s="49"/>
      <c r="AG766" s="49"/>
      <c r="AH766" s="49"/>
      <c r="AI766" s="49"/>
      <c r="AJ766" s="49"/>
      <c r="AK766" s="49"/>
      <c r="AL766" s="49"/>
      <c r="AM766" s="49"/>
      <c r="AN766" s="49"/>
      <c r="AO766" s="49"/>
      <c r="AP766" s="49"/>
      <c r="AQ766" s="49"/>
      <c r="AR766" s="49"/>
      <c r="AS766" s="49"/>
      <c r="AT766" s="49"/>
      <c r="AU766" s="49"/>
      <c r="AV766" s="49"/>
      <c r="AW766" s="49"/>
      <c r="AX766" s="49"/>
    </row>
    <row r="767">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c r="AF767" s="49"/>
      <c r="AG767" s="49"/>
      <c r="AH767" s="49"/>
      <c r="AI767" s="49"/>
      <c r="AJ767" s="49"/>
      <c r="AK767" s="49"/>
      <c r="AL767" s="49"/>
      <c r="AM767" s="49"/>
      <c r="AN767" s="49"/>
      <c r="AO767" s="49"/>
      <c r="AP767" s="49"/>
      <c r="AQ767" s="49"/>
      <c r="AR767" s="49"/>
      <c r="AS767" s="49"/>
      <c r="AT767" s="49"/>
      <c r="AU767" s="49"/>
      <c r="AV767" s="49"/>
      <c r="AW767" s="49"/>
      <c r="AX767" s="49"/>
    </row>
    <row r="768">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c r="AE768" s="49"/>
      <c r="AF768" s="49"/>
      <c r="AG768" s="49"/>
      <c r="AH768" s="49"/>
      <c r="AI768" s="49"/>
      <c r="AJ768" s="49"/>
      <c r="AK768" s="49"/>
      <c r="AL768" s="49"/>
      <c r="AM768" s="49"/>
      <c r="AN768" s="49"/>
      <c r="AO768" s="49"/>
      <c r="AP768" s="49"/>
      <c r="AQ768" s="49"/>
      <c r="AR768" s="49"/>
      <c r="AS768" s="49"/>
      <c r="AT768" s="49"/>
      <c r="AU768" s="49"/>
      <c r="AV768" s="49"/>
      <c r="AW768" s="49"/>
      <c r="AX768" s="49"/>
    </row>
    <row r="769">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c r="AF769" s="49"/>
      <c r="AG769" s="49"/>
      <c r="AH769" s="49"/>
      <c r="AI769" s="49"/>
      <c r="AJ769" s="49"/>
      <c r="AK769" s="49"/>
      <c r="AL769" s="49"/>
      <c r="AM769" s="49"/>
      <c r="AN769" s="49"/>
      <c r="AO769" s="49"/>
      <c r="AP769" s="49"/>
      <c r="AQ769" s="49"/>
      <c r="AR769" s="49"/>
      <c r="AS769" s="49"/>
      <c r="AT769" s="49"/>
      <c r="AU769" s="49"/>
      <c r="AV769" s="49"/>
      <c r="AW769" s="49"/>
      <c r="AX769" s="49"/>
    </row>
    <row r="770">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c r="AE770" s="49"/>
      <c r="AF770" s="49"/>
      <c r="AG770" s="49"/>
      <c r="AH770" s="49"/>
      <c r="AI770" s="49"/>
      <c r="AJ770" s="49"/>
      <c r="AK770" s="49"/>
      <c r="AL770" s="49"/>
      <c r="AM770" s="49"/>
      <c r="AN770" s="49"/>
      <c r="AO770" s="49"/>
      <c r="AP770" s="49"/>
      <c r="AQ770" s="49"/>
      <c r="AR770" s="49"/>
      <c r="AS770" s="49"/>
      <c r="AT770" s="49"/>
      <c r="AU770" s="49"/>
      <c r="AV770" s="49"/>
      <c r="AW770" s="49"/>
      <c r="AX770" s="49"/>
    </row>
    <row r="771">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c r="AF771" s="49"/>
      <c r="AG771" s="49"/>
      <c r="AH771" s="49"/>
      <c r="AI771" s="49"/>
      <c r="AJ771" s="49"/>
      <c r="AK771" s="49"/>
      <c r="AL771" s="49"/>
      <c r="AM771" s="49"/>
      <c r="AN771" s="49"/>
      <c r="AO771" s="49"/>
      <c r="AP771" s="49"/>
      <c r="AQ771" s="49"/>
      <c r="AR771" s="49"/>
      <c r="AS771" s="49"/>
      <c r="AT771" s="49"/>
      <c r="AU771" s="49"/>
      <c r="AV771" s="49"/>
      <c r="AW771" s="49"/>
      <c r="AX771" s="49"/>
    </row>
    <row r="772">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c r="AF772" s="49"/>
      <c r="AG772" s="49"/>
      <c r="AH772" s="49"/>
      <c r="AI772" s="49"/>
      <c r="AJ772" s="49"/>
      <c r="AK772" s="49"/>
      <c r="AL772" s="49"/>
      <c r="AM772" s="49"/>
      <c r="AN772" s="49"/>
      <c r="AO772" s="49"/>
      <c r="AP772" s="49"/>
      <c r="AQ772" s="49"/>
      <c r="AR772" s="49"/>
      <c r="AS772" s="49"/>
      <c r="AT772" s="49"/>
      <c r="AU772" s="49"/>
      <c r="AV772" s="49"/>
      <c r="AW772" s="49"/>
      <c r="AX772" s="49"/>
    </row>
    <row r="773">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c r="AF773" s="49"/>
      <c r="AG773" s="49"/>
      <c r="AH773" s="49"/>
      <c r="AI773" s="49"/>
      <c r="AJ773" s="49"/>
      <c r="AK773" s="49"/>
      <c r="AL773" s="49"/>
      <c r="AM773" s="49"/>
      <c r="AN773" s="49"/>
      <c r="AO773" s="49"/>
      <c r="AP773" s="49"/>
      <c r="AQ773" s="49"/>
      <c r="AR773" s="49"/>
      <c r="AS773" s="49"/>
      <c r="AT773" s="49"/>
      <c r="AU773" s="49"/>
      <c r="AV773" s="49"/>
      <c r="AW773" s="49"/>
      <c r="AX773" s="49"/>
    </row>
    <row r="774">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c r="AE774" s="49"/>
      <c r="AF774" s="49"/>
      <c r="AG774" s="49"/>
      <c r="AH774" s="49"/>
      <c r="AI774" s="49"/>
      <c r="AJ774" s="49"/>
      <c r="AK774" s="49"/>
      <c r="AL774" s="49"/>
      <c r="AM774" s="49"/>
      <c r="AN774" s="49"/>
      <c r="AO774" s="49"/>
      <c r="AP774" s="49"/>
      <c r="AQ774" s="49"/>
      <c r="AR774" s="49"/>
      <c r="AS774" s="49"/>
      <c r="AT774" s="49"/>
      <c r="AU774" s="49"/>
      <c r="AV774" s="49"/>
      <c r="AW774" s="49"/>
      <c r="AX774" s="49"/>
    </row>
    <row r="77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c r="AE775" s="49"/>
      <c r="AF775" s="49"/>
      <c r="AG775" s="49"/>
      <c r="AH775" s="49"/>
      <c r="AI775" s="49"/>
      <c r="AJ775" s="49"/>
      <c r="AK775" s="49"/>
      <c r="AL775" s="49"/>
      <c r="AM775" s="49"/>
      <c r="AN775" s="49"/>
      <c r="AO775" s="49"/>
      <c r="AP775" s="49"/>
      <c r="AQ775" s="49"/>
      <c r="AR775" s="49"/>
      <c r="AS775" s="49"/>
      <c r="AT775" s="49"/>
      <c r="AU775" s="49"/>
      <c r="AV775" s="49"/>
      <c r="AW775" s="49"/>
      <c r="AX775" s="49"/>
    </row>
    <row r="776">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c r="AF776" s="49"/>
      <c r="AG776" s="49"/>
      <c r="AH776" s="49"/>
      <c r="AI776" s="49"/>
      <c r="AJ776" s="49"/>
      <c r="AK776" s="49"/>
      <c r="AL776" s="49"/>
      <c r="AM776" s="49"/>
      <c r="AN776" s="49"/>
      <c r="AO776" s="49"/>
      <c r="AP776" s="49"/>
      <c r="AQ776" s="49"/>
      <c r="AR776" s="49"/>
      <c r="AS776" s="49"/>
      <c r="AT776" s="49"/>
      <c r="AU776" s="49"/>
      <c r="AV776" s="49"/>
      <c r="AW776" s="49"/>
      <c r="AX776" s="49"/>
    </row>
    <row r="777">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c r="AF777" s="49"/>
      <c r="AG777" s="49"/>
      <c r="AH777" s="49"/>
      <c r="AI777" s="49"/>
      <c r="AJ777" s="49"/>
      <c r="AK777" s="49"/>
      <c r="AL777" s="49"/>
      <c r="AM777" s="49"/>
      <c r="AN777" s="49"/>
      <c r="AO777" s="49"/>
      <c r="AP777" s="49"/>
      <c r="AQ777" s="49"/>
      <c r="AR777" s="49"/>
      <c r="AS777" s="49"/>
      <c r="AT777" s="49"/>
      <c r="AU777" s="49"/>
      <c r="AV777" s="49"/>
      <c r="AW777" s="49"/>
      <c r="AX777" s="49"/>
    </row>
    <row r="778">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c r="AF778" s="49"/>
      <c r="AG778" s="49"/>
      <c r="AH778" s="49"/>
      <c r="AI778" s="49"/>
      <c r="AJ778" s="49"/>
      <c r="AK778" s="49"/>
      <c r="AL778" s="49"/>
      <c r="AM778" s="49"/>
      <c r="AN778" s="49"/>
      <c r="AO778" s="49"/>
      <c r="AP778" s="49"/>
      <c r="AQ778" s="49"/>
      <c r="AR778" s="49"/>
      <c r="AS778" s="49"/>
      <c r="AT778" s="49"/>
      <c r="AU778" s="49"/>
      <c r="AV778" s="49"/>
      <c r="AW778" s="49"/>
      <c r="AX778" s="49"/>
    </row>
    <row r="779">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c r="AE779" s="49"/>
      <c r="AF779" s="49"/>
      <c r="AG779" s="49"/>
      <c r="AH779" s="49"/>
      <c r="AI779" s="49"/>
      <c r="AJ779" s="49"/>
      <c r="AK779" s="49"/>
      <c r="AL779" s="49"/>
      <c r="AM779" s="49"/>
      <c r="AN779" s="49"/>
      <c r="AO779" s="49"/>
      <c r="AP779" s="49"/>
      <c r="AQ779" s="49"/>
      <c r="AR779" s="49"/>
      <c r="AS779" s="49"/>
      <c r="AT779" s="49"/>
      <c r="AU779" s="49"/>
      <c r="AV779" s="49"/>
      <c r="AW779" s="49"/>
      <c r="AX779" s="49"/>
    </row>
    <row r="780">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c r="AF780" s="49"/>
      <c r="AG780" s="49"/>
      <c r="AH780" s="49"/>
      <c r="AI780" s="49"/>
      <c r="AJ780" s="49"/>
      <c r="AK780" s="49"/>
      <c r="AL780" s="49"/>
      <c r="AM780" s="49"/>
      <c r="AN780" s="49"/>
      <c r="AO780" s="49"/>
      <c r="AP780" s="49"/>
      <c r="AQ780" s="49"/>
      <c r="AR780" s="49"/>
      <c r="AS780" s="49"/>
      <c r="AT780" s="49"/>
      <c r="AU780" s="49"/>
      <c r="AV780" s="49"/>
      <c r="AW780" s="49"/>
      <c r="AX780" s="49"/>
    </row>
    <row r="781">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c r="AF781" s="49"/>
      <c r="AG781" s="49"/>
      <c r="AH781" s="49"/>
      <c r="AI781" s="49"/>
      <c r="AJ781" s="49"/>
      <c r="AK781" s="49"/>
      <c r="AL781" s="49"/>
      <c r="AM781" s="49"/>
      <c r="AN781" s="49"/>
      <c r="AO781" s="49"/>
      <c r="AP781" s="49"/>
      <c r="AQ781" s="49"/>
      <c r="AR781" s="49"/>
      <c r="AS781" s="49"/>
      <c r="AT781" s="49"/>
      <c r="AU781" s="49"/>
      <c r="AV781" s="49"/>
      <c r="AW781" s="49"/>
      <c r="AX781" s="49"/>
    </row>
    <row r="782">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c r="AF782" s="49"/>
      <c r="AG782" s="49"/>
      <c r="AH782" s="49"/>
      <c r="AI782" s="49"/>
      <c r="AJ782" s="49"/>
      <c r="AK782" s="49"/>
      <c r="AL782" s="49"/>
      <c r="AM782" s="49"/>
      <c r="AN782" s="49"/>
      <c r="AO782" s="49"/>
      <c r="AP782" s="49"/>
      <c r="AQ782" s="49"/>
      <c r="AR782" s="49"/>
      <c r="AS782" s="49"/>
      <c r="AT782" s="49"/>
      <c r="AU782" s="49"/>
      <c r="AV782" s="49"/>
      <c r="AW782" s="49"/>
      <c r="AX782" s="49"/>
    </row>
    <row r="783">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c r="AF783" s="49"/>
      <c r="AG783" s="49"/>
      <c r="AH783" s="49"/>
      <c r="AI783" s="49"/>
      <c r="AJ783" s="49"/>
      <c r="AK783" s="49"/>
      <c r="AL783" s="49"/>
      <c r="AM783" s="49"/>
      <c r="AN783" s="49"/>
      <c r="AO783" s="49"/>
      <c r="AP783" s="49"/>
      <c r="AQ783" s="49"/>
      <c r="AR783" s="49"/>
      <c r="AS783" s="49"/>
      <c r="AT783" s="49"/>
      <c r="AU783" s="49"/>
      <c r="AV783" s="49"/>
      <c r="AW783" s="49"/>
      <c r="AX783" s="49"/>
    </row>
    <row r="784">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c r="AF784" s="49"/>
      <c r="AG784" s="49"/>
      <c r="AH784" s="49"/>
      <c r="AI784" s="49"/>
      <c r="AJ784" s="49"/>
      <c r="AK784" s="49"/>
      <c r="AL784" s="49"/>
      <c r="AM784" s="49"/>
      <c r="AN784" s="49"/>
      <c r="AO784" s="49"/>
      <c r="AP784" s="49"/>
      <c r="AQ784" s="49"/>
      <c r="AR784" s="49"/>
      <c r="AS784" s="49"/>
      <c r="AT784" s="49"/>
      <c r="AU784" s="49"/>
      <c r="AV784" s="49"/>
      <c r="AW784" s="49"/>
      <c r="AX784" s="49"/>
    </row>
    <row r="78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c r="AF785" s="49"/>
      <c r="AG785" s="49"/>
      <c r="AH785" s="49"/>
      <c r="AI785" s="49"/>
      <c r="AJ785" s="49"/>
      <c r="AK785" s="49"/>
      <c r="AL785" s="49"/>
      <c r="AM785" s="49"/>
      <c r="AN785" s="49"/>
      <c r="AO785" s="49"/>
      <c r="AP785" s="49"/>
      <c r="AQ785" s="49"/>
      <c r="AR785" s="49"/>
      <c r="AS785" s="49"/>
      <c r="AT785" s="49"/>
      <c r="AU785" s="49"/>
      <c r="AV785" s="49"/>
      <c r="AW785" s="49"/>
      <c r="AX785" s="49"/>
    </row>
    <row r="786">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c r="AF786" s="49"/>
      <c r="AG786" s="49"/>
      <c r="AH786" s="49"/>
      <c r="AI786" s="49"/>
      <c r="AJ786" s="49"/>
      <c r="AK786" s="49"/>
      <c r="AL786" s="49"/>
      <c r="AM786" s="49"/>
      <c r="AN786" s="49"/>
      <c r="AO786" s="49"/>
      <c r="AP786" s="49"/>
      <c r="AQ786" s="49"/>
      <c r="AR786" s="49"/>
      <c r="AS786" s="49"/>
      <c r="AT786" s="49"/>
      <c r="AU786" s="49"/>
      <c r="AV786" s="49"/>
      <c r="AW786" s="49"/>
      <c r="AX786" s="49"/>
    </row>
    <row r="787">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c r="AF787" s="49"/>
      <c r="AG787" s="49"/>
      <c r="AH787" s="49"/>
      <c r="AI787" s="49"/>
      <c r="AJ787" s="49"/>
      <c r="AK787" s="49"/>
      <c r="AL787" s="49"/>
      <c r="AM787" s="49"/>
      <c r="AN787" s="49"/>
      <c r="AO787" s="49"/>
      <c r="AP787" s="49"/>
      <c r="AQ787" s="49"/>
      <c r="AR787" s="49"/>
      <c r="AS787" s="49"/>
      <c r="AT787" s="49"/>
      <c r="AU787" s="49"/>
      <c r="AV787" s="49"/>
      <c r="AW787" s="49"/>
      <c r="AX787" s="49"/>
    </row>
    <row r="788">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c r="AF788" s="49"/>
      <c r="AG788" s="49"/>
      <c r="AH788" s="49"/>
      <c r="AI788" s="49"/>
      <c r="AJ788" s="49"/>
      <c r="AK788" s="49"/>
      <c r="AL788" s="49"/>
      <c r="AM788" s="49"/>
      <c r="AN788" s="49"/>
      <c r="AO788" s="49"/>
      <c r="AP788" s="49"/>
      <c r="AQ788" s="49"/>
      <c r="AR788" s="49"/>
      <c r="AS788" s="49"/>
      <c r="AT788" s="49"/>
      <c r="AU788" s="49"/>
      <c r="AV788" s="49"/>
      <c r="AW788" s="49"/>
      <c r="AX788" s="49"/>
    </row>
    <row r="789">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c r="AE789" s="49"/>
      <c r="AF789" s="49"/>
      <c r="AG789" s="49"/>
      <c r="AH789" s="49"/>
      <c r="AI789" s="49"/>
      <c r="AJ789" s="49"/>
      <c r="AK789" s="49"/>
      <c r="AL789" s="49"/>
      <c r="AM789" s="49"/>
      <c r="AN789" s="49"/>
      <c r="AO789" s="49"/>
      <c r="AP789" s="49"/>
      <c r="AQ789" s="49"/>
      <c r="AR789" s="49"/>
      <c r="AS789" s="49"/>
      <c r="AT789" s="49"/>
      <c r="AU789" s="49"/>
      <c r="AV789" s="49"/>
      <c r="AW789" s="49"/>
      <c r="AX789" s="49"/>
    </row>
    <row r="790">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c r="AE790" s="49"/>
      <c r="AF790" s="49"/>
      <c r="AG790" s="49"/>
      <c r="AH790" s="49"/>
      <c r="AI790" s="49"/>
      <c r="AJ790" s="49"/>
      <c r="AK790" s="49"/>
      <c r="AL790" s="49"/>
      <c r="AM790" s="49"/>
      <c r="AN790" s="49"/>
      <c r="AO790" s="49"/>
      <c r="AP790" s="49"/>
      <c r="AQ790" s="49"/>
      <c r="AR790" s="49"/>
      <c r="AS790" s="49"/>
      <c r="AT790" s="49"/>
      <c r="AU790" s="49"/>
      <c r="AV790" s="49"/>
      <c r="AW790" s="49"/>
      <c r="AX790" s="49"/>
    </row>
    <row r="791">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c r="AE791" s="49"/>
      <c r="AF791" s="49"/>
      <c r="AG791" s="49"/>
      <c r="AH791" s="49"/>
      <c r="AI791" s="49"/>
      <c r="AJ791" s="49"/>
      <c r="AK791" s="49"/>
      <c r="AL791" s="49"/>
      <c r="AM791" s="49"/>
      <c r="AN791" s="49"/>
      <c r="AO791" s="49"/>
      <c r="AP791" s="49"/>
      <c r="AQ791" s="49"/>
      <c r="AR791" s="49"/>
      <c r="AS791" s="49"/>
      <c r="AT791" s="49"/>
      <c r="AU791" s="49"/>
      <c r="AV791" s="49"/>
      <c r="AW791" s="49"/>
      <c r="AX791" s="49"/>
    </row>
    <row r="792">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c r="AF792" s="49"/>
      <c r="AG792" s="49"/>
      <c r="AH792" s="49"/>
      <c r="AI792" s="49"/>
      <c r="AJ792" s="49"/>
      <c r="AK792" s="49"/>
      <c r="AL792" s="49"/>
      <c r="AM792" s="49"/>
      <c r="AN792" s="49"/>
      <c r="AO792" s="49"/>
      <c r="AP792" s="49"/>
      <c r="AQ792" s="49"/>
      <c r="AR792" s="49"/>
      <c r="AS792" s="49"/>
      <c r="AT792" s="49"/>
      <c r="AU792" s="49"/>
      <c r="AV792" s="49"/>
      <c r="AW792" s="49"/>
      <c r="AX792" s="49"/>
    </row>
    <row r="793">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c r="AF793" s="49"/>
      <c r="AG793" s="49"/>
      <c r="AH793" s="49"/>
      <c r="AI793" s="49"/>
      <c r="AJ793" s="49"/>
      <c r="AK793" s="49"/>
      <c r="AL793" s="49"/>
      <c r="AM793" s="49"/>
      <c r="AN793" s="49"/>
      <c r="AO793" s="49"/>
      <c r="AP793" s="49"/>
      <c r="AQ793" s="49"/>
      <c r="AR793" s="49"/>
      <c r="AS793" s="49"/>
      <c r="AT793" s="49"/>
      <c r="AU793" s="49"/>
      <c r="AV793" s="49"/>
      <c r="AW793" s="49"/>
      <c r="AX793" s="49"/>
    </row>
    <row r="794">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c r="AF794" s="49"/>
      <c r="AG794" s="49"/>
      <c r="AH794" s="49"/>
      <c r="AI794" s="49"/>
      <c r="AJ794" s="49"/>
      <c r="AK794" s="49"/>
      <c r="AL794" s="49"/>
      <c r="AM794" s="49"/>
      <c r="AN794" s="49"/>
      <c r="AO794" s="49"/>
      <c r="AP794" s="49"/>
      <c r="AQ794" s="49"/>
      <c r="AR794" s="49"/>
      <c r="AS794" s="49"/>
      <c r="AT794" s="49"/>
      <c r="AU794" s="49"/>
      <c r="AV794" s="49"/>
      <c r="AW794" s="49"/>
      <c r="AX794" s="49"/>
    </row>
    <row r="79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c r="AF795" s="49"/>
      <c r="AG795" s="49"/>
      <c r="AH795" s="49"/>
      <c r="AI795" s="49"/>
      <c r="AJ795" s="49"/>
      <c r="AK795" s="49"/>
      <c r="AL795" s="49"/>
      <c r="AM795" s="49"/>
      <c r="AN795" s="49"/>
      <c r="AO795" s="49"/>
      <c r="AP795" s="49"/>
      <c r="AQ795" s="49"/>
      <c r="AR795" s="49"/>
      <c r="AS795" s="49"/>
      <c r="AT795" s="49"/>
      <c r="AU795" s="49"/>
      <c r="AV795" s="49"/>
      <c r="AW795" s="49"/>
      <c r="AX795" s="49"/>
    </row>
    <row r="796">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c r="AF796" s="49"/>
      <c r="AG796" s="49"/>
      <c r="AH796" s="49"/>
      <c r="AI796" s="49"/>
      <c r="AJ796" s="49"/>
      <c r="AK796" s="49"/>
      <c r="AL796" s="49"/>
      <c r="AM796" s="49"/>
      <c r="AN796" s="49"/>
      <c r="AO796" s="49"/>
      <c r="AP796" s="49"/>
      <c r="AQ796" s="49"/>
      <c r="AR796" s="49"/>
      <c r="AS796" s="49"/>
      <c r="AT796" s="49"/>
      <c r="AU796" s="49"/>
      <c r="AV796" s="49"/>
      <c r="AW796" s="49"/>
      <c r="AX796" s="49"/>
    </row>
    <row r="797">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c r="AF797" s="49"/>
      <c r="AG797" s="49"/>
      <c r="AH797" s="49"/>
      <c r="AI797" s="49"/>
      <c r="AJ797" s="49"/>
      <c r="AK797" s="49"/>
      <c r="AL797" s="49"/>
      <c r="AM797" s="49"/>
      <c r="AN797" s="49"/>
      <c r="AO797" s="49"/>
      <c r="AP797" s="49"/>
      <c r="AQ797" s="49"/>
      <c r="AR797" s="49"/>
      <c r="AS797" s="49"/>
      <c r="AT797" s="49"/>
      <c r="AU797" s="49"/>
      <c r="AV797" s="49"/>
      <c r="AW797" s="49"/>
      <c r="AX797" s="49"/>
    </row>
    <row r="798">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c r="AF798" s="49"/>
      <c r="AG798" s="49"/>
      <c r="AH798" s="49"/>
      <c r="AI798" s="49"/>
      <c r="AJ798" s="49"/>
      <c r="AK798" s="49"/>
      <c r="AL798" s="49"/>
      <c r="AM798" s="49"/>
      <c r="AN798" s="49"/>
      <c r="AO798" s="49"/>
      <c r="AP798" s="49"/>
      <c r="AQ798" s="49"/>
      <c r="AR798" s="49"/>
      <c r="AS798" s="49"/>
      <c r="AT798" s="49"/>
      <c r="AU798" s="49"/>
      <c r="AV798" s="49"/>
      <c r="AW798" s="49"/>
      <c r="AX798" s="49"/>
    </row>
    <row r="799">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c r="AF799" s="49"/>
      <c r="AG799" s="49"/>
      <c r="AH799" s="49"/>
      <c r="AI799" s="49"/>
      <c r="AJ799" s="49"/>
      <c r="AK799" s="49"/>
      <c r="AL799" s="49"/>
      <c r="AM799" s="49"/>
      <c r="AN799" s="49"/>
      <c r="AO799" s="49"/>
      <c r="AP799" s="49"/>
      <c r="AQ799" s="49"/>
      <c r="AR799" s="49"/>
      <c r="AS799" s="49"/>
      <c r="AT799" s="49"/>
      <c r="AU799" s="49"/>
      <c r="AV799" s="49"/>
      <c r="AW799" s="49"/>
      <c r="AX799" s="49"/>
    </row>
    <row r="800">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c r="AF800" s="49"/>
      <c r="AG800" s="49"/>
      <c r="AH800" s="49"/>
      <c r="AI800" s="49"/>
      <c r="AJ800" s="49"/>
      <c r="AK800" s="49"/>
      <c r="AL800" s="49"/>
      <c r="AM800" s="49"/>
      <c r="AN800" s="49"/>
      <c r="AO800" s="49"/>
      <c r="AP800" s="49"/>
      <c r="AQ800" s="49"/>
      <c r="AR800" s="49"/>
      <c r="AS800" s="49"/>
      <c r="AT800" s="49"/>
      <c r="AU800" s="49"/>
      <c r="AV800" s="49"/>
      <c r="AW800" s="49"/>
      <c r="AX800" s="49"/>
    </row>
    <row r="801">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c r="AF801" s="49"/>
      <c r="AG801" s="49"/>
      <c r="AH801" s="49"/>
      <c r="AI801" s="49"/>
      <c r="AJ801" s="49"/>
      <c r="AK801" s="49"/>
      <c r="AL801" s="49"/>
      <c r="AM801" s="49"/>
      <c r="AN801" s="49"/>
      <c r="AO801" s="49"/>
      <c r="AP801" s="49"/>
      <c r="AQ801" s="49"/>
      <c r="AR801" s="49"/>
      <c r="AS801" s="49"/>
      <c r="AT801" s="49"/>
      <c r="AU801" s="49"/>
      <c r="AV801" s="49"/>
      <c r="AW801" s="49"/>
      <c r="AX801" s="49"/>
    </row>
    <row r="802">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c r="AE802" s="49"/>
      <c r="AF802" s="49"/>
      <c r="AG802" s="49"/>
      <c r="AH802" s="49"/>
      <c r="AI802" s="49"/>
      <c r="AJ802" s="49"/>
      <c r="AK802" s="49"/>
      <c r="AL802" s="49"/>
      <c r="AM802" s="49"/>
      <c r="AN802" s="49"/>
      <c r="AO802" s="49"/>
      <c r="AP802" s="49"/>
      <c r="AQ802" s="49"/>
      <c r="AR802" s="49"/>
      <c r="AS802" s="49"/>
      <c r="AT802" s="49"/>
      <c r="AU802" s="49"/>
      <c r="AV802" s="49"/>
      <c r="AW802" s="49"/>
      <c r="AX802" s="49"/>
    </row>
    <row r="803">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c r="AF803" s="49"/>
      <c r="AG803" s="49"/>
      <c r="AH803" s="49"/>
      <c r="AI803" s="49"/>
      <c r="AJ803" s="49"/>
      <c r="AK803" s="49"/>
      <c r="AL803" s="49"/>
      <c r="AM803" s="49"/>
      <c r="AN803" s="49"/>
      <c r="AO803" s="49"/>
      <c r="AP803" s="49"/>
      <c r="AQ803" s="49"/>
      <c r="AR803" s="49"/>
      <c r="AS803" s="49"/>
      <c r="AT803" s="49"/>
      <c r="AU803" s="49"/>
      <c r="AV803" s="49"/>
      <c r="AW803" s="49"/>
      <c r="AX803" s="49"/>
    </row>
    <row r="804">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c r="AF804" s="49"/>
      <c r="AG804" s="49"/>
      <c r="AH804" s="49"/>
      <c r="AI804" s="49"/>
      <c r="AJ804" s="49"/>
      <c r="AK804" s="49"/>
      <c r="AL804" s="49"/>
      <c r="AM804" s="49"/>
      <c r="AN804" s="49"/>
      <c r="AO804" s="49"/>
      <c r="AP804" s="49"/>
      <c r="AQ804" s="49"/>
      <c r="AR804" s="49"/>
      <c r="AS804" s="49"/>
      <c r="AT804" s="49"/>
      <c r="AU804" s="49"/>
      <c r="AV804" s="49"/>
      <c r="AW804" s="49"/>
      <c r="AX804" s="49"/>
    </row>
    <row r="80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c r="AE805" s="49"/>
      <c r="AF805" s="49"/>
      <c r="AG805" s="49"/>
      <c r="AH805" s="49"/>
      <c r="AI805" s="49"/>
      <c r="AJ805" s="49"/>
      <c r="AK805" s="49"/>
      <c r="AL805" s="49"/>
      <c r="AM805" s="49"/>
      <c r="AN805" s="49"/>
      <c r="AO805" s="49"/>
      <c r="AP805" s="49"/>
      <c r="AQ805" s="49"/>
      <c r="AR805" s="49"/>
      <c r="AS805" s="49"/>
      <c r="AT805" s="49"/>
      <c r="AU805" s="49"/>
      <c r="AV805" s="49"/>
      <c r="AW805" s="49"/>
      <c r="AX805" s="49"/>
    </row>
    <row r="806">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c r="AE806" s="49"/>
      <c r="AF806" s="49"/>
      <c r="AG806" s="49"/>
      <c r="AH806" s="49"/>
      <c r="AI806" s="49"/>
      <c r="AJ806" s="49"/>
      <c r="AK806" s="49"/>
      <c r="AL806" s="49"/>
      <c r="AM806" s="49"/>
      <c r="AN806" s="49"/>
      <c r="AO806" s="49"/>
      <c r="AP806" s="49"/>
      <c r="AQ806" s="49"/>
      <c r="AR806" s="49"/>
      <c r="AS806" s="49"/>
      <c r="AT806" s="49"/>
      <c r="AU806" s="49"/>
      <c r="AV806" s="49"/>
      <c r="AW806" s="49"/>
      <c r="AX806" s="49"/>
    </row>
    <row r="807">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c r="AE807" s="49"/>
      <c r="AF807" s="49"/>
      <c r="AG807" s="49"/>
      <c r="AH807" s="49"/>
      <c r="AI807" s="49"/>
      <c r="AJ807" s="49"/>
      <c r="AK807" s="49"/>
      <c r="AL807" s="49"/>
      <c r="AM807" s="49"/>
      <c r="AN807" s="49"/>
      <c r="AO807" s="49"/>
      <c r="AP807" s="49"/>
      <c r="AQ807" s="49"/>
      <c r="AR807" s="49"/>
      <c r="AS807" s="49"/>
      <c r="AT807" s="49"/>
      <c r="AU807" s="49"/>
      <c r="AV807" s="49"/>
      <c r="AW807" s="49"/>
      <c r="AX807" s="49"/>
    </row>
    <row r="808">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c r="AF808" s="49"/>
      <c r="AG808" s="49"/>
      <c r="AH808" s="49"/>
      <c r="AI808" s="49"/>
      <c r="AJ808" s="49"/>
      <c r="AK808" s="49"/>
      <c r="AL808" s="49"/>
      <c r="AM808" s="49"/>
      <c r="AN808" s="49"/>
      <c r="AO808" s="49"/>
      <c r="AP808" s="49"/>
      <c r="AQ808" s="49"/>
      <c r="AR808" s="49"/>
      <c r="AS808" s="49"/>
      <c r="AT808" s="49"/>
      <c r="AU808" s="49"/>
      <c r="AV808" s="49"/>
      <c r="AW808" s="49"/>
      <c r="AX808" s="49"/>
    </row>
    <row r="809">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c r="AE809" s="49"/>
      <c r="AF809" s="49"/>
      <c r="AG809" s="49"/>
      <c r="AH809" s="49"/>
      <c r="AI809" s="49"/>
      <c r="AJ809" s="49"/>
      <c r="AK809" s="49"/>
      <c r="AL809" s="49"/>
      <c r="AM809" s="49"/>
      <c r="AN809" s="49"/>
      <c r="AO809" s="49"/>
      <c r="AP809" s="49"/>
      <c r="AQ809" s="49"/>
      <c r="AR809" s="49"/>
      <c r="AS809" s="49"/>
      <c r="AT809" s="49"/>
      <c r="AU809" s="49"/>
      <c r="AV809" s="49"/>
      <c r="AW809" s="49"/>
      <c r="AX809" s="49"/>
    </row>
    <row r="810">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c r="AE810" s="49"/>
      <c r="AF810" s="49"/>
      <c r="AG810" s="49"/>
      <c r="AH810" s="49"/>
      <c r="AI810" s="49"/>
      <c r="AJ810" s="49"/>
      <c r="AK810" s="49"/>
      <c r="AL810" s="49"/>
      <c r="AM810" s="49"/>
      <c r="AN810" s="49"/>
      <c r="AO810" s="49"/>
      <c r="AP810" s="49"/>
      <c r="AQ810" s="49"/>
      <c r="AR810" s="49"/>
      <c r="AS810" s="49"/>
      <c r="AT810" s="49"/>
      <c r="AU810" s="49"/>
      <c r="AV810" s="49"/>
      <c r="AW810" s="49"/>
      <c r="AX810" s="49"/>
    </row>
    <row r="811">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c r="AF811" s="49"/>
      <c r="AG811" s="49"/>
      <c r="AH811" s="49"/>
      <c r="AI811" s="49"/>
      <c r="AJ811" s="49"/>
      <c r="AK811" s="49"/>
      <c r="AL811" s="49"/>
      <c r="AM811" s="49"/>
      <c r="AN811" s="49"/>
      <c r="AO811" s="49"/>
      <c r="AP811" s="49"/>
      <c r="AQ811" s="49"/>
      <c r="AR811" s="49"/>
      <c r="AS811" s="49"/>
      <c r="AT811" s="49"/>
      <c r="AU811" s="49"/>
      <c r="AV811" s="49"/>
      <c r="AW811" s="49"/>
      <c r="AX811" s="49"/>
    </row>
    <row r="812">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c r="AF812" s="49"/>
      <c r="AG812" s="49"/>
      <c r="AH812" s="49"/>
      <c r="AI812" s="49"/>
      <c r="AJ812" s="49"/>
      <c r="AK812" s="49"/>
      <c r="AL812" s="49"/>
      <c r="AM812" s="49"/>
      <c r="AN812" s="49"/>
      <c r="AO812" s="49"/>
      <c r="AP812" s="49"/>
      <c r="AQ812" s="49"/>
      <c r="AR812" s="49"/>
      <c r="AS812" s="49"/>
      <c r="AT812" s="49"/>
      <c r="AU812" s="49"/>
      <c r="AV812" s="49"/>
      <c r="AW812" s="49"/>
      <c r="AX812" s="49"/>
    </row>
    <row r="813">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c r="AF813" s="49"/>
      <c r="AG813" s="49"/>
      <c r="AH813" s="49"/>
      <c r="AI813" s="49"/>
      <c r="AJ813" s="49"/>
      <c r="AK813" s="49"/>
      <c r="AL813" s="49"/>
      <c r="AM813" s="49"/>
      <c r="AN813" s="49"/>
      <c r="AO813" s="49"/>
      <c r="AP813" s="49"/>
      <c r="AQ813" s="49"/>
      <c r="AR813" s="49"/>
      <c r="AS813" s="49"/>
      <c r="AT813" s="49"/>
      <c r="AU813" s="49"/>
      <c r="AV813" s="49"/>
      <c r="AW813" s="49"/>
      <c r="AX813" s="49"/>
    </row>
    <row r="814">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c r="AF814" s="49"/>
      <c r="AG814" s="49"/>
      <c r="AH814" s="49"/>
      <c r="AI814" s="49"/>
      <c r="AJ814" s="49"/>
      <c r="AK814" s="49"/>
      <c r="AL814" s="49"/>
      <c r="AM814" s="49"/>
      <c r="AN814" s="49"/>
      <c r="AO814" s="49"/>
      <c r="AP814" s="49"/>
      <c r="AQ814" s="49"/>
      <c r="AR814" s="49"/>
      <c r="AS814" s="49"/>
      <c r="AT814" s="49"/>
      <c r="AU814" s="49"/>
      <c r="AV814" s="49"/>
      <c r="AW814" s="49"/>
      <c r="AX814" s="49"/>
    </row>
    <row r="81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c r="AF815" s="49"/>
      <c r="AG815" s="49"/>
      <c r="AH815" s="49"/>
      <c r="AI815" s="49"/>
      <c r="AJ815" s="49"/>
      <c r="AK815" s="49"/>
      <c r="AL815" s="49"/>
      <c r="AM815" s="49"/>
      <c r="AN815" s="49"/>
      <c r="AO815" s="49"/>
      <c r="AP815" s="49"/>
      <c r="AQ815" s="49"/>
      <c r="AR815" s="49"/>
      <c r="AS815" s="49"/>
      <c r="AT815" s="49"/>
      <c r="AU815" s="49"/>
      <c r="AV815" s="49"/>
      <c r="AW815" s="49"/>
      <c r="AX815" s="49"/>
    </row>
    <row r="816">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c r="AF816" s="49"/>
      <c r="AG816" s="49"/>
      <c r="AH816" s="49"/>
      <c r="AI816" s="49"/>
      <c r="AJ816" s="49"/>
      <c r="AK816" s="49"/>
      <c r="AL816" s="49"/>
      <c r="AM816" s="49"/>
      <c r="AN816" s="49"/>
      <c r="AO816" s="49"/>
      <c r="AP816" s="49"/>
      <c r="AQ816" s="49"/>
      <c r="AR816" s="49"/>
      <c r="AS816" s="49"/>
      <c r="AT816" s="49"/>
      <c r="AU816" s="49"/>
      <c r="AV816" s="49"/>
      <c r="AW816" s="49"/>
      <c r="AX816" s="49"/>
    </row>
    <row r="817">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c r="AF817" s="49"/>
      <c r="AG817" s="49"/>
      <c r="AH817" s="49"/>
      <c r="AI817" s="49"/>
      <c r="AJ817" s="49"/>
      <c r="AK817" s="49"/>
      <c r="AL817" s="49"/>
      <c r="AM817" s="49"/>
      <c r="AN817" s="49"/>
      <c r="AO817" s="49"/>
      <c r="AP817" s="49"/>
      <c r="AQ817" s="49"/>
      <c r="AR817" s="49"/>
      <c r="AS817" s="49"/>
      <c r="AT817" s="49"/>
      <c r="AU817" s="49"/>
      <c r="AV817" s="49"/>
      <c r="AW817" s="49"/>
      <c r="AX817" s="49"/>
    </row>
    <row r="818">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c r="AF818" s="49"/>
      <c r="AG818" s="49"/>
      <c r="AH818" s="49"/>
      <c r="AI818" s="49"/>
      <c r="AJ818" s="49"/>
      <c r="AK818" s="49"/>
      <c r="AL818" s="49"/>
      <c r="AM818" s="49"/>
      <c r="AN818" s="49"/>
      <c r="AO818" s="49"/>
      <c r="AP818" s="49"/>
      <c r="AQ818" s="49"/>
      <c r="AR818" s="49"/>
      <c r="AS818" s="49"/>
      <c r="AT818" s="49"/>
      <c r="AU818" s="49"/>
      <c r="AV818" s="49"/>
      <c r="AW818" s="49"/>
      <c r="AX818" s="49"/>
    </row>
    <row r="819">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c r="AF819" s="49"/>
      <c r="AG819" s="49"/>
      <c r="AH819" s="49"/>
      <c r="AI819" s="49"/>
      <c r="AJ819" s="49"/>
      <c r="AK819" s="49"/>
      <c r="AL819" s="49"/>
      <c r="AM819" s="49"/>
      <c r="AN819" s="49"/>
      <c r="AO819" s="49"/>
      <c r="AP819" s="49"/>
      <c r="AQ819" s="49"/>
      <c r="AR819" s="49"/>
      <c r="AS819" s="49"/>
      <c r="AT819" s="49"/>
      <c r="AU819" s="49"/>
      <c r="AV819" s="49"/>
      <c r="AW819" s="49"/>
      <c r="AX819" s="49"/>
    </row>
    <row r="820">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c r="AF820" s="49"/>
      <c r="AG820" s="49"/>
      <c r="AH820" s="49"/>
      <c r="AI820" s="49"/>
      <c r="AJ820" s="49"/>
      <c r="AK820" s="49"/>
      <c r="AL820" s="49"/>
      <c r="AM820" s="49"/>
      <c r="AN820" s="49"/>
      <c r="AO820" s="49"/>
      <c r="AP820" s="49"/>
      <c r="AQ820" s="49"/>
      <c r="AR820" s="49"/>
      <c r="AS820" s="49"/>
      <c r="AT820" s="49"/>
      <c r="AU820" s="49"/>
      <c r="AV820" s="49"/>
      <c r="AW820" s="49"/>
      <c r="AX820" s="49"/>
    </row>
    <row r="821">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c r="AF821" s="49"/>
      <c r="AG821" s="49"/>
      <c r="AH821" s="49"/>
      <c r="AI821" s="49"/>
      <c r="AJ821" s="49"/>
      <c r="AK821" s="49"/>
      <c r="AL821" s="49"/>
      <c r="AM821" s="49"/>
      <c r="AN821" s="49"/>
      <c r="AO821" s="49"/>
      <c r="AP821" s="49"/>
      <c r="AQ821" s="49"/>
      <c r="AR821" s="49"/>
      <c r="AS821" s="49"/>
      <c r="AT821" s="49"/>
      <c r="AU821" s="49"/>
      <c r="AV821" s="49"/>
      <c r="AW821" s="49"/>
      <c r="AX821" s="49"/>
    </row>
    <row r="822">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c r="AF822" s="49"/>
      <c r="AG822" s="49"/>
      <c r="AH822" s="49"/>
      <c r="AI822" s="49"/>
      <c r="AJ822" s="49"/>
      <c r="AK822" s="49"/>
      <c r="AL822" s="49"/>
      <c r="AM822" s="49"/>
      <c r="AN822" s="49"/>
      <c r="AO822" s="49"/>
      <c r="AP822" s="49"/>
      <c r="AQ822" s="49"/>
      <c r="AR822" s="49"/>
      <c r="AS822" s="49"/>
      <c r="AT822" s="49"/>
      <c r="AU822" s="49"/>
      <c r="AV822" s="49"/>
      <c r="AW822" s="49"/>
      <c r="AX822" s="49"/>
    </row>
    <row r="823">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c r="AF823" s="49"/>
      <c r="AG823" s="49"/>
      <c r="AH823" s="49"/>
      <c r="AI823" s="49"/>
      <c r="AJ823" s="49"/>
      <c r="AK823" s="49"/>
      <c r="AL823" s="49"/>
      <c r="AM823" s="49"/>
      <c r="AN823" s="49"/>
      <c r="AO823" s="49"/>
      <c r="AP823" s="49"/>
      <c r="AQ823" s="49"/>
      <c r="AR823" s="49"/>
      <c r="AS823" s="49"/>
      <c r="AT823" s="49"/>
      <c r="AU823" s="49"/>
      <c r="AV823" s="49"/>
      <c r="AW823" s="49"/>
      <c r="AX823" s="49"/>
    </row>
    <row r="824">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c r="AF824" s="49"/>
      <c r="AG824" s="49"/>
      <c r="AH824" s="49"/>
      <c r="AI824" s="49"/>
      <c r="AJ824" s="49"/>
      <c r="AK824" s="49"/>
      <c r="AL824" s="49"/>
      <c r="AM824" s="49"/>
      <c r="AN824" s="49"/>
      <c r="AO824" s="49"/>
      <c r="AP824" s="49"/>
      <c r="AQ824" s="49"/>
      <c r="AR824" s="49"/>
      <c r="AS824" s="49"/>
      <c r="AT824" s="49"/>
      <c r="AU824" s="49"/>
      <c r="AV824" s="49"/>
      <c r="AW824" s="49"/>
      <c r="AX824" s="49"/>
    </row>
    <row r="8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c r="AF825" s="49"/>
      <c r="AG825" s="49"/>
      <c r="AH825" s="49"/>
      <c r="AI825" s="49"/>
      <c r="AJ825" s="49"/>
      <c r="AK825" s="49"/>
      <c r="AL825" s="49"/>
      <c r="AM825" s="49"/>
      <c r="AN825" s="49"/>
      <c r="AO825" s="49"/>
      <c r="AP825" s="49"/>
      <c r="AQ825" s="49"/>
      <c r="AR825" s="49"/>
      <c r="AS825" s="49"/>
      <c r="AT825" s="49"/>
      <c r="AU825" s="49"/>
      <c r="AV825" s="49"/>
      <c r="AW825" s="49"/>
      <c r="AX825" s="49"/>
    </row>
    <row r="826">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c r="AE826" s="49"/>
      <c r="AF826" s="49"/>
      <c r="AG826" s="49"/>
      <c r="AH826" s="49"/>
      <c r="AI826" s="49"/>
      <c r="AJ826" s="49"/>
      <c r="AK826" s="49"/>
      <c r="AL826" s="49"/>
      <c r="AM826" s="49"/>
      <c r="AN826" s="49"/>
      <c r="AO826" s="49"/>
      <c r="AP826" s="49"/>
      <c r="AQ826" s="49"/>
      <c r="AR826" s="49"/>
      <c r="AS826" s="49"/>
      <c r="AT826" s="49"/>
      <c r="AU826" s="49"/>
      <c r="AV826" s="49"/>
      <c r="AW826" s="49"/>
      <c r="AX826" s="49"/>
    </row>
    <row r="827">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c r="AE827" s="49"/>
      <c r="AF827" s="49"/>
      <c r="AG827" s="49"/>
      <c r="AH827" s="49"/>
      <c r="AI827" s="49"/>
      <c r="AJ827" s="49"/>
      <c r="AK827" s="49"/>
      <c r="AL827" s="49"/>
      <c r="AM827" s="49"/>
      <c r="AN827" s="49"/>
      <c r="AO827" s="49"/>
      <c r="AP827" s="49"/>
      <c r="AQ827" s="49"/>
      <c r="AR827" s="49"/>
      <c r="AS827" s="49"/>
      <c r="AT827" s="49"/>
      <c r="AU827" s="49"/>
      <c r="AV827" s="49"/>
      <c r="AW827" s="49"/>
      <c r="AX827" s="49"/>
    </row>
    <row r="828">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c r="AF828" s="49"/>
      <c r="AG828" s="49"/>
      <c r="AH828" s="49"/>
      <c r="AI828" s="49"/>
      <c r="AJ828" s="49"/>
      <c r="AK828" s="49"/>
      <c r="AL828" s="49"/>
      <c r="AM828" s="49"/>
      <c r="AN828" s="49"/>
      <c r="AO828" s="49"/>
      <c r="AP828" s="49"/>
      <c r="AQ828" s="49"/>
      <c r="AR828" s="49"/>
      <c r="AS828" s="49"/>
      <c r="AT828" s="49"/>
      <c r="AU828" s="49"/>
      <c r="AV828" s="49"/>
      <c r="AW828" s="49"/>
      <c r="AX828" s="49"/>
    </row>
    <row r="829">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c r="AE829" s="49"/>
      <c r="AF829" s="49"/>
      <c r="AG829" s="49"/>
      <c r="AH829" s="49"/>
      <c r="AI829" s="49"/>
      <c r="AJ829" s="49"/>
      <c r="AK829" s="49"/>
      <c r="AL829" s="49"/>
      <c r="AM829" s="49"/>
      <c r="AN829" s="49"/>
      <c r="AO829" s="49"/>
      <c r="AP829" s="49"/>
      <c r="AQ829" s="49"/>
      <c r="AR829" s="49"/>
      <c r="AS829" s="49"/>
      <c r="AT829" s="49"/>
      <c r="AU829" s="49"/>
      <c r="AV829" s="49"/>
      <c r="AW829" s="49"/>
      <c r="AX829" s="49"/>
    </row>
    <row r="830">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c r="AE830" s="49"/>
      <c r="AF830" s="49"/>
      <c r="AG830" s="49"/>
      <c r="AH830" s="49"/>
      <c r="AI830" s="49"/>
      <c r="AJ830" s="49"/>
      <c r="AK830" s="49"/>
      <c r="AL830" s="49"/>
      <c r="AM830" s="49"/>
      <c r="AN830" s="49"/>
      <c r="AO830" s="49"/>
      <c r="AP830" s="49"/>
      <c r="AQ830" s="49"/>
      <c r="AR830" s="49"/>
      <c r="AS830" s="49"/>
      <c r="AT830" s="49"/>
      <c r="AU830" s="49"/>
      <c r="AV830" s="49"/>
      <c r="AW830" s="49"/>
      <c r="AX830" s="49"/>
    </row>
    <row r="831">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c r="AF831" s="49"/>
      <c r="AG831" s="49"/>
      <c r="AH831" s="49"/>
      <c r="AI831" s="49"/>
      <c r="AJ831" s="49"/>
      <c r="AK831" s="49"/>
      <c r="AL831" s="49"/>
      <c r="AM831" s="49"/>
      <c r="AN831" s="49"/>
      <c r="AO831" s="49"/>
      <c r="AP831" s="49"/>
      <c r="AQ831" s="49"/>
      <c r="AR831" s="49"/>
      <c r="AS831" s="49"/>
      <c r="AT831" s="49"/>
      <c r="AU831" s="49"/>
      <c r="AV831" s="49"/>
      <c r="AW831" s="49"/>
      <c r="AX831" s="49"/>
    </row>
    <row r="832">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c r="AF832" s="49"/>
      <c r="AG832" s="49"/>
      <c r="AH832" s="49"/>
      <c r="AI832" s="49"/>
      <c r="AJ832" s="49"/>
      <c r="AK832" s="49"/>
      <c r="AL832" s="49"/>
      <c r="AM832" s="49"/>
      <c r="AN832" s="49"/>
      <c r="AO832" s="49"/>
      <c r="AP832" s="49"/>
      <c r="AQ832" s="49"/>
      <c r="AR832" s="49"/>
      <c r="AS832" s="49"/>
      <c r="AT832" s="49"/>
      <c r="AU832" s="49"/>
      <c r="AV832" s="49"/>
      <c r="AW832" s="49"/>
      <c r="AX832" s="49"/>
    </row>
    <row r="833">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c r="AF833" s="49"/>
      <c r="AG833" s="49"/>
      <c r="AH833" s="49"/>
      <c r="AI833" s="49"/>
      <c r="AJ833" s="49"/>
      <c r="AK833" s="49"/>
      <c r="AL833" s="49"/>
      <c r="AM833" s="49"/>
      <c r="AN833" s="49"/>
      <c r="AO833" s="49"/>
      <c r="AP833" s="49"/>
      <c r="AQ833" s="49"/>
      <c r="AR833" s="49"/>
      <c r="AS833" s="49"/>
      <c r="AT833" s="49"/>
      <c r="AU833" s="49"/>
      <c r="AV833" s="49"/>
      <c r="AW833" s="49"/>
      <c r="AX833" s="49"/>
    </row>
    <row r="834">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c r="AF834" s="49"/>
      <c r="AG834" s="49"/>
      <c r="AH834" s="49"/>
      <c r="AI834" s="49"/>
      <c r="AJ834" s="49"/>
      <c r="AK834" s="49"/>
      <c r="AL834" s="49"/>
      <c r="AM834" s="49"/>
      <c r="AN834" s="49"/>
      <c r="AO834" s="49"/>
      <c r="AP834" s="49"/>
      <c r="AQ834" s="49"/>
      <c r="AR834" s="49"/>
      <c r="AS834" s="49"/>
      <c r="AT834" s="49"/>
      <c r="AU834" s="49"/>
      <c r="AV834" s="49"/>
      <c r="AW834" s="49"/>
      <c r="AX834" s="49"/>
    </row>
    <row r="8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c r="AF835" s="49"/>
      <c r="AG835" s="49"/>
      <c r="AH835" s="49"/>
      <c r="AI835" s="49"/>
      <c r="AJ835" s="49"/>
      <c r="AK835" s="49"/>
      <c r="AL835" s="49"/>
      <c r="AM835" s="49"/>
      <c r="AN835" s="49"/>
      <c r="AO835" s="49"/>
      <c r="AP835" s="49"/>
      <c r="AQ835" s="49"/>
      <c r="AR835" s="49"/>
      <c r="AS835" s="49"/>
      <c r="AT835" s="49"/>
      <c r="AU835" s="49"/>
      <c r="AV835" s="49"/>
      <c r="AW835" s="49"/>
      <c r="AX835" s="49"/>
    </row>
    <row r="836">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c r="AF836" s="49"/>
      <c r="AG836" s="49"/>
      <c r="AH836" s="49"/>
      <c r="AI836" s="49"/>
      <c r="AJ836" s="49"/>
      <c r="AK836" s="49"/>
      <c r="AL836" s="49"/>
      <c r="AM836" s="49"/>
      <c r="AN836" s="49"/>
      <c r="AO836" s="49"/>
      <c r="AP836" s="49"/>
      <c r="AQ836" s="49"/>
      <c r="AR836" s="49"/>
      <c r="AS836" s="49"/>
      <c r="AT836" s="49"/>
      <c r="AU836" s="49"/>
      <c r="AV836" s="49"/>
      <c r="AW836" s="49"/>
      <c r="AX836" s="49"/>
    </row>
    <row r="837">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c r="AE837" s="49"/>
      <c r="AF837" s="49"/>
      <c r="AG837" s="49"/>
      <c r="AH837" s="49"/>
      <c r="AI837" s="49"/>
      <c r="AJ837" s="49"/>
      <c r="AK837" s="49"/>
      <c r="AL837" s="49"/>
      <c r="AM837" s="49"/>
      <c r="AN837" s="49"/>
      <c r="AO837" s="49"/>
      <c r="AP837" s="49"/>
      <c r="AQ837" s="49"/>
      <c r="AR837" s="49"/>
      <c r="AS837" s="49"/>
      <c r="AT837" s="49"/>
      <c r="AU837" s="49"/>
      <c r="AV837" s="49"/>
      <c r="AW837" s="49"/>
      <c r="AX837" s="49"/>
    </row>
    <row r="838">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c r="AF838" s="49"/>
      <c r="AG838" s="49"/>
      <c r="AH838" s="49"/>
      <c r="AI838" s="49"/>
      <c r="AJ838" s="49"/>
      <c r="AK838" s="49"/>
      <c r="AL838" s="49"/>
      <c r="AM838" s="49"/>
      <c r="AN838" s="49"/>
      <c r="AO838" s="49"/>
      <c r="AP838" s="49"/>
      <c r="AQ838" s="49"/>
      <c r="AR838" s="49"/>
      <c r="AS838" s="49"/>
      <c r="AT838" s="49"/>
      <c r="AU838" s="49"/>
      <c r="AV838" s="49"/>
      <c r="AW838" s="49"/>
      <c r="AX838" s="49"/>
    </row>
    <row r="839">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c r="AF839" s="49"/>
      <c r="AG839" s="49"/>
      <c r="AH839" s="49"/>
      <c r="AI839" s="49"/>
      <c r="AJ839" s="49"/>
      <c r="AK839" s="49"/>
      <c r="AL839" s="49"/>
      <c r="AM839" s="49"/>
      <c r="AN839" s="49"/>
      <c r="AO839" s="49"/>
      <c r="AP839" s="49"/>
      <c r="AQ839" s="49"/>
      <c r="AR839" s="49"/>
      <c r="AS839" s="49"/>
      <c r="AT839" s="49"/>
      <c r="AU839" s="49"/>
      <c r="AV839" s="49"/>
      <c r="AW839" s="49"/>
      <c r="AX839" s="49"/>
    </row>
    <row r="840">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c r="AF840" s="49"/>
      <c r="AG840" s="49"/>
      <c r="AH840" s="49"/>
      <c r="AI840" s="49"/>
      <c r="AJ840" s="49"/>
      <c r="AK840" s="49"/>
      <c r="AL840" s="49"/>
      <c r="AM840" s="49"/>
      <c r="AN840" s="49"/>
      <c r="AO840" s="49"/>
      <c r="AP840" s="49"/>
      <c r="AQ840" s="49"/>
      <c r="AR840" s="49"/>
      <c r="AS840" s="49"/>
      <c r="AT840" s="49"/>
      <c r="AU840" s="49"/>
      <c r="AV840" s="49"/>
      <c r="AW840" s="49"/>
      <c r="AX840" s="49"/>
    </row>
    <row r="841">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c r="AF841" s="49"/>
      <c r="AG841" s="49"/>
      <c r="AH841" s="49"/>
      <c r="AI841" s="49"/>
      <c r="AJ841" s="49"/>
      <c r="AK841" s="49"/>
      <c r="AL841" s="49"/>
      <c r="AM841" s="49"/>
      <c r="AN841" s="49"/>
      <c r="AO841" s="49"/>
      <c r="AP841" s="49"/>
      <c r="AQ841" s="49"/>
      <c r="AR841" s="49"/>
      <c r="AS841" s="49"/>
      <c r="AT841" s="49"/>
      <c r="AU841" s="49"/>
      <c r="AV841" s="49"/>
      <c r="AW841" s="49"/>
      <c r="AX841" s="49"/>
    </row>
    <row r="842">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c r="AF842" s="49"/>
      <c r="AG842" s="49"/>
      <c r="AH842" s="49"/>
      <c r="AI842" s="49"/>
      <c r="AJ842" s="49"/>
      <c r="AK842" s="49"/>
      <c r="AL842" s="49"/>
      <c r="AM842" s="49"/>
      <c r="AN842" s="49"/>
      <c r="AO842" s="49"/>
      <c r="AP842" s="49"/>
      <c r="AQ842" s="49"/>
      <c r="AR842" s="49"/>
      <c r="AS842" s="49"/>
      <c r="AT842" s="49"/>
      <c r="AU842" s="49"/>
      <c r="AV842" s="49"/>
      <c r="AW842" s="49"/>
      <c r="AX842" s="49"/>
    </row>
    <row r="843">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c r="AF843" s="49"/>
      <c r="AG843" s="49"/>
      <c r="AH843" s="49"/>
      <c r="AI843" s="49"/>
      <c r="AJ843" s="49"/>
      <c r="AK843" s="49"/>
      <c r="AL843" s="49"/>
      <c r="AM843" s="49"/>
      <c r="AN843" s="49"/>
      <c r="AO843" s="49"/>
      <c r="AP843" s="49"/>
      <c r="AQ843" s="49"/>
      <c r="AR843" s="49"/>
      <c r="AS843" s="49"/>
      <c r="AT843" s="49"/>
      <c r="AU843" s="49"/>
      <c r="AV843" s="49"/>
      <c r="AW843" s="49"/>
      <c r="AX843" s="49"/>
    </row>
    <row r="844">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c r="AF844" s="49"/>
      <c r="AG844" s="49"/>
      <c r="AH844" s="49"/>
      <c r="AI844" s="49"/>
      <c r="AJ844" s="49"/>
      <c r="AK844" s="49"/>
      <c r="AL844" s="49"/>
      <c r="AM844" s="49"/>
      <c r="AN844" s="49"/>
      <c r="AO844" s="49"/>
      <c r="AP844" s="49"/>
      <c r="AQ844" s="49"/>
      <c r="AR844" s="49"/>
      <c r="AS844" s="49"/>
      <c r="AT844" s="49"/>
      <c r="AU844" s="49"/>
      <c r="AV844" s="49"/>
      <c r="AW844" s="49"/>
      <c r="AX844" s="49"/>
    </row>
    <row r="84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c r="AF845" s="49"/>
      <c r="AG845" s="49"/>
      <c r="AH845" s="49"/>
      <c r="AI845" s="49"/>
      <c r="AJ845" s="49"/>
      <c r="AK845" s="49"/>
      <c r="AL845" s="49"/>
      <c r="AM845" s="49"/>
      <c r="AN845" s="49"/>
      <c r="AO845" s="49"/>
      <c r="AP845" s="49"/>
      <c r="AQ845" s="49"/>
      <c r="AR845" s="49"/>
      <c r="AS845" s="49"/>
      <c r="AT845" s="49"/>
      <c r="AU845" s="49"/>
      <c r="AV845" s="49"/>
      <c r="AW845" s="49"/>
      <c r="AX845" s="49"/>
    </row>
    <row r="846">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c r="AF846" s="49"/>
      <c r="AG846" s="49"/>
      <c r="AH846" s="49"/>
      <c r="AI846" s="49"/>
      <c r="AJ846" s="49"/>
      <c r="AK846" s="49"/>
      <c r="AL846" s="49"/>
      <c r="AM846" s="49"/>
      <c r="AN846" s="49"/>
      <c r="AO846" s="49"/>
      <c r="AP846" s="49"/>
      <c r="AQ846" s="49"/>
      <c r="AR846" s="49"/>
      <c r="AS846" s="49"/>
      <c r="AT846" s="49"/>
      <c r="AU846" s="49"/>
      <c r="AV846" s="49"/>
      <c r="AW846" s="49"/>
      <c r="AX846" s="49"/>
    </row>
    <row r="847">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c r="AF847" s="49"/>
      <c r="AG847" s="49"/>
      <c r="AH847" s="49"/>
      <c r="AI847" s="49"/>
      <c r="AJ847" s="49"/>
      <c r="AK847" s="49"/>
      <c r="AL847" s="49"/>
      <c r="AM847" s="49"/>
      <c r="AN847" s="49"/>
      <c r="AO847" s="49"/>
      <c r="AP847" s="49"/>
      <c r="AQ847" s="49"/>
      <c r="AR847" s="49"/>
      <c r="AS847" s="49"/>
      <c r="AT847" s="49"/>
      <c r="AU847" s="49"/>
      <c r="AV847" s="49"/>
      <c r="AW847" s="49"/>
      <c r="AX847" s="49"/>
    </row>
    <row r="848">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c r="AE848" s="49"/>
      <c r="AF848" s="49"/>
      <c r="AG848" s="49"/>
      <c r="AH848" s="49"/>
      <c r="AI848" s="49"/>
      <c r="AJ848" s="49"/>
      <c r="AK848" s="49"/>
      <c r="AL848" s="49"/>
      <c r="AM848" s="49"/>
      <c r="AN848" s="49"/>
      <c r="AO848" s="49"/>
      <c r="AP848" s="49"/>
      <c r="AQ848" s="49"/>
      <c r="AR848" s="49"/>
      <c r="AS848" s="49"/>
      <c r="AT848" s="49"/>
      <c r="AU848" s="49"/>
      <c r="AV848" s="49"/>
      <c r="AW848" s="49"/>
      <c r="AX848" s="49"/>
    </row>
    <row r="849">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c r="AF849" s="49"/>
      <c r="AG849" s="49"/>
      <c r="AH849" s="49"/>
      <c r="AI849" s="49"/>
      <c r="AJ849" s="49"/>
      <c r="AK849" s="49"/>
      <c r="AL849" s="49"/>
      <c r="AM849" s="49"/>
      <c r="AN849" s="49"/>
      <c r="AO849" s="49"/>
      <c r="AP849" s="49"/>
      <c r="AQ849" s="49"/>
      <c r="AR849" s="49"/>
      <c r="AS849" s="49"/>
      <c r="AT849" s="49"/>
      <c r="AU849" s="49"/>
      <c r="AV849" s="49"/>
      <c r="AW849" s="49"/>
      <c r="AX849" s="49"/>
    </row>
    <row r="850">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c r="AF850" s="49"/>
      <c r="AG850" s="49"/>
      <c r="AH850" s="49"/>
      <c r="AI850" s="49"/>
      <c r="AJ850" s="49"/>
      <c r="AK850" s="49"/>
      <c r="AL850" s="49"/>
      <c r="AM850" s="49"/>
      <c r="AN850" s="49"/>
      <c r="AO850" s="49"/>
      <c r="AP850" s="49"/>
      <c r="AQ850" s="49"/>
      <c r="AR850" s="49"/>
      <c r="AS850" s="49"/>
      <c r="AT850" s="49"/>
      <c r="AU850" s="49"/>
      <c r="AV850" s="49"/>
      <c r="AW850" s="49"/>
      <c r="AX850" s="49"/>
    </row>
    <row r="851">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c r="AF851" s="49"/>
      <c r="AG851" s="49"/>
      <c r="AH851" s="49"/>
      <c r="AI851" s="49"/>
      <c r="AJ851" s="49"/>
      <c r="AK851" s="49"/>
      <c r="AL851" s="49"/>
      <c r="AM851" s="49"/>
      <c r="AN851" s="49"/>
      <c r="AO851" s="49"/>
      <c r="AP851" s="49"/>
      <c r="AQ851" s="49"/>
      <c r="AR851" s="49"/>
      <c r="AS851" s="49"/>
      <c r="AT851" s="49"/>
      <c r="AU851" s="49"/>
      <c r="AV851" s="49"/>
      <c r="AW851" s="49"/>
      <c r="AX851" s="49"/>
    </row>
    <row r="852">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c r="AE852" s="49"/>
      <c r="AF852" s="49"/>
      <c r="AG852" s="49"/>
      <c r="AH852" s="49"/>
      <c r="AI852" s="49"/>
      <c r="AJ852" s="49"/>
      <c r="AK852" s="49"/>
      <c r="AL852" s="49"/>
      <c r="AM852" s="49"/>
      <c r="AN852" s="49"/>
      <c r="AO852" s="49"/>
      <c r="AP852" s="49"/>
      <c r="AQ852" s="49"/>
      <c r="AR852" s="49"/>
      <c r="AS852" s="49"/>
      <c r="AT852" s="49"/>
      <c r="AU852" s="49"/>
      <c r="AV852" s="49"/>
      <c r="AW852" s="49"/>
      <c r="AX852" s="49"/>
    </row>
    <row r="853">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c r="AE853" s="49"/>
      <c r="AF853" s="49"/>
      <c r="AG853" s="49"/>
      <c r="AH853" s="49"/>
      <c r="AI853" s="49"/>
      <c r="AJ853" s="49"/>
      <c r="AK853" s="49"/>
      <c r="AL853" s="49"/>
      <c r="AM853" s="49"/>
      <c r="AN853" s="49"/>
      <c r="AO853" s="49"/>
      <c r="AP853" s="49"/>
      <c r="AQ853" s="49"/>
      <c r="AR853" s="49"/>
      <c r="AS853" s="49"/>
      <c r="AT853" s="49"/>
      <c r="AU853" s="49"/>
      <c r="AV853" s="49"/>
      <c r="AW853" s="49"/>
      <c r="AX853" s="49"/>
    </row>
    <row r="854">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c r="AE854" s="49"/>
      <c r="AF854" s="49"/>
      <c r="AG854" s="49"/>
      <c r="AH854" s="49"/>
      <c r="AI854" s="49"/>
      <c r="AJ854" s="49"/>
      <c r="AK854" s="49"/>
      <c r="AL854" s="49"/>
      <c r="AM854" s="49"/>
      <c r="AN854" s="49"/>
      <c r="AO854" s="49"/>
      <c r="AP854" s="49"/>
      <c r="AQ854" s="49"/>
      <c r="AR854" s="49"/>
      <c r="AS854" s="49"/>
      <c r="AT854" s="49"/>
      <c r="AU854" s="49"/>
      <c r="AV854" s="49"/>
      <c r="AW854" s="49"/>
      <c r="AX854" s="49"/>
    </row>
    <row r="85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c r="AE855" s="49"/>
      <c r="AF855" s="49"/>
      <c r="AG855" s="49"/>
      <c r="AH855" s="49"/>
      <c r="AI855" s="49"/>
      <c r="AJ855" s="49"/>
      <c r="AK855" s="49"/>
      <c r="AL855" s="49"/>
      <c r="AM855" s="49"/>
      <c r="AN855" s="49"/>
      <c r="AO855" s="49"/>
      <c r="AP855" s="49"/>
      <c r="AQ855" s="49"/>
      <c r="AR855" s="49"/>
      <c r="AS855" s="49"/>
      <c r="AT855" s="49"/>
      <c r="AU855" s="49"/>
      <c r="AV855" s="49"/>
      <c r="AW855" s="49"/>
      <c r="AX855" s="49"/>
    </row>
    <row r="856">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c r="AE856" s="49"/>
      <c r="AF856" s="49"/>
      <c r="AG856" s="49"/>
      <c r="AH856" s="49"/>
      <c r="AI856" s="49"/>
      <c r="AJ856" s="49"/>
      <c r="AK856" s="49"/>
      <c r="AL856" s="49"/>
      <c r="AM856" s="49"/>
      <c r="AN856" s="49"/>
      <c r="AO856" s="49"/>
      <c r="AP856" s="49"/>
      <c r="AQ856" s="49"/>
      <c r="AR856" s="49"/>
      <c r="AS856" s="49"/>
      <c r="AT856" s="49"/>
      <c r="AU856" s="49"/>
      <c r="AV856" s="49"/>
      <c r="AW856" s="49"/>
      <c r="AX856" s="49"/>
    </row>
    <row r="857">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c r="AE857" s="49"/>
      <c r="AF857" s="49"/>
      <c r="AG857" s="49"/>
      <c r="AH857" s="49"/>
      <c r="AI857" s="49"/>
      <c r="AJ857" s="49"/>
      <c r="AK857" s="49"/>
      <c r="AL857" s="49"/>
      <c r="AM857" s="49"/>
      <c r="AN857" s="49"/>
      <c r="AO857" s="49"/>
      <c r="AP857" s="49"/>
      <c r="AQ857" s="49"/>
      <c r="AR857" s="49"/>
      <c r="AS857" s="49"/>
      <c r="AT857" s="49"/>
      <c r="AU857" s="49"/>
      <c r="AV857" s="49"/>
      <c r="AW857" s="49"/>
      <c r="AX857" s="49"/>
    </row>
    <row r="858">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c r="AE858" s="49"/>
      <c r="AF858" s="49"/>
      <c r="AG858" s="49"/>
      <c r="AH858" s="49"/>
      <c r="AI858" s="49"/>
      <c r="AJ858" s="49"/>
      <c r="AK858" s="49"/>
      <c r="AL858" s="49"/>
      <c r="AM858" s="49"/>
      <c r="AN858" s="49"/>
      <c r="AO858" s="49"/>
      <c r="AP858" s="49"/>
      <c r="AQ858" s="49"/>
      <c r="AR858" s="49"/>
      <c r="AS858" s="49"/>
      <c r="AT858" s="49"/>
      <c r="AU858" s="49"/>
      <c r="AV858" s="49"/>
      <c r="AW858" s="49"/>
      <c r="AX858" s="49"/>
    </row>
    <row r="859">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c r="AE859" s="49"/>
      <c r="AF859" s="49"/>
      <c r="AG859" s="49"/>
      <c r="AH859" s="49"/>
      <c r="AI859" s="49"/>
      <c r="AJ859" s="49"/>
      <c r="AK859" s="49"/>
      <c r="AL859" s="49"/>
      <c r="AM859" s="49"/>
      <c r="AN859" s="49"/>
      <c r="AO859" s="49"/>
      <c r="AP859" s="49"/>
      <c r="AQ859" s="49"/>
      <c r="AR859" s="49"/>
      <c r="AS859" s="49"/>
      <c r="AT859" s="49"/>
      <c r="AU859" s="49"/>
      <c r="AV859" s="49"/>
      <c r="AW859" s="49"/>
      <c r="AX859" s="49"/>
    </row>
    <row r="860">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c r="AE860" s="49"/>
      <c r="AF860" s="49"/>
      <c r="AG860" s="49"/>
      <c r="AH860" s="49"/>
      <c r="AI860" s="49"/>
      <c r="AJ860" s="49"/>
      <c r="AK860" s="49"/>
      <c r="AL860" s="49"/>
      <c r="AM860" s="49"/>
      <c r="AN860" s="49"/>
      <c r="AO860" s="49"/>
      <c r="AP860" s="49"/>
      <c r="AQ860" s="49"/>
      <c r="AR860" s="49"/>
      <c r="AS860" s="49"/>
      <c r="AT860" s="49"/>
      <c r="AU860" s="49"/>
      <c r="AV860" s="49"/>
      <c r="AW860" s="49"/>
      <c r="AX860" s="49"/>
    </row>
    <row r="861">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c r="AE861" s="49"/>
      <c r="AF861" s="49"/>
      <c r="AG861" s="49"/>
      <c r="AH861" s="49"/>
      <c r="AI861" s="49"/>
      <c r="AJ861" s="49"/>
      <c r="AK861" s="49"/>
      <c r="AL861" s="49"/>
      <c r="AM861" s="49"/>
      <c r="AN861" s="49"/>
      <c r="AO861" s="49"/>
      <c r="AP861" s="49"/>
      <c r="AQ861" s="49"/>
      <c r="AR861" s="49"/>
      <c r="AS861" s="49"/>
      <c r="AT861" s="49"/>
      <c r="AU861" s="49"/>
      <c r="AV861" s="49"/>
      <c r="AW861" s="49"/>
      <c r="AX861" s="49"/>
    </row>
    <row r="862">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c r="AE862" s="49"/>
      <c r="AF862" s="49"/>
      <c r="AG862" s="49"/>
      <c r="AH862" s="49"/>
      <c r="AI862" s="49"/>
      <c r="AJ862" s="49"/>
      <c r="AK862" s="49"/>
      <c r="AL862" s="49"/>
      <c r="AM862" s="49"/>
      <c r="AN862" s="49"/>
      <c r="AO862" s="49"/>
      <c r="AP862" s="49"/>
      <c r="AQ862" s="49"/>
      <c r="AR862" s="49"/>
      <c r="AS862" s="49"/>
      <c r="AT862" s="49"/>
      <c r="AU862" s="49"/>
      <c r="AV862" s="49"/>
      <c r="AW862" s="49"/>
      <c r="AX862" s="49"/>
    </row>
    <row r="863">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c r="AE863" s="49"/>
      <c r="AF863" s="49"/>
      <c r="AG863" s="49"/>
      <c r="AH863" s="49"/>
      <c r="AI863" s="49"/>
      <c r="AJ863" s="49"/>
      <c r="AK863" s="49"/>
      <c r="AL863" s="49"/>
      <c r="AM863" s="49"/>
      <c r="AN863" s="49"/>
      <c r="AO863" s="49"/>
      <c r="AP863" s="49"/>
      <c r="AQ863" s="49"/>
      <c r="AR863" s="49"/>
      <c r="AS863" s="49"/>
      <c r="AT863" s="49"/>
      <c r="AU863" s="49"/>
      <c r="AV863" s="49"/>
      <c r="AW863" s="49"/>
      <c r="AX863" s="49"/>
    </row>
    <row r="864">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c r="AE864" s="49"/>
      <c r="AF864" s="49"/>
      <c r="AG864" s="49"/>
      <c r="AH864" s="49"/>
      <c r="AI864" s="49"/>
      <c r="AJ864" s="49"/>
      <c r="AK864" s="49"/>
      <c r="AL864" s="49"/>
      <c r="AM864" s="49"/>
      <c r="AN864" s="49"/>
      <c r="AO864" s="49"/>
      <c r="AP864" s="49"/>
      <c r="AQ864" s="49"/>
      <c r="AR864" s="49"/>
      <c r="AS864" s="49"/>
      <c r="AT864" s="49"/>
      <c r="AU864" s="49"/>
      <c r="AV864" s="49"/>
      <c r="AW864" s="49"/>
      <c r="AX864" s="49"/>
    </row>
    <row r="86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c r="AE865" s="49"/>
      <c r="AF865" s="49"/>
      <c r="AG865" s="49"/>
      <c r="AH865" s="49"/>
      <c r="AI865" s="49"/>
      <c r="AJ865" s="49"/>
      <c r="AK865" s="49"/>
      <c r="AL865" s="49"/>
      <c r="AM865" s="49"/>
      <c r="AN865" s="49"/>
      <c r="AO865" s="49"/>
      <c r="AP865" s="49"/>
      <c r="AQ865" s="49"/>
      <c r="AR865" s="49"/>
      <c r="AS865" s="49"/>
      <c r="AT865" s="49"/>
      <c r="AU865" s="49"/>
      <c r="AV865" s="49"/>
      <c r="AW865" s="49"/>
      <c r="AX865" s="49"/>
    </row>
    <row r="866">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c r="AE866" s="49"/>
      <c r="AF866" s="49"/>
      <c r="AG866" s="49"/>
      <c r="AH866" s="49"/>
      <c r="AI866" s="49"/>
      <c r="AJ866" s="49"/>
      <c r="AK866" s="49"/>
      <c r="AL866" s="49"/>
      <c r="AM866" s="49"/>
      <c r="AN866" s="49"/>
      <c r="AO866" s="49"/>
      <c r="AP866" s="49"/>
      <c r="AQ866" s="49"/>
      <c r="AR866" s="49"/>
      <c r="AS866" s="49"/>
      <c r="AT866" s="49"/>
      <c r="AU866" s="49"/>
      <c r="AV866" s="49"/>
      <c r="AW866" s="49"/>
      <c r="AX866" s="49"/>
    </row>
    <row r="867">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c r="AE867" s="49"/>
      <c r="AF867" s="49"/>
      <c r="AG867" s="49"/>
      <c r="AH867" s="49"/>
      <c r="AI867" s="49"/>
      <c r="AJ867" s="49"/>
      <c r="AK867" s="49"/>
      <c r="AL867" s="49"/>
      <c r="AM867" s="49"/>
      <c r="AN867" s="49"/>
      <c r="AO867" s="49"/>
      <c r="AP867" s="49"/>
      <c r="AQ867" s="49"/>
      <c r="AR867" s="49"/>
      <c r="AS867" s="49"/>
      <c r="AT867" s="49"/>
      <c r="AU867" s="49"/>
      <c r="AV867" s="49"/>
      <c r="AW867" s="49"/>
      <c r="AX867" s="49"/>
    </row>
    <row r="868">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c r="AE868" s="49"/>
      <c r="AF868" s="49"/>
      <c r="AG868" s="49"/>
      <c r="AH868" s="49"/>
      <c r="AI868" s="49"/>
      <c r="AJ868" s="49"/>
      <c r="AK868" s="49"/>
      <c r="AL868" s="49"/>
      <c r="AM868" s="49"/>
      <c r="AN868" s="49"/>
      <c r="AO868" s="49"/>
      <c r="AP868" s="49"/>
      <c r="AQ868" s="49"/>
      <c r="AR868" s="49"/>
      <c r="AS868" s="49"/>
      <c r="AT868" s="49"/>
      <c r="AU868" s="49"/>
      <c r="AV868" s="49"/>
      <c r="AW868" s="49"/>
      <c r="AX868" s="49"/>
    </row>
    <row r="869">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c r="AE869" s="49"/>
      <c r="AF869" s="49"/>
      <c r="AG869" s="49"/>
      <c r="AH869" s="49"/>
      <c r="AI869" s="49"/>
      <c r="AJ869" s="49"/>
      <c r="AK869" s="49"/>
      <c r="AL869" s="49"/>
      <c r="AM869" s="49"/>
      <c r="AN869" s="49"/>
      <c r="AO869" s="49"/>
      <c r="AP869" s="49"/>
      <c r="AQ869" s="49"/>
      <c r="AR869" s="49"/>
      <c r="AS869" s="49"/>
      <c r="AT869" s="49"/>
      <c r="AU869" s="49"/>
      <c r="AV869" s="49"/>
      <c r="AW869" s="49"/>
      <c r="AX869" s="49"/>
    </row>
    <row r="870">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c r="AF870" s="49"/>
      <c r="AG870" s="49"/>
      <c r="AH870" s="49"/>
      <c r="AI870" s="49"/>
      <c r="AJ870" s="49"/>
      <c r="AK870" s="49"/>
      <c r="AL870" s="49"/>
      <c r="AM870" s="49"/>
      <c r="AN870" s="49"/>
      <c r="AO870" s="49"/>
      <c r="AP870" s="49"/>
      <c r="AQ870" s="49"/>
      <c r="AR870" s="49"/>
      <c r="AS870" s="49"/>
      <c r="AT870" s="49"/>
      <c r="AU870" s="49"/>
      <c r="AV870" s="49"/>
      <c r="AW870" s="49"/>
      <c r="AX870" s="49"/>
    </row>
    <row r="871">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c r="AE871" s="49"/>
      <c r="AF871" s="49"/>
      <c r="AG871" s="49"/>
      <c r="AH871" s="49"/>
      <c r="AI871" s="49"/>
      <c r="AJ871" s="49"/>
      <c r="AK871" s="49"/>
      <c r="AL871" s="49"/>
      <c r="AM871" s="49"/>
      <c r="AN871" s="49"/>
      <c r="AO871" s="49"/>
      <c r="AP871" s="49"/>
      <c r="AQ871" s="49"/>
      <c r="AR871" s="49"/>
      <c r="AS871" s="49"/>
      <c r="AT871" s="49"/>
      <c r="AU871" s="49"/>
      <c r="AV871" s="49"/>
      <c r="AW871" s="49"/>
      <c r="AX871" s="49"/>
    </row>
    <row r="872">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c r="AF872" s="49"/>
      <c r="AG872" s="49"/>
      <c r="AH872" s="49"/>
      <c r="AI872" s="49"/>
      <c r="AJ872" s="49"/>
      <c r="AK872" s="49"/>
      <c r="AL872" s="49"/>
      <c r="AM872" s="49"/>
      <c r="AN872" s="49"/>
      <c r="AO872" s="49"/>
      <c r="AP872" s="49"/>
      <c r="AQ872" s="49"/>
      <c r="AR872" s="49"/>
      <c r="AS872" s="49"/>
      <c r="AT872" s="49"/>
      <c r="AU872" s="49"/>
      <c r="AV872" s="49"/>
      <c r="AW872" s="49"/>
      <c r="AX872" s="49"/>
    </row>
    <row r="873">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c r="AE873" s="49"/>
      <c r="AF873" s="49"/>
      <c r="AG873" s="49"/>
      <c r="AH873" s="49"/>
      <c r="AI873" s="49"/>
      <c r="AJ873" s="49"/>
      <c r="AK873" s="49"/>
      <c r="AL873" s="49"/>
      <c r="AM873" s="49"/>
      <c r="AN873" s="49"/>
      <c r="AO873" s="49"/>
      <c r="AP873" s="49"/>
      <c r="AQ873" s="49"/>
      <c r="AR873" s="49"/>
      <c r="AS873" s="49"/>
      <c r="AT873" s="49"/>
      <c r="AU873" s="49"/>
      <c r="AV873" s="49"/>
      <c r="AW873" s="49"/>
      <c r="AX873" s="49"/>
    </row>
    <row r="874">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c r="AE874" s="49"/>
      <c r="AF874" s="49"/>
      <c r="AG874" s="49"/>
      <c r="AH874" s="49"/>
      <c r="AI874" s="49"/>
      <c r="AJ874" s="49"/>
      <c r="AK874" s="49"/>
      <c r="AL874" s="49"/>
      <c r="AM874" s="49"/>
      <c r="AN874" s="49"/>
      <c r="AO874" s="49"/>
      <c r="AP874" s="49"/>
      <c r="AQ874" s="49"/>
      <c r="AR874" s="49"/>
      <c r="AS874" s="49"/>
      <c r="AT874" s="49"/>
      <c r="AU874" s="49"/>
      <c r="AV874" s="49"/>
      <c r="AW874" s="49"/>
      <c r="AX874" s="49"/>
    </row>
    <row r="87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c r="AE875" s="49"/>
      <c r="AF875" s="49"/>
      <c r="AG875" s="49"/>
      <c r="AH875" s="49"/>
      <c r="AI875" s="49"/>
      <c r="AJ875" s="49"/>
      <c r="AK875" s="49"/>
      <c r="AL875" s="49"/>
      <c r="AM875" s="49"/>
      <c r="AN875" s="49"/>
      <c r="AO875" s="49"/>
      <c r="AP875" s="49"/>
      <c r="AQ875" s="49"/>
      <c r="AR875" s="49"/>
      <c r="AS875" s="49"/>
      <c r="AT875" s="49"/>
      <c r="AU875" s="49"/>
      <c r="AV875" s="49"/>
      <c r="AW875" s="49"/>
      <c r="AX875" s="49"/>
    </row>
    <row r="876">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c r="AE876" s="49"/>
      <c r="AF876" s="49"/>
      <c r="AG876" s="49"/>
      <c r="AH876" s="49"/>
      <c r="AI876" s="49"/>
      <c r="AJ876" s="49"/>
      <c r="AK876" s="49"/>
      <c r="AL876" s="49"/>
      <c r="AM876" s="49"/>
      <c r="AN876" s="49"/>
      <c r="AO876" s="49"/>
      <c r="AP876" s="49"/>
      <c r="AQ876" s="49"/>
      <c r="AR876" s="49"/>
      <c r="AS876" s="49"/>
      <c r="AT876" s="49"/>
      <c r="AU876" s="49"/>
      <c r="AV876" s="49"/>
      <c r="AW876" s="49"/>
      <c r="AX876" s="49"/>
    </row>
    <row r="877">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c r="AE877" s="49"/>
      <c r="AF877" s="49"/>
      <c r="AG877" s="49"/>
      <c r="AH877" s="49"/>
      <c r="AI877" s="49"/>
      <c r="AJ877" s="49"/>
      <c r="AK877" s="49"/>
      <c r="AL877" s="49"/>
      <c r="AM877" s="49"/>
      <c r="AN877" s="49"/>
      <c r="AO877" s="49"/>
      <c r="AP877" s="49"/>
      <c r="AQ877" s="49"/>
      <c r="AR877" s="49"/>
      <c r="AS877" s="49"/>
      <c r="AT877" s="49"/>
      <c r="AU877" s="49"/>
      <c r="AV877" s="49"/>
      <c r="AW877" s="49"/>
      <c r="AX877" s="49"/>
    </row>
    <row r="878">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c r="AE878" s="49"/>
      <c r="AF878" s="49"/>
      <c r="AG878" s="49"/>
      <c r="AH878" s="49"/>
      <c r="AI878" s="49"/>
      <c r="AJ878" s="49"/>
      <c r="AK878" s="49"/>
      <c r="AL878" s="49"/>
      <c r="AM878" s="49"/>
      <c r="AN878" s="49"/>
      <c r="AO878" s="49"/>
      <c r="AP878" s="49"/>
      <c r="AQ878" s="49"/>
      <c r="AR878" s="49"/>
      <c r="AS878" s="49"/>
      <c r="AT878" s="49"/>
      <c r="AU878" s="49"/>
      <c r="AV878" s="49"/>
      <c r="AW878" s="49"/>
      <c r="AX878" s="49"/>
    </row>
    <row r="879">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c r="AE879" s="49"/>
      <c r="AF879" s="49"/>
      <c r="AG879" s="49"/>
      <c r="AH879" s="49"/>
      <c r="AI879" s="49"/>
      <c r="AJ879" s="49"/>
      <c r="AK879" s="49"/>
      <c r="AL879" s="49"/>
      <c r="AM879" s="49"/>
      <c r="AN879" s="49"/>
      <c r="AO879" s="49"/>
      <c r="AP879" s="49"/>
      <c r="AQ879" s="49"/>
      <c r="AR879" s="49"/>
      <c r="AS879" s="49"/>
      <c r="AT879" s="49"/>
      <c r="AU879" s="49"/>
      <c r="AV879" s="49"/>
      <c r="AW879" s="49"/>
      <c r="AX879" s="49"/>
    </row>
    <row r="880">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c r="AE880" s="49"/>
      <c r="AF880" s="49"/>
      <c r="AG880" s="49"/>
      <c r="AH880" s="49"/>
      <c r="AI880" s="49"/>
      <c r="AJ880" s="49"/>
      <c r="AK880" s="49"/>
      <c r="AL880" s="49"/>
      <c r="AM880" s="49"/>
      <c r="AN880" s="49"/>
      <c r="AO880" s="49"/>
      <c r="AP880" s="49"/>
      <c r="AQ880" s="49"/>
      <c r="AR880" s="49"/>
      <c r="AS880" s="49"/>
      <c r="AT880" s="49"/>
      <c r="AU880" s="49"/>
      <c r="AV880" s="49"/>
      <c r="AW880" s="49"/>
      <c r="AX880" s="49"/>
    </row>
    <row r="881">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c r="AE881" s="49"/>
      <c r="AF881" s="49"/>
      <c r="AG881" s="49"/>
      <c r="AH881" s="49"/>
      <c r="AI881" s="49"/>
      <c r="AJ881" s="49"/>
      <c r="AK881" s="49"/>
      <c r="AL881" s="49"/>
      <c r="AM881" s="49"/>
      <c r="AN881" s="49"/>
      <c r="AO881" s="49"/>
      <c r="AP881" s="49"/>
      <c r="AQ881" s="49"/>
      <c r="AR881" s="49"/>
      <c r="AS881" s="49"/>
      <c r="AT881" s="49"/>
      <c r="AU881" s="49"/>
      <c r="AV881" s="49"/>
      <c r="AW881" s="49"/>
      <c r="AX881" s="49"/>
    </row>
    <row r="882">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c r="AF882" s="49"/>
      <c r="AG882" s="49"/>
      <c r="AH882" s="49"/>
      <c r="AI882" s="49"/>
      <c r="AJ882" s="49"/>
      <c r="AK882" s="49"/>
      <c r="AL882" s="49"/>
      <c r="AM882" s="49"/>
      <c r="AN882" s="49"/>
      <c r="AO882" s="49"/>
      <c r="AP882" s="49"/>
      <c r="AQ882" s="49"/>
      <c r="AR882" s="49"/>
      <c r="AS882" s="49"/>
      <c r="AT882" s="49"/>
      <c r="AU882" s="49"/>
      <c r="AV882" s="49"/>
      <c r="AW882" s="49"/>
      <c r="AX882" s="49"/>
    </row>
    <row r="883">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c r="AF883" s="49"/>
      <c r="AG883" s="49"/>
      <c r="AH883" s="49"/>
      <c r="AI883" s="49"/>
      <c r="AJ883" s="49"/>
      <c r="AK883" s="49"/>
      <c r="AL883" s="49"/>
      <c r="AM883" s="49"/>
      <c r="AN883" s="49"/>
      <c r="AO883" s="49"/>
      <c r="AP883" s="49"/>
      <c r="AQ883" s="49"/>
      <c r="AR883" s="49"/>
      <c r="AS883" s="49"/>
      <c r="AT883" s="49"/>
      <c r="AU883" s="49"/>
      <c r="AV883" s="49"/>
      <c r="AW883" s="49"/>
      <c r="AX883" s="49"/>
    </row>
    <row r="884">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c r="AF884" s="49"/>
      <c r="AG884" s="49"/>
      <c r="AH884" s="49"/>
      <c r="AI884" s="49"/>
      <c r="AJ884" s="49"/>
      <c r="AK884" s="49"/>
      <c r="AL884" s="49"/>
      <c r="AM884" s="49"/>
      <c r="AN884" s="49"/>
      <c r="AO884" s="49"/>
      <c r="AP884" s="49"/>
      <c r="AQ884" s="49"/>
      <c r="AR884" s="49"/>
      <c r="AS884" s="49"/>
      <c r="AT884" s="49"/>
      <c r="AU884" s="49"/>
      <c r="AV884" s="49"/>
      <c r="AW884" s="49"/>
      <c r="AX884" s="49"/>
    </row>
    <row r="88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c r="AF885" s="49"/>
      <c r="AG885" s="49"/>
      <c r="AH885" s="49"/>
      <c r="AI885" s="49"/>
      <c r="AJ885" s="49"/>
      <c r="AK885" s="49"/>
      <c r="AL885" s="49"/>
      <c r="AM885" s="49"/>
      <c r="AN885" s="49"/>
      <c r="AO885" s="49"/>
      <c r="AP885" s="49"/>
      <c r="AQ885" s="49"/>
      <c r="AR885" s="49"/>
      <c r="AS885" s="49"/>
      <c r="AT885" s="49"/>
      <c r="AU885" s="49"/>
      <c r="AV885" s="49"/>
      <c r="AW885" s="49"/>
      <c r="AX885" s="49"/>
    </row>
    <row r="886">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c r="AF886" s="49"/>
      <c r="AG886" s="49"/>
      <c r="AH886" s="49"/>
      <c r="AI886" s="49"/>
      <c r="AJ886" s="49"/>
      <c r="AK886" s="49"/>
      <c r="AL886" s="49"/>
      <c r="AM886" s="49"/>
      <c r="AN886" s="49"/>
      <c r="AO886" s="49"/>
      <c r="AP886" s="49"/>
      <c r="AQ886" s="49"/>
      <c r="AR886" s="49"/>
      <c r="AS886" s="49"/>
      <c r="AT886" s="49"/>
      <c r="AU886" s="49"/>
      <c r="AV886" s="49"/>
      <c r="AW886" s="49"/>
      <c r="AX886" s="49"/>
    </row>
    <row r="887">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c r="AF887" s="49"/>
      <c r="AG887" s="49"/>
      <c r="AH887" s="49"/>
      <c r="AI887" s="49"/>
      <c r="AJ887" s="49"/>
      <c r="AK887" s="49"/>
      <c r="AL887" s="49"/>
      <c r="AM887" s="49"/>
      <c r="AN887" s="49"/>
      <c r="AO887" s="49"/>
      <c r="AP887" s="49"/>
      <c r="AQ887" s="49"/>
      <c r="AR887" s="49"/>
      <c r="AS887" s="49"/>
      <c r="AT887" s="49"/>
      <c r="AU887" s="49"/>
      <c r="AV887" s="49"/>
      <c r="AW887" s="49"/>
      <c r="AX887" s="49"/>
    </row>
    <row r="888">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c r="AF888" s="49"/>
      <c r="AG888" s="49"/>
      <c r="AH888" s="49"/>
      <c r="AI888" s="49"/>
      <c r="AJ888" s="49"/>
      <c r="AK888" s="49"/>
      <c r="AL888" s="49"/>
      <c r="AM888" s="49"/>
      <c r="AN888" s="49"/>
      <c r="AO888" s="49"/>
      <c r="AP888" s="49"/>
      <c r="AQ888" s="49"/>
      <c r="AR888" s="49"/>
      <c r="AS888" s="49"/>
      <c r="AT888" s="49"/>
      <c r="AU888" s="49"/>
      <c r="AV888" s="49"/>
      <c r="AW888" s="49"/>
      <c r="AX888" s="49"/>
    </row>
    <row r="889">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c r="AF889" s="49"/>
      <c r="AG889" s="49"/>
      <c r="AH889" s="49"/>
      <c r="AI889" s="49"/>
      <c r="AJ889" s="49"/>
      <c r="AK889" s="49"/>
      <c r="AL889" s="49"/>
      <c r="AM889" s="49"/>
      <c r="AN889" s="49"/>
      <c r="AO889" s="49"/>
      <c r="AP889" s="49"/>
      <c r="AQ889" s="49"/>
      <c r="AR889" s="49"/>
      <c r="AS889" s="49"/>
      <c r="AT889" s="49"/>
      <c r="AU889" s="49"/>
      <c r="AV889" s="49"/>
      <c r="AW889" s="49"/>
      <c r="AX889" s="49"/>
    </row>
    <row r="890">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c r="AF890" s="49"/>
      <c r="AG890" s="49"/>
      <c r="AH890" s="49"/>
      <c r="AI890" s="49"/>
      <c r="AJ890" s="49"/>
      <c r="AK890" s="49"/>
      <c r="AL890" s="49"/>
      <c r="AM890" s="49"/>
      <c r="AN890" s="49"/>
      <c r="AO890" s="49"/>
      <c r="AP890" s="49"/>
      <c r="AQ890" s="49"/>
      <c r="AR890" s="49"/>
      <c r="AS890" s="49"/>
      <c r="AT890" s="49"/>
      <c r="AU890" s="49"/>
      <c r="AV890" s="49"/>
      <c r="AW890" s="49"/>
      <c r="AX890" s="49"/>
    </row>
    <row r="891">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c r="AF891" s="49"/>
      <c r="AG891" s="49"/>
      <c r="AH891" s="49"/>
      <c r="AI891" s="49"/>
      <c r="AJ891" s="49"/>
      <c r="AK891" s="49"/>
      <c r="AL891" s="49"/>
      <c r="AM891" s="49"/>
      <c r="AN891" s="49"/>
      <c r="AO891" s="49"/>
      <c r="AP891" s="49"/>
      <c r="AQ891" s="49"/>
      <c r="AR891" s="49"/>
      <c r="AS891" s="49"/>
      <c r="AT891" s="49"/>
      <c r="AU891" s="49"/>
      <c r="AV891" s="49"/>
      <c r="AW891" s="49"/>
      <c r="AX891" s="49"/>
    </row>
    <row r="892">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c r="AF892" s="49"/>
      <c r="AG892" s="49"/>
      <c r="AH892" s="49"/>
      <c r="AI892" s="49"/>
      <c r="AJ892" s="49"/>
      <c r="AK892" s="49"/>
      <c r="AL892" s="49"/>
      <c r="AM892" s="49"/>
      <c r="AN892" s="49"/>
      <c r="AO892" s="49"/>
      <c r="AP892" s="49"/>
      <c r="AQ892" s="49"/>
      <c r="AR892" s="49"/>
      <c r="AS892" s="49"/>
      <c r="AT892" s="49"/>
      <c r="AU892" s="49"/>
      <c r="AV892" s="49"/>
      <c r="AW892" s="49"/>
      <c r="AX892" s="49"/>
    </row>
    <row r="893">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c r="AF893" s="49"/>
      <c r="AG893" s="49"/>
      <c r="AH893" s="49"/>
      <c r="AI893" s="49"/>
      <c r="AJ893" s="49"/>
      <c r="AK893" s="49"/>
      <c r="AL893" s="49"/>
      <c r="AM893" s="49"/>
      <c r="AN893" s="49"/>
      <c r="AO893" s="49"/>
      <c r="AP893" s="49"/>
      <c r="AQ893" s="49"/>
      <c r="AR893" s="49"/>
      <c r="AS893" s="49"/>
      <c r="AT893" s="49"/>
      <c r="AU893" s="49"/>
      <c r="AV893" s="49"/>
      <c r="AW893" s="49"/>
      <c r="AX893" s="49"/>
    </row>
    <row r="894">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c r="AE894" s="49"/>
      <c r="AF894" s="49"/>
      <c r="AG894" s="49"/>
      <c r="AH894" s="49"/>
      <c r="AI894" s="49"/>
      <c r="AJ894" s="49"/>
      <c r="AK894" s="49"/>
      <c r="AL894" s="49"/>
      <c r="AM894" s="49"/>
      <c r="AN894" s="49"/>
      <c r="AO894" s="49"/>
      <c r="AP894" s="49"/>
      <c r="AQ894" s="49"/>
      <c r="AR894" s="49"/>
      <c r="AS894" s="49"/>
      <c r="AT894" s="49"/>
      <c r="AU894" s="49"/>
      <c r="AV894" s="49"/>
      <c r="AW894" s="49"/>
      <c r="AX894" s="49"/>
    </row>
    <row r="89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c r="AF895" s="49"/>
      <c r="AG895" s="49"/>
      <c r="AH895" s="49"/>
      <c r="AI895" s="49"/>
      <c r="AJ895" s="49"/>
      <c r="AK895" s="49"/>
      <c r="AL895" s="49"/>
      <c r="AM895" s="49"/>
      <c r="AN895" s="49"/>
      <c r="AO895" s="49"/>
      <c r="AP895" s="49"/>
      <c r="AQ895" s="49"/>
      <c r="AR895" s="49"/>
      <c r="AS895" s="49"/>
      <c r="AT895" s="49"/>
      <c r="AU895" s="49"/>
      <c r="AV895" s="49"/>
      <c r="AW895" s="49"/>
      <c r="AX895" s="49"/>
    </row>
    <row r="896">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c r="AF896" s="49"/>
      <c r="AG896" s="49"/>
      <c r="AH896" s="49"/>
      <c r="AI896" s="49"/>
      <c r="AJ896" s="49"/>
      <c r="AK896" s="49"/>
      <c r="AL896" s="49"/>
      <c r="AM896" s="49"/>
      <c r="AN896" s="49"/>
      <c r="AO896" s="49"/>
      <c r="AP896" s="49"/>
      <c r="AQ896" s="49"/>
      <c r="AR896" s="49"/>
      <c r="AS896" s="49"/>
      <c r="AT896" s="49"/>
      <c r="AU896" s="49"/>
      <c r="AV896" s="49"/>
      <c r="AW896" s="49"/>
      <c r="AX896" s="49"/>
    </row>
    <row r="897">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c r="AF897" s="49"/>
      <c r="AG897" s="49"/>
      <c r="AH897" s="49"/>
      <c r="AI897" s="49"/>
      <c r="AJ897" s="49"/>
      <c r="AK897" s="49"/>
      <c r="AL897" s="49"/>
      <c r="AM897" s="49"/>
      <c r="AN897" s="49"/>
      <c r="AO897" s="49"/>
      <c r="AP897" s="49"/>
      <c r="AQ897" s="49"/>
      <c r="AR897" s="49"/>
      <c r="AS897" s="49"/>
      <c r="AT897" s="49"/>
      <c r="AU897" s="49"/>
      <c r="AV897" s="49"/>
      <c r="AW897" s="49"/>
      <c r="AX897" s="49"/>
    </row>
    <row r="898">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c r="AF898" s="49"/>
      <c r="AG898" s="49"/>
      <c r="AH898" s="49"/>
      <c r="AI898" s="49"/>
      <c r="AJ898" s="49"/>
      <c r="AK898" s="49"/>
      <c r="AL898" s="49"/>
      <c r="AM898" s="49"/>
      <c r="AN898" s="49"/>
      <c r="AO898" s="49"/>
      <c r="AP898" s="49"/>
      <c r="AQ898" s="49"/>
      <c r="AR898" s="49"/>
      <c r="AS898" s="49"/>
      <c r="AT898" s="49"/>
      <c r="AU898" s="49"/>
      <c r="AV898" s="49"/>
      <c r="AW898" s="49"/>
      <c r="AX898" s="49"/>
    </row>
    <row r="899">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c r="AF899" s="49"/>
      <c r="AG899" s="49"/>
      <c r="AH899" s="49"/>
      <c r="AI899" s="49"/>
      <c r="AJ899" s="49"/>
      <c r="AK899" s="49"/>
      <c r="AL899" s="49"/>
      <c r="AM899" s="49"/>
      <c r="AN899" s="49"/>
      <c r="AO899" s="49"/>
      <c r="AP899" s="49"/>
      <c r="AQ899" s="49"/>
      <c r="AR899" s="49"/>
      <c r="AS899" s="49"/>
      <c r="AT899" s="49"/>
      <c r="AU899" s="49"/>
      <c r="AV899" s="49"/>
      <c r="AW899" s="49"/>
      <c r="AX899" s="49"/>
    </row>
    <row r="900">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c r="AF900" s="49"/>
      <c r="AG900" s="49"/>
      <c r="AH900" s="49"/>
      <c r="AI900" s="49"/>
      <c r="AJ900" s="49"/>
      <c r="AK900" s="49"/>
      <c r="AL900" s="49"/>
      <c r="AM900" s="49"/>
      <c r="AN900" s="49"/>
      <c r="AO900" s="49"/>
      <c r="AP900" s="49"/>
      <c r="AQ900" s="49"/>
      <c r="AR900" s="49"/>
      <c r="AS900" s="49"/>
      <c r="AT900" s="49"/>
      <c r="AU900" s="49"/>
      <c r="AV900" s="49"/>
      <c r="AW900" s="49"/>
      <c r="AX900" s="49"/>
    </row>
    <row r="901">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c r="AF901" s="49"/>
      <c r="AG901" s="49"/>
      <c r="AH901" s="49"/>
      <c r="AI901" s="49"/>
      <c r="AJ901" s="49"/>
      <c r="AK901" s="49"/>
      <c r="AL901" s="49"/>
      <c r="AM901" s="49"/>
      <c r="AN901" s="49"/>
      <c r="AO901" s="49"/>
      <c r="AP901" s="49"/>
      <c r="AQ901" s="49"/>
      <c r="AR901" s="49"/>
      <c r="AS901" s="49"/>
      <c r="AT901" s="49"/>
      <c r="AU901" s="49"/>
      <c r="AV901" s="49"/>
      <c r="AW901" s="49"/>
      <c r="AX901" s="49"/>
    </row>
    <row r="902">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c r="AF902" s="49"/>
      <c r="AG902" s="49"/>
      <c r="AH902" s="49"/>
      <c r="AI902" s="49"/>
      <c r="AJ902" s="49"/>
      <c r="AK902" s="49"/>
      <c r="AL902" s="49"/>
      <c r="AM902" s="49"/>
      <c r="AN902" s="49"/>
      <c r="AO902" s="49"/>
      <c r="AP902" s="49"/>
      <c r="AQ902" s="49"/>
      <c r="AR902" s="49"/>
      <c r="AS902" s="49"/>
      <c r="AT902" s="49"/>
      <c r="AU902" s="49"/>
      <c r="AV902" s="49"/>
      <c r="AW902" s="49"/>
      <c r="AX902" s="49"/>
    </row>
    <row r="903">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c r="AF903" s="49"/>
      <c r="AG903" s="49"/>
      <c r="AH903" s="49"/>
      <c r="AI903" s="49"/>
      <c r="AJ903" s="49"/>
      <c r="AK903" s="49"/>
      <c r="AL903" s="49"/>
      <c r="AM903" s="49"/>
      <c r="AN903" s="49"/>
      <c r="AO903" s="49"/>
      <c r="AP903" s="49"/>
      <c r="AQ903" s="49"/>
      <c r="AR903" s="49"/>
      <c r="AS903" s="49"/>
      <c r="AT903" s="49"/>
      <c r="AU903" s="49"/>
      <c r="AV903" s="49"/>
      <c r="AW903" s="49"/>
      <c r="AX903" s="49"/>
    </row>
    <row r="904">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c r="AF904" s="49"/>
      <c r="AG904" s="49"/>
      <c r="AH904" s="49"/>
      <c r="AI904" s="49"/>
      <c r="AJ904" s="49"/>
      <c r="AK904" s="49"/>
      <c r="AL904" s="49"/>
      <c r="AM904" s="49"/>
      <c r="AN904" s="49"/>
      <c r="AO904" s="49"/>
      <c r="AP904" s="49"/>
      <c r="AQ904" s="49"/>
      <c r="AR904" s="49"/>
      <c r="AS904" s="49"/>
      <c r="AT904" s="49"/>
      <c r="AU904" s="49"/>
      <c r="AV904" s="49"/>
      <c r="AW904" s="49"/>
      <c r="AX904" s="49"/>
    </row>
    <row r="90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c r="AF905" s="49"/>
      <c r="AG905" s="49"/>
      <c r="AH905" s="49"/>
      <c r="AI905" s="49"/>
      <c r="AJ905" s="49"/>
      <c r="AK905" s="49"/>
      <c r="AL905" s="49"/>
      <c r="AM905" s="49"/>
      <c r="AN905" s="49"/>
      <c r="AO905" s="49"/>
      <c r="AP905" s="49"/>
      <c r="AQ905" s="49"/>
      <c r="AR905" s="49"/>
      <c r="AS905" s="49"/>
      <c r="AT905" s="49"/>
      <c r="AU905" s="49"/>
      <c r="AV905" s="49"/>
      <c r="AW905" s="49"/>
      <c r="AX905" s="49"/>
    </row>
    <row r="906">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c r="AF906" s="49"/>
      <c r="AG906" s="49"/>
      <c r="AH906" s="49"/>
      <c r="AI906" s="49"/>
      <c r="AJ906" s="49"/>
      <c r="AK906" s="49"/>
      <c r="AL906" s="49"/>
      <c r="AM906" s="49"/>
      <c r="AN906" s="49"/>
      <c r="AO906" s="49"/>
      <c r="AP906" s="49"/>
      <c r="AQ906" s="49"/>
      <c r="AR906" s="49"/>
      <c r="AS906" s="49"/>
      <c r="AT906" s="49"/>
      <c r="AU906" s="49"/>
      <c r="AV906" s="49"/>
      <c r="AW906" s="49"/>
      <c r="AX906" s="49"/>
    </row>
    <row r="907">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c r="AF907" s="49"/>
      <c r="AG907" s="49"/>
      <c r="AH907" s="49"/>
      <c r="AI907" s="49"/>
      <c r="AJ907" s="49"/>
      <c r="AK907" s="49"/>
      <c r="AL907" s="49"/>
      <c r="AM907" s="49"/>
      <c r="AN907" s="49"/>
      <c r="AO907" s="49"/>
      <c r="AP907" s="49"/>
      <c r="AQ907" s="49"/>
      <c r="AR907" s="49"/>
      <c r="AS907" s="49"/>
      <c r="AT907" s="49"/>
      <c r="AU907" s="49"/>
      <c r="AV907" s="49"/>
      <c r="AW907" s="49"/>
      <c r="AX907" s="49"/>
    </row>
    <row r="908">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c r="AF908" s="49"/>
      <c r="AG908" s="49"/>
      <c r="AH908" s="49"/>
      <c r="AI908" s="49"/>
      <c r="AJ908" s="49"/>
      <c r="AK908" s="49"/>
      <c r="AL908" s="49"/>
      <c r="AM908" s="49"/>
      <c r="AN908" s="49"/>
      <c r="AO908" s="49"/>
      <c r="AP908" s="49"/>
      <c r="AQ908" s="49"/>
      <c r="AR908" s="49"/>
      <c r="AS908" s="49"/>
      <c r="AT908" s="49"/>
      <c r="AU908" s="49"/>
      <c r="AV908" s="49"/>
      <c r="AW908" s="49"/>
      <c r="AX908" s="49"/>
    </row>
    <row r="909">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c r="AF909" s="49"/>
      <c r="AG909" s="49"/>
      <c r="AH909" s="49"/>
      <c r="AI909" s="49"/>
      <c r="AJ909" s="49"/>
      <c r="AK909" s="49"/>
      <c r="AL909" s="49"/>
      <c r="AM909" s="49"/>
      <c r="AN909" s="49"/>
      <c r="AO909" s="49"/>
      <c r="AP909" s="49"/>
      <c r="AQ909" s="49"/>
      <c r="AR909" s="49"/>
      <c r="AS909" s="49"/>
      <c r="AT909" s="49"/>
      <c r="AU909" s="49"/>
      <c r="AV909" s="49"/>
      <c r="AW909" s="49"/>
      <c r="AX909" s="49"/>
    </row>
    <row r="910">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c r="AF910" s="49"/>
      <c r="AG910" s="49"/>
      <c r="AH910" s="49"/>
      <c r="AI910" s="49"/>
      <c r="AJ910" s="49"/>
      <c r="AK910" s="49"/>
      <c r="AL910" s="49"/>
      <c r="AM910" s="49"/>
      <c r="AN910" s="49"/>
      <c r="AO910" s="49"/>
      <c r="AP910" s="49"/>
      <c r="AQ910" s="49"/>
      <c r="AR910" s="49"/>
      <c r="AS910" s="49"/>
      <c r="AT910" s="49"/>
      <c r="AU910" s="49"/>
      <c r="AV910" s="49"/>
      <c r="AW910" s="49"/>
      <c r="AX910" s="49"/>
    </row>
    <row r="911">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c r="AF911" s="49"/>
      <c r="AG911" s="49"/>
      <c r="AH911" s="49"/>
      <c r="AI911" s="49"/>
      <c r="AJ911" s="49"/>
      <c r="AK911" s="49"/>
      <c r="AL911" s="49"/>
      <c r="AM911" s="49"/>
      <c r="AN911" s="49"/>
      <c r="AO911" s="49"/>
      <c r="AP911" s="49"/>
      <c r="AQ911" s="49"/>
      <c r="AR911" s="49"/>
      <c r="AS911" s="49"/>
      <c r="AT911" s="49"/>
      <c r="AU911" s="49"/>
      <c r="AV911" s="49"/>
      <c r="AW911" s="49"/>
      <c r="AX911" s="49"/>
    </row>
    <row r="912">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c r="AF912" s="49"/>
      <c r="AG912" s="49"/>
      <c r="AH912" s="49"/>
      <c r="AI912" s="49"/>
      <c r="AJ912" s="49"/>
      <c r="AK912" s="49"/>
      <c r="AL912" s="49"/>
      <c r="AM912" s="49"/>
      <c r="AN912" s="49"/>
      <c r="AO912" s="49"/>
      <c r="AP912" s="49"/>
      <c r="AQ912" s="49"/>
      <c r="AR912" s="49"/>
      <c r="AS912" s="49"/>
      <c r="AT912" s="49"/>
      <c r="AU912" s="49"/>
      <c r="AV912" s="49"/>
      <c r="AW912" s="49"/>
      <c r="AX912" s="49"/>
    </row>
    <row r="913">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c r="AF913" s="49"/>
      <c r="AG913" s="49"/>
      <c r="AH913" s="49"/>
      <c r="AI913" s="49"/>
      <c r="AJ913" s="49"/>
      <c r="AK913" s="49"/>
      <c r="AL913" s="49"/>
      <c r="AM913" s="49"/>
      <c r="AN913" s="49"/>
      <c r="AO913" s="49"/>
      <c r="AP913" s="49"/>
      <c r="AQ913" s="49"/>
      <c r="AR913" s="49"/>
      <c r="AS913" s="49"/>
      <c r="AT913" s="49"/>
      <c r="AU913" s="49"/>
      <c r="AV913" s="49"/>
      <c r="AW913" s="49"/>
      <c r="AX913" s="49"/>
    </row>
    <row r="914">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c r="AF914" s="49"/>
      <c r="AG914" s="49"/>
      <c r="AH914" s="49"/>
      <c r="AI914" s="49"/>
      <c r="AJ914" s="49"/>
      <c r="AK914" s="49"/>
      <c r="AL914" s="49"/>
      <c r="AM914" s="49"/>
      <c r="AN914" s="49"/>
      <c r="AO914" s="49"/>
      <c r="AP914" s="49"/>
      <c r="AQ914" s="49"/>
      <c r="AR914" s="49"/>
      <c r="AS914" s="49"/>
      <c r="AT914" s="49"/>
      <c r="AU914" s="49"/>
      <c r="AV914" s="49"/>
      <c r="AW914" s="49"/>
      <c r="AX914" s="49"/>
    </row>
    <row r="91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c r="AF915" s="49"/>
      <c r="AG915" s="49"/>
      <c r="AH915" s="49"/>
      <c r="AI915" s="49"/>
      <c r="AJ915" s="49"/>
      <c r="AK915" s="49"/>
      <c r="AL915" s="49"/>
      <c r="AM915" s="49"/>
      <c r="AN915" s="49"/>
      <c r="AO915" s="49"/>
      <c r="AP915" s="49"/>
      <c r="AQ915" s="49"/>
      <c r="AR915" s="49"/>
      <c r="AS915" s="49"/>
      <c r="AT915" s="49"/>
      <c r="AU915" s="49"/>
      <c r="AV915" s="49"/>
      <c r="AW915" s="49"/>
      <c r="AX915" s="49"/>
    </row>
    <row r="916">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c r="AF916" s="49"/>
      <c r="AG916" s="49"/>
      <c r="AH916" s="49"/>
      <c r="AI916" s="49"/>
      <c r="AJ916" s="49"/>
      <c r="AK916" s="49"/>
      <c r="AL916" s="49"/>
      <c r="AM916" s="49"/>
      <c r="AN916" s="49"/>
      <c r="AO916" s="49"/>
      <c r="AP916" s="49"/>
      <c r="AQ916" s="49"/>
      <c r="AR916" s="49"/>
      <c r="AS916" s="49"/>
      <c r="AT916" s="49"/>
      <c r="AU916" s="49"/>
      <c r="AV916" s="49"/>
      <c r="AW916" s="49"/>
      <c r="AX916" s="49"/>
    </row>
    <row r="917">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c r="AF917" s="49"/>
      <c r="AG917" s="49"/>
      <c r="AH917" s="49"/>
      <c r="AI917" s="49"/>
      <c r="AJ917" s="49"/>
      <c r="AK917" s="49"/>
      <c r="AL917" s="49"/>
      <c r="AM917" s="49"/>
      <c r="AN917" s="49"/>
      <c r="AO917" s="49"/>
      <c r="AP917" s="49"/>
      <c r="AQ917" s="49"/>
      <c r="AR917" s="49"/>
      <c r="AS917" s="49"/>
      <c r="AT917" s="49"/>
      <c r="AU917" s="49"/>
      <c r="AV917" s="49"/>
      <c r="AW917" s="49"/>
      <c r="AX917" s="49"/>
    </row>
    <row r="918">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c r="AF918" s="49"/>
      <c r="AG918" s="49"/>
      <c r="AH918" s="49"/>
      <c r="AI918" s="49"/>
      <c r="AJ918" s="49"/>
      <c r="AK918" s="49"/>
      <c r="AL918" s="49"/>
      <c r="AM918" s="49"/>
      <c r="AN918" s="49"/>
      <c r="AO918" s="49"/>
      <c r="AP918" s="49"/>
      <c r="AQ918" s="49"/>
      <c r="AR918" s="49"/>
      <c r="AS918" s="49"/>
      <c r="AT918" s="49"/>
      <c r="AU918" s="49"/>
      <c r="AV918" s="49"/>
      <c r="AW918" s="49"/>
      <c r="AX918" s="49"/>
    </row>
    <row r="919">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c r="AF919" s="49"/>
      <c r="AG919" s="49"/>
      <c r="AH919" s="49"/>
      <c r="AI919" s="49"/>
      <c r="AJ919" s="49"/>
      <c r="AK919" s="49"/>
      <c r="AL919" s="49"/>
      <c r="AM919" s="49"/>
      <c r="AN919" s="49"/>
      <c r="AO919" s="49"/>
      <c r="AP919" s="49"/>
      <c r="AQ919" s="49"/>
      <c r="AR919" s="49"/>
      <c r="AS919" s="49"/>
      <c r="AT919" s="49"/>
      <c r="AU919" s="49"/>
      <c r="AV919" s="49"/>
      <c r="AW919" s="49"/>
      <c r="AX919" s="49"/>
    </row>
    <row r="920">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c r="AF920" s="49"/>
      <c r="AG920" s="49"/>
      <c r="AH920" s="49"/>
      <c r="AI920" s="49"/>
      <c r="AJ920" s="49"/>
      <c r="AK920" s="49"/>
      <c r="AL920" s="49"/>
      <c r="AM920" s="49"/>
      <c r="AN920" s="49"/>
      <c r="AO920" s="49"/>
      <c r="AP920" s="49"/>
      <c r="AQ920" s="49"/>
      <c r="AR920" s="49"/>
      <c r="AS920" s="49"/>
      <c r="AT920" s="49"/>
      <c r="AU920" s="49"/>
      <c r="AV920" s="49"/>
      <c r="AW920" s="49"/>
      <c r="AX920" s="49"/>
    </row>
    <row r="921">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c r="AF921" s="49"/>
      <c r="AG921" s="49"/>
      <c r="AH921" s="49"/>
      <c r="AI921" s="49"/>
      <c r="AJ921" s="49"/>
      <c r="AK921" s="49"/>
      <c r="AL921" s="49"/>
      <c r="AM921" s="49"/>
      <c r="AN921" s="49"/>
      <c r="AO921" s="49"/>
      <c r="AP921" s="49"/>
      <c r="AQ921" s="49"/>
      <c r="AR921" s="49"/>
      <c r="AS921" s="49"/>
      <c r="AT921" s="49"/>
      <c r="AU921" s="49"/>
      <c r="AV921" s="49"/>
      <c r="AW921" s="49"/>
      <c r="AX921" s="49"/>
    </row>
    <row r="922">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c r="AF922" s="49"/>
      <c r="AG922" s="49"/>
      <c r="AH922" s="49"/>
      <c r="AI922" s="49"/>
      <c r="AJ922" s="49"/>
      <c r="AK922" s="49"/>
      <c r="AL922" s="49"/>
      <c r="AM922" s="49"/>
      <c r="AN922" s="49"/>
      <c r="AO922" s="49"/>
      <c r="AP922" s="49"/>
      <c r="AQ922" s="49"/>
      <c r="AR922" s="49"/>
      <c r="AS922" s="49"/>
      <c r="AT922" s="49"/>
      <c r="AU922" s="49"/>
      <c r="AV922" s="49"/>
      <c r="AW922" s="49"/>
      <c r="AX922" s="49"/>
    </row>
    <row r="923">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c r="AF923" s="49"/>
      <c r="AG923" s="49"/>
      <c r="AH923" s="49"/>
      <c r="AI923" s="49"/>
      <c r="AJ923" s="49"/>
      <c r="AK923" s="49"/>
      <c r="AL923" s="49"/>
      <c r="AM923" s="49"/>
      <c r="AN923" s="49"/>
      <c r="AO923" s="49"/>
      <c r="AP923" s="49"/>
      <c r="AQ923" s="49"/>
      <c r="AR923" s="49"/>
      <c r="AS923" s="49"/>
      <c r="AT923" s="49"/>
      <c r="AU923" s="49"/>
      <c r="AV923" s="49"/>
      <c r="AW923" s="49"/>
      <c r="AX923" s="49"/>
    </row>
    <row r="924">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c r="AF924" s="49"/>
      <c r="AG924" s="49"/>
      <c r="AH924" s="49"/>
      <c r="AI924" s="49"/>
      <c r="AJ924" s="49"/>
      <c r="AK924" s="49"/>
      <c r="AL924" s="49"/>
      <c r="AM924" s="49"/>
      <c r="AN924" s="49"/>
      <c r="AO924" s="49"/>
      <c r="AP924" s="49"/>
      <c r="AQ924" s="49"/>
      <c r="AR924" s="49"/>
      <c r="AS924" s="49"/>
      <c r="AT924" s="49"/>
      <c r="AU924" s="49"/>
      <c r="AV924" s="49"/>
      <c r="AW924" s="49"/>
      <c r="AX924" s="49"/>
    </row>
    <row r="9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c r="AF925" s="49"/>
      <c r="AG925" s="49"/>
      <c r="AH925" s="49"/>
      <c r="AI925" s="49"/>
      <c r="AJ925" s="49"/>
      <c r="AK925" s="49"/>
      <c r="AL925" s="49"/>
      <c r="AM925" s="49"/>
      <c r="AN925" s="49"/>
      <c r="AO925" s="49"/>
      <c r="AP925" s="49"/>
      <c r="AQ925" s="49"/>
      <c r="AR925" s="49"/>
      <c r="AS925" s="49"/>
      <c r="AT925" s="49"/>
      <c r="AU925" s="49"/>
      <c r="AV925" s="49"/>
      <c r="AW925" s="49"/>
      <c r="AX925" s="49"/>
    </row>
    <row r="926">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c r="AF926" s="49"/>
      <c r="AG926" s="49"/>
      <c r="AH926" s="49"/>
      <c r="AI926" s="49"/>
      <c r="AJ926" s="49"/>
      <c r="AK926" s="49"/>
      <c r="AL926" s="49"/>
      <c r="AM926" s="49"/>
      <c r="AN926" s="49"/>
      <c r="AO926" s="49"/>
      <c r="AP926" s="49"/>
      <c r="AQ926" s="49"/>
      <c r="AR926" s="49"/>
      <c r="AS926" s="49"/>
      <c r="AT926" s="49"/>
      <c r="AU926" s="49"/>
      <c r="AV926" s="49"/>
      <c r="AW926" s="49"/>
      <c r="AX926" s="49"/>
    </row>
    <row r="927">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c r="AF927" s="49"/>
      <c r="AG927" s="49"/>
      <c r="AH927" s="49"/>
      <c r="AI927" s="49"/>
      <c r="AJ927" s="49"/>
      <c r="AK927" s="49"/>
      <c r="AL927" s="49"/>
      <c r="AM927" s="49"/>
      <c r="AN927" s="49"/>
      <c r="AO927" s="49"/>
      <c r="AP927" s="49"/>
      <c r="AQ927" s="49"/>
      <c r="AR927" s="49"/>
      <c r="AS927" s="49"/>
      <c r="AT927" s="49"/>
      <c r="AU927" s="49"/>
      <c r="AV927" s="49"/>
      <c r="AW927" s="49"/>
      <c r="AX927" s="49"/>
    </row>
    <row r="928">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c r="AF928" s="49"/>
      <c r="AG928" s="49"/>
      <c r="AH928" s="49"/>
      <c r="AI928" s="49"/>
      <c r="AJ928" s="49"/>
      <c r="AK928" s="49"/>
      <c r="AL928" s="49"/>
      <c r="AM928" s="49"/>
      <c r="AN928" s="49"/>
      <c r="AO928" s="49"/>
      <c r="AP928" s="49"/>
      <c r="AQ928" s="49"/>
      <c r="AR928" s="49"/>
      <c r="AS928" s="49"/>
      <c r="AT928" s="49"/>
      <c r="AU928" s="49"/>
      <c r="AV928" s="49"/>
      <c r="AW928" s="49"/>
      <c r="AX928" s="49"/>
    </row>
    <row r="929">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c r="AF929" s="49"/>
      <c r="AG929" s="49"/>
      <c r="AH929" s="49"/>
      <c r="AI929" s="49"/>
      <c r="AJ929" s="49"/>
      <c r="AK929" s="49"/>
      <c r="AL929" s="49"/>
      <c r="AM929" s="49"/>
      <c r="AN929" s="49"/>
      <c r="AO929" s="49"/>
      <c r="AP929" s="49"/>
      <c r="AQ929" s="49"/>
      <c r="AR929" s="49"/>
      <c r="AS929" s="49"/>
      <c r="AT929" s="49"/>
      <c r="AU929" s="49"/>
      <c r="AV929" s="49"/>
      <c r="AW929" s="49"/>
      <c r="AX929" s="49"/>
    </row>
    <row r="930">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c r="AF930" s="49"/>
      <c r="AG930" s="49"/>
      <c r="AH930" s="49"/>
      <c r="AI930" s="49"/>
      <c r="AJ930" s="49"/>
      <c r="AK930" s="49"/>
      <c r="AL930" s="49"/>
      <c r="AM930" s="49"/>
      <c r="AN930" s="49"/>
      <c r="AO930" s="49"/>
      <c r="AP930" s="49"/>
      <c r="AQ930" s="49"/>
      <c r="AR930" s="49"/>
      <c r="AS930" s="49"/>
      <c r="AT930" s="49"/>
      <c r="AU930" s="49"/>
      <c r="AV930" s="49"/>
      <c r="AW930" s="49"/>
      <c r="AX930" s="49"/>
    </row>
    <row r="931">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c r="AF931" s="49"/>
      <c r="AG931" s="49"/>
      <c r="AH931" s="49"/>
      <c r="AI931" s="49"/>
      <c r="AJ931" s="49"/>
      <c r="AK931" s="49"/>
      <c r="AL931" s="49"/>
      <c r="AM931" s="49"/>
      <c r="AN931" s="49"/>
      <c r="AO931" s="49"/>
      <c r="AP931" s="49"/>
      <c r="AQ931" s="49"/>
      <c r="AR931" s="49"/>
      <c r="AS931" s="49"/>
      <c r="AT931" s="49"/>
      <c r="AU931" s="49"/>
      <c r="AV931" s="49"/>
      <c r="AW931" s="49"/>
      <c r="AX931" s="49"/>
    </row>
    <row r="932">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c r="AF932" s="49"/>
      <c r="AG932" s="49"/>
      <c r="AH932" s="49"/>
      <c r="AI932" s="49"/>
      <c r="AJ932" s="49"/>
      <c r="AK932" s="49"/>
      <c r="AL932" s="49"/>
      <c r="AM932" s="49"/>
      <c r="AN932" s="49"/>
      <c r="AO932" s="49"/>
      <c r="AP932" s="49"/>
      <c r="AQ932" s="49"/>
      <c r="AR932" s="49"/>
      <c r="AS932" s="49"/>
      <c r="AT932" s="49"/>
      <c r="AU932" s="49"/>
      <c r="AV932" s="49"/>
      <c r="AW932" s="49"/>
      <c r="AX932" s="49"/>
    </row>
    <row r="933">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c r="AF933" s="49"/>
      <c r="AG933" s="49"/>
      <c r="AH933" s="49"/>
      <c r="AI933" s="49"/>
      <c r="AJ933" s="49"/>
      <c r="AK933" s="49"/>
      <c r="AL933" s="49"/>
      <c r="AM933" s="49"/>
      <c r="AN933" s="49"/>
      <c r="AO933" s="49"/>
      <c r="AP933" s="49"/>
      <c r="AQ933" s="49"/>
      <c r="AR933" s="49"/>
      <c r="AS933" s="49"/>
      <c r="AT933" s="49"/>
      <c r="AU933" s="49"/>
      <c r="AV933" s="49"/>
      <c r="AW933" s="49"/>
      <c r="AX933" s="49"/>
    </row>
    <row r="934">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c r="AF934" s="49"/>
      <c r="AG934" s="49"/>
      <c r="AH934" s="49"/>
      <c r="AI934" s="49"/>
      <c r="AJ934" s="49"/>
      <c r="AK934" s="49"/>
      <c r="AL934" s="49"/>
      <c r="AM934" s="49"/>
      <c r="AN934" s="49"/>
      <c r="AO934" s="49"/>
      <c r="AP934" s="49"/>
      <c r="AQ934" s="49"/>
      <c r="AR934" s="49"/>
      <c r="AS934" s="49"/>
      <c r="AT934" s="49"/>
      <c r="AU934" s="49"/>
      <c r="AV934" s="49"/>
      <c r="AW934" s="49"/>
      <c r="AX934" s="49"/>
    </row>
    <row r="9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c r="AF935" s="49"/>
      <c r="AG935" s="49"/>
      <c r="AH935" s="49"/>
      <c r="AI935" s="49"/>
      <c r="AJ935" s="49"/>
      <c r="AK935" s="49"/>
      <c r="AL935" s="49"/>
      <c r="AM935" s="49"/>
      <c r="AN935" s="49"/>
      <c r="AO935" s="49"/>
      <c r="AP935" s="49"/>
      <c r="AQ935" s="49"/>
      <c r="AR935" s="49"/>
      <c r="AS935" s="49"/>
      <c r="AT935" s="49"/>
      <c r="AU935" s="49"/>
      <c r="AV935" s="49"/>
      <c r="AW935" s="49"/>
      <c r="AX935" s="49"/>
    </row>
    <row r="936">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c r="AF936" s="49"/>
      <c r="AG936" s="49"/>
      <c r="AH936" s="49"/>
      <c r="AI936" s="49"/>
      <c r="AJ936" s="49"/>
      <c r="AK936" s="49"/>
      <c r="AL936" s="49"/>
      <c r="AM936" s="49"/>
      <c r="AN936" s="49"/>
      <c r="AO936" s="49"/>
      <c r="AP936" s="49"/>
      <c r="AQ936" s="49"/>
      <c r="AR936" s="49"/>
      <c r="AS936" s="49"/>
      <c r="AT936" s="49"/>
      <c r="AU936" s="49"/>
      <c r="AV936" s="49"/>
      <c r="AW936" s="49"/>
      <c r="AX936" s="49"/>
    </row>
    <row r="937">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c r="AF937" s="49"/>
      <c r="AG937" s="49"/>
      <c r="AH937" s="49"/>
      <c r="AI937" s="49"/>
      <c r="AJ937" s="49"/>
      <c r="AK937" s="49"/>
      <c r="AL937" s="49"/>
      <c r="AM937" s="49"/>
      <c r="AN937" s="49"/>
      <c r="AO937" s="49"/>
      <c r="AP937" s="49"/>
      <c r="AQ937" s="49"/>
      <c r="AR937" s="49"/>
      <c r="AS937" s="49"/>
      <c r="AT937" s="49"/>
      <c r="AU937" s="49"/>
      <c r="AV937" s="49"/>
      <c r="AW937" s="49"/>
      <c r="AX937" s="49"/>
    </row>
    <row r="938">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c r="AF938" s="49"/>
      <c r="AG938" s="49"/>
      <c r="AH938" s="49"/>
      <c r="AI938" s="49"/>
      <c r="AJ938" s="49"/>
      <c r="AK938" s="49"/>
      <c r="AL938" s="49"/>
      <c r="AM938" s="49"/>
      <c r="AN938" s="49"/>
      <c r="AO938" s="49"/>
      <c r="AP938" s="49"/>
      <c r="AQ938" s="49"/>
      <c r="AR938" s="49"/>
      <c r="AS938" s="49"/>
      <c r="AT938" s="49"/>
      <c r="AU938" s="49"/>
      <c r="AV938" s="49"/>
      <c r="AW938" s="49"/>
      <c r="AX938" s="49"/>
    </row>
    <row r="939">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c r="AF939" s="49"/>
      <c r="AG939" s="49"/>
      <c r="AH939" s="49"/>
      <c r="AI939" s="49"/>
      <c r="AJ939" s="49"/>
      <c r="AK939" s="49"/>
      <c r="AL939" s="49"/>
      <c r="AM939" s="49"/>
      <c r="AN939" s="49"/>
      <c r="AO939" s="49"/>
      <c r="AP939" s="49"/>
      <c r="AQ939" s="49"/>
      <c r="AR939" s="49"/>
      <c r="AS939" s="49"/>
      <c r="AT939" s="49"/>
      <c r="AU939" s="49"/>
      <c r="AV939" s="49"/>
      <c r="AW939" s="49"/>
      <c r="AX939" s="49"/>
    </row>
    <row r="940">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c r="AF940" s="49"/>
      <c r="AG940" s="49"/>
      <c r="AH940" s="49"/>
      <c r="AI940" s="49"/>
      <c r="AJ940" s="49"/>
      <c r="AK940" s="49"/>
      <c r="AL940" s="49"/>
      <c r="AM940" s="49"/>
      <c r="AN940" s="49"/>
      <c r="AO940" s="49"/>
      <c r="AP940" s="49"/>
      <c r="AQ940" s="49"/>
      <c r="AR940" s="49"/>
      <c r="AS940" s="49"/>
      <c r="AT940" s="49"/>
      <c r="AU940" s="49"/>
      <c r="AV940" s="49"/>
      <c r="AW940" s="49"/>
      <c r="AX940" s="49"/>
    </row>
    <row r="941">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c r="AF941" s="49"/>
      <c r="AG941" s="49"/>
      <c r="AH941" s="49"/>
      <c r="AI941" s="49"/>
      <c r="AJ941" s="49"/>
      <c r="AK941" s="49"/>
      <c r="AL941" s="49"/>
      <c r="AM941" s="49"/>
      <c r="AN941" s="49"/>
      <c r="AO941" s="49"/>
      <c r="AP941" s="49"/>
      <c r="AQ941" s="49"/>
      <c r="AR941" s="49"/>
      <c r="AS941" s="49"/>
      <c r="AT941" s="49"/>
      <c r="AU941" s="49"/>
      <c r="AV941" s="49"/>
      <c r="AW941" s="49"/>
      <c r="AX941" s="49"/>
    </row>
    <row r="942">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c r="AF942" s="49"/>
      <c r="AG942" s="49"/>
      <c r="AH942" s="49"/>
      <c r="AI942" s="49"/>
      <c r="AJ942" s="49"/>
      <c r="AK942" s="49"/>
      <c r="AL942" s="49"/>
      <c r="AM942" s="49"/>
      <c r="AN942" s="49"/>
      <c r="AO942" s="49"/>
      <c r="AP942" s="49"/>
      <c r="AQ942" s="49"/>
      <c r="AR942" s="49"/>
      <c r="AS942" s="49"/>
      <c r="AT942" s="49"/>
      <c r="AU942" s="49"/>
      <c r="AV942" s="49"/>
      <c r="AW942" s="49"/>
      <c r="AX942" s="49"/>
    </row>
    <row r="943">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c r="AF943" s="49"/>
      <c r="AG943" s="49"/>
      <c r="AH943" s="49"/>
      <c r="AI943" s="49"/>
      <c r="AJ943" s="49"/>
      <c r="AK943" s="49"/>
      <c r="AL943" s="49"/>
      <c r="AM943" s="49"/>
      <c r="AN943" s="49"/>
      <c r="AO943" s="49"/>
      <c r="AP943" s="49"/>
      <c r="AQ943" s="49"/>
      <c r="AR943" s="49"/>
      <c r="AS943" s="49"/>
      <c r="AT943" s="49"/>
      <c r="AU943" s="49"/>
      <c r="AV943" s="49"/>
      <c r="AW943" s="49"/>
      <c r="AX943" s="49"/>
    </row>
    <row r="944">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c r="AF944" s="49"/>
      <c r="AG944" s="49"/>
      <c r="AH944" s="49"/>
      <c r="AI944" s="49"/>
      <c r="AJ944" s="49"/>
      <c r="AK944" s="49"/>
      <c r="AL944" s="49"/>
      <c r="AM944" s="49"/>
      <c r="AN944" s="49"/>
      <c r="AO944" s="49"/>
      <c r="AP944" s="49"/>
      <c r="AQ944" s="49"/>
      <c r="AR944" s="49"/>
      <c r="AS944" s="49"/>
      <c r="AT944" s="49"/>
      <c r="AU944" s="49"/>
      <c r="AV944" s="49"/>
      <c r="AW944" s="49"/>
      <c r="AX944" s="49"/>
    </row>
    <row r="94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c r="AF945" s="49"/>
      <c r="AG945" s="49"/>
      <c r="AH945" s="49"/>
      <c r="AI945" s="49"/>
      <c r="AJ945" s="49"/>
      <c r="AK945" s="49"/>
      <c r="AL945" s="49"/>
      <c r="AM945" s="49"/>
      <c r="AN945" s="49"/>
      <c r="AO945" s="49"/>
      <c r="AP945" s="49"/>
      <c r="AQ945" s="49"/>
      <c r="AR945" s="49"/>
      <c r="AS945" s="49"/>
      <c r="AT945" s="49"/>
      <c r="AU945" s="49"/>
      <c r="AV945" s="49"/>
      <c r="AW945" s="49"/>
      <c r="AX945" s="49"/>
    </row>
    <row r="946">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c r="AF946" s="49"/>
      <c r="AG946" s="49"/>
      <c r="AH946" s="49"/>
      <c r="AI946" s="49"/>
      <c r="AJ946" s="49"/>
      <c r="AK946" s="49"/>
      <c r="AL946" s="49"/>
      <c r="AM946" s="49"/>
      <c r="AN946" s="49"/>
      <c r="AO946" s="49"/>
      <c r="AP946" s="49"/>
      <c r="AQ946" s="49"/>
      <c r="AR946" s="49"/>
      <c r="AS946" s="49"/>
      <c r="AT946" s="49"/>
      <c r="AU946" s="49"/>
      <c r="AV946" s="49"/>
      <c r="AW946" s="49"/>
      <c r="AX946" s="49"/>
    </row>
    <row r="947">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c r="AF947" s="49"/>
      <c r="AG947" s="49"/>
      <c r="AH947" s="49"/>
      <c r="AI947" s="49"/>
      <c r="AJ947" s="49"/>
      <c r="AK947" s="49"/>
      <c r="AL947" s="49"/>
      <c r="AM947" s="49"/>
      <c r="AN947" s="49"/>
      <c r="AO947" s="49"/>
      <c r="AP947" s="49"/>
      <c r="AQ947" s="49"/>
      <c r="AR947" s="49"/>
      <c r="AS947" s="49"/>
      <c r="AT947" s="49"/>
      <c r="AU947" s="49"/>
      <c r="AV947" s="49"/>
      <c r="AW947" s="49"/>
      <c r="AX947" s="49"/>
    </row>
    <row r="948">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c r="AF948" s="49"/>
      <c r="AG948" s="49"/>
      <c r="AH948" s="49"/>
      <c r="AI948" s="49"/>
      <c r="AJ948" s="49"/>
      <c r="AK948" s="49"/>
      <c r="AL948" s="49"/>
      <c r="AM948" s="49"/>
      <c r="AN948" s="49"/>
      <c r="AO948" s="49"/>
      <c r="AP948" s="49"/>
      <c r="AQ948" s="49"/>
      <c r="AR948" s="49"/>
      <c r="AS948" s="49"/>
      <c r="AT948" s="49"/>
      <c r="AU948" s="49"/>
      <c r="AV948" s="49"/>
      <c r="AW948" s="49"/>
      <c r="AX948" s="49"/>
    </row>
    <row r="949">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c r="AF949" s="49"/>
      <c r="AG949" s="49"/>
      <c r="AH949" s="49"/>
      <c r="AI949" s="49"/>
      <c r="AJ949" s="49"/>
      <c r="AK949" s="49"/>
      <c r="AL949" s="49"/>
      <c r="AM949" s="49"/>
      <c r="AN949" s="49"/>
      <c r="AO949" s="49"/>
      <c r="AP949" s="49"/>
      <c r="AQ949" s="49"/>
      <c r="AR949" s="49"/>
      <c r="AS949" s="49"/>
      <c r="AT949" s="49"/>
      <c r="AU949" s="49"/>
      <c r="AV949" s="49"/>
      <c r="AW949" s="49"/>
      <c r="AX949" s="49"/>
    </row>
    <row r="950">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c r="AF950" s="49"/>
      <c r="AG950" s="49"/>
      <c r="AH950" s="49"/>
      <c r="AI950" s="49"/>
      <c r="AJ950" s="49"/>
      <c r="AK950" s="49"/>
      <c r="AL950" s="49"/>
      <c r="AM950" s="49"/>
      <c r="AN950" s="49"/>
      <c r="AO950" s="49"/>
      <c r="AP950" s="49"/>
      <c r="AQ950" s="49"/>
      <c r="AR950" s="49"/>
      <c r="AS950" s="49"/>
      <c r="AT950" s="49"/>
      <c r="AU950" s="49"/>
      <c r="AV950" s="49"/>
      <c r="AW950" s="49"/>
      <c r="AX950" s="49"/>
    </row>
    <row r="951">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c r="AF951" s="49"/>
      <c r="AG951" s="49"/>
      <c r="AH951" s="49"/>
      <c r="AI951" s="49"/>
      <c r="AJ951" s="49"/>
      <c r="AK951" s="49"/>
      <c r="AL951" s="49"/>
      <c r="AM951" s="49"/>
      <c r="AN951" s="49"/>
      <c r="AO951" s="49"/>
      <c r="AP951" s="49"/>
      <c r="AQ951" s="49"/>
      <c r="AR951" s="49"/>
      <c r="AS951" s="49"/>
      <c r="AT951" s="49"/>
      <c r="AU951" s="49"/>
      <c r="AV951" s="49"/>
      <c r="AW951" s="49"/>
      <c r="AX951" s="49"/>
    </row>
    <row r="952">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c r="AF952" s="49"/>
      <c r="AG952" s="49"/>
      <c r="AH952" s="49"/>
      <c r="AI952" s="49"/>
      <c r="AJ952" s="49"/>
      <c r="AK952" s="49"/>
      <c r="AL952" s="49"/>
      <c r="AM952" s="49"/>
      <c r="AN952" s="49"/>
      <c r="AO952" s="49"/>
      <c r="AP952" s="49"/>
      <c r="AQ952" s="49"/>
      <c r="AR952" s="49"/>
      <c r="AS952" s="49"/>
      <c r="AT952" s="49"/>
      <c r="AU952" s="49"/>
      <c r="AV952" s="49"/>
      <c r="AW952" s="49"/>
      <c r="AX952" s="49"/>
    </row>
    <row r="953">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c r="AF953" s="49"/>
      <c r="AG953" s="49"/>
      <c r="AH953" s="49"/>
      <c r="AI953" s="49"/>
      <c r="AJ953" s="49"/>
      <c r="AK953" s="49"/>
      <c r="AL953" s="49"/>
      <c r="AM953" s="49"/>
      <c r="AN953" s="49"/>
      <c r="AO953" s="49"/>
      <c r="AP953" s="49"/>
      <c r="AQ953" s="49"/>
      <c r="AR953" s="49"/>
      <c r="AS953" s="49"/>
      <c r="AT953" s="49"/>
      <c r="AU953" s="49"/>
      <c r="AV953" s="49"/>
      <c r="AW953" s="49"/>
      <c r="AX953" s="49"/>
    </row>
    <row r="954">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c r="AF954" s="49"/>
      <c r="AG954" s="49"/>
      <c r="AH954" s="49"/>
      <c r="AI954" s="49"/>
      <c r="AJ954" s="49"/>
      <c r="AK954" s="49"/>
      <c r="AL954" s="49"/>
      <c r="AM954" s="49"/>
      <c r="AN954" s="49"/>
      <c r="AO954" s="49"/>
      <c r="AP954" s="49"/>
      <c r="AQ954" s="49"/>
      <c r="AR954" s="49"/>
      <c r="AS954" s="49"/>
      <c r="AT954" s="49"/>
      <c r="AU954" s="49"/>
      <c r="AV954" s="49"/>
      <c r="AW954" s="49"/>
      <c r="AX954" s="49"/>
    </row>
    <row r="95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c r="AF955" s="49"/>
      <c r="AG955" s="49"/>
      <c r="AH955" s="49"/>
      <c r="AI955" s="49"/>
      <c r="AJ955" s="49"/>
      <c r="AK955" s="49"/>
      <c r="AL955" s="49"/>
      <c r="AM955" s="49"/>
      <c r="AN955" s="49"/>
      <c r="AO955" s="49"/>
      <c r="AP955" s="49"/>
      <c r="AQ955" s="49"/>
      <c r="AR955" s="49"/>
      <c r="AS955" s="49"/>
      <c r="AT955" s="49"/>
      <c r="AU955" s="49"/>
      <c r="AV955" s="49"/>
      <c r="AW955" s="49"/>
      <c r="AX955" s="49"/>
    </row>
    <row r="956">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c r="AF956" s="49"/>
      <c r="AG956" s="49"/>
      <c r="AH956" s="49"/>
      <c r="AI956" s="49"/>
      <c r="AJ956" s="49"/>
      <c r="AK956" s="49"/>
      <c r="AL956" s="49"/>
      <c r="AM956" s="49"/>
      <c r="AN956" s="49"/>
      <c r="AO956" s="49"/>
      <c r="AP956" s="49"/>
      <c r="AQ956" s="49"/>
      <c r="AR956" s="49"/>
      <c r="AS956" s="49"/>
      <c r="AT956" s="49"/>
      <c r="AU956" s="49"/>
      <c r="AV956" s="49"/>
      <c r="AW956" s="49"/>
      <c r="AX956" s="49"/>
    </row>
    <row r="957">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c r="AF957" s="49"/>
      <c r="AG957" s="49"/>
      <c r="AH957" s="49"/>
      <c r="AI957" s="49"/>
      <c r="AJ957" s="49"/>
      <c r="AK957" s="49"/>
      <c r="AL957" s="49"/>
      <c r="AM957" s="49"/>
      <c r="AN957" s="49"/>
      <c r="AO957" s="49"/>
      <c r="AP957" s="49"/>
      <c r="AQ957" s="49"/>
      <c r="AR957" s="49"/>
      <c r="AS957" s="49"/>
      <c r="AT957" s="49"/>
      <c r="AU957" s="49"/>
      <c r="AV957" s="49"/>
      <c r="AW957" s="49"/>
      <c r="AX957" s="49"/>
    </row>
    <row r="958">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c r="AF958" s="49"/>
      <c r="AG958" s="49"/>
      <c r="AH958" s="49"/>
      <c r="AI958" s="49"/>
      <c r="AJ958" s="49"/>
      <c r="AK958" s="49"/>
      <c r="AL958" s="49"/>
      <c r="AM958" s="49"/>
      <c r="AN958" s="49"/>
      <c r="AO958" s="49"/>
      <c r="AP958" s="49"/>
      <c r="AQ958" s="49"/>
      <c r="AR958" s="49"/>
      <c r="AS958" s="49"/>
      <c r="AT958" s="49"/>
      <c r="AU958" s="49"/>
      <c r="AV958" s="49"/>
      <c r="AW958" s="49"/>
      <c r="AX958" s="49"/>
    </row>
    <row r="959">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c r="AF959" s="49"/>
      <c r="AG959" s="49"/>
      <c r="AH959" s="49"/>
      <c r="AI959" s="49"/>
      <c r="AJ959" s="49"/>
      <c r="AK959" s="49"/>
      <c r="AL959" s="49"/>
      <c r="AM959" s="49"/>
      <c r="AN959" s="49"/>
      <c r="AO959" s="49"/>
      <c r="AP959" s="49"/>
      <c r="AQ959" s="49"/>
      <c r="AR959" s="49"/>
      <c r="AS959" s="49"/>
      <c r="AT959" s="49"/>
      <c r="AU959" s="49"/>
      <c r="AV959" s="49"/>
      <c r="AW959" s="49"/>
      <c r="AX959" s="49"/>
    </row>
    <row r="960">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c r="AF960" s="49"/>
      <c r="AG960" s="49"/>
      <c r="AH960" s="49"/>
      <c r="AI960" s="49"/>
      <c r="AJ960" s="49"/>
      <c r="AK960" s="49"/>
      <c r="AL960" s="49"/>
      <c r="AM960" s="49"/>
      <c r="AN960" s="49"/>
      <c r="AO960" s="49"/>
      <c r="AP960" s="49"/>
      <c r="AQ960" s="49"/>
      <c r="AR960" s="49"/>
      <c r="AS960" s="49"/>
      <c r="AT960" s="49"/>
      <c r="AU960" s="49"/>
      <c r="AV960" s="49"/>
      <c r="AW960" s="49"/>
      <c r="AX960" s="49"/>
    </row>
    <row r="961">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c r="AF961" s="49"/>
      <c r="AG961" s="49"/>
      <c r="AH961" s="49"/>
      <c r="AI961" s="49"/>
      <c r="AJ961" s="49"/>
      <c r="AK961" s="49"/>
      <c r="AL961" s="49"/>
      <c r="AM961" s="49"/>
      <c r="AN961" s="49"/>
      <c r="AO961" s="49"/>
      <c r="AP961" s="49"/>
      <c r="AQ961" s="49"/>
      <c r="AR961" s="49"/>
      <c r="AS961" s="49"/>
      <c r="AT961" s="49"/>
      <c r="AU961" s="49"/>
      <c r="AV961" s="49"/>
      <c r="AW961" s="49"/>
      <c r="AX961" s="49"/>
    </row>
    <row r="962">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c r="AF962" s="49"/>
      <c r="AG962" s="49"/>
      <c r="AH962" s="49"/>
      <c r="AI962" s="49"/>
      <c r="AJ962" s="49"/>
      <c r="AK962" s="49"/>
      <c r="AL962" s="49"/>
      <c r="AM962" s="49"/>
      <c r="AN962" s="49"/>
      <c r="AO962" s="49"/>
      <c r="AP962" s="49"/>
      <c r="AQ962" s="49"/>
      <c r="AR962" s="49"/>
      <c r="AS962" s="49"/>
      <c r="AT962" s="49"/>
      <c r="AU962" s="49"/>
      <c r="AV962" s="49"/>
      <c r="AW962" s="49"/>
      <c r="AX962" s="49"/>
    </row>
    <row r="963">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c r="AF963" s="49"/>
      <c r="AG963" s="49"/>
      <c r="AH963" s="49"/>
      <c r="AI963" s="49"/>
      <c r="AJ963" s="49"/>
      <c r="AK963" s="49"/>
      <c r="AL963" s="49"/>
      <c r="AM963" s="49"/>
      <c r="AN963" s="49"/>
      <c r="AO963" s="49"/>
      <c r="AP963" s="49"/>
      <c r="AQ963" s="49"/>
      <c r="AR963" s="49"/>
      <c r="AS963" s="49"/>
      <c r="AT963" s="49"/>
      <c r="AU963" s="49"/>
      <c r="AV963" s="49"/>
      <c r="AW963" s="49"/>
      <c r="AX963" s="49"/>
    </row>
    <row r="964">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c r="AF964" s="49"/>
      <c r="AG964" s="49"/>
      <c r="AH964" s="49"/>
      <c r="AI964" s="49"/>
      <c r="AJ964" s="49"/>
      <c r="AK964" s="49"/>
      <c r="AL964" s="49"/>
      <c r="AM964" s="49"/>
      <c r="AN964" s="49"/>
      <c r="AO964" s="49"/>
      <c r="AP964" s="49"/>
      <c r="AQ964" s="49"/>
      <c r="AR964" s="49"/>
      <c r="AS964" s="49"/>
      <c r="AT964" s="49"/>
      <c r="AU964" s="49"/>
      <c r="AV964" s="49"/>
      <c r="AW964" s="49"/>
      <c r="AX964" s="49"/>
    </row>
    <row r="96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c r="AF965" s="49"/>
      <c r="AG965" s="49"/>
      <c r="AH965" s="49"/>
      <c r="AI965" s="49"/>
      <c r="AJ965" s="49"/>
      <c r="AK965" s="49"/>
      <c r="AL965" s="49"/>
      <c r="AM965" s="49"/>
      <c r="AN965" s="49"/>
      <c r="AO965" s="49"/>
      <c r="AP965" s="49"/>
      <c r="AQ965" s="49"/>
      <c r="AR965" s="49"/>
      <c r="AS965" s="49"/>
      <c r="AT965" s="49"/>
      <c r="AU965" s="49"/>
      <c r="AV965" s="49"/>
      <c r="AW965" s="49"/>
      <c r="AX965" s="49"/>
    </row>
    <row r="966">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c r="AF966" s="49"/>
      <c r="AG966" s="49"/>
      <c r="AH966" s="49"/>
      <c r="AI966" s="49"/>
      <c r="AJ966" s="49"/>
      <c r="AK966" s="49"/>
      <c r="AL966" s="49"/>
      <c r="AM966" s="49"/>
      <c r="AN966" s="49"/>
      <c r="AO966" s="49"/>
      <c r="AP966" s="49"/>
      <c r="AQ966" s="49"/>
      <c r="AR966" s="49"/>
      <c r="AS966" s="49"/>
      <c r="AT966" s="49"/>
      <c r="AU966" s="49"/>
      <c r="AV966" s="49"/>
      <c r="AW966" s="49"/>
      <c r="AX966" s="49"/>
    </row>
    <row r="967">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c r="AF967" s="49"/>
      <c r="AG967" s="49"/>
      <c r="AH967" s="49"/>
      <c r="AI967" s="49"/>
      <c r="AJ967" s="49"/>
      <c r="AK967" s="49"/>
      <c r="AL967" s="49"/>
      <c r="AM967" s="49"/>
      <c r="AN967" s="49"/>
      <c r="AO967" s="49"/>
      <c r="AP967" s="49"/>
      <c r="AQ967" s="49"/>
      <c r="AR967" s="49"/>
      <c r="AS967" s="49"/>
      <c r="AT967" s="49"/>
      <c r="AU967" s="49"/>
      <c r="AV967" s="49"/>
      <c r="AW967" s="49"/>
      <c r="AX967" s="49"/>
    </row>
    <row r="968">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c r="AF968" s="49"/>
      <c r="AG968" s="49"/>
      <c r="AH968" s="49"/>
      <c r="AI968" s="49"/>
      <c r="AJ968" s="49"/>
      <c r="AK968" s="49"/>
      <c r="AL968" s="49"/>
      <c r="AM968" s="49"/>
      <c r="AN968" s="49"/>
      <c r="AO968" s="49"/>
      <c r="AP968" s="49"/>
      <c r="AQ968" s="49"/>
      <c r="AR968" s="49"/>
      <c r="AS968" s="49"/>
      <c r="AT968" s="49"/>
      <c r="AU968" s="49"/>
      <c r="AV968" s="49"/>
      <c r="AW968" s="49"/>
      <c r="AX968" s="49"/>
    </row>
    <row r="969">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c r="AF969" s="49"/>
      <c r="AG969" s="49"/>
      <c r="AH969" s="49"/>
      <c r="AI969" s="49"/>
      <c r="AJ969" s="49"/>
      <c r="AK969" s="49"/>
      <c r="AL969" s="49"/>
      <c r="AM969" s="49"/>
      <c r="AN969" s="49"/>
      <c r="AO969" s="49"/>
      <c r="AP969" s="49"/>
      <c r="AQ969" s="49"/>
      <c r="AR969" s="49"/>
      <c r="AS969" s="49"/>
      <c r="AT969" s="49"/>
      <c r="AU969" s="49"/>
      <c r="AV969" s="49"/>
      <c r="AW969" s="49"/>
      <c r="AX969" s="49"/>
    </row>
    <row r="970">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c r="AF970" s="49"/>
      <c r="AG970" s="49"/>
      <c r="AH970" s="49"/>
      <c r="AI970" s="49"/>
      <c r="AJ970" s="49"/>
      <c r="AK970" s="49"/>
      <c r="AL970" s="49"/>
      <c r="AM970" s="49"/>
      <c r="AN970" s="49"/>
      <c r="AO970" s="49"/>
      <c r="AP970" s="49"/>
      <c r="AQ970" s="49"/>
      <c r="AR970" s="49"/>
      <c r="AS970" s="49"/>
      <c r="AT970" s="49"/>
      <c r="AU970" s="49"/>
      <c r="AV970" s="49"/>
      <c r="AW970" s="49"/>
      <c r="AX970" s="49"/>
    </row>
    <row r="971">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c r="AF971" s="49"/>
      <c r="AG971" s="49"/>
      <c r="AH971" s="49"/>
      <c r="AI971" s="49"/>
      <c r="AJ971" s="49"/>
      <c r="AK971" s="49"/>
      <c r="AL971" s="49"/>
      <c r="AM971" s="49"/>
      <c r="AN971" s="49"/>
      <c r="AO971" s="49"/>
      <c r="AP971" s="49"/>
      <c r="AQ971" s="49"/>
      <c r="AR971" s="49"/>
      <c r="AS971" s="49"/>
      <c r="AT971" s="49"/>
      <c r="AU971" s="49"/>
      <c r="AV971" s="49"/>
      <c r="AW971" s="49"/>
      <c r="AX971" s="49"/>
    </row>
    <row r="972">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c r="AF972" s="49"/>
      <c r="AG972" s="49"/>
      <c r="AH972" s="49"/>
      <c r="AI972" s="49"/>
      <c r="AJ972" s="49"/>
      <c r="AK972" s="49"/>
      <c r="AL972" s="49"/>
      <c r="AM972" s="49"/>
      <c r="AN972" s="49"/>
      <c r="AO972" s="49"/>
      <c r="AP972" s="49"/>
      <c r="AQ972" s="49"/>
      <c r="AR972" s="49"/>
      <c r="AS972" s="49"/>
      <c r="AT972" s="49"/>
      <c r="AU972" s="49"/>
      <c r="AV972" s="49"/>
      <c r="AW972" s="49"/>
      <c r="AX972" s="49"/>
    </row>
    <row r="973">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c r="AA973" s="49"/>
      <c r="AB973" s="49"/>
      <c r="AC973" s="49"/>
      <c r="AD973" s="49"/>
      <c r="AE973" s="49"/>
      <c r="AF973" s="49"/>
      <c r="AG973" s="49"/>
      <c r="AH973" s="49"/>
      <c r="AI973" s="49"/>
      <c r="AJ973" s="49"/>
      <c r="AK973" s="49"/>
      <c r="AL973" s="49"/>
      <c r="AM973" s="49"/>
      <c r="AN973" s="49"/>
      <c r="AO973" s="49"/>
      <c r="AP973" s="49"/>
      <c r="AQ973" s="49"/>
      <c r="AR973" s="49"/>
      <c r="AS973" s="49"/>
      <c r="AT973" s="49"/>
      <c r="AU973" s="49"/>
      <c r="AV973" s="49"/>
      <c r="AW973" s="49"/>
      <c r="AX973" s="49"/>
    </row>
    <row r="974">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c r="AA974" s="49"/>
      <c r="AB974" s="49"/>
      <c r="AC974" s="49"/>
      <c r="AD974" s="49"/>
      <c r="AE974" s="49"/>
      <c r="AF974" s="49"/>
      <c r="AG974" s="49"/>
      <c r="AH974" s="49"/>
      <c r="AI974" s="49"/>
      <c r="AJ974" s="49"/>
      <c r="AK974" s="49"/>
      <c r="AL974" s="49"/>
      <c r="AM974" s="49"/>
      <c r="AN974" s="49"/>
      <c r="AO974" s="49"/>
      <c r="AP974" s="49"/>
      <c r="AQ974" s="49"/>
      <c r="AR974" s="49"/>
      <c r="AS974" s="49"/>
      <c r="AT974" s="49"/>
      <c r="AU974" s="49"/>
      <c r="AV974" s="49"/>
      <c r="AW974" s="49"/>
      <c r="AX974" s="49"/>
    </row>
    <row r="97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c r="AA975" s="49"/>
      <c r="AB975" s="49"/>
      <c r="AC975" s="49"/>
      <c r="AD975" s="49"/>
      <c r="AE975" s="49"/>
      <c r="AF975" s="49"/>
      <c r="AG975" s="49"/>
      <c r="AH975" s="49"/>
      <c r="AI975" s="49"/>
      <c r="AJ975" s="49"/>
      <c r="AK975" s="49"/>
      <c r="AL975" s="49"/>
      <c r="AM975" s="49"/>
      <c r="AN975" s="49"/>
      <c r="AO975" s="49"/>
      <c r="AP975" s="49"/>
      <c r="AQ975" s="49"/>
      <c r="AR975" s="49"/>
      <c r="AS975" s="49"/>
      <c r="AT975" s="49"/>
      <c r="AU975" s="49"/>
      <c r="AV975" s="49"/>
      <c r="AW975" s="49"/>
      <c r="AX975" s="49"/>
    </row>
    <row r="976">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c r="AA976" s="49"/>
      <c r="AB976" s="49"/>
      <c r="AC976" s="49"/>
      <c r="AD976" s="49"/>
      <c r="AE976" s="49"/>
      <c r="AF976" s="49"/>
      <c r="AG976" s="49"/>
      <c r="AH976" s="49"/>
      <c r="AI976" s="49"/>
      <c r="AJ976" s="49"/>
      <c r="AK976" s="49"/>
      <c r="AL976" s="49"/>
      <c r="AM976" s="49"/>
      <c r="AN976" s="49"/>
      <c r="AO976" s="49"/>
      <c r="AP976" s="49"/>
      <c r="AQ976" s="49"/>
      <c r="AR976" s="49"/>
      <c r="AS976" s="49"/>
      <c r="AT976" s="49"/>
      <c r="AU976" s="49"/>
      <c r="AV976" s="49"/>
      <c r="AW976" s="49"/>
      <c r="AX976" s="49"/>
    </row>
    <row r="977">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c r="AA977" s="49"/>
      <c r="AB977" s="49"/>
      <c r="AC977" s="49"/>
      <c r="AD977" s="49"/>
      <c r="AE977" s="49"/>
      <c r="AF977" s="49"/>
      <c r="AG977" s="49"/>
      <c r="AH977" s="49"/>
      <c r="AI977" s="49"/>
      <c r="AJ977" s="49"/>
      <c r="AK977" s="49"/>
      <c r="AL977" s="49"/>
      <c r="AM977" s="49"/>
      <c r="AN977" s="49"/>
      <c r="AO977" s="49"/>
      <c r="AP977" s="49"/>
      <c r="AQ977" s="49"/>
      <c r="AR977" s="49"/>
      <c r="AS977" s="49"/>
      <c r="AT977" s="49"/>
      <c r="AU977" s="49"/>
      <c r="AV977" s="49"/>
      <c r="AW977" s="49"/>
      <c r="AX977" s="49"/>
    </row>
    <row r="978">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c r="AA978" s="49"/>
      <c r="AB978" s="49"/>
      <c r="AC978" s="49"/>
      <c r="AD978" s="49"/>
      <c r="AE978" s="49"/>
      <c r="AF978" s="49"/>
      <c r="AG978" s="49"/>
      <c r="AH978" s="49"/>
      <c r="AI978" s="49"/>
      <c r="AJ978" s="49"/>
      <c r="AK978" s="49"/>
      <c r="AL978" s="49"/>
      <c r="AM978" s="49"/>
      <c r="AN978" s="49"/>
      <c r="AO978" s="49"/>
      <c r="AP978" s="49"/>
      <c r="AQ978" s="49"/>
      <c r="AR978" s="49"/>
      <c r="AS978" s="49"/>
      <c r="AT978" s="49"/>
      <c r="AU978" s="49"/>
      <c r="AV978" s="49"/>
      <c r="AW978" s="49"/>
      <c r="AX978" s="49"/>
    </row>
    <row r="979">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c r="AA979" s="49"/>
      <c r="AB979" s="49"/>
      <c r="AC979" s="49"/>
      <c r="AD979" s="49"/>
      <c r="AE979" s="49"/>
      <c r="AF979" s="49"/>
      <c r="AG979" s="49"/>
      <c r="AH979" s="49"/>
      <c r="AI979" s="49"/>
      <c r="AJ979" s="49"/>
      <c r="AK979" s="49"/>
      <c r="AL979" s="49"/>
      <c r="AM979" s="49"/>
      <c r="AN979" s="49"/>
      <c r="AO979" s="49"/>
      <c r="AP979" s="49"/>
      <c r="AQ979" s="49"/>
      <c r="AR979" s="49"/>
      <c r="AS979" s="49"/>
      <c r="AT979" s="49"/>
      <c r="AU979" s="49"/>
      <c r="AV979" s="49"/>
      <c r="AW979" s="49"/>
      <c r="AX979" s="49"/>
    </row>
    <row r="980">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c r="AA980" s="49"/>
      <c r="AB980" s="49"/>
      <c r="AC980" s="49"/>
      <c r="AD980" s="49"/>
      <c r="AE980" s="49"/>
      <c r="AF980" s="49"/>
      <c r="AG980" s="49"/>
      <c r="AH980" s="49"/>
      <c r="AI980" s="49"/>
      <c r="AJ980" s="49"/>
      <c r="AK980" s="49"/>
      <c r="AL980" s="49"/>
      <c r="AM980" s="49"/>
      <c r="AN980" s="49"/>
      <c r="AO980" s="49"/>
      <c r="AP980" s="49"/>
      <c r="AQ980" s="49"/>
      <c r="AR980" s="49"/>
      <c r="AS980" s="49"/>
      <c r="AT980" s="49"/>
      <c r="AU980" s="49"/>
      <c r="AV980" s="49"/>
      <c r="AW980" s="49"/>
      <c r="AX980" s="49"/>
    </row>
    <row r="981">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c r="AA981" s="49"/>
      <c r="AB981" s="49"/>
      <c r="AC981" s="49"/>
      <c r="AD981" s="49"/>
      <c r="AE981" s="49"/>
      <c r="AF981" s="49"/>
      <c r="AG981" s="49"/>
      <c r="AH981" s="49"/>
      <c r="AI981" s="49"/>
      <c r="AJ981" s="49"/>
      <c r="AK981" s="49"/>
      <c r="AL981" s="49"/>
      <c r="AM981" s="49"/>
      <c r="AN981" s="49"/>
      <c r="AO981" s="49"/>
      <c r="AP981" s="49"/>
      <c r="AQ981" s="49"/>
      <c r="AR981" s="49"/>
      <c r="AS981" s="49"/>
      <c r="AT981" s="49"/>
      <c r="AU981" s="49"/>
      <c r="AV981" s="49"/>
      <c r="AW981" s="49"/>
      <c r="AX981" s="49"/>
    </row>
    <row r="982">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c r="AA982" s="49"/>
      <c r="AB982" s="49"/>
      <c r="AC982" s="49"/>
      <c r="AD982" s="49"/>
      <c r="AE982" s="49"/>
      <c r="AF982" s="49"/>
      <c r="AG982" s="49"/>
      <c r="AH982" s="49"/>
      <c r="AI982" s="49"/>
      <c r="AJ982" s="49"/>
      <c r="AK982" s="49"/>
      <c r="AL982" s="49"/>
      <c r="AM982" s="49"/>
      <c r="AN982" s="49"/>
      <c r="AO982" s="49"/>
      <c r="AP982" s="49"/>
      <c r="AQ982" s="49"/>
      <c r="AR982" s="49"/>
      <c r="AS982" s="49"/>
      <c r="AT982" s="49"/>
      <c r="AU982" s="49"/>
      <c r="AV982" s="49"/>
      <c r="AW982" s="49"/>
      <c r="AX982" s="49"/>
    </row>
    <row r="983">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c r="AA983" s="49"/>
      <c r="AB983" s="49"/>
      <c r="AC983" s="49"/>
      <c r="AD983" s="49"/>
      <c r="AE983" s="49"/>
      <c r="AF983" s="49"/>
      <c r="AG983" s="49"/>
      <c r="AH983" s="49"/>
      <c r="AI983" s="49"/>
      <c r="AJ983" s="49"/>
      <c r="AK983" s="49"/>
      <c r="AL983" s="49"/>
      <c r="AM983" s="49"/>
      <c r="AN983" s="49"/>
      <c r="AO983" s="49"/>
      <c r="AP983" s="49"/>
      <c r="AQ983" s="49"/>
      <c r="AR983" s="49"/>
      <c r="AS983" s="49"/>
      <c r="AT983" s="49"/>
      <c r="AU983" s="49"/>
      <c r="AV983" s="49"/>
      <c r="AW983" s="49"/>
      <c r="AX983" s="49"/>
    </row>
    <row r="984">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c r="AA984" s="49"/>
      <c r="AB984" s="49"/>
      <c r="AC984" s="49"/>
      <c r="AD984" s="49"/>
      <c r="AE984" s="49"/>
      <c r="AF984" s="49"/>
      <c r="AG984" s="49"/>
      <c r="AH984" s="49"/>
      <c r="AI984" s="49"/>
      <c r="AJ984" s="49"/>
      <c r="AK984" s="49"/>
      <c r="AL984" s="49"/>
      <c r="AM984" s="49"/>
      <c r="AN984" s="49"/>
      <c r="AO984" s="49"/>
      <c r="AP984" s="49"/>
      <c r="AQ984" s="49"/>
      <c r="AR984" s="49"/>
      <c r="AS984" s="49"/>
      <c r="AT984" s="49"/>
      <c r="AU984" s="49"/>
      <c r="AV984" s="49"/>
      <c r="AW984" s="49"/>
      <c r="AX984" s="49"/>
    </row>
    <row r="98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c r="AA985" s="49"/>
      <c r="AB985" s="49"/>
      <c r="AC985" s="49"/>
      <c r="AD985" s="49"/>
      <c r="AE985" s="49"/>
      <c r="AF985" s="49"/>
      <c r="AG985" s="49"/>
      <c r="AH985" s="49"/>
      <c r="AI985" s="49"/>
      <c r="AJ985" s="49"/>
      <c r="AK985" s="49"/>
      <c r="AL985" s="49"/>
      <c r="AM985" s="49"/>
      <c r="AN985" s="49"/>
      <c r="AO985" s="49"/>
      <c r="AP985" s="49"/>
      <c r="AQ985" s="49"/>
      <c r="AR985" s="49"/>
      <c r="AS985" s="49"/>
      <c r="AT985" s="49"/>
      <c r="AU985" s="49"/>
      <c r="AV985" s="49"/>
      <c r="AW985" s="49"/>
      <c r="AX985" s="49"/>
    </row>
    <row r="986">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c r="AA986" s="49"/>
      <c r="AB986" s="49"/>
      <c r="AC986" s="49"/>
      <c r="AD986" s="49"/>
      <c r="AE986" s="49"/>
      <c r="AF986" s="49"/>
      <c r="AG986" s="49"/>
      <c r="AH986" s="49"/>
      <c r="AI986" s="49"/>
      <c r="AJ986" s="49"/>
      <c r="AK986" s="49"/>
      <c r="AL986" s="49"/>
      <c r="AM986" s="49"/>
      <c r="AN986" s="49"/>
      <c r="AO986" s="49"/>
      <c r="AP986" s="49"/>
      <c r="AQ986" s="49"/>
      <c r="AR986" s="49"/>
      <c r="AS986" s="49"/>
      <c r="AT986" s="49"/>
      <c r="AU986" s="49"/>
      <c r="AV986" s="49"/>
      <c r="AW986" s="49"/>
      <c r="AX986" s="49"/>
    </row>
    <row r="987">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c r="AA987" s="49"/>
      <c r="AB987" s="49"/>
      <c r="AC987" s="49"/>
      <c r="AD987" s="49"/>
      <c r="AE987" s="49"/>
      <c r="AF987" s="49"/>
      <c r="AG987" s="49"/>
      <c r="AH987" s="49"/>
      <c r="AI987" s="49"/>
      <c r="AJ987" s="49"/>
      <c r="AK987" s="49"/>
      <c r="AL987" s="49"/>
      <c r="AM987" s="49"/>
      <c r="AN987" s="49"/>
      <c r="AO987" s="49"/>
      <c r="AP987" s="49"/>
      <c r="AQ987" s="49"/>
      <c r="AR987" s="49"/>
      <c r="AS987" s="49"/>
      <c r="AT987" s="49"/>
      <c r="AU987" s="49"/>
      <c r="AV987" s="49"/>
      <c r="AW987" s="49"/>
      <c r="AX987" s="49"/>
    </row>
    <row r="988">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c r="AA988" s="49"/>
      <c r="AB988" s="49"/>
      <c r="AC988" s="49"/>
      <c r="AD988" s="49"/>
      <c r="AE988" s="49"/>
      <c r="AF988" s="49"/>
      <c r="AG988" s="49"/>
      <c r="AH988" s="49"/>
      <c r="AI988" s="49"/>
      <c r="AJ988" s="49"/>
      <c r="AK988" s="49"/>
      <c r="AL988" s="49"/>
      <c r="AM988" s="49"/>
      <c r="AN988" s="49"/>
      <c r="AO988" s="49"/>
      <c r="AP988" s="49"/>
      <c r="AQ988" s="49"/>
      <c r="AR988" s="49"/>
      <c r="AS988" s="49"/>
      <c r="AT988" s="49"/>
      <c r="AU988" s="49"/>
      <c r="AV988" s="49"/>
      <c r="AW988" s="49"/>
      <c r="AX988" s="49"/>
    </row>
    <row r="989">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c r="AA989" s="49"/>
      <c r="AB989" s="49"/>
      <c r="AC989" s="49"/>
      <c r="AD989" s="49"/>
      <c r="AE989" s="49"/>
      <c r="AF989" s="49"/>
      <c r="AG989" s="49"/>
      <c r="AH989" s="49"/>
      <c r="AI989" s="49"/>
      <c r="AJ989" s="49"/>
      <c r="AK989" s="49"/>
      <c r="AL989" s="49"/>
      <c r="AM989" s="49"/>
      <c r="AN989" s="49"/>
      <c r="AO989" s="49"/>
      <c r="AP989" s="49"/>
      <c r="AQ989" s="49"/>
      <c r="AR989" s="49"/>
      <c r="AS989" s="49"/>
      <c r="AT989" s="49"/>
      <c r="AU989" s="49"/>
      <c r="AV989" s="49"/>
      <c r="AW989" s="49"/>
      <c r="AX989" s="49"/>
    </row>
    <row r="990">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c r="AA990" s="49"/>
      <c r="AB990" s="49"/>
      <c r="AC990" s="49"/>
      <c r="AD990" s="49"/>
      <c r="AE990" s="49"/>
      <c r="AF990" s="49"/>
      <c r="AG990" s="49"/>
      <c r="AH990" s="49"/>
      <c r="AI990" s="49"/>
      <c r="AJ990" s="49"/>
      <c r="AK990" s="49"/>
      <c r="AL990" s="49"/>
      <c r="AM990" s="49"/>
      <c r="AN990" s="49"/>
      <c r="AO990" s="49"/>
      <c r="AP990" s="49"/>
      <c r="AQ990" s="49"/>
      <c r="AR990" s="49"/>
      <c r="AS990" s="49"/>
      <c r="AT990" s="49"/>
      <c r="AU990" s="49"/>
      <c r="AV990" s="49"/>
      <c r="AW990" s="49"/>
      <c r="AX990" s="49"/>
    </row>
    <row r="991">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c r="AA991" s="49"/>
      <c r="AB991" s="49"/>
      <c r="AC991" s="49"/>
      <c r="AD991" s="49"/>
      <c r="AE991" s="49"/>
      <c r="AF991" s="49"/>
      <c r="AG991" s="49"/>
      <c r="AH991" s="49"/>
      <c r="AI991" s="49"/>
      <c r="AJ991" s="49"/>
      <c r="AK991" s="49"/>
      <c r="AL991" s="49"/>
      <c r="AM991" s="49"/>
      <c r="AN991" s="49"/>
      <c r="AO991" s="49"/>
      <c r="AP991" s="49"/>
      <c r="AQ991" s="49"/>
      <c r="AR991" s="49"/>
      <c r="AS991" s="49"/>
      <c r="AT991" s="49"/>
      <c r="AU991" s="49"/>
      <c r="AV991" s="49"/>
      <c r="AW991" s="49"/>
      <c r="AX991" s="49"/>
    </row>
    <row r="992">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c r="AA992" s="49"/>
      <c r="AB992" s="49"/>
      <c r="AC992" s="49"/>
      <c r="AD992" s="49"/>
      <c r="AE992" s="49"/>
      <c r="AF992" s="49"/>
      <c r="AG992" s="49"/>
      <c r="AH992" s="49"/>
      <c r="AI992" s="49"/>
      <c r="AJ992" s="49"/>
      <c r="AK992" s="49"/>
      <c r="AL992" s="49"/>
      <c r="AM992" s="49"/>
      <c r="AN992" s="49"/>
      <c r="AO992" s="49"/>
      <c r="AP992" s="49"/>
      <c r="AQ992" s="49"/>
      <c r="AR992" s="49"/>
      <c r="AS992" s="49"/>
      <c r="AT992" s="49"/>
      <c r="AU992" s="49"/>
      <c r="AV992" s="49"/>
      <c r="AW992" s="49"/>
      <c r="AX992" s="49"/>
    </row>
    <row r="993">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c r="AA993" s="49"/>
      <c r="AB993" s="49"/>
      <c r="AC993" s="49"/>
      <c r="AD993" s="49"/>
      <c r="AE993" s="49"/>
      <c r="AF993" s="49"/>
      <c r="AG993" s="49"/>
      <c r="AH993" s="49"/>
      <c r="AI993" s="49"/>
      <c r="AJ993" s="49"/>
      <c r="AK993" s="49"/>
      <c r="AL993" s="49"/>
      <c r="AM993" s="49"/>
      <c r="AN993" s="49"/>
      <c r="AO993" s="49"/>
      <c r="AP993" s="49"/>
      <c r="AQ993" s="49"/>
      <c r="AR993" s="49"/>
      <c r="AS993" s="49"/>
      <c r="AT993" s="49"/>
      <c r="AU993" s="49"/>
      <c r="AV993" s="49"/>
      <c r="AW993" s="49"/>
      <c r="AX993" s="49"/>
    </row>
    <row r="994">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c r="AA994" s="49"/>
      <c r="AB994" s="49"/>
      <c r="AC994" s="49"/>
      <c r="AD994" s="49"/>
      <c r="AE994" s="49"/>
      <c r="AF994" s="49"/>
      <c r="AG994" s="49"/>
      <c r="AH994" s="49"/>
      <c r="AI994" s="49"/>
      <c r="AJ994" s="49"/>
      <c r="AK994" s="49"/>
      <c r="AL994" s="49"/>
      <c r="AM994" s="49"/>
      <c r="AN994" s="49"/>
      <c r="AO994" s="49"/>
      <c r="AP994" s="49"/>
      <c r="AQ994" s="49"/>
      <c r="AR994" s="49"/>
      <c r="AS994" s="49"/>
      <c r="AT994" s="49"/>
      <c r="AU994" s="49"/>
      <c r="AV994" s="49"/>
      <c r="AW994" s="49"/>
      <c r="AX994" s="49"/>
    </row>
    <row r="99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c r="AA995" s="49"/>
      <c r="AB995" s="49"/>
      <c r="AC995" s="49"/>
      <c r="AD995" s="49"/>
      <c r="AE995" s="49"/>
      <c r="AF995" s="49"/>
      <c r="AG995" s="49"/>
      <c r="AH995" s="49"/>
      <c r="AI995" s="49"/>
      <c r="AJ995" s="49"/>
      <c r="AK995" s="49"/>
      <c r="AL995" s="49"/>
      <c r="AM995" s="49"/>
      <c r="AN995" s="49"/>
      <c r="AO995" s="49"/>
      <c r="AP995" s="49"/>
      <c r="AQ995" s="49"/>
      <c r="AR995" s="49"/>
      <c r="AS995" s="49"/>
      <c r="AT995" s="49"/>
      <c r="AU995" s="49"/>
      <c r="AV995" s="49"/>
      <c r="AW995" s="49"/>
      <c r="AX995" s="49"/>
    </row>
    <row r="996">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c r="AA996" s="49"/>
      <c r="AB996" s="49"/>
      <c r="AC996" s="49"/>
      <c r="AD996" s="49"/>
      <c r="AE996" s="49"/>
      <c r="AF996" s="49"/>
      <c r="AG996" s="49"/>
      <c r="AH996" s="49"/>
      <c r="AI996" s="49"/>
      <c r="AJ996" s="49"/>
      <c r="AK996" s="49"/>
      <c r="AL996" s="49"/>
      <c r="AM996" s="49"/>
      <c r="AN996" s="49"/>
      <c r="AO996" s="49"/>
      <c r="AP996" s="49"/>
      <c r="AQ996" s="49"/>
      <c r="AR996" s="49"/>
      <c r="AS996" s="49"/>
      <c r="AT996" s="49"/>
      <c r="AU996" s="49"/>
      <c r="AV996" s="49"/>
      <c r="AW996" s="49"/>
      <c r="AX996" s="49"/>
    </row>
    <row r="997">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c r="AA997" s="49"/>
      <c r="AB997" s="49"/>
      <c r="AC997" s="49"/>
      <c r="AD997" s="49"/>
      <c r="AE997" s="49"/>
      <c r="AF997" s="49"/>
      <c r="AG997" s="49"/>
      <c r="AH997" s="49"/>
      <c r="AI997" s="49"/>
      <c r="AJ997" s="49"/>
      <c r="AK997" s="49"/>
      <c r="AL997" s="49"/>
      <c r="AM997" s="49"/>
      <c r="AN997" s="49"/>
      <c r="AO997" s="49"/>
      <c r="AP997" s="49"/>
      <c r="AQ997" s="49"/>
      <c r="AR997" s="49"/>
      <c r="AS997" s="49"/>
      <c r="AT997" s="49"/>
      <c r="AU997" s="49"/>
      <c r="AV997" s="49"/>
      <c r="AW997" s="49"/>
      <c r="AX997" s="49"/>
    </row>
    <row r="998">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c r="AA998" s="49"/>
      <c r="AB998" s="49"/>
      <c r="AC998" s="49"/>
      <c r="AD998" s="49"/>
      <c r="AE998" s="49"/>
      <c r="AF998" s="49"/>
      <c r="AG998" s="49"/>
      <c r="AH998" s="49"/>
      <c r="AI998" s="49"/>
      <c r="AJ998" s="49"/>
      <c r="AK998" s="49"/>
      <c r="AL998" s="49"/>
      <c r="AM998" s="49"/>
      <c r="AN998" s="49"/>
      <c r="AO998" s="49"/>
      <c r="AP998" s="49"/>
      <c r="AQ998" s="49"/>
      <c r="AR998" s="49"/>
      <c r="AS998" s="49"/>
      <c r="AT998" s="49"/>
      <c r="AU998" s="49"/>
      <c r="AV998" s="49"/>
      <c r="AW998" s="49"/>
      <c r="AX998" s="49"/>
    </row>
    <row r="999">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c r="AA999" s="49"/>
      <c r="AB999" s="49"/>
      <c r="AC999" s="49"/>
      <c r="AD999" s="49"/>
      <c r="AE999" s="49"/>
      <c r="AF999" s="49"/>
      <c r="AG999" s="49"/>
      <c r="AH999" s="49"/>
      <c r="AI999" s="49"/>
      <c r="AJ999" s="49"/>
      <c r="AK999" s="49"/>
      <c r="AL999" s="49"/>
      <c r="AM999" s="49"/>
      <c r="AN999" s="49"/>
      <c r="AO999" s="49"/>
      <c r="AP999" s="49"/>
      <c r="AQ999" s="49"/>
      <c r="AR999" s="49"/>
      <c r="AS999" s="49"/>
      <c r="AT999" s="49"/>
      <c r="AU999" s="49"/>
      <c r="AV999" s="49"/>
      <c r="AW999" s="49"/>
      <c r="AX999" s="49"/>
    </row>
    <row r="1000">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c r="AA1000" s="49"/>
      <c r="AB1000" s="49"/>
      <c r="AC1000" s="49"/>
      <c r="AD1000" s="49"/>
      <c r="AE1000" s="49"/>
      <c r="AF1000" s="49"/>
      <c r="AG1000" s="49"/>
      <c r="AH1000" s="49"/>
      <c r="AI1000" s="49"/>
      <c r="AJ1000" s="49"/>
      <c r="AK1000" s="49"/>
      <c r="AL1000" s="49"/>
      <c r="AM1000" s="49"/>
      <c r="AN1000" s="49"/>
      <c r="AO1000" s="49"/>
      <c r="AP1000" s="49"/>
      <c r="AQ1000" s="49"/>
      <c r="AR1000" s="49"/>
      <c r="AS1000" s="49"/>
      <c r="AT1000" s="49"/>
      <c r="AU1000" s="49"/>
      <c r="AV1000" s="49"/>
      <c r="AW1000" s="49"/>
      <c r="AX1000" s="49"/>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9" t="str">
        <f>IFERROR(__xludf.DUMMYFUNCTION("IMPORTRANGE(""https://docs.google.com/spreadsheets/d/""&amp;Config!B1,""Items!A:C"")"),"Name")</f>
        <v>Name</v>
      </c>
      <c r="B1" s="49" t="str">
        <f>IFERROR(__xludf.DUMMYFUNCTION("""COMPUTED_VALUE"""),"Description")</f>
        <v>Description</v>
      </c>
      <c r="C1" s="49" t="str">
        <f>IFERROR(__xludf.DUMMYFUNCTION("""COMPUTED_VALUE"""),"Type")</f>
        <v>Type</v>
      </c>
    </row>
    <row r="2">
      <c r="A2" s="49" t="str">
        <f>IFERROR(__xludf.DUMMYFUNCTION("""COMPUTED_VALUE"""),"Nothing")</f>
        <v>Nothing</v>
      </c>
      <c r="B2" s="49"/>
      <c r="C2" s="49"/>
    </row>
    <row r="3">
      <c r="A3" s="49" t="str">
        <f>IFERROR(__xludf.DUMMYFUNCTION("""COMPUTED_VALUE"""),"Slime core")</f>
        <v>Slime core</v>
      </c>
      <c r="B3" s="49" t="str">
        <f>IFERROR(__xludf.DUMMYFUNCTION("""COMPUTED_VALUE"""),"restores 5 SP; can be used to make mana potions")</f>
        <v>restores 5 SP; can be used to make mana potions</v>
      </c>
      <c r="C3" s="49" t="str">
        <f>IFERROR(__xludf.DUMMYFUNCTION("""COMPUTED_VALUE"""),"Item")</f>
        <v>Item</v>
      </c>
    </row>
    <row r="4">
      <c r="A4" s="49" t="str">
        <f>IFERROR(__xludf.DUMMYFUNCTION("""COMPUTED_VALUE"""),"Mysterious egg")</f>
        <v>Mysterious egg</v>
      </c>
      <c r="B4" s="49" t="str">
        <f>IFERROR(__xludf.DUMMYFUNCTION("""COMPUTED_VALUE"""),"This egg will be determined by DM/GM")</f>
        <v>This egg will be determined by DM/GM</v>
      </c>
      <c r="C4" s="49" t="str">
        <f>IFERROR(__xludf.DUMMYFUNCTION("""COMPUTED_VALUE"""),"Item")</f>
        <v>Item</v>
      </c>
    </row>
    <row r="5">
      <c r="A5" s="49" t="str">
        <f>IFERROR(__xludf.DUMMYFUNCTION("""COMPUTED_VALUE"""),"Emerald of Luck")</f>
        <v>Emerald of Luck</v>
      </c>
      <c r="B5" s="49" t="str">
        <f>IFERROR(__xludf.DUMMYFUNCTION("""COMPUTED_VALUE"""),"It’s said when holding one of these you feel like it's a happy spring day...")</f>
        <v>It’s said when holding one of these you feel like it's a happy spring day...</v>
      </c>
      <c r="C5" s="49" t="str">
        <f>IFERROR(__xludf.DUMMYFUNCTION("""COMPUTED_VALUE"""),"Item")</f>
        <v>Item</v>
      </c>
    </row>
    <row r="6">
      <c r="A6" s="49" t="str">
        <f>IFERROR(__xludf.DUMMYFUNCTION("""COMPUTED_VALUE"""),"Gold")</f>
        <v>Gold</v>
      </c>
      <c r="B6" s="49" t="str">
        <f>IFERROR(__xludf.DUMMYFUNCTION("""COMPUTED_VALUE"""),"Crafting Material, roll a d20 to see how many you get if this is a loot drop.l. Can be used to repair an item.")</f>
        <v>Crafting Material, roll a d20 to see how many you get if this is a loot drop.l. Can be used to repair an item.</v>
      </c>
      <c r="C6" s="49" t="str">
        <f>IFERROR(__xludf.DUMMYFUNCTION("""COMPUTED_VALUE"""),"Item")</f>
        <v>Item</v>
      </c>
    </row>
    <row r="7">
      <c r="A7" s="49" t="str">
        <f>IFERROR(__xludf.DUMMYFUNCTION("""COMPUTED_VALUE"""),"Iron")</f>
        <v>Iron</v>
      </c>
      <c r="B7" s="49" t="str">
        <f>IFERROR(__xludf.DUMMYFUNCTION("""COMPUTED_VALUE"""),"Crafting Material, roll a d20 to see how many you get if this is a loot drop.. Can be used to repair an item.")</f>
        <v>Crafting Material, roll a d20 to see how many you get if this is a loot drop.. Can be used to repair an item.</v>
      </c>
      <c r="C7" s="49" t="str">
        <f>IFERROR(__xludf.DUMMYFUNCTION("""COMPUTED_VALUE"""),"Item")</f>
        <v>Item</v>
      </c>
    </row>
    <row r="8">
      <c r="A8" s="49" t="str">
        <f>IFERROR(__xludf.DUMMYFUNCTION("""COMPUTED_VALUE"""),"Dragon scales")</f>
        <v>Dragon scales</v>
      </c>
      <c r="B8" s="49" t="str">
        <f>IFERROR(__xludf.DUMMYFUNCTION("""COMPUTED_VALUE"""),"Crafting Material, roll a d20 to see how many you get if this is a loot drop.. Can be used to repair an item.")</f>
        <v>Crafting Material, roll a d20 to see how many you get if this is a loot drop.. Can be used to repair an item.</v>
      </c>
      <c r="C8" s="49" t="str">
        <f>IFERROR(__xludf.DUMMYFUNCTION("""COMPUTED_VALUE"""),"Item")</f>
        <v>Item</v>
      </c>
    </row>
    <row r="9">
      <c r="A9" s="49" t="str">
        <f>IFERROR(__xludf.DUMMYFUNCTION("""COMPUTED_VALUE"""),"Desert Emerald")</f>
        <v>Desert Emerald</v>
      </c>
      <c r="B9" s="49" t="str">
        <f>IFERROR(__xludf.DUMMYFUNCTION("""COMPUTED_VALUE"""),"Crafting Material, roll a d20 to see how many you get if this is a loot drop.. Can be used to repair an item.")</f>
        <v>Crafting Material, roll a d20 to see how many you get if this is a loot drop.. Can be used to repair an item.</v>
      </c>
      <c r="C9" s="49" t="str">
        <f>IFERROR(__xludf.DUMMYFUNCTION("""COMPUTED_VALUE"""),"Item")</f>
        <v>Item</v>
      </c>
    </row>
    <row r="10">
      <c r="A10" s="49" t="str">
        <f>IFERROR(__xludf.DUMMYFUNCTION("""COMPUTED_VALUE"""),"Desert Ruby")</f>
        <v>Desert Ruby</v>
      </c>
      <c r="B10" s="49" t="str">
        <f>IFERROR(__xludf.DUMMYFUNCTION("""COMPUTED_VALUE"""),"Crafting Material, roll a d20 to see how many you get if this is a loot drop.. Can be used to repair an item.")</f>
        <v>Crafting Material, roll a d20 to see how many you get if this is a loot drop.. Can be used to repair an item.</v>
      </c>
      <c r="C10" s="49" t="str">
        <f>IFERROR(__xludf.DUMMYFUNCTION("""COMPUTED_VALUE"""),"Item")</f>
        <v>Item</v>
      </c>
    </row>
    <row r="11">
      <c r="A11" s="49" t="str">
        <f>IFERROR(__xludf.DUMMYFUNCTION("""COMPUTED_VALUE"""),"Diamonds")</f>
        <v>Diamonds</v>
      </c>
      <c r="B11" s="49" t="str">
        <f>IFERROR(__xludf.DUMMYFUNCTION("""COMPUTED_VALUE"""),"Crafting Material, roll a d20 to see how many you get if this is a loot drop.. Can be used to repair an item.")</f>
        <v>Crafting Material, roll a d20 to see how many you get if this is a loot drop.. Can be used to repair an item.</v>
      </c>
      <c r="C11" s="49" t="str">
        <f>IFERROR(__xludf.DUMMYFUNCTION("""COMPUTED_VALUE"""),"Item")</f>
        <v>Item</v>
      </c>
    </row>
    <row r="12">
      <c r="A12" s="49" t="str">
        <f>IFERROR(__xludf.DUMMYFUNCTION("""COMPUTED_VALUE"""),"Bricks")</f>
        <v>Bricks</v>
      </c>
      <c r="B12" s="49" t="str">
        <f>IFERROR(__xludf.DUMMYFUNCTION("""COMPUTED_VALUE"""),"Crafting Material, roll a d20 to see how many you get if this is a loot drop.. Can be used to repair an item.")</f>
        <v>Crafting Material, roll a d20 to see how many you get if this is a loot drop.. Can be used to repair an item.</v>
      </c>
      <c r="C12" s="49" t="str">
        <f>IFERROR(__xludf.DUMMYFUNCTION("""COMPUTED_VALUE"""),"Item")</f>
        <v>Item</v>
      </c>
    </row>
    <row r="13">
      <c r="A13" s="49" t="str">
        <f>IFERROR(__xludf.DUMMYFUNCTION("""COMPUTED_VALUE"""),"Obsidian")</f>
        <v>Obsidian</v>
      </c>
      <c r="B13" s="49"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49" t="str">
        <f>IFERROR(__xludf.DUMMYFUNCTION("""COMPUTED_VALUE"""),"Item")</f>
        <v>Item</v>
      </c>
    </row>
    <row r="14">
      <c r="A14" s="49" t="str">
        <f>IFERROR(__xludf.DUMMYFUNCTION("""COMPUTED_VALUE"""),"Sand")</f>
        <v>Sand</v>
      </c>
      <c r="B14" s="49"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49" t="str">
        <f>IFERROR(__xludf.DUMMYFUNCTION("""COMPUTED_VALUE"""),"Item")</f>
        <v>Item</v>
      </c>
    </row>
    <row r="15">
      <c r="A15" s="49" t="str">
        <f>IFERROR(__xludf.DUMMYFUNCTION("""COMPUTED_VALUE"""),"Glowing rocks")</f>
        <v>Glowing rocks</v>
      </c>
      <c r="B15" s="49" t="str">
        <f>IFERROR(__xludf.DUMMYFUNCTION("""COMPUTED_VALUE""")," Can be forged into armor or a weapon to give it +200 additional light damage or resistance")</f>
        <v> Can be forged into armor or a weapon to give it +200 additional light damage or resistance</v>
      </c>
      <c r="C15" s="49" t="str">
        <f>IFERROR(__xludf.DUMMYFUNCTION("""COMPUTED_VALUE"""),"Item")</f>
        <v>Item</v>
      </c>
    </row>
    <row r="16">
      <c r="A16" s="49" t="str">
        <f>IFERROR(__xludf.DUMMYFUNCTION("""COMPUTED_VALUE"""),"Steel")</f>
        <v>Steel</v>
      </c>
      <c r="B16" s="49" t="str">
        <f>IFERROR(__xludf.DUMMYFUNCTION("""COMPUTED_VALUE"""),"Crafting Material, roll a d20 to see how many you get if this is a loot drop. Can be used to repair an item. ")</f>
        <v>Crafting Material, roll a d20 to see how many you get if this is a loot drop. Can be used to repair an item. </v>
      </c>
      <c r="C16" s="49" t="str">
        <f>IFERROR(__xludf.DUMMYFUNCTION("""COMPUTED_VALUE"""),"Item")</f>
        <v>Item</v>
      </c>
    </row>
    <row r="17">
      <c r="A17" s="49" t="str">
        <f>IFERROR(__xludf.DUMMYFUNCTION("""COMPUTED_VALUE"""),"Silver")</f>
        <v>Silver</v>
      </c>
      <c r="B17" s="49"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49" t="str">
        <f>IFERROR(__xludf.DUMMYFUNCTION("""COMPUTED_VALUE"""),"Item")</f>
        <v>Item</v>
      </c>
    </row>
    <row r="18">
      <c r="A18" s="49" t="str">
        <f>IFERROR(__xludf.DUMMYFUNCTION("""COMPUTED_VALUE"""),"Chains")</f>
        <v>Chains</v>
      </c>
      <c r="B18" s="49"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49" t="str">
        <f>IFERROR(__xludf.DUMMYFUNCTION("""COMPUTED_VALUE"""),"Item")</f>
        <v>Item</v>
      </c>
    </row>
    <row r="19">
      <c r="A19" s="49" t="str">
        <f>IFERROR(__xludf.DUMMYFUNCTION("""COMPUTED_VALUE"""),"Steel Pickaxe ")</f>
        <v>Steel Pickaxe </v>
      </c>
      <c r="B19" s="49" t="str">
        <f>IFERROR(__xludf.DUMMYFUNCTION("""COMPUTED_VALUE"""),"40/40 Uses. Used for mining.")</f>
        <v>40/40 Uses. Used for mining.</v>
      </c>
      <c r="C19" s="49" t="str">
        <f>IFERROR(__xludf.DUMMYFUNCTION("""COMPUTED_VALUE"""),"Item")</f>
        <v>Item</v>
      </c>
    </row>
    <row r="20">
      <c r="A20" s="49" t="str">
        <f>IFERROR(__xludf.DUMMYFUNCTION("""COMPUTED_VALUE"""),"Haggis Bowl")</f>
        <v>Haggis Bowl</v>
      </c>
      <c r="B20" s="49" t="str">
        <f>IFERROR(__xludf.DUMMYFUNCTION("""COMPUTED_VALUE"""),"Restores 75 Hunger +50 energy")</f>
        <v>Restores 75 Hunger +50 energy</v>
      </c>
      <c r="C20" s="49" t="str">
        <f>IFERROR(__xludf.DUMMYFUNCTION("""COMPUTED_VALUE"""),"Crop")</f>
        <v>Crop</v>
      </c>
    </row>
    <row r="21">
      <c r="A21" s="49" t="str">
        <f>IFERROR(__xludf.DUMMYFUNCTION("""COMPUTED_VALUE"""),"Chunk of Salmon")</f>
        <v>Chunk of Salmon</v>
      </c>
      <c r="B21" s="49" t="str">
        <f>IFERROR(__xludf.DUMMYFUNCTION("""COMPUTED_VALUE"""),"Restores 10 Hunger +5 energy")</f>
        <v>Restores 10 Hunger +5 energy</v>
      </c>
      <c r="C21" s="49" t="str">
        <f>IFERROR(__xludf.DUMMYFUNCTION("""COMPUTED_VALUE"""),"Crop")</f>
        <v>Crop</v>
      </c>
    </row>
    <row r="22">
      <c r="A22" s="49" t="str">
        <f>IFERROR(__xludf.DUMMYFUNCTION("""COMPUTED_VALUE"""),"Dragon Jerky")</f>
        <v>Dragon Jerky</v>
      </c>
      <c r="B22" s="49" t="str">
        <f>IFERROR(__xludf.DUMMYFUNCTION("""COMPUTED_VALUE"""),"Restores 100 Hunger + 100 energy")</f>
        <v>Restores 100 Hunger + 100 energy</v>
      </c>
      <c r="C22" s="49" t="str">
        <f>IFERROR(__xludf.DUMMYFUNCTION("""COMPUTED_VALUE"""),"Crop")</f>
        <v>Crop</v>
      </c>
    </row>
    <row r="23">
      <c r="A23" s="49" t="str">
        <f>IFERROR(__xludf.DUMMYFUNCTION("""COMPUTED_VALUE"""),"Bacon Strip")</f>
        <v>Bacon Strip</v>
      </c>
      <c r="B23" s="49" t="str">
        <f>IFERROR(__xludf.DUMMYFUNCTION("""COMPUTED_VALUE"""),"Restores 5 Hunger +4 energy")</f>
        <v>Restores 5 Hunger +4 energy</v>
      </c>
      <c r="C23" s="49" t="str">
        <f>IFERROR(__xludf.DUMMYFUNCTION("""COMPUTED_VALUE"""),"Crop")</f>
        <v>Crop</v>
      </c>
    </row>
    <row r="24">
      <c r="A24" s="49" t="str">
        <f>IFERROR(__xludf.DUMMYFUNCTION("""COMPUTED_VALUE"""),"Smoked Salmon")</f>
        <v>Smoked Salmon</v>
      </c>
      <c r="B24" s="49" t="str">
        <f>IFERROR(__xludf.DUMMYFUNCTION("""COMPUTED_VALUE"""),"Restores 20 Hunger +10 energy")</f>
        <v>Restores 20 Hunger +10 energy</v>
      </c>
      <c r="C24" s="49" t="str">
        <f>IFERROR(__xludf.DUMMYFUNCTION("""COMPUTED_VALUE"""),"Crop")</f>
        <v>Crop</v>
      </c>
    </row>
    <row r="25">
      <c r="A25" s="49" t="str">
        <f>IFERROR(__xludf.DUMMYFUNCTION("""COMPUTED_VALUE"""),"Smoked Lamb")</f>
        <v>Smoked Lamb</v>
      </c>
      <c r="B25" s="49" t="str">
        <f>IFERROR(__xludf.DUMMYFUNCTION("""COMPUTED_VALUE"""),"Restores 25 Hunger")</f>
        <v>Restores 25 Hunger</v>
      </c>
      <c r="C25" s="49" t="str">
        <f>IFERROR(__xludf.DUMMYFUNCTION("""COMPUTED_VALUE"""),"Crop")</f>
        <v>Crop</v>
      </c>
    </row>
    <row r="26">
      <c r="A26" s="49" t="str">
        <f>IFERROR(__xludf.DUMMYFUNCTION("""COMPUTED_VALUE"""),"Volcanic Venison")</f>
        <v>Volcanic Venison</v>
      </c>
      <c r="B26" s="49" t="str">
        <f>IFERROR(__xludf.DUMMYFUNCTION("""COMPUTED_VALUE"""),"Restores 50 Hunger")</f>
        <v>Restores 50 Hunger</v>
      </c>
      <c r="C26" s="49" t="str">
        <f>IFERROR(__xludf.DUMMYFUNCTION("""COMPUTED_VALUE"""),"Crop")</f>
        <v>Crop</v>
      </c>
    </row>
    <row r="27">
      <c r="A27" s="49" t="str">
        <f>IFERROR(__xludf.DUMMYFUNCTION("""COMPUTED_VALUE"""),"Pulled Pork")</f>
        <v>Pulled Pork</v>
      </c>
      <c r="B27" s="49" t="str">
        <f>IFERROR(__xludf.DUMMYFUNCTION("""COMPUTED_VALUE"""),"Restores 40 Hunger")</f>
        <v>Restores 40 Hunger</v>
      </c>
      <c r="C27" s="49" t="str">
        <f>IFERROR(__xludf.DUMMYFUNCTION("""COMPUTED_VALUE"""),"Crop")</f>
        <v>Crop</v>
      </c>
    </row>
    <row r="28">
      <c r="A28" s="49" t="str">
        <f>IFERROR(__xludf.DUMMYFUNCTION("""COMPUTED_VALUE"""),"Honeyed Nordic Mead")</f>
        <v>Honeyed Nordic Mead</v>
      </c>
      <c r="B28" s="49" t="str">
        <f>IFERROR(__xludf.DUMMYFUNCTION("""COMPUTED_VALUE"""),"Restores 100 Thirst +100 energy")</f>
        <v>Restores 100 Thirst +100 energy</v>
      </c>
      <c r="C28" s="49" t="str">
        <f>IFERROR(__xludf.DUMMYFUNCTION("""COMPUTED_VALUE"""),"Item")</f>
        <v>Item</v>
      </c>
    </row>
    <row r="29">
      <c r="A29" s="49" t="str">
        <f>IFERROR(__xludf.DUMMYFUNCTION("""COMPUTED_VALUE"""),"Wine")</f>
        <v>Wine</v>
      </c>
      <c r="B29" s="49" t="str">
        <f>IFERROR(__xludf.DUMMYFUNCTION("""COMPUTED_VALUE"""),"Restores 25 Thirst +15 energy")</f>
        <v>Restores 25 Thirst +15 energy</v>
      </c>
      <c r="C29" s="49" t="str">
        <f>IFERROR(__xludf.DUMMYFUNCTION("""COMPUTED_VALUE"""),"Item")</f>
        <v>Item</v>
      </c>
    </row>
    <row r="30">
      <c r="A30" s="49" t="str">
        <f>IFERROR(__xludf.DUMMYFUNCTION("""COMPUTED_VALUE"""),"Melomel (Mead w/ fruit added)")</f>
        <v>Melomel (Mead w/ fruit added)</v>
      </c>
      <c r="B30" s="49" t="str">
        <f>IFERROR(__xludf.DUMMYFUNCTION("""COMPUTED_VALUE"""),"Restores 50 Thirst and hunger +25 energy")</f>
        <v>Restores 50 Thirst and hunger +25 energy</v>
      </c>
      <c r="C30" s="49" t="str">
        <f>IFERROR(__xludf.DUMMYFUNCTION("""COMPUTED_VALUE"""),"Crop")</f>
        <v>Crop</v>
      </c>
    </row>
    <row r="31">
      <c r="A31" s="49" t="str">
        <f>IFERROR(__xludf.DUMMYFUNCTION("""COMPUTED_VALUE"""),"Docile Desert Djinn Gin")</f>
        <v>Docile Desert Djinn Gin</v>
      </c>
      <c r="B31" s="49"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49" t="str">
        <f>IFERROR(__xludf.DUMMYFUNCTION("""COMPUTED_VALUE"""),"Item")</f>
        <v>Item</v>
      </c>
    </row>
    <row r="32">
      <c r="A32" s="49" t="str">
        <f>IFERROR(__xludf.DUMMYFUNCTION("""COMPUTED_VALUE"""),"Small Battery")</f>
        <v>Small Battery</v>
      </c>
      <c r="B32" s="49" t="str">
        <f>IFERROR(__xludf.DUMMYFUNCTION("""COMPUTED_VALUE"""),"Restores 100 energy.")</f>
        <v>Restores 100 energy.</v>
      </c>
      <c r="C32" s="49" t="str">
        <f>IFERROR(__xludf.DUMMYFUNCTION("""COMPUTED_VALUE"""),"Item")</f>
        <v>Item</v>
      </c>
    </row>
    <row r="33">
      <c r="A33" s="49" t="str">
        <f>IFERROR(__xludf.DUMMYFUNCTION("""COMPUTED_VALUE"""),"Medium Battery")</f>
        <v>Medium Battery</v>
      </c>
      <c r="B33" s="49" t="str">
        <f>IFERROR(__xludf.DUMMYFUNCTION("""COMPUTED_VALUE"""),"Restores 250 energy.")</f>
        <v>Restores 250 energy.</v>
      </c>
      <c r="C33" s="49" t="str">
        <f>IFERROR(__xludf.DUMMYFUNCTION("""COMPUTED_VALUE"""),"Item")</f>
        <v>Item</v>
      </c>
    </row>
    <row r="34">
      <c r="A34" s="49" t="str">
        <f>IFERROR(__xludf.DUMMYFUNCTION("""COMPUTED_VALUE"""),"Large Battery")</f>
        <v>Large Battery</v>
      </c>
      <c r="B34" s="49" t="str">
        <f>IFERROR(__xludf.DUMMYFUNCTION("""COMPUTED_VALUE"""),"Restores 500 energy.")</f>
        <v>Restores 500 energy.</v>
      </c>
      <c r="C34" s="49" t="str">
        <f>IFERROR(__xludf.DUMMYFUNCTION("""COMPUTED_VALUE"""),"Item")</f>
        <v>Item</v>
      </c>
    </row>
    <row r="35">
      <c r="A35" s="49" t="str">
        <f>IFERROR(__xludf.DUMMYFUNCTION("""COMPUTED_VALUE"""),"Wind Queen's Soul")</f>
        <v>Wind Queen's Soul</v>
      </c>
      <c r="B35" s="49" t="str">
        <f>IFERROR(__xludf.DUMMYFUNCTION("""COMPUTED_VALUE"""),"(Quest Item) It pulses with a dark energy")</f>
        <v>(Quest Item) It pulses with a dark energy</v>
      </c>
      <c r="C35" s="49" t="str">
        <f>IFERROR(__xludf.DUMMYFUNCTION("""COMPUTED_VALUE"""),"Item")</f>
        <v>Item</v>
      </c>
    </row>
    <row r="36">
      <c r="A36" s="49" t="str">
        <f>IFERROR(__xludf.DUMMYFUNCTION("""COMPUTED_VALUE"""),"Wave Queen's Soul")</f>
        <v>Wave Queen's Soul</v>
      </c>
      <c r="B36" s="49" t="str">
        <f>IFERROR(__xludf.DUMMYFUNCTION("""COMPUTED_VALUE"""),"(Quest Item) It pulses with a dark energy")</f>
        <v>(Quest Item) It pulses with a dark energy</v>
      </c>
      <c r="C36" s="49" t="str">
        <f>IFERROR(__xludf.DUMMYFUNCTION("""COMPUTED_VALUE"""),"Item")</f>
        <v>Item</v>
      </c>
    </row>
    <row r="37">
      <c r="A37" s="49" t="str">
        <f>IFERROR(__xludf.DUMMYFUNCTION("""COMPUTED_VALUE"""),"Storm King's Soul")</f>
        <v>Storm King's Soul</v>
      </c>
      <c r="B37" s="49" t="str">
        <f>IFERROR(__xludf.DUMMYFUNCTION("""COMPUTED_VALUE"""),"(Quest Item) It pulses with a dark energy")</f>
        <v>(Quest Item) It pulses with a dark energy</v>
      </c>
      <c r="C37" s="49" t="str">
        <f>IFERROR(__xludf.DUMMYFUNCTION("""COMPUTED_VALUE"""),"Item")</f>
        <v>Item</v>
      </c>
    </row>
    <row r="38">
      <c r="A38" s="49" t="str">
        <f>IFERROR(__xludf.DUMMYFUNCTION("""COMPUTED_VALUE"""),"Stone King's Soul")</f>
        <v>Stone King's Soul</v>
      </c>
      <c r="B38" s="49" t="str">
        <f>IFERROR(__xludf.DUMMYFUNCTION("""COMPUTED_VALUE"""),"(Quest Item) It pulses with a dark energy")</f>
        <v>(Quest Item) It pulses with a dark energy</v>
      </c>
      <c r="C38" s="49" t="str">
        <f>IFERROR(__xludf.DUMMYFUNCTION("""COMPUTED_VALUE"""),"Item")</f>
        <v>Item</v>
      </c>
    </row>
    <row r="39">
      <c r="A39" s="49" t="str">
        <f>IFERROR(__xludf.DUMMYFUNCTION("""COMPUTED_VALUE"""),"Inferno King Soul")</f>
        <v>Inferno King Soul</v>
      </c>
      <c r="B39" s="49" t="str">
        <f>IFERROR(__xludf.DUMMYFUNCTION("""COMPUTED_VALUE"""),"(Quest Item) It pulses with a dark energy")</f>
        <v>(Quest Item) It pulses with a dark energy</v>
      </c>
      <c r="C39" s="49" t="str">
        <f>IFERROR(__xludf.DUMMYFUNCTION("""COMPUTED_VALUE"""),"Item")</f>
        <v>Item</v>
      </c>
    </row>
    <row r="40">
      <c r="A40" s="49"/>
      <c r="B40" s="49"/>
      <c r="C40" s="49" t="str">
        <f>IFERROR(__xludf.DUMMYFUNCTION("""COMPUTED_VALUE"""),"Item")</f>
        <v>Item</v>
      </c>
    </row>
    <row r="41">
      <c r="A41" s="49"/>
      <c r="B41" s="49"/>
      <c r="C41" s="49" t="str">
        <f>IFERROR(__xludf.DUMMYFUNCTION("""COMPUTED_VALUE"""),"Item")</f>
        <v>Item</v>
      </c>
    </row>
    <row r="42">
      <c r="A42" s="49"/>
      <c r="B42" s="49"/>
      <c r="C42" s="49" t="str">
        <f>IFERROR(__xludf.DUMMYFUNCTION("""COMPUTED_VALUE"""),"Item")</f>
        <v>Item</v>
      </c>
    </row>
    <row r="43">
      <c r="A43" s="49"/>
      <c r="B43" s="49"/>
      <c r="C43" s="49" t="str">
        <f>IFERROR(__xludf.DUMMYFUNCTION("""COMPUTED_VALUE"""),"Item")</f>
        <v>Item</v>
      </c>
    </row>
    <row r="44">
      <c r="A44" s="49"/>
      <c r="B44" s="49"/>
      <c r="C44" s="49" t="str">
        <f>IFERROR(__xludf.DUMMYFUNCTION("""COMPUTED_VALUE"""),"Item")</f>
        <v>Item</v>
      </c>
    </row>
    <row r="45">
      <c r="A45" s="49"/>
      <c r="B45" s="49"/>
      <c r="C45" s="49" t="str">
        <f>IFERROR(__xludf.DUMMYFUNCTION("""COMPUTED_VALUE"""),"Item")</f>
        <v>Item</v>
      </c>
    </row>
    <row r="46">
      <c r="A46" s="49"/>
      <c r="B46" s="49"/>
      <c r="C46" s="49" t="str">
        <f>IFERROR(__xludf.DUMMYFUNCTION("""COMPUTED_VALUE"""),"Item")</f>
        <v>Item</v>
      </c>
    </row>
    <row r="47">
      <c r="A47" s="49"/>
      <c r="B47" s="49"/>
      <c r="C47" s="49" t="str">
        <f>IFERROR(__xludf.DUMMYFUNCTION("""COMPUTED_VALUE"""),"Item")</f>
        <v>Item</v>
      </c>
    </row>
    <row r="48">
      <c r="A48" s="49"/>
      <c r="B48" s="49"/>
      <c r="C48" s="49" t="str">
        <f>IFERROR(__xludf.DUMMYFUNCTION("""COMPUTED_VALUE"""),"Item")</f>
        <v>Item</v>
      </c>
    </row>
    <row r="49">
      <c r="A49" s="49" t="str">
        <f>IFERROR(__xludf.DUMMYFUNCTION("""COMPUTED_VALUE"""),"Docile Desert Djinn’s Gin")</f>
        <v>Docile Desert Djinn’s Gin</v>
      </c>
      <c r="B49" s="49"/>
      <c r="C49" s="49" t="str">
        <f>IFERROR(__xludf.DUMMYFUNCTION("""COMPUTED_VALUE"""),"Item")</f>
        <v>Item</v>
      </c>
    </row>
    <row r="50">
      <c r="A50" s="49" t="str">
        <f>IFERROR(__xludf.DUMMYFUNCTION("""COMPUTED_VALUE"""),"Minor Health Potion")</f>
        <v>Minor Health Potion</v>
      </c>
      <c r="B50" s="49" t="str">
        <f>IFERROR(__xludf.DUMMYFUNCTION("""COMPUTED_VALUE"""),"Restores 20HP")</f>
        <v>Restores 20HP</v>
      </c>
      <c r="C50" s="49" t="str">
        <f>IFERROR(__xludf.DUMMYFUNCTION("""COMPUTED_VALUE"""),"Item")</f>
        <v>Item</v>
      </c>
    </row>
    <row r="51">
      <c r="A51" s="49" t="str">
        <f>IFERROR(__xludf.DUMMYFUNCTION("""COMPUTED_VALUE"""),"Medium Health Potion")</f>
        <v>Medium Health Potion</v>
      </c>
      <c r="B51" s="49" t="str">
        <f>IFERROR(__xludf.DUMMYFUNCTION("""COMPUTED_VALUE"""),"Restores 50HP")</f>
        <v>Restores 50HP</v>
      </c>
      <c r="C51" s="49" t="str">
        <f>IFERROR(__xludf.DUMMYFUNCTION("""COMPUTED_VALUE"""),"Item")</f>
        <v>Item</v>
      </c>
    </row>
    <row r="52">
      <c r="A52" s="49" t="str">
        <f>IFERROR(__xludf.DUMMYFUNCTION("""COMPUTED_VALUE"""),"Max Health Potion")</f>
        <v>Max Health Potion</v>
      </c>
      <c r="B52" s="49" t="str">
        <f>IFERROR(__xludf.DUMMYFUNCTION("""COMPUTED_VALUE"""),"Restores 100HP")</f>
        <v>Restores 100HP</v>
      </c>
      <c r="C52" s="49" t="str">
        <f>IFERROR(__xludf.DUMMYFUNCTION("""COMPUTED_VALUE"""),"Item")</f>
        <v>Item</v>
      </c>
    </row>
    <row r="53">
      <c r="A53" s="49" t="str">
        <f>IFERROR(__xludf.DUMMYFUNCTION("""COMPUTED_VALUE"""),"Minor Mana Potion")</f>
        <v>Minor Mana Potion</v>
      </c>
      <c r="B53" s="49" t="str">
        <f>IFERROR(__xludf.DUMMYFUNCTION("""COMPUTED_VALUE"""),"Restores 20SP")</f>
        <v>Restores 20SP</v>
      </c>
      <c r="C53" s="49" t="str">
        <f>IFERROR(__xludf.DUMMYFUNCTION("""COMPUTED_VALUE"""),"Item")</f>
        <v>Item</v>
      </c>
    </row>
    <row r="54">
      <c r="A54" s="49" t="str">
        <f>IFERROR(__xludf.DUMMYFUNCTION("""COMPUTED_VALUE"""),"Medium Mana Potion")</f>
        <v>Medium Mana Potion</v>
      </c>
      <c r="B54" s="49" t="str">
        <f>IFERROR(__xludf.DUMMYFUNCTION("""COMPUTED_VALUE"""),"Restores 50SP")</f>
        <v>Restores 50SP</v>
      </c>
      <c r="C54" s="49" t="str">
        <f>IFERROR(__xludf.DUMMYFUNCTION("""COMPUTED_VALUE"""),"Item")</f>
        <v>Item</v>
      </c>
    </row>
    <row r="55">
      <c r="A55" s="49" t="str">
        <f>IFERROR(__xludf.DUMMYFUNCTION("""COMPUTED_VALUE"""),"Max Mana Potion")</f>
        <v>Max Mana Potion</v>
      </c>
      <c r="B55" s="49" t="str">
        <f>IFERROR(__xludf.DUMMYFUNCTION("""COMPUTED_VALUE"""),"Restores 100SP")</f>
        <v>Restores 100SP</v>
      </c>
      <c r="C55" s="49" t="str">
        <f>IFERROR(__xludf.DUMMYFUNCTION("""COMPUTED_VALUE"""),"Item")</f>
        <v>Item</v>
      </c>
    </row>
    <row r="56">
      <c r="A56" s="49" t="str">
        <f>IFERROR(__xludf.DUMMYFUNCTION("""COMPUTED_VALUE"""),"Potion of Multishot")</f>
        <v>Potion of Multishot</v>
      </c>
      <c r="B56" s="49" t="str">
        <f>IFERROR(__xludf.DUMMYFUNCTION("""COMPUTED_VALUE"""),"Allows multishot use without consuming mana")</f>
        <v>Allows multishot use without consuming mana</v>
      </c>
      <c r="C56" s="49" t="str">
        <f>IFERROR(__xludf.DUMMYFUNCTION("""COMPUTED_VALUE"""),"Item")</f>
        <v>Item</v>
      </c>
    </row>
    <row r="57">
      <c r="A57" s="49" t="str">
        <f>IFERROR(__xludf.DUMMYFUNCTION("""COMPUTED_VALUE"""),"Potion of Eel Nado")</f>
        <v>Potion of Eel Nado</v>
      </c>
      <c r="B57" s="49" t="str">
        <f>IFERROR(__xludf.DUMMYFUNCTION("""COMPUTED_VALUE"""),"Allows use of Eel Nado without consuming mana")</f>
        <v>Allows use of Eel Nado without consuming mana</v>
      </c>
      <c r="C57" s="49" t="str">
        <f>IFERROR(__xludf.DUMMYFUNCTION("""COMPUTED_VALUE"""),"Item")</f>
        <v>Item</v>
      </c>
    </row>
    <row r="58">
      <c r="A58" s="49" t="str">
        <f>IFERROR(__xludf.DUMMYFUNCTION("""COMPUTED_VALUE"""),"Potion of Minor Health")</f>
        <v>Potion of Minor Health</v>
      </c>
      <c r="B58" s="49" t="str">
        <f>IFERROR(__xludf.DUMMYFUNCTION("""COMPUTED_VALUE"""),"Restores 10 Health")</f>
        <v>Restores 10 Health</v>
      </c>
      <c r="C58" s="49" t="str">
        <f>IFERROR(__xludf.DUMMYFUNCTION("""COMPUTED_VALUE"""),"Item")</f>
        <v>Item</v>
      </c>
    </row>
    <row r="59">
      <c r="A59" s="49" t="str">
        <f>IFERROR(__xludf.DUMMYFUNCTION("""COMPUTED_VALUE"""),"Potion of Health")</f>
        <v>Potion of Health</v>
      </c>
      <c r="B59" s="49" t="str">
        <f>IFERROR(__xludf.DUMMYFUNCTION("""COMPUTED_VALUE"""),"Restores 50 Health")</f>
        <v>Restores 50 Health</v>
      </c>
      <c r="C59" s="49" t="str">
        <f>IFERROR(__xludf.DUMMYFUNCTION("""COMPUTED_VALUE"""),"Item")</f>
        <v>Item</v>
      </c>
    </row>
    <row r="60">
      <c r="A60" s="49" t="str">
        <f>IFERROR(__xludf.DUMMYFUNCTION("""COMPUTED_VALUE"""),"Potion of Major Health")</f>
        <v>Potion of Major Health</v>
      </c>
      <c r="B60" s="49" t="str">
        <f>IFERROR(__xludf.DUMMYFUNCTION("""COMPUTED_VALUE"""),"Restores 100 Health")</f>
        <v>Restores 100 Health</v>
      </c>
      <c r="C60" s="49" t="str">
        <f>IFERROR(__xludf.DUMMYFUNCTION("""COMPUTED_VALUE"""),"Item")</f>
        <v>Item</v>
      </c>
    </row>
    <row r="61">
      <c r="A61" s="49"/>
      <c r="B61" s="49"/>
      <c r="C61" s="49" t="str">
        <f>IFERROR(__xludf.DUMMYFUNCTION("""COMPUTED_VALUE"""),"Item")</f>
        <v>Item</v>
      </c>
    </row>
    <row r="62">
      <c r="A62" s="49" t="str">
        <f>IFERROR(__xludf.DUMMYFUNCTION("""COMPUTED_VALUE"""),"Potion of Minor Mana")</f>
        <v>Potion of Minor Mana</v>
      </c>
      <c r="B62" s="49" t="str">
        <f>IFERROR(__xludf.DUMMYFUNCTION("""COMPUTED_VALUE"""),"Restores 10 SP")</f>
        <v>Restores 10 SP</v>
      </c>
      <c r="C62" s="49" t="str">
        <f>IFERROR(__xludf.DUMMYFUNCTION("""COMPUTED_VALUE"""),"Item")</f>
        <v>Item</v>
      </c>
    </row>
    <row r="63">
      <c r="A63" s="49" t="str">
        <f>IFERROR(__xludf.DUMMYFUNCTION("""COMPUTED_VALUE"""),"Potion of Mana")</f>
        <v>Potion of Mana</v>
      </c>
      <c r="B63" s="49" t="str">
        <f>IFERROR(__xludf.DUMMYFUNCTION("""COMPUTED_VALUE"""),"Restores 50 SP")</f>
        <v>Restores 50 SP</v>
      </c>
      <c r="C63" s="49" t="str">
        <f>IFERROR(__xludf.DUMMYFUNCTION("""COMPUTED_VALUE"""),"Item")</f>
        <v>Item</v>
      </c>
    </row>
    <row r="64">
      <c r="A64" s="49" t="str">
        <f>IFERROR(__xludf.DUMMYFUNCTION("""COMPUTED_VALUE"""),"Potion of Extreme Mana")</f>
        <v>Potion of Extreme Mana</v>
      </c>
      <c r="B64" s="49" t="str">
        <f>IFERROR(__xludf.DUMMYFUNCTION("""COMPUTED_VALUE"""),"Restores 100 SP")</f>
        <v>Restores 100 SP</v>
      </c>
      <c r="C64" s="49" t="str">
        <f>IFERROR(__xludf.DUMMYFUNCTION("""COMPUTED_VALUE"""),"Item")</f>
        <v>Item</v>
      </c>
    </row>
    <row r="65">
      <c r="A65" s="49" t="str">
        <f>IFERROR(__xludf.DUMMYFUNCTION("""COMPUTED_VALUE"""),"Potion of Invigoration")</f>
        <v>Potion of Invigoration</v>
      </c>
      <c r="B65" s="49" t="str">
        <f>IFERROR(__xludf.DUMMYFUNCTION("""COMPUTED_VALUE"""),"Restores 50 SP each turn for 3 rounds")</f>
        <v>Restores 50 SP each turn for 3 rounds</v>
      </c>
      <c r="C65" s="49" t="str">
        <f>IFERROR(__xludf.DUMMYFUNCTION("""COMPUTED_VALUE"""),"Item")</f>
        <v>Item</v>
      </c>
    </row>
    <row r="66">
      <c r="A66" s="49" t="str">
        <f>IFERROR(__xludf.DUMMYFUNCTION("""COMPUTED_VALUE"""),"Potion of Invulnerability")</f>
        <v>Potion of Invulnerability</v>
      </c>
      <c r="B66" s="49" t="str">
        <f>IFERROR(__xludf.DUMMYFUNCTION("""COMPUTED_VALUE"""),"Immune to damage for 3 rounds")</f>
        <v>Immune to damage for 3 rounds</v>
      </c>
      <c r="C66" s="49" t="str">
        <f>IFERROR(__xludf.DUMMYFUNCTION("""COMPUTED_VALUE"""),"Item")</f>
        <v>Item</v>
      </c>
    </row>
    <row r="67">
      <c r="A67" s="49" t="str">
        <f>IFERROR(__xludf.DUMMYFUNCTION("""COMPUTED_VALUE"""),"Potion of Stun Resist")</f>
        <v>Potion of Stun Resist</v>
      </c>
      <c r="B67" s="49" t="str">
        <f>IFERROR(__xludf.DUMMYFUNCTION("""COMPUTED_VALUE"""),"Immune to Stun for 3 rounds")</f>
        <v>Immune to Stun for 3 rounds</v>
      </c>
      <c r="C67" s="49" t="str">
        <f>IFERROR(__xludf.DUMMYFUNCTION("""COMPUTED_VALUE"""),"Item")</f>
        <v>Item</v>
      </c>
    </row>
    <row r="68">
      <c r="A68" s="49" t="str">
        <f>IFERROR(__xludf.DUMMYFUNCTION("""COMPUTED_VALUE"""),"Potion Of Sobriety")</f>
        <v>Potion Of Sobriety</v>
      </c>
      <c r="B68" s="49"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49" t="str">
        <f>IFERROR(__xludf.DUMMYFUNCTION("""COMPUTED_VALUE"""),"Item")</f>
        <v>Item</v>
      </c>
    </row>
    <row r="69">
      <c r="A69" s="49" t="str">
        <f>IFERROR(__xludf.DUMMYFUNCTION("""COMPUTED_VALUE"""),"Legendary Tome")</f>
        <v>Legendary Tome</v>
      </c>
      <c r="B69" s="49" t="str">
        <f>IFERROR(__xludf.DUMMYFUNCTION("""COMPUTED_VALUE"""),"(Quest item)")</f>
        <v>(Quest item)</v>
      </c>
      <c r="C69" s="49" t="str">
        <f>IFERROR(__xludf.DUMMYFUNCTION("""COMPUTED_VALUE"""),"Item")</f>
        <v>Item</v>
      </c>
    </row>
    <row r="70">
      <c r="A70" s="49" t="str">
        <f>IFERROR(__xludf.DUMMYFUNCTION("""COMPUTED_VALUE"""),"Murky Emerald")</f>
        <v>Murky Emerald</v>
      </c>
      <c r="B70" s="49" t="str">
        <f>IFERROR(__xludf.DUMMYFUNCTION("""COMPUTED_VALUE"""),"Crafting Material, roll a d20 to see how many you get if this is a loot drop.")</f>
        <v>Crafting Material, roll a d20 to see how many you get if this is a loot drop.</v>
      </c>
      <c r="C70" s="49" t="str">
        <f>IFERROR(__xludf.DUMMYFUNCTION("""COMPUTED_VALUE"""),"Item")</f>
        <v>Item</v>
      </c>
    </row>
    <row r="71">
      <c r="A71" s="49" t="str">
        <f>IFERROR(__xludf.DUMMYFUNCTION("""COMPUTED_VALUE"""),"Foul Night Swamp water vile")</f>
        <v>Foul Night Swamp water vile</v>
      </c>
      <c r="B71" s="49" t="str">
        <f>IFERROR(__xludf.DUMMYFUNCTION("""COMPUTED_VALUE"""),"Immunity to Nature for 3 rounds.")</f>
        <v>Immunity to Nature for 3 rounds.</v>
      </c>
      <c r="C71" s="49" t="str">
        <f>IFERROR(__xludf.DUMMYFUNCTION("""COMPUTED_VALUE"""),"Item")</f>
        <v>Item</v>
      </c>
    </row>
    <row r="72">
      <c r="A72" s="49" t="str">
        <f>IFERROR(__xludf.DUMMYFUNCTION("""COMPUTED_VALUE"""),"Foul Night Foul Smelling potion")</f>
        <v>Foul Night Foul Smelling potion</v>
      </c>
      <c r="B72" s="49" t="str">
        <f>IFERROR(__xludf.DUMMYFUNCTION("""COMPUTED_VALUE"""),"2500 damage and 2500 nature damage and 500 poison damage for 3 rounds")</f>
        <v>2500 damage and 2500 nature damage and 500 poison damage for 3 rounds</v>
      </c>
      <c r="C72" s="49" t="str">
        <f>IFERROR(__xludf.DUMMYFUNCTION("""COMPUTED_VALUE"""),"Item")</f>
        <v>Item</v>
      </c>
    </row>
    <row r="73">
      <c r="A73" s="49" t="str">
        <f>IFERROR(__xludf.DUMMYFUNCTION("""COMPUTED_VALUE"""),"Swampy Seaweed")</f>
        <v>Swampy Seaweed</v>
      </c>
      <c r="B73" s="49" t="str">
        <f>IFERROR(__xludf.DUMMYFUNCTION("""COMPUTED_VALUE""")," Restores 5000 HP and SP.")</f>
        <v> Restores 5000 HP and SP.</v>
      </c>
      <c r="C73" s="49" t="str">
        <f>IFERROR(__xludf.DUMMYFUNCTION("""COMPUTED_VALUE"""),"Item")</f>
        <v>Item</v>
      </c>
    </row>
    <row r="74">
      <c r="A74" s="49" t="str">
        <f>IFERROR(__xludf.DUMMYFUNCTION("""COMPUTED_VALUE"""),"Foul Night Swamp Bubble Grenade")</f>
        <v>Foul Night Swamp Bubble Grenade</v>
      </c>
      <c r="B74" s="49" t="str">
        <f>IFERROR(__xludf.DUMMYFUNCTION("""COMPUTED_VALUE"""),"Poison 10,000 for 3 rounds.")</f>
        <v>Poison 10,000 for 3 rounds.</v>
      </c>
      <c r="C74" s="49" t="str">
        <f>IFERROR(__xludf.DUMMYFUNCTION("""COMPUTED_VALUE"""),"Item")</f>
        <v>Item</v>
      </c>
    </row>
    <row r="75">
      <c r="A75" s="49" t="str">
        <f>IFERROR(__xludf.DUMMYFUNCTION("""COMPUTED_VALUE"""),"Block of Ice")</f>
        <v>Block of Ice</v>
      </c>
      <c r="B75" s="49" t="str">
        <f>IFERROR(__xludf.DUMMYFUNCTION("""COMPUTED_VALUE"""),"Crafting Material, roll a d20 to see how many you get if this is a loot drop.")</f>
        <v>Crafting Material, roll a d20 to see how many you get if this is a loot drop.</v>
      </c>
      <c r="C75" s="49" t="str">
        <f>IFERROR(__xludf.DUMMYFUNCTION("""COMPUTED_VALUE"""),"Item")</f>
        <v>Item</v>
      </c>
    </row>
    <row r="76">
      <c r="A76" s="49" t="str">
        <f>IFERROR(__xludf.DUMMYFUNCTION("""COMPUTED_VALUE"""),"Frost Kings Map")</f>
        <v>Frost Kings Map</v>
      </c>
      <c r="B76" s="49" t="str">
        <f>IFERROR(__xludf.DUMMYFUNCTION("""COMPUTED_VALUE"""),"Special quest item. Speak to the frost king for more info.")</f>
        <v>Special quest item. Speak to the frost king for more info.</v>
      </c>
      <c r="C76" s="49" t="str">
        <f>IFERROR(__xludf.DUMMYFUNCTION("""COMPUTED_VALUE"""),"Item")</f>
        <v>Item</v>
      </c>
    </row>
    <row r="77">
      <c r="A77" s="49" t="str">
        <f>IFERROR(__xludf.DUMMYFUNCTION("""COMPUTED_VALUE"""),"Bacon")</f>
        <v>Bacon</v>
      </c>
      <c r="B77" s="49" t="str">
        <f>IFERROR(__xludf.DUMMYFUNCTION("""COMPUTED_VALUE"""),"Restores 5 health and 5 hunger")</f>
        <v>Restores 5 health and 5 hunger</v>
      </c>
      <c r="C77" s="49" t="str">
        <f>IFERROR(__xludf.DUMMYFUNCTION("""COMPUTED_VALUE"""),"Crop")</f>
        <v>Crop</v>
      </c>
    </row>
    <row r="78">
      <c r="A78" s="49" t="str">
        <f>IFERROR(__xludf.DUMMYFUNCTION("""COMPUTED_VALUE"""),"Bread")</f>
        <v>Bread</v>
      </c>
      <c r="B78" s="49" t="str">
        <f>IFERROR(__xludf.DUMMYFUNCTION("""COMPUTED_VALUE"""),"10 Hunger")</f>
        <v>10 Hunger</v>
      </c>
      <c r="C78" s="49" t="str">
        <f>IFERROR(__xludf.DUMMYFUNCTION("""COMPUTED_VALUE"""),"Crop")</f>
        <v>Crop</v>
      </c>
    </row>
    <row r="79">
      <c r="A79" s="49" t="str">
        <f>IFERROR(__xludf.DUMMYFUNCTION("""COMPUTED_VALUE"""),"Unknown dried meat")</f>
        <v>Unknown dried meat</v>
      </c>
      <c r="B79" s="49" t="str">
        <f>IFERROR(__xludf.DUMMYFUNCTION("""COMPUTED_VALUE"""),"15 Hunger, 5% chance to lose 10 HP")</f>
        <v>15 Hunger, 5% chance to lose 10 HP</v>
      </c>
      <c r="C79" s="49" t="str">
        <f>IFERROR(__xludf.DUMMYFUNCTION("""COMPUTED_VALUE"""),"Crop")</f>
        <v>Crop</v>
      </c>
    </row>
    <row r="80">
      <c r="A80" s="49" t="str">
        <f>IFERROR(__xludf.DUMMYFUNCTION("""COMPUTED_VALUE"""),"Water")</f>
        <v>Water</v>
      </c>
      <c r="B80" s="49" t="str">
        <f>IFERROR(__xludf.DUMMYFUNCTION("""COMPUTED_VALUE"""),"10 Thirst")</f>
        <v>10 Thirst</v>
      </c>
      <c r="C80" s="49" t="str">
        <f>IFERROR(__xludf.DUMMYFUNCTION("""COMPUTED_VALUE"""),"Item")</f>
        <v>Item</v>
      </c>
    </row>
    <row r="81">
      <c r="A81" s="49" t="str">
        <f>IFERROR(__xludf.DUMMYFUNCTION("""COMPUTED_VALUE"""),"Rum")</f>
        <v>Rum</v>
      </c>
      <c r="B81" s="49" t="str">
        <f>IFERROR(__xludf.DUMMYFUNCTION("""COMPUTED_VALUE"""),"50 Thirst, -1 SP")</f>
        <v>50 Thirst, -1 SP</v>
      </c>
      <c r="C81" s="49" t="str">
        <f>IFERROR(__xludf.DUMMYFUNCTION("""COMPUTED_VALUE"""),"Item")</f>
        <v>Item</v>
      </c>
    </row>
    <row r="82">
      <c r="A82" s="49" t="str">
        <f>IFERROR(__xludf.DUMMYFUNCTION("""COMPUTED_VALUE"""),"Spirits")</f>
        <v>Spirits</v>
      </c>
      <c r="B82" s="49" t="str">
        <f>IFERROR(__xludf.DUMMYFUNCTION("""COMPUTED_VALUE"""),"20 Thirst, +2 SP")</f>
        <v>20 Thirst, +2 SP</v>
      </c>
      <c r="C82" s="49" t="str">
        <f>IFERROR(__xludf.DUMMYFUNCTION("""COMPUTED_VALUE"""),"Item")</f>
        <v>Item</v>
      </c>
    </row>
    <row r="83">
      <c r="A83" s="49" t="str">
        <f>IFERROR(__xludf.DUMMYFUNCTION("""COMPUTED_VALUE"""),"Yeast")</f>
        <v>Yeast</v>
      </c>
      <c r="B83" s="49" t="str">
        <f>IFERROR(__xludf.DUMMYFUNCTION("""COMPUTED_VALUE"""),"Crafting Material, roll a d20 to see how many you get if this is a loot drop.")</f>
        <v>Crafting Material, roll a d20 to see how many you get if this is a loot drop.</v>
      </c>
      <c r="C83" s="49" t="str">
        <f>IFERROR(__xludf.DUMMYFUNCTION("""COMPUTED_VALUE"""),"Item")</f>
        <v>Item</v>
      </c>
    </row>
    <row r="84">
      <c r="A84" s="49" t="str">
        <f>IFERROR(__xludf.DUMMYFUNCTION("""COMPUTED_VALUE"""),"Mead")</f>
        <v>Mead</v>
      </c>
      <c r="B84" s="49" t="str">
        <f>IFERROR(__xludf.DUMMYFUNCTION("""COMPUTED_VALUE"""),"25 Thirst")</f>
        <v>25 Thirst</v>
      </c>
      <c r="C84" s="49" t="str">
        <f>IFERROR(__xludf.DUMMYFUNCTION("""COMPUTED_VALUE"""),"Item")</f>
        <v>Item</v>
      </c>
    </row>
    <row r="85">
      <c r="A85" s="49" t="str">
        <f>IFERROR(__xludf.DUMMYFUNCTION("""COMPUTED_VALUE"""),"Water Tome Rank 9")</f>
        <v>Water Tome Rank 9</v>
      </c>
      <c r="B85" s="49" t="str">
        <f>IFERROR(__xludf.DUMMYFUNCTION("""COMPUTED_VALUE"""),"Can use up to Rank 9 Water Spells")</f>
        <v>Can use up to Rank 9 Water Spells</v>
      </c>
      <c r="C85" s="49" t="str">
        <f>IFERROR(__xludf.DUMMYFUNCTION("""COMPUTED_VALUE"""),"Item")</f>
        <v>Item</v>
      </c>
    </row>
    <row r="86">
      <c r="A86" s="49" t="str">
        <f>IFERROR(__xludf.DUMMYFUNCTION("""COMPUTED_VALUE"""),"Dragon Flute")</f>
        <v>Dragon Flute</v>
      </c>
      <c r="B86" s="49"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49" t="str">
        <f>IFERROR(__xludf.DUMMYFUNCTION("""COMPUTED_VALUE"""),"Item")</f>
        <v>Item</v>
      </c>
    </row>
    <row r="87">
      <c r="A87" s="49" t="str">
        <f>IFERROR(__xludf.DUMMYFUNCTION("""COMPUTED_VALUE"""),"Last Resort Potion")</f>
        <v>Last Resort Potion</v>
      </c>
      <c r="B87" s="49"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49" t="str">
        <f>IFERROR(__xludf.DUMMYFUNCTION("""COMPUTED_VALUE"""),"Item")</f>
        <v>Item</v>
      </c>
    </row>
    <row r="88">
      <c r="A88" s="49" t="str">
        <f>IFERROR(__xludf.DUMMYFUNCTION("""COMPUTED_VALUE"""),"Fish in a Bottle")</f>
        <v>Fish in a Bottle</v>
      </c>
      <c r="B88" s="49" t="str">
        <f>IFERROR(__xludf.DUMMYFUNCTION("""COMPUTED_VALUE"""),"Consume to regain 50HP and 50SP")</f>
        <v>Consume to regain 50HP and 50SP</v>
      </c>
      <c r="C88" s="49" t="str">
        <f>IFERROR(__xludf.DUMMYFUNCTION("""COMPUTED_VALUE"""),"Item")</f>
        <v>Item</v>
      </c>
    </row>
    <row r="89">
      <c r="A89" s="49"/>
      <c r="B89" s="49"/>
      <c r="C89" s="49"/>
    </row>
    <row r="90">
      <c r="A90" s="49" t="str">
        <f>IFERROR(__xludf.DUMMYFUNCTION("""COMPUTED_VALUE"""),"Barrel of Poisonous Water")</f>
        <v>Barrel of Poisonous Water</v>
      </c>
      <c r="B90" s="49" t="str">
        <f>IFERROR(__xludf.DUMMYFUNCTION("""COMPUTED_VALUE"""),"POISON THE QUEEN!")</f>
        <v>POISON THE QUEEN!</v>
      </c>
      <c r="C90" s="49" t="str">
        <f>IFERROR(__xludf.DUMMYFUNCTION("""COMPUTED_VALUE"""),"Item")</f>
        <v>Item</v>
      </c>
    </row>
    <row r="91">
      <c r="A91" s="49" t="str">
        <f>IFERROR(__xludf.DUMMYFUNCTION("""COMPUTED_VALUE"""),"Live Worm")</f>
        <v>Live Worm</v>
      </c>
      <c r="B91" s="49" t="str">
        <f>IFERROR(__xludf.DUMMYFUNCTION("""COMPUTED_VALUE"""),"Can be used as bait. 1 use per worm")</f>
        <v>Can be used as bait. 1 use per worm</v>
      </c>
      <c r="C91" s="49" t="str">
        <f>IFERROR(__xludf.DUMMYFUNCTION("""COMPUTED_VALUE"""),"Item")</f>
        <v>Item</v>
      </c>
    </row>
    <row r="92">
      <c r="A92" s="49" t="str">
        <f>IFERROR(__xludf.DUMMYFUNCTION("""COMPUTED_VALUE"""),"Iron Fishing Pole")</f>
        <v>Iron Fishing Pole</v>
      </c>
      <c r="B92" s="49" t="str">
        <f>IFERROR(__xludf.DUMMYFUNCTION("""COMPUTED_VALUE"""),"20/20 Uses. Used for fishing.")</f>
        <v>20/20 Uses. Used for fishing.</v>
      </c>
      <c r="C92" s="49" t="str">
        <f>IFERROR(__xludf.DUMMYFUNCTION("""COMPUTED_VALUE"""),"Item")</f>
        <v>Item</v>
      </c>
    </row>
    <row r="93">
      <c r="A93" s="49" t="str">
        <f>IFERROR(__xludf.DUMMYFUNCTION("""COMPUTED_VALUE"""),"Fishing Lure Beginner")</f>
        <v>Fishing Lure Beginner</v>
      </c>
      <c r="B93" s="49" t="str">
        <f>IFERROR(__xludf.DUMMYFUNCTION("""COMPUTED_VALUE"""),"Used for fishing competition, add a +1 or -1 to your fishing rolls")</f>
        <v>Used for fishing competition, add a +1 or -1 to your fishing rolls</v>
      </c>
      <c r="C93" s="49" t="str">
        <f>IFERROR(__xludf.DUMMYFUNCTION("""COMPUTED_VALUE"""),"Item")</f>
        <v>Item</v>
      </c>
    </row>
    <row r="94">
      <c r="A94" s="49" t="str">
        <f>IFERROR(__xludf.DUMMYFUNCTION("""COMPUTED_VALUE"""),"Fishing Lure Moderate")</f>
        <v>Fishing Lure Moderate</v>
      </c>
      <c r="B94" s="49" t="str">
        <f>IFERROR(__xludf.DUMMYFUNCTION("""COMPUTED_VALUE"""),"Used for fishing competition, add a +3 or -3 to your fishing rolls")</f>
        <v>Used for fishing competition, add a +3 or -3 to your fishing rolls</v>
      </c>
      <c r="C94" s="49" t="str">
        <f>IFERROR(__xludf.DUMMYFUNCTION("""COMPUTED_VALUE"""),"Item")</f>
        <v>Item</v>
      </c>
    </row>
    <row r="95">
      <c r="A95" s="49" t="str">
        <f>IFERROR(__xludf.DUMMYFUNCTION("""COMPUTED_VALUE"""),"Fishing Lure Expert")</f>
        <v>Fishing Lure Expert</v>
      </c>
      <c r="B95" s="49" t="str">
        <f>IFERROR(__xludf.DUMMYFUNCTION("""COMPUTED_VALUE"""),"Used for fishing competition, add a +5 or -5 to your fishing rolls")</f>
        <v>Used for fishing competition, add a +5 or -5 to your fishing rolls</v>
      </c>
      <c r="C95" s="49" t="str">
        <f>IFERROR(__xludf.DUMMYFUNCTION("""COMPUTED_VALUE"""),"Item")</f>
        <v>Item</v>
      </c>
    </row>
    <row r="96">
      <c r="A96" s="49" t="str">
        <f>IFERROR(__xludf.DUMMYFUNCTION("""COMPUTED_VALUE"""),"Fossilized Water Dragon Bones")</f>
        <v>Fossilized Water Dragon Bones</v>
      </c>
      <c r="B96" s="49" t="str">
        <f>IFERROR(__xludf.DUMMYFUNCTION("""COMPUTED_VALUE"""),"Crafting Material, roll a d20 to see how many you get if this is a loot drop.")</f>
        <v>Crafting Material, roll a d20 to see how many you get if this is a loot drop.</v>
      </c>
      <c r="C96" s="49" t="str">
        <f>IFERROR(__xludf.DUMMYFUNCTION("""COMPUTED_VALUE"""),"Item")</f>
        <v>Item</v>
      </c>
    </row>
    <row r="97">
      <c r="A97" s="49" t="str">
        <f>IFERROR(__xludf.DUMMYFUNCTION("""COMPUTED_VALUE"""),"Return Home Gem")</f>
        <v>Return Home Gem</v>
      </c>
      <c r="B97" s="49" t="str">
        <f>IFERROR(__xludf.DUMMYFUNCTION("""COMPUTED_VALUE"""),"Only one per player in backpack. Instantly teleports you to the last town you were at without fail.")</f>
        <v>Only one per player in backpack. Instantly teleports you to the last town you were at without fail.</v>
      </c>
      <c r="C97" s="49" t="str">
        <f>IFERROR(__xludf.DUMMYFUNCTION("""COMPUTED_VALUE"""),"Item")</f>
        <v>Item</v>
      </c>
    </row>
    <row r="98">
      <c r="A98" s="49" t="str">
        <f>IFERROR(__xludf.DUMMYFUNCTION("""COMPUTED_VALUE"""),"Immunity to water potion temp")</f>
        <v>Immunity to water potion temp</v>
      </c>
      <c r="B98" s="49" t="str">
        <f>IFERROR(__xludf.DUMMYFUNCTION("""COMPUTED_VALUE"""),"Immune to water based attacks for one battle (does not count as a turn)")</f>
        <v>Immune to water based attacks for one battle (does not count as a turn)</v>
      </c>
      <c r="C98" s="49" t="str">
        <f>IFERROR(__xludf.DUMMYFUNCTION("""COMPUTED_VALUE"""),"Item")</f>
        <v>Item</v>
      </c>
    </row>
    <row r="99">
      <c r="A99" s="49" t="str">
        <f>IFERROR(__xludf.DUMMYFUNCTION("""COMPUTED_VALUE"""),"Legendary Sea Monster Meat")</f>
        <v>Legendary Sea Monster Meat</v>
      </c>
      <c r="B99" s="49"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49" t="str">
        <f>IFERROR(__xludf.DUMMYFUNCTION("""COMPUTED_VALUE"""),"Item")</f>
        <v>Item</v>
      </c>
    </row>
    <row r="100">
      <c r="A100" s="49" t="str">
        <f>IFERROR(__xludf.DUMMYFUNCTION("""COMPUTED_VALUE"""),"Scroll of The Sea Monster")</f>
        <v>Scroll of The Sea Monster</v>
      </c>
      <c r="B100" s="49" t="str">
        <f>IFERROR(__xludf.DUMMYFUNCTION("""COMPUTED_VALUE"""),"X2 to water damage for the caster until end of battle, water spells also become unblockable for 3 rounds.")</f>
        <v>X2 to water damage for the caster until end of battle, water spells also become unblockable for 3 rounds.</v>
      </c>
      <c r="C100" s="49" t="str">
        <f>IFERROR(__xludf.DUMMYFUNCTION("""COMPUTED_VALUE"""),"Item")</f>
        <v>Item</v>
      </c>
    </row>
    <row r="101">
      <c r="A101" s="49" t="str">
        <f>IFERROR(__xludf.DUMMYFUNCTION("""COMPUTED_VALUE"""),"Paper scraps")</f>
        <v>Paper scraps</v>
      </c>
      <c r="B101" s="49" t="str">
        <f>IFERROR(__xludf.DUMMYFUNCTION("""COMPUTED_VALUE"""),"Crafting Material, roll a d20 to see how many you get if this is a loot drop.")</f>
        <v>Crafting Material, roll a d20 to see how many you get if this is a loot drop.</v>
      </c>
      <c r="C101" s="49" t="str">
        <f>IFERROR(__xludf.DUMMYFUNCTION("""COMPUTED_VALUE"""),"Item")</f>
        <v>Item</v>
      </c>
    </row>
    <row r="102">
      <c r="A102" s="49" t="str">
        <f>IFERROR(__xludf.DUMMYFUNCTION("""COMPUTED_VALUE"""),"Blank piece of paper")</f>
        <v>Blank piece of paper</v>
      </c>
      <c r="B102" s="49" t="str">
        <f>IFERROR(__xludf.DUMMYFUNCTION("""COMPUTED_VALUE"""),"Crafting Material, roll a d20 to see how many you get if this is a loot drop.")</f>
        <v>Crafting Material, roll a d20 to see how many you get if this is a loot drop.</v>
      </c>
      <c r="C102" s="49" t="str">
        <f>IFERROR(__xludf.DUMMYFUNCTION("""COMPUTED_VALUE"""),"Item")</f>
        <v>Item</v>
      </c>
    </row>
    <row r="103">
      <c r="A103" s="49" t="str">
        <f>IFERROR(__xludf.DUMMYFUNCTION("""COMPUTED_VALUE"""),"Broken pistol")</f>
        <v>Broken pistol</v>
      </c>
      <c r="B103" s="49" t="str">
        <f>IFERROR(__xludf.DUMMYFUNCTION("""COMPUTED_VALUE"""),"Crafting Material, roll a d20 to see how many you get if this is a loot drop.")</f>
        <v>Crafting Material, roll a d20 to see how many you get if this is a loot drop.</v>
      </c>
      <c r="C103" s="49" t="str">
        <f>IFERROR(__xludf.DUMMYFUNCTION("""COMPUTED_VALUE"""),"Item")</f>
        <v>Item</v>
      </c>
    </row>
    <row r="104">
      <c r="A104" s="49" t="str">
        <f>IFERROR(__xludf.DUMMYFUNCTION("""COMPUTED_VALUE"""),"Cannon Ball")</f>
        <v>Cannon Ball</v>
      </c>
      <c r="B104" s="49" t="str">
        <f>IFERROR(__xludf.DUMMYFUNCTION("""COMPUTED_VALUE"""),"Cannon Ammunition, +1000 damage. roll a d20 to see how many you get if this is a loot drop.")</f>
        <v>Cannon Ammunition, +1000 damage. roll a d20 to see how many you get if this is a loot drop.</v>
      </c>
      <c r="C104" s="49" t="str">
        <f>IFERROR(__xludf.DUMMYFUNCTION("""COMPUTED_VALUE"""),"Item")</f>
        <v>Item</v>
      </c>
    </row>
    <row r="105">
      <c r="A105" s="49" t="str">
        <f>IFERROR(__xludf.DUMMYFUNCTION("""COMPUTED_VALUE"""),"Blank Book")</f>
        <v>Blank Book</v>
      </c>
      <c r="B105" s="49" t="str">
        <f>IFERROR(__xludf.DUMMYFUNCTION("""COMPUTED_VALUE"""),"Crafting Material, roll a d20 to see how many you get.")</f>
        <v>Crafting Material, roll a d20 to see how many you get.</v>
      </c>
      <c r="C105" s="49" t="str">
        <f>IFERROR(__xludf.DUMMYFUNCTION("""COMPUTED_VALUE"""),"Item")</f>
        <v>Item</v>
      </c>
    </row>
    <row r="106">
      <c r="A106" s="49" t="str">
        <f>IFERROR(__xludf.DUMMYFUNCTION("""COMPUTED_VALUE"""),"Bronze")</f>
        <v>Bronze</v>
      </c>
      <c r="B106" s="49" t="str">
        <f>IFERROR(__xludf.DUMMYFUNCTION("""COMPUTED_VALUE"""),"Crafting Material, roll a d20 to see how many you get.")</f>
        <v>Crafting Material, roll a d20 to see how many you get.</v>
      </c>
      <c r="C106" s="49" t="str">
        <f>IFERROR(__xludf.DUMMYFUNCTION("""COMPUTED_VALUE"""),"Item")</f>
        <v>Item</v>
      </c>
    </row>
    <row r="107">
      <c r="A107" s="49" t="str">
        <f>IFERROR(__xludf.DUMMYFUNCTION("""COMPUTED_VALUE"""),"Diamond")</f>
        <v>Diamond</v>
      </c>
      <c r="B107" s="49" t="str">
        <f>IFERROR(__xludf.DUMMYFUNCTION("""COMPUTED_VALUE"""),"Crafting Material, roll a d20 to see how many you get.")</f>
        <v>Crafting Material, roll a d20 to see how many you get.</v>
      </c>
      <c r="C107" s="49" t="str">
        <f>IFERROR(__xludf.DUMMYFUNCTION("""COMPUTED_VALUE"""),"Item")</f>
        <v>Item</v>
      </c>
    </row>
    <row r="108">
      <c r="A108" s="49" t="str">
        <f>IFERROR(__xludf.DUMMYFUNCTION("""COMPUTED_VALUE"""),"Wood")</f>
        <v>Wood</v>
      </c>
      <c r="B108" s="49" t="str">
        <f>IFERROR(__xludf.DUMMYFUNCTION("""COMPUTED_VALUE"""),"Crafting Material, roll a d20 to see how many you get.")</f>
        <v>Crafting Material, roll a d20 to see how many you get.</v>
      </c>
      <c r="C108" s="49" t="str">
        <f>IFERROR(__xludf.DUMMYFUNCTION("""COMPUTED_VALUE"""),"Item")</f>
        <v>Item</v>
      </c>
    </row>
    <row r="109">
      <c r="A109" s="49" t="str">
        <f>IFERROR(__xludf.DUMMYFUNCTION("""COMPUTED_VALUE"""),"Stone")</f>
        <v>Stone</v>
      </c>
      <c r="B109" s="49" t="str">
        <f>IFERROR(__xludf.DUMMYFUNCTION("""COMPUTED_VALUE"""),"Crafting Material, roll a d20 to see how many you get.")</f>
        <v>Crafting Material, roll a d20 to see how many you get.</v>
      </c>
      <c r="C109" s="49" t="str">
        <f>IFERROR(__xludf.DUMMYFUNCTION("""COMPUTED_VALUE"""),"Item")</f>
        <v>Item</v>
      </c>
    </row>
    <row r="110">
      <c r="A110" s="49" t="str">
        <f>IFERROR(__xludf.DUMMYFUNCTION("""COMPUTED_VALUE"""),"Raw Meat")</f>
        <v>Raw Meat</v>
      </c>
      <c r="B110" s="49" t="str">
        <f>IFERROR(__xludf.DUMMYFUNCTION("""COMPUTED_VALUE"""),"-100 Hunger")</f>
        <v>-100 Hunger</v>
      </c>
      <c r="C110" s="49" t="str">
        <f>IFERROR(__xludf.DUMMYFUNCTION("""COMPUTED_VALUE"""),"Crop")</f>
        <v>Crop</v>
      </c>
    </row>
    <row r="111">
      <c r="A111" s="49" t="str">
        <f>IFERROR(__xludf.DUMMYFUNCTION("""COMPUTED_VALUE"""),"Cooked Meat")</f>
        <v>Cooked Meat</v>
      </c>
      <c r="B111" s="49" t="str">
        <f>IFERROR(__xludf.DUMMYFUNCTION("""COMPUTED_VALUE"""),"Restores 35 Hunger")</f>
        <v>Restores 35 Hunger</v>
      </c>
      <c r="C111" s="49" t="str">
        <f>IFERROR(__xludf.DUMMYFUNCTION("""COMPUTED_VALUE"""),"Crop")</f>
        <v>Crop</v>
      </c>
    </row>
    <row r="112">
      <c r="A112" s="49" t="str">
        <f>IFERROR(__xludf.DUMMYFUNCTION("""COMPUTED_VALUE"""),"Dried Meat")</f>
        <v>Dried Meat</v>
      </c>
      <c r="B112" s="49" t="str">
        <f>IFERROR(__xludf.DUMMYFUNCTION("""COMPUTED_VALUE"""),"25 Hunger")</f>
        <v>25 Hunger</v>
      </c>
      <c r="C112" s="49" t="str">
        <f>IFERROR(__xludf.DUMMYFUNCTION("""COMPUTED_VALUE"""),"Crop")</f>
        <v>Crop</v>
      </c>
    </row>
    <row r="113">
      <c r="A113" s="49" t="str">
        <f>IFERROR(__xludf.DUMMYFUNCTION("""COMPUTED_VALUE"""),"Medium Rare Steak")</f>
        <v>Medium Rare Steak</v>
      </c>
      <c r="B113" s="49" t="str">
        <f>IFERROR(__xludf.DUMMYFUNCTION("""COMPUTED_VALUE"""),"Restores 30 Hunger and 5 HP")</f>
        <v>Restores 30 Hunger and 5 HP</v>
      </c>
      <c r="C113" s="49" t="str">
        <f>IFERROR(__xludf.DUMMYFUNCTION("""COMPUTED_VALUE"""),"Crop")</f>
        <v>Crop</v>
      </c>
    </row>
    <row r="114">
      <c r="A114" s="49" t="str">
        <f>IFERROR(__xludf.DUMMYFUNCTION("""COMPUTED_VALUE"""),"Well Done Steak")</f>
        <v>Well Done Steak</v>
      </c>
      <c r="B114" s="49" t="str">
        <f>IFERROR(__xludf.DUMMYFUNCTION("""COMPUTED_VALUE"""),"10 Hunger and 3 HP are restored each turn for the next three turns")</f>
        <v>10 Hunger and 3 HP are restored each turn for the next three turns</v>
      </c>
      <c r="C114" s="49" t="str">
        <f>IFERROR(__xludf.DUMMYFUNCTION("""COMPUTED_VALUE"""),"Crop")</f>
        <v>Crop</v>
      </c>
    </row>
    <row r="115">
      <c r="A115" s="49" t="str">
        <f>IFERROR(__xludf.DUMMYFUNCTION("""COMPUTED_VALUE"""),"Kebab")</f>
        <v>Kebab</v>
      </c>
      <c r="B115" s="49" t="str">
        <f>IFERROR(__xludf.DUMMYFUNCTION("""COMPUTED_VALUE"""),"Restores 10 Hunger, 5 HP, and 15 SP")</f>
        <v>Restores 10 Hunger, 5 HP, and 15 SP</v>
      </c>
      <c r="C115" s="49" t="str">
        <f>IFERROR(__xludf.DUMMYFUNCTION("""COMPUTED_VALUE"""),"Crop")</f>
        <v>Crop</v>
      </c>
    </row>
    <row r="116">
      <c r="A116" s="49" t="str">
        <f>IFERROR(__xludf.DUMMYFUNCTION("""COMPUTED_VALUE"""),"Melon Bread")</f>
        <v>Melon Bread</v>
      </c>
      <c r="B116" s="49" t="str">
        <f>IFERROR(__xludf.DUMMYFUNCTION("""COMPUTED_VALUE"""),"15 Hunger")</f>
        <v>15 Hunger</v>
      </c>
      <c r="C116" s="49" t="str">
        <f>IFERROR(__xludf.DUMMYFUNCTION("""COMPUTED_VALUE"""),"Crop")</f>
        <v>Crop</v>
      </c>
    </row>
    <row r="117">
      <c r="A117" s="49" t="str">
        <f>IFERROR(__xludf.DUMMYFUNCTION("""COMPUTED_VALUE"""),"Cake")</f>
        <v>Cake</v>
      </c>
      <c r="B117" s="49" t="str">
        <f>IFERROR(__xludf.DUMMYFUNCTION("""COMPUTED_VALUE"""),"8 uses, each use restores 20 Hunger")</f>
        <v>8 uses, each use restores 20 Hunger</v>
      </c>
      <c r="C117" s="49" t="str">
        <f>IFERROR(__xludf.DUMMYFUNCTION("""COMPUTED_VALUE"""),"Crop")</f>
        <v>Crop</v>
      </c>
    </row>
    <row r="118">
      <c r="A118" s="49" t="str">
        <f>IFERROR(__xludf.DUMMYFUNCTION("""COMPUTED_VALUE"""),"Cherry Pie")</f>
        <v>Cherry Pie</v>
      </c>
      <c r="B118" s="49" t="str">
        <f>IFERROR(__xludf.DUMMYFUNCTION("""COMPUTED_VALUE"""),"4 uses, restores 20 Hunger, 10 HP, and 5 SP with each use")</f>
        <v>4 uses, restores 20 Hunger, 10 HP, and 5 SP with each use</v>
      </c>
      <c r="C118" s="49" t="str">
        <f>IFERROR(__xludf.DUMMYFUNCTION("""COMPUTED_VALUE"""),"Crop")</f>
        <v>Crop</v>
      </c>
    </row>
    <row r="119">
      <c r="A119" s="49" t="str">
        <f>IFERROR(__xludf.DUMMYFUNCTION("""COMPUTED_VALUE"""),"Saltwater")</f>
        <v>Saltwater</v>
      </c>
      <c r="B119" s="49" t="str">
        <f>IFERROR(__xludf.DUMMYFUNCTION("""COMPUTED_VALUE"""),"Crafting Material, roll a d20 to see how many you get if this is a loot drop.")</f>
        <v>Crafting Material, roll a d20 to see how many you get if this is a loot drop.</v>
      </c>
      <c r="C119" s="49" t="str">
        <f>IFERROR(__xludf.DUMMYFUNCTION("""COMPUTED_VALUE"""),"Item")</f>
        <v>Item</v>
      </c>
    </row>
    <row r="120">
      <c r="A120" s="49" t="str">
        <f>IFERROR(__xludf.DUMMYFUNCTION("""COMPUTED_VALUE"""),"Fisherman’s Lucky Totem")</f>
        <v>Fisherman’s Lucky Totem</v>
      </c>
      <c r="B120" s="49" t="str">
        <f>IFERROR(__xludf.DUMMYFUNCTION("""COMPUTED_VALUE"""),"This will Guarantee you 1 fish from a quest")</f>
        <v>This will Guarantee you 1 fish from a quest</v>
      </c>
      <c r="C120" s="49" t="str">
        <f>IFERROR(__xludf.DUMMYFUNCTION("""COMPUTED_VALUE"""),"Item")</f>
        <v>Item</v>
      </c>
    </row>
    <row r="121">
      <c r="A121" s="49" t="str">
        <f>IFERROR(__xludf.DUMMYFUNCTION("""COMPUTED_VALUE"""),"The Fish Pendant")</f>
        <v>The Fish Pendant</v>
      </c>
      <c r="B121" s="49" t="str">
        <f>IFERROR(__xludf.DUMMYFUNCTION("""COMPUTED_VALUE"""),"Choose the rarity of the fish when fishing during a quest.")</f>
        <v>Choose the rarity of the fish when fishing during a quest.</v>
      </c>
      <c r="C121" s="49" t="str">
        <f>IFERROR(__xludf.DUMMYFUNCTION("""COMPUTED_VALUE"""),"Item")</f>
        <v>Item</v>
      </c>
    </row>
    <row r="122">
      <c r="A122" s="49" t="str">
        <f>IFERROR(__xludf.DUMMYFUNCTION("""COMPUTED_VALUE"""),"Fish Stone")</f>
        <v>Fish Stone</v>
      </c>
      <c r="B122" s="49" t="str">
        <f>IFERROR(__xludf.DUMMYFUNCTION("""COMPUTED_VALUE"""),"if you catch this when fishing you get 2 of the fish you caught with this item.")</f>
        <v>if you catch this when fishing you get 2 of the fish you caught with this item.</v>
      </c>
      <c r="C122" s="49" t="str">
        <f>IFERROR(__xludf.DUMMYFUNCTION("""COMPUTED_VALUE"""),"Item")</f>
        <v>Item</v>
      </c>
    </row>
    <row r="123">
      <c r="A123" s="49" t="str">
        <f>IFERROR(__xludf.DUMMYFUNCTION("""COMPUTED_VALUE"""),"Pumpkin")</f>
        <v>Pumpkin</v>
      </c>
      <c r="B123" s="49" t="str">
        <f>IFERROR(__xludf.DUMMYFUNCTION("""COMPUTED_VALUE"""),"100 hunger for self and up to 2 party members.")</f>
        <v>100 hunger for self and up to 2 party members.</v>
      </c>
      <c r="C123" s="49" t="str">
        <f>IFERROR(__xludf.DUMMYFUNCTION("""COMPUTED_VALUE"""),"Crop")</f>
        <v>Crop</v>
      </c>
    </row>
    <row r="124">
      <c r="A124" s="49" t="str">
        <f>IFERROR(__xludf.DUMMYFUNCTION("""COMPUTED_VALUE"""),"Premium Pumpkin")</f>
        <v>Premium Pumpkin</v>
      </c>
      <c r="B124" s="49" t="str">
        <f>IFERROR(__xludf.DUMMYFUNCTION("""COMPUTED_VALUE"""),"200 hunger for self and up to 2 party members.")</f>
        <v>200 hunger for self and up to 2 party members.</v>
      </c>
      <c r="C124" s="49" t="str">
        <f>IFERROR(__xludf.DUMMYFUNCTION("""COMPUTED_VALUE"""),"Crop")</f>
        <v>Crop</v>
      </c>
    </row>
    <row r="125">
      <c r="A125" s="49" t="str">
        <f>IFERROR(__xludf.DUMMYFUNCTION("""COMPUTED_VALUE"""),"Pumpkin Soup")</f>
        <v>Pumpkin Soup</v>
      </c>
      <c r="B125" s="49" t="str">
        <f>IFERROR(__xludf.DUMMYFUNCTION("""COMPUTED_VALUE"""),"100 hunger for self and up to 4 party members.")</f>
        <v>100 hunger for self and up to 4 party members.</v>
      </c>
      <c r="C125" s="49" t="str">
        <f>IFERROR(__xludf.DUMMYFUNCTION("""COMPUTED_VALUE"""),"Crop")</f>
        <v>Crop</v>
      </c>
    </row>
    <row r="126">
      <c r="A126" s="49" t="str">
        <f>IFERROR(__xludf.DUMMYFUNCTION("""COMPUTED_VALUE"""),"Premium Pumpkin Soup")</f>
        <v>Premium Pumpkin Soup</v>
      </c>
      <c r="B126" s="49" t="str">
        <f>IFERROR(__xludf.DUMMYFUNCTION("""COMPUTED_VALUE"""),"200 hunger for self and up to 4 party members.")</f>
        <v>200 hunger for self and up to 4 party members.</v>
      </c>
      <c r="C126" s="49" t="str">
        <f>IFERROR(__xludf.DUMMYFUNCTION("""COMPUTED_VALUE"""),"Crop")</f>
        <v>Crop</v>
      </c>
    </row>
    <row r="127">
      <c r="A127" s="49" t="str">
        <f>IFERROR(__xludf.DUMMYFUNCTION("""COMPUTED_VALUE"""),"Forbidden Book")</f>
        <v>Forbidden Book</v>
      </c>
      <c r="B127" s="49" t="str">
        <f>IFERROR(__xludf.DUMMYFUNCTION("""COMPUTED_VALUE"""),"A forbidden book. if the guards see it in your inventory they will autmatically confiscate it and arrest you.")</f>
        <v>A forbidden book. if the guards see it in your inventory they will autmatically confiscate it and arrest you.</v>
      </c>
      <c r="C127" s="49" t="str">
        <f>IFERROR(__xludf.DUMMYFUNCTION("""COMPUTED_VALUE"""),"Item")</f>
        <v>Item</v>
      </c>
    </row>
    <row r="128">
      <c r="A128" s="49" t="str">
        <f>IFERROR(__xludf.DUMMYFUNCTION("""COMPUTED_VALUE"""),"a random stick")</f>
        <v>a random stick</v>
      </c>
      <c r="B128" s="49" t="str">
        <f>IFERROR(__xludf.DUMMYFUNCTION("""COMPUTED_VALUE"""),"A random stick the shopkeeper found out back")</f>
        <v>A random stick the shopkeeper found out back</v>
      </c>
      <c r="C128" s="49" t="str">
        <f>IFERROR(__xludf.DUMMYFUNCTION("""COMPUTED_VALUE"""),"Item")</f>
        <v>Item</v>
      </c>
    </row>
    <row r="129">
      <c r="A129" s="49" t="str">
        <f>IFERROR(__xludf.DUMMYFUNCTION("""COMPUTED_VALUE"""),"Rank 9 Storm Tome")</f>
        <v>Rank 9 Storm Tome</v>
      </c>
      <c r="B129" s="49" t="str">
        <f>IFERROR(__xludf.DUMMYFUNCTION("""COMPUTED_VALUE"""),"Can use up to Rank 9 Storm Spells")</f>
        <v>Can use up to Rank 9 Storm Spells</v>
      </c>
      <c r="C129" s="49" t="str">
        <f>IFERROR(__xludf.DUMMYFUNCTION("""COMPUTED_VALUE"""),"Item")</f>
        <v>Item</v>
      </c>
    </row>
    <row r="130">
      <c r="A130" s="49"/>
      <c r="B130" s="49"/>
      <c r="C130" s="49"/>
    </row>
    <row r="131">
      <c r="A131" s="49" t="str">
        <f>IFERROR(__xludf.DUMMYFUNCTION("""COMPUTED_VALUE"""),"Common Tree Branch")</f>
        <v>Common Tree Branch</v>
      </c>
      <c r="B131" s="49" t="str">
        <f>IFERROR(__xludf.DUMMYFUNCTION("""COMPUTED_VALUE"""),"When thrown, each enemy has a 25% chance to be distracted, skipping their next turn")</f>
        <v>When thrown, each enemy has a 25% chance to be distracted, skipping their next turn</v>
      </c>
      <c r="C131" s="49" t="str">
        <f>IFERROR(__xludf.DUMMYFUNCTION("""COMPUTED_VALUE"""),"Item")</f>
        <v>Item</v>
      </c>
    </row>
    <row r="132">
      <c r="A132" s="49" t="str">
        <f>IFERROR(__xludf.DUMMYFUNCTION("""COMPUTED_VALUE"""),"Uncommon Tree branch")</f>
        <v>Uncommon Tree branch</v>
      </c>
      <c r="B132" s="49"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49" t="str">
        <f>IFERROR(__xludf.DUMMYFUNCTION("""COMPUTED_VALUE"""),"Item")</f>
        <v>Item</v>
      </c>
    </row>
    <row r="133">
      <c r="A133" s="49" t="str">
        <f>IFERROR(__xludf.DUMMYFUNCTION("""COMPUTED_VALUE"""),"Stale bread")</f>
        <v>Stale bread</v>
      </c>
      <c r="B133" s="49" t="str">
        <f>IFERROR(__xludf.DUMMYFUNCTION("""COMPUTED_VALUE"""),"Recovers 9 hunger")</f>
        <v>Recovers 9 hunger</v>
      </c>
      <c r="C133" s="49" t="str">
        <f>IFERROR(__xludf.DUMMYFUNCTION("""COMPUTED_VALUE"""),"Crop")</f>
        <v>Crop</v>
      </c>
    </row>
    <row r="134">
      <c r="A134" s="49" t="str">
        <f>IFERROR(__xludf.DUMMYFUNCTION("""COMPUTED_VALUE"""),"Coal")</f>
        <v>Coal</v>
      </c>
      <c r="B134" s="49" t="str">
        <f>IFERROR(__xludf.DUMMYFUNCTION("""COMPUTED_VALUE"""),"Crafting Material, roll a d20 to see how many you get if this is a loot drop.")</f>
        <v>Crafting Material, roll a d20 to see how many you get if this is a loot drop.</v>
      </c>
      <c r="C134" s="49" t="str">
        <f>IFERROR(__xludf.DUMMYFUNCTION("""COMPUTED_VALUE"""),"Item")</f>
        <v>Item</v>
      </c>
    </row>
    <row r="135">
      <c r="A135" s="49"/>
      <c r="B135" s="49"/>
      <c r="C135" s="49" t="str">
        <f>IFERROR(__xludf.DUMMYFUNCTION("""COMPUTED_VALUE"""),"Item")</f>
        <v>Item</v>
      </c>
    </row>
    <row r="136">
      <c r="A136" s="49"/>
      <c r="B136" s="49"/>
      <c r="C136" s="49" t="str">
        <f>IFERROR(__xludf.DUMMYFUNCTION("""COMPUTED_VALUE"""),"Item")</f>
        <v>Item</v>
      </c>
    </row>
    <row r="137">
      <c r="A137" s="49"/>
      <c r="B137" s="49"/>
      <c r="C137" s="49" t="str">
        <f>IFERROR(__xludf.DUMMYFUNCTION("""COMPUTED_VALUE"""),"Item")</f>
        <v>Item</v>
      </c>
    </row>
    <row r="138">
      <c r="A138" s="49" t="str">
        <f>IFERROR(__xludf.DUMMYFUNCTION("""COMPUTED_VALUE"""),"Red Coral Gem")</f>
        <v>Red Coral Gem</v>
      </c>
      <c r="B138" s="49" t="str">
        <f>IFERROR(__xludf.DUMMYFUNCTION("""COMPUTED_VALUE"""),"500 Fire dmg or Resistance")</f>
        <v>500 Fire dmg or Resistance</v>
      </c>
      <c r="C138" s="49" t="str">
        <f>IFERROR(__xludf.DUMMYFUNCTION("""COMPUTED_VALUE"""),"Item")</f>
        <v>Item</v>
      </c>
    </row>
    <row r="139">
      <c r="A139" s="49" t="str">
        <f>IFERROR(__xludf.DUMMYFUNCTION("""COMPUTED_VALUE"""),"Blue Coral Gem")</f>
        <v>Blue Coral Gem</v>
      </c>
      <c r="B139" s="49" t="str">
        <f>IFERROR(__xludf.DUMMYFUNCTION("""COMPUTED_VALUE"""),"500 Water dmg or Resistance")</f>
        <v>500 Water dmg or Resistance</v>
      </c>
      <c r="C139" s="49" t="str">
        <f>IFERROR(__xludf.DUMMYFUNCTION("""COMPUTED_VALUE"""),"Item")</f>
        <v>Item</v>
      </c>
    </row>
    <row r="140">
      <c r="A140" s="49" t="str">
        <f>IFERROR(__xludf.DUMMYFUNCTION("""COMPUTED_VALUE"""),"Yellow Coral Gem")</f>
        <v>Yellow Coral Gem</v>
      </c>
      <c r="B140" s="49" t="str">
        <f>IFERROR(__xludf.DUMMYFUNCTION("""COMPUTED_VALUE"""),"500 Strom dmg or Resistance")</f>
        <v>500 Strom dmg or Resistance</v>
      </c>
      <c r="C140" s="49" t="str">
        <f>IFERROR(__xludf.DUMMYFUNCTION("""COMPUTED_VALUE"""),"Item")</f>
        <v>Item</v>
      </c>
    </row>
    <row r="141">
      <c r="A141" s="49" t="str">
        <f>IFERROR(__xludf.DUMMYFUNCTION("""COMPUTED_VALUE"""),"Green Coral Gem")</f>
        <v>Green Coral Gem</v>
      </c>
      <c r="B141" s="49" t="str">
        <f>IFERROR(__xludf.DUMMYFUNCTION("""COMPUTED_VALUE"""),"500 nature dmg or Resistance")</f>
        <v>500 nature dmg or Resistance</v>
      </c>
      <c r="C141" s="49" t="str">
        <f>IFERROR(__xludf.DUMMYFUNCTION("""COMPUTED_VALUE"""),"Item")</f>
        <v>Item</v>
      </c>
    </row>
    <row r="142">
      <c r="A142" s="49" t="str">
        <f>IFERROR(__xludf.DUMMYFUNCTION("""COMPUTED_VALUE"""),"White Coral Gem")</f>
        <v>White Coral Gem</v>
      </c>
      <c r="B142" s="49" t="str">
        <f>IFERROR(__xludf.DUMMYFUNCTION("""COMPUTED_VALUE"""),"500 Spirit dmg or Resistance")</f>
        <v>500 Spirit dmg or Resistance</v>
      </c>
      <c r="C142" s="49" t="str">
        <f>IFERROR(__xludf.DUMMYFUNCTION("""COMPUTED_VALUE"""),"Item")</f>
        <v>Item</v>
      </c>
    </row>
    <row r="143">
      <c r="A143" s="49" t="str">
        <f>IFERROR(__xludf.DUMMYFUNCTION("""COMPUTED_VALUE"""),"Black Coral Gem")</f>
        <v>Black Coral Gem</v>
      </c>
      <c r="B143" s="49" t="str">
        <f>IFERROR(__xludf.DUMMYFUNCTION("""COMPUTED_VALUE"""),"500 Dark dmg or Resistance")</f>
        <v>500 Dark dmg or Resistance</v>
      </c>
      <c r="C143" s="49" t="str">
        <f>IFERROR(__xludf.DUMMYFUNCTION("""COMPUTED_VALUE"""),"Item")</f>
        <v>Item</v>
      </c>
    </row>
    <row r="144">
      <c r="A144" s="49" t="str">
        <f>IFERROR(__xludf.DUMMYFUNCTION("""COMPUTED_VALUE"""),"Pink Coral Gem")</f>
        <v>Pink Coral Gem</v>
      </c>
      <c r="B144" s="49" t="str">
        <f>IFERROR(__xludf.DUMMYFUNCTION("""COMPUTED_VALUE"""),"500 dmg or resistance")</f>
        <v>500 dmg or resistance</v>
      </c>
      <c r="C144" s="49" t="str">
        <f>IFERROR(__xludf.DUMMYFUNCTION("""COMPUTED_VALUE"""),"Item")</f>
        <v>Item</v>
      </c>
    </row>
    <row r="145">
      <c r="A145" s="49" t="str">
        <f>IFERROR(__xludf.DUMMYFUNCTION("""COMPUTED_VALUE"""),"Coral")</f>
        <v>Coral</v>
      </c>
      <c r="B145" s="49" t="str">
        <f>IFERROR(__xludf.DUMMYFUNCTION("""COMPUTED_VALUE"""),"Crafting Material, roll a d20 to see how many you get if this is a loot drop.")</f>
        <v>Crafting Material, roll a d20 to see how many you get if this is a loot drop.</v>
      </c>
      <c r="C145" s="49" t="str">
        <f>IFERROR(__xludf.DUMMYFUNCTION("""COMPUTED_VALUE"""),"Item")</f>
        <v>Item</v>
      </c>
    </row>
    <row r="146">
      <c r="A146" s="49" t="str">
        <f>IFERROR(__xludf.DUMMYFUNCTION("""COMPUTED_VALUE"""),"Ivory")</f>
        <v>Ivory</v>
      </c>
      <c r="B146" s="49" t="str">
        <f>IFERROR(__xludf.DUMMYFUNCTION("""COMPUTED_VALUE"""),"Crafting Material, roll a d20 to see how many you get if this is a loot drop.")</f>
        <v>Crafting Material, roll a d20 to see how many you get if this is a loot drop.</v>
      </c>
      <c r="C146" s="49" t="str">
        <f>IFERROR(__xludf.DUMMYFUNCTION("""COMPUTED_VALUE"""),"Item")</f>
        <v>Item</v>
      </c>
    </row>
    <row r="147">
      <c r="A147" s="49" t="str">
        <f>IFERROR(__xludf.DUMMYFUNCTION("""COMPUTED_VALUE"""),"Onyx")</f>
        <v>Onyx</v>
      </c>
      <c r="B147" s="49" t="str">
        <f>IFERROR(__xludf.DUMMYFUNCTION("""COMPUTED_VALUE"""),"Crafting Material, roll a d20 to see how many you get if this is a loot drop.")</f>
        <v>Crafting Material, roll a d20 to see how many you get if this is a loot drop.</v>
      </c>
      <c r="C147" s="49" t="str">
        <f>IFERROR(__xludf.DUMMYFUNCTION("""COMPUTED_VALUE"""),"Item")</f>
        <v>Item</v>
      </c>
    </row>
    <row r="148">
      <c r="A148" s="49" t="str">
        <f>IFERROR(__xludf.DUMMYFUNCTION("""COMPUTED_VALUE"""),"Jade")</f>
        <v>Jade</v>
      </c>
      <c r="B148" s="49" t="str">
        <f>IFERROR(__xludf.DUMMYFUNCTION("""COMPUTED_VALUE"""),"Crafting Material, roll a d20 to see how many you get if this is a loot drop.")</f>
        <v>Crafting Material, roll a d20 to see how many you get if this is a loot drop.</v>
      </c>
      <c r="C148" s="49" t="str">
        <f>IFERROR(__xludf.DUMMYFUNCTION("""COMPUTED_VALUE"""),"Item")</f>
        <v>Item</v>
      </c>
    </row>
    <row r="149">
      <c r="A149" s="49" t="str">
        <f>IFERROR(__xludf.DUMMYFUNCTION("""COMPUTED_VALUE"""),"Emerald")</f>
        <v>Emerald</v>
      </c>
      <c r="B149" s="49" t="str">
        <f>IFERROR(__xludf.DUMMYFUNCTION("""COMPUTED_VALUE"""),"Crafting Material, roll a d20 to see how many you get if this is a loot drop.")</f>
        <v>Crafting Material, roll a d20 to see how many you get if this is a loot drop.</v>
      </c>
      <c r="C149" s="49" t="str">
        <f>IFERROR(__xludf.DUMMYFUNCTION("""COMPUTED_VALUE"""),"Item")</f>
        <v>Item</v>
      </c>
    </row>
    <row r="150">
      <c r="A150" s="49" t="str">
        <f>IFERROR(__xludf.DUMMYFUNCTION("""COMPUTED_VALUE"""),"Ruby")</f>
        <v>Ruby</v>
      </c>
      <c r="B150" s="49" t="str">
        <f>IFERROR(__xludf.DUMMYFUNCTION("""COMPUTED_VALUE"""),"Crafting Material, roll a d20 to see how many you get if this is a loot drop.")</f>
        <v>Crafting Material, roll a d20 to see how many you get if this is a loot drop.</v>
      </c>
      <c r="C150" s="49" t="str">
        <f>IFERROR(__xludf.DUMMYFUNCTION("""COMPUTED_VALUE"""),"Item")</f>
        <v>Item</v>
      </c>
    </row>
    <row r="151">
      <c r="A151" s="49" t="str">
        <f>IFERROR(__xludf.DUMMYFUNCTION("""COMPUTED_VALUE"""),"Sapphire")</f>
        <v>Sapphire</v>
      </c>
      <c r="B151" s="49" t="str">
        <f>IFERROR(__xludf.DUMMYFUNCTION("""COMPUTED_VALUE"""),"Crafting Material, roll a d20 to see how many you get if this is a loot drop.")</f>
        <v>Crafting Material, roll a d20 to see how many you get if this is a loot drop.</v>
      </c>
      <c r="C151" s="49" t="str">
        <f>IFERROR(__xludf.DUMMYFUNCTION("""COMPUTED_VALUE"""),"Item")</f>
        <v>Item</v>
      </c>
    </row>
    <row r="152">
      <c r="A152" s="49" t="str">
        <f>IFERROR(__xludf.DUMMYFUNCTION("""COMPUTED_VALUE"""),"Candy Corn")</f>
        <v>Candy Corn</v>
      </c>
      <c r="B152" s="49" t="str">
        <f>IFERROR(__xludf.DUMMYFUNCTION("""COMPUTED_VALUE"""),"Gun ammunition. 5000 damage, +5000 fire damage.")</f>
        <v>Gun ammunition. 5000 damage, +5000 fire damage.</v>
      </c>
      <c r="C152" s="49" t="str">
        <f>IFERROR(__xludf.DUMMYFUNCTION("""COMPUTED_VALUE"""),"Item")</f>
        <v>Item</v>
      </c>
    </row>
    <row r="153">
      <c r="A153" s="49" t="str">
        <f>IFERROR(__xludf.DUMMYFUNCTION("""COMPUTED_VALUE"""),"Pumpkin Arrow")</f>
        <v>Pumpkin Arrow</v>
      </c>
      <c r="B153" s="49" t="str">
        <f>IFERROR(__xludf.DUMMYFUNCTION("""COMPUTED_VALUE"""),"Bow Ammunition. +5000 fire damage. roll a d20 to see how many you get if this is a loot drop.")</f>
        <v>Bow Ammunition. +5000 fire damage. roll a d20 to see how many you get if this is a loot drop.</v>
      </c>
      <c r="C153" s="49" t="str">
        <f>IFERROR(__xludf.DUMMYFUNCTION("""COMPUTED_VALUE"""),"Item")</f>
        <v>Item</v>
      </c>
    </row>
    <row r="154">
      <c r="A154" s="49" t="str">
        <f>IFERROR(__xludf.DUMMYFUNCTION("""COMPUTED_VALUE"""),"Candy Corn Gem")</f>
        <v>Candy Corn Gem</v>
      </c>
      <c r="B154" s="49" t="str">
        <f>IFERROR(__xludf.DUMMYFUNCTION("""COMPUTED_VALUE"""),"(Can be turned in for Halloween Coins Decided by the current DM / GM )")</f>
        <v>(Can be turned in for Halloween Coins Decided by the current DM / GM )</v>
      </c>
      <c r="C154" s="49" t="str">
        <f>IFERROR(__xludf.DUMMYFUNCTION("""COMPUTED_VALUE"""),"Item")</f>
        <v>Item</v>
      </c>
    </row>
    <row r="155">
      <c r="A155" s="49" t="str">
        <f>IFERROR(__xludf.DUMMYFUNCTION("""COMPUTED_VALUE"""),"Steel Arrow")</f>
        <v>Steel Arrow</v>
      </c>
      <c r="B155" s="49" t="str">
        <f>IFERROR(__xludf.DUMMYFUNCTION("""COMPUTED_VALUE"""),"Bow Ammunition. +100 damage. roll a d20 to see how many you get if this is a loot drop.")</f>
        <v>Bow Ammunition. +100 damage. roll a d20 to see how many you get if this is a loot drop.</v>
      </c>
      <c r="C155" s="49" t="str">
        <f>IFERROR(__xludf.DUMMYFUNCTION("""COMPUTED_VALUE"""),"Item")</f>
        <v>Item</v>
      </c>
    </row>
    <row r="156">
      <c r="A156" s="49" t="str">
        <f>IFERROR(__xludf.DUMMYFUNCTION("""COMPUTED_VALUE"""),"Bone Key")</f>
        <v>Bone Key</v>
      </c>
      <c r="B156" s="49" t="str">
        <f>IFERROR(__xludf.DUMMYFUNCTION("""COMPUTED_VALUE"""),"Opens bone chest")</f>
        <v>Opens bone chest</v>
      </c>
      <c r="C156" s="49" t="str">
        <f>IFERROR(__xludf.DUMMYFUNCTION("""COMPUTED_VALUE"""),"Item")</f>
        <v>Item</v>
      </c>
    </row>
    <row r="157">
      <c r="A157" s="49" t="str">
        <f>IFERROR(__xludf.DUMMYFUNCTION("""COMPUTED_VALUE"""),"Bone")</f>
        <v>Bone</v>
      </c>
      <c r="B157" s="49" t="str">
        <f>IFERROR(__xludf.DUMMYFUNCTION("""COMPUTED_VALUE"""),"Crafting Material, roll a d20 to see how many you get if this is a loot drop.")</f>
        <v>Crafting Material, roll a d20 to see how many you get if this is a loot drop.</v>
      </c>
      <c r="C157" s="49" t="str">
        <f>IFERROR(__xludf.DUMMYFUNCTION("""COMPUTED_VALUE"""),"Item")</f>
        <v>Item</v>
      </c>
    </row>
    <row r="158">
      <c r="A158" s="49" t="str">
        <f>IFERROR(__xludf.DUMMYFUNCTION("""COMPUTED_VALUE"""),"Bone Chest")</f>
        <v>Bone Chest</v>
      </c>
      <c r="B158" s="49" t="str">
        <f>IFERROR(__xludf.DUMMYFUNCTION("""COMPUTED_VALUE"""),"Determine the tier by a d10 roll.")</f>
        <v>Determine the tier by a d10 roll.</v>
      </c>
      <c r="C158" s="49" t="str">
        <f>IFERROR(__xludf.DUMMYFUNCTION("""COMPUTED_VALUE"""),"Item")</f>
        <v>Item</v>
      </c>
    </row>
    <row r="159">
      <c r="A159" s="49" t="str">
        <f>IFERROR(__xludf.DUMMYFUNCTION("""COMPUTED_VALUE"""),"Viking Key")</f>
        <v>Viking Key</v>
      </c>
      <c r="B159" s="49" t="str">
        <f>IFERROR(__xludf.DUMMYFUNCTION("""COMPUTED_VALUE"""),"Opens the Viking Chest")</f>
        <v>Opens the Viking Chest</v>
      </c>
      <c r="C159" s="49" t="str">
        <f>IFERROR(__xludf.DUMMYFUNCTION("""COMPUTED_VALUE"""),"Item")</f>
        <v>Item</v>
      </c>
    </row>
    <row r="160">
      <c r="A160" s="49" t="str">
        <f>IFERROR(__xludf.DUMMYFUNCTION("""COMPUTED_VALUE"""),"Viking Chest")</f>
        <v>Viking Chest</v>
      </c>
      <c r="B160" s="49" t="str">
        <f>IFERROR(__xludf.DUMMYFUNCTION("""COMPUTED_VALUE"""),"Determine the tier by a d10 roll.")</f>
        <v>Determine the tier by a d10 roll.</v>
      </c>
      <c r="C160" s="49" t="str">
        <f>IFERROR(__xludf.DUMMYFUNCTION("""COMPUTED_VALUE"""),"Item")</f>
        <v>Item</v>
      </c>
    </row>
    <row r="161">
      <c r="A161" s="49" t="str">
        <f>IFERROR(__xludf.DUMMYFUNCTION("""COMPUTED_VALUE"""),"Vikings Cove Key")</f>
        <v>Vikings Cove Key</v>
      </c>
      <c r="B161" s="49" t="str">
        <f>IFERROR(__xludf.DUMMYFUNCTION("""COMPUTED_VALUE"""),"Gain access to Vikings Cove")</f>
        <v>Gain access to Vikings Cove</v>
      </c>
      <c r="C161" s="49" t="str">
        <f>IFERROR(__xludf.DUMMYFUNCTION("""COMPUTED_VALUE"""),"Item")</f>
        <v>Item</v>
      </c>
    </row>
    <row r="162">
      <c r="A162" s="49" t="str">
        <f>IFERROR(__xludf.DUMMYFUNCTION("""COMPUTED_VALUE"""),"Baboon meat")</f>
        <v>Baboon meat</v>
      </c>
      <c r="B162" s="49" t="str">
        <f>IFERROR(__xludf.DUMMYFUNCTION("""COMPUTED_VALUE""")," +2 hunger")</f>
        <v> +2 hunger</v>
      </c>
      <c r="C162" s="49" t="str">
        <f>IFERROR(__xludf.DUMMYFUNCTION("""COMPUTED_VALUE"""),"Crop")</f>
        <v>Crop</v>
      </c>
    </row>
    <row r="163">
      <c r="A163" s="49" t="str">
        <f>IFERROR(__xludf.DUMMYFUNCTION("""COMPUTED_VALUE"""),"Eagle Feathers")</f>
        <v>Eagle Feathers</v>
      </c>
      <c r="B163" s="49" t="str">
        <f>IFERROR(__xludf.DUMMYFUNCTION("""COMPUTED_VALUE"""),"Crafting Material, roll a d20 to see how many you get if this is a loot drop.")</f>
        <v>Crafting Material, roll a d20 to see how many you get if this is a loot drop.</v>
      </c>
      <c r="C163" s="49" t="str">
        <f>IFERROR(__xludf.DUMMYFUNCTION("""COMPUTED_VALUE"""),"Item")</f>
        <v>Item</v>
      </c>
    </row>
    <row r="164">
      <c r="A164" s="49" t="str">
        <f>IFERROR(__xludf.DUMMYFUNCTION("""COMPUTED_VALUE"""),"The Cycle")</f>
        <v>The Cycle</v>
      </c>
      <c r="B164" s="49"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49" t="str">
        <f>IFERROR(__xludf.DUMMYFUNCTION("""COMPUTED_VALUE"""),"Item")</f>
        <v>Item</v>
      </c>
    </row>
    <row r="165">
      <c r="A165" s="49" t="str">
        <f>IFERROR(__xludf.DUMMYFUNCTION("""COMPUTED_VALUE"""),"Scale")</f>
        <v>Scale</v>
      </c>
      <c r="B165" s="49" t="str">
        <f>IFERROR(__xludf.DUMMYFUNCTION("""COMPUTED_VALUE"""),"can be added to armor to give it +1 Earth resistance, once added to armor it can’t be removed")</f>
        <v>can be added to armor to give it +1 Earth resistance, once added to armor it can’t be removed</v>
      </c>
      <c r="C165" s="49" t="str">
        <f>IFERROR(__xludf.DUMMYFUNCTION("""COMPUTED_VALUE"""),"Item")</f>
        <v>Item</v>
      </c>
    </row>
    <row r="166">
      <c r="A166" s="49" t="str">
        <f>IFERROR(__xludf.DUMMYFUNCTION("""COMPUTED_VALUE"""),"Egg")</f>
        <v>Egg</v>
      </c>
      <c r="B166" s="49" t="str">
        <f>IFERROR(__xludf.DUMMYFUNCTION("""COMPUTED_VALUE"""),"Will hatch in X/X days.")</f>
        <v>Will hatch in X/X days.</v>
      </c>
      <c r="C166" s="49" t="str">
        <f>IFERROR(__xludf.DUMMYFUNCTION("""COMPUTED_VALUE"""),"Item")</f>
        <v>Item</v>
      </c>
    </row>
    <row r="167">
      <c r="A167" s="49" t="str">
        <f>IFERROR(__xludf.DUMMYFUNCTION("""COMPUTED_VALUE"""),"Soul")</f>
        <v>Soul</v>
      </c>
      <c r="B167" s="49"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49" t="str">
        <f>IFERROR(__xludf.DUMMYFUNCTION("""COMPUTED_VALUE"""),"Item")</f>
        <v>Item</v>
      </c>
    </row>
    <row r="168">
      <c r="A168" s="49" t="str">
        <f>IFERROR(__xludf.DUMMYFUNCTION("""COMPUTED_VALUE"""),"Crystal")</f>
        <v>Crystal</v>
      </c>
      <c r="B168" s="49" t="str">
        <f>IFERROR(__xludf.DUMMYFUNCTION("""COMPUTED_VALUE"""),"Crafting Material, roll a d20 to see how many you get if this is a loot drop.")</f>
        <v>Crafting Material, roll a d20 to see how many you get if this is a loot drop.</v>
      </c>
      <c r="C168" s="49" t="str">
        <f>IFERROR(__xludf.DUMMYFUNCTION("""COMPUTED_VALUE"""),"Item")</f>
        <v>Item</v>
      </c>
    </row>
    <row r="169">
      <c r="A169" s="49" t="str">
        <f>IFERROR(__xludf.DUMMYFUNCTION("""COMPUTED_VALUE"""),"Delta Gems")</f>
        <v>Delta Gems</v>
      </c>
      <c r="B169" s="49" t="str">
        <f>IFERROR(__xludf.DUMMYFUNCTION("""COMPUTED_VALUE"""),"Crafting Material, roll a d20 to see how many you get if this is a loot drop.")</f>
        <v>Crafting Material, roll a d20 to see how many you get if this is a loot drop.</v>
      </c>
      <c r="C169" s="49" t="str">
        <f>IFERROR(__xludf.DUMMYFUNCTION("""COMPUTED_VALUE"""),"Item")</f>
        <v>Item</v>
      </c>
    </row>
    <row r="170">
      <c r="A170" s="49" t="str">
        <f>IFERROR(__xludf.DUMMYFUNCTION("""COMPUTED_VALUE"""),"Fire Diamonds")</f>
        <v>Fire Diamonds</v>
      </c>
      <c r="B170" s="49" t="str">
        <f>IFERROR(__xludf.DUMMYFUNCTION("""COMPUTED_VALUE"""),"Crafting Material, roll a d20 to see how many you get if this is a loot drop.")</f>
        <v>Crafting Material, roll a d20 to see how many you get if this is a loot drop.</v>
      </c>
      <c r="C170" s="49" t="str">
        <f>IFERROR(__xludf.DUMMYFUNCTION("""COMPUTED_VALUE"""),"Item")</f>
        <v>Item</v>
      </c>
    </row>
    <row r="171">
      <c r="A171" s="49" t="str">
        <f>IFERROR(__xludf.DUMMYFUNCTION("""COMPUTED_VALUE"""),"plant containing the ‘instant death status effect’")</f>
        <v>plant containing the ‘instant death status effect’</v>
      </c>
      <c r="B171" s="49" t="str">
        <f>IFERROR(__xludf.DUMMYFUNCTION("""COMPUTED_VALUE"""),"Quest item")</f>
        <v>Quest item</v>
      </c>
      <c r="C171" s="49" t="str">
        <f>IFERROR(__xludf.DUMMYFUNCTION("""COMPUTED_VALUE"""),"Item")</f>
        <v>Item</v>
      </c>
    </row>
    <row r="172">
      <c r="A172" s="49"/>
      <c r="B172" s="49"/>
      <c r="C172" s="49"/>
    </row>
    <row r="173">
      <c r="A173" s="49" t="str">
        <f>IFERROR(__xludf.DUMMYFUNCTION("""COMPUTED_VALUE"""),"Potion of Cure Curse")</f>
        <v>Potion of Cure Curse</v>
      </c>
      <c r="B173" s="49" t="str">
        <f>IFERROR(__xludf.DUMMYFUNCTION("""COMPUTED_VALUE"""),"Curse Antidote")</f>
        <v>Curse Antidote</v>
      </c>
      <c r="C173" s="49" t="str">
        <f>IFERROR(__xludf.DUMMYFUNCTION("""COMPUTED_VALUE"""),"Item")</f>
        <v>Item</v>
      </c>
    </row>
    <row r="174">
      <c r="A174" s="49" t="str">
        <f>IFERROR(__xludf.DUMMYFUNCTION("""COMPUTED_VALUE"""),"Glowing Blue Jelly")</f>
        <v>Glowing Blue Jelly</v>
      </c>
      <c r="B174" s="49" t="str">
        <f>IFERROR(__xludf.DUMMYFUNCTION("""COMPUTED_VALUE"""),"Crafting Material, roll a d20 to see how many you get if this is a loot drop.")</f>
        <v>Crafting Material, roll a d20 to see how many you get if this is a loot drop.</v>
      </c>
      <c r="C174" s="49" t="str">
        <f>IFERROR(__xludf.DUMMYFUNCTION("""COMPUTED_VALUE"""),"Item")</f>
        <v>Item</v>
      </c>
    </row>
    <row r="175">
      <c r="A175" s="49" t="str">
        <f>IFERROR(__xludf.DUMMYFUNCTION("""COMPUTED_VALUE"""),"Feather")</f>
        <v>Feather</v>
      </c>
      <c r="B175" s="49" t="str">
        <f>IFERROR(__xludf.DUMMYFUNCTION("""COMPUTED_VALUE"""),"Crafting Material, roll a d20 to see how many you get if this is a loot drop.")</f>
        <v>Crafting Material, roll a d20 to see how many you get if this is a loot drop.</v>
      </c>
      <c r="C175" s="49" t="str">
        <f>IFERROR(__xludf.DUMMYFUNCTION("""COMPUTED_VALUE"""),"Item")</f>
        <v>Item</v>
      </c>
    </row>
    <row r="176">
      <c r="A176" s="49" t="str">
        <f>IFERROR(__xludf.DUMMYFUNCTION("""COMPUTED_VALUE"""),"Talon")</f>
        <v>Talon</v>
      </c>
      <c r="B176" s="49" t="str">
        <f>IFERROR(__xludf.DUMMYFUNCTION("""COMPUTED_VALUE"""),"Crafting Material, roll a d20 to see how many you get if this is a loot drop.")</f>
        <v>Crafting Material, roll a d20 to see how many you get if this is a loot drop.</v>
      </c>
      <c r="C176" s="49" t="str">
        <f>IFERROR(__xludf.DUMMYFUNCTION("""COMPUTED_VALUE"""),"Item")</f>
        <v>Item</v>
      </c>
    </row>
    <row r="177">
      <c r="A177" s="49" t="str">
        <f>IFERROR(__xludf.DUMMYFUNCTION("""COMPUTED_VALUE"""),"Eyeball")</f>
        <v>Eyeball</v>
      </c>
      <c r="B177" s="49" t="str">
        <f>IFERROR(__xludf.DUMMYFUNCTION("""COMPUTED_VALUE"""),"Crafting Material, roll a d20 to see how many you get if this is a loot drop.")</f>
        <v>Crafting Material, roll a d20 to see how many you get if this is a loot drop.</v>
      </c>
      <c r="C177" s="49" t="str">
        <f>IFERROR(__xludf.DUMMYFUNCTION("""COMPUTED_VALUE"""),"Item")</f>
        <v>Item</v>
      </c>
    </row>
    <row r="178">
      <c r="A178" s="49" t="str">
        <f>IFERROR(__xludf.DUMMYFUNCTION("""COMPUTED_VALUE"""),"Spider Egg")</f>
        <v>Spider Egg</v>
      </c>
      <c r="B178" s="49" t="str">
        <f>IFERROR(__xludf.DUMMYFUNCTION("""COMPUTED_VALUE"""),"Crafting Material, roll a d20 to see how many you get if this is a loot drop.")</f>
        <v>Crafting Material, roll a d20 to see how many you get if this is a loot drop.</v>
      </c>
      <c r="C178" s="49" t="str">
        <f>IFERROR(__xludf.DUMMYFUNCTION("""COMPUTED_VALUE"""),"Item")</f>
        <v>Item</v>
      </c>
    </row>
    <row r="179">
      <c r="A179" s="49" t="str">
        <f>IFERROR(__xludf.DUMMYFUNCTION("""COMPUTED_VALUE"""),"Giant Spider Exoskeleton")</f>
        <v>Giant Spider Exoskeleton</v>
      </c>
      <c r="B179" s="49" t="str">
        <f>IFERROR(__xludf.DUMMYFUNCTION("""COMPUTED_VALUE"""),"Crafting Material, roll a d20 to see how many you get if this is a loot drop.")</f>
        <v>Crafting Material, roll a d20 to see how many you get if this is a loot drop.</v>
      </c>
      <c r="C179" s="49" t="str">
        <f>IFERROR(__xludf.DUMMYFUNCTION("""COMPUTED_VALUE"""),"Item")</f>
        <v>Item</v>
      </c>
    </row>
    <row r="180">
      <c r="A180" s="49" t="str">
        <f>IFERROR(__xludf.DUMMYFUNCTION("""COMPUTED_VALUE"""),"Giant Spider Poison")</f>
        <v>Giant Spider Poison</v>
      </c>
      <c r="B180" s="49" t="str">
        <f>IFERROR(__xludf.DUMMYFUNCTION("""COMPUTED_VALUE"""),"Crafting Material, roll a d20 to see how many you get if this is a loot drop.")</f>
        <v>Crafting Material, roll a d20 to see how many you get if this is a loot drop.</v>
      </c>
      <c r="C180" s="49" t="str">
        <f>IFERROR(__xludf.DUMMYFUNCTION("""COMPUTED_VALUE"""),"Item")</f>
        <v>Item</v>
      </c>
    </row>
    <row r="181">
      <c r="A181" s="49" t="str">
        <f>IFERROR(__xludf.DUMMYFUNCTION("""COMPUTED_VALUE"""),"Poison Gem")</f>
        <v>Poison Gem</v>
      </c>
      <c r="B181" s="49" t="str">
        <f>IFERROR(__xludf.DUMMYFUNCTION("""COMPUTED_VALUE"""),"Crafting Material, roll a d20 to see how many you get if this is a loot drop.")</f>
        <v>Crafting Material, roll a d20 to see how many you get if this is a loot drop.</v>
      </c>
      <c r="C181" s="49" t="str">
        <f>IFERROR(__xludf.DUMMYFUNCTION("""COMPUTED_VALUE"""),"Item")</f>
        <v>Item</v>
      </c>
    </row>
    <row r="182">
      <c r="A182" s="49" t="str">
        <f>IFERROR(__xludf.DUMMYFUNCTION("""COMPUTED_VALUE"""),"Returning Arrow")</f>
        <v>Returning Arrow</v>
      </c>
      <c r="B182" s="49" t="str">
        <f>IFERROR(__xludf.DUMMYFUNCTION("""COMPUTED_VALUE"""),"Bow Ammunition. +500 damage.  returns to the user. roll a d20 to see how many you get if this is a loot drop.")</f>
        <v>Bow Ammunition. +500 damage.  returns to the user. roll a d20 to see how many you get if this is a loot drop.</v>
      </c>
      <c r="C182" s="49" t="str">
        <f>IFERROR(__xludf.DUMMYFUNCTION("""COMPUTED_VALUE"""),"Item")</f>
        <v>Item</v>
      </c>
    </row>
    <row r="183">
      <c r="A183" s="49" t="str">
        <f>IFERROR(__xludf.DUMMYFUNCTION("""COMPUTED_VALUE"""),"Shadow Fluid")</f>
        <v>Shadow Fluid</v>
      </c>
      <c r="B183" s="49" t="str">
        <f>IFERROR(__xludf.DUMMYFUNCTION("""COMPUTED_VALUE"""),"Crafting Material, roll a d20 to see how many you get if this is a loot drop.")</f>
        <v>Crafting Material, roll a d20 to see how many you get if this is a loot drop.</v>
      </c>
      <c r="C183" s="49" t="str">
        <f>IFERROR(__xludf.DUMMYFUNCTION("""COMPUTED_VALUE"""),"Item")</f>
        <v>Item</v>
      </c>
    </row>
    <row r="184">
      <c r="A184" s="49" t="str">
        <f>IFERROR(__xludf.DUMMYFUNCTION("""COMPUTED_VALUE"""),"Skull")</f>
        <v>Skull</v>
      </c>
      <c r="B184" s="49" t="str">
        <f>IFERROR(__xludf.DUMMYFUNCTION("""COMPUTED_VALUE"""),"Crafting Material, roll a d20 to see how many you get if this is a loot drop.")</f>
        <v>Crafting Material, roll a d20 to see how many you get if this is a loot drop.</v>
      </c>
      <c r="C184" s="49" t="str">
        <f>IFERROR(__xludf.DUMMYFUNCTION("""COMPUTED_VALUE"""),"Item")</f>
        <v>Item</v>
      </c>
    </row>
    <row r="185">
      <c r="A185" s="49" t="str">
        <f>IFERROR(__xludf.DUMMYFUNCTION("""COMPUTED_VALUE"""),"pumpkin gem")</f>
        <v>pumpkin gem</v>
      </c>
      <c r="B185" s="49" t="str">
        <f>IFERROR(__xludf.DUMMYFUNCTION("""COMPUTED_VALUE"""),"Crafting Material, roll a d20 to see how many you get if this is a loot drop.")</f>
        <v>Crafting Material, roll a d20 to see how many you get if this is a loot drop.</v>
      </c>
      <c r="C185" s="49" t="str">
        <f>IFERROR(__xludf.DUMMYFUNCTION("""COMPUTED_VALUE"""),"Item")</f>
        <v>Item</v>
      </c>
    </row>
    <row r="186">
      <c r="A186" s="49" t="str">
        <f>IFERROR(__xludf.DUMMYFUNCTION("""COMPUTED_VALUE"""),"Rotton Flesh")</f>
        <v>Rotton Flesh</v>
      </c>
      <c r="B186" s="49" t="str">
        <f>IFERROR(__xludf.DUMMYFUNCTION("""COMPUTED_VALUE"""),"-100 Hunger if you are not undead. +200 hunger and energy if you are undead.")</f>
        <v>-100 Hunger if you are not undead. +200 hunger and energy if you are undead.</v>
      </c>
      <c r="C186" s="49" t="str">
        <f>IFERROR(__xludf.DUMMYFUNCTION("""COMPUTED_VALUE"""),"Crop")</f>
        <v>Crop</v>
      </c>
    </row>
    <row r="187">
      <c r="A187" s="49" t="str">
        <f>IFERROR(__xludf.DUMMYFUNCTION("""COMPUTED_VALUE"""),"Bag of Sand")</f>
        <v>Bag of Sand</v>
      </c>
      <c r="B187" s="49" t="str">
        <f>IFERROR(__xludf.DUMMYFUNCTION("""COMPUTED_VALUE"""),"Crafting Material, roll a d20 to see how many you get if this is a loot drop.")</f>
        <v>Crafting Material, roll a d20 to see how many you get if this is a loot drop.</v>
      </c>
      <c r="C187" s="49" t="str">
        <f>IFERROR(__xludf.DUMMYFUNCTION("""COMPUTED_VALUE"""),"Item")</f>
        <v>Item</v>
      </c>
    </row>
    <row r="188">
      <c r="A188" s="49" t="str">
        <f>IFERROR(__xludf.DUMMYFUNCTION("""COMPUTED_VALUE"""),"Glowing Red eye")</f>
        <v>Glowing Red eye</v>
      </c>
      <c r="B188" s="49" t="str">
        <f>IFERROR(__xludf.DUMMYFUNCTION("""COMPUTED_VALUE""")," +10SP")</f>
        <v> +10SP</v>
      </c>
      <c r="C188" s="49" t="str">
        <f>IFERROR(__xludf.DUMMYFUNCTION("""COMPUTED_VALUE"""),"Item")</f>
        <v>Item</v>
      </c>
    </row>
    <row r="189">
      <c r="A189" s="49" t="str">
        <f>IFERROR(__xludf.DUMMYFUNCTION("""COMPUTED_VALUE"""),"Sand Gem")</f>
        <v>Sand Gem</v>
      </c>
      <c r="B189" s="49" t="str">
        <f>IFERROR(__xludf.DUMMYFUNCTION("""COMPUTED_VALUE"""),"Crafting Material, roll a d20 to see how many you get if this is a loot drop.")</f>
        <v>Crafting Material, roll a d20 to see how many you get if this is a loot drop.</v>
      </c>
      <c r="C189" s="49" t="str">
        <f>IFERROR(__xludf.DUMMYFUNCTION("""COMPUTED_VALUE"""),"Item")</f>
        <v>Item</v>
      </c>
    </row>
    <row r="190">
      <c r="A190" s="49" t="str">
        <f>IFERROR(__xludf.DUMMYFUNCTION("""COMPUTED_VALUE"""),"Poison water")</f>
        <v>Poison water</v>
      </c>
      <c r="B190" s="49"/>
      <c r="C190" s="49" t="str">
        <f>IFERROR(__xludf.DUMMYFUNCTION("""COMPUTED_VALUE"""),"Item")</f>
        <v>Item</v>
      </c>
    </row>
    <row r="191">
      <c r="A191" s="49" t="str">
        <f>IFERROR(__xludf.DUMMYFUNCTION("""COMPUTED_VALUE"""),"Poison Mushroom")</f>
        <v>Poison Mushroom</v>
      </c>
      <c r="B191" s="49" t="str">
        <f>IFERROR(__xludf.DUMMYFUNCTION("""COMPUTED_VALUE"""),"-100 Hunger, Causes poison 100 for 10 days of travel.")</f>
        <v>-100 Hunger, Causes poison 100 for 10 days of travel.</v>
      </c>
      <c r="C191" s="49" t="str">
        <f>IFERROR(__xludf.DUMMYFUNCTION("""COMPUTED_VALUE"""),"Crop")</f>
        <v>Crop</v>
      </c>
    </row>
    <row r="192">
      <c r="A192" s="49" t="str">
        <f>IFERROR(__xludf.DUMMYFUNCTION("""COMPUTED_VALUE"""),"Vile of Poison")</f>
        <v>Vile of Poison</v>
      </c>
      <c r="B192" s="49" t="str">
        <f>IFERROR(__xludf.DUMMYFUNCTION("""COMPUTED_VALUE"""),"Crafting Material, roll a d20 to see how many you get if this is a loot drop.")</f>
        <v>Crafting Material, roll a d20 to see how many you get if this is a loot drop.</v>
      </c>
      <c r="C192" s="49" t="str">
        <f>IFERROR(__xludf.DUMMYFUNCTION("""COMPUTED_VALUE"""),"Item")</f>
        <v>Item</v>
      </c>
    </row>
    <row r="193">
      <c r="A193" s="49" t="str">
        <f>IFERROR(__xludf.DUMMYFUNCTION("""COMPUTED_VALUE"""),"Explosive Arrow")</f>
        <v>Explosive Arrow</v>
      </c>
      <c r="B193" s="49"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49" t="str">
        <f>IFERROR(__xludf.DUMMYFUNCTION("""COMPUTED_VALUE"""),"Item")</f>
        <v>Item</v>
      </c>
    </row>
    <row r="194">
      <c r="A194" s="49" t="str">
        <f>IFERROR(__xludf.DUMMYFUNCTION("""COMPUTED_VALUE"""),"Frost diamond")</f>
        <v>Frost diamond</v>
      </c>
      <c r="B194" s="49" t="str">
        <f>IFERROR(__xludf.DUMMYFUNCTION("""COMPUTED_VALUE"""),"Crafting Material, roll a d20 to see how many you get if this is a loot drop.")</f>
        <v>Crafting Material, roll a d20 to see how many you get if this is a loot drop.</v>
      </c>
      <c r="C194" s="49" t="str">
        <f>IFERROR(__xludf.DUMMYFUNCTION("""COMPUTED_VALUE"""),"Item")</f>
        <v>Item</v>
      </c>
    </row>
    <row r="195">
      <c r="A195" s="49" t="str">
        <f>IFERROR(__xludf.DUMMYFUNCTION("""COMPUTED_VALUE"""),"Big Frost Owl Feathers")</f>
        <v>Big Frost Owl Feathers</v>
      </c>
      <c r="B195" s="49" t="str">
        <f>IFERROR(__xludf.DUMMYFUNCTION("""COMPUTED_VALUE"""),"Crafting Material, roll a d20 to see how many you get if this is a loot drop.")</f>
        <v>Crafting Material, roll a d20 to see how many you get if this is a loot drop.</v>
      </c>
      <c r="C195" s="49" t="str">
        <f>IFERROR(__xludf.DUMMYFUNCTION("""COMPUTED_VALUE"""),"Item")</f>
        <v>Item</v>
      </c>
    </row>
    <row r="196">
      <c r="A196" s="49" t="str">
        <f>IFERROR(__xludf.DUMMYFUNCTION("""COMPUTED_VALUE"""),"Big Frost Owl egg")</f>
        <v>Big Frost Owl egg</v>
      </c>
      <c r="B196" s="49"/>
      <c r="C196" s="49" t="str">
        <f>IFERROR(__xludf.DUMMYFUNCTION("""COMPUTED_VALUE"""),"Item")</f>
        <v>Item</v>
      </c>
    </row>
    <row r="197">
      <c r="A197" s="49" t="str">
        <f>IFERROR(__xludf.DUMMYFUNCTION("""COMPUTED_VALUE"""),"Giant Frost Diamond")</f>
        <v>Giant Frost Diamond</v>
      </c>
      <c r="B197" s="49" t="str">
        <f>IFERROR(__xludf.DUMMYFUNCTION("""COMPUTED_VALUE"""),"Crafting Material, roll a d20 to see how many you get if this is a loot drop.")</f>
        <v>Crafting Material, roll a d20 to see how many you get if this is a loot drop.</v>
      </c>
      <c r="C197" s="49" t="str">
        <f>IFERROR(__xludf.DUMMYFUNCTION("""COMPUTED_VALUE"""),"Item")</f>
        <v>Item</v>
      </c>
    </row>
    <row r="198">
      <c r="A198" s="49" t="str">
        <f>IFERROR(__xludf.DUMMYFUNCTION("""COMPUTED_VALUE"""),"Gold Brick")</f>
        <v>Gold Brick</v>
      </c>
      <c r="B198" s="49" t="str">
        <f>IFERROR(__xludf.DUMMYFUNCTION("""COMPUTED_VALUE"""),"Crafting Material, roll a d20 to see how many you get if this is a loot drop.")</f>
        <v>Crafting Material, roll a d20 to see how many you get if this is a loot drop.</v>
      </c>
      <c r="C198" s="49" t="str">
        <f>IFERROR(__xludf.DUMMYFUNCTION("""COMPUTED_VALUE"""),"Item")</f>
        <v>Item</v>
      </c>
    </row>
    <row r="199">
      <c r="A199" s="49" t="str">
        <f>IFERROR(__xludf.DUMMYFUNCTION("""COMPUTED_VALUE"""),"Arrow of Mutiplying ")</f>
        <v>Arrow of Mutiplying </v>
      </c>
      <c r="B199" s="49"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49" t="str">
        <f>IFERROR(__xludf.DUMMYFUNCTION("""COMPUTED_VALUE"""),"Item")</f>
        <v>Item</v>
      </c>
    </row>
    <row r="200">
      <c r="A200" s="49" t="str">
        <f>IFERROR(__xludf.DUMMYFUNCTION("""COMPUTED_VALUE"""),"Water Gem")</f>
        <v>Water Gem</v>
      </c>
      <c r="B200" s="49" t="str">
        <f>IFERROR(__xludf.DUMMYFUNCTION("""COMPUTED_VALUE"""),"Crafting Material, roll a d20 to see how many you get if this is a loot drop.")</f>
        <v>Crafting Material, roll a d20 to see how many you get if this is a loot drop.</v>
      </c>
      <c r="C200" s="49" t="str">
        <f>IFERROR(__xludf.DUMMYFUNCTION("""COMPUTED_VALUE"""),"Item")</f>
        <v>Item</v>
      </c>
    </row>
    <row r="201">
      <c r="A201" s="49" t="str">
        <f>IFERROR(__xludf.DUMMYFUNCTION("""COMPUTED_VALUE"""),"Goose Meat")</f>
        <v>Goose Meat</v>
      </c>
      <c r="B201" s="49" t="str">
        <f>IFERROR(__xludf.DUMMYFUNCTION("""COMPUTED_VALUE"""),"-200 hunger to any character that is not owner by Hunter Gooseman. +500 Hunger to any character Hunter Owns.")</f>
        <v>-200 hunger to any character that is not owner by Hunter Gooseman. +500 Hunger to any character Hunter Owns.</v>
      </c>
      <c r="C201" s="49" t="str">
        <f>IFERROR(__xludf.DUMMYFUNCTION("""COMPUTED_VALUE"""),"Crop")</f>
        <v>Crop</v>
      </c>
    </row>
    <row r="202">
      <c r="A202" s="49" t="str">
        <f>IFERROR(__xludf.DUMMYFUNCTION("""COMPUTED_VALUE"""),"Mysterious Gem")</f>
        <v>Mysterious Gem</v>
      </c>
      <c r="B202" s="49" t="str">
        <f>IFERROR(__xludf.DUMMYFUNCTION("""COMPUTED_VALUE"""),"Crafting Material, roll a d20 to see how many you get if this is a loot drop.")</f>
        <v>Crafting Material, roll a d20 to see how many you get if this is a loot drop.</v>
      </c>
      <c r="C202" s="49" t="str">
        <f>IFERROR(__xludf.DUMMYFUNCTION("""COMPUTED_VALUE"""),"Item")</f>
        <v>Item</v>
      </c>
    </row>
    <row r="203">
      <c r="A203" s="49" t="str">
        <f>IFERROR(__xludf.DUMMYFUNCTION("""COMPUTED_VALUE"""),"Turtle Shell")</f>
        <v>Turtle Shell</v>
      </c>
      <c r="B203" s="49" t="str">
        <f>IFERROR(__xludf.DUMMYFUNCTION("""COMPUTED_VALUE"""),"Crafting Material, roll a d20 to see how many you get if this is a loot drop.")</f>
        <v>Crafting Material, roll a d20 to see how many you get if this is a loot drop.</v>
      </c>
      <c r="C203" s="49" t="str">
        <f>IFERROR(__xludf.DUMMYFUNCTION("""COMPUTED_VALUE"""),"Item")</f>
        <v>Item</v>
      </c>
    </row>
    <row r="204">
      <c r="A204" s="49" t="str">
        <f>IFERROR(__xludf.DUMMYFUNCTION("""COMPUTED_VALUE"""),"Pumpkin Diamond")</f>
        <v>Pumpkin Diamond</v>
      </c>
      <c r="B204" s="49" t="str">
        <f>IFERROR(__xludf.DUMMYFUNCTION("""COMPUTED_VALUE"""),"Crafting Material, roll a d20 to see how many you get if this is a loot drop.")</f>
        <v>Crafting Material, roll a d20 to see how many you get if this is a loot drop.</v>
      </c>
      <c r="C204" s="49" t="str">
        <f>IFERROR(__xludf.DUMMYFUNCTION("""COMPUTED_VALUE"""),"Item")</f>
        <v>Item</v>
      </c>
    </row>
    <row r="205">
      <c r="A205" s="49" t="str">
        <f>IFERROR(__xludf.DUMMYFUNCTION("""COMPUTED_VALUE"""),"Shadow Diamond")</f>
        <v>Shadow Diamond</v>
      </c>
      <c r="B205" s="49" t="str">
        <f>IFERROR(__xludf.DUMMYFUNCTION("""COMPUTED_VALUE"""),"Crafting Material, roll a d20 to see how many you get if this is a loot drop.")</f>
        <v>Crafting Material, roll a d20 to see how many you get if this is a loot drop.</v>
      </c>
      <c r="C205" s="49" t="str">
        <f>IFERROR(__xludf.DUMMYFUNCTION("""COMPUTED_VALUE"""),"Item")</f>
        <v>Item</v>
      </c>
    </row>
    <row r="206">
      <c r="A206" s="49" t="str">
        <f>IFERROR(__xludf.DUMMYFUNCTION("""COMPUTED_VALUE"""),"Rank 6 Earth tome")</f>
        <v>Rank 6 Earth tome</v>
      </c>
      <c r="B206" s="49" t="str">
        <f>IFERROR(__xludf.DUMMYFUNCTION("""COMPUTED_VALUE"""),"Allows use of up to Rank 6 Earth Powers")</f>
        <v>Allows use of up to Rank 6 Earth Powers</v>
      </c>
      <c r="C206" s="49" t="str">
        <f>IFERROR(__xludf.DUMMYFUNCTION("""COMPUTED_VALUE"""),"Item")</f>
        <v>Item</v>
      </c>
    </row>
    <row r="207">
      <c r="A207" s="49" t="str">
        <f>IFERROR(__xludf.DUMMYFUNCTION("""COMPUTED_VALUE"""),"Demon Claw")</f>
        <v>Demon Claw</v>
      </c>
      <c r="B207" s="49" t="str">
        <f>IFERROR(__xludf.DUMMYFUNCTION("""COMPUTED_VALUE"""),"Crafting Material, roll a d20 to see how many you get if this is a loot drop.")</f>
        <v>Crafting Material, roll a d20 to see how many you get if this is a loot drop.</v>
      </c>
      <c r="C207" s="49" t="str">
        <f>IFERROR(__xludf.DUMMYFUNCTION("""COMPUTED_VALUE"""),"Item")</f>
        <v>Item</v>
      </c>
    </row>
    <row r="208">
      <c r="A208" s="49" t="str">
        <f>IFERROR(__xludf.DUMMYFUNCTION("""COMPUTED_VALUE"""),"Golden Bug")</f>
        <v>Golden Bug</v>
      </c>
      <c r="B208" s="49" t="str">
        <f>IFERROR(__xludf.DUMMYFUNCTION("""COMPUTED_VALUE"""),"Crafting Material, roll a d20 to see how many you get if this is a loot drop.")</f>
        <v>Crafting Material, roll a d20 to see how many you get if this is a loot drop.</v>
      </c>
      <c r="C208" s="49" t="str">
        <f>IFERROR(__xludf.DUMMYFUNCTION("""COMPUTED_VALUE"""),"Item")</f>
        <v>Item</v>
      </c>
    </row>
    <row r="209">
      <c r="A209" s="49" t="str">
        <f>IFERROR(__xludf.DUMMYFUNCTION("""COMPUTED_VALUE"""),"Dragon Orb")</f>
        <v>Dragon Orb</v>
      </c>
      <c r="B209" s="49" t="str">
        <f>IFERROR(__xludf.DUMMYFUNCTION("""COMPUTED_VALUE"""),"Crafting Material, roll a d20 to see how many you get if this is a loot drop.")</f>
        <v>Crafting Material, roll a d20 to see how many you get if this is a loot drop.</v>
      </c>
      <c r="C209" s="49" t="str">
        <f>IFERROR(__xludf.DUMMYFUNCTION("""COMPUTED_VALUE"""),"Item")</f>
        <v>Item</v>
      </c>
    </row>
    <row r="210">
      <c r="A210" s="49" t="str">
        <f>IFERROR(__xludf.DUMMYFUNCTION("""COMPUTED_VALUE"""),"Water potion")</f>
        <v>Water potion</v>
      </c>
      <c r="B210" s="49" t="str">
        <f>IFERROR(__xludf.DUMMYFUNCTION("""COMPUTED_VALUE"""),"Gives water immunity for 1 round")</f>
        <v>Gives water immunity for 1 round</v>
      </c>
      <c r="C210" s="49" t="str">
        <f>IFERROR(__xludf.DUMMYFUNCTION("""COMPUTED_VALUE"""),"Item")</f>
        <v>Item</v>
      </c>
    </row>
    <row r="211">
      <c r="A211" s="49" t="str">
        <f>IFERROR(__xludf.DUMMYFUNCTION("""COMPUTED_VALUE"""),"Jellyfish Stinger")</f>
        <v>Jellyfish Stinger</v>
      </c>
      <c r="B211" s="49" t="str">
        <f>IFERROR(__xludf.DUMMYFUNCTION("""COMPUTED_VALUE"""),"Crafting Material, roll a d20 to see how many you get if this is a loot drop.")</f>
        <v>Crafting Material, roll a d20 to see how many you get if this is a loot drop.</v>
      </c>
      <c r="C211" s="49" t="str">
        <f>IFERROR(__xludf.DUMMYFUNCTION("""COMPUTED_VALUE"""),"Item")</f>
        <v>Item</v>
      </c>
    </row>
    <row r="212">
      <c r="A212" s="49" t="str">
        <f>IFERROR(__xludf.DUMMYFUNCTION("""COMPUTED_VALUE"""),"Bee Stinger ")</f>
        <v>Bee Stinger </v>
      </c>
      <c r="B212" s="49" t="str">
        <f>IFERROR(__xludf.DUMMYFUNCTION("""COMPUTED_VALUE"""),"Crafting Material, roll a d20 to see how many you get if this is a loot drop.")</f>
        <v>Crafting Material, roll a d20 to see how many you get if this is a loot drop.</v>
      </c>
      <c r="C212" s="49" t="str">
        <f>IFERROR(__xludf.DUMMYFUNCTION("""COMPUTED_VALUE"""),"Item")</f>
        <v>Item</v>
      </c>
    </row>
    <row r="213">
      <c r="A213" s="49" t="str">
        <f>IFERROR(__xludf.DUMMYFUNCTION("""COMPUTED_VALUE"""),"Squid Ink")</f>
        <v>Squid Ink</v>
      </c>
      <c r="B213" s="49" t="str">
        <f>IFERROR(__xludf.DUMMYFUNCTION("""COMPUTED_VALUE"""),"Crafting Material, roll a d20 to see how many you get if this is a loot drop.")</f>
        <v>Crafting Material, roll a d20 to see how many you get if this is a loot drop.</v>
      </c>
      <c r="C213" s="49" t="str">
        <f>IFERROR(__xludf.DUMMYFUNCTION("""COMPUTED_VALUE"""),"Item")</f>
        <v>Item</v>
      </c>
    </row>
    <row r="214">
      <c r="A214" s="49" t="str">
        <f>IFERROR(__xludf.DUMMYFUNCTION("""COMPUTED_VALUE"""),"Potion of Water Breathing")</f>
        <v>Potion of Water Breathing</v>
      </c>
      <c r="B214" s="49" t="str">
        <f>IFERROR(__xludf.DUMMYFUNCTION("""COMPUTED_VALUE"""),"Immune to water for for 3 rounds in battle or 3 days of travel.")</f>
        <v>Immune to water for for 3 rounds in battle or 3 days of travel.</v>
      </c>
      <c r="C214" s="49" t="str">
        <f>IFERROR(__xludf.DUMMYFUNCTION("""COMPUTED_VALUE"""),"Item")</f>
        <v>Item</v>
      </c>
    </row>
    <row r="215">
      <c r="A215" s="49" t="str">
        <f>IFERROR(__xludf.DUMMYFUNCTION("""COMPUTED_VALUE"""),"Shark Fin")</f>
        <v>Shark Fin</v>
      </c>
      <c r="B215" s="49" t="str">
        <f>IFERROR(__xludf.DUMMYFUNCTION("""COMPUTED_VALUE"""),"Restores 10 Hunger, +1 ATK until rest")</f>
        <v>Restores 10 Hunger, +1 ATK until rest</v>
      </c>
      <c r="C215" s="49" t="str">
        <f>IFERROR(__xludf.DUMMYFUNCTION("""COMPUTED_VALUE"""),"Crop")</f>
        <v>Crop</v>
      </c>
    </row>
    <row r="216">
      <c r="A216" s="49" t="str">
        <f>IFERROR(__xludf.DUMMYFUNCTION("""COMPUTED_VALUE"""),"Shark Teeth")</f>
        <v>Shark Teeth</v>
      </c>
      <c r="B216" s="49" t="str">
        <f>IFERROR(__xludf.DUMMYFUNCTION("""COMPUTED_VALUE"""),"100 = permanently increase Atk by 1")</f>
        <v>100 = permanently increase Atk by 1</v>
      </c>
      <c r="C216" s="49" t="str">
        <f>IFERROR(__xludf.DUMMYFUNCTION("""COMPUTED_VALUE"""),"Item")</f>
        <v>Item</v>
      </c>
    </row>
    <row r="217">
      <c r="A217" s="49" t="str">
        <f>IFERROR(__xludf.DUMMYFUNCTION("""COMPUTED_VALUE"""),"Fish")</f>
        <v>Fish</v>
      </c>
      <c r="B217" s="49" t="str">
        <f>IFERROR(__xludf.DUMMYFUNCTION("""COMPUTED_VALUE"""),"5 Hunger, +100 water Resist until rest")</f>
        <v>5 Hunger, +100 water Resist until rest</v>
      </c>
      <c r="C217" s="49" t="str">
        <f>IFERROR(__xludf.DUMMYFUNCTION("""COMPUTED_VALUE"""),"Crop")</f>
        <v>Crop</v>
      </c>
    </row>
    <row r="218">
      <c r="A218" s="49" t="str">
        <f>IFERROR(__xludf.DUMMYFUNCTION("""COMPUTED_VALUE"""),"Huge Teeth")</f>
        <v>Huge Teeth</v>
      </c>
      <c r="B218" s="49" t="str">
        <f>IFERROR(__xludf.DUMMYFUNCTION("""COMPUTED_VALUE"""),"Worth 1000G at a shop.")</f>
        <v>Worth 1000G at a shop.</v>
      </c>
      <c r="C218" s="49" t="str">
        <f>IFERROR(__xludf.DUMMYFUNCTION("""COMPUTED_VALUE"""),"Item")</f>
        <v>Item</v>
      </c>
    </row>
    <row r="219">
      <c r="A219" s="49" t="str">
        <f>IFERROR(__xludf.DUMMYFUNCTION("""COMPUTED_VALUE"""),"Enchanted Teeth")</f>
        <v>Enchanted Teeth</v>
      </c>
      <c r="B219" s="49" t="str">
        <f>IFERROR(__xludf.DUMMYFUNCTION("""COMPUTED_VALUE"""),"Worth 5000G at a shop.")</f>
        <v>Worth 5000G at a shop.</v>
      </c>
      <c r="C219" s="49" t="str">
        <f>IFERROR(__xludf.DUMMYFUNCTION("""COMPUTED_VALUE"""),"Item")</f>
        <v>Item</v>
      </c>
    </row>
    <row r="220">
      <c r="A220" s="49"/>
      <c r="B220" s="49"/>
      <c r="C220" s="49" t="str">
        <f>IFERROR(__xludf.DUMMYFUNCTION("""COMPUTED_VALUE"""),"Item")</f>
        <v>Item</v>
      </c>
    </row>
    <row r="221">
      <c r="A221" s="49" t="str">
        <f>IFERROR(__xludf.DUMMYFUNCTION("""COMPUTED_VALUE"""),"Sea Dinosaur Bones")</f>
        <v>Sea Dinosaur Bones</v>
      </c>
      <c r="B221" s="49" t="str">
        <f>IFERROR(__xludf.DUMMYFUNCTION("""COMPUTED_VALUE"""),"Crafting Material, roll a d20 to see how many you get if this is a loot drop.")</f>
        <v>Crafting Material, roll a d20 to see how many you get if this is a loot drop.</v>
      </c>
      <c r="C221" s="49" t="str">
        <f>IFERROR(__xludf.DUMMYFUNCTION("""COMPUTED_VALUE"""),"Item")</f>
        <v>Item</v>
      </c>
    </row>
    <row r="222">
      <c r="A222" s="49" t="str">
        <f>IFERROR(__xludf.DUMMYFUNCTION("""COMPUTED_VALUE"""),"Ancient Sea Dinosaur Egg")</f>
        <v>Ancient Sea Dinosaur Egg</v>
      </c>
      <c r="B222" s="49"/>
      <c r="C222" s="49" t="str">
        <f>IFERROR(__xludf.DUMMYFUNCTION("""COMPUTED_VALUE"""),"Item")</f>
        <v>Item</v>
      </c>
    </row>
    <row r="223">
      <c r="A223" s="49" t="str">
        <f>IFERROR(__xludf.DUMMYFUNCTION("""COMPUTED_VALUE"""),"Water Abyss Key")</f>
        <v>Water Abyss Key</v>
      </c>
      <c r="B223" s="49" t="str">
        <f>IFERROR(__xludf.DUMMYFUNCTION("""COMPUTED_VALUE"""),"Gain access to the Abyss Dungeon. Cannot be duplicated")</f>
        <v>Gain access to the Abyss Dungeon. Cannot be duplicated</v>
      </c>
      <c r="C223" s="49" t="str">
        <f>IFERROR(__xludf.DUMMYFUNCTION("""COMPUTED_VALUE"""),"Item")</f>
        <v>Item</v>
      </c>
    </row>
    <row r="224">
      <c r="A224" s="49" t="str">
        <f>IFERROR(__xludf.DUMMYFUNCTION("""COMPUTED_VALUE"""),"Fire Diamond")</f>
        <v>Fire Diamond</v>
      </c>
      <c r="B224" s="49" t="str">
        <f>IFERROR(__xludf.DUMMYFUNCTION("""COMPUTED_VALUE"""),"Crafting Material, roll a d20 to see how many you get if this is a loot drop.")</f>
        <v>Crafting Material, roll a d20 to see how many you get if this is a loot drop.</v>
      </c>
      <c r="C224" s="49" t="str">
        <f>IFERROR(__xludf.DUMMYFUNCTION("""COMPUTED_VALUE"""),"Item")</f>
        <v>Item</v>
      </c>
    </row>
    <row r="225">
      <c r="A225" s="49" t="str">
        <f>IFERROR(__xludf.DUMMYFUNCTION("""COMPUTED_VALUE"""),"Giant Fire Diamond")</f>
        <v>Giant Fire Diamond</v>
      </c>
      <c r="B225" s="49" t="str">
        <f>IFERROR(__xludf.DUMMYFUNCTION("""COMPUTED_VALUE"""),"Crafting Material, roll a d20 to see how many you get if this is a loot drop.")</f>
        <v>Crafting Material, roll a d20 to see how many you get if this is a loot drop.</v>
      </c>
      <c r="C225" s="49" t="str">
        <f>IFERROR(__xludf.DUMMYFUNCTION("""COMPUTED_VALUE"""),"Item")</f>
        <v>Item</v>
      </c>
    </row>
    <row r="226">
      <c r="A226" s="49" t="str">
        <f>IFERROR(__xludf.DUMMYFUNCTION("""COMPUTED_VALUE"""),"Heatmore Flame Golem Soul")</f>
        <v>Heatmore Flame Golem Soul</v>
      </c>
      <c r="B226" s="49"/>
      <c r="C226" s="49" t="str">
        <f>IFERROR(__xludf.DUMMYFUNCTION("""COMPUTED_VALUE"""),"Item")</f>
        <v>Item</v>
      </c>
    </row>
    <row r="227">
      <c r="A227" s="49" t="str">
        <f>IFERROR(__xludf.DUMMYFUNCTION("""COMPUTED_VALUE"""),"Flaming Feathers")</f>
        <v>Flaming Feathers</v>
      </c>
      <c r="B227" s="49" t="str">
        <f>IFERROR(__xludf.DUMMYFUNCTION("""COMPUTED_VALUE"""),"Crafting Material, roll a d20 to see how many you get if this is a loot drop.")</f>
        <v>Crafting Material, roll a d20 to see how many you get if this is a loot drop.</v>
      </c>
      <c r="C227" s="49" t="str">
        <f>IFERROR(__xludf.DUMMYFUNCTION("""COMPUTED_VALUE"""),"Item")</f>
        <v>Item</v>
      </c>
    </row>
    <row r="228">
      <c r="A228" s="49" t="str">
        <f>IFERROR(__xludf.DUMMYFUNCTION("""COMPUTED_VALUE"""),"Flaming Horns")</f>
        <v>Flaming Horns</v>
      </c>
      <c r="B228" s="49" t="str">
        <f>IFERROR(__xludf.DUMMYFUNCTION("""COMPUTED_VALUE"""),"Crafting Material, roll a d20 to see how many you get if this is a loot drop.")</f>
        <v>Crafting Material, roll a d20 to see how many you get if this is a loot drop.</v>
      </c>
      <c r="C228" s="49" t="str">
        <f>IFERROR(__xludf.DUMMYFUNCTION("""COMPUTED_VALUE"""),"Item")</f>
        <v>Item</v>
      </c>
    </row>
    <row r="229">
      <c r="A229" s="49" t="str">
        <f>IFERROR(__xludf.DUMMYFUNCTION("""COMPUTED_VALUE"""),"Cooked Yak Meat")</f>
        <v>Cooked Yak Meat</v>
      </c>
      <c r="B229" s="49" t="str">
        <f>IFERROR(__xludf.DUMMYFUNCTION("""COMPUTED_VALUE"""),"Restores 10 hunger and energy")</f>
        <v>Restores 10 hunger and energy</v>
      </c>
      <c r="C229" s="49" t="str">
        <f>IFERROR(__xludf.DUMMYFUNCTION("""COMPUTED_VALUE"""),"Crop")</f>
        <v>Crop</v>
      </c>
    </row>
    <row r="230">
      <c r="A230" s="49" t="str">
        <f>IFERROR(__xludf.DUMMYFUNCTION("""COMPUTED_VALUE"""),"Leaf Of The Ancient Tree Of Flames")</f>
        <v>Leaf Of The Ancient Tree Of Flames</v>
      </c>
      <c r="B230" s="49" t="str">
        <f>IFERROR(__xludf.DUMMYFUNCTION("""COMPUTED_VALUE"""),"Gain 1 free fire power of choosing. (Can only be obtained once per player)")</f>
        <v>Gain 1 free fire power of choosing. (Can only be obtained once per player)</v>
      </c>
      <c r="C230" s="49" t="str">
        <f>IFERROR(__xludf.DUMMYFUNCTION("""COMPUTED_VALUE"""),"Item")</f>
        <v>Item</v>
      </c>
    </row>
    <row r="231">
      <c r="A231" s="49" t="str">
        <f>IFERROR(__xludf.DUMMYFUNCTION("""COMPUTED_VALUE"""),"Ancient Volcanic Worm Egg")</f>
        <v>Ancient Volcanic Worm Egg</v>
      </c>
      <c r="B231" s="49"/>
      <c r="C231" s="49" t="str">
        <f>IFERROR(__xludf.DUMMYFUNCTION("""COMPUTED_VALUE"""),"Item")</f>
        <v>Item</v>
      </c>
    </row>
    <row r="232">
      <c r="A232" s="49" t="str">
        <f>IFERROR(__xludf.DUMMYFUNCTION("""COMPUTED_VALUE"""),"Ancient Volcanic Worm Core")</f>
        <v>Ancient Volcanic Worm Core</v>
      </c>
      <c r="B232" s="49" t="str">
        <f>IFERROR(__xludf.DUMMYFUNCTION("""COMPUTED_VALUE"""),"Consume to gain permanent 2000 fire resistance. (Can only obtain 1 per player)")</f>
        <v>Consume to gain permanent 2000 fire resistance. (Can only obtain 1 per player)</v>
      </c>
      <c r="C232" s="49" t="str">
        <f>IFERROR(__xludf.DUMMYFUNCTION("""COMPUTED_VALUE"""),"Item")</f>
        <v>Item</v>
      </c>
    </row>
    <row r="233">
      <c r="A233" s="49" t="str">
        <f>IFERROR(__xludf.DUMMYFUNCTION("""COMPUTED_VALUE"""),"Lava Tiger Skin")</f>
        <v>Lava Tiger Skin</v>
      </c>
      <c r="B233" s="49" t="str">
        <f>IFERROR(__xludf.DUMMYFUNCTION("""COMPUTED_VALUE"""),"Crafting Material, roll a d20 to see how many you get if this is a loot drop.")</f>
        <v>Crafting Material, roll a d20 to see how many you get if this is a loot drop.</v>
      </c>
      <c r="C233" s="49" t="str">
        <f>IFERROR(__xludf.DUMMYFUNCTION("""COMPUTED_VALUE"""),"Item")</f>
        <v>Item</v>
      </c>
    </row>
    <row r="234">
      <c r="A234" s="49" t="str">
        <f>IFERROR(__xludf.DUMMYFUNCTION("""COMPUTED_VALUE"""),"Cooked Tiger Meat")</f>
        <v>Cooked Tiger Meat</v>
      </c>
      <c r="B234" s="49" t="str">
        <f>IFERROR(__xludf.DUMMYFUNCTION("""COMPUTED_VALUE"""),"restores 20 hunger and energy")</f>
        <v>restores 20 hunger and energy</v>
      </c>
      <c r="C234" s="49" t="str">
        <f>IFERROR(__xludf.DUMMYFUNCTION("""COMPUTED_VALUE"""),"Crop")</f>
        <v>Crop</v>
      </c>
    </row>
    <row r="235">
      <c r="A235" s="49" t="str">
        <f>IFERROR(__xludf.DUMMYFUNCTION("""COMPUTED_VALUE"""),"Liches Eye")</f>
        <v>Liches Eye</v>
      </c>
      <c r="B235" s="49" t="str">
        <f>IFERROR(__xludf.DUMMYFUNCTION("""COMPUTED_VALUE"""),"Consumable, 100= permanent +5 to accuracy")</f>
        <v>Consumable, 100= permanent +5 to accuracy</v>
      </c>
      <c r="C235" s="49" t="str">
        <f>IFERROR(__xludf.DUMMYFUNCTION("""COMPUTED_VALUE"""),"Item")</f>
        <v>Item</v>
      </c>
    </row>
    <row r="236">
      <c r="A236" s="49" t="str">
        <f>IFERROR(__xludf.DUMMYFUNCTION("""COMPUTED_VALUE"""),"Rank 9 Fire Tome")</f>
        <v>Rank 9 Fire Tome</v>
      </c>
      <c r="B236" s="49" t="str">
        <f>IFERROR(__xludf.DUMMYFUNCTION("""COMPUTED_VALUE"""),"Can only obtain 1 per player")</f>
        <v>Can only obtain 1 per player</v>
      </c>
      <c r="C236" s="49" t="str">
        <f>IFERROR(__xludf.DUMMYFUNCTION("""COMPUTED_VALUE"""),"Item")</f>
        <v>Item</v>
      </c>
    </row>
    <row r="237">
      <c r="A237" s="49" t="str">
        <f>IFERROR(__xludf.DUMMYFUNCTION("""COMPUTED_VALUE"""),"Ancient Fire Serpent Egg")</f>
        <v>Ancient Fire Serpent Egg</v>
      </c>
      <c r="B237" s="49"/>
      <c r="C237" s="49" t="str">
        <f>IFERROR(__xludf.DUMMYFUNCTION("""COMPUTED_VALUE"""),"Item")</f>
        <v>Item</v>
      </c>
    </row>
    <row r="238">
      <c r="A238" s="49" t="str">
        <f>IFERROR(__xludf.DUMMYFUNCTION("""COMPUTED_VALUE"""),"Demons Eye")</f>
        <v>Demons Eye</v>
      </c>
      <c r="B238" s="49" t="str">
        <f>IFERROR(__xludf.DUMMYFUNCTION("""COMPUTED_VALUE"""),"Crafting Material, roll a d20 to see how many you get if this is a loot drop.")</f>
        <v>Crafting Material, roll a d20 to see how many you get if this is a loot drop.</v>
      </c>
      <c r="C238" s="49" t="str">
        <f>IFERROR(__xludf.DUMMYFUNCTION("""COMPUTED_VALUE"""),"Item")</f>
        <v>Item</v>
      </c>
    </row>
    <row r="239">
      <c r="A239" s="49" t="str">
        <f>IFERROR(__xludf.DUMMYFUNCTION("""COMPUTED_VALUE"""),"Demon Core")</f>
        <v>Demon Core</v>
      </c>
      <c r="B239" s="49" t="str">
        <f>IFERROR(__xludf.DUMMYFUNCTION("""COMPUTED_VALUE"""),"Consumable, 1 free chaos power of choice. (Can only obtain 1 per player)")</f>
        <v>Consumable, 1 free chaos power of choice. (Can only obtain 1 per player)</v>
      </c>
      <c r="C239" s="49" t="str">
        <f>IFERROR(__xludf.DUMMYFUNCTION("""COMPUTED_VALUE"""),"Item")</f>
        <v>Item</v>
      </c>
    </row>
    <row r="240">
      <c r="A240" s="49" t="str">
        <f>IFERROR(__xludf.DUMMYFUNCTION("""COMPUTED_VALUE"""),"Sentinel Core")</f>
        <v>Sentinel Core</v>
      </c>
      <c r="B240" s="49" t="str">
        <f>IFERROR(__xludf.DUMMYFUNCTION("""COMPUTED_VALUE"""),"Summon an Ancient Fire Sentinel to battle, Level determined by DM/GM. Can only be used once.")</f>
        <v>Summon an Ancient Fire Sentinel to battle, Level determined by DM/GM. Can only be used once.</v>
      </c>
      <c r="C240" s="49" t="str">
        <f>IFERROR(__xludf.DUMMYFUNCTION("""COMPUTED_VALUE"""),"Item")</f>
        <v>Item</v>
      </c>
    </row>
    <row r="241">
      <c r="A241" s="49" t="str">
        <f>IFERROR(__xludf.DUMMYFUNCTION("""COMPUTED_VALUE"""),"Fire Gem")</f>
        <v>Fire Gem</v>
      </c>
      <c r="B241" s="49" t="str">
        <f>IFERROR(__xludf.DUMMYFUNCTION("""COMPUTED_VALUE"""),"Crafting Material, roll a d20 to see how many you get if this is a loot drop.")</f>
        <v>Crafting Material, roll a d20 to see how many you get if this is a loot drop.</v>
      </c>
      <c r="C241" s="49" t="str">
        <f>IFERROR(__xludf.DUMMYFUNCTION("""COMPUTED_VALUE"""),"Item")</f>
        <v>Item</v>
      </c>
    </row>
    <row r="242">
      <c r="A242" s="49" t="str">
        <f>IFERROR(__xludf.DUMMYFUNCTION("""COMPUTED_VALUE"""),"Aquatic Diamond")</f>
        <v>Aquatic Diamond</v>
      </c>
      <c r="B242" s="49" t="str">
        <f>IFERROR(__xludf.DUMMYFUNCTION("""COMPUTED_VALUE"""),"Crafting Material, roll a d20 to see how many you get if this is a loot drop.")</f>
        <v>Crafting Material, roll a d20 to see how many you get if this is a loot drop.</v>
      </c>
      <c r="C242" s="49" t="str">
        <f>IFERROR(__xludf.DUMMYFUNCTION("""COMPUTED_VALUE"""),"Item")</f>
        <v>Item</v>
      </c>
    </row>
    <row r="243">
      <c r="A243" s="49" t="str">
        <f>IFERROR(__xludf.DUMMYFUNCTION("""COMPUTED_VALUE"""),"Corrupted Twilight Knight Soul")</f>
        <v>Corrupted Twilight Knight Soul</v>
      </c>
      <c r="B243" s="49"/>
      <c r="C243" s="49" t="str">
        <f>IFERROR(__xludf.DUMMYFUNCTION("""COMPUTED_VALUE"""),"Item")</f>
        <v>Item</v>
      </c>
    </row>
    <row r="244">
      <c r="A244" s="49" t="str">
        <f>IFERROR(__xludf.DUMMYFUNCTION("""COMPUTED_VALUE"""),"Hay")</f>
        <v>Hay</v>
      </c>
      <c r="B244" s="49" t="str">
        <f>IFERROR(__xludf.DUMMYFUNCTION("""COMPUTED_VALUE"""),"Restores 5 hunger.")</f>
        <v>Restores 5 hunger.</v>
      </c>
      <c r="C244" s="49" t="str">
        <f>IFERROR(__xludf.DUMMYFUNCTION("""COMPUTED_VALUE"""),"Crop")</f>
        <v>Crop</v>
      </c>
    </row>
    <row r="245">
      <c r="A245" s="49" t="str">
        <f>IFERROR(__xludf.DUMMYFUNCTION("""COMPUTED_VALUE"""),"Shadow Suit of armor Soul")</f>
        <v>Shadow Suit of armor Soul</v>
      </c>
      <c r="B245" s="49"/>
      <c r="C245" s="49" t="str">
        <f>IFERROR(__xludf.DUMMYFUNCTION("""COMPUTED_VALUE"""),"Item")</f>
        <v>Item</v>
      </c>
    </row>
    <row r="246">
      <c r="A246" s="49" t="str">
        <f>IFERROR(__xludf.DUMMYFUNCTION("""COMPUTED_VALUE"""),"Mana Potion")</f>
        <v>Mana Potion</v>
      </c>
      <c r="B246" s="49" t="str">
        <f>IFERROR(__xludf.DUMMYFUNCTION("""COMPUTED_VALUE"""),"Regain 10 SP")</f>
        <v>Regain 10 SP</v>
      </c>
      <c r="C246" s="49" t="str">
        <f>IFERROR(__xludf.DUMMYFUNCTION("""COMPUTED_VALUE"""),"Item")</f>
        <v>Item</v>
      </c>
    </row>
    <row r="247">
      <c r="A247" s="49" t="str">
        <f>IFERROR(__xludf.DUMMYFUNCTION("""COMPUTED_VALUE"""),"Werewolf Pelt")</f>
        <v>Werewolf Pelt</v>
      </c>
      <c r="B247" s="49" t="str">
        <f>IFERROR(__xludf.DUMMYFUNCTION("""COMPUTED_VALUE"""),"Crafting Material, roll a d20 to see how many you get if this is a loot drop.")</f>
        <v>Crafting Material, roll a d20 to see how many you get if this is a loot drop.</v>
      </c>
      <c r="C247" s="49" t="str">
        <f>IFERROR(__xludf.DUMMYFUNCTION("""COMPUTED_VALUE"""),"Item")</f>
        <v>Item</v>
      </c>
    </row>
    <row r="248">
      <c r="A248" s="49" t="str">
        <f>IFERROR(__xludf.DUMMYFUNCTION("""COMPUTED_VALUE"""),"Halloween Emerald")</f>
        <v>Halloween Emerald</v>
      </c>
      <c r="B248" s="49" t="str">
        <f>IFERROR(__xludf.DUMMYFUNCTION("""COMPUTED_VALUE"""),"Crafting Material, roll a d20 to see how many you get if this is a loot drop.")</f>
        <v>Crafting Material, roll a d20 to see how many you get if this is a loot drop.</v>
      </c>
      <c r="C248" s="49" t="str">
        <f>IFERROR(__xludf.DUMMYFUNCTION("""COMPUTED_VALUE"""),"Item")</f>
        <v>Item</v>
      </c>
    </row>
    <row r="249">
      <c r="A249" s="49" t="str">
        <f>IFERROR(__xludf.DUMMYFUNCTION("""COMPUTED_VALUE"""),"Giant Halloween Diamond")</f>
        <v>Giant Halloween Diamond</v>
      </c>
      <c r="B249" s="49" t="str">
        <f>IFERROR(__xludf.DUMMYFUNCTION("""COMPUTED_VALUE"""),"Crafting Material, roll a d20 to see how many you get if this is a loot drop.")</f>
        <v>Crafting Material, roll a d20 to see how many you get if this is a loot drop.</v>
      </c>
      <c r="C249" s="49" t="str">
        <f>IFERROR(__xludf.DUMMYFUNCTION("""COMPUTED_VALUE"""),"Item")</f>
        <v>Item</v>
      </c>
    </row>
    <row r="250">
      <c r="A250" s="49" t="str">
        <f>IFERROR(__xludf.DUMMYFUNCTION("""COMPUTED_VALUE"""),"Rank 9 Twilight Tome")</f>
        <v>Rank 9 Twilight Tome</v>
      </c>
      <c r="B250" s="49" t="str">
        <f>IFERROR(__xludf.DUMMYFUNCTION("""COMPUTED_VALUE"""),"Allows use of up to Rank 9 Twilight Powers")</f>
        <v>Allows use of up to Rank 9 Twilight Powers</v>
      </c>
      <c r="C250" s="49" t="str">
        <f>IFERROR(__xludf.DUMMYFUNCTION("""COMPUTED_VALUE"""),"Item")</f>
        <v>Item</v>
      </c>
    </row>
    <row r="251">
      <c r="A251" s="49" t="str">
        <f>IFERROR(__xludf.DUMMYFUNCTION("""COMPUTED_VALUE"""),"Stasis Tome Rank 9")</f>
        <v>Stasis Tome Rank 9</v>
      </c>
      <c r="B251" s="49" t="str">
        <f>IFERROR(__xludf.DUMMYFUNCTION("""COMPUTED_VALUE"""),"Allows use of up to Rank 9 Stasis Powers")</f>
        <v>Allows use of up to Rank 9 Stasis Powers</v>
      </c>
      <c r="C251" s="49" t="str">
        <f>IFERROR(__xludf.DUMMYFUNCTION("""COMPUTED_VALUE"""),"Item")</f>
        <v>Item</v>
      </c>
    </row>
    <row r="252">
      <c r="A252" s="49" t="str">
        <f>IFERROR(__xludf.DUMMYFUNCTION("""COMPUTED_VALUE"""),"Celestial Core")</f>
        <v>Celestial Core</v>
      </c>
      <c r="B252" s="49" t="str">
        <f>IFERROR(__xludf.DUMMYFUNCTION("""COMPUTED_VALUE"""),"Crafting Material, roll a d20 to see how many you get if this is a loot drop.")</f>
        <v>Crafting Material, roll a d20 to see how many you get if this is a loot drop.</v>
      </c>
      <c r="C252" s="49" t="str">
        <f>IFERROR(__xludf.DUMMYFUNCTION("""COMPUTED_VALUE"""),"Item")</f>
        <v>Item</v>
      </c>
    </row>
    <row r="253">
      <c r="A253" s="49" t="str">
        <f>IFERROR(__xludf.DUMMYFUNCTION("""COMPUTED_VALUE"""),"Vampires Tooth")</f>
        <v>Vampires Tooth</v>
      </c>
      <c r="B253" s="49" t="str">
        <f>IFERROR(__xludf.DUMMYFUNCTION("""COMPUTED_VALUE"""),"Crafting Material, roll a d20 to see how many you get if this is a loot drop.")</f>
        <v>Crafting Material, roll a d20 to see how many you get if this is a loot drop.</v>
      </c>
      <c r="C253" s="49" t="str">
        <f>IFERROR(__xludf.DUMMYFUNCTION("""COMPUTED_VALUE"""),"Item")</f>
        <v>Item</v>
      </c>
    </row>
    <row r="254">
      <c r="A254" s="49" t="str">
        <f>IFERROR(__xludf.DUMMYFUNCTION("""COMPUTED_VALUE"""),"Cursed Statue Of Knowing")</f>
        <v>Cursed Statue Of Knowing</v>
      </c>
      <c r="B254" s="49" t="str">
        <f>IFERROR(__xludf.DUMMYFUNCTION("""COMPUTED_VALUE"""),"Quest item.")</f>
        <v>Quest item.</v>
      </c>
      <c r="C254" s="49" t="str">
        <f>IFERROR(__xludf.DUMMYFUNCTION("""COMPUTED_VALUE"""),"Item")</f>
        <v>Item</v>
      </c>
    </row>
    <row r="255">
      <c r="A255" s="49" t="str">
        <f>IFERROR(__xludf.DUMMYFUNCTION("""COMPUTED_VALUE"""),"Orb Of Shadows")</f>
        <v>Orb Of Shadows</v>
      </c>
      <c r="B255" s="49" t="str">
        <f>IFERROR(__xludf.DUMMYFUNCTION("""COMPUTED_VALUE"""),"Quest item.")</f>
        <v>Quest item.</v>
      </c>
      <c r="C255" s="49" t="str">
        <f>IFERROR(__xludf.DUMMYFUNCTION("""COMPUTED_VALUE"""),"Item")</f>
        <v>Item</v>
      </c>
    </row>
    <row r="256">
      <c r="A256" s="49" t="str">
        <f>IFERROR(__xludf.DUMMYFUNCTION("""COMPUTED_VALUE"""),"Blessed Torch")</f>
        <v>Blessed Torch</v>
      </c>
      <c r="B256" s="49" t="str">
        <f>IFERROR(__xludf.DUMMYFUNCTION("""COMPUTED_VALUE"""),"Lights a bonfire. (guaranteed drop)")</f>
        <v>Lights a bonfire. (guaranteed drop)</v>
      </c>
      <c r="C256" s="49" t="str">
        <f>IFERROR(__xludf.DUMMYFUNCTION("""COMPUTED_VALUE"""),"Item")</f>
        <v>Item</v>
      </c>
    </row>
    <row r="257">
      <c r="A257" s="49" t="str">
        <f>IFERROR(__xludf.DUMMYFUNCTION("""COMPUTED_VALUE"""),"Pebble of Fertility")</f>
        <v>Pebble of Fertility</v>
      </c>
      <c r="B257" s="49" t="str">
        <f>IFERROR(__xludf.DUMMYFUNCTION("""COMPUTED_VALUE"""),"double the loot when consumed before battle.")</f>
        <v>double the loot when consumed before battle.</v>
      </c>
      <c r="C257" s="49" t="str">
        <f>IFERROR(__xludf.DUMMYFUNCTION("""COMPUTED_VALUE"""),"Item")</f>
        <v>Item</v>
      </c>
    </row>
    <row r="258">
      <c r="A258" s="49" t="str">
        <f>IFERROR(__xludf.DUMMYFUNCTION("""COMPUTED_VALUE"""),"Forest Faery Egg")</f>
        <v>Forest Faery Egg</v>
      </c>
      <c r="B258" s="49" t="str">
        <f>IFERROR(__xludf.DUMMYFUNCTION("""COMPUTED_VALUE"""),"Gives a Faery companion (60) (must be in a forest for the egg to hatch)")</f>
        <v>Gives a Faery companion (60) (must be in a forest for the egg to hatch)</v>
      </c>
      <c r="C258" s="49" t="str">
        <f>IFERROR(__xludf.DUMMYFUNCTION("""COMPUTED_VALUE"""),"Item")</f>
        <v>Item</v>
      </c>
    </row>
    <row r="259">
      <c r="A259" s="49" t="str">
        <f>IFERROR(__xludf.DUMMYFUNCTION("""COMPUTED_VALUE"""),"Pandan flower")</f>
        <v>Pandan flower</v>
      </c>
      <c r="B259" s="49" t="str">
        <f>IFERROR(__xludf.DUMMYFUNCTION("""COMPUTED_VALUE"""),"Cures 1 curse")</f>
        <v>Cures 1 curse</v>
      </c>
      <c r="C259" s="49" t="str">
        <f>IFERROR(__xludf.DUMMYFUNCTION("""COMPUTED_VALUE"""),"Item")</f>
        <v>Item</v>
      </c>
    </row>
    <row r="260">
      <c r="A260" s="49" t="str">
        <f>IFERROR(__xludf.DUMMYFUNCTION("""COMPUTED_VALUE"""),"Rank 5 Earth Tome")</f>
        <v>Rank 5 Earth Tome</v>
      </c>
      <c r="B260" s="49" t="str">
        <f>IFERROR(__xludf.DUMMYFUNCTION("""COMPUTED_VALUE"""),"Allows use of up to Rank 5 Earth Powers")</f>
        <v>Allows use of up to Rank 5 Earth Powers</v>
      </c>
      <c r="C260" s="49" t="str">
        <f>IFERROR(__xludf.DUMMYFUNCTION("""COMPUTED_VALUE"""),"Item")</f>
        <v>Item</v>
      </c>
    </row>
    <row r="261">
      <c r="A261" s="49" t="str">
        <f>IFERROR(__xludf.DUMMYFUNCTION("""COMPUTED_VALUE"""),"Earth Gem")</f>
        <v>Earth Gem</v>
      </c>
      <c r="B261" s="49" t="str">
        <f>IFERROR(__xludf.DUMMYFUNCTION("""COMPUTED_VALUE"""),"Crafting Material, roll a d20 to see how many you get if this is a loot drop.")</f>
        <v>Crafting Material, roll a d20 to see how many you get if this is a loot drop.</v>
      </c>
      <c r="C261" s="49" t="str">
        <f>IFERROR(__xludf.DUMMYFUNCTION("""COMPUTED_VALUE"""),"Item")</f>
        <v>Item</v>
      </c>
    </row>
    <row r="262">
      <c r="A262" s="49" t="str">
        <f>IFERROR(__xludf.DUMMYFUNCTION("""COMPUTED_VALUE"""),"Key Of Knowledge")</f>
        <v>Key Of Knowledge</v>
      </c>
      <c r="B262" s="49" t="str">
        <f>IFERROR(__xludf.DUMMYFUNCTION("""COMPUTED_VALUE"""),"grants access to the room of knowledge")</f>
        <v>grants access to the room of knowledge</v>
      </c>
      <c r="C262" s="49" t="str">
        <f>IFERROR(__xludf.DUMMYFUNCTION("""COMPUTED_VALUE"""),"Item")</f>
        <v>Item</v>
      </c>
    </row>
    <row r="263">
      <c r="A263" s="49" t="str">
        <f>IFERROR(__xludf.DUMMYFUNCTION("""COMPUTED_VALUE"""),"Medallion 1")</f>
        <v>Medallion 1</v>
      </c>
      <c r="B263" s="49" t="str">
        <f>IFERROR(__xludf.DUMMYFUNCTION("""COMPUTED_VALUE"""),"Grants access to the Ruins of Mana.")</f>
        <v>Grants access to the Ruins of Mana.</v>
      </c>
      <c r="C263" s="49" t="str">
        <f>IFERROR(__xludf.DUMMYFUNCTION("""COMPUTED_VALUE"""),"Item")</f>
        <v>Item</v>
      </c>
    </row>
    <row r="264">
      <c r="A264" s="49" t="str">
        <f>IFERROR(__xludf.DUMMYFUNCTION("""COMPUTED_VALUE"""),"Medallion 2")</f>
        <v>Medallion 2</v>
      </c>
      <c r="B264" s="49" t="str">
        <f>IFERROR(__xludf.DUMMYFUNCTION("""COMPUTED_VALUE"""),"Grants access to the Ruins of Mana.")</f>
        <v>Grants access to the Ruins of Mana.</v>
      </c>
      <c r="C264" s="49" t="str">
        <f>IFERROR(__xludf.DUMMYFUNCTION("""COMPUTED_VALUE"""),"Item")</f>
        <v>Item</v>
      </c>
    </row>
    <row r="265">
      <c r="A265" s="49" t="str">
        <f>IFERROR(__xludf.DUMMYFUNCTION("""COMPUTED_VALUE"""),"Medallion 3")</f>
        <v>Medallion 3</v>
      </c>
      <c r="B265" s="49" t="str">
        <f>IFERROR(__xludf.DUMMYFUNCTION("""COMPUTED_VALUE"""),"Grants access to the Ruins of Mana.")</f>
        <v>Grants access to the Ruins of Mana.</v>
      </c>
      <c r="C265" s="49" t="str">
        <f>IFERROR(__xludf.DUMMYFUNCTION("""COMPUTED_VALUE"""),"Item")</f>
        <v>Item</v>
      </c>
    </row>
    <row r="266">
      <c r="A266" s="49" t="str">
        <f>IFERROR(__xludf.DUMMYFUNCTION("""COMPUTED_VALUE"""),"Medallion 4")</f>
        <v>Medallion 4</v>
      </c>
      <c r="B266" s="49" t="str">
        <f>IFERROR(__xludf.DUMMYFUNCTION("""COMPUTED_VALUE"""),"Grants access to the Ruins of Mana.")</f>
        <v>Grants access to the Ruins of Mana.</v>
      </c>
      <c r="C266" s="49" t="str">
        <f>IFERROR(__xludf.DUMMYFUNCTION("""COMPUTED_VALUE"""),"Item")</f>
        <v>Item</v>
      </c>
    </row>
    <row r="267">
      <c r="A267" s="49" t="str">
        <f>IFERROR(__xludf.DUMMYFUNCTION("""COMPUTED_VALUE"""),"Enchanted Ice Gem")</f>
        <v>Enchanted Ice Gem</v>
      </c>
      <c r="B267" s="49"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49" t="str">
        <f>IFERROR(__xludf.DUMMYFUNCTION("""COMPUTED_VALUE"""),"Item")</f>
        <v>Item</v>
      </c>
    </row>
    <row r="268">
      <c r="A268" s="49" t="str">
        <f>IFERROR(__xludf.DUMMYFUNCTION("""COMPUTED_VALUE"""),"Carnelian Crystal")</f>
        <v>Carnelian Crystal</v>
      </c>
      <c r="B268" s="49" t="str">
        <f>IFERROR(__xludf.DUMMYFUNCTION("""COMPUTED_VALUE"""),"Can be forged into armor, one crystal max inside forged equipment. +2 Mobility  ")</f>
        <v>Can be forged into armor, one crystal max inside forged equipment. +2 Mobility  </v>
      </c>
      <c r="C268" s="49" t="str">
        <f>IFERROR(__xludf.DUMMYFUNCTION("""COMPUTED_VALUE"""),"Item")</f>
        <v>Item</v>
      </c>
    </row>
    <row r="269">
      <c r="A269" s="49" t="str">
        <f>IFERROR(__xludf.DUMMYFUNCTION("""COMPUTED_VALUE"""),"Citrine Crystal")</f>
        <v>Citrine Crystal</v>
      </c>
      <c r="B269" s="49"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49" t="str">
        <f>IFERROR(__xludf.DUMMYFUNCTION("""COMPUTED_VALUE"""),"Item")</f>
        <v>Item</v>
      </c>
    </row>
    <row r="270">
      <c r="A270" s="49" t="str">
        <f>IFERROR(__xludf.DUMMYFUNCTION("""COMPUTED_VALUE"""),"Tiger's Eye Crystal")</f>
        <v>Tiger's Eye Crystal</v>
      </c>
      <c r="B270" s="49"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49" t="str">
        <f>IFERROR(__xludf.DUMMYFUNCTION("""COMPUTED_VALUE"""),"Item")</f>
        <v>Item</v>
      </c>
    </row>
    <row r="271">
      <c r="A271" s="49" t="str">
        <f>IFERROR(__xludf.DUMMYFUNCTION("""COMPUTED_VALUE"""),"Lodestone Crystal")</f>
        <v>Lodestone Crystal</v>
      </c>
      <c r="B271" s="49" t="str">
        <f>IFERROR(__xludf.DUMMYFUNCTION("""COMPUTED_VALUE"""),"Can be forged into a weapon, one crystal max inside forged equipment. absorbs the first attack of each battle.")</f>
        <v>Can be forged into a weapon, one crystal max inside forged equipment. absorbs the first attack of each battle.</v>
      </c>
      <c r="C271" s="49" t="str">
        <f>IFERROR(__xludf.DUMMYFUNCTION("""COMPUTED_VALUE"""),"Item")</f>
        <v>Item</v>
      </c>
    </row>
    <row r="272">
      <c r="A272" s="49" t="str">
        <f>IFERROR(__xludf.DUMMYFUNCTION("""COMPUTED_VALUE"""),"Peridot Crystal")</f>
        <v>Peridot Crystal</v>
      </c>
      <c r="B272" s="49" t="str">
        <f>IFERROR(__xludf.DUMMYFUNCTION("""COMPUTED_VALUE"""),"Can be forged into a armor, one crystal max inside forged equipment. +300HP per round.")</f>
        <v>Can be forged into a armor, one crystal max inside forged equipment. +300HP per round.</v>
      </c>
      <c r="C272" s="49" t="str">
        <f>IFERROR(__xludf.DUMMYFUNCTION("""COMPUTED_VALUE"""),"Item")</f>
        <v>Item</v>
      </c>
    </row>
    <row r="273">
      <c r="A273" s="49" t="str">
        <f>IFERROR(__xludf.DUMMYFUNCTION("""COMPUTED_VALUE"""),"Golden Topaz")</f>
        <v>Golden Topaz</v>
      </c>
      <c r="B273" s="49"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49" t="str">
        <f>IFERROR(__xludf.DUMMYFUNCTION("""COMPUTED_VALUE"""),"Item")</f>
        <v>Item</v>
      </c>
    </row>
    <row r="274">
      <c r="A274" s="49" t="str">
        <f>IFERROR(__xludf.DUMMYFUNCTION("""COMPUTED_VALUE"""),"Sea Crystal ")</f>
        <v>Sea Crystal </v>
      </c>
      <c r="B274" s="49"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49" t="str">
        <f>IFERROR(__xludf.DUMMYFUNCTION("""COMPUTED_VALUE"""),"Item")</f>
        <v>Item</v>
      </c>
    </row>
    <row r="275">
      <c r="A275" s="49" t="str">
        <f>IFERROR(__xludf.DUMMYFUNCTION("""COMPUTED_VALUE"""),"The Root Of Nature")</f>
        <v>The Root Of Nature</v>
      </c>
      <c r="B275" s="49"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49" t="str">
        <f>IFERROR(__xludf.DUMMYFUNCTION("""COMPUTED_VALUE"""),"Item")</f>
        <v>Item</v>
      </c>
    </row>
    <row r="276">
      <c r="A276" s="49" t="str">
        <f>IFERROR(__xludf.DUMMYFUNCTION("""COMPUTED_VALUE"""),"Rich Sand")</f>
        <v>Rich Sand</v>
      </c>
      <c r="B276" s="49" t="str">
        <f>IFERROR(__xludf.DUMMYFUNCTION("""COMPUTED_VALUE"""),"can be forged into armor to give the user an immunity to earth and X10 earth damage. Cannot be duplicated.")</f>
        <v>can be forged into armor to give the user an immunity to earth and X10 earth damage. Cannot be duplicated.</v>
      </c>
      <c r="C276" s="49" t="str">
        <f>IFERROR(__xludf.DUMMYFUNCTION("""COMPUTED_VALUE"""),"Item")</f>
        <v>Item</v>
      </c>
    </row>
    <row r="277">
      <c r="A277" s="49" t="str">
        <f>IFERROR(__xludf.DUMMYFUNCTION("""COMPUTED_VALUE"""),"Sacred Sap")</f>
        <v>Sacred Sap</v>
      </c>
      <c r="B277" s="49" t="str">
        <f>IFERROR(__xludf.DUMMYFUNCTION("""COMPUTED_VALUE"""),"Can be brewed into a potion then consumed to gain 200 levels. Cannot be duplicated.")</f>
        <v>Can be brewed into a potion then consumed to gain 200 levels. Cannot be duplicated.</v>
      </c>
      <c r="C277" s="49" t="str">
        <f>IFERROR(__xludf.DUMMYFUNCTION("""COMPUTED_VALUE"""),"Item")</f>
        <v>Item</v>
      </c>
    </row>
    <row r="278">
      <c r="A278" s="49" t="str">
        <f>IFERROR(__xludf.DUMMYFUNCTION("""COMPUTED_VALUE"""),"Frozen Shard")</f>
        <v>Frozen Shard</v>
      </c>
      <c r="B278" s="49"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49" t="str">
        <f>IFERROR(__xludf.DUMMYFUNCTION("""COMPUTED_VALUE"""),"Item")</f>
        <v>Item</v>
      </c>
    </row>
    <row r="279">
      <c r="A279" s="49" t="str">
        <f>IFERROR(__xludf.DUMMYFUNCTION("""COMPUTED_VALUE"""),"Tome of Chaotic Darkness")</f>
        <v>Tome of Chaotic Darkness</v>
      </c>
      <c r="B279" s="49" t="str">
        <f>IFERROR(__xludf.DUMMYFUNCTION("""COMPUTED_VALUE"""),"Allows use of up to Rank 9 Dark and Chaos Powers.")</f>
        <v>Allows use of up to Rank 9 Dark and Chaos Powers.</v>
      </c>
      <c r="C279" s="49" t="str">
        <f>IFERROR(__xludf.DUMMYFUNCTION("""COMPUTED_VALUE"""),"Item")</f>
        <v>Item</v>
      </c>
    </row>
    <row r="280">
      <c r="A280" s="49" t="str">
        <f>IFERROR(__xludf.DUMMYFUNCTION("""COMPUTED_VALUE"""),"The Land of The Forgotten Map")</f>
        <v>The Land of The Forgotten Map</v>
      </c>
      <c r="B280" s="49" t="str">
        <f>IFERROR(__xludf.DUMMYFUNCTION("""COMPUTED_VALUE"""),"Shows you where to find The Land of The Forgotten.")</f>
        <v>Shows you where to find The Land of The Forgotten.</v>
      </c>
      <c r="C280" s="49" t="str">
        <f>IFERROR(__xludf.DUMMYFUNCTION("""COMPUTED_VALUE"""),"Item")</f>
        <v>Item</v>
      </c>
    </row>
    <row r="281">
      <c r="A281" s="49" t="str">
        <f>IFERROR(__xludf.DUMMYFUNCTION("""COMPUTED_VALUE"""),"Corn On The Cob")</f>
        <v>Corn On The Cob</v>
      </c>
      <c r="B281" s="49" t="str">
        <f>IFERROR(__xludf.DUMMYFUNCTION("""COMPUTED_VALUE"""),"Restores 10 hunger.")</f>
        <v>Restores 10 hunger.</v>
      </c>
      <c r="C281" s="49" t="str">
        <f>IFERROR(__xludf.DUMMYFUNCTION("""COMPUTED_VALUE"""),"Crop")</f>
        <v>Crop</v>
      </c>
    </row>
    <row r="282">
      <c r="A282" s="49" t="str">
        <f>IFERROR(__xludf.DUMMYFUNCTION("""COMPUTED_VALUE"""),"Festival Bread Loaf")</f>
        <v>Festival Bread Loaf</v>
      </c>
      <c r="B282" s="49" t="str">
        <f>IFERROR(__xludf.DUMMYFUNCTION("""COMPUTED_VALUE"""),"Restores 30 hunger and decreases 10 thirst.")</f>
        <v>Restores 30 hunger and decreases 10 thirst.</v>
      </c>
      <c r="C282" s="49" t="str">
        <f>IFERROR(__xludf.DUMMYFUNCTION("""COMPUTED_VALUE"""),"Crop")</f>
        <v>Crop</v>
      </c>
    </row>
    <row r="283">
      <c r="A283" s="49" t="str">
        <f>IFERROR(__xludf.DUMMYFUNCTION("""COMPUTED_VALUE"""),"Fruit Cake")</f>
        <v>Fruit Cake</v>
      </c>
      <c r="B283" s="49" t="str">
        <f>IFERROR(__xludf.DUMMYFUNCTION("""COMPUTED_VALUE"""),"Restores 20 energy and hunger")</f>
        <v>Restores 20 energy and hunger</v>
      </c>
      <c r="C283" s="49" t="str">
        <f>IFERROR(__xludf.DUMMYFUNCTION("""COMPUTED_VALUE"""),"Crop")</f>
        <v>Crop</v>
      </c>
    </row>
    <row r="284">
      <c r="A284" s="49" t="str">
        <f>IFERROR(__xludf.DUMMYFUNCTION("""COMPUTED_VALUE"""),"Festival Mead")</f>
        <v>Festival Mead</v>
      </c>
      <c r="B284" s="49" t="str">
        <f>IFERROR(__xludf.DUMMYFUNCTION("""COMPUTED_VALUE"""),"Restores 20 thirst.")</f>
        <v>Restores 20 thirst.</v>
      </c>
      <c r="C284" s="49" t="str">
        <f>IFERROR(__xludf.DUMMYFUNCTION("""COMPUTED_VALUE"""),"Item")</f>
        <v>Item</v>
      </c>
    </row>
    <row r="285">
      <c r="A285" s="49" t="str">
        <f>IFERROR(__xludf.DUMMYFUNCTION("""COMPUTED_VALUE"""),"Lemonade")</f>
        <v>Lemonade</v>
      </c>
      <c r="B285" s="49" t="str">
        <f>IFERROR(__xludf.DUMMYFUNCTION("""COMPUTED_VALUE"""),"Restores 10 thirst and energy.")</f>
        <v>Restores 10 thirst and energy.</v>
      </c>
      <c r="C285" s="49" t="str">
        <f>IFERROR(__xludf.DUMMYFUNCTION("""COMPUTED_VALUE"""),"Item")</f>
        <v>Item</v>
      </c>
    </row>
    <row r="286">
      <c r="A286" s="49" t="str">
        <f>IFERROR(__xludf.DUMMYFUNCTION("""COMPUTED_VALUE"""),"Forbidden Amulet Shard")</f>
        <v>Forbidden Amulet Shard</v>
      </c>
      <c r="B286" s="49"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49" t="str">
        <f>IFERROR(__xludf.DUMMYFUNCTION("""COMPUTED_VALUE"""),"Item")</f>
        <v>Item</v>
      </c>
    </row>
    <row r="287">
      <c r="A287" s="49" t="str">
        <f>IFERROR(__xludf.DUMMYFUNCTION("""COMPUTED_VALUE"""),"The Forbidden Amulet of The Halloween Kingdom.")</f>
        <v>The Forbidden Amulet of The Halloween Kingdom.</v>
      </c>
      <c r="B287" s="49" t="str">
        <f>IFERROR(__xludf.DUMMYFUNCTION("""COMPUTED_VALUE"""),"An amulet used to break the barrier on Lord Dreadfuls castle in the Halloween Kingdom.")</f>
        <v>An amulet used to break the barrier on Lord Dreadfuls castle in the Halloween Kingdom.</v>
      </c>
      <c r="C287" s="49" t="str">
        <f>IFERROR(__xludf.DUMMYFUNCTION("""COMPUTED_VALUE"""),"Item")</f>
        <v>Item</v>
      </c>
    </row>
    <row r="288">
      <c r="A288" s="49" t="str">
        <f>IFERROR(__xludf.DUMMYFUNCTION("""COMPUTED_VALUE"""),"Slime Jelly")</f>
        <v>Slime Jelly</v>
      </c>
      <c r="B288" s="49" t="str">
        <f>IFERROR(__xludf.DUMMYFUNCTION("""COMPUTED_VALUE"""),"Restores 50 HP, 75 Mana, 50 Hunger, and 50 Thirst, -30 Energy cause it tastes bad")</f>
        <v>Restores 50 HP, 75 Mana, 50 Hunger, and 50 Thirst, -30 Energy cause it tastes bad</v>
      </c>
      <c r="C288" s="49" t="str">
        <f>IFERROR(__xludf.DUMMYFUNCTION("""COMPUTED_VALUE"""),"Crop")</f>
        <v>Crop</v>
      </c>
    </row>
    <row r="289">
      <c r="A289" s="49" t="str">
        <f>IFERROR(__xludf.DUMMYFUNCTION("""COMPUTED_VALUE"""),"Broken Robot")</f>
        <v>Broken Robot</v>
      </c>
      <c r="B289" s="49" t="str">
        <f>IFERROR(__xludf.DUMMYFUNCTION("""COMPUTED_VALUE"""),"An item that is purchased and given to a mysterious cloaked figure. ")</f>
        <v>An item that is purchased and given to a mysterious cloaked figure. </v>
      </c>
      <c r="C289" s="49" t="str">
        <f>IFERROR(__xludf.DUMMYFUNCTION("""COMPUTED_VALUE"""),"Item")</f>
        <v>Item</v>
      </c>
    </row>
    <row r="290">
      <c r="A290" s="49" t="str">
        <f>IFERROR(__xludf.DUMMYFUNCTION("""COMPUTED_VALUE"""),"Boar Hide")</f>
        <v>Boar Hide</v>
      </c>
      <c r="B290" s="49" t="str">
        <f>IFERROR(__xludf.DUMMYFUNCTION("""COMPUTED_VALUE"""),"Crafting Material, roll a d20 to see how many you get if this is a loot drop.")</f>
        <v>Crafting Material, roll a d20 to see how many you get if this is a loot drop.</v>
      </c>
      <c r="C290" s="49" t="str">
        <f>IFERROR(__xludf.DUMMYFUNCTION("""COMPUTED_VALUE"""),"Item")</f>
        <v>Item</v>
      </c>
    </row>
    <row r="291">
      <c r="A291" s="49" t="str">
        <f>IFERROR(__xludf.DUMMYFUNCTION("""COMPUTED_VALUE"""),"Bullet")</f>
        <v>Bullet</v>
      </c>
      <c r="B291" s="49" t="str">
        <f>IFERROR(__xludf.DUMMYFUNCTION("""COMPUTED_VALUE"""),"Firearm Ammunition. +100 damage. roll a d20 to see how many you get if this is a loot drop.")</f>
        <v>Firearm Ammunition. +100 damage. roll a d20 to see how many you get if this is a loot drop.</v>
      </c>
      <c r="C291" s="49" t="str">
        <f>IFERROR(__xludf.DUMMYFUNCTION("""COMPUTED_VALUE"""),"Item")</f>
        <v>Item</v>
      </c>
    </row>
    <row r="292">
      <c r="A292" s="49" t="str">
        <f>IFERROR(__xludf.DUMMYFUNCTION("""COMPUTED_VALUE"""),"The Ancient Medallion of Frost")</f>
        <v>The Ancient Medallion of Frost</v>
      </c>
      <c r="B292" s="49" t="str">
        <f>IFERROR(__xludf.DUMMYFUNCTION("""COMPUTED_VALUE"""),"The key to getting into the final tower of the winter event.")</f>
        <v>The key to getting into the final tower of the winter event.</v>
      </c>
      <c r="C292" s="49" t="str">
        <f>IFERROR(__xludf.DUMMYFUNCTION("""COMPUTED_VALUE"""),"Item")</f>
        <v>Item</v>
      </c>
    </row>
    <row r="293">
      <c r="A293" s="49" t="str">
        <f>IFERROR(__xludf.DUMMYFUNCTION("""COMPUTED_VALUE"""),"Gargoyle Stone Tablet")</f>
        <v>Gargoyle Stone Tablet</v>
      </c>
      <c r="B293" s="49" t="str">
        <f>IFERROR(__xludf.DUMMYFUNCTION("""COMPUTED_VALUE"""),"Tells you the Location of 3 Tiny Gargoyles. This item can only be used once.")</f>
        <v>Tells you the Location of 3 Tiny Gargoyles. This item can only be used once.</v>
      </c>
      <c r="C293" s="49" t="str">
        <f>IFERROR(__xludf.DUMMYFUNCTION("""COMPUTED_VALUE"""),"Item")</f>
        <v>Item</v>
      </c>
    </row>
    <row r="294">
      <c r="A294" s="49" t="str">
        <f>IFERROR(__xludf.DUMMYFUNCTION("""COMPUTED_VALUE"""),"Map of the Gargoyle’s")</f>
        <v>Map of the Gargoyle’s</v>
      </c>
      <c r="B294" s="49" t="str">
        <f>IFERROR(__xludf.DUMMYFUNCTION("""COMPUTED_VALUE"""),"Allows Use to see Special Gargoyle’s")</f>
        <v>Allows Use to see Special Gargoyle’s</v>
      </c>
      <c r="C294" s="49" t="str">
        <f>IFERROR(__xludf.DUMMYFUNCTION("""COMPUTED_VALUE"""),"Item")</f>
        <v>Item</v>
      </c>
    </row>
    <row r="295">
      <c r="A295" s="49" t="str">
        <f>IFERROR(__xludf.DUMMYFUNCTION("""COMPUTED_VALUE"""),"The Tome of Abstara")</f>
        <v>The Tome of Abstara</v>
      </c>
      <c r="B295" s="49" t="str">
        <f>IFERROR(__xludf.DUMMYFUNCTION("""COMPUTED_VALUE"""),"Can use up to Rank 9 Fire, Chaos, and Dark spells.")</f>
        <v>Can use up to Rank 9 Fire, Chaos, and Dark spells.</v>
      </c>
      <c r="C295" s="49" t="str">
        <f>IFERROR(__xludf.DUMMYFUNCTION("""COMPUTED_VALUE"""),"Item")</f>
        <v>Item</v>
      </c>
    </row>
    <row r="296">
      <c r="A296" s="49" t="str">
        <f>IFERROR(__xludf.DUMMYFUNCTION("""COMPUTED_VALUE"""),"Gargoyle’s Fishing Pole")</f>
        <v>Gargoyle’s Fishing Pole</v>
      </c>
      <c r="B296" s="49" t="str">
        <f>IFERROR(__xludf.DUMMYFUNCTION("""COMPUTED_VALUE"""),"500/500 Uses. Used for lava fishing. Made of Stone.")</f>
        <v>500/500 Uses. Used for lava fishing. Made of Stone.</v>
      </c>
      <c r="C296" s="49" t="str">
        <f>IFERROR(__xludf.DUMMYFUNCTION("""COMPUTED_VALUE"""),"Item")</f>
        <v>Item</v>
      </c>
    </row>
    <row r="297">
      <c r="A297" s="49" t="str">
        <f>IFERROR(__xludf.DUMMYFUNCTION("""COMPUTED_VALUE"""),"Stone Worm")</f>
        <v>Stone Worm</v>
      </c>
      <c r="B297" s="49" t="str">
        <f>IFERROR(__xludf.DUMMYFUNCTION("""COMPUTED_VALUE"""),"Fishing bait. Used for lava fishing.")</f>
        <v>Fishing bait. Used for lava fishing.</v>
      </c>
      <c r="C297" s="49" t="str">
        <f>IFERROR(__xludf.DUMMYFUNCTION("""COMPUTED_VALUE"""),"Item")</f>
        <v>Item</v>
      </c>
    </row>
    <row r="298">
      <c r="A298" s="49" t="str">
        <f>IFERROR(__xludf.DUMMYFUNCTION("""COMPUTED_VALUE"""),"Rock Soup")</f>
        <v>Rock Soup</v>
      </c>
      <c r="B298" s="49" t="str">
        <f>IFERROR(__xludf.DUMMYFUNCTION("""COMPUTED_VALUE"""),"25 Hunger and +15 Thirst")</f>
        <v>25 Hunger and +15 Thirst</v>
      </c>
      <c r="C298" s="49" t="str">
        <f>IFERROR(__xludf.DUMMYFUNCTION("""COMPUTED_VALUE"""),"Crop")</f>
        <v>Crop</v>
      </c>
    </row>
    <row r="299">
      <c r="A299" s="49" t="str">
        <f>IFERROR(__xludf.DUMMYFUNCTION("""COMPUTED_VALUE"""),"Gargoyle’s slumbering mead")</f>
        <v>Gargoyle’s slumbering mead</v>
      </c>
      <c r="B299" s="49" t="str">
        <f>IFERROR(__xludf.DUMMYFUNCTION("""COMPUTED_VALUE"""),"100 Thirst +100 Energy")</f>
        <v>100 Thirst +100 Energy</v>
      </c>
      <c r="C299" s="49" t="str">
        <f>IFERROR(__xludf.DUMMYFUNCTION("""COMPUTED_VALUE"""),"Item")</f>
        <v>Item</v>
      </c>
    </row>
    <row r="300">
      <c r="A300" s="49" t="str">
        <f>IFERROR(__xludf.DUMMYFUNCTION("""COMPUTED_VALUE"""),"Dark rum")</f>
        <v>Dark rum</v>
      </c>
      <c r="B300" s="49" t="str">
        <f>IFERROR(__xludf.DUMMYFUNCTION("""COMPUTED_VALUE"""),"200 Thirst +200 Energy")</f>
        <v>200 Thirst +200 Energy</v>
      </c>
      <c r="C300" s="49" t="str">
        <f>IFERROR(__xludf.DUMMYFUNCTION("""COMPUTED_VALUE"""),"Item")</f>
        <v>Item</v>
      </c>
    </row>
    <row r="301">
      <c r="A301" s="49" t="str">
        <f>IFERROR(__xludf.DUMMYFUNCTION("""COMPUTED_VALUE"""),"Blank steak")</f>
        <v>Blank steak</v>
      </c>
      <c r="B301" s="49" t="str">
        <f>IFERROR(__xludf.DUMMYFUNCTION("""COMPUTED_VALUE"""),"25 Hunger")</f>
        <v>25 Hunger</v>
      </c>
      <c r="C301" s="49" t="str">
        <f>IFERROR(__xludf.DUMMYFUNCTION("""COMPUTED_VALUE"""),"Crop")</f>
        <v>Crop</v>
      </c>
    </row>
    <row r="302">
      <c r="A302" s="49" t="str">
        <f>IFERROR(__xludf.DUMMYFUNCTION("""COMPUTED_VALUE"""),"Geode jello")</f>
        <v>Geode jello</v>
      </c>
      <c r="B302" s="49" t="str">
        <f>IFERROR(__xludf.DUMMYFUNCTION("""COMPUTED_VALUE"""),"20 Thirst")</f>
        <v>20 Thirst</v>
      </c>
      <c r="C302" s="49" t="str">
        <f>IFERROR(__xludf.DUMMYFUNCTION("""COMPUTED_VALUE"""),"Item")</f>
        <v>Item</v>
      </c>
    </row>
    <row r="303">
      <c r="A303" s="49" t="str">
        <f>IFERROR(__xludf.DUMMYFUNCTION("""COMPUTED_VALUE"""),"Black baked potatoes")</f>
        <v>Black baked potatoes</v>
      </c>
      <c r="B303" s="49" t="str">
        <f>IFERROR(__xludf.DUMMYFUNCTION("""COMPUTED_VALUE"""),"50 Hunger")</f>
        <v>50 Hunger</v>
      </c>
      <c r="C303" s="49" t="str">
        <f>IFERROR(__xludf.DUMMYFUNCTION("""COMPUTED_VALUE"""),"Crop")</f>
        <v>Crop</v>
      </c>
    </row>
    <row r="304">
      <c r="A304" s="49" t="str">
        <f>IFERROR(__xludf.DUMMYFUNCTION("""COMPUTED_VALUE"""),"Human Steak")</f>
        <v>Human Steak</v>
      </c>
      <c r="B304" s="49" t="str">
        <f>IFERROR(__xludf.DUMMYFUNCTION("""COMPUTED_VALUE"""),"300 Hunger")</f>
        <v>300 Hunger</v>
      </c>
      <c r="C304" s="49" t="str">
        <f>IFERROR(__xludf.DUMMYFUNCTION("""COMPUTED_VALUE"""),"Crop")</f>
        <v>Crop</v>
      </c>
    </row>
    <row r="305">
      <c r="A305" s="49" t="str">
        <f>IFERROR(__xludf.DUMMYFUNCTION("""COMPUTED_VALUE"""),"Black Sheep mutton")</f>
        <v>Black Sheep mutton</v>
      </c>
      <c r="B305" s="49" t="str">
        <f>IFERROR(__xludf.DUMMYFUNCTION("""COMPUTED_VALUE"""),"250 Hunger")</f>
        <v>250 Hunger</v>
      </c>
      <c r="C305" s="49" t="str">
        <f>IFERROR(__xludf.DUMMYFUNCTION("""COMPUTED_VALUE"""),"Crop")</f>
        <v>Crop</v>
      </c>
    </row>
    <row r="306">
      <c r="A306" s="49" t="str">
        <f>IFERROR(__xludf.DUMMYFUNCTION("""COMPUTED_VALUE"""),"Ebony Caviar")</f>
        <v>Ebony Caviar</v>
      </c>
      <c r="B306" s="49" t="str">
        <f>IFERROR(__xludf.DUMMYFUNCTION("""COMPUTED_VALUE"""),"100 Hunger +105 Energy")</f>
        <v>100 Hunger +105 Energy</v>
      </c>
      <c r="C306" s="49" t="str">
        <f>IFERROR(__xludf.DUMMYFUNCTION("""COMPUTED_VALUE"""),"Crop")</f>
        <v>Crop</v>
      </c>
    </row>
    <row r="307">
      <c r="A307" s="49" t="str">
        <f>IFERROR(__xludf.DUMMYFUNCTION("""COMPUTED_VALUE"""),"Black Kale")</f>
        <v>Black Kale</v>
      </c>
      <c r="B307" s="49" t="str">
        <f>IFERROR(__xludf.DUMMYFUNCTION("""COMPUTED_VALUE"""),"140 Hunger")</f>
        <v>140 Hunger</v>
      </c>
      <c r="C307" s="49" t="str">
        <f>IFERROR(__xludf.DUMMYFUNCTION("""COMPUTED_VALUE"""),"Crop")</f>
        <v>Crop</v>
      </c>
    </row>
    <row r="308">
      <c r="A308" s="49" t="str">
        <f>IFERROR(__xludf.DUMMYFUNCTION("""COMPUTED_VALUE"""),"Smokey Champagne")</f>
        <v>Smokey Champagne</v>
      </c>
      <c r="B308" s="49" t="str">
        <f>IFERROR(__xludf.DUMMYFUNCTION("""COMPUTED_VALUE"""),"140 Thirst")</f>
        <v>140 Thirst</v>
      </c>
      <c r="C308" s="49" t="str">
        <f>IFERROR(__xludf.DUMMYFUNCTION("""COMPUTED_VALUE"""),"Item")</f>
        <v>Item</v>
      </c>
    </row>
    <row r="309">
      <c r="A309" s="49" t="str">
        <f>IFERROR(__xludf.DUMMYFUNCTION("""COMPUTED_VALUE"""),"Dead Island iced tea")</f>
        <v>Dead Island iced tea</v>
      </c>
      <c r="B309" s="49" t="str">
        <f>IFERROR(__xludf.DUMMYFUNCTION("""COMPUTED_VALUE"""),"150 Thirst +125 Energy")</f>
        <v>150 Thirst +125 Energy</v>
      </c>
      <c r="C309" s="49" t="str">
        <f>IFERROR(__xludf.DUMMYFUNCTION("""COMPUTED_VALUE"""),"Item")</f>
        <v>Item</v>
      </c>
    </row>
    <row r="310">
      <c r="A310" s="49" t="str">
        <f>IFERROR(__xludf.DUMMYFUNCTION("""COMPUTED_VALUE"""),"Black russian")</f>
        <v>Black russian</v>
      </c>
      <c r="B310" s="49" t="str">
        <f>IFERROR(__xludf.DUMMYFUNCTION("""COMPUTED_VALUE"""),"200 Thirst +200 Energy")</f>
        <v>200 Thirst +200 Energy</v>
      </c>
      <c r="C310" s="49" t="str">
        <f>IFERROR(__xludf.DUMMYFUNCTION("""COMPUTED_VALUE"""),"Item")</f>
        <v>Item</v>
      </c>
    </row>
    <row r="311">
      <c r="A311" s="49" t="str">
        <f>IFERROR(__xludf.DUMMYFUNCTION("""COMPUTED_VALUE"""),"Obsidian Lobster")</f>
        <v>Obsidian Lobster</v>
      </c>
      <c r="B311" s="49" t="str">
        <f>IFERROR(__xludf.DUMMYFUNCTION("""COMPUTED_VALUE"""),"200 Hunger +200 Energy")</f>
        <v>200 Hunger +200 Energy</v>
      </c>
      <c r="C311" s="49" t="str">
        <f>IFERROR(__xludf.DUMMYFUNCTION("""COMPUTED_VALUE"""),"Crop")</f>
        <v>Crop</v>
      </c>
    </row>
    <row r="312">
      <c r="A312" s="49" t="str">
        <f>IFERROR(__xludf.DUMMYFUNCTION("""COMPUTED_VALUE"""),"Charcoal Truffles")</f>
        <v>Charcoal Truffles</v>
      </c>
      <c r="B312" s="49" t="str">
        <f>IFERROR(__xludf.DUMMYFUNCTION("""COMPUTED_VALUE"""),"100 Hunger +100 Energy")</f>
        <v>100 Hunger +100 Energy</v>
      </c>
      <c r="C312" s="49" t="str">
        <f>IFERROR(__xludf.DUMMYFUNCTION("""COMPUTED_VALUE"""),"Crop")</f>
        <v>Crop</v>
      </c>
    </row>
    <row r="313">
      <c r="A313" s="49" t="str">
        <f>IFERROR(__xludf.DUMMYFUNCTION("""COMPUTED_VALUE"""),"Italian spaghetti and meatballs")</f>
        <v>Italian spaghetti and meatballs</v>
      </c>
      <c r="B313" s="49" t="str">
        <f>IFERROR(__xludf.DUMMYFUNCTION("""COMPUTED_VALUE"""),"Full HP, Energy, Hunger, Thirst")</f>
        <v>Full HP, Energy, Hunger, Thirst</v>
      </c>
      <c r="C313" s="49" t="str">
        <f>IFERROR(__xludf.DUMMYFUNCTION("""COMPUTED_VALUE"""),"Crop")</f>
        <v>Crop</v>
      </c>
    </row>
    <row r="314">
      <c r="A314" s="49" t="str">
        <f>IFERROR(__xludf.DUMMYFUNCTION("""COMPUTED_VALUE"""),"Enclosed Spirits (enchantment)")</f>
        <v>Enclosed Spirits (enchantment)</v>
      </c>
      <c r="B314" s="49" t="str">
        <f>IFERROR(__xludf.DUMMYFUNCTION("""COMPUTED_VALUE"""),"Add 1000 Spirit damage or resistance to any Spirit related Weapon or armor.")</f>
        <v>Add 1000 Spirit damage or resistance to any Spirit related Weapon or armor.</v>
      </c>
      <c r="C314" s="49" t="str">
        <f>IFERROR(__xludf.DUMMYFUNCTION("""COMPUTED_VALUE"""),"Item")</f>
        <v>Item</v>
      </c>
    </row>
    <row r="315">
      <c r="A315" s="49" t="str">
        <f>IFERROR(__xludf.DUMMYFUNCTION("""COMPUTED_VALUE"""),"Goat’s eye")</f>
        <v>Goat’s eye</v>
      </c>
      <c r="B315" s="49" t="str">
        <f>IFERROR(__xludf.DUMMYFUNCTION("""COMPUTED_VALUE"""),"Crafting Material, roll a d20 to see how many you get if this is a loot drop.")</f>
        <v>Crafting Material, roll a d20 to see how many you get if this is a loot drop.</v>
      </c>
      <c r="C315" s="49" t="str">
        <f>IFERROR(__xludf.DUMMYFUNCTION("""COMPUTED_VALUE"""),"Item")</f>
        <v>Item</v>
      </c>
    </row>
    <row r="316">
      <c r="A316" s="49" t="str">
        <f>IFERROR(__xludf.DUMMYFUNCTION("""COMPUTED_VALUE"""),"Heart of the Demon")</f>
        <v>Heart of the Demon</v>
      </c>
      <c r="B316" s="49" t="str">
        <f>IFERROR(__xludf.DUMMYFUNCTION("""COMPUTED_VALUE"""),"Crafting Material, roll a d20 to see how many you get if this is a loot drop.")</f>
        <v>Crafting Material, roll a d20 to see how many you get if this is a loot drop.</v>
      </c>
      <c r="C316" s="49" t="str">
        <f>IFERROR(__xludf.DUMMYFUNCTION("""COMPUTED_VALUE"""),"Item")</f>
        <v>Item</v>
      </c>
    </row>
    <row r="317">
      <c r="A317" s="49" t="str">
        <f>IFERROR(__xludf.DUMMYFUNCTION("""COMPUTED_VALUE"""),"Tooth of the Volcanic Serpent")</f>
        <v>Tooth of the Volcanic Serpent</v>
      </c>
      <c r="B317" s="49" t="str">
        <f>IFERROR(__xludf.DUMMYFUNCTION("""COMPUTED_VALUE"""),"Crafting Material, roll a d20 to see how many you get if this is a loot drop.")</f>
        <v>Crafting Material, roll a d20 to see how many you get if this is a loot drop.</v>
      </c>
      <c r="C317" s="49" t="str">
        <f>IFERROR(__xludf.DUMMYFUNCTION("""COMPUTED_VALUE"""),"Item")</f>
        <v>Item</v>
      </c>
    </row>
    <row r="318">
      <c r="A318" s="49" t="str">
        <f>IFERROR(__xludf.DUMMYFUNCTION("""COMPUTED_VALUE"""),"Fire Jaguars Leather Skin")</f>
        <v>Fire Jaguars Leather Skin</v>
      </c>
      <c r="B318" s="49" t="str">
        <f>IFERROR(__xludf.DUMMYFUNCTION("""COMPUTED_VALUE"""),"Crafting Material, roll a d20 to see how many you get if this is a loot drop.")</f>
        <v>Crafting Material, roll a d20 to see how many you get if this is a loot drop.</v>
      </c>
      <c r="C318" s="49" t="str">
        <f>IFERROR(__xludf.DUMMYFUNCTION("""COMPUTED_VALUE"""),"Item")</f>
        <v>Item</v>
      </c>
    </row>
    <row r="319">
      <c r="A319" s="49" t="str">
        <f>IFERROR(__xludf.DUMMYFUNCTION("""COMPUTED_VALUE"""),"Black Lake Soup")</f>
        <v>Black Lake Soup</v>
      </c>
      <c r="B319" s="49" t="str">
        <f>IFERROR(__xludf.DUMMYFUNCTION("""COMPUTED_VALUE"""),"500 Thirst and 400 Hunger")</f>
        <v>500 Thirst and 400 Hunger</v>
      </c>
      <c r="C319" s="49" t="str">
        <f>IFERROR(__xludf.DUMMYFUNCTION("""COMPUTED_VALUE"""),"Crop")</f>
        <v>Crop</v>
      </c>
    </row>
    <row r="320">
      <c r="A320" s="49" t="str">
        <f>IFERROR(__xludf.DUMMYFUNCTION("""COMPUTED_VALUE"""),"Basilisk Veal")</f>
        <v>Basilisk Veal</v>
      </c>
      <c r="B320" s="49" t="str">
        <f>IFERROR(__xludf.DUMMYFUNCTION("""COMPUTED_VALUE"""),"500 Hunger")</f>
        <v>500 Hunger</v>
      </c>
      <c r="C320" s="49" t="str">
        <f>IFERROR(__xludf.DUMMYFUNCTION("""COMPUTED_VALUE"""),"Crop")</f>
        <v>Crop</v>
      </c>
    </row>
    <row r="321">
      <c r="A321" s="49" t="str">
        <f>IFERROR(__xludf.DUMMYFUNCTION("""COMPUTED_VALUE"""),"Black Cactus juice")</f>
        <v>Black Cactus juice</v>
      </c>
      <c r="B321" s="49" t="str">
        <f>IFERROR(__xludf.DUMMYFUNCTION("""COMPUTED_VALUE"""),"500 Thirst")</f>
        <v>500 Thirst</v>
      </c>
      <c r="C321" s="49" t="str">
        <f>IFERROR(__xludf.DUMMYFUNCTION("""COMPUTED_VALUE"""),"Item")</f>
        <v>Item</v>
      </c>
    </row>
    <row r="322">
      <c r="A322" s="49" t="str">
        <f>IFERROR(__xludf.DUMMYFUNCTION("""COMPUTED_VALUE"""),"Black Lake Purified Water")</f>
        <v>Black Lake Purified Water</v>
      </c>
      <c r="B322" s="49" t="str">
        <f>IFERROR(__xludf.DUMMYFUNCTION("""COMPUTED_VALUE"""),"650 Thirst")</f>
        <v>650 Thirst</v>
      </c>
      <c r="C322" s="49" t="str">
        <f>IFERROR(__xludf.DUMMYFUNCTION("""COMPUTED_VALUE"""),"Item")</f>
        <v>Item</v>
      </c>
    </row>
    <row r="323">
      <c r="A323" s="49" t="str">
        <f>IFERROR(__xludf.DUMMYFUNCTION("""COMPUTED_VALUE"""),"Neutralized Basilisk Venom Shot")</f>
        <v>Neutralized Basilisk Venom Shot</v>
      </c>
      <c r="B323" s="49" t="str">
        <f>IFERROR(__xludf.DUMMYFUNCTION("""COMPUTED_VALUE"""),"1000 Thirst")</f>
        <v>1000 Thirst</v>
      </c>
      <c r="C323" s="49" t="str">
        <f>IFERROR(__xludf.DUMMYFUNCTION("""COMPUTED_VALUE"""),"Item")</f>
        <v>Item</v>
      </c>
    </row>
    <row r="324">
      <c r="A324" s="49" t="str">
        <f>IFERROR(__xludf.DUMMYFUNCTION("""COMPUTED_VALUE"""),"Ebony Mushrooms")</f>
        <v>Ebony Mushrooms</v>
      </c>
      <c r="B324" s="49" t="str">
        <f>IFERROR(__xludf.DUMMYFUNCTION("""COMPUTED_VALUE"""),"250 Hunger")</f>
        <v>250 Hunger</v>
      </c>
      <c r="C324" s="49" t="str">
        <f>IFERROR(__xludf.DUMMYFUNCTION("""COMPUTED_VALUE"""),"Crop")</f>
        <v>Crop</v>
      </c>
    </row>
    <row r="325">
      <c r="A325" s="49" t="str">
        <f>IFERROR(__xludf.DUMMYFUNCTION("""COMPUTED_VALUE"""),"Black Sludge")</f>
        <v>Black Sludge</v>
      </c>
      <c r="B325" s="49" t="str">
        <f>IFERROR(__xludf.DUMMYFUNCTION("""COMPUTED_VALUE"""),"Make a fail/succeed roll
Success - +500 Hunger and Thirst
Fail - -250 Hunger and Thirst From Vomiting.")</f>
        <v>Make a fail/succeed roll
Success - +500 Hunger and Thirst
Fail - -250 Hunger and Thirst From Vomiting.</v>
      </c>
      <c r="C325" s="49" t="str">
        <f>IFERROR(__xludf.DUMMYFUNCTION("""COMPUTED_VALUE"""),"Crop")</f>
        <v>Crop</v>
      </c>
    </row>
    <row r="326">
      <c r="A326" s="49" t="str">
        <f>IFERROR(__xludf.DUMMYFUNCTION("""COMPUTED_VALUE"""),"Black Sepent Dragon Scales")</f>
        <v>Black Sepent Dragon Scales</v>
      </c>
      <c r="B326" s="49" t="str">
        <f>IFERROR(__xludf.DUMMYFUNCTION("""COMPUTED_VALUE"""),"Crafting Material, roll a d20 to see how many you get if this is a loot drop.")</f>
        <v>Crafting Material, roll a d20 to see how many you get if this is a loot drop.</v>
      </c>
      <c r="C326" s="49" t="str">
        <f>IFERROR(__xludf.DUMMYFUNCTION("""COMPUTED_VALUE"""),"Item")</f>
        <v>Item</v>
      </c>
    </row>
    <row r="327">
      <c r="A327" s="49" t="str">
        <f>IFERROR(__xludf.DUMMYFUNCTION("""COMPUTED_VALUE"""),"Chaotic Shadow Dragon Scales")</f>
        <v>Chaotic Shadow Dragon Scales</v>
      </c>
      <c r="B327" s="49" t="str">
        <f>IFERROR(__xludf.DUMMYFUNCTION("""COMPUTED_VALUE"""),"Crafting Material, roll a d20 to see how many you get if this is a loot drop.")</f>
        <v>Crafting Material, roll a d20 to see how many you get if this is a loot drop.</v>
      </c>
      <c r="C327" s="49" t="str">
        <f>IFERROR(__xludf.DUMMYFUNCTION("""COMPUTED_VALUE"""),"Item")</f>
        <v>Item</v>
      </c>
    </row>
    <row r="328">
      <c r="A328" s="49" t="str">
        <f>IFERROR(__xludf.DUMMYFUNCTION("""COMPUTED_VALUE"""),"Chaotic Shadow Dragon Skull")</f>
        <v>Chaotic Shadow Dragon Skull</v>
      </c>
      <c r="B328" s="49" t="str">
        <f>IFERROR(__xludf.DUMMYFUNCTION("""COMPUTED_VALUE"""),"can be consumed to obtain 1 free dark or chaos power. (Only one per character)")</f>
        <v>can be consumed to obtain 1 free dark or chaos power. (Only one per character)</v>
      </c>
      <c r="C328" s="49" t="str">
        <f>IFERROR(__xludf.DUMMYFUNCTION("""COMPUTED_VALUE"""),"Item")</f>
        <v>Item</v>
      </c>
    </row>
    <row r="329">
      <c r="A329" s="49" t="str">
        <f>IFERROR(__xludf.DUMMYFUNCTION("""COMPUTED_VALUE"""),"Sharp Teeth")</f>
        <v>Sharp Teeth</v>
      </c>
      <c r="B329" s="49" t="str">
        <f>IFERROR(__xludf.DUMMYFUNCTION("""COMPUTED_VALUE"""),"Consumable, 100 sharp teeth = permanantly increase attack by 1.")</f>
        <v>Consumable, 100 sharp teeth = permanantly increase attack by 1.</v>
      </c>
      <c r="C329" s="49" t="str">
        <f>IFERROR(__xludf.DUMMYFUNCTION("""COMPUTED_VALUE"""),"Item")</f>
        <v>Item</v>
      </c>
    </row>
    <row r="330">
      <c r="A330" s="49" t="str">
        <f>IFERROR(__xludf.DUMMYFUNCTION("""COMPUTED_VALUE"""),"Letter from the Warden")</f>
        <v>Letter from the Warden</v>
      </c>
      <c r="B330" s="49" t="str">
        <f>IFERROR(__xludf.DUMMYFUNCTION("""COMPUTED_VALUE"""),"Get out of jail for free. Can only be used once, Cannot be duplicated.")</f>
        <v>Get out of jail for free. Can only be used once, Cannot be duplicated.</v>
      </c>
      <c r="C330" s="49" t="str">
        <f>IFERROR(__xludf.DUMMYFUNCTION("""COMPUTED_VALUE"""),"Item")</f>
        <v>Item</v>
      </c>
    </row>
    <row r="331">
      <c r="A331" s="49" t="str">
        <f>IFERROR(__xludf.DUMMYFUNCTION("""COMPUTED_VALUE"""),"Rank 9 Light Tome")</f>
        <v>Rank 9 Light Tome</v>
      </c>
      <c r="B331" s="49" t="str">
        <f>IFERROR(__xludf.DUMMYFUNCTION("""COMPUTED_VALUE"""),"Allows you to use up to Rank 9 Light Powers.")</f>
        <v>Allows you to use up to Rank 9 Light Powers.</v>
      </c>
      <c r="C331" s="49" t="str">
        <f>IFERROR(__xludf.DUMMYFUNCTION("""COMPUTED_VALUE"""),"Item")</f>
        <v>Item</v>
      </c>
    </row>
    <row r="332">
      <c r="A332" s="49" t="str">
        <f>IFERROR(__xludf.DUMMYFUNCTION("""COMPUTED_VALUE"""),"Lesser Healing Potion")</f>
        <v>Lesser Healing Potion</v>
      </c>
      <c r="B332" s="49" t="str">
        <f>IFERROR(__xludf.DUMMYFUNCTION("""COMPUTED_VALUE"""),": + +25HP")</f>
        <v>: + +25HP</v>
      </c>
      <c r="C332" s="49" t="str">
        <f>IFERROR(__xludf.DUMMYFUNCTION("""COMPUTED_VALUE"""),"Item")</f>
        <v>Item</v>
      </c>
    </row>
    <row r="333">
      <c r="A333" s="49" t="str">
        <f>IFERROR(__xludf.DUMMYFUNCTION("""COMPUTED_VALUE"""),"Blackhorn Healing Potion")</f>
        <v>Blackhorn Healing Potion</v>
      </c>
      <c r="B333" s="49" t="str">
        <f>IFERROR(__xludf.DUMMYFUNCTION("""COMPUTED_VALUE"""),": + +75HP")</f>
        <v>: + +75HP</v>
      </c>
      <c r="C333" s="49" t="str">
        <f>IFERROR(__xludf.DUMMYFUNCTION("""COMPUTED_VALUE"""),"Item")</f>
        <v>Item</v>
      </c>
    </row>
    <row r="334">
      <c r="A334" s="49" t="str">
        <f>IFERROR(__xludf.DUMMYFUNCTION("""COMPUTED_VALUE"""),"Greater Healing Potion")</f>
        <v>Greater Healing Potion</v>
      </c>
      <c r="B334" s="49" t="str">
        <f>IFERROR(__xludf.DUMMYFUNCTION("""COMPUTED_VALUE"""),": + +100HP")</f>
        <v>: + +100HP</v>
      </c>
      <c r="C334" s="49" t="str">
        <f>IFERROR(__xludf.DUMMYFUNCTION("""COMPUTED_VALUE"""),"Item")</f>
        <v>Item</v>
      </c>
    </row>
    <row r="335">
      <c r="A335" s="49" t="str">
        <f>IFERROR(__xludf.DUMMYFUNCTION("""COMPUTED_VALUE"""),"Awkward Potion")</f>
        <v>Awkward Potion</v>
      </c>
      <c r="B335" s="49" t="str">
        <f>IFERROR(__xludf.DUMMYFUNCTION("""COMPUTED_VALUE"""),": + +100HP And 100 SP")</f>
        <v>: + +100HP And 100 SP</v>
      </c>
      <c r="C335" s="49" t="str">
        <f>IFERROR(__xludf.DUMMYFUNCTION("""COMPUTED_VALUE"""),"Item")</f>
        <v>Item</v>
      </c>
    </row>
    <row r="336">
      <c r="A336" s="49" t="str">
        <f>IFERROR(__xludf.DUMMYFUNCTION("""COMPUTED_VALUE"""),"Defensive Potion")</f>
        <v>Defensive Potion</v>
      </c>
      <c r="B336" s="49" t="str">
        <f>IFERROR(__xludf.DUMMYFUNCTION("""COMPUTED_VALUE"""),": + +1000 def for 3 rounds")</f>
        <v>: + +1000 def for 3 rounds</v>
      </c>
      <c r="C336" s="49" t="str">
        <f>IFERROR(__xludf.DUMMYFUNCTION("""COMPUTED_VALUE"""),"Item")</f>
        <v>Item</v>
      </c>
    </row>
    <row r="337">
      <c r="A337" s="49" t="str">
        <f>IFERROR(__xludf.DUMMYFUNCTION("""COMPUTED_VALUE"""),"Offensive Potion")</f>
        <v>Offensive Potion</v>
      </c>
      <c r="B337" s="49" t="str">
        <f>IFERROR(__xludf.DUMMYFUNCTION("""COMPUTED_VALUE"""),": + +1000 atk for 3 rounds")</f>
        <v>: + +1000 atk for 3 rounds</v>
      </c>
      <c r="C337" s="49" t="str">
        <f>IFERROR(__xludf.DUMMYFUNCTION("""COMPUTED_VALUE"""),"Item")</f>
        <v>Item</v>
      </c>
    </row>
    <row r="338">
      <c r="A338" s="49" t="str">
        <f>IFERROR(__xludf.DUMMYFUNCTION("""COMPUTED_VALUE"""),"Potion of Swift")</f>
        <v>Potion of Swift</v>
      </c>
      <c r="B338" s="49" t="str">
        <f>IFERROR(__xludf.DUMMYFUNCTION("""COMPUTED_VALUE"""),": + +add 5 evasion for 3 rounds")</f>
        <v>: + +add 5 evasion for 3 rounds</v>
      </c>
      <c r="C338" s="49" t="str">
        <f>IFERROR(__xludf.DUMMYFUNCTION("""COMPUTED_VALUE"""),"Item")</f>
        <v>Item</v>
      </c>
    </row>
    <row r="339">
      <c r="A339" s="49" t="str">
        <f>IFERROR(__xludf.DUMMYFUNCTION("""COMPUTED_VALUE"""),"Potion of Mana Regeneration")</f>
        <v>Potion of Mana Regeneration</v>
      </c>
      <c r="B339" s="49" t="str">
        <f>IFERROR(__xludf.DUMMYFUNCTION("""COMPUTED_VALUE"""),": + +500SP p/r for 3 rounds")</f>
        <v>: + +500SP p/r for 3 rounds</v>
      </c>
      <c r="C339" s="49" t="str">
        <f>IFERROR(__xludf.DUMMYFUNCTION("""COMPUTED_VALUE"""),"Item")</f>
        <v>Item</v>
      </c>
    </row>
    <row r="340">
      <c r="A340" s="49" t="str">
        <f>IFERROR(__xludf.DUMMYFUNCTION("""COMPUTED_VALUE"""),"Potion of Thorns")</f>
        <v>Potion of Thorns</v>
      </c>
      <c r="B340" s="49" t="str">
        <f>IFERROR(__xludf.DUMMYFUNCTION("""COMPUTED_VALUE"""),": + +When a target deals damage to you they take the same amount of damage back.")</f>
        <v>: + +When a target deals damage to you they take the same amount of damage back.</v>
      </c>
      <c r="C340" s="49" t="str">
        <f>IFERROR(__xludf.DUMMYFUNCTION("""COMPUTED_VALUE"""),"Item")</f>
        <v>Item</v>
      </c>
    </row>
    <row r="341">
      <c r="A341" s="49" t="str">
        <f>IFERROR(__xludf.DUMMYFUNCTION("""COMPUTED_VALUE"""),"Potion of Resistance")</f>
        <v>Potion of Resistance</v>
      </c>
      <c r="B341" s="49" t="str">
        <f>IFERROR(__xludf.DUMMYFUNCTION("""COMPUTED_VALUE"""),": + +1000 resistance to all attacks for 3 rounds.")</f>
        <v>: + +1000 resistance to all attacks for 3 rounds.</v>
      </c>
      <c r="C341" s="49" t="str">
        <f>IFERROR(__xludf.DUMMYFUNCTION("""COMPUTED_VALUE"""),"Item")</f>
        <v>Item</v>
      </c>
    </row>
    <row r="342">
      <c r="A342" s="49" t="str">
        <f>IFERROR(__xludf.DUMMYFUNCTION("""COMPUTED_VALUE"""),"Potion of Speed")</f>
        <v>Potion of Speed</v>
      </c>
      <c r="B342" s="49" t="str">
        <f>IFERROR(__xludf.DUMMYFUNCTION("""COMPUTED_VALUE"""),": + +Allows 2 additional turns in one on your next turn.")</f>
        <v>: + +Allows 2 additional turns in one on your next turn.</v>
      </c>
      <c r="C342" s="49" t="str">
        <f>IFERROR(__xludf.DUMMYFUNCTION("""COMPUTED_VALUE"""),"Item")</f>
        <v>Item</v>
      </c>
    </row>
    <row r="343">
      <c r="A343" s="49" t="str">
        <f>IFERROR(__xludf.DUMMYFUNCTION("""COMPUTED_VALUE"""),"Potion of Luck")</f>
        <v>Potion of Luck</v>
      </c>
      <c r="B343" s="49" t="str">
        <f>IFERROR(__xludf.DUMMYFUNCTION("""COMPUTED_VALUE"""),": + +Allows you to get an enemies highest loot role (Must be used during battle)")</f>
        <v>: + +Allows you to get an enemies highest loot role (Must be used during battle)</v>
      </c>
      <c r="C343" s="49" t="str">
        <f>IFERROR(__xludf.DUMMYFUNCTION("""COMPUTED_VALUE"""),"Item")</f>
        <v>Item</v>
      </c>
    </row>
    <row r="344">
      <c r="A344" s="49" t="str">
        <f>IFERROR(__xludf.DUMMYFUNCTION("""COMPUTED_VALUE"""),"Potion of Regeneration")</f>
        <v>Potion of Regeneration</v>
      </c>
      <c r="B344" s="49" t="str">
        <f>IFERROR(__xludf.DUMMYFUNCTION("""COMPUTED_VALUE"""),": + +500HP p/r for 3 rounds.")</f>
        <v>: + +500HP p/r for 3 rounds.</v>
      </c>
      <c r="C344" s="49" t="str">
        <f>IFERROR(__xludf.DUMMYFUNCTION("""COMPUTED_VALUE"""),"Item")</f>
        <v>Item</v>
      </c>
    </row>
    <row r="345">
      <c r="A345" s="49" t="str">
        <f>IFERROR(__xludf.DUMMYFUNCTION("""COMPUTED_VALUE"""),"Potion of Immunity")</f>
        <v>Potion of Immunity</v>
      </c>
      <c r="B345" s="49" t="str">
        <f>IFERROR(__xludf.DUMMYFUNCTION("""COMPUTED_VALUE"""),": + +Gain immunity to all attacks for 3 rounds.")</f>
        <v>: + +Gain immunity to all attacks for 3 rounds.</v>
      </c>
      <c r="C345" s="49" t="str">
        <f>IFERROR(__xludf.DUMMYFUNCTION("""COMPUTED_VALUE"""),"Item")</f>
        <v>Item</v>
      </c>
    </row>
    <row r="346">
      <c r="A346" s="49" t="str">
        <f>IFERROR(__xludf.DUMMYFUNCTION("""COMPUTED_VALUE"""),"Apple")</f>
        <v>Apple</v>
      </c>
      <c r="B346" s="49" t="str">
        <f>IFERROR(__xludf.DUMMYFUNCTION("""COMPUTED_VALUE"""),"5 hunger and thirst.")</f>
        <v>5 hunger and thirst.</v>
      </c>
      <c r="C346" s="49" t="str">
        <f>IFERROR(__xludf.DUMMYFUNCTION("""COMPUTED_VALUE"""),"Crop")</f>
        <v>Crop</v>
      </c>
    </row>
    <row r="347">
      <c r="A347" s="49" t="str">
        <f>IFERROR(__xludf.DUMMYFUNCTION("""COMPUTED_VALUE"""),"Watermelon")</f>
        <v>Watermelon</v>
      </c>
      <c r="B347" s="49" t="str">
        <f>IFERROR(__xludf.DUMMYFUNCTION("""COMPUTED_VALUE"""),"100 hunger, thirst, and energy. Feeds self and up to 2 party members.")</f>
        <v>100 hunger, thirst, and energy. Feeds self and up to 2 party members.</v>
      </c>
      <c r="C347" s="49" t="str">
        <f>IFERROR(__xludf.DUMMYFUNCTION("""COMPUTED_VALUE"""),"Crop")</f>
        <v>Crop</v>
      </c>
    </row>
    <row r="348">
      <c r="A348" s="49" t="str">
        <f>IFERROR(__xludf.DUMMYFUNCTION("""COMPUTED_VALUE"""),"Orange")</f>
        <v>Orange</v>
      </c>
      <c r="B348" s="49" t="str">
        <f>IFERROR(__xludf.DUMMYFUNCTION("""COMPUTED_VALUE"""),"5 hunger and thirst.")</f>
        <v>5 hunger and thirst.</v>
      </c>
      <c r="C348" s="49" t="str">
        <f>IFERROR(__xludf.DUMMYFUNCTION("""COMPUTED_VALUE"""),"Crop")</f>
        <v>Crop</v>
      </c>
    </row>
    <row r="349">
      <c r="A349" s="49" t="str">
        <f>IFERROR(__xludf.DUMMYFUNCTION("""COMPUTED_VALUE"""),"Pear")</f>
        <v>Pear</v>
      </c>
      <c r="B349" s="49" t="str">
        <f>IFERROR(__xludf.DUMMYFUNCTION("""COMPUTED_VALUE"""),"5 hunger and thirst.")</f>
        <v>5 hunger and thirst.</v>
      </c>
      <c r="C349" s="49" t="str">
        <f>IFERROR(__xludf.DUMMYFUNCTION("""COMPUTED_VALUE"""),"Crop")</f>
        <v>Crop</v>
      </c>
    </row>
    <row r="350">
      <c r="A350" s="49" t="str">
        <f>IFERROR(__xludf.DUMMYFUNCTION("""COMPUTED_VALUE"""),"Cherry")</f>
        <v>Cherry</v>
      </c>
      <c r="B350" s="49" t="str">
        <f>IFERROR(__xludf.DUMMYFUNCTION("""COMPUTED_VALUE"""),"5 hunger and thirst.")</f>
        <v>5 hunger and thirst.</v>
      </c>
      <c r="C350" s="49" t="str">
        <f>IFERROR(__xludf.DUMMYFUNCTION("""COMPUTED_VALUE"""),"Crop")</f>
        <v>Crop</v>
      </c>
    </row>
    <row r="351">
      <c r="A351" s="49" t="str">
        <f>IFERROR(__xludf.DUMMYFUNCTION("""COMPUTED_VALUE"""),"Strawberries")</f>
        <v>Strawberries</v>
      </c>
      <c r="B351" s="49" t="str">
        <f>IFERROR(__xludf.DUMMYFUNCTION("""COMPUTED_VALUE"""),"5 hunger and thirst.")</f>
        <v>5 hunger and thirst.</v>
      </c>
      <c r="C351" s="49" t="str">
        <f>IFERROR(__xludf.DUMMYFUNCTION("""COMPUTED_VALUE"""),"Crop")</f>
        <v>Crop</v>
      </c>
    </row>
    <row r="352">
      <c r="A352" s="49" t="str">
        <f>IFERROR(__xludf.DUMMYFUNCTION("""COMPUTED_VALUE"""),"Nectarine")</f>
        <v>Nectarine</v>
      </c>
      <c r="B352" s="49" t="str">
        <f>IFERROR(__xludf.DUMMYFUNCTION("""COMPUTED_VALUE"""),"5 hunger and thirst.")</f>
        <v>5 hunger and thirst.</v>
      </c>
      <c r="C352" s="49" t="str">
        <f>IFERROR(__xludf.DUMMYFUNCTION("""COMPUTED_VALUE"""),"Crop")</f>
        <v>Crop</v>
      </c>
    </row>
    <row r="353">
      <c r="A353" s="49" t="str">
        <f>IFERROR(__xludf.DUMMYFUNCTION("""COMPUTED_VALUE"""),"Grapes")</f>
        <v>Grapes</v>
      </c>
      <c r="B353" s="49" t="str">
        <f>IFERROR(__xludf.DUMMYFUNCTION("""COMPUTED_VALUE"""),"5 hunger and thirst.")</f>
        <v>5 hunger and thirst.</v>
      </c>
      <c r="C353" s="49" t="str">
        <f>IFERROR(__xludf.DUMMYFUNCTION("""COMPUTED_VALUE"""),"Crop")</f>
        <v>Crop</v>
      </c>
    </row>
    <row r="354">
      <c r="A354" s="49" t="str">
        <f>IFERROR(__xludf.DUMMYFUNCTION("""COMPUTED_VALUE"""),"Mango")</f>
        <v>Mango</v>
      </c>
      <c r="B354" s="49" t="str">
        <f>IFERROR(__xludf.DUMMYFUNCTION("""COMPUTED_VALUE"""),"5 hunger and thirst.")</f>
        <v>5 hunger and thirst.</v>
      </c>
      <c r="C354" s="49" t="str">
        <f>IFERROR(__xludf.DUMMYFUNCTION("""COMPUTED_VALUE"""),"Crop")</f>
        <v>Crop</v>
      </c>
    </row>
    <row r="355">
      <c r="A355" s="49" t="str">
        <f>IFERROR(__xludf.DUMMYFUNCTION("""COMPUTED_VALUE"""),"Blueberries")</f>
        <v>Blueberries</v>
      </c>
      <c r="B355" s="49" t="str">
        <f>IFERROR(__xludf.DUMMYFUNCTION("""COMPUTED_VALUE"""),"5 hunger and thirst.")</f>
        <v>5 hunger and thirst.</v>
      </c>
      <c r="C355" s="49" t="str">
        <f>IFERROR(__xludf.DUMMYFUNCTION("""COMPUTED_VALUE"""),"Crop")</f>
        <v>Crop</v>
      </c>
    </row>
    <row r="356">
      <c r="A356" s="49" t="str">
        <f>IFERROR(__xludf.DUMMYFUNCTION("""COMPUTED_VALUE"""),"Pomegranate")</f>
        <v>Pomegranate</v>
      </c>
      <c r="B356" s="49" t="str">
        <f>IFERROR(__xludf.DUMMYFUNCTION("""COMPUTED_VALUE"""),"10 hunger and thirst.")</f>
        <v>10 hunger and thirst.</v>
      </c>
      <c r="C356" s="49" t="str">
        <f>IFERROR(__xludf.DUMMYFUNCTION("""COMPUTED_VALUE"""),"Crop")</f>
        <v>Crop</v>
      </c>
    </row>
    <row r="357">
      <c r="A357" s="49" t="str">
        <f>IFERROR(__xludf.DUMMYFUNCTION("""COMPUTED_VALUE"""),"StarFruit")</f>
        <v>StarFruit</v>
      </c>
      <c r="B357" s="49" t="str">
        <f>IFERROR(__xludf.DUMMYFUNCTION("""COMPUTED_VALUE"""),"5 hunger and thirst.")</f>
        <v>5 hunger and thirst.</v>
      </c>
      <c r="C357" s="49" t="str">
        <f>IFERROR(__xludf.DUMMYFUNCTION("""COMPUTED_VALUE"""),"Crop")</f>
        <v>Crop</v>
      </c>
    </row>
    <row r="358">
      <c r="A358" s="49" t="str">
        <f>IFERROR(__xludf.DUMMYFUNCTION("""COMPUTED_VALUE"""),"Plum")</f>
        <v>Plum</v>
      </c>
      <c r="B358" s="49" t="str">
        <f>IFERROR(__xludf.DUMMYFUNCTION("""COMPUTED_VALUE"""),"5 hunger and thirst.")</f>
        <v>5 hunger and thirst.</v>
      </c>
      <c r="C358" s="49" t="str">
        <f>IFERROR(__xludf.DUMMYFUNCTION("""COMPUTED_VALUE"""),"Crop")</f>
        <v>Crop</v>
      </c>
    </row>
    <row r="359">
      <c r="A359" s="49" t="str">
        <f>IFERROR(__xludf.DUMMYFUNCTION("""COMPUTED_VALUE"""),"Bananas")</f>
        <v>Bananas</v>
      </c>
      <c r="B359" s="49" t="str">
        <f>IFERROR(__xludf.DUMMYFUNCTION("""COMPUTED_VALUE"""),"10 hunger.")</f>
        <v>10 hunger.</v>
      </c>
      <c r="C359" s="49" t="str">
        <f>IFERROR(__xludf.DUMMYFUNCTION("""COMPUTED_VALUE"""),"Crop")</f>
        <v>Crop</v>
      </c>
    </row>
    <row r="360">
      <c r="A360" s="49" t="str">
        <f>IFERROR(__xludf.DUMMYFUNCTION("""COMPUTED_VALUE"""),"Raspberry")</f>
        <v>Raspberry</v>
      </c>
      <c r="B360" s="49" t="str">
        <f>IFERROR(__xludf.DUMMYFUNCTION("""COMPUTED_VALUE"""),"5 hunger and thirst.")</f>
        <v>5 hunger and thirst.</v>
      </c>
      <c r="C360" s="49" t="str">
        <f>IFERROR(__xludf.DUMMYFUNCTION("""COMPUTED_VALUE"""),"Crop")</f>
        <v>Crop</v>
      </c>
    </row>
    <row r="361">
      <c r="A361" s="49" t="str">
        <f>IFERROR(__xludf.DUMMYFUNCTION("""COMPUTED_VALUE"""),"Mandarin")</f>
        <v>Mandarin</v>
      </c>
      <c r="B361" s="49" t="str">
        <f>IFERROR(__xludf.DUMMYFUNCTION("""COMPUTED_VALUE"""),"5 hunger and thirst.")</f>
        <v>5 hunger and thirst.</v>
      </c>
      <c r="C361" s="49" t="str">
        <f>IFERROR(__xludf.DUMMYFUNCTION("""COMPUTED_VALUE"""),"Crop")</f>
        <v>Crop</v>
      </c>
    </row>
    <row r="362">
      <c r="A362" s="49" t="str">
        <f>IFERROR(__xludf.DUMMYFUNCTION("""COMPUTED_VALUE"""),"Jackfruit")</f>
        <v>Jackfruit</v>
      </c>
      <c r="B362" s="49" t="str">
        <f>IFERROR(__xludf.DUMMYFUNCTION("""COMPUTED_VALUE"""),"5 hunger and thirst.")</f>
        <v>5 hunger and thirst.</v>
      </c>
      <c r="C362" s="49" t="str">
        <f>IFERROR(__xludf.DUMMYFUNCTION("""COMPUTED_VALUE"""),"Crop")</f>
        <v>Crop</v>
      </c>
    </row>
    <row r="363">
      <c r="A363" s="49" t="str">
        <f>IFERROR(__xludf.DUMMYFUNCTION("""COMPUTED_VALUE"""),"Papaya")</f>
        <v>Papaya</v>
      </c>
      <c r="B363" s="49" t="str">
        <f>IFERROR(__xludf.DUMMYFUNCTION("""COMPUTED_VALUE"""),"10 hunger and thirst.")</f>
        <v>10 hunger and thirst.</v>
      </c>
      <c r="C363" s="49" t="str">
        <f>IFERROR(__xludf.DUMMYFUNCTION("""COMPUTED_VALUE"""),"Crop")</f>
        <v>Crop</v>
      </c>
    </row>
    <row r="364">
      <c r="A364" s="49" t="str">
        <f>IFERROR(__xludf.DUMMYFUNCTION("""COMPUTED_VALUE"""),"Kiwi")</f>
        <v>Kiwi</v>
      </c>
      <c r="B364" s="49" t="str">
        <f>IFERROR(__xludf.DUMMYFUNCTION("""COMPUTED_VALUE"""),"5 hunger and thirst.")</f>
        <v>5 hunger and thirst.</v>
      </c>
      <c r="C364" s="49" t="str">
        <f>IFERROR(__xludf.DUMMYFUNCTION("""COMPUTED_VALUE"""),"Crop")</f>
        <v>Crop</v>
      </c>
    </row>
    <row r="365">
      <c r="A365" s="49" t="str">
        <f>IFERROR(__xludf.DUMMYFUNCTION("""COMPUTED_VALUE"""),"Pineapple")</f>
        <v>Pineapple</v>
      </c>
      <c r="B365" s="49" t="str">
        <f>IFERROR(__xludf.DUMMYFUNCTION("""COMPUTED_VALUE"""),"20 hunger and thirst.")</f>
        <v>20 hunger and thirst.</v>
      </c>
      <c r="C365" s="49" t="str">
        <f>IFERROR(__xludf.DUMMYFUNCTION("""COMPUTED_VALUE"""),"Crop")</f>
        <v>Crop</v>
      </c>
    </row>
    <row r="366">
      <c r="A366" s="49" t="str">
        <f>IFERROR(__xludf.DUMMYFUNCTION("""COMPUTED_VALUE"""),"Lime")</f>
        <v>Lime</v>
      </c>
      <c r="B366" s="49" t="str">
        <f>IFERROR(__xludf.DUMMYFUNCTION("""COMPUTED_VALUE"""),"5 hunger and thirst or 25% chance to lose 10 hunger and thirst.")</f>
        <v>5 hunger and thirst or 25% chance to lose 10 hunger and thirst.</v>
      </c>
      <c r="C366" s="49" t="str">
        <f>IFERROR(__xludf.DUMMYFUNCTION("""COMPUTED_VALUE"""),"Crop")</f>
        <v>Crop</v>
      </c>
    </row>
    <row r="367">
      <c r="A367" s="49" t="str">
        <f>IFERROR(__xludf.DUMMYFUNCTION("""COMPUTED_VALUE"""),"Lemon")</f>
        <v>Lemon</v>
      </c>
      <c r="B367" s="49" t="str">
        <f>IFERROR(__xludf.DUMMYFUNCTION("""COMPUTED_VALUE"""),"5 hunger and thirst or 50% chance to lose 10 hunger and thirst.")</f>
        <v>5 hunger and thirst or 50% chance to lose 10 hunger and thirst.</v>
      </c>
      <c r="C367" s="49" t="str">
        <f>IFERROR(__xludf.DUMMYFUNCTION("""COMPUTED_VALUE"""),"Crop")</f>
        <v>Crop</v>
      </c>
    </row>
    <row r="368">
      <c r="A368" s="49" t="str">
        <f>IFERROR(__xludf.DUMMYFUNCTION("""COMPUTED_VALUE"""),"Apricot")</f>
        <v>Apricot</v>
      </c>
      <c r="B368" s="49" t="str">
        <f>IFERROR(__xludf.DUMMYFUNCTION("""COMPUTED_VALUE"""),"5 hunger and thirst.")</f>
        <v>5 hunger and thirst.</v>
      </c>
      <c r="C368" s="49" t="str">
        <f>IFERROR(__xludf.DUMMYFUNCTION("""COMPUTED_VALUE"""),"Crop")</f>
        <v>Crop</v>
      </c>
    </row>
    <row r="369">
      <c r="A369" s="49" t="str">
        <f>IFERROR(__xludf.DUMMYFUNCTION("""COMPUTED_VALUE"""),"Grapefruit")</f>
        <v>Grapefruit</v>
      </c>
      <c r="B369" s="49" t="str">
        <f>IFERROR(__xludf.DUMMYFUNCTION("""COMPUTED_VALUE"""),"10 hunger and thirst.")</f>
        <v>10 hunger and thirst.</v>
      </c>
      <c r="C369" s="49" t="str">
        <f>IFERROR(__xludf.DUMMYFUNCTION("""COMPUTED_VALUE"""),"Crop")</f>
        <v>Crop</v>
      </c>
    </row>
    <row r="370">
      <c r="A370" s="49" t="str">
        <f>IFERROR(__xludf.DUMMYFUNCTION("""COMPUTED_VALUE"""),"Coconut")</f>
        <v>Coconut</v>
      </c>
      <c r="B370" s="49" t="str">
        <f>IFERROR(__xludf.DUMMYFUNCTION("""COMPUTED_VALUE"""),"10 hunger and thirst.")</f>
        <v>10 hunger and thirst.</v>
      </c>
      <c r="C370" s="49" t="str">
        <f>IFERROR(__xludf.DUMMYFUNCTION("""COMPUTED_VALUE"""),"Crop")</f>
        <v>Crop</v>
      </c>
    </row>
    <row r="371">
      <c r="A371" s="49" t="str">
        <f>IFERROR(__xludf.DUMMYFUNCTION("""COMPUTED_VALUE"""),"Avocado")</f>
        <v>Avocado</v>
      </c>
      <c r="B371" s="49" t="str">
        <f>IFERROR(__xludf.DUMMYFUNCTION("""COMPUTED_VALUE"""),"5 hunger.")</f>
        <v>5 hunger.</v>
      </c>
      <c r="C371" s="49" t="str">
        <f>IFERROR(__xludf.DUMMYFUNCTION("""COMPUTED_VALUE"""),"Crop")</f>
        <v>Crop</v>
      </c>
    </row>
    <row r="372">
      <c r="A372" s="49" t="str">
        <f>IFERROR(__xludf.DUMMYFUNCTION("""COMPUTED_VALUE"""),"Peach")</f>
        <v>Peach</v>
      </c>
      <c r="B372" s="49" t="str">
        <f>IFERROR(__xludf.DUMMYFUNCTION("""COMPUTED_VALUE"""),"5 hunger and thirst.")</f>
        <v>5 hunger and thirst.</v>
      </c>
      <c r="C372" s="49" t="str">
        <f>IFERROR(__xludf.DUMMYFUNCTION("""COMPUTED_VALUE"""),"Crop")</f>
        <v>Crop</v>
      </c>
    </row>
    <row r="373">
      <c r="A373" s="49" t="str">
        <f>IFERROR(__xludf.DUMMYFUNCTION("""COMPUTED_VALUE"""),"Corn")</f>
        <v>Corn</v>
      </c>
      <c r="B373" s="49" t="str">
        <f>IFERROR(__xludf.DUMMYFUNCTION("""COMPUTED_VALUE"""),"10 hunger.")</f>
        <v>10 hunger.</v>
      </c>
      <c r="C373" s="49" t="str">
        <f>IFERROR(__xludf.DUMMYFUNCTION("""COMPUTED_VALUE"""),"Crop")</f>
        <v>Crop</v>
      </c>
    </row>
    <row r="374">
      <c r="A374" s="49" t="str">
        <f>IFERROR(__xludf.DUMMYFUNCTION("""COMPUTED_VALUE"""),"Mushroom")</f>
        <v>Mushroom</v>
      </c>
      <c r="B374" s="49" t="str">
        <f>IFERROR(__xludf.DUMMYFUNCTION("""COMPUTED_VALUE"""),"10 hunger, 25% chance of wandering away from the party.")</f>
        <v>10 hunger, 25% chance of wandering away from the party.</v>
      </c>
      <c r="C374" s="49" t="str">
        <f>IFERROR(__xludf.DUMMYFUNCTION("""COMPUTED_VALUE"""),"Crop")</f>
        <v>Crop</v>
      </c>
    </row>
    <row r="375">
      <c r="A375" s="49" t="str">
        <f>IFERROR(__xludf.DUMMYFUNCTION("""COMPUTED_VALUE"""),"Broccoli")</f>
        <v>Broccoli</v>
      </c>
      <c r="B375" s="49" t="str">
        <f>IFERROR(__xludf.DUMMYFUNCTION("""COMPUTED_VALUE"""),"5 hunger")</f>
        <v>5 hunger</v>
      </c>
      <c r="C375" s="49" t="str">
        <f>IFERROR(__xludf.DUMMYFUNCTION("""COMPUTED_VALUE"""),"Crop")</f>
        <v>Crop</v>
      </c>
    </row>
    <row r="376">
      <c r="A376" s="49" t="str">
        <f>IFERROR(__xludf.DUMMYFUNCTION("""COMPUTED_VALUE"""),"Cucumber")</f>
        <v>Cucumber</v>
      </c>
      <c r="B376" s="49" t="str">
        <f>IFERROR(__xludf.DUMMYFUNCTION("""COMPUTED_VALUE"""),"5 hunger")</f>
        <v>5 hunger</v>
      </c>
      <c r="C376" s="49" t="str">
        <f>IFERROR(__xludf.DUMMYFUNCTION("""COMPUTED_VALUE"""),"Crop")</f>
        <v>Crop</v>
      </c>
    </row>
    <row r="377">
      <c r="A377" s="49" t="str">
        <f>IFERROR(__xludf.DUMMYFUNCTION("""COMPUTED_VALUE"""),"Red Pepper/Red Bell Pepper")</f>
        <v>Red Pepper/Red Bell Pepper</v>
      </c>
      <c r="B377" s="49" t="str">
        <f>IFERROR(__xludf.DUMMYFUNCTION("""COMPUTED_VALUE"""),"5 hunger")</f>
        <v>5 hunger</v>
      </c>
      <c r="C377" s="49" t="str">
        <f>IFERROR(__xludf.DUMMYFUNCTION("""COMPUTED_VALUE"""),"Crop")</f>
        <v>Crop</v>
      </c>
    </row>
    <row r="378">
      <c r="A378" s="49" t="str">
        <f>IFERROR(__xludf.DUMMYFUNCTION("""COMPUTED_VALUE"""),"Tomato")</f>
        <v>Tomato</v>
      </c>
      <c r="B378" s="49" t="str">
        <f>IFERROR(__xludf.DUMMYFUNCTION("""COMPUTED_VALUE"""),"5 hunger and thirst")</f>
        <v>5 hunger and thirst</v>
      </c>
      <c r="C378" s="49" t="str">
        <f>IFERROR(__xludf.DUMMYFUNCTION("""COMPUTED_VALUE"""),"Crop")</f>
        <v>Crop</v>
      </c>
    </row>
    <row r="379">
      <c r="A379" s="49" t="str">
        <f>IFERROR(__xludf.DUMMYFUNCTION("""COMPUTED_VALUE"""),"Carrot")</f>
        <v>Carrot</v>
      </c>
      <c r="B379" s="49" t="str">
        <f>IFERROR(__xludf.DUMMYFUNCTION("""COMPUTED_VALUE"""),"5 hunger")</f>
        <v>5 hunger</v>
      </c>
      <c r="C379" s="49" t="str">
        <f>IFERROR(__xludf.DUMMYFUNCTION("""COMPUTED_VALUE"""),"Crop")</f>
        <v>Crop</v>
      </c>
    </row>
    <row r="380">
      <c r="A380" s="49" t="str">
        <f>IFERROR(__xludf.DUMMYFUNCTION("""COMPUTED_VALUE"""),"Brussels Sprout")</f>
        <v>Brussels Sprout</v>
      </c>
      <c r="B380" s="49" t="str">
        <f>IFERROR(__xludf.DUMMYFUNCTION("""COMPUTED_VALUE"""),"5 hunger")</f>
        <v>5 hunger</v>
      </c>
      <c r="C380" s="49" t="str">
        <f>IFERROR(__xludf.DUMMYFUNCTION("""COMPUTED_VALUE"""),"Crop")</f>
        <v>Crop</v>
      </c>
    </row>
    <row r="381">
      <c r="A381" s="49" t="str">
        <f>IFERROR(__xludf.DUMMYFUNCTION("""COMPUTED_VALUE"""),"Cabbage")</f>
        <v>Cabbage</v>
      </c>
      <c r="B381" s="49" t="str">
        <f>IFERROR(__xludf.DUMMYFUNCTION("""COMPUTED_VALUE"""),"10 hunger")</f>
        <v>10 hunger</v>
      </c>
      <c r="C381" s="49" t="str">
        <f>IFERROR(__xludf.DUMMYFUNCTION("""COMPUTED_VALUE"""),"Crop")</f>
        <v>Crop</v>
      </c>
    </row>
    <row r="382">
      <c r="A382" s="49" t="str">
        <f>IFERROR(__xludf.DUMMYFUNCTION("""COMPUTED_VALUE"""),"Potato")</f>
        <v>Potato</v>
      </c>
      <c r="B382" s="49" t="str">
        <f>IFERROR(__xludf.DUMMYFUNCTION("""COMPUTED_VALUE"""),"5 hunger")</f>
        <v>5 hunger</v>
      </c>
      <c r="C382" s="49" t="str">
        <f>IFERROR(__xludf.DUMMYFUNCTION("""COMPUTED_VALUE"""),"Crop")</f>
        <v>Crop</v>
      </c>
    </row>
    <row r="383">
      <c r="A383" s="49" t="str">
        <f>IFERROR(__xludf.DUMMYFUNCTION("""COMPUTED_VALUE"""),"Eggplant")</f>
        <v>Eggplant</v>
      </c>
      <c r="B383" s="49" t="str">
        <f>IFERROR(__xludf.DUMMYFUNCTION("""COMPUTED_VALUE"""),"10 hunger")</f>
        <v>10 hunger</v>
      </c>
      <c r="C383" s="49" t="str">
        <f>IFERROR(__xludf.DUMMYFUNCTION("""COMPUTED_VALUE"""),"Crop")</f>
        <v>Crop</v>
      </c>
    </row>
    <row r="384">
      <c r="A384" s="49" t="str">
        <f>IFERROR(__xludf.DUMMYFUNCTION("""COMPUTED_VALUE"""),"Sweet Potato")</f>
        <v>Sweet Potato</v>
      </c>
      <c r="B384" s="49" t="str">
        <f>IFERROR(__xludf.DUMMYFUNCTION("""COMPUTED_VALUE"""),"5 hunger")</f>
        <v>5 hunger</v>
      </c>
      <c r="C384" s="49" t="str">
        <f>IFERROR(__xludf.DUMMYFUNCTION("""COMPUTED_VALUE"""),"Crop")</f>
        <v>Crop</v>
      </c>
    </row>
    <row r="385">
      <c r="A385" s="49" t="str">
        <f>IFERROR(__xludf.DUMMYFUNCTION("""COMPUTED_VALUE"""),"Turnip")</f>
        <v>Turnip</v>
      </c>
      <c r="B385" s="49" t="str">
        <f>IFERROR(__xludf.DUMMYFUNCTION("""COMPUTED_VALUE"""),"5 hunger")</f>
        <v>5 hunger</v>
      </c>
      <c r="C385" s="49" t="str">
        <f>IFERROR(__xludf.DUMMYFUNCTION("""COMPUTED_VALUE"""),"Crop")</f>
        <v>Crop</v>
      </c>
    </row>
    <row r="386">
      <c r="A386" s="49" t="str">
        <f>IFERROR(__xludf.DUMMYFUNCTION("""COMPUTED_VALUE"""),"Green Chilli")</f>
        <v>Green Chilli</v>
      </c>
      <c r="B386" s="49" t="str">
        <f>IFERROR(__xludf.DUMMYFUNCTION("""COMPUTED_VALUE"""),"5 hunger")</f>
        <v>5 hunger</v>
      </c>
      <c r="C386" s="49" t="str">
        <f>IFERROR(__xludf.DUMMYFUNCTION("""COMPUTED_VALUE"""),"Crop")</f>
        <v>Crop</v>
      </c>
    </row>
    <row r="387">
      <c r="A387" s="49" t="str">
        <f>IFERROR(__xludf.DUMMYFUNCTION("""COMPUTED_VALUE"""),"Onion")</f>
        <v>Onion</v>
      </c>
      <c r="B387" s="49" t="str">
        <f>IFERROR(__xludf.DUMMYFUNCTION("""COMPUTED_VALUE"""),"5 hunger, 50% Blindness 3 during the next battle.")</f>
        <v>5 hunger, 50% Blindness 3 during the next battle.</v>
      </c>
      <c r="C387" s="49" t="str">
        <f>IFERROR(__xludf.DUMMYFUNCTION("""COMPUTED_VALUE"""),"Crop")</f>
        <v>Crop</v>
      </c>
    </row>
    <row r="388">
      <c r="A388" s="49" t="str">
        <f>IFERROR(__xludf.DUMMYFUNCTION("""COMPUTED_VALUE"""),"Lettuce")</f>
        <v>Lettuce</v>
      </c>
      <c r="B388" s="49" t="str">
        <f>IFERROR(__xludf.DUMMYFUNCTION("""COMPUTED_VALUE"""),"5 hunger")</f>
        <v>5 hunger</v>
      </c>
      <c r="C388" s="49" t="str">
        <f>IFERROR(__xludf.DUMMYFUNCTION("""COMPUTED_VALUE"""),"Crop")</f>
        <v>Crop</v>
      </c>
    </row>
    <row r="389">
      <c r="A389" s="49" t="str">
        <f>IFERROR(__xludf.DUMMYFUNCTION("""COMPUTED_VALUE"""),"Radish")</f>
        <v>Radish</v>
      </c>
      <c r="B389" s="49" t="str">
        <f>IFERROR(__xludf.DUMMYFUNCTION("""COMPUTED_VALUE"""),"5 hunger")</f>
        <v>5 hunger</v>
      </c>
      <c r="C389" s="49" t="str">
        <f>IFERROR(__xludf.DUMMYFUNCTION("""COMPUTED_VALUE"""),"Crop")</f>
        <v>Crop</v>
      </c>
    </row>
    <row r="390">
      <c r="A390" s="49" t="str">
        <f>IFERROR(__xludf.DUMMYFUNCTION("""COMPUTED_VALUE"""),"Peas")</f>
        <v>Peas</v>
      </c>
      <c r="B390" s="49" t="str">
        <f>IFERROR(__xludf.DUMMYFUNCTION("""COMPUTED_VALUE"""),"5 hunger")</f>
        <v>5 hunger</v>
      </c>
      <c r="C390" s="49" t="str">
        <f>IFERROR(__xludf.DUMMYFUNCTION("""COMPUTED_VALUE"""),"Crop")</f>
        <v>Crop</v>
      </c>
    </row>
    <row r="391">
      <c r="A391" s="49" t="str">
        <f>IFERROR(__xludf.DUMMYFUNCTION("""COMPUTED_VALUE"""),"Asparagus")</f>
        <v>Asparagus</v>
      </c>
      <c r="B391" s="49" t="str">
        <f>IFERROR(__xludf.DUMMYFUNCTION("""COMPUTED_VALUE"""),"5 hunger")</f>
        <v>5 hunger</v>
      </c>
      <c r="C391" s="49" t="str">
        <f>IFERROR(__xludf.DUMMYFUNCTION("""COMPUTED_VALUE"""),"Crop")</f>
        <v>Crop</v>
      </c>
    </row>
    <row r="392">
      <c r="A392" s="49" t="str">
        <f>IFERROR(__xludf.DUMMYFUNCTION("""COMPUTED_VALUE"""),"Celery")</f>
        <v>Celery</v>
      </c>
      <c r="B392" s="49" t="str">
        <f>IFERROR(__xludf.DUMMYFUNCTION("""COMPUTED_VALUE"""),"5 hunger")</f>
        <v>5 hunger</v>
      </c>
      <c r="C392" s="49" t="str">
        <f>IFERROR(__xludf.DUMMYFUNCTION("""COMPUTED_VALUE"""),"Crop")</f>
        <v>Crop</v>
      </c>
    </row>
    <row r="393">
      <c r="A393" s="49" t="str">
        <f>IFERROR(__xludf.DUMMYFUNCTION("""COMPUTED_VALUE"""),"Green Pepper")</f>
        <v>Green Pepper</v>
      </c>
      <c r="B393" s="49" t="str">
        <f>IFERROR(__xludf.DUMMYFUNCTION("""COMPUTED_VALUE"""),"5 hunger")</f>
        <v>5 hunger</v>
      </c>
      <c r="C393" s="49" t="str">
        <f>IFERROR(__xludf.DUMMYFUNCTION("""COMPUTED_VALUE"""),"Crop")</f>
        <v>Crop</v>
      </c>
    </row>
    <row r="394">
      <c r="A394" s="49" t="str">
        <f>IFERROR(__xludf.DUMMYFUNCTION("""COMPUTED_VALUE"""),"French Beans")</f>
        <v>French Beans</v>
      </c>
      <c r="B394" s="49" t="str">
        <f>IFERROR(__xludf.DUMMYFUNCTION("""COMPUTED_VALUE"""),"5 hunger")</f>
        <v>5 hunger</v>
      </c>
      <c r="C394" s="49" t="str">
        <f>IFERROR(__xludf.DUMMYFUNCTION("""COMPUTED_VALUE"""),"Crop")</f>
        <v>Crop</v>
      </c>
    </row>
    <row r="395">
      <c r="A395" s="49" t="str">
        <f>IFERROR(__xludf.DUMMYFUNCTION("""COMPUTED_VALUE"""),"Spinach")</f>
        <v>Spinach</v>
      </c>
      <c r="B395" s="49" t="str">
        <f>IFERROR(__xludf.DUMMYFUNCTION("""COMPUTED_VALUE"""),"5 hunger")</f>
        <v>5 hunger</v>
      </c>
      <c r="C395" s="49" t="str">
        <f>IFERROR(__xludf.DUMMYFUNCTION("""COMPUTED_VALUE"""),"Crop")</f>
        <v>Crop</v>
      </c>
    </row>
    <row r="396">
      <c r="A396" s="49" t="str">
        <f>IFERROR(__xludf.DUMMYFUNCTION("""COMPUTED_VALUE"""),"Beetroot")</f>
        <v>Beetroot</v>
      </c>
      <c r="B396" s="49" t="str">
        <f>IFERROR(__xludf.DUMMYFUNCTION("""COMPUTED_VALUE"""),"5 hunger")</f>
        <v>5 hunger</v>
      </c>
      <c r="C396" s="49" t="str">
        <f>IFERROR(__xludf.DUMMYFUNCTION("""COMPUTED_VALUE"""),"Crop")</f>
        <v>Crop</v>
      </c>
    </row>
    <row r="397">
      <c r="A397" s="49" t="str">
        <f>IFERROR(__xludf.DUMMYFUNCTION("""COMPUTED_VALUE"""),"Red Chili Peppers ")</f>
        <v>Red Chili Peppers </v>
      </c>
      <c r="B397" s="49" t="str">
        <f>IFERROR(__xludf.DUMMYFUNCTION("""COMPUTED_VALUE"""),"5 hunger")</f>
        <v>5 hunger</v>
      </c>
      <c r="C397" s="49" t="str">
        <f>IFERROR(__xludf.DUMMYFUNCTION("""COMPUTED_VALUE"""),"Crop")</f>
        <v>Crop</v>
      </c>
    </row>
    <row r="398">
      <c r="A398" s="49"/>
      <c r="B398" s="49"/>
      <c r="C398" s="49" t="str">
        <f>IFERROR(__xludf.DUMMYFUNCTION("""COMPUTED_VALUE"""),"Item")</f>
        <v>Item</v>
      </c>
    </row>
    <row r="399">
      <c r="A399" s="49" t="str">
        <f>IFERROR(__xludf.DUMMYFUNCTION("""COMPUTED_VALUE"""),"Crystal Apple")</f>
        <v>Crystal Apple</v>
      </c>
      <c r="B399" s="49" t="str">
        <f>IFERROR(__xludf.DUMMYFUNCTION("""COMPUTED_VALUE"""),"When consumed X2 additional Damage towards the users weapons. (Can only use 1 per battle)")</f>
        <v>When consumed X2 additional Damage towards the users weapons. (Can only use 1 per battle)</v>
      </c>
      <c r="C399" s="49" t="str">
        <f>IFERROR(__xludf.DUMMYFUNCTION("""COMPUTED_VALUE"""),"Item")</f>
        <v>Item</v>
      </c>
    </row>
    <row r="400">
      <c r="A400" s="49" t="str">
        <f>IFERROR(__xludf.DUMMYFUNCTION("""COMPUTED_VALUE"""),"Dark Crystal Shard")</f>
        <v>Dark Crystal Shard</v>
      </c>
      <c r="B400" s="49" t="str">
        <f>IFERROR(__xludf.DUMMYFUNCTION("""COMPUTED_VALUE"""),"Quest item, Crafting Material, roll a d20 to see how many you get if this is a loot drop.")</f>
        <v>Quest item, Crafting Material, roll a d20 to see how many you get if this is a loot drop.</v>
      </c>
      <c r="C400" s="49" t="str">
        <f>IFERROR(__xludf.DUMMYFUNCTION("""COMPUTED_VALUE"""),"Item")</f>
        <v>Item</v>
      </c>
    </row>
    <row r="401">
      <c r="A401" s="49" t="str">
        <f>IFERROR(__xludf.DUMMYFUNCTION("""COMPUTED_VALUE"""),"Small Fuel Canister")</f>
        <v>Small Fuel Canister</v>
      </c>
      <c r="B401" s="49" t="str">
        <f>IFERROR(__xludf.DUMMYFUNCTION("""COMPUTED_VALUE"""),"Restores 100 Fuel")</f>
        <v>Restores 100 Fuel</v>
      </c>
      <c r="C401" s="49" t="str">
        <f>IFERROR(__xludf.DUMMYFUNCTION("""COMPUTED_VALUE"""),"Item")</f>
        <v>Item</v>
      </c>
    </row>
    <row r="402">
      <c r="A402" s="49" t="str">
        <f>IFERROR(__xludf.DUMMYFUNCTION("""COMPUTED_VALUE"""),"Medium Fuel Canister")</f>
        <v>Medium Fuel Canister</v>
      </c>
      <c r="B402" s="49" t="str">
        <f>IFERROR(__xludf.DUMMYFUNCTION("""COMPUTED_VALUE"""),"Restores 250 Fuel")</f>
        <v>Restores 250 Fuel</v>
      </c>
      <c r="C402" s="49" t="str">
        <f>IFERROR(__xludf.DUMMYFUNCTION("""COMPUTED_VALUE"""),"Item")</f>
        <v>Item</v>
      </c>
    </row>
    <row r="403">
      <c r="A403" s="49" t="str">
        <f>IFERROR(__xludf.DUMMYFUNCTION("""COMPUTED_VALUE"""),"Large Fuel Canister")</f>
        <v>Large Fuel Canister</v>
      </c>
      <c r="B403" s="49" t="str">
        <f>IFERROR(__xludf.DUMMYFUNCTION("""COMPUTED_VALUE"""),"Restores 500 Fuel")</f>
        <v>Restores 500 Fuel</v>
      </c>
      <c r="C403" s="49" t="str">
        <f>IFERROR(__xludf.DUMMYFUNCTION("""COMPUTED_VALUE"""),"Item")</f>
        <v>Item</v>
      </c>
    </row>
    <row r="404">
      <c r="A404" s="49" t="str">
        <f>IFERROR(__xludf.DUMMYFUNCTION("""COMPUTED_VALUE"""),"Letter from the Lord of Spira")</f>
        <v>Letter from the Lord of Spira</v>
      </c>
      <c r="B404" s="49" t="str">
        <f>IFERROR(__xludf.DUMMYFUNCTION("""COMPUTED_VALUE"""),"Absolved from all crimes whitin The Land of Spira. Can only be used once, Cannot be duplicated")</f>
        <v>Absolved from all crimes whitin The Land of Spira. Can only be used once, Cannot be duplicated</v>
      </c>
      <c r="C404" s="49" t="str">
        <f>IFERROR(__xludf.DUMMYFUNCTION("""COMPUTED_VALUE"""),"Item")</f>
        <v>Item</v>
      </c>
    </row>
    <row r="405">
      <c r="A405" s="49" t="str">
        <f>IFERROR(__xludf.DUMMYFUNCTION("""COMPUTED_VALUE"""),"Scroll of Bad Dreams")</f>
        <v>Scroll of Bad Dreams</v>
      </c>
      <c r="B405" s="49"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49" t="str">
        <f>IFERROR(__xludf.DUMMYFUNCTION("""COMPUTED_VALUE"""),"Item")</f>
        <v>Item</v>
      </c>
    </row>
    <row r="406">
      <c r="A406" s="49" t="str">
        <f>IFERROR(__xludf.DUMMYFUNCTION("""COMPUTED_VALUE"""),"A Jar of Blood")</f>
        <v>A Jar of Blood</v>
      </c>
      <c r="B406" s="49" t="str">
        <f>IFERROR(__xludf.DUMMYFUNCTION("""COMPUTED_VALUE"""),"Crafting Material, roll a d20 to see how many you get if this is a loot drop.")</f>
        <v>Crafting Material, roll a d20 to see how many you get if this is a loot drop.</v>
      </c>
      <c r="C406" s="49" t="str">
        <f>IFERROR(__xludf.DUMMYFUNCTION("""COMPUTED_VALUE"""),"Item")</f>
        <v>Item</v>
      </c>
    </row>
    <row r="407">
      <c r="A407" s="49" t="str">
        <f>IFERROR(__xludf.DUMMYFUNCTION("""COMPUTED_VALUE"""),"Demon Blood")</f>
        <v>Demon Blood</v>
      </c>
      <c r="B407" s="49" t="str">
        <f>IFERROR(__xludf.DUMMYFUNCTION("""COMPUTED_VALUE"""),"Crafting Material, roll a d20 to see how many you get if this is a loot drop.")</f>
        <v>Crafting Material, roll a d20 to see how many you get if this is a loot drop.</v>
      </c>
      <c r="C407" s="49" t="str">
        <f>IFERROR(__xludf.DUMMYFUNCTION("""COMPUTED_VALUE"""),"Item")</f>
        <v>Item</v>
      </c>
    </row>
    <row r="408">
      <c r="A408" s="49" t="str">
        <f>IFERROR(__xludf.DUMMYFUNCTION("""COMPUTED_VALUE"""),"Demon Skull")</f>
        <v>Demon Skull</v>
      </c>
      <c r="B408" s="49" t="str">
        <f>IFERROR(__xludf.DUMMYFUNCTION("""COMPUTED_VALUE"""),"Crafting Material, roll a d20 to see how many you get if this is a loot drop.")</f>
        <v>Crafting Material, roll a d20 to see how many you get if this is a loot drop.</v>
      </c>
      <c r="C408" s="49" t="str">
        <f>IFERROR(__xludf.DUMMYFUNCTION("""COMPUTED_VALUE"""),"Item")</f>
        <v>Item</v>
      </c>
    </row>
    <row r="409">
      <c r="A409" s="49" t="str">
        <f>IFERROR(__xludf.DUMMYFUNCTION("""COMPUTED_VALUE"""),"Volcanic Teeth")</f>
        <v>Volcanic Teeth</v>
      </c>
      <c r="B409" s="49" t="str">
        <f>IFERROR(__xludf.DUMMYFUNCTION("""COMPUTED_VALUE"""),"Crafting Material, roll a d20 to see how many you get if this is a loot drop.")</f>
        <v>Crafting Material, roll a d20 to see how many you get if this is a loot drop.</v>
      </c>
      <c r="C409" s="49" t="str">
        <f>IFERROR(__xludf.DUMMYFUNCTION("""COMPUTED_VALUE"""),"Item")</f>
        <v>Item</v>
      </c>
    </row>
    <row r="410">
      <c r="A410" s="49" t="str">
        <f>IFERROR(__xludf.DUMMYFUNCTION("""COMPUTED_VALUE"""),"Volcanic Serpent Teeth ")</f>
        <v>Volcanic Serpent Teeth </v>
      </c>
      <c r="B410" s="49" t="str">
        <f>IFERROR(__xludf.DUMMYFUNCTION("""COMPUTED_VALUE"""),"Crafting Material, roll a d20 to see how many you get if this is a loot drop.")</f>
        <v>Crafting Material, roll a d20 to see how many you get if this is a loot drop.</v>
      </c>
      <c r="C410" s="49" t="str">
        <f>IFERROR(__xludf.DUMMYFUNCTION("""COMPUTED_VALUE"""),"Item")</f>
        <v>Item</v>
      </c>
    </row>
    <row r="411">
      <c r="A411" s="49" t="str">
        <f>IFERROR(__xludf.DUMMYFUNCTION("""COMPUTED_VALUE"""),"Volcanic Serpent Scales")</f>
        <v>Volcanic Serpent Scales</v>
      </c>
      <c r="B411" s="49" t="str">
        <f>IFERROR(__xludf.DUMMYFUNCTION("""COMPUTED_VALUE"""),"Crafting Material, roll a d20 to see how many you get if this is a loot drop.")</f>
        <v>Crafting Material, roll a d20 to see how many you get if this is a loot drop.</v>
      </c>
      <c r="C411" s="49" t="str">
        <f>IFERROR(__xludf.DUMMYFUNCTION("""COMPUTED_VALUE"""),"Item")</f>
        <v>Item</v>
      </c>
    </row>
    <row r="412">
      <c r="A412" s="49" t="str">
        <f>IFERROR(__xludf.DUMMYFUNCTION("""COMPUTED_VALUE"""),"Lava Panther Leather")</f>
        <v>Lava Panther Leather</v>
      </c>
      <c r="B412" s="49" t="str">
        <f>IFERROR(__xludf.DUMMYFUNCTION("""COMPUTED_VALUE"""),"Crafting Material, roll a d20 to see how many you get if this is a loot drop.")</f>
        <v>Crafting Material, roll a d20 to see how many you get if this is a loot drop.</v>
      </c>
      <c r="C412" s="49" t="str">
        <f>IFERROR(__xludf.DUMMYFUNCTION("""COMPUTED_VALUE"""),"Item")</f>
        <v>Item</v>
      </c>
    </row>
    <row r="413">
      <c r="A413" s="49" t="str">
        <f>IFERROR(__xludf.DUMMYFUNCTION("""COMPUTED_VALUE"""),"Endless Dark Core")</f>
        <v>Endless Dark Core</v>
      </c>
      <c r="B413" s="49" t="str">
        <f>IFERROR(__xludf.DUMMYFUNCTION("""COMPUTED_VALUE"""),"Return a banished character from banishment without having to fight the Keeper of the Banished. (1 use)")</f>
        <v>Return a banished character from banishment without having to fight the Keeper of the Banished. (1 use)</v>
      </c>
      <c r="C413" s="49" t="str">
        <f>IFERROR(__xludf.DUMMYFUNCTION("""COMPUTED_VALUE"""),"Item")</f>
        <v>Item</v>
      </c>
    </row>
    <row r="414">
      <c r="A414" s="49" t="str">
        <f>IFERROR(__xludf.DUMMYFUNCTION("""COMPUTED_VALUE"""),"Endless Dark Dragon Scales")</f>
        <v>Endless Dark Dragon Scales</v>
      </c>
      <c r="B414" s="49" t="str">
        <f>IFERROR(__xludf.DUMMYFUNCTION("""COMPUTED_VALUE"""),"Crafting Material, roll a d20 to see how many you get if this is a loot drop.")</f>
        <v>Crafting Material, roll a d20 to see how many you get if this is a loot drop.</v>
      </c>
      <c r="C414" s="49" t="str">
        <f>IFERROR(__xludf.DUMMYFUNCTION("""COMPUTED_VALUE"""),"Item")</f>
        <v>Item</v>
      </c>
    </row>
    <row r="415">
      <c r="A415" s="49" t="str">
        <f>IFERROR(__xludf.DUMMYFUNCTION("""COMPUTED_VALUE"""),"Magma Stone")</f>
        <v>Magma Stone</v>
      </c>
      <c r="B415" s="49" t="str">
        <f>IFERROR(__xludf.DUMMYFUNCTION("""COMPUTED_VALUE"""),"Crafting Material, roll a d20 to see how many you get if this is a loot drop.")</f>
        <v>Crafting Material, roll a d20 to see how many you get if this is a loot drop.</v>
      </c>
      <c r="C415" s="49" t="str">
        <f>IFERROR(__xludf.DUMMYFUNCTION("""COMPUTED_VALUE"""),"Item")</f>
        <v>Item</v>
      </c>
    </row>
    <row r="416">
      <c r="A416" s="49" t="str">
        <f>IFERROR(__xludf.DUMMYFUNCTION("""COMPUTED_VALUE"""),"Inferno Feather")</f>
        <v>Inferno Feather</v>
      </c>
      <c r="B416" s="49" t="str">
        <f>IFERROR(__xludf.DUMMYFUNCTION("""COMPUTED_VALUE"""),"Crafting Material, roll a d20 to see how many you get if this is a loot drop.")</f>
        <v>Crafting Material, roll a d20 to see how many you get if this is a loot drop.</v>
      </c>
      <c r="C416" s="49" t="str">
        <f>IFERROR(__xludf.DUMMYFUNCTION("""COMPUTED_VALUE"""),"Item")</f>
        <v>Item</v>
      </c>
    </row>
    <row r="417">
      <c r="A417" s="49" t="str">
        <f>IFERROR(__xludf.DUMMYFUNCTION("""COMPUTED_VALUE"""),"Ancient Stone Medallion")</f>
        <v>Ancient Stone Medallion</v>
      </c>
      <c r="B417" s="49" t="str">
        <f>IFERROR(__xludf.DUMMYFUNCTION("""COMPUTED_VALUE"""),"Allows access to the Ruins of Mana.")</f>
        <v>Allows access to the Ruins of Mana.</v>
      </c>
      <c r="C417" s="49" t="str">
        <f>IFERROR(__xludf.DUMMYFUNCTION("""COMPUTED_VALUE"""),"Item")</f>
        <v>Item</v>
      </c>
    </row>
    <row r="418">
      <c r="A418" s="49" t="str">
        <f>IFERROR(__xludf.DUMMYFUNCTION("""COMPUTED_VALUE"""),"Vial of Unknown Liquid")</f>
        <v>Vial of Unknown Liquid</v>
      </c>
      <c r="B418" s="49" t="str">
        <f>IFERROR(__xludf.DUMMYFUNCTION("""COMPUTED_VALUE"""),"When consumed, roll a d20. For the next 3 rounds, lose the result d20x100 health and gain the result d20x500SP.")</f>
        <v>When consumed, roll a d20. For the next 3 rounds, lose the result d20x100 health and gain the result d20x500SP.</v>
      </c>
      <c r="C418" s="49" t="str">
        <f>IFERROR(__xludf.DUMMYFUNCTION("""COMPUTED_VALUE"""),"Item")</f>
        <v>Item</v>
      </c>
    </row>
    <row r="419">
      <c r="A419" s="49" t="str">
        <f>IFERROR(__xludf.DUMMYFUNCTION("""COMPUTED_VALUE"""),"Diamond Fishing Pole ")</f>
        <v>Diamond Fishing Pole </v>
      </c>
      <c r="B419" s="49" t="str">
        <f>IFERROR(__xludf.DUMMYFUNCTION("""COMPUTED_VALUE"""),"100/100 Uses. Used for fishing.")</f>
        <v>100/100 Uses. Used for fishing.</v>
      </c>
      <c r="C419" s="49" t="str">
        <f>IFERROR(__xludf.DUMMYFUNCTION("""COMPUTED_VALUE"""),"Item")</f>
        <v>Item</v>
      </c>
    </row>
    <row r="420">
      <c r="A420" s="49" t="str">
        <f>IFERROR(__xludf.DUMMYFUNCTION("""COMPUTED_VALUE"""),"Obsidian Fishing Pole ")</f>
        <v>Obsidian Fishing Pole </v>
      </c>
      <c r="B420" s="49" t="str">
        <f>IFERROR(__xludf.DUMMYFUNCTION("""COMPUTED_VALUE"""),"120/120 Uses. Used for fishing.")</f>
        <v>120/120 Uses. Used for fishing.</v>
      </c>
      <c r="C420" s="49" t="str">
        <f>IFERROR(__xludf.DUMMYFUNCTION("""COMPUTED_VALUE"""),"Item")</f>
        <v>Item</v>
      </c>
    </row>
    <row r="421">
      <c r="A421" s="49" t="str">
        <f>IFERROR(__xludf.DUMMYFUNCTION("""COMPUTED_VALUE"""),"Golden Pickaxe")</f>
        <v>Golden Pickaxe</v>
      </c>
      <c r="B421" s="49" t="str">
        <f>IFERROR(__xludf.DUMMYFUNCTION("""COMPUTED_VALUE"""),"80/80 Uses. Used for mining.")</f>
        <v>80/80 Uses. Used for mining.</v>
      </c>
      <c r="C421" s="49" t="str">
        <f>IFERROR(__xludf.DUMMYFUNCTION("""COMPUTED_VALUE"""),"Item")</f>
        <v>Item</v>
      </c>
    </row>
    <row r="422">
      <c r="A422" s="49" t="str">
        <f>IFERROR(__xludf.DUMMYFUNCTION("""COMPUTED_VALUE"""),"Wooden Pickaxe")</f>
        <v>Wooden Pickaxe</v>
      </c>
      <c r="B422" s="49" t="str">
        <f>IFERROR(__xludf.DUMMYFUNCTION("""COMPUTED_VALUE"""),"10/10 Uses. Used for mining.")</f>
        <v>10/10 Uses. Used for mining.</v>
      </c>
      <c r="C422" s="49" t="str">
        <f>IFERROR(__xludf.DUMMYFUNCTION("""COMPUTED_VALUE"""),"Item")</f>
        <v>Item</v>
      </c>
    </row>
    <row r="423">
      <c r="A423" s="49" t="str">
        <f>IFERROR(__xludf.DUMMYFUNCTION("""COMPUTED_VALUE"""),"Iron Pickaxe")</f>
        <v>Iron Pickaxe</v>
      </c>
      <c r="B423" s="49" t="str">
        <f>IFERROR(__xludf.DUMMYFUNCTION("""COMPUTED_VALUE"""),"20/20 Uses. Used for mining.")</f>
        <v>20/20 Uses. Used for mining.</v>
      </c>
      <c r="C423" s="49" t="str">
        <f>IFERROR(__xludf.DUMMYFUNCTION("""COMPUTED_VALUE"""),"Item")</f>
        <v>Item</v>
      </c>
    </row>
    <row r="424">
      <c r="A424" s="49" t="str">
        <f>IFERROR(__xludf.DUMMYFUNCTION("""COMPUTED_VALUE"""),"Silver Pickaxe")</f>
        <v>Silver Pickaxe</v>
      </c>
      <c r="B424" s="49" t="str">
        <f>IFERROR(__xludf.DUMMYFUNCTION("""COMPUTED_VALUE"""),"60/60 Uses. Used for mining.")</f>
        <v>60/60 Uses. Used for mining.</v>
      </c>
      <c r="C424" s="49" t="str">
        <f>IFERROR(__xludf.DUMMYFUNCTION("""COMPUTED_VALUE"""),"Item")</f>
        <v>Item</v>
      </c>
    </row>
    <row r="425">
      <c r="A425" s="49" t="str">
        <f>IFERROR(__xludf.DUMMYFUNCTION("""COMPUTED_VALUE"""),"Diamond Pickaxe")</f>
        <v>Diamond Pickaxe</v>
      </c>
      <c r="B425" s="49" t="str">
        <f>IFERROR(__xludf.DUMMYFUNCTION("""COMPUTED_VALUE"""),"100/100 Uses. Used for mining.")</f>
        <v>100/100 Uses. Used for mining.</v>
      </c>
      <c r="C425" s="49" t="str">
        <f>IFERROR(__xludf.DUMMYFUNCTION("""COMPUTED_VALUE"""),"Item")</f>
        <v>Item</v>
      </c>
    </row>
    <row r="426">
      <c r="A426" s="49" t="str">
        <f>IFERROR(__xludf.DUMMYFUNCTION("""COMPUTED_VALUE"""),"Obsidian Pickaxe")</f>
        <v>Obsidian Pickaxe</v>
      </c>
      <c r="B426" s="49" t="str">
        <f>IFERROR(__xludf.DUMMYFUNCTION("""COMPUTED_VALUE"""),"120/120 Uses. Used for mining.")</f>
        <v>120/120 Uses. Used for mining.</v>
      </c>
      <c r="C426" s="49" t="str">
        <f>IFERROR(__xludf.DUMMYFUNCTION("""COMPUTED_VALUE"""),"Item")</f>
        <v>Item</v>
      </c>
    </row>
    <row r="427">
      <c r="A427" s="49" t="str">
        <f>IFERROR(__xludf.DUMMYFUNCTION("""COMPUTED_VALUE"""),"Fire Fishing Pole ")</f>
        <v>Fire Fishing Pole </v>
      </c>
      <c r="B427" s="49" t="str">
        <f>IFERROR(__xludf.DUMMYFUNCTION("""COMPUTED_VALUE"""),"Made out of Iron. 20/20 Uses. Will cook fish caught giving them an additional hunger. Used for fishing.")</f>
        <v>Made out of Iron. 20/20 Uses. Will cook fish caught giving them an additional hunger. Used for fishing.</v>
      </c>
      <c r="C427" s="49" t="str">
        <f>IFERROR(__xludf.DUMMYFUNCTION("""COMPUTED_VALUE"""),"Crop")</f>
        <v>Crop</v>
      </c>
    </row>
    <row r="428">
      <c r="A428" s="49" t="str">
        <f>IFERROR(__xludf.DUMMYFUNCTION("""COMPUTED_VALUE"""),"Golden Fishing Pole ")</f>
        <v>Golden Fishing Pole </v>
      </c>
      <c r="B428" s="49" t="str">
        <f>IFERROR(__xludf.DUMMYFUNCTION("""COMPUTED_VALUE"""),"80/80 uses. Used for fishing.")</f>
        <v>80/80 uses. Used for fishing.</v>
      </c>
      <c r="C428" s="49" t="str">
        <f>IFERROR(__xludf.DUMMYFUNCTION("""COMPUTED_VALUE"""),"Item")</f>
        <v>Item</v>
      </c>
    </row>
    <row r="429">
      <c r="A429" s="49" t="str">
        <f>IFERROR(__xludf.DUMMYFUNCTION("""COMPUTED_VALUE"""),"Wooden Fishing Pole ")</f>
        <v>Wooden Fishing Pole </v>
      </c>
      <c r="B429" s="49" t="str">
        <f>IFERROR(__xludf.DUMMYFUNCTION("""COMPUTED_VALUE"""),"10/10 uses. Used for fishing.")</f>
        <v>10/10 uses. Used for fishing.</v>
      </c>
      <c r="C429" s="49" t="str">
        <f>IFERROR(__xludf.DUMMYFUNCTION("""COMPUTED_VALUE"""),"Item")</f>
        <v>Item</v>
      </c>
    </row>
    <row r="430">
      <c r="A430" s="49" t="str">
        <f>IFERROR(__xludf.DUMMYFUNCTION("""COMPUTED_VALUE"""),"Steel Fishing Pole ")</f>
        <v>Steel Fishing Pole </v>
      </c>
      <c r="B430" s="49" t="str">
        <f>IFERROR(__xludf.DUMMYFUNCTION("""COMPUTED_VALUE"""),"40/40 Uses. Used for fishing.")</f>
        <v>40/40 Uses. Used for fishing.</v>
      </c>
      <c r="C430" s="49" t="str">
        <f>IFERROR(__xludf.DUMMYFUNCTION("""COMPUTED_VALUE"""),"Item")</f>
        <v>Item</v>
      </c>
    </row>
    <row r="431">
      <c r="A431" s="49" t="str">
        <f>IFERROR(__xludf.DUMMYFUNCTION("""COMPUTED_VALUE"""),"Silver Fishing Pole ")</f>
        <v>Silver Fishing Pole </v>
      </c>
      <c r="B431" s="49" t="str">
        <f>IFERROR(__xludf.DUMMYFUNCTION("""COMPUTED_VALUE"""),"60/60 Uses. Used for fishing.")</f>
        <v>60/60 Uses. Used for fishing.</v>
      </c>
      <c r="C431" s="49" t="str">
        <f>IFERROR(__xludf.DUMMYFUNCTION("""COMPUTED_VALUE"""),"Item")</f>
        <v>Item</v>
      </c>
    </row>
    <row r="432">
      <c r="A432" s="49" t="str">
        <f>IFERROR(__xludf.DUMMYFUNCTION("""COMPUTED_VALUE"""),"Iron Fishing Pole ")</f>
        <v>Iron Fishing Pole </v>
      </c>
      <c r="B432" s="49" t="str">
        <f>IFERROR(__xludf.DUMMYFUNCTION("""COMPUTED_VALUE"""),"20/20 Uses. Used for fishing.")</f>
        <v>20/20 Uses. Used for fishing.</v>
      </c>
      <c r="C432" s="49" t="str">
        <f>IFERROR(__xludf.DUMMYFUNCTION("""COMPUTED_VALUE"""),"Item")</f>
        <v>Item</v>
      </c>
    </row>
    <row r="433">
      <c r="A433" s="49" t="str">
        <f>IFERROR(__xludf.DUMMYFUNCTION("""COMPUTED_VALUE"""),"Elemental Crystal")</f>
        <v>Elemental Crystal</v>
      </c>
      <c r="B433" s="49" t="str">
        <f>IFERROR(__xludf.DUMMYFUNCTION("""COMPUTED_VALUE"""),"Crafting Material, roll a d20 to see how many you get if this is a loot drop.")</f>
        <v>Crafting Material, roll a d20 to see how many you get if this is a loot drop.</v>
      </c>
      <c r="C433" s="49" t="str">
        <f>IFERROR(__xludf.DUMMYFUNCTION("""COMPUTED_VALUE"""),"Item")</f>
        <v>Item</v>
      </c>
    </row>
    <row r="434">
      <c r="A434" s="49" t="str">
        <f>IFERROR(__xludf.DUMMYFUNCTION("""COMPUTED_VALUE"""),"Leather")</f>
        <v>Leather</v>
      </c>
      <c r="B434" s="49" t="str">
        <f>IFERROR(__xludf.DUMMYFUNCTION("""COMPUTED_VALUE"""),"Crafting Material, roll a d20 to see how many you get if this is a loot drop.")</f>
        <v>Crafting Material, roll a d20 to see how many you get if this is a loot drop.</v>
      </c>
      <c r="C434" s="49" t="str">
        <f>IFERROR(__xludf.DUMMYFUNCTION("""COMPUTED_VALUE"""),"Item")</f>
        <v>Item</v>
      </c>
    </row>
    <row r="435">
      <c r="A435" s="49" t="str">
        <f>IFERROR(__xludf.DUMMYFUNCTION("""COMPUTED_VALUE"""),"Pearlescent Fishing Rod ")</f>
        <v>Pearlescent Fishing Rod </v>
      </c>
      <c r="B435" s="49" t="str">
        <f>IFERROR(__xludf.DUMMYFUNCTION("""COMPUTED_VALUE"""),"Allows lava fishing, Unbreakable.")</f>
        <v>Allows lava fishing, Unbreakable.</v>
      </c>
      <c r="C435" s="49" t="str">
        <f>IFERROR(__xludf.DUMMYFUNCTION("""COMPUTED_VALUE"""),"Item")</f>
        <v>Item</v>
      </c>
    </row>
    <row r="436">
      <c r="A436" s="49" t="str">
        <f>IFERROR(__xludf.DUMMYFUNCTION("""COMPUTED_VALUE"""),"Mithril")</f>
        <v>Mithril</v>
      </c>
      <c r="B436" s="49"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49" t="str">
        <f>IFERROR(__xludf.DUMMYFUNCTION("""COMPUTED_VALUE"""),"Item")</f>
        <v>Item</v>
      </c>
    </row>
    <row r="437">
      <c r="A437" s="49" t="str">
        <f>IFERROR(__xludf.DUMMYFUNCTION("""COMPUTED_VALUE"""),"Enchanted Leather")</f>
        <v>Enchanted Leather</v>
      </c>
      <c r="B437" s="49" t="str">
        <f>IFERROR(__xludf.DUMMYFUNCTION("""COMPUTED_VALUE"""),"Crafting Material, roll a d20 to see how many you get if this is a loot drop.")</f>
        <v>Crafting Material, roll a d20 to see how many you get if this is a loot drop.</v>
      </c>
      <c r="C437" s="49" t="str">
        <f>IFERROR(__xludf.DUMMYFUNCTION("""COMPUTED_VALUE"""),"Item")</f>
        <v>Item</v>
      </c>
    </row>
    <row r="438">
      <c r="A438" s="49" t="str">
        <f>IFERROR(__xludf.DUMMYFUNCTION("""COMPUTED_VALUE"""),"Dart")</f>
        <v>Dart</v>
      </c>
      <c r="B438" s="49" t="str">
        <f>IFERROR(__xludf.DUMMYFUNCTION("""COMPUTED_VALUE"""),"Ammo")</f>
        <v>Ammo</v>
      </c>
      <c r="C438" s="49" t="str">
        <f>IFERROR(__xludf.DUMMYFUNCTION("""COMPUTED_VALUE"""),"Item")</f>
        <v>Item</v>
      </c>
    </row>
    <row r="439">
      <c r="A439" s="49" t="str">
        <f>IFERROR(__xludf.DUMMYFUNCTION("""COMPUTED_VALUE"""),"Golden Coin")</f>
        <v>Golden Coin</v>
      </c>
      <c r="B439" s="49"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49" t="str">
        <f>IFERROR(__xludf.DUMMYFUNCTION("""COMPUTED_VALUE"""),"Item")</f>
        <v>Item</v>
      </c>
    </row>
    <row r="440">
      <c r="A440" s="49" t="str">
        <f>IFERROR(__xludf.DUMMYFUNCTION("""COMPUTED_VALUE"""),"Oil lamp")</f>
        <v>Oil lamp</v>
      </c>
      <c r="B440" s="49" t="str">
        <f>IFERROR(__xludf.DUMMYFUNCTION("""COMPUTED_VALUE"""),"Illuminates your path or any room your in")</f>
        <v>Illuminates your path or any room your in</v>
      </c>
      <c r="C440" s="49" t="str">
        <f>IFERROR(__xludf.DUMMYFUNCTION("""COMPUTED_VALUE"""),"Item")</f>
        <v>Item</v>
      </c>
    </row>
    <row r="441">
      <c r="A441" s="49" t="str">
        <f>IFERROR(__xludf.DUMMYFUNCTION("""COMPUTED_VALUE"""),"Seed")</f>
        <v>Seed</v>
      </c>
      <c r="B441" s="49" t="str">
        <f>IFERROR(__xludf.DUMMYFUNCTION("""COMPUTED_VALUE"""),"Can harvest in X/X days.")</f>
        <v>Can harvest in X/X days.</v>
      </c>
      <c r="C441" s="49" t="str">
        <f>IFERROR(__xludf.DUMMYFUNCTION("""COMPUTED_VALUE"""),"Item")</f>
        <v>Item</v>
      </c>
    </row>
    <row r="442">
      <c r="A442" s="49" t="str">
        <f>IFERROR(__xludf.DUMMYFUNCTION("""COMPUTED_VALUE"""),"Potion of Cure Disease")</f>
        <v>Potion of Cure Disease</v>
      </c>
      <c r="B442" s="49" t="str">
        <f>IFERROR(__xludf.DUMMYFUNCTION("""COMPUTED_VALUE"""),"Disease Antidote.")</f>
        <v>Disease Antidote.</v>
      </c>
      <c r="C442" s="49" t="str">
        <f>IFERROR(__xludf.DUMMYFUNCTION("""COMPUTED_VALUE"""),"Item")</f>
        <v>Item</v>
      </c>
    </row>
    <row r="443">
      <c r="A443" s="49" t="str">
        <f>IFERROR(__xludf.DUMMYFUNCTION("""COMPUTED_VALUE"""),"Poison Vial")</f>
        <v>Poison Vial</v>
      </c>
      <c r="B443" s="49" t="str">
        <f>IFERROR(__xludf.DUMMYFUNCTION("""COMPUTED_VALUE"""),"Using this will make all your weapon or natural attacks inflict an enemy with Poison 500 for 3 rounds.")</f>
        <v>Using this will make all your weapon or natural attacks inflict an enemy with Poison 500 for 3 rounds.</v>
      </c>
      <c r="C443" s="49" t="str">
        <f>IFERROR(__xludf.DUMMYFUNCTION("""COMPUTED_VALUE"""),"Item")</f>
        <v>Item</v>
      </c>
    </row>
    <row r="444">
      <c r="A444" s="49" t="str">
        <f>IFERROR(__xludf.DUMMYFUNCTION("""COMPUTED_VALUE"""),"Stag Meat")</f>
        <v>Stag Meat</v>
      </c>
      <c r="B444" s="49" t="str">
        <f>IFERROR(__xludf.DUMMYFUNCTION("""COMPUTED_VALUE"""),"Restores 20 hunger")</f>
        <v>Restores 20 hunger</v>
      </c>
      <c r="C444" s="49" t="str">
        <f>IFERROR(__xludf.DUMMYFUNCTION("""COMPUTED_VALUE"""),"Crop")</f>
        <v>Crop</v>
      </c>
    </row>
    <row r="445">
      <c r="A445" s="49" t="str">
        <f>IFERROR(__xludf.DUMMYFUNCTION("""COMPUTED_VALUE"""),"Steed Meat")</f>
        <v>Steed Meat</v>
      </c>
      <c r="B445" s="49" t="str">
        <f>IFERROR(__xludf.DUMMYFUNCTION("""COMPUTED_VALUE"""),"Restores 20 hunger")</f>
        <v>Restores 20 hunger</v>
      </c>
      <c r="C445" s="49" t="str">
        <f>IFERROR(__xludf.DUMMYFUNCTION("""COMPUTED_VALUE"""),"Crop")</f>
        <v>Crop</v>
      </c>
    </row>
    <row r="446">
      <c r="A446" s="49" t="str">
        <f>IFERROR(__xludf.DUMMYFUNCTION("""COMPUTED_VALUE"""),"Moonstone")</f>
        <v>Moonstone</v>
      </c>
      <c r="B446" s="49" t="str">
        <f>IFERROR(__xludf.DUMMYFUNCTION("""COMPUTED_VALUE"""),"Crafting Material, roll a d20 to see how many you get if this is a loot drop.")</f>
        <v>Crafting Material, roll a d20 to see how many you get if this is a loot drop.</v>
      </c>
      <c r="C446" s="49" t="str">
        <f>IFERROR(__xludf.DUMMYFUNCTION("""COMPUTED_VALUE"""),"Item")</f>
        <v>Item</v>
      </c>
    </row>
    <row r="447">
      <c r="A447" s="49" t="str">
        <f>IFERROR(__xludf.DUMMYFUNCTION("""COMPUTED_VALUE"""),"Sunstone")</f>
        <v>Sunstone</v>
      </c>
      <c r="B447" s="49" t="str">
        <f>IFERROR(__xludf.DUMMYFUNCTION("""COMPUTED_VALUE"""),"Crafting Material, roll a d20 to see how many you get if this is a loot drop.")</f>
        <v>Crafting Material, roll a d20 to see how many you get if this is a loot drop.</v>
      </c>
      <c r="C447" s="49" t="str">
        <f>IFERROR(__xludf.DUMMYFUNCTION("""COMPUTED_VALUE"""),"Item")</f>
        <v>Item</v>
      </c>
    </row>
    <row r="448">
      <c r="A448" s="49" t="str">
        <f>IFERROR(__xludf.DUMMYFUNCTION("""COMPUTED_VALUE"""),"Tier 1 Treasure Chest (Non-Magical)")</f>
        <v>Tier 1 Treasure Chest (Non-Magical)</v>
      </c>
      <c r="B448" s="49" t="str">
        <f>IFERROR(__xludf.DUMMYFUNCTION("""COMPUTED_VALUE"""),"Requires a Treasure Chest key to open")</f>
        <v>Requires a Treasure Chest key to open</v>
      </c>
      <c r="C448" s="49" t="str">
        <f>IFERROR(__xludf.DUMMYFUNCTION("""COMPUTED_VALUE"""),"Item")</f>
        <v>Item</v>
      </c>
    </row>
    <row r="449">
      <c r="A449" s="49" t="str">
        <f>IFERROR(__xludf.DUMMYFUNCTION("""COMPUTED_VALUE"""),"Tier 2 Treasure Chest (Non-Magical)")</f>
        <v>Tier 2 Treasure Chest (Non-Magical)</v>
      </c>
      <c r="B449" s="49" t="str">
        <f>IFERROR(__xludf.DUMMYFUNCTION("""COMPUTED_VALUE"""),"Requires a Treasure Chest key to open")</f>
        <v>Requires a Treasure Chest key to open</v>
      </c>
      <c r="C449" s="49" t="str">
        <f>IFERROR(__xludf.DUMMYFUNCTION("""COMPUTED_VALUE"""),"Item")</f>
        <v>Item</v>
      </c>
    </row>
    <row r="450">
      <c r="A450" s="49" t="str">
        <f>IFERROR(__xludf.DUMMYFUNCTION("""COMPUTED_VALUE"""),"Tier 3 Treasure Chest (Non-Magical)")</f>
        <v>Tier 3 Treasure Chest (Non-Magical)</v>
      </c>
      <c r="B450" s="49" t="str">
        <f>IFERROR(__xludf.DUMMYFUNCTION("""COMPUTED_VALUE"""),"Requires a Treasure Chest key to open")</f>
        <v>Requires a Treasure Chest key to open</v>
      </c>
      <c r="C450" s="49" t="str">
        <f>IFERROR(__xludf.DUMMYFUNCTION("""COMPUTED_VALUE"""),"Item")</f>
        <v>Item</v>
      </c>
    </row>
    <row r="451">
      <c r="A451" s="49" t="str">
        <f>IFERROR(__xludf.DUMMYFUNCTION("""COMPUTED_VALUE"""),"Treasure Chest Key (Non-Magical)")</f>
        <v>Treasure Chest Key (Non-Magical)</v>
      </c>
      <c r="B451" s="49" t="str">
        <f>IFERROR(__xludf.DUMMYFUNCTION("""COMPUTED_VALUE"""),"Unlocks Tier 1-3 Treasure Chests.")</f>
        <v>Unlocks Tier 1-3 Treasure Chests.</v>
      </c>
      <c r="C451" s="49" t="str">
        <f>IFERROR(__xludf.DUMMYFUNCTION("""COMPUTED_VALUE"""),"Item")</f>
        <v>Item</v>
      </c>
    </row>
    <row r="452">
      <c r="A452" s="49" t="str">
        <f>IFERROR(__xludf.DUMMYFUNCTION("""COMPUTED_VALUE"""),"Random Dragon Egg")</f>
        <v>Random Dragon Egg</v>
      </c>
      <c r="B452" s="49" t="str">
        <f>IFERROR(__xludf.DUMMYFUNCTION("""COMPUTED_VALUE"""),"determined by DM/GM")</f>
        <v>determined by DM/GM</v>
      </c>
      <c r="C452" s="49" t="str">
        <f>IFERROR(__xludf.DUMMYFUNCTION("""COMPUTED_VALUE"""),"Item")</f>
        <v>Item</v>
      </c>
    </row>
    <row r="453">
      <c r="A453" s="49" t="str">
        <f>IFERROR(__xludf.DUMMYFUNCTION("""COMPUTED_VALUE"""),"Poisoned Bolts")</f>
        <v>Poisoned Bolts</v>
      </c>
      <c r="B453" s="49" t="str">
        <f>IFERROR(__xludf.DUMMYFUNCTION("""COMPUTED_VALUE"""),"+5000 poison damage per round for 3 rounds")</f>
        <v>+5000 poison damage per round for 3 rounds</v>
      </c>
      <c r="C453" s="49" t="str">
        <f>IFERROR(__xludf.DUMMYFUNCTION("""COMPUTED_VALUE"""),"Item")</f>
        <v>Item</v>
      </c>
    </row>
    <row r="454">
      <c r="A454" s="49" t="str">
        <f>IFERROR(__xludf.DUMMYFUNCTION("""COMPUTED_VALUE"""),"Standard Missile")</f>
        <v>Standard Missile</v>
      </c>
      <c r="B454" s="49"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49" t="str">
        <f>IFERROR(__xludf.DUMMYFUNCTION("""COMPUTED_VALUE"""),"Item")</f>
        <v>Item</v>
      </c>
    </row>
    <row r="455">
      <c r="A455" s="49" t="str">
        <f>IFERROR(__xludf.DUMMYFUNCTION("""COMPUTED_VALUE"""),"Nuclear Missile")</f>
        <v>Nuclear Missile</v>
      </c>
      <c r="B455" s="49"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49" t="str">
        <f>IFERROR(__xludf.DUMMYFUNCTION("""COMPUTED_VALUE"""),"Item")</f>
        <v>Item</v>
      </c>
    </row>
    <row r="456">
      <c r="A456" s="49" t="str">
        <f>IFERROR(__xludf.DUMMYFUNCTION("""COMPUTED_VALUE"""),"EMP Missile")</f>
        <v>EMP Missile</v>
      </c>
      <c r="B456" s="49"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49" t="str">
        <f>IFERROR(__xludf.DUMMYFUNCTION("""COMPUTED_VALUE"""),"Item")</f>
        <v>Item</v>
      </c>
    </row>
    <row r="457">
      <c r="A457" s="49" t="str">
        <f>IFERROR(__xludf.DUMMYFUNCTION("""COMPUTED_VALUE"""),"Chaos Bullet")</f>
        <v>Chaos Bullet</v>
      </c>
      <c r="B457" s="49" t="str">
        <f>IFERROR(__xludf.DUMMYFUNCTION("""COMPUTED_VALUE"""),"Firearm Ammunition. +100 chaos damage. roll a d20 to see how many you get if this is a loot drop.")</f>
        <v>Firearm Ammunition. +100 chaos damage. roll a d20 to see how many you get if this is a loot drop.</v>
      </c>
      <c r="C457" s="49" t="str">
        <f>IFERROR(__xludf.DUMMYFUNCTION("""COMPUTED_VALUE"""),"Item")</f>
        <v>Item</v>
      </c>
    </row>
    <row r="458">
      <c r="A458" s="49" t="str">
        <f>IFERROR(__xludf.DUMMYFUNCTION("""COMPUTED_VALUE"""),"Dark Bullet")</f>
        <v>Dark Bullet</v>
      </c>
      <c r="B458" s="49" t="str">
        <f>IFERROR(__xludf.DUMMYFUNCTION("""COMPUTED_VALUE"""),"Firearm Ammunition. +100 dark damage. roll a d20 to see how many you get if this is a loot drop.")</f>
        <v>Firearm Ammunition. +100 dark damage. roll a d20 to see how many you get if this is a loot drop.</v>
      </c>
      <c r="C458" s="49" t="str">
        <f>IFERROR(__xludf.DUMMYFUNCTION("""COMPUTED_VALUE"""),"Item")</f>
        <v>Item</v>
      </c>
    </row>
    <row r="459">
      <c r="A459" s="49" t="str">
        <f>IFERROR(__xludf.DUMMYFUNCTION("""COMPUTED_VALUE"""),"Earth Bullet")</f>
        <v>Earth Bullet</v>
      </c>
      <c r="B459" s="49" t="str">
        <f>IFERROR(__xludf.DUMMYFUNCTION("""COMPUTED_VALUE"""),"Firearm Ammunition. +100 earth damage. roll a d20 to see how many you get if this is a loot drop.")</f>
        <v>Firearm Ammunition. +100 earth damage. roll a d20 to see how many you get if this is a loot drop.</v>
      </c>
      <c r="C459" s="49" t="str">
        <f>IFERROR(__xludf.DUMMYFUNCTION("""COMPUTED_VALUE"""),"Item")</f>
        <v>Item</v>
      </c>
    </row>
    <row r="460">
      <c r="A460" s="49" t="str">
        <f>IFERROR(__xludf.DUMMYFUNCTION("""COMPUTED_VALUE"""),"Fire Bullet")</f>
        <v>Fire Bullet</v>
      </c>
      <c r="B460" s="49" t="str">
        <f>IFERROR(__xludf.DUMMYFUNCTION("""COMPUTED_VALUE"""),"Firearm Ammunition. +100 fire damage. roll a d20 to see how many you get if this is a loot drop.")</f>
        <v>Firearm Ammunition. +100 fire damage. roll a d20 to see how many you get if this is a loot drop.</v>
      </c>
      <c r="C460" s="49" t="str">
        <f>IFERROR(__xludf.DUMMYFUNCTION("""COMPUTED_VALUE"""),"Item")</f>
        <v>Item</v>
      </c>
    </row>
    <row r="461">
      <c r="A461" s="49" t="str">
        <f>IFERROR(__xludf.DUMMYFUNCTION("""COMPUTED_VALUE"""),"Light Bullet")</f>
        <v>Light Bullet</v>
      </c>
      <c r="B461" s="49" t="str">
        <f>IFERROR(__xludf.DUMMYFUNCTION("""COMPUTED_VALUE"""),"Firearm Ammunition. +100 light damage. roll a d20 to see how many you get if this is a loot drop.")</f>
        <v>Firearm Ammunition. +100 light damage. roll a d20 to see how many you get if this is a loot drop.</v>
      </c>
      <c r="C461" s="49" t="str">
        <f>IFERROR(__xludf.DUMMYFUNCTION("""COMPUTED_VALUE"""),"Item")</f>
        <v>Item</v>
      </c>
    </row>
    <row r="462">
      <c r="A462" s="49" t="str">
        <f>IFERROR(__xludf.DUMMYFUNCTION("""COMPUTED_VALUE"""),"Spectral Bullet")</f>
        <v>Spectral Bullet</v>
      </c>
      <c r="B462" s="49" t="str">
        <f>IFERROR(__xludf.DUMMYFUNCTION("""COMPUTED_VALUE"""),"Firearm Ammunition. +100 spirit damage. roll a d20 to see how many you get if this is a loot drop.")</f>
        <v>Firearm Ammunition. +100 spirit damage. roll a d20 to see how many you get if this is a loot drop.</v>
      </c>
      <c r="C462" s="49" t="str">
        <f>IFERROR(__xludf.DUMMYFUNCTION("""COMPUTED_VALUE"""),"Item")</f>
        <v>Item</v>
      </c>
    </row>
    <row r="463">
      <c r="A463" s="49" t="str">
        <f>IFERROR(__xludf.DUMMYFUNCTION("""COMPUTED_VALUE"""),"Stunning Bullet")</f>
        <v>Stunning Bullet</v>
      </c>
      <c r="B463" s="49"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49" t="str">
        <f>IFERROR(__xludf.DUMMYFUNCTION("""COMPUTED_VALUE"""),"Item")</f>
        <v>Item</v>
      </c>
    </row>
    <row r="464">
      <c r="A464" s="49" t="str">
        <f>IFERROR(__xludf.DUMMYFUNCTION("""COMPUTED_VALUE"""),"Freezing Bullet")</f>
        <v>Freezing Bullet</v>
      </c>
      <c r="B464" s="49"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49" t="str">
        <f>IFERROR(__xludf.DUMMYFUNCTION("""COMPUTED_VALUE"""),"Item")</f>
        <v>Item</v>
      </c>
    </row>
    <row r="465">
      <c r="A465" s="49" t="str">
        <f>IFERROR(__xludf.DUMMYFUNCTION("""COMPUTED_VALUE"""),"Healing Bullet")</f>
        <v>Healing Bullet</v>
      </c>
      <c r="B465" s="49"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49" t="str">
        <f>IFERROR(__xludf.DUMMYFUNCTION("""COMPUTED_VALUE"""),"Item")</f>
        <v>Item</v>
      </c>
    </row>
    <row r="466">
      <c r="A466" s="49" t="str">
        <f>IFERROR(__xludf.DUMMYFUNCTION("""COMPUTED_VALUE"""),"Celestial Arrow")</f>
        <v>Celestial Arrow</v>
      </c>
      <c r="B466" s="49" t="str">
        <f>IFERROR(__xludf.DUMMYFUNCTION("""COMPUTED_VALUE"""),"Bow Ammunition. +500 celestial damage. roll a d20 to see how many you get if this is a loot drop.")</f>
        <v>Bow Ammunition. +500 celestial damage. roll a d20 to see how many you get if this is a loot drop.</v>
      </c>
      <c r="C466" s="49" t="str">
        <f>IFERROR(__xludf.DUMMYFUNCTION("""COMPUTED_VALUE"""),"Item")</f>
        <v>Item</v>
      </c>
    </row>
    <row r="467">
      <c r="A467" s="49" t="str">
        <f>IFERROR(__xludf.DUMMYFUNCTION("""COMPUTED_VALUE"""),"Chaos Arrow")</f>
        <v>Chaos Arrow</v>
      </c>
      <c r="B467" s="49" t="str">
        <f>IFERROR(__xludf.DUMMYFUNCTION("""COMPUTED_VALUE"""),"Bow Ammunition. +500 chaos damage. roll a d20 to see how many you get if this is a loot drop.")</f>
        <v>Bow Ammunition. +500 chaos damage. roll a d20 to see how many you get if this is a loot drop.</v>
      </c>
      <c r="C467" s="49" t="str">
        <f>IFERROR(__xludf.DUMMYFUNCTION("""COMPUTED_VALUE"""),"Item")</f>
        <v>Item</v>
      </c>
    </row>
    <row r="468">
      <c r="A468" s="49" t="str">
        <f>IFERROR(__xludf.DUMMYFUNCTION("""COMPUTED_VALUE"""),"Dark Arrow")</f>
        <v>Dark Arrow</v>
      </c>
      <c r="B468" s="49" t="str">
        <f>IFERROR(__xludf.DUMMYFUNCTION("""COMPUTED_VALUE"""),"Bow Ammunition. +500 dark damage. roll a d20 to see how many you get if this is a loot drop.")</f>
        <v>Bow Ammunition. +500 dark damage. roll a d20 to see how many you get if this is a loot drop.</v>
      </c>
      <c r="C468" s="49" t="str">
        <f>IFERROR(__xludf.DUMMYFUNCTION("""COMPUTED_VALUE"""),"Item")</f>
        <v>Item</v>
      </c>
    </row>
    <row r="469">
      <c r="A469" s="49" t="str">
        <f>IFERROR(__xludf.DUMMYFUNCTION("""COMPUTED_VALUE"""),"Earth Arrow")</f>
        <v>Earth Arrow</v>
      </c>
      <c r="B469" s="49" t="str">
        <f>IFERROR(__xludf.DUMMYFUNCTION("""COMPUTED_VALUE"""),"Bow Ammunition. +500 earth damage. roll a d20 to see how many you get if this is a loot drop.")</f>
        <v>Bow Ammunition. +500 earth damage. roll a d20 to see how many you get if this is a loot drop.</v>
      </c>
      <c r="C469" s="49" t="str">
        <f>IFERROR(__xludf.DUMMYFUNCTION("""COMPUTED_VALUE"""),"Item")</f>
        <v>Item</v>
      </c>
    </row>
    <row r="470">
      <c r="A470" s="49" t="str">
        <f>IFERROR(__xludf.DUMMYFUNCTION("""COMPUTED_VALUE"""),"Fire Arrow")</f>
        <v>Fire Arrow</v>
      </c>
      <c r="B470" s="49" t="str">
        <f>IFERROR(__xludf.DUMMYFUNCTION("""COMPUTED_VALUE"""),"Bow Ammunition. +500 fire damage. roll a d20 to see how many you get if this is a loot drop.")</f>
        <v>Bow Ammunition. +500 fire damage. roll a d20 to see how many you get if this is a loot drop.</v>
      </c>
      <c r="C470" s="49" t="str">
        <f>IFERROR(__xludf.DUMMYFUNCTION("""COMPUTED_VALUE"""),"Item")</f>
        <v>Item</v>
      </c>
    </row>
    <row r="471">
      <c r="A471" s="49" t="str">
        <f>IFERROR(__xludf.DUMMYFUNCTION("""COMPUTED_VALUE"""),"Light Arrow")</f>
        <v>Light Arrow</v>
      </c>
      <c r="B471" s="49" t="str">
        <f>IFERROR(__xludf.DUMMYFUNCTION("""COMPUTED_VALUE"""),"Bow Ammunition. +500 light damage. roll a d20 to see how many you get if this is a loot drop.")</f>
        <v>Bow Ammunition. +500 light damage. roll a d20 to see how many you get if this is a loot drop.</v>
      </c>
      <c r="C471" s="49" t="str">
        <f>IFERROR(__xludf.DUMMYFUNCTION("""COMPUTED_VALUE"""),"Item")</f>
        <v>Item</v>
      </c>
    </row>
    <row r="472">
      <c r="A472" s="49" t="str">
        <f>IFERROR(__xludf.DUMMYFUNCTION("""COMPUTED_VALUE"""),"Spectral Arrow")</f>
        <v>Spectral Arrow</v>
      </c>
      <c r="B472" s="49" t="str">
        <f>IFERROR(__xludf.DUMMYFUNCTION("""COMPUTED_VALUE"""),"Bow Ammunition. +500 spirit damage. roll a d20 to see how many you get if this is a loot drop.")</f>
        <v>Bow Ammunition. +500 spirit damage. roll a d20 to see how many you get if this is a loot drop.</v>
      </c>
      <c r="C472" s="49" t="str">
        <f>IFERROR(__xludf.DUMMYFUNCTION("""COMPUTED_VALUE"""),"Item")</f>
        <v>Item</v>
      </c>
    </row>
    <row r="473">
      <c r="A473" s="49" t="str">
        <f>IFERROR(__xludf.DUMMYFUNCTION("""COMPUTED_VALUE"""),"Stunning Arrow")</f>
        <v>Stunning Arrow</v>
      </c>
      <c r="B473" s="49"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49" t="str">
        <f>IFERROR(__xludf.DUMMYFUNCTION("""COMPUTED_VALUE"""),"Item")</f>
        <v>Item</v>
      </c>
    </row>
    <row r="474">
      <c r="A474" s="49" t="str">
        <f>IFERROR(__xludf.DUMMYFUNCTION("""COMPUTED_VALUE"""),"Freezing Arrow")</f>
        <v>Freezing Arrow</v>
      </c>
      <c r="B474" s="49"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49" t="str">
        <f>IFERROR(__xludf.DUMMYFUNCTION("""COMPUTED_VALUE"""),"Item")</f>
        <v>Item</v>
      </c>
    </row>
    <row r="475">
      <c r="A475" s="49" t="str">
        <f>IFERROR(__xludf.DUMMYFUNCTION("""COMPUTED_VALUE"""),"Healing Arrow")</f>
        <v>Healing Arrow</v>
      </c>
      <c r="B475" s="49"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49" t="str">
        <f>IFERROR(__xludf.DUMMYFUNCTION("""COMPUTED_VALUE"""),"Item")</f>
        <v>Item</v>
      </c>
    </row>
    <row r="476">
      <c r="A476" s="49" t="str">
        <f>IFERROR(__xludf.DUMMYFUNCTION("""COMPUTED_VALUE"""),"Celestial Bullet")</f>
        <v>Celestial Bullet</v>
      </c>
      <c r="B476" s="49" t="str">
        <f>IFERROR(__xludf.DUMMYFUNCTION("""COMPUTED_VALUE"""),"Firearm Ammunition. +100 celestial damage. roll a d20 to see how many you get if this is a loot drop.")</f>
        <v>Firearm Ammunition. +100 celestial damage. roll a d20 to see how many you get if this is a loot drop.</v>
      </c>
      <c r="C476" s="49" t="str">
        <f>IFERROR(__xludf.DUMMYFUNCTION("""COMPUTED_VALUE"""),"Item")</f>
        <v>Item</v>
      </c>
    </row>
    <row r="477">
      <c r="A477" s="49" t="str">
        <f>IFERROR(__xludf.DUMMYFUNCTION("""COMPUTED_VALUE"""),"Fire Cannon Ball")</f>
        <v>Fire Cannon Ball</v>
      </c>
      <c r="B477" s="49" t="str">
        <f>IFERROR(__xludf.DUMMYFUNCTION("""COMPUTED_VALUE"""),"Fireball Cannon Ammunition, +5000 fire damage. roll a d20 to see how many you get if this is a loot drop.")</f>
        <v>Fireball Cannon Ammunition, +5000 fire damage. roll a d20 to see how many you get if this is a loot drop.</v>
      </c>
      <c r="C477" s="49" t="str">
        <f>IFERROR(__xludf.DUMMYFUNCTION("""COMPUTED_VALUE"""),"Item")</f>
        <v>Item</v>
      </c>
    </row>
    <row r="478">
      <c r="A478" s="49" t="str">
        <f>IFERROR(__xludf.DUMMYFUNCTION("""COMPUTED_VALUE"""),"Torpedo")</f>
        <v>Torpedo</v>
      </c>
      <c r="B478" s="49" t="str">
        <f>IFERROR(__xludf.DUMMYFUNCTION("""COMPUTED_VALUE"""),"Torpedo Launcher Ammunition. +10,000 damage. roll a d20 to see how many you get if this is a loot drop.")</f>
        <v>Torpedo Launcher Ammunition. +10,000 damage. roll a d20 to see how many you get if this is a loot drop.</v>
      </c>
      <c r="C478" s="49" t="str">
        <f>IFERROR(__xludf.DUMMYFUNCTION("""COMPUTED_VALUE"""),"Item")</f>
        <v>Item</v>
      </c>
    </row>
    <row r="479">
      <c r="A479" s="49" t="str">
        <f>IFERROR(__xludf.DUMMYFUNCTION("""COMPUTED_VALUE"""),"Fragmentation Grenade")</f>
        <v>Fragmentation Grenade</v>
      </c>
      <c r="B479" s="49" t="str">
        <f>IFERROR(__xludf.DUMMYFUNCTION("""COMPUTED_VALUE"""),"Deals 10000 damage to all enemies.")</f>
        <v>Deals 10000 damage to all enemies.</v>
      </c>
      <c r="C479" s="49" t="str">
        <f>IFERROR(__xludf.DUMMYFUNCTION("""COMPUTED_VALUE"""),"Grenade")</f>
        <v>Grenade</v>
      </c>
    </row>
    <row r="480">
      <c r="A480" s="49" t="str">
        <f>IFERROR(__xludf.DUMMYFUNCTION("""COMPUTED_VALUE"""),"Flashbang")</f>
        <v>Flashbang</v>
      </c>
      <c r="B480" s="49" t="str">
        <f>IFERROR(__xludf.DUMMYFUNCTION("""COMPUTED_VALUE"""),"Deals 5000 Light damage and has a 15% chance to inflict Blindness 2 to all enemies.")</f>
        <v>Deals 5000 Light damage and has a 15% chance to inflict Blindness 2 to all enemies.</v>
      </c>
      <c r="C480" s="49" t="str">
        <f>IFERROR(__xludf.DUMMYFUNCTION("""COMPUTED_VALUE"""),"Grenade")</f>
        <v>Grenade</v>
      </c>
    </row>
    <row r="481">
      <c r="A481" s="49" t="str">
        <f>IFERROR(__xludf.DUMMYFUNCTION("""COMPUTED_VALUE"""),"Earth Golem Core")</f>
        <v>Earth Golem Core</v>
      </c>
      <c r="B481" s="49" t="str">
        <f>IFERROR(__xludf.DUMMYFUNCTION("""COMPUTED_VALUE"""),"Summons an Earth Golem to battle (Can only be used once)")</f>
        <v>Summons an Earth Golem to battle (Can only be used once)</v>
      </c>
      <c r="C481" s="49" t="str">
        <f>IFERROR(__xludf.DUMMYFUNCTION("""COMPUTED_VALUE"""),"Item")</f>
        <v>Item</v>
      </c>
    </row>
    <row r="482">
      <c r="A482" s="49" t="str">
        <f>IFERROR(__xludf.DUMMYFUNCTION("""COMPUTED_VALUE"""),"Nailbomb")</f>
        <v>Nailbomb</v>
      </c>
      <c r="B482" s="49" t="str">
        <f>IFERROR(__xludf.DUMMYFUNCTION("""COMPUTED_VALUE"""),"Deals 5000 bleed damage and has a 25% chance of inflicting bleed 2500 for 3 rounds to all enemies.")</f>
        <v>Deals 5000 bleed damage and has a 25% chance of inflicting bleed 2500 for 3 rounds to all enemies.</v>
      </c>
      <c r="C482" s="49" t="str">
        <f>IFERROR(__xludf.DUMMYFUNCTION("""COMPUTED_VALUE"""),"Grenade")</f>
        <v>Grenade</v>
      </c>
    </row>
    <row r="483">
      <c r="A483" s="49" t="str">
        <f>IFERROR(__xludf.DUMMYFUNCTION("""COMPUTED_VALUE"""),"Molotov")</f>
        <v>Molotov</v>
      </c>
      <c r="B483" s="49" t="str">
        <f>IFERROR(__xludf.DUMMYFUNCTION("""COMPUTED_VALUE"""),"Deals 5000 fire damage and has a 25% chance of inflicting burn 2500 for 3 rounds to all enemies.")</f>
        <v>Deals 5000 fire damage and has a 25% chance of inflicting burn 2500 for 3 rounds to all enemies.</v>
      </c>
      <c r="C483" s="49" t="str">
        <f>IFERROR(__xludf.DUMMYFUNCTION("""COMPUTED_VALUE"""),"Grenade")</f>
        <v>Grenade</v>
      </c>
    </row>
    <row r="484">
      <c r="A484" s="49" t="str">
        <f>IFERROR(__xludf.DUMMYFUNCTION("""COMPUTED_VALUE"""),"Smoke Bomb")</f>
        <v>Smoke Bomb</v>
      </c>
      <c r="B484" s="49" t="str">
        <f>IFERROR(__xludf.DUMMYFUNCTION("""COMPUTED_VALUE"""),"Conceals you and gives you +5 mobility when fleeing.")</f>
        <v>Conceals you and gives you +5 mobility when fleeing.</v>
      </c>
      <c r="C484" s="49" t="str">
        <f>IFERROR(__xludf.DUMMYFUNCTION("""COMPUTED_VALUE"""),"Grenade")</f>
        <v>Grenade</v>
      </c>
    </row>
    <row r="485">
      <c r="A485" s="49" t="str">
        <f>IFERROR(__xludf.DUMMYFUNCTION("""COMPUTED_VALUE"""),"Gas Grenade")</f>
        <v>Gas Grenade</v>
      </c>
      <c r="B485" s="49" t="str">
        <f>IFERROR(__xludf.DUMMYFUNCTION("""COMPUTED_VALUE"""),"Inflicts poison 5000 for 3 rounds to all enemies.")</f>
        <v>Inflicts poison 5000 for 3 rounds to all enemies.</v>
      </c>
      <c r="C485" s="49" t="str">
        <f>IFERROR(__xludf.DUMMYFUNCTION("""COMPUTED_VALUE"""),"Grenade")</f>
        <v>Grenade</v>
      </c>
    </row>
    <row r="486">
      <c r="A486" s="49" t="str">
        <f>IFERROR(__xludf.DUMMYFUNCTION("""COMPUTED_VALUE"""),"Booze Bomb")</f>
        <v>Booze Bomb</v>
      </c>
      <c r="B486" s="49" t="str">
        <f>IFERROR(__xludf.DUMMYFUNCTION("""COMPUTED_VALUE"""),"75% to inflict disoriented 5 to all enemies.")</f>
        <v>75% to inflict disoriented 5 to all enemies.</v>
      </c>
      <c r="C486" s="49" t="str">
        <f>IFERROR(__xludf.DUMMYFUNCTION("""COMPUTED_VALUE"""),"Grenade")</f>
        <v>Grenade</v>
      </c>
    </row>
    <row r="487">
      <c r="A487" s="49" t="str">
        <f>IFERROR(__xludf.DUMMYFUNCTION("""COMPUTED_VALUE"""),"Ice bomb")</f>
        <v>Ice bomb</v>
      </c>
      <c r="B487" s="49" t="str">
        <f>IFERROR(__xludf.DUMMYFUNCTION("""COMPUTED_VALUE"""),"50% chance to freeze targets to all enemies.")</f>
        <v>50% chance to freeze targets to all enemies.</v>
      </c>
      <c r="C487" s="49" t="str">
        <f>IFERROR(__xludf.DUMMYFUNCTION("""COMPUTED_VALUE"""),"Grenade")</f>
        <v>Grenade</v>
      </c>
    </row>
    <row r="488">
      <c r="A488" s="49" t="str">
        <f>IFERROR(__xludf.DUMMYFUNCTION("""COMPUTED_VALUE"""),"Holy Water")</f>
        <v>Holy Water</v>
      </c>
      <c r="B488" s="49" t="str">
        <f>IFERROR(__xludf.DUMMYFUNCTION("""COMPUTED_VALUE"""),"Deals 10000 Light Damage")</f>
        <v>Deals 10000 Light Damage</v>
      </c>
      <c r="C488" s="49" t="str">
        <f>IFERROR(__xludf.DUMMYFUNCTION("""COMPUTED_VALUE"""),"Grenade")</f>
        <v>Grenade</v>
      </c>
    </row>
    <row r="489">
      <c r="A489" s="49" t="str">
        <f>IFERROR(__xludf.DUMMYFUNCTION("""COMPUTED_VALUE"""),"Salve Grenade")</f>
        <v>Salve Grenade</v>
      </c>
      <c r="B489" s="49" t="str">
        <f>IFERROR(__xludf.DUMMYFUNCTION("""COMPUTED_VALUE"""),"Heals 2500 Hp")</f>
        <v>Heals 2500 Hp</v>
      </c>
      <c r="C489" s="49" t="str">
        <f>IFERROR(__xludf.DUMMYFUNCTION("""COMPUTED_VALUE"""),"Grenade")</f>
        <v>Grenade</v>
      </c>
    </row>
    <row r="490">
      <c r="A490" s="49" t="str">
        <f>IFERROR(__xludf.DUMMYFUNCTION("""COMPUTED_VALUE"""),"Potion of Banishment")</f>
        <v>Potion of Banishment</v>
      </c>
      <c r="B490" s="49" t="str">
        <f>IFERROR(__xludf.DUMMYFUNCTION("""COMPUTED_VALUE"""),"Banishes an enemy")</f>
        <v>Banishes an enemy</v>
      </c>
      <c r="C490" s="49" t="str">
        <f>IFERROR(__xludf.DUMMYFUNCTION("""COMPUTED_VALUE"""),"Item")</f>
        <v>Item</v>
      </c>
    </row>
    <row r="491">
      <c r="A491" s="49" t="str">
        <f>IFERROR(__xludf.DUMMYFUNCTION("""COMPUTED_VALUE"""),"Wooden Arrow")</f>
        <v>Wooden Arrow</v>
      </c>
      <c r="B491" s="49" t="str">
        <f>IFERROR(__xludf.DUMMYFUNCTION("""COMPUTED_VALUE"""),"Bow Ammunition +50 Damage. roll a d20 to see how many you get if this is a loot drop.")</f>
        <v>Bow Ammunition +50 Damage. roll a d20 to see how many you get if this is a loot drop.</v>
      </c>
      <c r="C491" s="49" t="str">
        <f>IFERROR(__xludf.DUMMYFUNCTION("""COMPUTED_VALUE"""),"Item")</f>
        <v>Item</v>
      </c>
    </row>
    <row r="492">
      <c r="A492" s="49" t="str">
        <f>IFERROR(__xludf.DUMMYFUNCTION("""COMPUTED_VALUE"""),"Bone Tipped Arrow")</f>
        <v>Bone Tipped Arrow</v>
      </c>
      <c r="B492" s="49" t="str">
        <f>IFERROR(__xludf.DUMMYFUNCTION("""COMPUTED_VALUE"""),"Bow Ammunition +250 Blood damage. roll a d20 to see how many you get if this is a loot drop")</f>
        <v>Bow Ammunition +250 Blood damage. roll a d20 to see how many you get if this is a loot drop</v>
      </c>
      <c r="C492" s="49" t="str">
        <f>IFERROR(__xludf.DUMMYFUNCTION("""COMPUTED_VALUE"""),"Item")</f>
        <v>Item</v>
      </c>
    </row>
    <row r="493">
      <c r="A493" s="49" t="str">
        <f>IFERROR(__xludf.DUMMYFUNCTION("""COMPUTED_VALUE"""),"Holy Arrow")</f>
        <v>Holy Arrow</v>
      </c>
      <c r="B493" s="49"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49" t="str">
        <f>IFERROR(__xludf.DUMMYFUNCTION("""COMPUTED_VALUE"""),"Item")</f>
        <v>Item</v>
      </c>
    </row>
    <row r="494">
      <c r="A494" s="49" t="str">
        <f>IFERROR(__xludf.DUMMYFUNCTION("""COMPUTED_VALUE"""),"Small Bang")</f>
        <v>Small Bang</v>
      </c>
      <c r="B494" s="49" t="str">
        <f>IFERROR(__xludf.DUMMYFUNCTION("""COMPUTED_VALUE"""),"500,000 Damage")</f>
        <v>500,000 Damage</v>
      </c>
      <c r="C494" s="49" t="str">
        <f>IFERROR(__xludf.DUMMYFUNCTION("""COMPUTED_VALUE"""),"Grenade")</f>
        <v>Grenade</v>
      </c>
    </row>
    <row r="495">
      <c r="A495" s="49" t="str">
        <f>IFERROR(__xludf.DUMMYFUNCTION("""COMPUTED_VALUE"""),"Dragon Burst")</f>
        <v>Dragon Burst</v>
      </c>
      <c r="B495" s="49" t="str">
        <f>IFERROR(__xludf.DUMMYFUNCTION("""COMPUTED_VALUE"""),"250,000 Damage")</f>
        <v>250,000 Damage</v>
      </c>
      <c r="C495" s="49" t="str">
        <f>IFERROR(__xludf.DUMMYFUNCTION("""COMPUTED_VALUE"""),"Grenade")</f>
        <v>Grenade</v>
      </c>
    </row>
    <row r="496">
      <c r="A496" s="49" t="str">
        <f>IFERROR(__xludf.DUMMYFUNCTION("""COMPUTED_VALUE"""),"Iguanian Assassin's Box")</f>
        <v>Iguanian Assassin's Box</v>
      </c>
      <c r="B496" s="49"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49" t="str">
        <f>IFERROR(__xludf.DUMMYFUNCTION("""COMPUTED_VALUE"""),"Item")</f>
        <v>Item</v>
      </c>
    </row>
    <row r="497">
      <c r="A497" s="49" t="str">
        <f>IFERROR(__xludf.DUMMYFUNCTION("""COMPUTED_VALUE"""),"Lizardfolk Warrior's Box")</f>
        <v>Lizardfolk Warrior's Box</v>
      </c>
      <c r="B497" s="49"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49" t="str">
        <f>IFERROR(__xludf.DUMMYFUNCTION("""COMPUTED_VALUE"""),"Item")</f>
        <v>Item</v>
      </c>
    </row>
    <row r="498">
      <c r="A498" s="49" t="str">
        <f>IFERROR(__xludf.DUMMYFUNCTION("""COMPUTED_VALUE"""),"Lizard Thief's Box")</f>
        <v>Lizard Thief's Box</v>
      </c>
      <c r="B498" s="49"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49" t="str">
        <f>IFERROR(__xludf.DUMMYFUNCTION("""COMPUTED_VALUE"""),"Item")</f>
        <v>Item</v>
      </c>
    </row>
    <row r="499">
      <c r="A499" s="49" t="str">
        <f>IFERROR(__xludf.DUMMYFUNCTION("""COMPUTED_VALUE"""),"Lizard Wizard's Box")</f>
        <v>Lizard Wizard's Box</v>
      </c>
      <c r="B499" s="49"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49" t="str">
        <f>IFERROR(__xludf.DUMMYFUNCTION("""COMPUTED_VALUE"""),"Item")</f>
        <v>Item</v>
      </c>
    </row>
    <row r="500">
      <c r="A500" s="49" t="str">
        <f>IFERROR(__xludf.DUMMYFUNCTION("""COMPUTED_VALUE"""),"Iguanian Brawler's Box")</f>
        <v>Iguanian Brawler's Box</v>
      </c>
      <c r="B500" s="49"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49" t="str">
        <f>IFERROR(__xludf.DUMMYFUNCTION("""COMPUTED_VALUE"""),"Item")</f>
        <v>Item</v>
      </c>
    </row>
    <row r="501">
      <c r="A501" s="49" t="str">
        <f>IFERROR(__xludf.DUMMYFUNCTION("""COMPUTED_VALUE"""),"Iguanian Mage's Box")</f>
        <v>Iguanian Mage's Box</v>
      </c>
      <c r="B501" s="49"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49" t="str">
        <f>IFERROR(__xludf.DUMMYFUNCTION("""COMPUTED_VALUE"""),"Item")</f>
        <v>Item</v>
      </c>
    </row>
    <row r="502">
      <c r="A502" s="49"/>
      <c r="B502" s="49"/>
      <c r="C502" s="49"/>
    </row>
    <row r="503">
      <c r="A503" s="49"/>
      <c r="B503" s="49"/>
      <c r="C503" s="49"/>
    </row>
    <row r="504">
      <c r="A504" s="49"/>
      <c r="B504" s="49"/>
      <c r="C504" s="49"/>
    </row>
    <row r="505">
      <c r="A505" s="49"/>
      <c r="B505" s="49"/>
      <c r="C505" s="49"/>
    </row>
    <row r="506">
      <c r="A506" s="49"/>
      <c r="B506" s="49"/>
      <c r="C506" s="49"/>
    </row>
    <row r="507">
      <c r="A507" s="49"/>
      <c r="B507" s="49"/>
      <c r="C507" s="49"/>
    </row>
    <row r="508">
      <c r="A508" s="49"/>
      <c r="B508" s="49"/>
      <c r="C508" s="49"/>
    </row>
    <row r="509">
      <c r="A509" s="49"/>
      <c r="B509" s="49"/>
      <c r="C509" s="49"/>
    </row>
    <row r="510">
      <c r="A510" s="49"/>
      <c r="B510" s="49"/>
      <c r="C510" s="49"/>
    </row>
    <row r="511">
      <c r="A511" s="49"/>
      <c r="B511" s="49"/>
      <c r="C511" s="49"/>
    </row>
    <row r="512">
      <c r="A512" s="49"/>
      <c r="B512" s="49"/>
      <c r="C512" s="49"/>
    </row>
    <row r="513">
      <c r="A513" s="49"/>
      <c r="B513" s="49"/>
      <c r="C513" s="49"/>
    </row>
    <row r="514">
      <c r="A514" s="49"/>
      <c r="B514" s="49"/>
      <c r="C514" s="49"/>
    </row>
    <row r="515">
      <c r="A515" s="49"/>
      <c r="B515" s="49"/>
      <c r="C515" s="49"/>
    </row>
    <row r="516">
      <c r="A516" s="49"/>
      <c r="B516" s="49"/>
      <c r="C516" s="49"/>
    </row>
    <row r="517">
      <c r="A517" s="49"/>
      <c r="B517" s="49"/>
      <c r="C517" s="49"/>
    </row>
    <row r="518">
      <c r="A518" s="49"/>
      <c r="B518" s="49"/>
      <c r="C518" s="49"/>
    </row>
    <row r="519">
      <c r="A519" s="49"/>
      <c r="B519" s="49"/>
      <c r="C519" s="49"/>
    </row>
    <row r="520">
      <c r="A520" s="49"/>
      <c r="B520" s="49"/>
      <c r="C520" s="49"/>
    </row>
    <row r="521">
      <c r="A521" s="49"/>
      <c r="B521" s="49"/>
      <c r="C521" s="49"/>
    </row>
    <row r="522">
      <c r="A522" s="49"/>
      <c r="B522" s="49"/>
      <c r="C522" s="49"/>
    </row>
    <row r="523">
      <c r="A523" s="49"/>
      <c r="B523" s="49"/>
      <c r="C523" s="49"/>
    </row>
    <row r="524">
      <c r="A524" s="49"/>
      <c r="B524" s="49"/>
      <c r="C524" s="49"/>
    </row>
    <row r="525">
      <c r="A525" s="49"/>
      <c r="B525" s="49"/>
      <c r="C525" s="49"/>
    </row>
    <row r="526">
      <c r="A526" s="49"/>
      <c r="B526" s="49"/>
      <c r="C526" s="49"/>
    </row>
    <row r="527">
      <c r="A527" s="49"/>
      <c r="B527" s="49"/>
      <c r="C527" s="49"/>
    </row>
    <row r="528">
      <c r="A528" s="49"/>
      <c r="B528" s="49"/>
      <c r="C528" s="49"/>
    </row>
    <row r="529">
      <c r="A529" s="49"/>
      <c r="B529" s="49"/>
      <c r="C529" s="49"/>
    </row>
    <row r="530">
      <c r="A530" s="49"/>
      <c r="B530" s="49"/>
      <c r="C530" s="49"/>
    </row>
    <row r="531">
      <c r="A531" s="49"/>
      <c r="B531" s="49"/>
      <c r="C531" s="49"/>
    </row>
    <row r="532">
      <c r="A532" s="49"/>
      <c r="B532" s="49"/>
      <c r="C532" s="49"/>
    </row>
    <row r="533">
      <c r="A533" s="49"/>
      <c r="B533" s="49"/>
      <c r="C533" s="49"/>
    </row>
    <row r="534">
      <c r="A534" s="49"/>
      <c r="B534" s="49"/>
      <c r="C534" s="49"/>
    </row>
    <row r="535">
      <c r="A535" s="49"/>
      <c r="B535" s="49"/>
      <c r="C535" s="49"/>
    </row>
    <row r="536">
      <c r="A536" s="49"/>
      <c r="B536" s="49"/>
      <c r="C536" s="49"/>
    </row>
    <row r="537">
      <c r="A537" s="49"/>
      <c r="B537" s="49"/>
      <c r="C537" s="49"/>
    </row>
    <row r="538">
      <c r="A538" s="49"/>
      <c r="B538" s="49"/>
      <c r="C538" s="49"/>
    </row>
    <row r="539">
      <c r="A539" s="49"/>
      <c r="B539" s="49"/>
      <c r="C539" s="49"/>
    </row>
    <row r="540">
      <c r="A540" s="49"/>
      <c r="B540" s="49"/>
      <c r="C540" s="49"/>
    </row>
    <row r="541">
      <c r="A541" s="49"/>
      <c r="B541" s="49"/>
      <c r="C541" s="49"/>
    </row>
    <row r="542">
      <c r="A542" s="49"/>
      <c r="B542" s="49"/>
      <c r="C542" s="49"/>
    </row>
    <row r="543">
      <c r="A543" s="49"/>
      <c r="B543" s="49"/>
      <c r="C543" s="49"/>
    </row>
    <row r="544">
      <c r="A544" s="49"/>
      <c r="B544" s="49"/>
      <c r="C544" s="49"/>
    </row>
    <row r="545">
      <c r="A545" s="49"/>
      <c r="B545" s="49"/>
      <c r="C545" s="49"/>
    </row>
    <row r="546">
      <c r="A546" s="49"/>
      <c r="B546" s="49"/>
      <c r="C546" s="49"/>
    </row>
    <row r="547">
      <c r="A547" s="49"/>
      <c r="B547" s="49"/>
      <c r="C547" s="49"/>
    </row>
    <row r="548">
      <c r="A548" s="49"/>
      <c r="B548" s="49"/>
      <c r="C548" s="49"/>
    </row>
    <row r="549">
      <c r="A549" s="49"/>
      <c r="B549" s="49"/>
      <c r="C549" s="49"/>
    </row>
    <row r="550">
      <c r="A550" s="49"/>
      <c r="B550" s="49"/>
      <c r="C550" s="49"/>
    </row>
    <row r="551">
      <c r="A551" s="49"/>
      <c r="B551" s="49"/>
      <c r="C551" s="49"/>
    </row>
    <row r="552">
      <c r="A552" s="49"/>
      <c r="B552" s="49"/>
      <c r="C552" s="49"/>
    </row>
    <row r="553">
      <c r="A553" s="49"/>
      <c r="B553" s="49"/>
      <c r="C553" s="49"/>
    </row>
    <row r="554">
      <c r="A554" s="49"/>
      <c r="B554" s="49"/>
      <c r="C554" s="49"/>
    </row>
    <row r="555">
      <c r="A555" s="49"/>
      <c r="B555" s="49"/>
      <c r="C555" s="49"/>
    </row>
    <row r="556">
      <c r="A556" s="49"/>
      <c r="B556" s="49"/>
      <c r="C556" s="49"/>
    </row>
    <row r="557">
      <c r="A557" s="49"/>
      <c r="B557" s="49"/>
      <c r="C557" s="49"/>
    </row>
    <row r="558">
      <c r="A558" s="49"/>
      <c r="B558" s="49"/>
      <c r="C558" s="49"/>
    </row>
    <row r="559">
      <c r="A559" s="49"/>
      <c r="B559" s="49"/>
      <c r="C559" s="49"/>
    </row>
    <row r="560">
      <c r="A560" s="49"/>
      <c r="B560" s="49"/>
      <c r="C560" s="49"/>
    </row>
    <row r="561">
      <c r="A561" s="49"/>
      <c r="B561" s="49"/>
      <c r="C561" s="49"/>
    </row>
    <row r="562">
      <c r="A562" s="49"/>
      <c r="B562" s="49"/>
      <c r="C562" s="49"/>
    </row>
    <row r="563">
      <c r="A563" s="49"/>
      <c r="B563" s="49"/>
      <c r="C563" s="49"/>
    </row>
    <row r="564">
      <c r="A564" s="49"/>
      <c r="B564" s="49"/>
      <c r="C564" s="49"/>
    </row>
    <row r="565">
      <c r="A565" s="49"/>
      <c r="B565" s="49"/>
      <c r="C565" s="49"/>
    </row>
    <row r="566">
      <c r="A566" s="49"/>
      <c r="B566" s="49"/>
      <c r="C566" s="49"/>
    </row>
    <row r="567">
      <c r="A567" s="49"/>
      <c r="B567" s="49"/>
      <c r="C567" s="49"/>
    </row>
    <row r="568">
      <c r="A568" s="49"/>
      <c r="B568" s="49"/>
      <c r="C568" s="49"/>
    </row>
    <row r="569">
      <c r="A569" s="49"/>
      <c r="B569" s="49"/>
      <c r="C569" s="49"/>
    </row>
    <row r="570">
      <c r="A570" s="49"/>
      <c r="B570" s="49"/>
      <c r="C570" s="49"/>
    </row>
    <row r="571">
      <c r="A571" s="49"/>
      <c r="B571" s="49"/>
      <c r="C571" s="49"/>
    </row>
    <row r="572">
      <c r="A572" s="49"/>
      <c r="B572" s="49"/>
      <c r="C572" s="49"/>
    </row>
    <row r="573">
      <c r="A573" s="49"/>
      <c r="B573" s="49"/>
      <c r="C573" s="49"/>
    </row>
    <row r="574">
      <c r="A574" s="49"/>
      <c r="B574" s="49"/>
      <c r="C574" s="49"/>
    </row>
    <row r="575">
      <c r="A575" s="49"/>
      <c r="B575" s="49"/>
      <c r="C575" s="49"/>
    </row>
    <row r="576">
      <c r="A576" s="49"/>
      <c r="B576" s="49"/>
      <c r="C576" s="49"/>
    </row>
    <row r="577">
      <c r="A577" s="49"/>
      <c r="B577" s="49"/>
      <c r="C577" s="49"/>
    </row>
    <row r="578">
      <c r="A578" s="49"/>
      <c r="B578" s="49"/>
      <c r="C578" s="49"/>
    </row>
    <row r="579">
      <c r="A579" s="49"/>
      <c r="B579" s="49"/>
      <c r="C579" s="49"/>
    </row>
    <row r="580">
      <c r="A580" s="49"/>
      <c r="B580" s="49"/>
      <c r="C580" s="49"/>
    </row>
    <row r="581">
      <c r="A581" s="49"/>
      <c r="B581" s="49"/>
      <c r="C581" s="49"/>
    </row>
    <row r="582">
      <c r="A582" s="49"/>
      <c r="B582" s="49"/>
      <c r="C582" s="49"/>
    </row>
    <row r="583">
      <c r="A583" s="49"/>
      <c r="B583" s="49"/>
      <c r="C583" s="49"/>
    </row>
    <row r="584">
      <c r="A584" s="49"/>
      <c r="B584" s="49"/>
      <c r="C584" s="49"/>
    </row>
    <row r="585">
      <c r="A585" s="49"/>
      <c r="B585" s="49"/>
      <c r="C585" s="49"/>
    </row>
    <row r="586">
      <c r="A586" s="49"/>
      <c r="B586" s="49"/>
      <c r="C586" s="49"/>
    </row>
    <row r="587">
      <c r="A587" s="49"/>
      <c r="B587" s="49"/>
      <c r="C587" s="49"/>
    </row>
    <row r="588">
      <c r="A588" s="49"/>
      <c r="B588" s="49"/>
      <c r="C588" s="49"/>
    </row>
    <row r="589">
      <c r="A589" s="49"/>
      <c r="B589" s="49"/>
      <c r="C589" s="49"/>
    </row>
    <row r="590">
      <c r="A590" s="49"/>
      <c r="B590" s="49"/>
      <c r="C590" s="49"/>
    </row>
    <row r="591">
      <c r="A591" s="49"/>
      <c r="B591" s="49"/>
      <c r="C591" s="49"/>
    </row>
    <row r="592">
      <c r="A592" s="49"/>
      <c r="B592" s="49"/>
      <c r="C592" s="49"/>
    </row>
    <row r="593">
      <c r="A593" s="49"/>
      <c r="B593" s="49"/>
      <c r="C593" s="49"/>
    </row>
    <row r="594">
      <c r="A594" s="49"/>
      <c r="B594" s="49"/>
      <c r="C594" s="49"/>
    </row>
    <row r="595">
      <c r="A595" s="49"/>
      <c r="B595" s="49"/>
      <c r="C595" s="49"/>
    </row>
    <row r="596">
      <c r="A596" s="49"/>
      <c r="B596" s="49"/>
      <c r="C596" s="49"/>
    </row>
    <row r="597">
      <c r="A597" s="49"/>
      <c r="B597" s="49"/>
      <c r="C597" s="49"/>
    </row>
    <row r="598">
      <c r="A598" s="49"/>
      <c r="B598" s="49"/>
      <c r="C598" s="49"/>
    </row>
    <row r="599">
      <c r="A599" s="49"/>
      <c r="B599" s="49"/>
      <c r="C599" s="49"/>
    </row>
    <row r="600">
      <c r="A600" s="49"/>
      <c r="B600" s="49"/>
      <c r="C600" s="49"/>
    </row>
    <row r="601">
      <c r="A601" s="49"/>
      <c r="B601" s="49"/>
      <c r="C601" s="49"/>
    </row>
    <row r="602">
      <c r="A602" s="49"/>
      <c r="B602" s="49"/>
      <c r="C602" s="49"/>
    </row>
    <row r="603">
      <c r="A603" s="49"/>
      <c r="B603" s="49"/>
      <c r="C603" s="49"/>
    </row>
    <row r="604">
      <c r="A604" s="49"/>
      <c r="B604" s="49"/>
      <c r="C604" s="49"/>
    </row>
    <row r="605">
      <c r="A605" s="49"/>
      <c r="B605" s="49"/>
      <c r="C605" s="49"/>
    </row>
    <row r="606">
      <c r="A606" s="49"/>
      <c r="B606" s="49"/>
      <c r="C606" s="49"/>
    </row>
    <row r="607">
      <c r="A607" s="49"/>
      <c r="B607" s="49"/>
      <c r="C607" s="49"/>
    </row>
    <row r="608">
      <c r="A608" s="49"/>
      <c r="B608" s="49"/>
      <c r="C608" s="49"/>
    </row>
    <row r="609">
      <c r="A609" s="49"/>
      <c r="B609" s="49"/>
      <c r="C609" s="49"/>
    </row>
    <row r="610">
      <c r="A610" s="49"/>
      <c r="B610" s="49"/>
      <c r="C610" s="49"/>
    </row>
    <row r="611">
      <c r="A611" s="49"/>
      <c r="B611" s="49"/>
      <c r="C611" s="49"/>
    </row>
    <row r="612">
      <c r="A612" s="49"/>
      <c r="B612" s="49"/>
      <c r="C612" s="49"/>
    </row>
    <row r="613">
      <c r="A613" s="49"/>
      <c r="B613" s="49"/>
      <c r="C613" s="49"/>
    </row>
    <row r="614">
      <c r="A614" s="49"/>
      <c r="B614" s="49"/>
      <c r="C614" s="49"/>
    </row>
    <row r="615">
      <c r="A615" s="49"/>
      <c r="B615" s="49"/>
      <c r="C615" s="49"/>
    </row>
    <row r="616">
      <c r="A616" s="49"/>
      <c r="B616" s="49"/>
      <c r="C616" s="49"/>
    </row>
    <row r="617">
      <c r="A617" s="49"/>
      <c r="B617" s="49"/>
      <c r="C617" s="49"/>
    </row>
    <row r="618">
      <c r="A618" s="49"/>
      <c r="B618" s="49"/>
      <c r="C618" s="49"/>
    </row>
    <row r="619">
      <c r="A619" s="49"/>
      <c r="B619" s="49"/>
      <c r="C619" s="49"/>
    </row>
    <row r="620">
      <c r="A620" s="49"/>
      <c r="B620" s="49"/>
      <c r="C620" s="49"/>
    </row>
    <row r="621">
      <c r="A621" s="49"/>
      <c r="B621" s="49"/>
      <c r="C621" s="49"/>
    </row>
    <row r="622">
      <c r="A622" s="49"/>
      <c r="B622" s="49"/>
      <c r="C622" s="49"/>
    </row>
    <row r="623">
      <c r="A623" s="49"/>
      <c r="B623" s="49"/>
      <c r="C623" s="49"/>
    </row>
    <row r="624">
      <c r="A624" s="49"/>
      <c r="B624" s="49"/>
      <c r="C624" s="49"/>
    </row>
    <row r="625">
      <c r="A625" s="49"/>
      <c r="B625" s="49"/>
      <c r="C625" s="49"/>
    </row>
    <row r="626">
      <c r="A626" s="49"/>
      <c r="B626" s="49"/>
      <c r="C626" s="49"/>
    </row>
    <row r="627">
      <c r="A627" s="49"/>
      <c r="B627" s="49"/>
      <c r="C627" s="49"/>
    </row>
    <row r="628">
      <c r="A628" s="49"/>
      <c r="B628" s="49"/>
      <c r="C628" s="49"/>
    </row>
    <row r="629">
      <c r="A629" s="49"/>
      <c r="B629" s="49"/>
      <c r="C629" s="49"/>
    </row>
    <row r="630">
      <c r="A630" s="49"/>
      <c r="B630" s="49"/>
      <c r="C630" s="49"/>
    </row>
    <row r="631">
      <c r="A631" s="49"/>
      <c r="B631" s="49"/>
      <c r="C631" s="49"/>
    </row>
    <row r="632">
      <c r="A632" s="49"/>
      <c r="B632" s="49"/>
      <c r="C632" s="49"/>
    </row>
    <row r="633">
      <c r="A633" s="49"/>
      <c r="B633" s="49"/>
      <c r="C633" s="49"/>
    </row>
    <row r="634">
      <c r="A634" s="49"/>
      <c r="B634" s="49"/>
      <c r="C634" s="49"/>
    </row>
    <row r="635">
      <c r="A635" s="49"/>
      <c r="B635" s="49"/>
      <c r="C635" s="49"/>
    </row>
    <row r="636">
      <c r="A636" s="49"/>
      <c r="B636" s="49"/>
      <c r="C636" s="49"/>
    </row>
    <row r="637">
      <c r="A637" s="49"/>
      <c r="B637" s="49"/>
      <c r="C637" s="49"/>
    </row>
    <row r="638">
      <c r="A638" s="49"/>
      <c r="B638" s="49"/>
      <c r="C638" s="49"/>
    </row>
    <row r="639">
      <c r="A639" s="49"/>
      <c r="B639" s="49"/>
      <c r="C639" s="49"/>
    </row>
    <row r="640">
      <c r="A640" s="49"/>
      <c r="B640" s="49"/>
      <c r="C640" s="49"/>
    </row>
    <row r="641">
      <c r="A641" s="49"/>
      <c r="B641" s="49"/>
      <c r="C641" s="49"/>
    </row>
    <row r="642">
      <c r="A642" s="49"/>
      <c r="B642" s="49"/>
      <c r="C642" s="49"/>
    </row>
    <row r="643">
      <c r="A643" s="49"/>
      <c r="B643" s="49"/>
      <c r="C643" s="49"/>
    </row>
    <row r="644">
      <c r="A644" s="49"/>
      <c r="B644" s="49"/>
      <c r="C644" s="49"/>
    </row>
    <row r="645">
      <c r="A645" s="49"/>
      <c r="B645" s="49"/>
      <c r="C645" s="49"/>
    </row>
    <row r="646">
      <c r="A646" s="49"/>
      <c r="B646" s="49"/>
      <c r="C646" s="49"/>
    </row>
    <row r="647">
      <c r="A647" s="49"/>
      <c r="B647" s="49"/>
      <c r="C647" s="49"/>
    </row>
    <row r="648">
      <c r="A648" s="49"/>
      <c r="B648" s="49"/>
      <c r="C648" s="49"/>
    </row>
    <row r="649">
      <c r="A649" s="49"/>
      <c r="B649" s="49"/>
      <c r="C649" s="49"/>
    </row>
    <row r="650">
      <c r="A650" s="49"/>
      <c r="B650" s="49"/>
      <c r="C650" s="49"/>
    </row>
    <row r="651">
      <c r="A651" s="49"/>
      <c r="B651" s="49"/>
      <c r="C651" s="49"/>
    </row>
    <row r="652">
      <c r="A652" s="49"/>
      <c r="B652" s="49"/>
      <c r="C652" s="49"/>
    </row>
    <row r="653">
      <c r="A653" s="49"/>
      <c r="B653" s="49"/>
      <c r="C653" s="49"/>
    </row>
    <row r="654">
      <c r="A654" s="49"/>
      <c r="B654" s="49"/>
      <c r="C654" s="49"/>
    </row>
    <row r="655">
      <c r="A655" s="49"/>
      <c r="B655" s="49"/>
      <c r="C655" s="49"/>
    </row>
    <row r="656">
      <c r="A656" s="49"/>
      <c r="B656" s="49"/>
      <c r="C656" s="49"/>
    </row>
    <row r="657">
      <c r="A657" s="49"/>
      <c r="B657" s="49"/>
      <c r="C657" s="49"/>
    </row>
    <row r="658">
      <c r="A658" s="49"/>
      <c r="B658" s="49"/>
      <c r="C658" s="49"/>
    </row>
    <row r="659">
      <c r="A659" s="49"/>
      <c r="B659" s="49"/>
      <c r="C659" s="49"/>
    </row>
    <row r="660">
      <c r="A660" s="49"/>
      <c r="B660" s="49"/>
      <c r="C660" s="49"/>
    </row>
    <row r="661">
      <c r="A661" s="49"/>
      <c r="B661" s="49"/>
      <c r="C661" s="49"/>
    </row>
    <row r="662">
      <c r="A662" s="49"/>
      <c r="B662" s="49"/>
      <c r="C662" s="49"/>
    </row>
    <row r="663">
      <c r="A663" s="49"/>
      <c r="B663" s="49"/>
      <c r="C663" s="49"/>
    </row>
    <row r="664">
      <c r="A664" s="49"/>
      <c r="B664" s="49"/>
      <c r="C664" s="49"/>
    </row>
    <row r="665">
      <c r="A665" s="49"/>
      <c r="B665" s="49"/>
      <c r="C665" s="49"/>
    </row>
    <row r="666">
      <c r="A666" s="49"/>
      <c r="B666" s="49"/>
      <c r="C666" s="49"/>
    </row>
    <row r="667">
      <c r="A667" s="49"/>
      <c r="B667" s="49"/>
      <c r="C667" s="49"/>
    </row>
    <row r="668">
      <c r="A668" s="49"/>
      <c r="B668" s="49"/>
      <c r="C668" s="49"/>
    </row>
    <row r="669">
      <c r="A669" s="49"/>
      <c r="B669" s="49"/>
      <c r="C669" s="49"/>
    </row>
    <row r="670">
      <c r="A670" s="49"/>
      <c r="B670" s="49"/>
      <c r="C670" s="49"/>
    </row>
    <row r="671">
      <c r="A671" s="49"/>
      <c r="B671" s="49"/>
      <c r="C671" s="49"/>
    </row>
    <row r="672">
      <c r="A672" s="49"/>
      <c r="B672" s="49"/>
      <c r="C672" s="49"/>
    </row>
    <row r="673">
      <c r="A673" s="49"/>
      <c r="B673" s="49"/>
      <c r="C673" s="49"/>
    </row>
    <row r="674">
      <c r="A674" s="49"/>
      <c r="B674" s="49"/>
      <c r="C674" s="49"/>
    </row>
    <row r="675">
      <c r="A675" s="49"/>
      <c r="B675" s="49"/>
      <c r="C675" s="49"/>
    </row>
    <row r="676">
      <c r="A676" s="49"/>
      <c r="B676" s="49"/>
      <c r="C676" s="49"/>
    </row>
    <row r="677">
      <c r="A677" s="49"/>
      <c r="B677" s="49"/>
      <c r="C677" s="49"/>
    </row>
    <row r="678">
      <c r="A678" s="49"/>
      <c r="B678" s="49"/>
      <c r="C678" s="49"/>
    </row>
    <row r="679">
      <c r="A679" s="49"/>
      <c r="B679" s="49"/>
      <c r="C679" s="49"/>
    </row>
    <row r="680">
      <c r="A680" s="49"/>
      <c r="B680" s="49"/>
      <c r="C680" s="49"/>
    </row>
    <row r="681">
      <c r="A681" s="49"/>
      <c r="B681" s="49"/>
      <c r="C681" s="49"/>
    </row>
    <row r="682">
      <c r="A682" s="49"/>
      <c r="B682" s="49"/>
      <c r="C682" s="49"/>
    </row>
    <row r="683">
      <c r="A683" s="49"/>
      <c r="B683" s="49"/>
      <c r="C683" s="49"/>
    </row>
    <row r="684">
      <c r="A684" s="49"/>
      <c r="B684" s="49"/>
      <c r="C684" s="49"/>
    </row>
    <row r="685">
      <c r="A685" s="49"/>
      <c r="B685" s="49"/>
      <c r="C685" s="49"/>
    </row>
    <row r="686">
      <c r="A686" s="49"/>
      <c r="B686" s="49"/>
      <c r="C686" s="49"/>
    </row>
    <row r="687">
      <c r="A687" s="49"/>
      <c r="B687" s="49"/>
      <c r="C687" s="49"/>
    </row>
    <row r="688">
      <c r="A688" s="49"/>
      <c r="B688" s="49"/>
      <c r="C688" s="49"/>
    </row>
    <row r="689">
      <c r="A689" s="49"/>
      <c r="B689" s="49"/>
      <c r="C689" s="49"/>
    </row>
    <row r="690">
      <c r="A690" s="49"/>
      <c r="B690" s="49"/>
      <c r="C690" s="49"/>
    </row>
    <row r="691">
      <c r="A691" s="49"/>
      <c r="B691" s="49"/>
      <c r="C691" s="49"/>
    </row>
    <row r="692">
      <c r="A692" s="49"/>
      <c r="B692" s="49"/>
      <c r="C692" s="49"/>
    </row>
    <row r="693">
      <c r="A693" s="49"/>
      <c r="B693" s="49"/>
      <c r="C693" s="49"/>
    </row>
    <row r="694">
      <c r="A694" s="49"/>
      <c r="B694" s="49"/>
      <c r="C694" s="49"/>
    </row>
    <row r="695">
      <c r="A695" s="49"/>
      <c r="B695" s="49"/>
      <c r="C695" s="49"/>
    </row>
    <row r="696">
      <c r="A696" s="49"/>
      <c r="B696" s="49"/>
      <c r="C696" s="49"/>
    </row>
    <row r="697">
      <c r="A697" s="49"/>
      <c r="B697" s="49"/>
      <c r="C697" s="49"/>
    </row>
    <row r="698">
      <c r="A698" s="49"/>
      <c r="B698" s="49"/>
      <c r="C698" s="49"/>
    </row>
    <row r="699">
      <c r="A699" s="49"/>
      <c r="B699" s="49"/>
      <c r="C699" s="49"/>
    </row>
    <row r="700">
      <c r="A700" s="49"/>
      <c r="B700" s="49"/>
      <c r="C700" s="49"/>
    </row>
    <row r="701">
      <c r="A701" s="49"/>
      <c r="B701" s="49"/>
      <c r="C701" s="49"/>
    </row>
    <row r="702">
      <c r="A702" s="49"/>
      <c r="B702" s="49"/>
      <c r="C702" s="49"/>
    </row>
    <row r="703">
      <c r="A703" s="49"/>
      <c r="B703" s="49"/>
      <c r="C703" s="49"/>
    </row>
    <row r="704">
      <c r="A704" s="49"/>
      <c r="B704" s="49"/>
      <c r="C704" s="49"/>
    </row>
    <row r="705">
      <c r="A705" s="49"/>
      <c r="B705" s="49"/>
      <c r="C705" s="49"/>
    </row>
    <row r="706">
      <c r="A706" s="49"/>
      <c r="B706" s="49"/>
      <c r="C706" s="49"/>
    </row>
    <row r="707">
      <c r="A707" s="49"/>
      <c r="B707" s="49"/>
      <c r="C707" s="49"/>
    </row>
    <row r="708">
      <c r="A708" s="49"/>
      <c r="B708" s="49"/>
      <c r="C708" s="49"/>
    </row>
    <row r="709">
      <c r="A709" s="49"/>
      <c r="B709" s="49"/>
      <c r="C709" s="49"/>
    </row>
    <row r="710">
      <c r="A710" s="49"/>
      <c r="B710" s="49"/>
      <c r="C710" s="49"/>
    </row>
    <row r="711">
      <c r="A711" s="49"/>
      <c r="B711" s="49"/>
      <c r="C711" s="49"/>
    </row>
    <row r="712">
      <c r="A712" s="49"/>
      <c r="B712" s="49"/>
      <c r="C712" s="49"/>
    </row>
    <row r="713">
      <c r="A713" s="49"/>
      <c r="B713" s="49"/>
      <c r="C713" s="49"/>
    </row>
    <row r="714">
      <c r="A714" s="49"/>
      <c r="B714" s="49"/>
      <c r="C714" s="49"/>
    </row>
    <row r="715">
      <c r="A715" s="49"/>
      <c r="B715" s="49"/>
      <c r="C715" s="49"/>
    </row>
    <row r="716">
      <c r="A716" s="49"/>
      <c r="B716" s="49"/>
      <c r="C716" s="49"/>
    </row>
    <row r="717">
      <c r="A717" s="49"/>
      <c r="B717" s="49"/>
      <c r="C717" s="49"/>
    </row>
    <row r="718">
      <c r="A718" s="49"/>
      <c r="B718" s="49"/>
      <c r="C718" s="49"/>
    </row>
    <row r="719">
      <c r="A719" s="49"/>
      <c r="B719" s="49"/>
      <c r="C719" s="49"/>
    </row>
    <row r="720">
      <c r="A720" s="49"/>
      <c r="B720" s="49"/>
      <c r="C720" s="49"/>
    </row>
    <row r="721">
      <c r="A721" s="49"/>
      <c r="B721" s="49"/>
      <c r="C721" s="49"/>
    </row>
    <row r="722">
      <c r="A722" s="49"/>
      <c r="B722" s="49"/>
      <c r="C722" s="49"/>
    </row>
    <row r="723">
      <c r="A723" s="49"/>
      <c r="B723" s="49"/>
      <c r="C723" s="49"/>
    </row>
    <row r="724">
      <c r="A724" s="49"/>
      <c r="B724" s="49"/>
      <c r="C724" s="49"/>
    </row>
    <row r="725">
      <c r="A725" s="49"/>
      <c r="B725" s="49"/>
      <c r="C725" s="49"/>
    </row>
    <row r="726">
      <c r="A726" s="49"/>
      <c r="B726" s="49"/>
      <c r="C726" s="49"/>
    </row>
    <row r="727">
      <c r="A727" s="49"/>
      <c r="B727" s="49"/>
      <c r="C727" s="49"/>
    </row>
    <row r="728">
      <c r="A728" s="49"/>
      <c r="B728" s="49"/>
      <c r="C728" s="49"/>
    </row>
    <row r="729">
      <c r="A729" s="49"/>
      <c r="B729" s="49"/>
      <c r="C729" s="49"/>
    </row>
    <row r="730">
      <c r="A730" s="49"/>
      <c r="B730" s="49"/>
      <c r="C730" s="49"/>
    </row>
    <row r="731">
      <c r="A731" s="49"/>
      <c r="B731" s="49"/>
      <c r="C731" s="49"/>
    </row>
    <row r="732">
      <c r="A732" s="49"/>
      <c r="B732" s="49"/>
      <c r="C732" s="49"/>
    </row>
    <row r="733">
      <c r="A733" s="49"/>
      <c r="B733" s="49"/>
      <c r="C733" s="49"/>
    </row>
    <row r="734">
      <c r="A734" s="49"/>
      <c r="B734" s="49"/>
      <c r="C734" s="49"/>
    </row>
    <row r="735">
      <c r="A735" s="49"/>
      <c r="B735" s="49"/>
      <c r="C735" s="49"/>
    </row>
    <row r="736">
      <c r="A736" s="49"/>
      <c r="B736" s="49"/>
      <c r="C736" s="49"/>
    </row>
    <row r="737">
      <c r="A737" s="49"/>
      <c r="B737" s="49"/>
      <c r="C737" s="49"/>
    </row>
    <row r="738">
      <c r="A738" s="49"/>
      <c r="B738" s="49"/>
      <c r="C738" s="49"/>
    </row>
    <row r="739">
      <c r="A739" s="49"/>
      <c r="B739" s="49"/>
      <c r="C739" s="49"/>
    </row>
    <row r="740">
      <c r="A740" s="49"/>
      <c r="B740" s="49"/>
      <c r="C740" s="49"/>
    </row>
    <row r="741">
      <c r="A741" s="49"/>
      <c r="B741" s="49"/>
      <c r="C741" s="49"/>
    </row>
    <row r="742">
      <c r="A742" s="49"/>
      <c r="B742" s="49"/>
      <c r="C742" s="49"/>
    </row>
    <row r="743">
      <c r="A743" s="49"/>
      <c r="B743" s="49"/>
      <c r="C743" s="49"/>
    </row>
    <row r="744">
      <c r="A744" s="49"/>
      <c r="B744" s="49"/>
      <c r="C744" s="49"/>
    </row>
    <row r="745">
      <c r="A745" s="49"/>
      <c r="B745" s="49"/>
      <c r="C745" s="49"/>
    </row>
    <row r="746">
      <c r="A746" s="49"/>
      <c r="B746" s="49"/>
      <c r="C746" s="49"/>
    </row>
    <row r="747">
      <c r="A747" s="49"/>
      <c r="B747" s="49"/>
      <c r="C747" s="49"/>
    </row>
    <row r="748">
      <c r="A748" s="49"/>
      <c r="B748" s="49"/>
      <c r="C748" s="49"/>
    </row>
    <row r="749">
      <c r="A749" s="49"/>
      <c r="B749" s="49"/>
      <c r="C749" s="49"/>
    </row>
    <row r="750">
      <c r="A750" s="49"/>
      <c r="B750" s="49"/>
      <c r="C750" s="49"/>
    </row>
    <row r="751">
      <c r="A751" s="49"/>
      <c r="B751" s="49"/>
      <c r="C751" s="49"/>
    </row>
    <row r="752">
      <c r="A752" s="49"/>
      <c r="B752" s="49"/>
      <c r="C752" s="49"/>
    </row>
    <row r="753">
      <c r="A753" s="49"/>
      <c r="B753" s="49"/>
      <c r="C753" s="49"/>
    </row>
    <row r="754">
      <c r="A754" s="49"/>
      <c r="B754" s="49"/>
      <c r="C754" s="49"/>
    </row>
    <row r="755">
      <c r="A755" s="49"/>
      <c r="B755" s="49"/>
      <c r="C755" s="49"/>
    </row>
    <row r="756">
      <c r="A756" s="49"/>
      <c r="B756" s="49"/>
      <c r="C756" s="49"/>
    </row>
    <row r="757">
      <c r="A757" s="49"/>
      <c r="B757" s="49"/>
      <c r="C757" s="49"/>
    </row>
    <row r="758">
      <c r="A758" s="49"/>
      <c r="B758" s="49"/>
      <c r="C758" s="49"/>
    </row>
    <row r="759">
      <c r="A759" s="49"/>
      <c r="B759" s="49"/>
      <c r="C759" s="49"/>
    </row>
    <row r="760">
      <c r="A760" s="49"/>
      <c r="B760" s="49"/>
      <c r="C760" s="49"/>
    </row>
    <row r="761">
      <c r="A761" s="49"/>
      <c r="B761" s="49"/>
      <c r="C761" s="49"/>
    </row>
    <row r="762">
      <c r="A762" s="49"/>
      <c r="B762" s="49"/>
      <c r="C762" s="49"/>
    </row>
    <row r="763">
      <c r="A763" s="49"/>
      <c r="B763" s="49"/>
      <c r="C763" s="49"/>
    </row>
    <row r="764">
      <c r="A764" s="49"/>
      <c r="B764" s="49"/>
      <c r="C764" s="49"/>
    </row>
    <row r="765">
      <c r="A765" s="49"/>
      <c r="B765" s="49"/>
      <c r="C765" s="49"/>
    </row>
    <row r="766">
      <c r="A766" s="49"/>
      <c r="B766" s="49"/>
      <c r="C766" s="49"/>
    </row>
    <row r="767">
      <c r="A767" s="49"/>
      <c r="B767" s="49"/>
      <c r="C767" s="49"/>
    </row>
    <row r="768">
      <c r="A768" s="49"/>
      <c r="B768" s="49"/>
      <c r="C768" s="49"/>
    </row>
    <row r="769">
      <c r="A769" s="49"/>
      <c r="B769" s="49"/>
      <c r="C769" s="49"/>
    </row>
    <row r="770">
      <c r="A770" s="49"/>
      <c r="B770" s="49"/>
      <c r="C770" s="49"/>
    </row>
    <row r="771">
      <c r="A771" s="49"/>
      <c r="B771" s="49"/>
      <c r="C771" s="49"/>
    </row>
    <row r="772">
      <c r="A772" s="49"/>
      <c r="B772" s="49"/>
      <c r="C772" s="49"/>
    </row>
    <row r="773">
      <c r="A773" s="49"/>
      <c r="B773" s="49"/>
      <c r="C773" s="49"/>
    </row>
    <row r="774">
      <c r="A774" s="49"/>
      <c r="B774" s="49"/>
      <c r="C774" s="49"/>
    </row>
    <row r="775">
      <c r="A775" s="49"/>
      <c r="B775" s="49"/>
      <c r="C775" s="49"/>
    </row>
    <row r="776">
      <c r="A776" s="49"/>
      <c r="B776" s="49"/>
      <c r="C776" s="49"/>
    </row>
    <row r="777">
      <c r="A777" s="49"/>
      <c r="B777" s="49"/>
      <c r="C777" s="49"/>
    </row>
    <row r="778">
      <c r="A778" s="49"/>
      <c r="B778" s="49"/>
      <c r="C778" s="49"/>
    </row>
    <row r="779">
      <c r="A779" s="49"/>
      <c r="B779" s="49"/>
      <c r="C779" s="49"/>
    </row>
    <row r="780">
      <c r="A780" s="49"/>
      <c r="B780" s="49"/>
      <c r="C780" s="49"/>
    </row>
    <row r="781">
      <c r="A781" s="49"/>
      <c r="B781" s="49"/>
      <c r="C781" s="49"/>
    </row>
    <row r="782">
      <c r="A782" s="49"/>
      <c r="B782" s="49"/>
      <c r="C782" s="49"/>
    </row>
    <row r="783">
      <c r="A783" s="49"/>
      <c r="B783" s="49"/>
      <c r="C783" s="49"/>
    </row>
    <row r="784">
      <c r="A784" s="49"/>
      <c r="B784" s="49"/>
      <c r="C784" s="49"/>
    </row>
    <row r="785">
      <c r="A785" s="49"/>
      <c r="B785" s="49"/>
      <c r="C785" s="49"/>
    </row>
    <row r="786">
      <c r="A786" s="49"/>
      <c r="B786" s="49"/>
      <c r="C786" s="49"/>
    </row>
    <row r="787">
      <c r="A787" s="49"/>
      <c r="B787" s="49"/>
      <c r="C787" s="49"/>
    </row>
    <row r="788">
      <c r="A788" s="49"/>
      <c r="B788" s="49"/>
      <c r="C788" s="49"/>
    </row>
    <row r="789">
      <c r="A789" s="49"/>
      <c r="B789" s="49"/>
      <c r="C789" s="49"/>
    </row>
    <row r="790">
      <c r="A790" s="49"/>
      <c r="B790" s="49"/>
      <c r="C790" s="49"/>
    </row>
    <row r="791">
      <c r="A791" s="49"/>
      <c r="B791" s="49"/>
      <c r="C791" s="49"/>
    </row>
    <row r="792">
      <c r="A792" s="49"/>
      <c r="B792" s="49"/>
      <c r="C792" s="49"/>
    </row>
    <row r="793">
      <c r="A793" s="49"/>
      <c r="B793" s="49"/>
      <c r="C793" s="49"/>
    </row>
    <row r="794">
      <c r="A794" s="49"/>
      <c r="B794" s="49"/>
      <c r="C794" s="49"/>
    </row>
    <row r="795">
      <c r="A795" s="49"/>
      <c r="B795" s="49"/>
      <c r="C795" s="49"/>
    </row>
    <row r="796">
      <c r="A796" s="49"/>
      <c r="B796" s="49"/>
      <c r="C796" s="49"/>
    </row>
    <row r="797">
      <c r="A797" s="49"/>
      <c r="B797" s="49"/>
      <c r="C797" s="49"/>
    </row>
    <row r="798">
      <c r="A798" s="49"/>
      <c r="B798" s="49"/>
      <c r="C798" s="49"/>
    </row>
    <row r="799">
      <c r="A799" s="49"/>
      <c r="B799" s="49"/>
      <c r="C799" s="49"/>
    </row>
    <row r="800">
      <c r="A800" s="49"/>
      <c r="B800" s="49"/>
      <c r="C800" s="49"/>
    </row>
    <row r="801">
      <c r="A801" s="49"/>
      <c r="B801" s="49"/>
      <c r="C801" s="49"/>
    </row>
    <row r="802">
      <c r="A802" s="49"/>
      <c r="B802" s="49"/>
      <c r="C802" s="49"/>
    </row>
    <row r="803">
      <c r="A803" s="49"/>
      <c r="B803" s="49"/>
      <c r="C803" s="49"/>
    </row>
    <row r="804">
      <c r="A804" s="49"/>
      <c r="B804" s="49"/>
      <c r="C804" s="49"/>
    </row>
    <row r="805">
      <c r="A805" s="49"/>
      <c r="B805" s="49"/>
      <c r="C805" s="49"/>
    </row>
    <row r="806">
      <c r="A806" s="49"/>
      <c r="B806" s="49"/>
      <c r="C806" s="49"/>
    </row>
    <row r="807">
      <c r="A807" s="49"/>
      <c r="B807" s="49"/>
      <c r="C807" s="49"/>
    </row>
    <row r="808">
      <c r="A808" s="49"/>
      <c r="B808" s="49"/>
      <c r="C808" s="49"/>
    </row>
    <row r="809">
      <c r="A809" s="49"/>
      <c r="B809" s="49"/>
      <c r="C809" s="49"/>
    </row>
    <row r="810">
      <c r="A810" s="49"/>
      <c r="B810" s="49"/>
      <c r="C810" s="49"/>
    </row>
    <row r="811">
      <c r="A811" s="49"/>
      <c r="B811" s="49"/>
      <c r="C811" s="49"/>
    </row>
    <row r="812">
      <c r="A812" s="49"/>
      <c r="B812" s="49"/>
      <c r="C812" s="49"/>
    </row>
    <row r="813">
      <c r="A813" s="49"/>
      <c r="B813" s="49"/>
      <c r="C813" s="49"/>
    </row>
    <row r="814">
      <c r="A814" s="49"/>
      <c r="B814" s="49"/>
      <c r="C814" s="49"/>
    </row>
    <row r="815">
      <c r="A815" s="49"/>
      <c r="B815" s="49"/>
      <c r="C815" s="49"/>
    </row>
    <row r="816">
      <c r="A816" s="49"/>
      <c r="B816" s="49"/>
      <c r="C816" s="49"/>
    </row>
    <row r="817">
      <c r="A817" s="49"/>
      <c r="B817" s="49"/>
      <c r="C817" s="49"/>
    </row>
    <row r="818">
      <c r="A818" s="49"/>
      <c r="B818" s="49"/>
      <c r="C818" s="49"/>
    </row>
    <row r="819">
      <c r="A819" s="49"/>
      <c r="B819" s="49"/>
      <c r="C819" s="49"/>
    </row>
    <row r="820">
      <c r="A820" s="49"/>
      <c r="B820" s="49"/>
      <c r="C820" s="49"/>
    </row>
    <row r="821">
      <c r="A821" s="49"/>
      <c r="B821" s="49"/>
      <c r="C821" s="49"/>
    </row>
    <row r="822">
      <c r="A822" s="49"/>
      <c r="B822" s="49"/>
      <c r="C822" s="49"/>
    </row>
    <row r="823">
      <c r="A823" s="49"/>
      <c r="B823" s="49"/>
      <c r="C823" s="49"/>
    </row>
    <row r="824">
      <c r="A824" s="49"/>
      <c r="B824" s="49"/>
      <c r="C824" s="49"/>
    </row>
    <row r="825">
      <c r="A825" s="49"/>
      <c r="B825" s="49"/>
      <c r="C825" s="49"/>
    </row>
    <row r="826">
      <c r="A826" s="49"/>
      <c r="B826" s="49"/>
      <c r="C826" s="49"/>
    </row>
    <row r="827">
      <c r="A827" s="49"/>
      <c r="B827" s="49"/>
      <c r="C827" s="49"/>
    </row>
    <row r="828">
      <c r="A828" s="49"/>
      <c r="B828" s="49"/>
      <c r="C828" s="49"/>
    </row>
    <row r="829">
      <c r="A829" s="49"/>
      <c r="B829" s="49"/>
      <c r="C829" s="49"/>
    </row>
    <row r="830">
      <c r="A830" s="49"/>
      <c r="B830" s="49"/>
      <c r="C830" s="49"/>
    </row>
    <row r="831">
      <c r="A831" s="49"/>
      <c r="B831" s="49"/>
      <c r="C831" s="49"/>
    </row>
    <row r="832">
      <c r="A832" s="49"/>
      <c r="B832" s="49"/>
      <c r="C832" s="49"/>
    </row>
    <row r="833">
      <c r="A833" s="49"/>
      <c r="B833" s="49"/>
      <c r="C833" s="49"/>
    </row>
    <row r="834">
      <c r="A834" s="49"/>
      <c r="B834" s="49"/>
      <c r="C834" s="49"/>
    </row>
    <row r="835">
      <c r="A835" s="49"/>
      <c r="B835" s="49"/>
      <c r="C835" s="49"/>
    </row>
    <row r="836">
      <c r="A836" s="49"/>
      <c r="B836" s="49"/>
      <c r="C836" s="49"/>
    </row>
    <row r="837">
      <c r="A837" s="49"/>
      <c r="B837" s="49"/>
      <c r="C837" s="49"/>
    </row>
    <row r="838">
      <c r="A838" s="49"/>
      <c r="B838" s="49"/>
      <c r="C838" s="49"/>
    </row>
    <row r="839">
      <c r="A839" s="49"/>
      <c r="B839" s="49"/>
      <c r="C839" s="49"/>
    </row>
    <row r="840">
      <c r="A840" s="49"/>
      <c r="B840" s="49"/>
      <c r="C840" s="49"/>
    </row>
    <row r="841">
      <c r="A841" s="49"/>
      <c r="B841" s="49"/>
      <c r="C841" s="49"/>
    </row>
    <row r="842">
      <c r="A842" s="49"/>
      <c r="B842" s="49"/>
      <c r="C842" s="49"/>
    </row>
    <row r="843">
      <c r="A843" s="49"/>
      <c r="B843" s="49"/>
      <c r="C843" s="49"/>
    </row>
    <row r="844">
      <c r="A844" s="49"/>
      <c r="B844" s="49"/>
      <c r="C844" s="49"/>
    </row>
    <row r="845">
      <c r="A845" s="49"/>
      <c r="B845" s="49"/>
      <c r="C845" s="49"/>
    </row>
    <row r="846">
      <c r="A846" s="49"/>
      <c r="B846" s="49"/>
      <c r="C846" s="49"/>
    </row>
    <row r="847">
      <c r="A847" s="49"/>
      <c r="B847" s="49"/>
      <c r="C847" s="49"/>
    </row>
    <row r="848">
      <c r="A848" s="49"/>
      <c r="B848" s="49"/>
      <c r="C848" s="49"/>
    </row>
    <row r="849">
      <c r="A849" s="49"/>
      <c r="B849" s="49"/>
      <c r="C849" s="49"/>
    </row>
    <row r="850">
      <c r="A850" s="49"/>
      <c r="B850" s="49"/>
      <c r="C850" s="49"/>
    </row>
    <row r="851">
      <c r="A851" s="49"/>
      <c r="B851" s="49"/>
      <c r="C851" s="49"/>
    </row>
    <row r="852">
      <c r="A852" s="49"/>
      <c r="B852" s="49"/>
      <c r="C852" s="49"/>
    </row>
    <row r="853">
      <c r="A853" s="49"/>
      <c r="B853" s="49"/>
      <c r="C853" s="49"/>
    </row>
    <row r="854">
      <c r="A854" s="49"/>
      <c r="B854" s="49"/>
      <c r="C854" s="49"/>
    </row>
    <row r="855">
      <c r="A855" s="49"/>
      <c r="B855" s="49"/>
      <c r="C855" s="49"/>
    </row>
    <row r="856">
      <c r="A856" s="49"/>
      <c r="B856" s="49"/>
      <c r="C856" s="49"/>
    </row>
    <row r="857">
      <c r="A857" s="49"/>
      <c r="B857" s="49"/>
      <c r="C857" s="49"/>
    </row>
    <row r="858">
      <c r="A858" s="49"/>
      <c r="B858" s="49"/>
      <c r="C858" s="49"/>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9" t="str">
        <f>IFERROR(__xludf.DUMMYFUNCTION("IMPORTRANGE(""https://docs.google.com/spreadsheets/d/""&amp;Config!B1,""Equipment!A:AH"")"),"Name")</f>
        <v>Name</v>
      </c>
      <c r="B1" s="49" t="str">
        <f>IFERROR(__xludf.DUMMYFUNCTION("""COMPUTED_VALUE"""),"Slot")</f>
        <v>Slot</v>
      </c>
      <c r="C1" s="49" t="str">
        <f>IFERROR(__xludf.DUMMYFUNCTION("""COMPUTED_VALUE"""),"Description")</f>
        <v>Description</v>
      </c>
      <c r="D1" s="49" t="str">
        <f>IFERROR(__xludf.DUMMYFUNCTION("""COMPUTED_VALUE"""),"Type")</f>
        <v>Type</v>
      </c>
      <c r="E1" s="49" t="str">
        <f>IFERROR(__xludf.DUMMYFUNCTION("""COMPUTED_VALUE"""),"LevelReq")</f>
        <v>LevelReq</v>
      </c>
      <c r="F1" s="49" t="str">
        <f>IFERROR(__xludf.DUMMYFUNCTION("""COMPUTED_VALUE"""),"Price")</f>
        <v>Price</v>
      </c>
      <c r="G1" s="49" t="str">
        <f>IFERROR(__xludf.DUMMYFUNCTION("""COMPUTED_VALUE"""),"DefDmg")</f>
        <v>DefDmg</v>
      </c>
      <c r="H1" s="49" t="str">
        <f>IFERROR(__xludf.DUMMYFUNCTION("""COMPUTED_VALUE"""),"Natural")</f>
        <v>Natural</v>
      </c>
      <c r="I1" s="49" t="str">
        <f>IFERROR(__xludf.DUMMYFUNCTION("""COMPUTED_VALUE"""),"Fire")</f>
        <v>Fire</v>
      </c>
      <c r="J1" s="49" t="str">
        <f>IFERROR(__xludf.DUMMYFUNCTION("""COMPUTED_VALUE"""),"Physical")</f>
        <v>Physical</v>
      </c>
      <c r="K1" s="49" t="str">
        <f>IFERROR(__xludf.DUMMYFUNCTION("""COMPUTED_VALUE"""),"Water")</f>
        <v>Water</v>
      </c>
      <c r="L1" s="49" t="str">
        <f>IFERROR(__xludf.DUMMYFUNCTION("""COMPUTED_VALUE"""),"Storm")</f>
        <v>Storm</v>
      </c>
      <c r="M1" s="49" t="str">
        <f>IFERROR(__xludf.DUMMYFUNCTION("""COMPUTED_VALUE"""),"Earth")</f>
        <v>Earth</v>
      </c>
      <c r="N1" s="49" t="str">
        <f>IFERROR(__xludf.DUMMYFUNCTION("""COMPUTED_VALUE"""),"Light")</f>
        <v>Light</v>
      </c>
      <c r="O1" s="49" t="str">
        <f>IFERROR(__xludf.DUMMYFUNCTION("""COMPUTED_VALUE"""),"Dark")</f>
        <v>Dark</v>
      </c>
      <c r="P1" s="49" t="str">
        <f>IFERROR(__xludf.DUMMYFUNCTION("""COMPUTED_VALUE"""),"Spirit")</f>
        <v>Spirit</v>
      </c>
      <c r="Q1" s="49" t="str">
        <f>IFERROR(__xludf.DUMMYFUNCTION("""COMPUTED_VALUE"""),"Order")</f>
        <v>Order</v>
      </c>
      <c r="R1" s="49" t="str">
        <f>IFERROR(__xludf.DUMMYFUNCTION("""COMPUTED_VALUE"""),"Chaos")</f>
        <v>Chaos</v>
      </c>
      <c r="S1" s="49" t="str">
        <f>IFERROR(__xludf.DUMMYFUNCTION("""COMPUTED_VALUE"""),"Nature")</f>
        <v>Nature</v>
      </c>
      <c r="T1" s="49" t="str">
        <f>IFERROR(__xludf.DUMMYFUNCTION("""COMPUTED_VALUE"""),"Melee")</f>
        <v>Melee</v>
      </c>
      <c r="U1" s="49" t="str">
        <f>IFERROR(__xludf.DUMMYFUNCTION("""COMPUTED_VALUE"""),"Ranged")</f>
        <v>Ranged</v>
      </c>
      <c r="V1" s="49" t="str">
        <f>IFERROR(__xludf.DUMMYFUNCTION("""COMPUTED_VALUE"""),"Stasis")</f>
        <v>Stasis</v>
      </c>
      <c r="W1" s="49" t="str">
        <f>IFERROR(__xludf.DUMMYFUNCTION("""COMPUTED_VALUE"""),"Twilight")</f>
        <v>Twilight</v>
      </c>
      <c r="X1" s="49" t="str">
        <f>IFERROR(__xludf.DUMMYFUNCTION("""COMPUTED_VALUE"""),"Voodoo")</f>
        <v>Voodoo</v>
      </c>
      <c r="Y1" s="49" t="str">
        <f>IFERROR(__xludf.DUMMYFUNCTION("""COMPUTED_VALUE"""),"Blood")</f>
        <v>Blood</v>
      </c>
      <c r="Z1" s="49" t="str">
        <f>IFERROR(__xludf.DUMMYFUNCTION("""COMPUTED_VALUE"""),"Delta")</f>
        <v>Delta</v>
      </c>
      <c r="AA1" s="49" t="str">
        <f>IFERROR(__xludf.DUMMYFUNCTION("""COMPUTED_VALUE"""),"Zen")</f>
        <v>Zen</v>
      </c>
      <c r="AB1" s="49" t="str">
        <f>IFERROR(__xludf.DUMMYFUNCTION("""COMPUTED_VALUE"""),"Astral")</f>
        <v>Astral</v>
      </c>
      <c r="AC1" s="49" t="str">
        <f>IFERROR(__xludf.DUMMYFUNCTION("""COMPUTED_VALUE"""),"Celestial")</f>
        <v>Celestial</v>
      </c>
      <c r="AD1" s="49" t="str">
        <f>IFERROR(__xludf.DUMMYFUNCTION("""COMPUTED_VALUE"""),"Time")</f>
        <v>Time</v>
      </c>
      <c r="AE1" s="49" t="str">
        <f>IFERROR(__xludf.DUMMYFUNCTION("""COMPUTED_VALUE"""),"Acoustic")</f>
        <v>Acoustic</v>
      </c>
      <c r="AF1" s="49" t="str">
        <f>IFERROR(__xludf.DUMMYFUNCTION("""COMPUTED_VALUE"""),"OtherAbilities")</f>
        <v>OtherAbilities</v>
      </c>
      <c r="AG1" s="49" t="str">
        <f>IFERROR(__xludf.DUMMYFUNCTION("""COMPUTED_VALUE"""),"EquipLoc")</f>
        <v>EquipLoc</v>
      </c>
      <c r="AH1" s="49" t="str">
        <f>IFERROR(__xludf.DUMMYFUNCTION("""COMPUTED_VALUE"""),"Needs Revising")</f>
        <v>Needs Revising</v>
      </c>
    </row>
    <row r="2">
      <c r="A2" s="49" t="str">
        <f>IFERROR(__xludf.DUMMYFUNCTION("""COMPUTED_VALUE"""),"""Hellfire Club"" Vest of Metal Harmony's")</f>
        <v>"Hellfire Club" Vest of Metal Harmony's</v>
      </c>
      <c r="B2" s="49" t="str">
        <f>IFERROR(__xludf.DUMMYFUNCTION("""COMPUTED_VALUE"""),"Torso")</f>
        <v>Torso</v>
      </c>
      <c r="C2" s="49"/>
      <c r="D2" s="49"/>
      <c r="E2" s="49">
        <f>IFERROR(__xludf.DUMMYFUNCTION("""COMPUTED_VALUE"""),200.0)</f>
        <v>200</v>
      </c>
      <c r="F2" s="112">
        <f>IFERROR(__xludf.DUMMYFUNCTION("""COMPUTED_VALUE"""),1900000.0)</f>
        <v>1900000</v>
      </c>
      <c r="G2" s="49" t="str">
        <f>IFERROR(__xludf.DUMMYFUNCTION("""COMPUTED_VALUE"""),"DEF")</f>
        <v>DEF</v>
      </c>
      <c r="H2" s="125">
        <f>IFERROR(__xludf.DUMMYFUNCTION("""COMPUTED_VALUE"""),10000.0)</f>
        <v>10000</v>
      </c>
      <c r="I2" s="49"/>
      <c r="J2" s="49"/>
      <c r="K2" s="49"/>
      <c r="L2" s="49"/>
      <c r="M2" s="49"/>
      <c r="N2" s="49"/>
      <c r="O2" s="49"/>
      <c r="P2" s="49"/>
      <c r="Q2" s="49"/>
      <c r="R2" s="49"/>
      <c r="S2" s="49"/>
      <c r="T2" s="49"/>
      <c r="U2" s="49"/>
      <c r="V2" s="49"/>
      <c r="W2" s="49"/>
      <c r="X2" s="49"/>
      <c r="Y2" s="49"/>
      <c r="Z2" s="49"/>
      <c r="AA2" s="49"/>
      <c r="AB2" s="49"/>
      <c r="AC2" s="49"/>
      <c r="AD2" s="49"/>
      <c r="AE2" s="49"/>
      <c r="AF2" s="49" t="str">
        <f>IFERROR(__xludf.DUMMYFUNCTION("""COMPUTED_VALUE"""),"++When dealing damage with an instrument you will regain sp equal to the damage you caused.")</f>
        <v>++When dealing damage with an instrument you will regain sp equal to the damage you caused.</v>
      </c>
      <c r="AG2" s="49" t="str">
        <f>IFERROR(__xludf.DUMMYFUNCTION("""COMPUTED_VALUE"""),"Land of Spira")</f>
        <v>Land of Spira</v>
      </c>
      <c r="AH2" s="49" t="b">
        <f>IFERROR(__xludf.DUMMYFUNCTION("""COMPUTED_VALUE"""),FALSE)</f>
        <v>0</v>
      </c>
    </row>
    <row r="3">
      <c r="A3" s="49" t="str">
        <f>IFERROR(__xludf.DUMMYFUNCTION("""COMPUTED_VALUE"""),"""Sweetheart"" Guitar of The Upside Down")</f>
        <v>"Sweetheart" Guitar of The Upside Down</v>
      </c>
      <c r="B3" s="49" t="str">
        <f>IFERROR(__xludf.DUMMYFUNCTION("""COMPUTED_VALUE"""),"Hand")</f>
        <v>Hand</v>
      </c>
      <c r="C3" s="49"/>
      <c r="D3" s="49" t="str">
        <f>IFERROR(__xludf.DUMMYFUNCTION("""COMPUTED_VALUE"""),"Instrument")</f>
        <v>Instrument</v>
      </c>
      <c r="E3" s="49">
        <f>IFERROR(__xludf.DUMMYFUNCTION("""COMPUTED_VALUE"""),200.0)</f>
        <v>200</v>
      </c>
      <c r="F3" s="112">
        <f>IFERROR(__xludf.DUMMYFUNCTION("""COMPUTED_VALUE"""),1900000.0)</f>
        <v>1900000</v>
      </c>
      <c r="G3" s="49" t="str">
        <f>IFERROR(__xludf.DUMMYFUNCTION("""COMPUTED_VALUE"""),"DMG")</f>
        <v>DMG</v>
      </c>
      <c r="H3" s="125">
        <f>IFERROR(__xludf.DUMMYFUNCTION("""COMPUTED_VALUE"""),2500.0)</f>
        <v>2500</v>
      </c>
      <c r="I3" s="125">
        <f>IFERROR(__xludf.DUMMYFUNCTION("""COMPUTED_VALUE"""),2500.0)</f>
        <v>2500</v>
      </c>
      <c r="J3" s="49"/>
      <c r="K3" s="49"/>
      <c r="L3" s="49"/>
      <c r="M3" s="49"/>
      <c r="N3" s="49"/>
      <c r="O3" s="125">
        <f>IFERROR(__xludf.DUMMYFUNCTION("""COMPUTED_VALUE"""),2500.0)</f>
        <v>2500</v>
      </c>
      <c r="P3" s="49"/>
      <c r="Q3" s="49"/>
      <c r="R3" s="125">
        <f>IFERROR(__xludf.DUMMYFUNCTION("""COMPUTED_VALUE"""),2500.0)</f>
        <v>2500</v>
      </c>
      <c r="S3" s="49"/>
      <c r="T3" s="49"/>
      <c r="U3" s="49"/>
      <c r="V3" s="49"/>
      <c r="W3" s="49"/>
      <c r="X3" s="49"/>
      <c r="Y3" s="49"/>
      <c r="Z3" s="49"/>
      <c r="AA3" s="49"/>
      <c r="AB3" s="49"/>
      <c r="AC3" s="49"/>
      <c r="AD3" s="49"/>
      <c r="AE3" s="49"/>
      <c r="AF3" s="49"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49" t="str">
        <f>IFERROR(__xludf.DUMMYFUNCTION("""COMPUTED_VALUE"""),"Land of Spira")</f>
        <v>Land of Spira</v>
      </c>
      <c r="AH3" s="49" t="b">
        <f>IFERROR(__xludf.DUMMYFUNCTION("""COMPUTED_VALUE"""),FALSE)</f>
        <v>0</v>
      </c>
    </row>
    <row r="4">
      <c r="A4" s="49" t="str">
        <f>IFERROR(__xludf.DUMMYFUNCTION("""COMPUTED_VALUE"""),"Alpha Sword")</f>
        <v>Alpha Sword</v>
      </c>
      <c r="B4" s="49" t="str">
        <f>IFERROR(__xludf.DUMMYFUNCTION("""COMPUTED_VALUE"""),"Hand")</f>
        <v>Hand</v>
      </c>
      <c r="C4" s="49"/>
      <c r="D4" s="49" t="str">
        <f>IFERROR(__xludf.DUMMYFUNCTION("""COMPUTED_VALUE"""),"Sword")</f>
        <v>Sword</v>
      </c>
      <c r="E4" s="49">
        <f>IFERROR(__xludf.DUMMYFUNCTION("""COMPUTED_VALUE"""),4000.0)</f>
        <v>4000</v>
      </c>
      <c r="F4" s="112">
        <f>IFERROR(__xludf.DUMMYFUNCTION("""COMPUTED_VALUE"""),7.98E8)</f>
        <v>798000000</v>
      </c>
      <c r="G4" s="49" t="str">
        <f>IFERROR(__xludf.DUMMYFUNCTION("""COMPUTED_VALUE"""),"DMG")</f>
        <v>DMG</v>
      </c>
      <c r="H4" s="125">
        <f>IFERROR(__xludf.DUMMYFUNCTION("""COMPUTED_VALUE"""),100000.0)</f>
        <v>100000</v>
      </c>
      <c r="I4" s="49"/>
      <c r="J4" s="49"/>
      <c r="K4" s="49"/>
      <c r="L4" s="49"/>
      <c r="M4" s="49"/>
      <c r="N4" s="49"/>
      <c r="O4" s="125">
        <f>IFERROR(__xludf.DUMMYFUNCTION("""COMPUTED_VALUE"""),100000.0)</f>
        <v>100000</v>
      </c>
      <c r="P4" s="49"/>
      <c r="Q4" s="49"/>
      <c r="R4" s="49"/>
      <c r="S4" s="49"/>
      <c r="T4" s="49"/>
      <c r="U4" s="49"/>
      <c r="V4" s="49"/>
      <c r="W4" s="49"/>
      <c r="X4" s="49"/>
      <c r="Y4" s="49"/>
      <c r="Z4" s="49"/>
      <c r="AA4" s="49"/>
      <c r="AB4" s="49"/>
      <c r="AC4" s="49"/>
      <c r="AD4" s="49"/>
      <c r="AE4" s="49"/>
      <c r="AF4" s="49"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49" t="str">
        <f>IFERROR(__xludf.DUMMYFUNCTION("""COMPUTED_VALUE"""),"Abstara")</f>
        <v>Abstara</v>
      </c>
      <c r="AH4" s="49" t="b">
        <f>IFERROR(__xludf.DUMMYFUNCTION("""COMPUTED_VALUE"""),FALSE)</f>
        <v>0</v>
      </c>
    </row>
    <row r="5">
      <c r="A5" s="49" t="str">
        <f>IFERROR(__xludf.DUMMYFUNCTION("""COMPUTED_VALUE"""),"Ancient Colossus Forest Hammer")</f>
        <v>Ancient Colossus Forest Hammer</v>
      </c>
      <c r="B5" s="49" t="str">
        <f>IFERROR(__xludf.DUMMYFUNCTION("""COMPUTED_VALUE"""),"Hand")</f>
        <v>Hand</v>
      </c>
      <c r="C5" s="49"/>
      <c r="D5" s="49" t="str">
        <f>IFERROR(__xludf.DUMMYFUNCTION("""COMPUTED_VALUE"""),"Club")</f>
        <v>Club</v>
      </c>
      <c r="E5" s="49">
        <f>IFERROR(__xludf.DUMMYFUNCTION("""COMPUTED_VALUE"""),700.0)</f>
        <v>700</v>
      </c>
      <c r="F5" s="112">
        <f>IFERROR(__xludf.DUMMYFUNCTION("""COMPUTED_VALUE"""),2.415E7)</f>
        <v>24150000</v>
      </c>
      <c r="G5" s="49" t="str">
        <f>IFERROR(__xludf.DUMMYFUNCTION("""COMPUTED_VALUE"""),"DMG")</f>
        <v>DMG</v>
      </c>
      <c r="H5" s="49">
        <f>IFERROR(__xludf.DUMMYFUNCTION("""COMPUTED_VALUE"""),25000.0)</f>
        <v>25000</v>
      </c>
      <c r="I5" s="49"/>
      <c r="J5" s="49"/>
      <c r="K5" s="49"/>
      <c r="L5" s="49"/>
      <c r="M5" s="49"/>
      <c r="N5" s="49"/>
      <c r="O5" s="49"/>
      <c r="P5" s="49"/>
      <c r="Q5" s="49"/>
      <c r="R5" s="49"/>
      <c r="S5" s="49">
        <f>IFERROR(__xludf.DUMMYFUNCTION("""COMPUTED_VALUE"""),10000.0)</f>
        <v>10000</v>
      </c>
      <c r="T5" s="49"/>
      <c r="U5" s="49"/>
      <c r="V5" s="49"/>
      <c r="W5" s="49"/>
      <c r="X5" s="49"/>
      <c r="Y5" s="49"/>
      <c r="Z5" s="49"/>
      <c r="AA5" s="49"/>
      <c r="AB5" s="49"/>
      <c r="AC5" s="49"/>
      <c r="AD5" s="49"/>
      <c r="AE5" s="49"/>
      <c r="AF5" s="49" t="str">
        <f>IFERROR(__xludf.DUMMYFUNCTION("""COMPUTED_VALUE"""),"++When in a Natural environment all attacks with this weapon will roll twice and take the higher number")</f>
        <v>++When in a Natural environment all attacks with this weapon will roll twice and take the higher number</v>
      </c>
      <c r="AG5" s="49" t="str">
        <f>IFERROR(__xludf.DUMMYFUNCTION("""COMPUTED_VALUE"""),"Land of Spira")</f>
        <v>Land of Spira</v>
      </c>
      <c r="AH5" s="49" t="b">
        <f>IFERROR(__xludf.DUMMYFUNCTION("""COMPUTED_VALUE"""),FALSE)</f>
        <v>0</v>
      </c>
    </row>
    <row r="6">
      <c r="A6" s="49" t="str">
        <f>IFERROR(__xludf.DUMMYFUNCTION("""COMPUTED_VALUE"""),"Ancient Samurai Sword")</f>
        <v>Ancient Samurai Sword</v>
      </c>
      <c r="B6" s="49" t="str">
        <f>IFERROR(__xludf.DUMMYFUNCTION("""COMPUTED_VALUE"""),"Hand")</f>
        <v>Hand</v>
      </c>
      <c r="C6" s="49"/>
      <c r="D6" s="49" t="str">
        <f>IFERROR(__xludf.DUMMYFUNCTION("""COMPUTED_VALUE"""),"Sword")</f>
        <v>Sword</v>
      </c>
      <c r="E6" s="49">
        <f>IFERROR(__xludf.DUMMYFUNCTION("""COMPUTED_VALUE"""),800.0)</f>
        <v>800</v>
      </c>
      <c r="F6" s="112">
        <f>IFERROR(__xludf.DUMMYFUNCTION("""COMPUTED_VALUE"""),3.16E7)</f>
        <v>31600000</v>
      </c>
      <c r="G6" s="49" t="str">
        <f>IFERROR(__xludf.DUMMYFUNCTION("""COMPUTED_VALUE"""),"DMG")</f>
        <v>DMG</v>
      </c>
      <c r="H6" s="125">
        <f>IFERROR(__xludf.DUMMYFUNCTION("""COMPUTED_VALUE"""),10000.0)</f>
        <v>10000</v>
      </c>
      <c r="I6" s="125">
        <f>IFERROR(__xludf.DUMMYFUNCTION("""COMPUTED_VALUE"""),10000.0)</f>
        <v>10000</v>
      </c>
      <c r="J6" s="49"/>
      <c r="K6" s="49"/>
      <c r="L6" s="49"/>
      <c r="M6" s="49"/>
      <c r="N6" s="125">
        <f>IFERROR(__xludf.DUMMYFUNCTION("""COMPUTED_VALUE"""),10000.0)</f>
        <v>10000</v>
      </c>
      <c r="O6" s="49"/>
      <c r="P6" s="49"/>
      <c r="Q6" s="125">
        <f>IFERROR(__xludf.DUMMYFUNCTION("""COMPUTED_VALUE"""),10000.0)</f>
        <v>10000</v>
      </c>
      <c r="R6" s="49"/>
      <c r="S6" s="49"/>
      <c r="T6" s="49"/>
      <c r="U6" s="49"/>
      <c r="V6" s="49"/>
      <c r="W6" s="49"/>
      <c r="X6" s="49"/>
      <c r="Y6" s="49"/>
      <c r="Z6" s="49"/>
      <c r="AA6" s="49"/>
      <c r="AB6" s="49"/>
      <c r="AC6" s="49"/>
      <c r="AD6" s="49"/>
      <c r="AE6" s="49"/>
      <c r="AF6" s="49" t="str">
        <f>IFERROR(__xludf.DUMMYFUNCTION("""COMPUTED_VALUE"""),"++Doubles the chance for the Sword ability to activate")</f>
        <v>++Doubles the chance for the Sword ability to activate</v>
      </c>
      <c r="AG6" s="49" t="str">
        <f>IFERROR(__xludf.DUMMYFUNCTION("""COMPUTED_VALUE"""),"Land of Spira")</f>
        <v>Land of Spira</v>
      </c>
      <c r="AH6" s="49" t="b">
        <f>IFERROR(__xludf.DUMMYFUNCTION("""COMPUTED_VALUE"""),FALSE)</f>
        <v>0</v>
      </c>
    </row>
    <row r="7">
      <c r="A7" s="49" t="str">
        <f>IFERROR(__xludf.DUMMYFUNCTION("""COMPUTED_VALUE"""),"Ancient Stone Guardians Sword")</f>
        <v>Ancient Stone Guardians Sword</v>
      </c>
      <c r="B7" s="49" t="str">
        <f>IFERROR(__xludf.DUMMYFUNCTION("""COMPUTED_VALUE"""),"Hand")</f>
        <v>Hand</v>
      </c>
      <c r="C7" s="49"/>
      <c r="D7" s="49" t="str">
        <f>IFERROR(__xludf.DUMMYFUNCTION("""COMPUTED_VALUE"""),"Sword")</f>
        <v>Sword</v>
      </c>
      <c r="E7" s="49">
        <f>IFERROR(__xludf.DUMMYFUNCTION("""COMPUTED_VALUE"""),1200.0)</f>
        <v>1200</v>
      </c>
      <c r="F7" s="112">
        <f>IFERROR(__xludf.DUMMYFUNCTION("""COMPUTED_VALUE"""),7.14E7)</f>
        <v>71400000</v>
      </c>
      <c r="G7" s="49" t="str">
        <f>IFERROR(__xludf.DUMMYFUNCTION("""COMPUTED_VALUE"""),"DMG")</f>
        <v>DMG</v>
      </c>
      <c r="H7" s="125">
        <f>IFERROR(__xludf.DUMMYFUNCTION("""COMPUTED_VALUE"""),20000.0)</f>
        <v>20000</v>
      </c>
      <c r="I7" s="49"/>
      <c r="J7" s="49"/>
      <c r="K7" s="49"/>
      <c r="L7" s="49"/>
      <c r="M7" s="125">
        <f>IFERROR(__xludf.DUMMYFUNCTION("""COMPUTED_VALUE"""),20000.0)</f>
        <v>20000</v>
      </c>
      <c r="N7" s="125">
        <f>IFERROR(__xludf.DUMMYFUNCTION("""COMPUTED_VALUE"""),20000.0)</f>
        <v>20000</v>
      </c>
      <c r="O7" s="49"/>
      <c r="P7" s="49"/>
      <c r="Q7" s="49"/>
      <c r="R7" s="49"/>
      <c r="S7" s="49"/>
      <c r="T7" s="49"/>
      <c r="U7" s="49"/>
      <c r="V7" s="49"/>
      <c r="W7" s="49"/>
      <c r="X7" s="49"/>
      <c r="Y7" s="49"/>
      <c r="Z7" s="49"/>
      <c r="AA7" s="49"/>
      <c r="AB7" s="49"/>
      <c r="AC7" s="49"/>
      <c r="AD7" s="49"/>
      <c r="AE7" s="49"/>
      <c r="AF7" s="49" t="str">
        <f>IFERROR(__xludf.DUMMYFUNCTION("""COMPUTED_VALUE"""),"++X2 Defense for all allies")</f>
        <v>++X2 Defense for all allies</v>
      </c>
      <c r="AG7" s="49" t="str">
        <f>IFERROR(__xludf.DUMMYFUNCTION("""COMPUTED_VALUE"""),"Land of Spira")</f>
        <v>Land of Spira</v>
      </c>
      <c r="AH7" s="49" t="b">
        <f>IFERROR(__xludf.DUMMYFUNCTION("""COMPUTED_VALUE"""),FALSE)</f>
        <v>0</v>
      </c>
    </row>
    <row r="8">
      <c r="A8" s="49" t="str">
        <f>IFERROR(__xludf.DUMMYFUNCTION("""COMPUTED_VALUE"""),"Aqua Robe")</f>
        <v>Aqua Robe</v>
      </c>
      <c r="B8" s="49" t="str">
        <f>IFERROR(__xludf.DUMMYFUNCTION("""COMPUTED_VALUE"""),"Torso")</f>
        <v>Torso</v>
      </c>
      <c r="C8" s="49"/>
      <c r="D8" s="49"/>
      <c r="E8" s="49">
        <f>IFERROR(__xludf.DUMMYFUNCTION("""COMPUTED_VALUE"""),40.0)</f>
        <v>40</v>
      </c>
      <c r="F8" s="112">
        <f>IFERROR(__xludf.DUMMYFUNCTION("""COMPUTED_VALUE"""),60000.0)</f>
        <v>60000</v>
      </c>
      <c r="G8" s="49" t="str">
        <f>IFERROR(__xludf.DUMMYFUNCTION("""COMPUTED_VALUE"""),"DEF")</f>
        <v>DEF</v>
      </c>
      <c r="H8" s="49">
        <f>IFERROR(__xludf.DUMMYFUNCTION("""COMPUTED_VALUE"""),1000.0)</f>
        <v>1000</v>
      </c>
      <c r="I8" s="49"/>
      <c r="J8" s="49"/>
      <c r="K8" s="49">
        <f>IFERROR(__xludf.DUMMYFUNCTION("""COMPUTED_VALUE"""),1000.0)</f>
        <v>1000</v>
      </c>
      <c r="L8" s="49"/>
      <c r="M8" s="49"/>
      <c r="N8" s="49"/>
      <c r="O8" s="49"/>
      <c r="P8" s="49"/>
      <c r="Q8" s="49"/>
      <c r="R8" s="49"/>
      <c r="S8" s="49"/>
      <c r="T8" s="49"/>
      <c r="U8" s="49"/>
      <c r="V8" s="49"/>
      <c r="W8" s="49"/>
      <c r="X8" s="49"/>
      <c r="Y8" s="49"/>
      <c r="Z8" s="49"/>
      <c r="AA8" s="49"/>
      <c r="AB8" s="49"/>
      <c r="AC8" s="49"/>
      <c r="AD8" s="49"/>
      <c r="AE8" s="49"/>
      <c r="AF8" s="49" t="str">
        <f>IFERROR(__xludf.DUMMYFUNCTION("""COMPUTED_VALUE"""),"++X4 damage additional water damage for the user.")</f>
        <v>++X4 damage additional water damage for the user.</v>
      </c>
      <c r="AG8" s="49" t="str">
        <f>IFERROR(__xludf.DUMMYFUNCTION("""COMPUTED_VALUE"""),"Land of Spira")</f>
        <v>Land of Spira</v>
      </c>
      <c r="AH8" s="49" t="b">
        <f>IFERROR(__xludf.DUMMYFUNCTION("""COMPUTED_VALUE"""),FALSE)</f>
        <v>0</v>
      </c>
    </row>
    <row r="9">
      <c r="A9" s="49" t="str">
        <f>IFERROR(__xludf.DUMMYFUNCTION("""COMPUTED_VALUE"""),"Aquatic Boots of Atlantis")</f>
        <v>Aquatic Boots of Atlantis</v>
      </c>
      <c r="B9" s="49" t="str">
        <f>IFERROR(__xludf.DUMMYFUNCTION("""COMPUTED_VALUE"""),"Feet")</f>
        <v>Feet</v>
      </c>
      <c r="C9" s="49"/>
      <c r="D9" s="49"/>
      <c r="E9" s="49">
        <f>IFERROR(__xludf.DUMMYFUNCTION("""COMPUTED_VALUE"""),300.0)</f>
        <v>300</v>
      </c>
      <c r="F9" s="112">
        <f>IFERROR(__xludf.DUMMYFUNCTION("""COMPUTED_VALUE"""),4350000.0)</f>
        <v>4350000</v>
      </c>
      <c r="G9" s="49" t="str">
        <f>IFERROR(__xludf.DUMMYFUNCTION("""COMPUTED_VALUE"""),"DEF")</f>
        <v>DEF</v>
      </c>
      <c r="H9" s="49">
        <f>IFERROR(__xludf.DUMMYFUNCTION("""COMPUTED_VALUE"""),7500.0)</f>
        <v>7500</v>
      </c>
      <c r="I9" s="49"/>
      <c r="J9" s="49"/>
      <c r="K9" s="49">
        <f>IFERROR(__xludf.DUMMYFUNCTION("""COMPUTED_VALUE"""),7500.0)</f>
        <v>7500</v>
      </c>
      <c r="L9" s="49"/>
      <c r="M9" s="49"/>
      <c r="N9" s="49"/>
      <c r="O9" s="49"/>
      <c r="P9" s="49"/>
      <c r="Q9" s="49"/>
      <c r="R9" s="49"/>
      <c r="S9" s="49"/>
      <c r="T9" s="49"/>
      <c r="U9" s="49"/>
      <c r="V9" s="49"/>
      <c r="W9" s="49"/>
      <c r="X9" s="49"/>
      <c r="Y9" s="49"/>
      <c r="Z9" s="49"/>
      <c r="AA9" s="49"/>
      <c r="AB9" s="49"/>
      <c r="AC9" s="49"/>
      <c r="AD9" s="49"/>
      <c r="AE9" s="49"/>
      <c r="AF9" s="49" t="str">
        <f>IFERROR(__xludf.DUMMYFUNCTION("""COMPUTED_VALUE"""),"++X6 additional water damage for self.")</f>
        <v>++X6 additional water damage for self.</v>
      </c>
      <c r="AG9" s="49" t="str">
        <f>IFERROR(__xludf.DUMMYFUNCTION("""COMPUTED_VALUE"""),"Land of Spira")</f>
        <v>Land of Spira</v>
      </c>
      <c r="AH9" s="49" t="b">
        <f>IFERROR(__xludf.DUMMYFUNCTION("""COMPUTED_VALUE"""),FALSE)</f>
        <v>0</v>
      </c>
    </row>
    <row r="10">
      <c r="A10" s="49" t="str">
        <f>IFERROR(__xludf.DUMMYFUNCTION("""COMPUTED_VALUE"""),"Aquatic Chestplate of Atlantis")</f>
        <v>Aquatic Chestplate of Atlantis</v>
      </c>
      <c r="B10" s="49" t="str">
        <f>IFERROR(__xludf.DUMMYFUNCTION("""COMPUTED_VALUE"""),"Torso")</f>
        <v>Torso</v>
      </c>
      <c r="C10" s="49"/>
      <c r="D10" s="49"/>
      <c r="E10" s="49">
        <f>IFERROR(__xludf.DUMMYFUNCTION("""COMPUTED_VALUE"""),600.0)</f>
        <v>600</v>
      </c>
      <c r="F10" s="112">
        <f>IFERROR(__xludf.DUMMYFUNCTION("""COMPUTED_VALUE"""),1.77E7)</f>
        <v>17700000</v>
      </c>
      <c r="G10" s="49" t="str">
        <f>IFERROR(__xludf.DUMMYFUNCTION("""COMPUTED_VALUE"""),"DEF")</f>
        <v>DEF</v>
      </c>
      <c r="H10" s="125">
        <f>IFERROR(__xludf.DUMMYFUNCTION("""COMPUTED_VALUE"""),15000.0)</f>
        <v>15000</v>
      </c>
      <c r="I10" s="49"/>
      <c r="J10" s="49"/>
      <c r="K10" s="125">
        <f>IFERROR(__xludf.DUMMYFUNCTION("""COMPUTED_VALUE"""),15000.0)</f>
        <v>15000</v>
      </c>
      <c r="L10" s="49"/>
      <c r="M10" s="49"/>
      <c r="N10" s="49"/>
      <c r="O10" s="49"/>
      <c r="P10" s="49"/>
      <c r="Q10" s="49"/>
      <c r="R10" s="49"/>
      <c r="S10" s="49"/>
      <c r="T10" s="49"/>
      <c r="U10" s="49"/>
      <c r="V10" s="49"/>
      <c r="W10" s="49"/>
      <c r="X10" s="49"/>
      <c r="Y10" s="49"/>
      <c r="Z10" s="49"/>
      <c r="AA10" s="49"/>
      <c r="AB10" s="49"/>
      <c r="AC10" s="49"/>
      <c r="AD10" s="49"/>
      <c r="AE10" s="49"/>
      <c r="AF10" s="49"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49" t="str">
        <f>IFERROR(__xludf.DUMMYFUNCTION("""COMPUTED_VALUE"""),"Land of Spira")</f>
        <v>Land of Spira</v>
      </c>
      <c r="AH10" s="49" t="b">
        <f>IFERROR(__xludf.DUMMYFUNCTION("""COMPUTED_VALUE"""),FALSE)</f>
        <v>0</v>
      </c>
    </row>
    <row r="11">
      <c r="A11" s="49" t="str">
        <f>IFERROR(__xludf.DUMMYFUNCTION("""COMPUTED_VALUE"""),"Aquatic Greaves of Atlantis")</f>
        <v>Aquatic Greaves of Atlantis</v>
      </c>
      <c r="B11" s="49" t="str">
        <f>IFERROR(__xludf.DUMMYFUNCTION("""COMPUTED_VALUE"""),"Legs")</f>
        <v>Legs</v>
      </c>
      <c r="C11" s="49"/>
      <c r="D11" s="49"/>
      <c r="E11" s="49">
        <f>IFERROR(__xludf.DUMMYFUNCTION("""COMPUTED_VALUE"""),300.0)</f>
        <v>300</v>
      </c>
      <c r="F11" s="112">
        <f>IFERROR(__xludf.DUMMYFUNCTION("""COMPUTED_VALUE"""),4350000.0)</f>
        <v>4350000</v>
      </c>
      <c r="G11" s="49" t="str">
        <f>IFERROR(__xludf.DUMMYFUNCTION("""COMPUTED_VALUE"""),"DEF")</f>
        <v>DEF</v>
      </c>
      <c r="H11" s="49">
        <f>IFERROR(__xludf.DUMMYFUNCTION("""COMPUTED_VALUE"""),7500.0)</f>
        <v>7500</v>
      </c>
      <c r="I11" s="49"/>
      <c r="J11" s="49"/>
      <c r="K11" s="49">
        <f>IFERROR(__xludf.DUMMYFUNCTION("""COMPUTED_VALUE"""),7500.0)</f>
        <v>7500</v>
      </c>
      <c r="L11" s="49"/>
      <c r="M11" s="49"/>
      <c r="N11" s="49"/>
      <c r="O11" s="49"/>
      <c r="P11" s="49"/>
      <c r="Q11" s="49"/>
      <c r="R11" s="49"/>
      <c r="S11" s="49"/>
      <c r="T11" s="49"/>
      <c r="U11" s="49"/>
      <c r="V11" s="49"/>
      <c r="W11" s="49"/>
      <c r="X11" s="49"/>
      <c r="Y11" s="49"/>
      <c r="Z11" s="49"/>
      <c r="AA11" s="49"/>
      <c r="AB11" s="49"/>
      <c r="AC11" s="49"/>
      <c r="AD11" s="49"/>
      <c r="AE11" s="49"/>
      <c r="AF11" s="49" t="str">
        <f>IFERROR(__xludf.DUMMYFUNCTION("""COMPUTED_VALUE"""),"++X6 additional water damage for self.")</f>
        <v>++X6 additional water damage for self.</v>
      </c>
      <c r="AG11" s="49" t="str">
        <f>IFERROR(__xludf.DUMMYFUNCTION("""COMPUTED_VALUE"""),"Land of Spira")</f>
        <v>Land of Spira</v>
      </c>
      <c r="AH11" s="49" t="b">
        <f>IFERROR(__xludf.DUMMYFUNCTION("""COMPUTED_VALUE"""),FALSE)</f>
        <v>0</v>
      </c>
    </row>
    <row r="12">
      <c r="A12" s="49" t="str">
        <f>IFERROR(__xludf.DUMMYFUNCTION("""COMPUTED_VALUE"""),"Aquatic Helmet of Atlantis")</f>
        <v>Aquatic Helmet of Atlantis</v>
      </c>
      <c r="B12" s="49" t="str">
        <f>IFERROR(__xludf.DUMMYFUNCTION("""COMPUTED_VALUE"""),"Head")</f>
        <v>Head</v>
      </c>
      <c r="C12" s="49"/>
      <c r="D12" s="49"/>
      <c r="E12" s="49">
        <f>IFERROR(__xludf.DUMMYFUNCTION("""COMPUTED_VALUE"""),300.0)</f>
        <v>300</v>
      </c>
      <c r="F12" s="112">
        <f>IFERROR(__xludf.DUMMYFUNCTION("""COMPUTED_VALUE"""),4350000.0)</f>
        <v>4350000</v>
      </c>
      <c r="G12" s="49" t="str">
        <f>IFERROR(__xludf.DUMMYFUNCTION("""COMPUTED_VALUE"""),"DEF")</f>
        <v>DEF</v>
      </c>
      <c r="H12" s="49">
        <f>IFERROR(__xludf.DUMMYFUNCTION("""COMPUTED_VALUE"""),7500.0)</f>
        <v>7500</v>
      </c>
      <c r="I12" s="49"/>
      <c r="J12" s="49"/>
      <c r="K12" s="49">
        <f>IFERROR(__xludf.DUMMYFUNCTION("""COMPUTED_VALUE"""),7500.0)</f>
        <v>7500</v>
      </c>
      <c r="L12" s="49"/>
      <c r="M12" s="49"/>
      <c r="N12" s="49"/>
      <c r="O12" s="49"/>
      <c r="P12" s="49"/>
      <c r="Q12" s="49"/>
      <c r="R12" s="49"/>
      <c r="S12" s="49"/>
      <c r="T12" s="49"/>
      <c r="U12" s="49"/>
      <c r="V12" s="49"/>
      <c r="W12" s="49"/>
      <c r="X12" s="49"/>
      <c r="Y12" s="49"/>
      <c r="Z12" s="49"/>
      <c r="AA12" s="49"/>
      <c r="AB12" s="49"/>
      <c r="AC12" s="49"/>
      <c r="AD12" s="49"/>
      <c r="AE12" s="49"/>
      <c r="AF12" s="49" t="str">
        <f>IFERROR(__xludf.DUMMYFUNCTION("""COMPUTED_VALUE"""),"++X6 additional water damage for self.")</f>
        <v>++X6 additional water damage for self.</v>
      </c>
      <c r="AG12" s="49" t="str">
        <f>IFERROR(__xludf.DUMMYFUNCTION("""COMPUTED_VALUE"""),"Land of Spira")</f>
        <v>Land of Spira</v>
      </c>
      <c r="AH12" s="49" t="b">
        <f>IFERROR(__xludf.DUMMYFUNCTION("""COMPUTED_VALUE"""),FALSE)</f>
        <v>0</v>
      </c>
    </row>
    <row r="13">
      <c r="A13" s="49" t="str">
        <f>IFERROR(__xludf.DUMMYFUNCTION("""COMPUTED_VALUE"""),"Aquatic Pauldrons of Atlantis")</f>
        <v>Aquatic Pauldrons of Atlantis</v>
      </c>
      <c r="B13" s="49" t="str">
        <f>IFERROR(__xludf.DUMMYFUNCTION("""COMPUTED_VALUE"""),"Shoulders")</f>
        <v>Shoulders</v>
      </c>
      <c r="C13" s="49"/>
      <c r="D13" s="49"/>
      <c r="E13" s="49">
        <f>IFERROR(__xludf.DUMMYFUNCTION("""COMPUTED_VALUE"""),300.0)</f>
        <v>300</v>
      </c>
      <c r="F13" s="112">
        <f>IFERROR(__xludf.DUMMYFUNCTION("""COMPUTED_VALUE"""),4350000.0)</f>
        <v>4350000</v>
      </c>
      <c r="G13" s="49" t="str">
        <f>IFERROR(__xludf.DUMMYFUNCTION("""COMPUTED_VALUE"""),"DEF")</f>
        <v>DEF</v>
      </c>
      <c r="H13" s="49">
        <f>IFERROR(__xludf.DUMMYFUNCTION("""COMPUTED_VALUE"""),7500.0)</f>
        <v>7500</v>
      </c>
      <c r="I13" s="49"/>
      <c r="J13" s="49"/>
      <c r="K13" s="49">
        <f>IFERROR(__xludf.DUMMYFUNCTION("""COMPUTED_VALUE"""),7500.0)</f>
        <v>7500</v>
      </c>
      <c r="L13" s="49"/>
      <c r="M13" s="49"/>
      <c r="N13" s="49"/>
      <c r="O13" s="49"/>
      <c r="P13" s="49"/>
      <c r="Q13" s="49"/>
      <c r="R13" s="49"/>
      <c r="S13" s="49"/>
      <c r="T13" s="49"/>
      <c r="U13" s="49"/>
      <c r="V13" s="49"/>
      <c r="W13" s="49"/>
      <c r="X13" s="49"/>
      <c r="Y13" s="49"/>
      <c r="Z13" s="49"/>
      <c r="AA13" s="49"/>
      <c r="AB13" s="49"/>
      <c r="AC13" s="49"/>
      <c r="AD13" s="49"/>
      <c r="AE13" s="49"/>
      <c r="AF13" s="49" t="str">
        <f>IFERROR(__xludf.DUMMYFUNCTION("""COMPUTED_VALUE"""),"++X6 additional water damage for self.")</f>
        <v>++X6 additional water damage for self.</v>
      </c>
      <c r="AG13" s="49" t="str">
        <f>IFERROR(__xludf.DUMMYFUNCTION("""COMPUTED_VALUE"""),"Land of Spira")</f>
        <v>Land of Spira</v>
      </c>
      <c r="AH13" s="49" t="b">
        <f>IFERROR(__xludf.DUMMYFUNCTION("""COMPUTED_VALUE"""),FALSE)</f>
        <v>0</v>
      </c>
    </row>
    <row r="14">
      <c r="A14" s="49" t="str">
        <f>IFERROR(__xludf.DUMMYFUNCTION("""COMPUTED_VALUE"""),"Aquatic Sword of Atlantis")</f>
        <v>Aquatic Sword of Atlantis</v>
      </c>
      <c r="B14" s="49" t="str">
        <f>IFERROR(__xludf.DUMMYFUNCTION("""COMPUTED_VALUE"""),"Hand")</f>
        <v>Hand</v>
      </c>
      <c r="C14" s="49"/>
      <c r="D14" s="49" t="str">
        <f>IFERROR(__xludf.DUMMYFUNCTION("""COMPUTED_VALUE"""),"Sword")</f>
        <v>Sword</v>
      </c>
      <c r="E14" s="49">
        <f>IFERROR(__xludf.DUMMYFUNCTION("""COMPUTED_VALUE"""),1200.0)</f>
        <v>1200</v>
      </c>
      <c r="F14" s="112">
        <f>IFERROR(__xludf.DUMMYFUNCTION("""COMPUTED_VALUE"""),7.14E7)</f>
        <v>71400000</v>
      </c>
      <c r="G14" s="49" t="str">
        <f>IFERROR(__xludf.DUMMYFUNCTION("""COMPUTED_VALUE"""),"DMG")</f>
        <v>DMG</v>
      </c>
      <c r="H14" s="125">
        <f>IFERROR(__xludf.DUMMYFUNCTION("""COMPUTED_VALUE"""),30000.0)</f>
        <v>30000</v>
      </c>
      <c r="I14" s="49"/>
      <c r="J14" s="49"/>
      <c r="K14" s="125">
        <f>IFERROR(__xludf.DUMMYFUNCTION("""COMPUTED_VALUE"""),30000.0)</f>
        <v>30000</v>
      </c>
      <c r="L14" s="49"/>
      <c r="M14" s="49"/>
      <c r="N14" s="49"/>
      <c r="O14" s="49"/>
      <c r="P14" s="49"/>
      <c r="Q14" s="49"/>
      <c r="R14" s="49"/>
      <c r="S14" s="49"/>
      <c r="T14" s="49"/>
      <c r="U14" s="49"/>
      <c r="V14" s="49"/>
      <c r="W14" s="49"/>
      <c r="X14" s="49"/>
      <c r="Y14" s="49"/>
      <c r="Z14" s="49"/>
      <c r="AA14" s="49"/>
      <c r="AB14" s="49"/>
      <c r="AC14" s="49"/>
      <c r="AD14" s="49"/>
      <c r="AE14" s="49"/>
      <c r="AF14" s="49"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49" t="str">
        <f>IFERROR(__xludf.DUMMYFUNCTION("""COMPUTED_VALUE"""),"Land of Spira")</f>
        <v>Land of Spira</v>
      </c>
      <c r="AH14" s="49" t="b">
        <f>IFERROR(__xludf.DUMMYFUNCTION("""COMPUTED_VALUE"""),FALSE)</f>
        <v>0</v>
      </c>
    </row>
    <row r="15">
      <c r="A15" s="49" t="str">
        <f>IFERROR(__xludf.DUMMYFUNCTION("""COMPUTED_VALUE"""),"Aquatic Vambraces of Atlantis")</f>
        <v>Aquatic Vambraces of Atlantis</v>
      </c>
      <c r="B15" s="49" t="str">
        <f>IFERROR(__xludf.DUMMYFUNCTION("""COMPUTED_VALUE"""),"Arms")</f>
        <v>Arms</v>
      </c>
      <c r="C15" s="49"/>
      <c r="D15" s="49"/>
      <c r="E15" s="49">
        <f>IFERROR(__xludf.DUMMYFUNCTION("""COMPUTED_VALUE"""),300.0)</f>
        <v>300</v>
      </c>
      <c r="F15" s="112">
        <f>IFERROR(__xludf.DUMMYFUNCTION("""COMPUTED_VALUE"""),4350000.0)</f>
        <v>4350000</v>
      </c>
      <c r="G15" s="49" t="str">
        <f>IFERROR(__xludf.DUMMYFUNCTION("""COMPUTED_VALUE"""),"DEF")</f>
        <v>DEF</v>
      </c>
      <c r="H15" s="49">
        <f>IFERROR(__xludf.DUMMYFUNCTION("""COMPUTED_VALUE"""),7500.0)</f>
        <v>7500</v>
      </c>
      <c r="I15" s="49"/>
      <c r="J15" s="49"/>
      <c r="K15" s="49">
        <f>IFERROR(__xludf.DUMMYFUNCTION("""COMPUTED_VALUE"""),7500.0)</f>
        <v>7500</v>
      </c>
      <c r="L15" s="49"/>
      <c r="M15" s="49"/>
      <c r="N15" s="49"/>
      <c r="O15" s="49"/>
      <c r="P15" s="49"/>
      <c r="Q15" s="49"/>
      <c r="R15" s="49"/>
      <c r="S15" s="49"/>
      <c r="T15" s="49"/>
      <c r="U15" s="49"/>
      <c r="V15" s="49"/>
      <c r="W15" s="49"/>
      <c r="X15" s="49"/>
      <c r="Y15" s="49"/>
      <c r="Z15" s="49"/>
      <c r="AA15" s="49"/>
      <c r="AB15" s="49"/>
      <c r="AC15" s="49"/>
      <c r="AD15" s="49"/>
      <c r="AE15" s="49"/>
      <c r="AF15" s="49" t="str">
        <f>IFERROR(__xludf.DUMMYFUNCTION("""COMPUTED_VALUE"""),"X6 additional water damage for self.")</f>
        <v>X6 additional water damage for self.</v>
      </c>
      <c r="AG15" s="49" t="str">
        <f>IFERROR(__xludf.DUMMYFUNCTION("""COMPUTED_VALUE"""),"Land of Spira")</f>
        <v>Land of Spira</v>
      </c>
      <c r="AH15" s="49" t="b">
        <f>IFERROR(__xludf.DUMMYFUNCTION("""COMPUTED_VALUE"""),FALSE)</f>
        <v>0</v>
      </c>
    </row>
    <row r="16">
      <c r="A16" s="49" t="str">
        <f>IFERROR(__xludf.DUMMYFUNCTION("""COMPUTED_VALUE"""),"Archer’s Cloaked Vest")</f>
        <v>Archer’s Cloaked Vest</v>
      </c>
      <c r="B16" s="49" t="str">
        <f>IFERROR(__xludf.DUMMYFUNCTION("""COMPUTED_VALUE"""),"Torso")</f>
        <v>Torso</v>
      </c>
      <c r="C16" s="49"/>
      <c r="D16" s="49"/>
      <c r="E16" s="49">
        <f>IFERROR(__xludf.DUMMYFUNCTION("""COMPUTED_VALUE"""),20.0)</f>
        <v>20</v>
      </c>
      <c r="F16" s="112">
        <f>IFERROR(__xludf.DUMMYFUNCTION("""COMPUTED_VALUE"""),1000.0)</f>
        <v>1000</v>
      </c>
      <c r="G16" s="49" t="str">
        <f>IFERROR(__xludf.DUMMYFUNCTION("""COMPUTED_VALUE"""),"DEF")</f>
        <v>DEF</v>
      </c>
      <c r="H16" s="49">
        <f>IFERROR(__xludf.DUMMYFUNCTION("""COMPUTED_VALUE"""),800.0)</f>
        <v>800</v>
      </c>
      <c r="I16" s="49"/>
      <c r="J16" s="49"/>
      <c r="K16" s="49"/>
      <c r="L16" s="49"/>
      <c r="M16" s="49"/>
      <c r="N16" s="49"/>
      <c r="O16" s="49"/>
      <c r="P16" s="49"/>
      <c r="Q16" s="49"/>
      <c r="R16" s="49"/>
      <c r="S16" s="49"/>
      <c r="T16" s="49"/>
      <c r="U16" s="49"/>
      <c r="V16" s="49"/>
      <c r="W16" s="49"/>
      <c r="X16" s="49"/>
      <c r="Y16" s="49"/>
      <c r="Z16" s="49"/>
      <c r="AA16" s="49"/>
      <c r="AB16" s="49"/>
      <c r="AC16" s="49"/>
      <c r="AD16" s="49"/>
      <c r="AE16" s="49"/>
      <c r="AF16" s="49"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49" t="str">
        <f>IFERROR(__xludf.DUMMYFUNCTION("""COMPUTED_VALUE"""),"Land of Spira")</f>
        <v>Land of Spira</v>
      </c>
      <c r="AH16" s="49" t="b">
        <f>IFERROR(__xludf.DUMMYFUNCTION("""COMPUTED_VALUE"""),FALSE)</f>
        <v>0</v>
      </c>
    </row>
    <row r="17">
      <c r="A17" s="49" t="str">
        <f>IFERROR(__xludf.DUMMYFUNCTION("""COMPUTED_VALUE"""),"Archers Boots")</f>
        <v>Archers Boots</v>
      </c>
      <c r="B17" s="49" t="str">
        <f>IFERROR(__xludf.DUMMYFUNCTION("""COMPUTED_VALUE"""),"Feet")</f>
        <v>Feet</v>
      </c>
      <c r="C17" s="49"/>
      <c r="D17" s="49"/>
      <c r="E17" s="49">
        <f>IFERROR(__xludf.DUMMYFUNCTION("""COMPUTED_VALUE"""),1.0)</f>
        <v>1</v>
      </c>
      <c r="F17" s="112">
        <f>IFERROR(__xludf.DUMMYFUNCTION("""COMPUTED_VALUE"""),0.0)</f>
        <v>0</v>
      </c>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t="str">
        <f>IFERROR(__xludf.DUMMYFUNCTION("""COMPUTED_VALUE"""),"(Ranger Set) ++5 evasion ++Only archers can equip, +-Cannot be duplicated or forged.")</f>
        <v>(Ranger Set) ++5 evasion ++Only archers can equip, +-Cannot be duplicated or forged.</v>
      </c>
      <c r="AG17" s="49" t="str">
        <f>IFERROR(__xludf.DUMMYFUNCTION("""COMPUTED_VALUE"""),"Land of Spira")</f>
        <v>Land of Spira</v>
      </c>
      <c r="AH17" s="49" t="b">
        <f>IFERROR(__xludf.DUMMYFUNCTION("""COMPUTED_VALUE"""),FALSE)</f>
        <v>0</v>
      </c>
    </row>
    <row r="18">
      <c r="A18" s="49" t="str">
        <f>IFERROR(__xludf.DUMMYFUNCTION("""COMPUTED_VALUE"""),"Archers Cloak")</f>
        <v>Archers Cloak</v>
      </c>
      <c r="B18" s="49" t="str">
        <f>IFERROR(__xludf.DUMMYFUNCTION("""COMPUTED_VALUE"""),"Torso")</f>
        <v>Torso</v>
      </c>
      <c r="C18" s="49"/>
      <c r="D18" s="49"/>
      <c r="E18" s="49">
        <f>IFERROR(__xludf.DUMMYFUNCTION("""COMPUTED_VALUE"""),1.0)</f>
        <v>1</v>
      </c>
      <c r="F18" s="112">
        <f>IFERROR(__xludf.DUMMYFUNCTION("""COMPUTED_VALUE"""),0.0)</f>
        <v>0</v>
      </c>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t="str">
        <f>IFERROR(__xludf.DUMMYFUNCTION("""COMPUTED_VALUE"""),"(Ranger Set) ++Ranged Spells cost half the sp cost ++Only archers can equip")</f>
        <v>(Ranger Set) ++Ranged Spells cost half the sp cost ++Only archers can equip</v>
      </c>
      <c r="AG18" s="49" t="str">
        <f>IFERROR(__xludf.DUMMYFUNCTION("""COMPUTED_VALUE"""),"Land of Spira")</f>
        <v>Land of Spira</v>
      </c>
      <c r="AH18" s="49" t="b">
        <f>IFERROR(__xludf.DUMMYFUNCTION("""COMPUTED_VALUE"""),FALSE)</f>
        <v>0</v>
      </c>
    </row>
    <row r="19">
      <c r="A19" s="49" t="str">
        <f>IFERROR(__xludf.DUMMYFUNCTION("""COMPUTED_VALUE"""),"Armor Of Cthulhu")</f>
        <v>Armor Of Cthulhu</v>
      </c>
      <c r="B19" s="49" t="str">
        <f>IFERROR(__xludf.DUMMYFUNCTION("""COMPUTED_VALUE"""),"Torso")</f>
        <v>Torso</v>
      </c>
      <c r="C19" s="49"/>
      <c r="D19" s="49"/>
      <c r="E19" s="49">
        <f>IFERROR(__xludf.DUMMYFUNCTION("""COMPUTED_VALUE"""),400.0)</f>
        <v>400</v>
      </c>
      <c r="F19" s="112">
        <f>IFERROR(__xludf.DUMMYFUNCTION("""COMPUTED_VALUE"""),7800000.0)</f>
        <v>7800000</v>
      </c>
      <c r="G19" s="49" t="str">
        <f>IFERROR(__xludf.DUMMYFUNCTION("""COMPUTED_VALUE"""),"DEF")</f>
        <v>DEF</v>
      </c>
      <c r="H19" s="49">
        <f>IFERROR(__xludf.DUMMYFUNCTION("""COMPUTED_VALUE"""),20000.0)</f>
        <v>20000</v>
      </c>
      <c r="I19" s="49"/>
      <c r="J19" s="49"/>
      <c r="K19" s="49"/>
      <c r="L19" s="49"/>
      <c r="M19" s="49"/>
      <c r="N19" s="49"/>
      <c r="O19" s="49"/>
      <c r="P19" s="49"/>
      <c r="Q19" s="49"/>
      <c r="R19" s="49"/>
      <c r="S19" s="49"/>
      <c r="T19" s="49"/>
      <c r="U19" s="49"/>
      <c r="V19" s="49"/>
      <c r="W19" s="49"/>
      <c r="X19" s="49"/>
      <c r="Y19" s="49"/>
      <c r="Z19" s="49"/>
      <c r="AA19" s="49"/>
      <c r="AB19" s="49"/>
      <c r="AC19" s="49"/>
      <c r="AD19" s="49"/>
      <c r="AE19" s="49"/>
      <c r="AF19" s="49"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49" t="str">
        <f>IFERROR(__xludf.DUMMYFUNCTION("""COMPUTED_VALUE"""),"Land of Spira")</f>
        <v>Land of Spira</v>
      </c>
      <c r="AH19" s="49" t="b">
        <f>IFERROR(__xludf.DUMMYFUNCTION("""COMPUTED_VALUE"""),FALSE)</f>
        <v>0</v>
      </c>
    </row>
    <row r="20">
      <c r="A20" s="49"/>
      <c r="B20" s="49" t="str">
        <f>IFERROR(__xludf.DUMMYFUNCTION("""COMPUTED_VALUE"""),"Torso")</f>
        <v>Torso</v>
      </c>
      <c r="C20" s="49"/>
      <c r="D20" s="49"/>
      <c r="E20" s="49">
        <f>IFERROR(__xludf.DUMMYFUNCTION("""COMPUTED_VALUE"""),200.0)</f>
        <v>200</v>
      </c>
      <c r="F20" s="112">
        <f>IFERROR(__xludf.DUMMYFUNCTION("""COMPUTED_VALUE"""),1900000.0)</f>
        <v>1900000</v>
      </c>
      <c r="G20" s="49" t="str">
        <f>IFERROR(__xludf.DUMMYFUNCTION("""COMPUTED_VALUE"""),"DEF")</f>
        <v>DEF</v>
      </c>
      <c r="H20" s="125">
        <f>IFERROR(__xludf.DUMMYFUNCTION("""COMPUTED_VALUE"""),10000.0)</f>
        <v>10000</v>
      </c>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t="str">
        <f>IFERROR(__xludf.DUMMYFUNCTION("""COMPUTED_VALUE"""),"Land of Spira")</f>
        <v>Land of Spira</v>
      </c>
      <c r="AH20" s="49" t="b">
        <f>IFERROR(__xludf.DUMMYFUNCTION("""COMPUTED_VALUE"""),FALSE)</f>
        <v>0</v>
      </c>
    </row>
    <row r="21">
      <c r="A21" s="49"/>
      <c r="B21" s="49" t="str">
        <f>IFERROR(__xludf.DUMMYFUNCTION("""COMPUTED_VALUE"""),"Torso")</f>
        <v>Torso</v>
      </c>
      <c r="C21" s="49" t="str">
        <f>IFERROR(__xludf.DUMMYFUNCTION("""COMPUTED_VALUE"""),"Winter Event Exclusive")</f>
        <v>Winter Event Exclusive</v>
      </c>
      <c r="D21" s="49"/>
      <c r="E21" s="49">
        <f>IFERROR(__xludf.DUMMYFUNCTION("""COMPUTED_VALUE"""),800.0)</f>
        <v>800</v>
      </c>
      <c r="F21" s="112">
        <f>IFERROR(__xludf.DUMMYFUNCTION("""COMPUTED_VALUE"""),3.16E7)</f>
        <v>31600000</v>
      </c>
      <c r="G21" s="49"/>
      <c r="H21" s="125">
        <f>IFERROR(__xludf.DUMMYFUNCTION("""COMPUTED_VALUE"""),20000.0)</f>
        <v>20000</v>
      </c>
      <c r="I21" s="125">
        <f>IFERROR(__xludf.DUMMYFUNCTION("""COMPUTED_VALUE"""),20000.0)</f>
        <v>20000</v>
      </c>
      <c r="J21" s="49"/>
      <c r="K21" s="49"/>
      <c r="L21" s="49"/>
      <c r="M21" s="49"/>
      <c r="N21" s="49"/>
      <c r="O21" s="49"/>
      <c r="P21" s="49"/>
      <c r="Q21" s="49"/>
      <c r="R21" s="49"/>
      <c r="S21" s="49"/>
      <c r="T21" s="49"/>
      <c r="U21" s="49"/>
      <c r="V21" s="49"/>
      <c r="W21" s="49"/>
      <c r="X21" s="49"/>
      <c r="Y21" s="49"/>
      <c r="Z21" s="49"/>
      <c r="AA21" s="49"/>
      <c r="AB21" s="49"/>
      <c r="AC21" s="49"/>
      <c r="AD21" s="49"/>
      <c r="AE21" s="49"/>
      <c r="AF21" s="49"/>
      <c r="AG21" s="49" t="str">
        <f>IFERROR(__xludf.DUMMYFUNCTION("""COMPUTED_VALUE"""),"Land of Spira")</f>
        <v>Land of Spira</v>
      </c>
      <c r="AH21" s="49" t="b">
        <f>IFERROR(__xludf.DUMMYFUNCTION("""COMPUTED_VALUE"""),FALSE)</f>
        <v>0</v>
      </c>
    </row>
    <row r="22">
      <c r="A22" s="49" t="str">
        <f>IFERROR(__xludf.DUMMYFUNCTION("""COMPUTED_VALUE"""),"Armor Of Zeldron")</f>
        <v>Armor Of Zeldron</v>
      </c>
      <c r="B22" s="49" t="str">
        <f>IFERROR(__xludf.DUMMYFUNCTION("""COMPUTED_VALUE"""),"Torso")</f>
        <v>Torso</v>
      </c>
      <c r="C22" s="49" t="str">
        <f>IFERROR(__xludf.DUMMYFUNCTION("""COMPUTED_VALUE"""),"Made of gold")</f>
        <v>Made of gold</v>
      </c>
      <c r="D22" s="49"/>
      <c r="E22" s="49">
        <f>IFERROR(__xludf.DUMMYFUNCTION("""COMPUTED_VALUE"""),400.0)</f>
        <v>400</v>
      </c>
      <c r="F22" s="112">
        <f>IFERROR(__xludf.DUMMYFUNCTION("""COMPUTED_VALUE"""),7800000.0)</f>
        <v>7800000</v>
      </c>
      <c r="G22" s="49" t="str">
        <f>IFERROR(__xludf.DUMMYFUNCTION("""COMPUTED_VALUE"""),"DEF")</f>
        <v>DEF</v>
      </c>
      <c r="H22" s="125">
        <f>IFERROR(__xludf.DUMMYFUNCTION("""COMPUTED_VALUE"""),10000.0)</f>
        <v>10000</v>
      </c>
      <c r="I22" s="49"/>
      <c r="J22" s="49"/>
      <c r="K22" s="49"/>
      <c r="L22" s="49"/>
      <c r="M22" s="49"/>
      <c r="N22" s="49"/>
      <c r="O22" s="49"/>
      <c r="P22" s="49"/>
      <c r="Q22" s="125">
        <f>IFERROR(__xludf.DUMMYFUNCTION("""COMPUTED_VALUE"""),10000.0)</f>
        <v>10000</v>
      </c>
      <c r="R22" s="49"/>
      <c r="S22" s="49"/>
      <c r="T22" s="49"/>
      <c r="U22" s="49"/>
      <c r="V22" s="49"/>
      <c r="W22" s="49"/>
      <c r="X22" s="49"/>
      <c r="Y22" s="49"/>
      <c r="Z22" s="49"/>
      <c r="AA22" s="49"/>
      <c r="AB22" s="49"/>
      <c r="AC22" s="49"/>
      <c r="AD22" s="49"/>
      <c r="AE22" s="49"/>
      <c r="AF22" s="49"/>
      <c r="AG22" s="49" t="str">
        <f>IFERROR(__xludf.DUMMYFUNCTION("""COMPUTED_VALUE"""),"Land of Spira")</f>
        <v>Land of Spira</v>
      </c>
      <c r="AH22" s="49" t="b">
        <f>IFERROR(__xludf.DUMMYFUNCTION("""COMPUTED_VALUE"""),TRUE)</f>
        <v>1</v>
      </c>
    </row>
    <row r="23">
      <c r="A23" s="49" t="str">
        <f>IFERROR(__xludf.DUMMYFUNCTION("""COMPUTED_VALUE"""),"Ashen Pole Axe")</f>
        <v>Ashen Pole Axe</v>
      </c>
      <c r="B23" s="49" t="str">
        <f>IFERROR(__xludf.DUMMYFUNCTION("""COMPUTED_VALUE"""),"Hand")</f>
        <v>Hand</v>
      </c>
      <c r="C23" s="49"/>
      <c r="D23" s="49" t="str">
        <f>IFERROR(__xludf.DUMMYFUNCTION("""COMPUTED_VALUE"""),"Axe")</f>
        <v>Axe</v>
      </c>
      <c r="E23" s="49">
        <f>IFERROR(__xludf.DUMMYFUNCTION("""COMPUTED_VALUE"""),20.0)</f>
        <v>20</v>
      </c>
      <c r="F23" s="112">
        <f>IFERROR(__xludf.DUMMYFUNCTION("""COMPUTED_VALUE"""),10000.0)</f>
        <v>10000</v>
      </c>
      <c r="G23" s="49" t="str">
        <f>IFERROR(__xludf.DUMMYFUNCTION("""COMPUTED_VALUE"""),"DMG")</f>
        <v>DMG</v>
      </c>
      <c r="H23" s="49">
        <f>IFERROR(__xludf.DUMMYFUNCTION("""COMPUTED_VALUE"""),500.0)</f>
        <v>500</v>
      </c>
      <c r="I23" s="49">
        <f>IFERROR(__xludf.DUMMYFUNCTION("""COMPUTED_VALUE"""),500.0)</f>
        <v>500</v>
      </c>
      <c r="J23" s="49"/>
      <c r="K23" s="49"/>
      <c r="L23" s="49"/>
      <c r="M23" s="49"/>
      <c r="N23" s="49"/>
      <c r="O23" s="49"/>
      <c r="P23" s="49"/>
      <c r="Q23" s="49"/>
      <c r="R23" s="49"/>
      <c r="S23" s="49"/>
      <c r="T23" s="49"/>
      <c r="U23" s="49"/>
      <c r="V23" s="49"/>
      <c r="W23" s="49"/>
      <c r="X23" s="49"/>
      <c r="Y23" s="49"/>
      <c r="Z23" s="49"/>
      <c r="AA23" s="49"/>
      <c r="AB23" s="49"/>
      <c r="AC23" s="49"/>
      <c r="AD23" s="49"/>
      <c r="AE23" s="49"/>
      <c r="AF23" s="49" t="str">
        <f>IFERROR(__xludf.DUMMYFUNCTION("""COMPUTED_VALUE"""),"++Inflicts Burn 500")</f>
        <v>++Inflicts Burn 500</v>
      </c>
      <c r="AG23" s="49" t="str">
        <f>IFERROR(__xludf.DUMMYFUNCTION("""COMPUTED_VALUE"""),"Land of Spira")</f>
        <v>Land of Spira</v>
      </c>
      <c r="AH23" s="49" t="b">
        <f>IFERROR(__xludf.DUMMYFUNCTION("""COMPUTED_VALUE"""),FALSE)</f>
        <v>0</v>
      </c>
    </row>
    <row r="24">
      <c r="A24" s="49" t="str">
        <f>IFERROR(__xludf.DUMMYFUNCTION("""COMPUTED_VALUE"""),"Bamboo Spear")</f>
        <v>Bamboo Spear</v>
      </c>
      <c r="B24" s="49" t="str">
        <f>IFERROR(__xludf.DUMMYFUNCTION("""COMPUTED_VALUE"""),"Hand")</f>
        <v>Hand</v>
      </c>
      <c r="C24" s="49"/>
      <c r="D24" s="49" t="str">
        <f>IFERROR(__xludf.DUMMYFUNCTION("""COMPUTED_VALUE"""),"Spear")</f>
        <v>Spear</v>
      </c>
      <c r="E24" s="49">
        <f>IFERROR(__xludf.DUMMYFUNCTION("""COMPUTED_VALUE"""),60.0)</f>
        <v>60</v>
      </c>
      <c r="F24" s="112">
        <f>IFERROR(__xludf.DUMMYFUNCTION("""COMPUTED_VALUE"""),150000.0)</f>
        <v>150000</v>
      </c>
      <c r="G24" s="49" t="str">
        <f>IFERROR(__xludf.DUMMYFUNCTION("""COMPUTED_VALUE"""),"DMG")</f>
        <v>DMG</v>
      </c>
      <c r="H24" s="49">
        <f>IFERROR(__xludf.DUMMYFUNCTION("""COMPUTED_VALUE"""),1000.0)</f>
        <v>1000</v>
      </c>
      <c r="I24" s="49"/>
      <c r="J24" s="49"/>
      <c r="K24" s="49"/>
      <c r="L24" s="49"/>
      <c r="M24" s="49"/>
      <c r="N24" s="49"/>
      <c r="O24" s="49"/>
      <c r="P24" s="49"/>
      <c r="Q24" s="49"/>
      <c r="R24" s="49"/>
      <c r="S24" s="49">
        <f>IFERROR(__xludf.DUMMYFUNCTION("""COMPUTED_VALUE"""),1000.0)</f>
        <v>1000</v>
      </c>
      <c r="T24" s="49"/>
      <c r="U24" s="49"/>
      <c r="V24" s="49"/>
      <c r="W24" s="49"/>
      <c r="X24" s="49"/>
      <c r="Y24" s="49">
        <f>IFERROR(__xludf.DUMMYFUNCTION("""COMPUTED_VALUE"""),1000.0)</f>
        <v>1000</v>
      </c>
      <c r="Z24" s="49"/>
      <c r="AA24" s="49"/>
      <c r="AB24" s="49"/>
      <c r="AC24" s="49"/>
      <c r="AD24" s="49"/>
      <c r="AE24" s="49"/>
      <c r="AF24" s="49" t="str">
        <f>IFERROR(__xludf.DUMMYFUNCTION("""COMPUTED_VALUE"""),"++When striking an enemy with this weapon, they X2 additional Nature damage.")</f>
        <v>++When striking an enemy with this weapon, they X2 additional Nature damage.</v>
      </c>
      <c r="AG24" s="49" t="str">
        <f>IFERROR(__xludf.DUMMYFUNCTION("""COMPUTED_VALUE"""),"Land of Spira")</f>
        <v>Land of Spira</v>
      </c>
      <c r="AH24" s="49" t="b">
        <f>IFERROR(__xludf.DUMMYFUNCTION("""COMPUTED_VALUE"""),FALSE)</f>
        <v>0</v>
      </c>
    </row>
    <row r="25">
      <c r="A25" s="49" t="str">
        <f>IFERROR(__xludf.DUMMYFUNCTION("""COMPUTED_VALUE"""),"Baosheng’s Restore Pendant")</f>
        <v>Baosheng’s Restore Pendant</v>
      </c>
      <c r="B25" s="49" t="str">
        <f>IFERROR(__xludf.DUMMYFUNCTION("""COMPUTED_VALUE"""),"Neck")</f>
        <v>Neck</v>
      </c>
      <c r="C25" s="49"/>
      <c r="D25" s="49"/>
      <c r="E25" s="49">
        <f>IFERROR(__xludf.DUMMYFUNCTION("""COMPUTED_VALUE"""),1.0)</f>
        <v>1</v>
      </c>
      <c r="F25" s="112">
        <f>IFERROR(__xludf.DUMMYFUNCTION("""COMPUTED_VALUE"""),0.0)</f>
        <v>0</v>
      </c>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t="str">
        <f>IFERROR(__xludf.DUMMYFUNCTION("""COMPUTED_VALUE"""),"++Restores 100 HP and SP per round during battle.")</f>
        <v>++Restores 100 HP and SP per round during battle.</v>
      </c>
      <c r="AG25" s="49" t="str">
        <f>IFERROR(__xludf.DUMMYFUNCTION("""COMPUTED_VALUE"""),"Land of Spira")</f>
        <v>Land of Spira</v>
      </c>
      <c r="AH25" s="49" t="b">
        <f>IFERROR(__xludf.DUMMYFUNCTION("""COMPUTED_VALUE"""),FALSE)</f>
        <v>0</v>
      </c>
    </row>
    <row r="26">
      <c r="A26" s="49" t="str">
        <f>IFERROR(__xludf.DUMMYFUNCTION("""COMPUTED_VALUE"""),"Basic Cannon")</f>
        <v>Basic Cannon</v>
      </c>
      <c r="B26" s="49" t="str">
        <f>IFERROR(__xludf.DUMMYFUNCTION("""COMPUTED_VALUE"""),"BoatGun")</f>
        <v>BoatGun</v>
      </c>
      <c r="C26" s="49"/>
      <c r="D26" s="49" t="str">
        <f>IFERROR(__xludf.DUMMYFUNCTION("""COMPUTED_VALUE"""),"Firearm")</f>
        <v>Firearm</v>
      </c>
      <c r="E26" s="49">
        <f>IFERROR(__xludf.DUMMYFUNCTION("""COMPUTED_VALUE"""),400.0)</f>
        <v>400</v>
      </c>
      <c r="F26" s="112">
        <f>IFERROR(__xludf.DUMMYFUNCTION("""COMPUTED_VALUE"""),7800000.0)</f>
        <v>7800000</v>
      </c>
      <c r="G26" s="49" t="str">
        <f>IFERROR(__xludf.DUMMYFUNCTION("""COMPUTED_VALUE"""),"DMG")</f>
        <v>DMG</v>
      </c>
      <c r="H26" s="125">
        <f>IFERROR(__xludf.DUMMYFUNCTION("""COMPUTED_VALUE"""),20000.0)</f>
        <v>20000</v>
      </c>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t="str">
        <f>IFERROR(__xludf.DUMMYFUNCTION("""COMPUTED_VALUE"""),"Land of Spira")</f>
        <v>Land of Spira</v>
      </c>
      <c r="AH26" s="49" t="b">
        <f>IFERROR(__xludf.DUMMYFUNCTION("""COMPUTED_VALUE"""),FALSE)</f>
        <v>0</v>
      </c>
    </row>
    <row r="27">
      <c r="A27" s="49" t="str">
        <f>IFERROR(__xludf.DUMMYFUNCTION("""COMPUTED_VALUE"""),"Beltane Floral crown")</f>
        <v>Beltane Floral crown</v>
      </c>
      <c r="B27" s="49" t="str">
        <f>IFERROR(__xludf.DUMMYFUNCTION("""COMPUTED_VALUE"""),"Head")</f>
        <v>Head</v>
      </c>
      <c r="C27" s="49"/>
      <c r="D27" s="49"/>
      <c r="E27" s="49">
        <f>IFERROR(__xludf.DUMMYFUNCTION("""COMPUTED_VALUE"""),1.0)</f>
        <v>1</v>
      </c>
      <c r="F27" s="112">
        <f>IFERROR(__xludf.DUMMYFUNCTION("""COMPUTED_VALUE"""),0.0)</f>
        <v>0</v>
      </c>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t="str">
        <f>IFERROR(__xludf.DUMMYFUNCTION("""COMPUTED_VALUE"""),"++Grants immunity to Nature.")</f>
        <v>++Grants immunity to Nature.</v>
      </c>
      <c r="AG27" s="49" t="str">
        <f>IFERROR(__xludf.DUMMYFUNCTION("""COMPUTED_VALUE"""),"Land of Spira")</f>
        <v>Land of Spira</v>
      </c>
      <c r="AH27" s="49" t="b">
        <f>IFERROR(__xludf.DUMMYFUNCTION("""COMPUTED_VALUE"""),FALSE)</f>
        <v>0</v>
      </c>
    </row>
    <row r="28">
      <c r="A28" s="49" t="str">
        <f>IFERROR(__xludf.DUMMYFUNCTION("""COMPUTED_VALUE"""),"Beta Sword")</f>
        <v>Beta Sword</v>
      </c>
      <c r="B28" s="49" t="str">
        <f>IFERROR(__xludf.DUMMYFUNCTION("""COMPUTED_VALUE"""),"Hand")</f>
        <v>Hand</v>
      </c>
      <c r="C28" s="49"/>
      <c r="D28" s="49"/>
      <c r="E28" s="49">
        <f>IFERROR(__xludf.DUMMYFUNCTION("""COMPUTED_VALUE"""),3000.0)</f>
        <v>3000</v>
      </c>
      <c r="F28" s="112">
        <f>IFERROR(__xludf.DUMMYFUNCTION("""COMPUTED_VALUE"""),4.485E8)</f>
        <v>448500000</v>
      </c>
      <c r="G28" s="49" t="str">
        <f>IFERROR(__xludf.DUMMYFUNCTION("""COMPUTED_VALUE"""),"DMG")</f>
        <v>DMG</v>
      </c>
      <c r="H28" s="125">
        <f>IFERROR(__xludf.DUMMYFUNCTION("""COMPUTED_VALUE"""),125000.0)</f>
        <v>125000</v>
      </c>
      <c r="I28" s="49"/>
      <c r="J28" s="49"/>
      <c r="K28" s="49"/>
      <c r="L28" s="49"/>
      <c r="M28" s="49"/>
      <c r="N28" s="49"/>
      <c r="O28" s="125">
        <f>IFERROR(__xludf.DUMMYFUNCTION("""COMPUTED_VALUE"""),25000.0)</f>
        <v>25000</v>
      </c>
      <c r="P28" s="49"/>
      <c r="Q28" s="49"/>
      <c r="R28" s="49"/>
      <c r="S28" s="49"/>
      <c r="T28" s="49"/>
      <c r="U28" s="49"/>
      <c r="V28" s="49"/>
      <c r="W28" s="49"/>
      <c r="X28" s="49"/>
      <c r="Y28" s="49"/>
      <c r="Z28" s="49"/>
      <c r="AA28" s="49"/>
      <c r="AB28" s="49"/>
      <c r="AC28" s="49"/>
      <c r="AD28" s="49"/>
      <c r="AE28" s="49"/>
      <c r="AF28" s="49" t="str">
        <f>IFERROR(__xludf.DUMMYFUNCTION("""COMPUTED_VALUE"""),"++Allows you to use another party members companion on your turn as a second action.")</f>
        <v>++Allows you to use another party members companion on your turn as a second action.</v>
      </c>
      <c r="AG28" s="49" t="str">
        <f>IFERROR(__xludf.DUMMYFUNCTION("""COMPUTED_VALUE"""),"Abstara")</f>
        <v>Abstara</v>
      </c>
      <c r="AH28" s="49" t="b">
        <f>IFERROR(__xludf.DUMMYFUNCTION("""COMPUTED_VALUE"""),FALSE)</f>
        <v>0</v>
      </c>
    </row>
    <row r="29">
      <c r="A29" s="49" t="str">
        <f>IFERROR(__xludf.DUMMYFUNCTION("""COMPUTED_VALUE"""),"Black Crystal Necklace of Luck")</f>
        <v>Black Crystal Necklace of Luck</v>
      </c>
      <c r="B29" s="49" t="str">
        <f>IFERROR(__xludf.DUMMYFUNCTION("""COMPUTED_VALUE"""),"Neck")</f>
        <v>Neck</v>
      </c>
      <c r="C29" s="49"/>
      <c r="D29" s="49"/>
      <c r="E29" s="49">
        <f>IFERROR(__xludf.DUMMYFUNCTION("""COMPUTED_VALUE"""),1.0)</f>
        <v>1</v>
      </c>
      <c r="F29" s="112">
        <f>IFERROR(__xludf.DUMMYFUNCTION("""COMPUTED_VALUE"""),0.0)</f>
        <v>0</v>
      </c>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t="str">
        <f>IFERROR(__xludf.DUMMYFUNCTION("""COMPUTED_VALUE"""),"++Plus 2 is added to whatever number you roll on a d20 ++can only wear one, +-Cannot be forged or duplicated.")</f>
        <v>++Plus 2 is added to whatever number you roll on a d20 ++can only wear one, +-Cannot be forged or duplicated.</v>
      </c>
      <c r="AG29" s="49" t="str">
        <f>IFERROR(__xludf.DUMMYFUNCTION("""COMPUTED_VALUE"""),"Land of Spira")</f>
        <v>Land of Spira</v>
      </c>
      <c r="AH29" s="49" t="b">
        <f>IFERROR(__xludf.DUMMYFUNCTION("""COMPUTED_VALUE"""),FALSE)</f>
        <v>0</v>
      </c>
    </row>
    <row r="30">
      <c r="A30" s="49" t="str">
        <f>IFERROR(__xludf.DUMMYFUNCTION("""COMPUTED_VALUE"""),"Black Serpent Dragon Pendant")</f>
        <v>Black Serpent Dragon Pendant</v>
      </c>
      <c r="B30" s="49" t="str">
        <f>IFERROR(__xludf.DUMMYFUNCTION("""COMPUTED_VALUE"""),"Neck")</f>
        <v>Neck</v>
      </c>
      <c r="C30" s="49"/>
      <c r="D30" s="49"/>
      <c r="E30" s="49">
        <f>IFERROR(__xludf.DUMMYFUNCTION("""COMPUTED_VALUE"""),1.0)</f>
        <v>1</v>
      </c>
      <c r="F30" s="112">
        <f>IFERROR(__xludf.DUMMYFUNCTION("""COMPUTED_VALUE"""),0.0)</f>
        <v>0</v>
      </c>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t="str">
        <f>IFERROR(__xludf.DUMMYFUNCTION("""COMPUTED_VALUE"""),"++Immunity to dark and water damage. ++X2 additional dark and water damage for the wearer.")</f>
        <v>++Immunity to dark and water damage. ++X2 additional dark and water damage for the wearer.</v>
      </c>
      <c r="AG30" s="49" t="str">
        <f>IFERROR(__xludf.DUMMYFUNCTION("""COMPUTED_VALUE"""),"Abstara")</f>
        <v>Abstara</v>
      </c>
      <c r="AH30" s="49" t="b">
        <f>IFERROR(__xludf.DUMMYFUNCTION("""COMPUTED_VALUE"""),FALSE)</f>
        <v>0</v>
      </c>
    </row>
    <row r="31">
      <c r="A31" s="49" t="str">
        <f>IFERROR(__xludf.DUMMYFUNCTION("""COMPUTED_VALUE"""),"Blade of Burning Energy")</f>
        <v>Blade of Burning Energy</v>
      </c>
      <c r="B31" s="49" t="str">
        <f>IFERROR(__xludf.DUMMYFUNCTION("""COMPUTED_VALUE"""),"Hand")</f>
        <v>Hand</v>
      </c>
      <c r="C31" s="49"/>
      <c r="D31" s="49" t="str">
        <f>IFERROR(__xludf.DUMMYFUNCTION("""COMPUTED_VALUE"""),"Sword")</f>
        <v>Sword</v>
      </c>
      <c r="E31" s="49">
        <f>IFERROR(__xludf.DUMMYFUNCTION("""COMPUTED_VALUE"""),400.0)</f>
        <v>400</v>
      </c>
      <c r="F31" s="112">
        <f>IFERROR(__xludf.DUMMYFUNCTION("""COMPUTED_VALUE"""),7800000.0)</f>
        <v>7800000</v>
      </c>
      <c r="G31" s="49" t="str">
        <f>IFERROR(__xludf.DUMMYFUNCTION("""COMPUTED_VALUE"""),"DMG")</f>
        <v>DMG</v>
      </c>
      <c r="H31" s="125">
        <f>IFERROR(__xludf.DUMMYFUNCTION("""COMPUTED_VALUE"""),10000.0)</f>
        <v>10000</v>
      </c>
      <c r="I31" s="125">
        <f>IFERROR(__xludf.DUMMYFUNCTION("""COMPUTED_VALUE"""),10000.0)</f>
        <v>10000</v>
      </c>
      <c r="J31" s="49"/>
      <c r="K31" s="49"/>
      <c r="L31" s="49"/>
      <c r="M31" s="49"/>
      <c r="N31" s="49"/>
      <c r="O31" s="49"/>
      <c r="P31" s="49"/>
      <c r="Q31" s="49"/>
      <c r="R31" s="49"/>
      <c r="S31" s="49"/>
      <c r="T31" s="49"/>
      <c r="U31" s="49"/>
      <c r="V31" s="49"/>
      <c r="W31" s="49"/>
      <c r="X31" s="49"/>
      <c r="Y31" s="49"/>
      <c r="Z31" s="49"/>
      <c r="AA31" s="49"/>
      <c r="AB31" s="49"/>
      <c r="AC31" s="49"/>
      <c r="AD31" s="49"/>
      <c r="AE31" s="49"/>
      <c r="AF31" s="49" t="str">
        <f>IFERROR(__xludf.DUMMYFUNCTION("""COMPUTED_VALUE"""),"++Burn 5000")</f>
        <v>++Burn 5000</v>
      </c>
      <c r="AG31" s="49" t="str">
        <f>IFERROR(__xludf.DUMMYFUNCTION("""COMPUTED_VALUE"""),"Land of Spira")</f>
        <v>Land of Spira</v>
      </c>
      <c r="AH31" s="49" t="b">
        <f>IFERROR(__xludf.DUMMYFUNCTION("""COMPUTED_VALUE"""),FALSE)</f>
        <v>0</v>
      </c>
    </row>
    <row r="32">
      <c r="A32" s="49" t="str">
        <f>IFERROR(__xludf.DUMMYFUNCTION("""COMPUTED_VALUE"""),"Blood Katana")</f>
        <v>Blood Katana</v>
      </c>
      <c r="B32" s="49" t="str">
        <f>IFERROR(__xludf.DUMMYFUNCTION("""COMPUTED_VALUE"""),"Hand")</f>
        <v>Hand</v>
      </c>
      <c r="C32" s="49"/>
      <c r="D32" s="49" t="str">
        <f>IFERROR(__xludf.DUMMYFUNCTION("""COMPUTED_VALUE"""),"Sword")</f>
        <v>Sword</v>
      </c>
      <c r="E32" s="49">
        <f>IFERROR(__xludf.DUMMYFUNCTION("""COMPUTED_VALUE"""),400.0)</f>
        <v>400</v>
      </c>
      <c r="F32" s="112">
        <f>IFERROR(__xludf.DUMMYFUNCTION("""COMPUTED_VALUE"""),7800000.0)</f>
        <v>7800000</v>
      </c>
      <c r="G32" s="49" t="str">
        <f>IFERROR(__xludf.DUMMYFUNCTION("""COMPUTED_VALUE"""),"DMG")</f>
        <v>DMG</v>
      </c>
      <c r="H32" s="125">
        <f>IFERROR(__xludf.DUMMYFUNCTION("""COMPUTED_VALUE"""),10000.0)</f>
        <v>10000</v>
      </c>
      <c r="I32" s="49"/>
      <c r="J32" s="49"/>
      <c r="K32" s="49"/>
      <c r="L32" s="49"/>
      <c r="M32" s="49"/>
      <c r="N32" s="49"/>
      <c r="O32" s="49"/>
      <c r="P32" s="49"/>
      <c r="Q32" s="49"/>
      <c r="R32" s="49"/>
      <c r="S32" s="49"/>
      <c r="T32" s="49"/>
      <c r="U32" s="49"/>
      <c r="V32" s="49"/>
      <c r="W32" s="49"/>
      <c r="X32" s="49"/>
      <c r="Y32" s="125">
        <f>IFERROR(__xludf.DUMMYFUNCTION("""COMPUTED_VALUE"""),10000.0)</f>
        <v>10000</v>
      </c>
      <c r="Z32" s="49"/>
      <c r="AA32" s="49"/>
      <c r="AB32" s="49"/>
      <c r="AC32" s="49"/>
      <c r="AD32" s="49"/>
      <c r="AE32" s="49"/>
      <c r="AF32" s="49" t="str">
        <f>IFERROR(__xludf.DUMMYFUNCTION("""COMPUTED_VALUE"""),"++X2 blood damage for spells and weapons. +-Cannot be duplicated.")</f>
        <v>++X2 blood damage for spells and weapons. +-Cannot be duplicated.</v>
      </c>
      <c r="AG32" s="49" t="str">
        <f>IFERROR(__xludf.DUMMYFUNCTION("""COMPUTED_VALUE"""),"Land of Spira")</f>
        <v>Land of Spira</v>
      </c>
      <c r="AH32" s="49" t="b">
        <f>IFERROR(__xludf.DUMMYFUNCTION("""COMPUTED_VALUE"""),FALSE)</f>
        <v>0</v>
      </c>
    </row>
    <row r="33">
      <c r="A33" s="49" t="str">
        <f>IFERROR(__xludf.DUMMYFUNCTION("""COMPUTED_VALUE"""),"Blue Steel Sword")</f>
        <v>Blue Steel Sword</v>
      </c>
      <c r="B33" s="49" t="str">
        <f>IFERROR(__xludf.DUMMYFUNCTION("""COMPUTED_VALUE"""),"Hand")</f>
        <v>Hand</v>
      </c>
      <c r="C33" s="49"/>
      <c r="D33" s="49" t="str">
        <f>IFERROR(__xludf.DUMMYFUNCTION("""COMPUTED_VALUE"""),"Sword")</f>
        <v>Sword</v>
      </c>
      <c r="E33" s="49">
        <f>IFERROR(__xludf.DUMMYFUNCTION("""COMPUTED_VALUE"""),40.0)</f>
        <v>40</v>
      </c>
      <c r="F33" s="112">
        <f>IFERROR(__xludf.DUMMYFUNCTION("""COMPUTED_VALUE"""),60000.0)</f>
        <v>60000</v>
      </c>
      <c r="G33" s="49" t="str">
        <f>IFERROR(__xludf.DUMMYFUNCTION("""COMPUTED_VALUE"""),"DMG")</f>
        <v>DMG</v>
      </c>
      <c r="H33" s="49">
        <f>IFERROR(__xludf.DUMMYFUNCTION("""COMPUTED_VALUE"""),1000.0)</f>
        <v>1000</v>
      </c>
      <c r="I33" s="49"/>
      <c r="J33" s="49"/>
      <c r="K33" s="49">
        <f>IFERROR(__xludf.DUMMYFUNCTION("""COMPUTED_VALUE"""),1000.0)</f>
        <v>1000</v>
      </c>
      <c r="L33" s="49"/>
      <c r="M33" s="49"/>
      <c r="N33" s="49"/>
      <c r="O33" s="49"/>
      <c r="P33" s="49"/>
      <c r="Q33" s="49"/>
      <c r="R33" s="49"/>
      <c r="S33" s="49"/>
      <c r="T33" s="49"/>
      <c r="U33" s="49"/>
      <c r="V33" s="49"/>
      <c r="W33" s="49"/>
      <c r="X33" s="49"/>
      <c r="Y33" s="49"/>
      <c r="Z33" s="49"/>
      <c r="AA33" s="49"/>
      <c r="AB33" s="49"/>
      <c r="AC33" s="49"/>
      <c r="AD33" s="49"/>
      <c r="AE33" s="49"/>
      <c r="AF33" s="49"/>
      <c r="AG33" s="49" t="str">
        <f>IFERROR(__xludf.DUMMYFUNCTION("""COMPUTED_VALUE"""),"Land of Spira")</f>
        <v>Land of Spira</v>
      </c>
      <c r="AH33" s="49" t="b">
        <f>IFERROR(__xludf.DUMMYFUNCTION("""COMPUTED_VALUE"""),FALSE)</f>
        <v>0</v>
      </c>
    </row>
    <row r="34">
      <c r="A34" s="49" t="str">
        <f>IFERROR(__xludf.DUMMYFUNCTION("""COMPUTED_VALUE"""),"Blunderbuss (Exclusive)")</f>
        <v>Blunderbuss (Exclusive)</v>
      </c>
      <c r="B34" s="49" t="str">
        <f>IFERROR(__xludf.DUMMYFUNCTION("""COMPUTED_VALUE"""),"Hand")</f>
        <v>Hand</v>
      </c>
      <c r="C34" s="49"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49" t="str">
        <f>IFERROR(__xludf.DUMMYFUNCTION("""COMPUTED_VALUE"""),"Firearm")</f>
        <v>Firearm</v>
      </c>
      <c r="E34" s="49">
        <f>IFERROR(__xludf.DUMMYFUNCTION("""COMPUTED_VALUE"""),200.0)</f>
        <v>200</v>
      </c>
      <c r="F34" s="112">
        <f>IFERROR(__xludf.DUMMYFUNCTION("""COMPUTED_VALUE"""),1.99E8)</f>
        <v>199000000</v>
      </c>
      <c r="G34" s="49"/>
      <c r="H34" s="125">
        <f>IFERROR(__xludf.DUMMYFUNCTION("""COMPUTED_VALUE"""),50000.0)</f>
        <v>50000</v>
      </c>
      <c r="I34" s="49"/>
      <c r="J34" s="49"/>
      <c r="K34" s="49"/>
      <c r="L34" s="49"/>
      <c r="M34" s="49"/>
      <c r="N34" s="49"/>
      <c r="O34" s="49"/>
      <c r="P34" s="49"/>
      <c r="Q34" s="49"/>
      <c r="R34" s="49"/>
      <c r="S34" s="49"/>
      <c r="T34" s="49"/>
      <c r="U34" s="49"/>
      <c r="V34" s="49"/>
      <c r="W34" s="49"/>
      <c r="X34" s="49"/>
      <c r="Y34" s="49"/>
      <c r="Z34" s="49"/>
      <c r="AA34" s="49"/>
      <c r="AB34" s="49"/>
      <c r="AC34" s="125">
        <f>IFERROR(__xludf.DUMMYFUNCTION("""COMPUTED_VALUE"""),50000.0)</f>
        <v>50000</v>
      </c>
      <c r="AD34" s="49"/>
      <c r="AE34" s="49"/>
      <c r="AF34" s="49"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49" t="str">
        <f>IFERROR(__xludf.DUMMYFUNCTION("""COMPUTED_VALUE"""),"Land of Spira")</f>
        <v>Land of Spira</v>
      </c>
      <c r="AH34" s="49" t="b">
        <f>IFERROR(__xludf.DUMMYFUNCTION("""COMPUTED_VALUE"""),FALSE)</f>
        <v>0</v>
      </c>
    </row>
    <row r="35">
      <c r="A35" s="49" t="str">
        <f>IFERROR(__xludf.DUMMYFUNCTION("""COMPUTED_VALUE"""),"Bone Sword ")</f>
        <v>Bone Sword </v>
      </c>
      <c r="B35" s="49" t="str">
        <f>IFERROR(__xludf.DUMMYFUNCTION("""COMPUTED_VALUE"""),"Hand")</f>
        <v>Hand</v>
      </c>
      <c r="C35" s="49"/>
      <c r="D35" s="49" t="str">
        <f>IFERROR(__xludf.DUMMYFUNCTION("""COMPUTED_VALUE"""),"Sword")</f>
        <v>Sword</v>
      </c>
      <c r="E35" s="49">
        <f>IFERROR(__xludf.DUMMYFUNCTION("""COMPUTED_VALUE"""),300.0)</f>
        <v>300</v>
      </c>
      <c r="F35" s="112">
        <f>IFERROR(__xludf.DUMMYFUNCTION("""COMPUTED_VALUE"""),4350000.0)</f>
        <v>4350000</v>
      </c>
      <c r="G35" s="49" t="str">
        <f>IFERROR(__xludf.DUMMYFUNCTION("""COMPUTED_VALUE"""),"DMG")</f>
        <v>DMG</v>
      </c>
      <c r="H35" s="125">
        <f>IFERROR(__xludf.DUMMYFUNCTION("""COMPUTED_VALUE"""),5000.0)</f>
        <v>5000</v>
      </c>
      <c r="I35" s="49"/>
      <c r="J35" s="49"/>
      <c r="K35" s="49"/>
      <c r="L35" s="49"/>
      <c r="M35" s="49">
        <f>IFERROR(__xludf.DUMMYFUNCTION("""COMPUTED_VALUE"""),5000.0)</f>
        <v>5000</v>
      </c>
      <c r="N35" s="49"/>
      <c r="O35" s="49">
        <f>IFERROR(__xludf.DUMMYFUNCTION("""COMPUTED_VALUE"""),5000.0)</f>
        <v>5000</v>
      </c>
      <c r="P35" s="49"/>
      <c r="Q35" s="49"/>
      <c r="R35" s="49"/>
      <c r="S35" s="49"/>
      <c r="T35" s="49"/>
      <c r="U35" s="49"/>
      <c r="V35" s="49"/>
      <c r="W35" s="49"/>
      <c r="X35" s="49"/>
      <c r="Y35" s="49"/>
      <c r="Z35" s="49"/>
      <c r="AA35" s="49"/>
      <c r="AB35" s="49"/>
      <c r="AC35" s="49"/>
      <c r="AD35" s="49"/>
      <c r="AE35" s="49"/>
      <c r="AF35" s="49" t="str">
        <f>IFERROR(__xludf.DUMMYFUNCTION("""COMPUTED_VALUE"""),"++X2 Earth damage. ")</f>
        <v>++X2 Earth damage. </v>
      </c>
      <c r="AG35" s="49" t="str">
        <f>IFERROR(__xludf.DUMMYFUNCTION("""COMPUTED_VALUE"""),"Land of Spira")</f>
        <v>Land of Spira</v>
      </c>
      <c r="AH35" s="49" t="b">
        <f>IFERROR(__xludf.DUMMYFUNCTION("""COMPUTED_VALUE"""),FALSE)</f>
        <v>0</v>
      </c>
    </row>
    <row r="36">
      <c r="A36" s="49" t="str">
        <f>IFERROR(__xludf.DUMMYFUNCTION("""COMPUTED_VALUE"""),"Boots of Waking Waters")</f>
        <v>Boots of Waking Waters</v>
      </c>
      <c r="B36" s="49" t="str">
        <f>IFERROR(__xludf.DUMMYFUNCTION("""COMPUTED_VALUE"""),"Feet")</f>
        <v>Feet</v>
      </c>
      <c r="C36" s="49"/>
      <c r="D36" s="49"/>
      <c r="E36" s="49">
        <f>IFERROR(__xludf.DUMMYFUNCTION("""COMPUTED_VALUE"""),200.0)</f>
        <v>200</v>
      </c>
      <c r="F36" s="112">
        <f>IFERROR(__xludf.DUMMYFUNCTION("""COMPUTED_VALUE"""),1900000.0)</f>
        <v>1900000</v>
      </c>
      <c r="G36" s="49" t="str">
        <f>IFERROR(__xludf.DUMMYFUNCTION("""COMPUTED_VALUE"""),"DEF")</f>
        <v>DEF</v>
      </c>
      <c r="H36" s="49">
        <f>IFERROR(__xludf.DUMMYFUNCTION("""COMPUTED_VALUE"""),5000.0)</f>
        <v>5000</v>
      </c>
      <c r="I36" s="49"/>
      <c r="J36" s="49"/>
      <c r="K36" s="49">
        <f>IFERROR(__xludf.DUMMYFUNCTION("""COMPUTED_VALUE"""),5000.0)</f>
        <v>5000</v>
      </c>
      <c r="L36" s="49"/>
      <c r="M36" s="49"/>
      <c r="N36" s="49"/>
      <c r="O36" s="49"/>
      <c r="P36" s="49"/>
      <c r="Q36" s="49"/>
      <c r="R36" s="49"/>
      <c r="S36" s="49"/>
      <c r="T36" s="49"/>
      <c r="U36" s="49"/>
      <c r="V36" s="49"/>
      <c r="W36" s="49"/>
      <c r="X36" s="49"/>
      <c r="Y36" s="49"/>
      <c r="Z36" s="49"/>
      <c r="AA36" s="49"/>
      <c r="AB36" s="49"/>
      <c r="AC36" s="49"/>
      <c r="AD36" s="49"/>
      <c r="AE36" s="49"/>
      <c r="AF36" s="49" t="str">
        <f>IFERROR(__xludf.DUMMYFUNCTION("""COMPUTED_VALUE"""),"++X4 additional water damage for self.")</f>
        <v>++X4 additional water damage for self.</v>
      </c>
      <c r="AG36" s="49" t="str">
        <f>IFERROR(__xludf.DUMMYFUNCTION("""COMPUTED_VALUE"""),"Land of Spira")</f>
        <v>Land of Spira</v>
      </c>
      <c r="AH36" s="49" t="b">
        <f>IFERROR(__xludf.DUMMYFUNCTION("""COMPUTED_VALUE"""),FALSE)</f>
        <v>0</v>
      </c>
    </row>
    <row r="37">
      <c r="A37" s="49" t="str">
        <f>IFERROR(__xludf.DUMMYFUNCTION("""COMPUTED_VALUE"""),"Bow of Chaotic Darkness")</f>
        <v>Bow of Chaotic Darkness</v>
      </c>
      <c r="B37" s="49" t="str">
        <f>IFERROR(__xludf.DUMMYFUNCTION("""COMPUTED_VALUE"""),"Hand")</f>
        <v>Hand</v>
      </c>
      <c r="C37" s="49"/>
      <c r="D37" s="49" t="str">
        <f>IFERROR(__xludf.DUMMYFUNCTION("""COMPUTED_VALUE"""),"Bow")</f>
        <v>Bow</v>
      </c>
      <c r="E37" s="49">
        <f>IFERROR(__xludf.DUMMYFUNCTION("""COMPUTED_VALUE"""),4400.0)</f>
        <v>4400</v>
      </c>
      <c r="F37" s="112">
        <f>IFERROR(__xludf.DUMMYFUNCTION("""COMPUTED_VALUE"""),9.658E8)</f>
        <v>965800000</v>
      </c>
      <c r="G37" s="49" t="str">
        <f>IFERROR(__xludf.DUMMYFUNCTION("""COMPUTED_VALUE"""),"DMG")</f>
        <v>DMG</v>
      </c>
      <c r="H37" s="125">
        <f>IFERROR(__xludf.DUMMYFUNCTION("""COMPUTED_VALUE"""),140000.0)</f>
        <v>140000</v>
      </c>
      <c r="I37" s="49"/>
      <c r="J37" s="49"/>
      <c r="K37" s="49"/>
      <c r="L37" s="49"/>
      <c r="M37" s="49"/>
      <c r="N37" s="49"/>
      <c r="O37" s="125">
        <f>IFERROR(__xludf.DUMMYFUNCTION("""COMPUTED_VALUE"""),40000.0)</f>
        <v>40000</v>
      </c>
      <c r="P37" s="49"/>
      <c r="Q37" s="49"/>
      <c r="R37" s="125">
        <f>IFERROR(__xludf.DUMMYFUNCTION("""COMPUTED_VALUE"""),40000.0)</f>
        <v>40000</v>
      </c>
      <c r="S37" s="49"/>
      <c r="T37" s="49"/>
      <c r="U37" s="49"/>
      <c r="V37" s="49"/>
      <c r="W37" s="49"/>
      <c r="X37" s="49"/>
      <c r="Y37" s="49"/>
      <c r="Z37" s="49"/>
      <c r="AA37" s="49"/>
      <c r="AB37" s="49"/>
      <c r="AC37" s="49"/>
      <c r="AD37" s="49"/>
      <c r="AE37" s="49"/>
      <c r="AF37" s="49" t="str">
        <f>IFERROR(__xludf.DUMMYFUNCTION("""COMPUTED_VALUE"""),"++You may use up to 4 arrows with this bow.")</f>
        <v>++You may use up to 4 arrows with this bow.</v>
      </c>
      <c r="AG37" s="49" t="str">
        <f>IFERROR(__xludf.DUMMYFUNCTION("""COMPUTED_VALUE"""),"Abstara")</f>
        <v>Abstara</v>
      </c>
      <c r="AH37" s="49" t="b">
        <f>IFERROR(__xludf.DUMMYFUNCTION("""COMPUTED_VALUE"""),FALSE)</f>
        <v>0</v>
      </c>
    </row>
    <row r="38">
      <c r="A38" s="49" t="str">
        <f>IFERROR(__xludf.DUMMYFUNCTION("""COMPUTED_VALUE"""),"Bow of Luck")</f>
        <v>Bow of Luck</v>
      </c>
      <c r="B38" s="49" t="str">
        <f>IFERROR(__xludf.DUMMYFUNCTION("""COMPUTED_VALUE"""),"Hand")</f>
        <v>Hand</v>
      </c>
      <c r="C38" s="49"/>
      <c r="D38" s="49" t="str">
        <f>IFERROR(__xludf.DUMMYFUNCTION("""COMPUTED_VALUE"""),"Bow")</f>
        <v>Bow</v>
      </c>
      <c r="E38" s="49">
        <f>IFERROR(__xludf.DUMMYFUNCTION("""COMPUTED_VALUE"""),3000.0)</f>
        <v>3000</v>
      </c>
      <c r="F38" s="112">
        <f>IFERROR(__xludf.DUMMYFUNCTION("""COMPUTED_VALUE"""),4.485E8)</f>
        <v>448500000</v>
      </c>
      <c r="G38" s="49" t="str">
        <f>IFERROR(__xludf.DUMMYFUNCTION("""COMPUTED_VALUE"""),"DMG")</f>
        <v>DMG</v>
      </c>
      <c r="H38" s="125">
        <f>IFERROR(__xludf.DUMMYFUNCTION("""COMPUTED_VALUE"""),150000.0)</f>
        <v>150000</v>
      </c>
      <c r="I38" s="49"/>
      <c r="J38" s="49"/>
      <c r="K38" s="49"/>
      <c r="L38" s="49"/>
      <c r="M38" s="49"/>
      <c r="N38" s="49"/>
      <c r="O38" s="49"/>
      <c r="P38" s="49"/>
      <c r="Q38" s="49"/>
      <c r="R38" s="49"/>
      <c r="S38" s="49"/>
      <c r="T38" s="49"/>
      <c r="U38" s="49"/>
      <c r="V38" s="49"/>
      <c r="W38" s="49"/>
      <c r="X38" s="49"/>
      <c r="Y38" s="49"/>
      <c r="Z38" s="49"/>
      <c r="AA38" s="49"/>
      <c r="AB38" s="49"/>
      <c r="AC38" s="49"/>
      <c r="AD38" s="49"/>
      <c r="AE38" s="49"/>
      <c r="AF38" s="49" t="str">
        <f>IFERROR(__xludf.DUMMYFUNCTION("""COMPUTED_VALUE"""),"++You may add mobility to your attack rolls as long as you are attacking with a bow. +-Cannot be forged")</f>
        <v>++You may add mobility to your attack rolls as long as you are attacking with a bow. +-Cannot be forged</v>
      </c>
      <c r="AG38" s="49" t="str">
        <f>IFERROR(__xludf.DUMMYFUNCTION("""COMPUTED_VALUE"""),"Abstara")</f>
        <v>Abstara</v>
      </c>
      <c r="AH38" s="49" t="b">
        <f>IFERROR(__xludf.DUMMYFUNCTION("""COMPUTED_VALUE"""),FALSE)</f>
        <v>0</v>
      </c>
    </row>
    <row r="39">
      <c r="A39" s="49" t="str">
        <f>IFERROR(__xludf.DUMMYFUNCTION("""COMPUTED_VALUE"""),"Bow of The Sacred Druids")</f>
        <v>Bow of The Sacred Druids</v>
      </c>
      <c r="B39" s="49" t="str">
        <f>IFERROR(__xludf.DUMMYFUNCTION("""COMPUTED_VALUE"""),"Hand")</f>
        <v>Hand</v>
      </c>
      <c r="C39" s="49"/>
      <c r="D39" s="49" t="str">
        <f>IFERROR(__xludf.DUMMYFUNCTION("""COMPUTED_VALUE"""),"Bow")</f>
        <v>Bow</v>
      </c>
      <c r="E39" s="49">
        <f>IFERROR(__xludf.DUMMYFUNCTION("""COMPUTED_VALUE"""),200.0)</f>
        <v>200</v>
      </c>
      <c r="F39" s="112">
        <f>IFERROR(__xludf.DUMMYFUNCTION("""COMPUTED_VALUE"""),1900000.0)</f>
        <v>1900000</v>
      </c>
      <c r="G39" s="49" t="str">
        <f>IFERROR(__xludf.DUMMYFUNCTION("""COMPUTED_VALUE"""),"DMG")</f>
        <v>DMG</v>
      </c>
      <c r="H39" s="49">
        <f>IFERROR(__xludf.DUMMYFUNCTION("""COMPUTED_VALUE"""),5000.0)</f>
        <v>5000</v>
      </c>
      <c r="I39" s="49"/>
      <c r="J39" s="49"/>
      <c r="K39" s="49"/>
      <c r="L39" s="49"/>
      <c r="M39" s="49"/>
      <c r="N39" s="49"/>
      <c r="O39" s="49"/>
      <c r="P39" s="49"/>
      <c r="Q39" s="49"/>
      <c r="R39" s="49"/>
      <c r="S39" s="49">
        <f>IFERROR(__xludf.DUMMYFUNCTION("""COMPUTED_VALUE"""),5000.0)</f>
        <v>5000</v>
      </c>
      <c r="T39" s="49"/>
      <c r="U39" s="49"/>
      <c r="V39" s="49"/>
      <c r="W39" s="49"/>
      <c r="X39" s="49"/>
      <c r="Y39" s="49"/>
      <c r="Z39" s="49"/>
      <c r="AA39" s="49"/>
      <c r="AB39" s="49"/>
      <c r="AC39" s="49"/>
      <c r="AD39" s="49"/>
      <c r="AE39" s="49"/>
      <c r="AF39" s="49" t="str">
        <f>IFERROR(__xludf.DUMMYFUNCTION("""COMPUTED_VALUE"""),"++Druids Call - X4 additional damage for ranged weapons.")</f>
        <v>++Druids Call - X4 additional damage for ranged weapons.</v>
      </c>
      <c r="AG39" s="49" t="str">
        <f>IFERROR(__xludf.DUMMYFUNCTION("""COMPUTED_VALUE"""),"Land of Spira")</f>
        <v>Land of Spira</v>
      </c>
      <c r="AH39" s="49" t="b">
        <f>IFERROR(__xludf.DUMMYFUNCTION("""COMPUTED_VALUE"""),FALSE)</f>
        <v>0</v>
      </c>
    </row>
    <row r="40">
      <c r="A40" s="49" t="str">
        <f>IFERROR(__xludf.DUMMYFUNCTION("""COMPUTED_VALUE"""),"Bo Staff Of Zhenmay")</f>
        <v>Bo Staff Of Zhenmay</v>
      </c>
      <c r="B40" s="49" t="str">
        <f>IFERROR(__xludf.DUMMYFUNCTION("""COMPUTED_VALUE"""),"Hand")</f>
        <v>Hand</v>
      </c>
      <c r="C40" s="49"/>
      <c r="D40" s="49" t="str">
        <f>IFERROR(__xludf.DUMMYFUNCTION("""COMPUTED_VALUE"""),"Club")</f>
        <v>Club</v>
      </c>
      <c r="E40" s="49">
        <f>IFERROR(__xludf.DUMMYFUNCTION("""COMPUTED_VALUE"""),3000.0)</f>
        <v>3000</v>
      </c>
      <c r="F40" s="112">
        <f>IFERROR(__xludf.DUMMYFUNCTION("""COMPUTED_VALUE"""),4.485E8)</f>
        <v>448500000</v>
      </c>
      <c r="G40" s="49" t="str">
        <f>IFERROR(__xludf.DUMMYFUNCTION("""COMPUTED_VALUE"""),"DMG")</f>
        <v>DMG</v>
      </c>
      <c r="H40" s="125">
        <f>IFERROR(__xludf.DUMMYFUNCTION("""COMPUTED_VALUE"""),100000.0)</f>
        <v>100000</v>
      </c>
      <c r="I40" s="49"/>
      <c r="J40" s="49"/>
      <c r="K40" s="49"/>
      <c r="L40" s="49"/>
      <c r="M40" s="49"/>
      <c r="N40" s="49"/>
      <c r="O40" s="49"/>
      <c r="P40" s="49"/>
      <c r="Q40" s="49"/>
      <c r="R40" s="49"/>
      <c r="S40" s="49"/>
      <c r="T40" s="49"/>
      <c r="U40" s="49"/>
      <c r="V40" s="49"/>
      <c r="W40" s="49"/>
      <c r="X40" s="49"/>
      <c r="Y40" s="49"/>
      <c r="Z40" s="49"/>
      <c r="AA40" s="125">
        <f>IFERROR(__xludf.DUMMYFUNCTION("""COMPUTED_VALUE"""),50000.0)</f>
        <v>50000</v>
      </c>
      <c r="AB40" s="49"/>
      <c r="AC40" s="49"/>
      <c r="AD40" s="49"/>
      <c r="AE40" s="49"/>
      <c r="AF40" s="49" t="str">
        <f>IFERROR(__xludf.DUMMYFUNCTION("""COMPUTED_VALUE"""),"++Blindness 2. ")</f>
        <v>++Blindness 2. </v>
      </c>
      <c r="AG40" s="49" t="str">
        <f>IFERROR(__xludf.DUMMYFUNCTION("""COMPUTED_VALUE"""),"Land of Spira")</f>
        <v>Land of Spira</v>
      </c>
      <c r="AH40" s="49" t="b">
        <f>IFERROR(__xludf.DUMMYFUNCTION("""COMPUTED_VALUE"""),FALSE)</f>
        <v>0</v>
      </c>
    </row>
    <row r="41">
      <c r="A41" s="49" t="str">
        <f>IFERROR(__xludf.DUMMYFUNCTION("""COMPUTED_VALUE"""),"Breezy Clothes")</f>
        <v>Breezy Clothes</v>
      </c>
      <c r="B41" s="49" t="str">
        <f>IFERROR(__xludf.DUMMYFUNCTION("""COMPUTED_VALUE"""),"Torso")</f>
        <v>Torso</v>
      </c>
      <c r="C41" s="49"/>
      <c r="D41" s="49"/>
      <c r="E41" s="49">
        <f>IFERROR(__xludf.DUMMYFUNCTION("""COMPUTED_VALUE"""),1.0)</f>
        <v>1</v>
      </c>
      <c r="F41" s="112">
        <f>IFERROR(__xludf.DUMMYFUNCTION("""COMPUTED_VALUE"""),0.0)</f>
        <v>0</v>
      </c>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t="str">
        <f>IFERROR(__xludf.DUMMYFUNCTION("""COMPUTED_VALUE"""),"++While equipped, Take half damage from fire damage, But decrease water damage you deal by half. ")</f>
        <v>++While equipped, Take half damage from fire damage, But decrease water damage you deal by half. </v>
      </c>
      <c r="AG41" s="49" t="str">
        <f>IFERROR(__xludf.DUMMYFUNCTION("""COMPUTED_VALUE"""),"Land of Spira")</f>
        <v>Land of Spira</v>
      </c>
      <c r="AH41" s="49" t="b">
        <f>IFERROR(__xludf.DUMMYFUNCTION("""COMPUTED_VALUE"""),FALSE)</f>
        <v>0</v>
      </c>
    </row>
    <row r="42">
      <c r="A42" s="49" t="str">
        <f>IFERROR(__xludf.DUMMYFUNCTION("""COMPUTED_VALUE"""),"Bright Flame Sword")</f>
        <v>Bright Flame Sword</v>
      </c>
      <c r="B42" s="49" t="str">
        <f>IFERROR(__xludf.DUMMYFUNCTION("""COMPUTED_VALUE"""),"Hand")</f>
        <v>Hand</v>
      </c>
      <c r="C42" s="49"/>
      <c r="D42" s="49" t="str">
        <f>IFERROR(__xludf.DUMMYFUNCTION("""COMPUTED_VALUE"""),"Sword")</f>
        <v>Sword</v>
      </c>
      <c r="E42" s="49">
        <f>IFERROR(__xludf.DUMMYFUNCTION("""COMPUTED_VALUE"""),300.0)</f>
        <v>300</v>
      </c>
      <c r="F42" s="112">
        <f>IFERROR(__xludf.DUMMYFUNCTION("""COMPUTED_VALUE"""),4350000.0)</f>
        <v>4350000</v>
      </c>
      <c r="G42" s="49" t="str">
        <f>IFERROR(__xludf.DUMMYFUNCTION("""COMPUTED_VALUE"""),"DMG")</f>
        <v>DMG</v>
      </c>
      <c r="H42" s="49">
        <f>IFERROR(__xludf.DUMMYFUNCTION("""COMPUTED_VALUE"""),10000.0)</f>
        <v>10000</v>
      </c>
      <c r="I42" s="49">
        <f>IFERROR(__xludf.DUMMYFUNCTION("""COMPUTED_VALUE"""),5000.0)</f>
        <v>5000</v>
      </c>
      <c r="J42" s="49"/>
      <c r="K42" s="49"/>
      <c r="L42" s="49"/>
      <c r="M42" s="49"/>
      <c r="N42" s="49"/>
      <c r="O42" s="49"/>
      <c r="P42" s="49"/>
      <c r="Q42" s="49"/>
      <c r="R42" s="49"/>
      <c r="S42" s="49"/>
      <c r="T42" s="49"/>
      <c r="U42" s="49"/>
      <c r="V42" s="49"/>
      <c r="W42" s="49"/>
      <c r="X42" s="49"/>
      <c r="Y42" s="49"/>
      <c r="Z42" s="49"/>
      <c r="AA42" s="49"/>
      <c r="AB42" s="49"/>
      <c r="AC42" s="49"/>
      <c r="AD42" s="49"/>
      <c r="AE42" s="49"/>
      <c r="AF42" s="49"/>
      <c r="AG42" s="49" t="str">
        <f>IFERROR(__xludf.DUMMYFUNCTION("""COMPUTED_VALUE"""),"Land of Spira")</f>
        <v>Land of Spira</v>
      </c>
      <c r="AH42" s="49" t="b">
        <f>IFERROR(__xludf.DUMMYFUNCTION("""COMPUTED_VALUE"""),FALSE)</f>
        <v>0</v>
      </c>
    </row>
    <row r="43">
      <c r="A43" s="49" t="str">
        <f>IFERROR(__xludf.DUMMYFUNCTION("""COMPUTED_VALUE"""),"Broken Sword")</f>
        <v>Broken Sword</v>
      </c>
      <c r="B43" s="49" t="str">
        <f>IFERROR(__xludf.DUMMYFUNCTION("""COMPUTED_VALUE"""),"Hand")</f>
        <v>Hand</v>
      </c>
      <c r="C43" s="49"/>
      <c r="D43" s="49" t="str">
        <f>IFERROR(__xludf.DUMMYFUNCTION("""COMPUTED_VALUE"""),"Knife")</f>
        <v>Knife</v>
      </c>
      <c r="E43" s="49">
        <f>IFERROR(__xludf.DUMMYFUNCTION("""COMPUTED_VALUE"""),1.0)</f>
        <v>1</v>
      </c>
      <c r="F43" s="112">
        <f>IFERROR(__xludf.DUMMYFUNCTION("""COMPUTED_VALUE"""),0.0)</f>
        <v>0</v>
      </c>
      <c r="G43" s="49" t="str">
        <f>IFERROR(__xludf.DUMMYFUNCTION("""COMPUTED_VALUE"""),"DMG")</f>
        <v>DMG</v>
      </c>
      <c r="H43" s="49">
        <f>IFERROR(__xludf.DUMMYFUNCTION("""COMPUTED_VALUE"""),1.0)</f>
        <v>1</v>
      </c>
      <c r="I43" s="49"/>
      <c r="J43" s="49"/>
      <c r="K43" s="49"/>
      <c r="L43" s="49"/>
      <c r="M43" s="49"/>
      <c r="N43" s="49"/>
      <c r="O43" s="49"/>
      <c r="P43" s="49"/>
      <c r="Q43" s="49"/>
      <c r="R43" s="49"/>
      <c r="S43" s="49"/>
      <c r="T43" s="49"/>
      <c r="U43" s="49"/>
      <c r="V43" s="49"/>
      <c r="W43" s="49"/>
      <c r="X43" s="49"/>
      <c r="Y43" s="49"/>
      <c r="Z43" s="49"/>
      <c r="AA43" s="49"/>
      <c r="AB43" s="49"/>
      <c r="AC43" s="49"/>
      <c r="AD43" s="49"/>
      <c r="AE43" s="49"/>
      <c r="AF43" s="49" t="str">
        <f>IFERROR(__xludf.DUMMYFUNCTION("""COMPUTED_VALUE"""),"++ -1 evasion")</f>
        <v>++ -1 evasion</v>
      </c>
      <c r="AG43" s="49" t="str">
        <f>IFERROR(__xludf.DUMMYFUNCTION("""COMPUTED_VALUE"""),"Land of Spira")</f>
        <v>Land of Spira</v>
      </c>
      <c r="AH43" s="49" t="b">
        <f>IFERROR(__xludf.DUMMYFUNCTION("""COMPUTED_VALUE"""),FALSE)</f>
        <v>0</v>
      </c>
    </row>
    <row r="44">
      <c r="A44" s="49" t="str">
        <f>IFERROR(__xludf.DUMMYFUNCTION("""COMPUTED_VALUE"""),"Burning Broadsword")</f>
        <v>Burning Broadsword</v>
      </c>
      <c r="B44" s="49" t="str">
        <f>IFERROR(__xludf.DUMMYFUNCTION("""COMPUTED_VALUE"""),"Hand")</f>
        <v>Hand</v>
      </c>
      <c r="C44" s="49"/>
      <c r="D44" s="49" t="str">
        <f>IFERROR(__xludf.DUMMYFUNCTION("""COMPUTED_VALUE"""),"Sword")</f>
        <v>Sword</v>
      </c>
      <c r="E44" s="49">
        <f>IFERROR(__xludf.DUMMYFUNCTION("""COMPUTED_VALUE"""),200.0)</f>
        <v>200</v>
      </c>
      <c r="F44" s="112">
        <f>IFERROR(__xludf.DUMMYFUNCTION("""COMPUTED_VALUE"""),1900000.0)</f>
        <v>1900000</v>
      </c>
      <c r="G44" s="49" t="str">
        <f>IFERROR(__xludf.DUMMYFUNCTION("""COMPUTED_VALUE"""),"DMG")</f>
        <v>DMG</v>
      </c>
      <c r="H44" s="49">
        <f>IFERROR(__xludf.DUMMYFUNCTION("""COMPUTED_VALUE"""),5000.0)</f>
        <v>5000</v>
      </c>
      <c r="I44" s="49">
        <f>IFERROR(__xludf.DUMMYFUNCTION("""COMPUTED_VALUE"""),5000.0)</f>
        <v>5000</v>
      </c>
      <c r="J44" s="49"/>
      <c r="K44" s="49"/>
      <c r="L44" s="49"/>
      <c r="M44" s="49"/>
      <c r="N44" s="49"/>
      <c r="O44" s="49"/>
      <c r="P44" s="49"/>
      <c r="Q44" s="49"/>
      <c r="R44" s="49"/>
      <c r="S44" s="49"/>
      <c r="T44" s="49"/>
      <c r="U44" s="49"/>
      <c r="V44" s="49"/>
      <c r="W44" s="49"/>
      <c r="X44" s="49"/>
      <c r="Y44" s="49"/>
      <c r="Z44" s="49"/>
      <c r="AA44" s="49"/>
      <c r="AB44" s="49"/>
      <c r="AC44" s="49"/>
      <c r="AD44" s="49"/>
      <c r="AE44" s="49"/>
      <c r="AF44" s="49" t="str">
        <f>IFERROR(__xludf.DUMMYFUNCTION("""COMPUTED_VALUE"""),"++10,000 fire damage per round for 3 rounds.")</f>
        <v>++10,000 fire damage per round for 3 rounds.</v>
      </c>
      <c r="AG44" s="49" t="str">
        <f>IFERROR(__xludf.DUMMYFUNCTION("""COMPUTED_VALUE"""),"Land of Spira")</f>
        <v>Land of Spira</v>
      </c>
      <c r="AH44" s="49" t="b">
        <f>IFERROR(__xludf.DUMMYFUNCTION("""COMPUTED_VALUE"""),FALSE)</f>
        <v>0</v>
      </c>
    </row>
    <row r="45">
      <c r="A45" s="49" t="str">
        <f>IFERROR(__xludf.DUMMYFUNCTION("""COMPUTED_VALUE"""),"Candy Corn Necklace")</f>
        <v>Candy Corn Necklace</v>
      </c>
      <c r="B45" s="49" t="str">
        <f>IFERROR(__xludf.DUMMYFUNCTION("""COMPUTED_VALUE"""),"Neck")</f>
        <v>Neck</v>
      </c>
      <c r="C45" s="49" t="str">
        <f>IFERROR(__xludf.DUMMYFUNCTION("""COMPUTED_VALUE"""),"Halloween Exclusive")</f>
        <v>Halloween Exclusive</v>
      </c>
      <c r="D45" s="49"/>
      <c r="E45" s="49">
        <f>IFERROR(__xludf.DUMMYFUNCTION("""COMPUTED_VALUE"""),1.0)</f>
        <v>1</v>
      </c>
      <c r="F45" s="112">
        <f>IFERROR(__xludf.DUMMYFUNCTION("""COMPUTED_VALUE"""),0.0)</f>
        <v>0</v>
      </c>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t="str">
        <f>IFERROR(__xludf.DUMMYFUNCTION("""COMPUTED_VALUE"""),"++Gives Immunity to Dark and Chaos Damage, ++ +2 Intimidation.")</f>
        <v>++Gives Immunity to Dark and Chaos Damage, ++ +2 Intimidation.</v>
      </c>
      <c r="AG45" s="49" t="str">
        <f>IFERROR(__xludf.DUMMYFUNCTION("""COMPUTED_VALUE"""),"Halloween Kingdom")</f>
        <v>Halloween Kingdom</v>
      </c>
      <c r="AH45" s="49" t="b">
        <f>IFERROR(__xludf.DUMMYFUNCTION("""COMPUTED_VALUE"""),FALSE)</f>
        <v>0</v>
      </c>
    </row>
    <row r="46">
      <c r="A46" s="49" t="str">
        <f>IFERROR(__xludf.DUMMYFUNCTION("""COMPUTED_VALUE"""),"Candy Corn Rifle")</f>
        <v>Candy Corn Rifle</v>
      </c>
      <c r="B46" s="49" t="str">
        <f>IFERROR(__xludf.DUMMYFUNCTION("""COMPUTED_VALUE"""),"Hand")</f>
        <v>Hand</v>
      </c>
      <c r="C46" s="49" t="str">
        <f>IFERROR(__xludf.DUMMYFUNCTION("""COMPUTED_VALUE"""),"Halloween Exclusive")</f>
        <v>Halloween Exclusive</v>
      </c>
      <c r="D46" s="49" t="str">
        <f>IFERROR(__xludf.DUMMYFUNCTION("""COMPUTED_VALUE"""),"Firearm")</f>
        <v>Firearm</v>
      </c>
      <c r="E46" s="49">
        <f>IFERROR(__xludf.DUMMYFUNCTION("""COMPUTED_VALUE"""),200.0)</f>
        <v>200</v>
      </c>
      <c r="F46" s="112">
        <f>IFERROR(__xludf.DUMMYFUNCTION("""COMPUTED_VALUE"""),1.272E8)</f>
        <v>127200000</v>
      </c>
      <c r="G46" s="49" t="str">
        <f>IFERROR(__xludf.DUMMYFUNCTION("""COMPUTED_VALUE"""),"DMG")</f>
        <v>DMG</v>
      </c>
      <c r="H46" s="125">
        <f>IFERROR(__xludf.DUMMYFUNCTION("""COMPUTED_VALUE"""),10000.0)</f>
        <v>10000</v>
      </c>
      <c r="I46" s="125">
        <f>IFERROR(__xludf.DUMMYFUNCTION("""COMPUTED_VALUE"""),10000.0)</f>
        <v>10000</v>
      </c>
      <c r="J46" s="49"/>
      <c r="K46" s="49"/>
      <c r="L46" s="49"/>
      <c r="M46" s="49"/>
      <c r="N46" s="49"/>
      <c r="O46" s="125">
        <f>IFERROR(__xludf.DUMMYFUNCTION("""COMPUTED_VALUE"""),10000.0)</f>
        <v>10000</v>
      </c>
      <c r="P46" s="125">
        <f>IFERROR(__xludf.DUMMYFUNCTION("""COMPUTED_VALUE"""),10000.0)</f>
        <v>10000</v>
      </c>
      <c r="Q46" s="49"/>
      <c r="R46" s="125">
        <f>IFERROR(__xludf.DUMMYFUNCTION("""COMPUTED_VALUE"""),10000.0)</f>
        <v>10000</v>
      </c>
      <c r="S46" s="49"/>
      <c r="T46" s="49"/>
      <c r="U46" s="49"/>
      <c r="V46" s="49"/>
      <c r="W46" s="49"/>
      <c r="X46" s="125">
        <f>IFERROR(__xludf.DUMMYFUNCTION("""COMPUTED_VALUE"""),10000.0)</f>
        <v>10000</v>
      </c>
      <c r="Y46" s="125">
        <f>IFERROR(__xludf.DUMMYFUNCTION("""COMPUTED_VALUE"""),10000.0)</f>
        <v>10000</v>
      </c>
      <c r="Z46" s="49"/>
      <c r="AA46" s="49"/>
      <c r="AB46" s="49"/>
      <c r="AC46" s="125">
        <f>IFERROR(__xludf.DUMMYFUNCTION("""COMPUTED_VALUE"""),10000.0)</f>
        <v>10000</v>
      </c>
      <c r="AD46" s="49"/>
      <c r="AE46" s="49"/>
      <c r="AF46" s="49"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49" t="str">
        <f>IFERROR(__xludf.DUMMYFUNCTION("""COMPUTED_VALUE"""),"Halloween Kingdom")</f>
        <v>Halloween Kingdom</v>
      </c>
      <c r="AH46" s="49" t="b">
        <f>IFERROR(__xludf.DUMMYFUNCTION("""COMPUTED_VALUE"""),FALSE)</f>
        <v>0</v>
      </c>
    </row>
    <row r="47">
      <c r="A47" s="49" t="str">
        <f>IFERROR(__xludf.DUMMYFUNCTION("""COMPUTED_VALUE"""),"Cap of Metal Harmony's")</f>
        <v>Cap of Metal Harmony's</v>
      </c>
      <c r="B47" s="49" t="str">
        <f>IFERROR(__xludf.DUMMYFUNCTION("""COMPUTED_VALUE"""),"Head")</f>
        <v>Head</v>
      </c>
      <c r="C47" s="49"/>
      <c r="D47" s="49"/>
      <c r="E47" s="49">
        <f>IFERROR(__xludf.DUMMYFUNCTION("""COMPUTED_VALUE"""),200.0)</f>
        <v>200</v>
      </c>
      <c r="F47" s="112">
        <f>IFERROR(__xludf.DUMMYFUNCTION("""COMPUTED_VALUE"""),1900000.0)</f>
        <v>1900000</v>
      </c>
      <c r="G47" s="49" t="str">
        <f>IFERROR(__xludf.DUMMYFUNCTION("""COMPUTED_VALUE"""),"DEF")</f>
        <v>DEF</v>
      </c>
      <c r="H47" s="125">
        <f>IFERROR(__xludf.DUMMYFUNCTION("""COMPUTED_VALUE"""),10000.0)</f>
        <v>10000</v>
      </c>
      <c r="I47" s="49"/>
      <c r="J47" s="49"/>
      <c r="K47" s="49"/>
      <c r="L47" s="49"/>
      <c r="M47" s="49"/>
      <c r="N47" s="49"/>
      <c r="O47" s="49"/>
      <c r="P47" s="49"/>
      <c r="Q47" s="49"/>
      <c r="R47" s="49"/>
      <c r="S47" s="49"/>
      <c r="T47" s="49"/>
      <c r="U47" s="49"/>
      <c r="V47" s="49"/>
      <c r="W47" s="49"/>
      <c r="X47" s="49"/>
      <c r="Y47" s="49"/>
      <c r="Z47" s="49"/>
      <c r="AA47" s="49"/>
      <c r="AB47" s="49"/>
      <c r="AC47" s="49"/>
      <c r="AD47" s="49"/>
      <c r="AE47" s="49"/>
      <c r="AF47" s="49" t="str">
        <f>IFERROR(__xludf.DUMMYFUNCTION("""COMPUTED_VALUE"""),"++Half the SP cost for Fire, Water, Storm, Earth, and Nature spells.")</f>
        <v>++Half the SP cost for Fire, Water, Storm, Earth, and Nature spells.</v>
      </c>
      <c r="AG47" s="49" t="str">
        <f>IFERROR(__xludf.DUMMYFUNCTION("""COMPUTED_VALUE"""),"Land of Spira")</f>
        <v>Land of Spira</v>
      </c>
      <c r="AH47" s="49" t="b">
        <f>IFERROR(__xludf.DUMMYFUNCTION("""COMPUTED_VALUE"""),FALSE)</f>
        <v>0</v>
      </c>
    </row>
    <row r="48">
      <c r="A48" s="49" t="str">
        <f>IFERROR(__xludf.DUMMYFUNCTION("""COMPUTED_VALUE"""),"Celestian Royal Shield")</f>
        <v>Celestian Royal Shield</v>
      </c>
      <c r="B48" s="49" t="str">
        <f>IFERROR(__xludf.DUMMYFUNCTION("""COMPUTED_VALUE"""),"Hand")</f>
        <v>Hand</v>
      </c>
      <c r="C48" s="49" t="str">
        <f>IFERROR(__xludf.DUMMYFUNCTION("""COMPUTED_VALUE"""),"Quest Item")</f>
        <v>Quest Item</v>
      </c>
      <c r="D48" s="49" t="str">
        <f>IFERROR(__xludf.DUMMYFUNCTION("""COMPUTED_VALUE"""),"Towershield")</f>
        <v>Towershield</v>
      </c>
      <c r="E48" s="49">
        <f>IFERROR(__xludf.DUMMYFUNCTION("""COMPUTED_VALUE"""),200.0)</f>
        <v>200</v>
      </c>
      <c r="F48" s="112">
        <f>IFERROR(__xludf.DUMMYFUNCTION("""COMPUTED_VALUE"""),3.196E9)</f>
        <v>3196000000</v>
      </c>
      <c r="G48" s="49" t="str">
        <f>IFERROR(__xludf.DUMMYFUNCTION("""COMPUTED_VALUE"""),"DEF")</f>
        <v>DEF</v>
      </c>
      <c r="H48" s="125">
        <f>IFERROR(__xludf.DUMMYFUNCTION("""COMPUTED_VALUE"""),100000.0)</f>
        <v>100000</v>
      </c>
      <c r="I48" s="49"/>
      <c r="J48" s="49"/>
      <c r="K48" s="49"/>
      <c r="L48" s="49"/>
      <c r="M48" s="49"/>
      <c r="N48" s="125">
        <f>IFERROR(__xludf.DUMMYFUNCTION("""COMPUTED_VALUE"""),100000.0)</f>
        <v>100000</v>
      </c>
      <c r="O48" s="125">
        <f>IFERROR(__xludf.DUMMYFUNCTION("""COMPUTED_VALUE"""),100000.0)</f>
        <v>100000</v>
      </c>
      <c r="P48" s="49"/>
      <c r="Q48" s="49"/>
      <c r="R48" s="49"/>
      <c r="S48" s="49"/>
      <c r="T48" s="49"/>
      <c r="U48" s="49"/>
      <c r="V48" s="49"/>
      <c r="W48" s="49"/>
      <c r="X48" s="49"/>
      <c r="Y48" s="49"/>
      <c r="Z48" s="49"/>
      <c r="AA48" s="49"/>
      <c r="AB48" s="49"/>
      <c r="AC48" s="125">
        <f>IFERROR(__xludf.DUMMYFUNCTION("""COMPUTED_VALUE"""),100000.0)</f>
        <v>100000</v>
      </c>
      <c r="AD48" s="49"/>
      <c r="AE48" s="49"/>
      <c r="AF48" s="49" t="str">
        <f>IFERROR(__xludf.DUMMYFUNCTION("""COMPUTED_VALUE"""),"++Royal Protection: Immunity to Celestial. +-Cannot be forged or duplicated.")</f>
        <v>++Royal Protection: Immunity to Celestial. +-Cannot be forged or duplicated.</v>
      </c>
      <c r="AG48" s="49" t="str">
        <f>IFERROR(__xludf.DUMMYFUNCTION("""COMPUTED_VALUE"""),"Land of Spira")</f>
        <v>Land of Spira</v>
      </c>
      <c r="AH48" s="49" t="b">
        <f>IFERROR(__xludf.DUMMYFUNCTION("""COMPUTED_VALUE"""),FALSE)</f>
        <v>0</v>
      </c>
    </row>
    <row r="49">
      <c r="A49" s="49" t="str">
        <f>IFERROR(__xludf.DUMMYFUNCTION("""COMPUTED_VALUE"""),"Celestian Royal Sword")</f>
        <v>Celestian Royal Sword</v>
      </c>
      <c r="B49" s="49" t="str">
        <f>IFERROR(__xludf.DUMMYFUNCTION("""COMPUTED_VALUE"""),"Hand")</f>
        <v>Hand</v>
      </c>
      <c r="C49" s="49" t="str">
        <f>IFERROR(__xludf.DUMMYFUNCTION("""COMPUTED_VALUE"""),"Quest Item")</f>
        <v>Quest Item</v>
      </c>
      <c r="D49" s="49" t="str">
        <f>IFERROR(__xludf.DUMMYFUNCTION("""COMPUTED_VALUE"""),"Sword")</f>
        <v>Sword</v>
      </c>
      <c r="E49" s="49">
        <f>IFERROR(__xludf.DUMMYFUNCTION("""COMPUTED_VALUE"""),200.0)</f>
        <v>200</v>
      </c>
      <c r="F49" s="112">
        <f>IFERROR(__xludf.DUMMYFUNCTION("""COMPUTED_VALUE"""),3.196E9)</f>
        <v>3196000000</v>
      </c>
      <c r="G49" s="49" t="str">
        <f>IFERROR(__xludf.DUMMYFUNCTION("""COMPUTED_VALUE"""),"DMG")</f>
        <v>DMG</v>
      </c>
      <c r="H49" s="125">
        <f>IFERROR(__xludf.DUMMYFUNCTION("""COMPUTED_VALUE"""),100000.0)</f>
        <v>100000</v>
      </c>
      <c r="I49" s="49"/>
      <c r="J49" s="49"/>
      <c r="K49" s="49"/>
      <c r="L49" s="49"/>
      <c r="M49" s="49"/>
      <c r="N49" s="125">
        <f>IFERROR(__xludf.DUMMYFUNCTION("""COMPUTED_VALUE"""),100000.0)</f>
        <v>100000</v>
      </c>
      <c r="O49" s="125">
        <f>IFERROR(__xludf.DUMMYFUNCTION("""COMPUTED_VALUE"""),100000.0)</f>
        <v>100000</v>
      </c>
      <c r="P49" s="49"/>
      <c r="Q49" s="49"/>
      <c r="R49" s="49"/>
      <c r="S49" s="49"/>
      <c r="T49" s="49"/>
      <c r="U49" s="49"/>
      <c r="V49" s="49"/>
      <c r="W49" s="49"/>
      <c r="X49" s="49"/>
      <c r="Y49" s="49"/>
      <c r="Z49" s="49"/>
      <c r="AA49" s="49"/>
      <c r="AB49" s="49"/>
      <c r="AC49" s="125">
        <f>IFERROR(__xludf.DUMMYFUNCTION("""COMPUTED_VALUE"""),100000.0)</f>
        <v>100000</v>
      </c>
      <c r="AD49" s="49"/>
      <c r="AE49" s="49"/>
      <c r="AF49" s="49" t="str">
        <f>IFERROR(__xludf.DUMMYFUNCTION("""COMPUTED_VALUE"""),"++X8 Celestial Damage. +-Cannot be forged or duplicated.")</f>
        <v>++X8 Celestial Damage. +-Cannot be forged or duplicated.</v>
      </c>
      <c r="AG49" s="49" t="str">
        <f>IFERROR(__xludf.DUMMYFUNCTION("""COMPUTED_VALUE"""),"Land of Spira")</f>
        <v>Land of Spira</v>
      </c>
      <c r="AH49" s="49" t="b">
        <f>IFERROR(__xludf.DUMMYFUNCTION("""COMPUTED_VALUE"""),FALSE)</f>
        <v>0</v>
      </c>
    </row>
    <row r="50">
      <c r="A50" s="49" t="str">
        <f>IFERROR(__xludf.DUMMYFUNCTION("""COMPUTED_VALUE"""),"Chain Link Armor")</f>
        <v>Chain Link Armor</v>
      </c>
      <c r="B50" s="49" t="str">
        <f>IFERROR(__xludf.DUMMYFUNCTION("""COMPUTED_VALUE"""),"Torso")</f>
        <v>Torso</v>
      </c>
      <c r="C50" s="49"/>
      <c r="D50" s="49"/>
      <c r="E50" s="49">
        <f>IFERROR(__xludf.DUMMYFUNCTION("""COMPUTED_VALUE"""),40.0)</f>
        <v>40</v>
      </c>
      <c r="F50" s="112">
        <f>IFERROR(__xludf.DUMMYFUNCTION("""COMPUTED_VALUE"""),60000.0)</f>
        <v>60000</v>
      </c>
      <c r="G50" s="49" t="str">
        <f>IFERROR(__xludf.DUMMYFUNCTION("""COMPUTED_VALUE"""),"DEF")</f>
        <v>DEF</v>
      </c>
      <c r="H50" s="49">
        <f>IFERROR(__xludf.DUMMYFUNCTION("""COMPUTED_VALUE"""),2000.0)</f>
        <v>2000</v>
      </c>
      <c r="I50" s="49"/>
      <c r="J50" s="49"/>
      <c r="K50" s="49"/>
      <c r="L50" s="49"/>
      <c r="M50" s="49"/>
      <c r="N50" s="49"/>
      <c r="O50" s="49"/>
      <c r="P50" s="49"/>
      <c r="Q50" s="49"/>
      <c r="R50" s="49"/>
      <c r="S50" s="49"/>
      <c r="T50" s="49"/>
      <c r="U50" s="49"/>
      <c r="V50" s="49"/>
      <c r="W50" s="49"/>
      <c r="X50" s="49"/>
      <c r="Y50" s="49"/>
      <c r="Z50" s="49"/>
      <c r="AA50" s="49"/>
      <c r="AB50" s="49"/>
      <c r="AC50" s="49"/>
      <c r="AD50" s="49"/>
      <c r="AE50" s="49"/>
      <c r="AF50" s="49" t="str">
        <f>IFERROR(__xludf.DUMMYFUNCTION("""COMPUTED_VALUE"""),"++Wrapped in Chains - When the wearer is attacked with a weapon; 25% chance to make the attacker drop it's weapon.")</f>
        <v>++Wrapped in Chains - When the wearer is attacked with a weapon; 25% chance to make the attacker drop it's weapon.</v>
      </c>
      <c r="AG50" s="49" t="str">
        <f>IFERROR(__xludf.DUMMYFUNCTION("""COMPUTED_VALUE"""),"Land of Spira")</f>
        <v>Land of Spira</v>
      </c>
      <c r="AH50" s="49" t="b">
        <f>IFERROR(__xludf.DUMMYFUNCTION("""COMPUTED_VALUE"""),FALSE)</f>
        <v>0</v>
      </c>
    </row>
    <row r="51">
      <c r="A51" s="49" t="str">
        <f>IFERROR(__xludf.DUMMYFUNCTION("""COMPUTED_VALUE"""),"Chaos Sword")</f>
        <v>Chaos Sword</v>
      </c>
      <c r="B51" s="49" t="str">
        <f>IFERROR(__xludf.DUMMYFUNCTION("""COMPUTED_VALUE"""),"Hand")</f>
        <v>Hand</v>
      </c>
      <c r="C51" s="49"/>
      <c r="D51" s="49" t="str">
        <f>IFERROR(__xludf.DUMMYFUNCTION("""COMPUTED_VALUE"""),"Sword")</f>
        <v>Sword</v>
      </c>
      <c r="E51" s="49">
        <f>IFERROR(__xludf.DUMMYFUNCTION("""COMPUTED_VALUE"""),90.0)</f>
        <v>90</v>
      </c>
      <c r="F51" s="112">
        <f>IFERROR(__xludf.DUMMYFUNCTION("""COMPUTED_VALUE"""),360000.0)</f>
        <v>360000</v>
      </c>
      <c r="G51" s="49" t="str">
        <f>IFERROR(__xludf.DUMMYFUNCTION("""COMPUTED_VALUE"""),"DMG")</f>
        <v>DMG</v>
      </c>
      <c r="H51" s="49">
        <f>IFERROR(__xludf.DUMMYFUNCTION("""COMPUTED_VALUE"""),2500.0)</f>
        <v>2500</v>
      </c>
      <c r="I51" s="49"/>
      <c r="J51" s="49"/>
      <c r="K51" s="49"/>
      <c r="L51" s="49"/>
      <c r="M51" s="49"/>
      <c r="N51" s="49"/>
      <c r="O51" s="49"/>
      <c r="P51" s="49"/>
      <c r="Q51" s="49"/>
      <c r="R51" s="49">
        <f>IFERROR(__xludf.DUMMYFUNCTION("""COMPUTED_VALUE"""),2000.0)</f>
        <v>2000</v>
      </c>
      <c r="S51" s="49"/>
      <c r="T51" s="49"/>
      <c r="U51" s="49"/>
      <c r="V51" s="49"/>
      <c r="W51" s="49"/>
      <c r="X51" s="49"/>
      <c r="Y51" s="49"/>
      <c r="Z51" s="49"/>
      <c r="AA51" s="49"/>
      <c r="AB51" s="49"/>
      <c r="AC51" s="49"/>
      <c r="AD51" s="49"/>
      <c r="AE51" s="49"/>
      <c r="AF51" s="49" t="str">
        <f>IFERROR(__xludf.DUMMYFUNCTION("""COMPUTED_VALUE"""),"++ +2 Intimidation. +-Cannot be duplicated. +-Can only equip one.")</f>
        <v>++ +2 Intimidation. +-Cannot be duplicated. +-Can only equip one.</v>
      </c>
      <c r="AG51" s="49" t="str">
        <f>IFERROR(__xludf.DUMMYFUNCTION("""COMPUTED_VALUE"""),"Land of Spira")</f>
        <v>Land of Spira</v>
      </c>
      <c r="AH51" s="49" t="b">
        <f>IFERROR(__xludf.DUMMYFUNCTION("""COMPUTED_VALUE"""),FALSE)</f>
        <v>0</v>
      </c>
    </row>
    <row r="52">
      <c r="A52" s="49" t="str">
        <f>IFERROR(__xludf.DUMMYFUNCTION("""COMPUTED_VALUE"""),"Chaotic Amulet")</f>
        <v>Chaotic Amulet</v>
      </c>
      <c r="B52" s="49" t="str">
        <f>IFERROR(__xludf.DUMMYFUNCTION("""COMPUTED_VALUE"""),"Neck")</f>
        <v>Neck</v>
      </c>
      <c r="C52" s="49"/>
      <c r="D52" s="49"/>
      <c r="E52" s="49">
        <f>IFERROR(__xludf.DUMMYFUNCTION("""COMPUTED_VALUE"""),1.0)</f>
        <v>1</v>
      </c>
      <c r="F52" s="112">
        <f>IFERROR(__xludf.DUMMYFUNCTION("""COMPUTED_VALUE"""),0.0)</f>
        <v>0</v>
      </c>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t="str">
        <f>IFERROR(__xludf.DUMMYFUNCTION("""COMPUTED_VALUE"""),"++Immunity to all Chaos Dmg, ++Deal 2x more Chaos Dmg.")</f>
        <v>++Immunity to all Chaos Dmg, ++Deal 2x more Chaos Dmg.</v>
      </c>
      <c r="AG52" s="49" t="str">
        <f>IFERROR(__xludf.DUMMYFUNCTION("""COMPUTED_VALUE"""),"Land of The Forgotten")</f>
        <v>Land of The Forgotten</v>
      </c>
      <c r="AH52" s="49" t="b">
        <f>IFERROR(__xludf.DUMMYFUNCTION("""COMPUTED_VALUE"""),FALSE)</f>
        <v>0</v>
      </c>
    </row>
    <row r="53">
      <c r="A53" s="49" t="str">
        <f>IFERROR(__xludf.DUMMYFUNCTION("""COMPUTED_VALUE"""),"Ring")</f>
        <v>Ring</v>
      </c>
      <c r="B53" s="49" t="str">
        <f>IFERROR(__xludf.DUMMYFUNCTION("""COMPUTED_VALUE"""),"Ring")</f>
        <v>Ring</v>
      </c>
      <c r="C53" s="49"/>
      <c r="D53" s="49"/>
      <c r="E53" s="49">
        <f>IFERROR(__xludf.DUMMYFUNCTION("""COMPUTED_VALUE"""),1.0)</f>
        <v>1</v>
      </c>
      <c r="F53" s="112">
        <f>IFERROR(__xludf.DUMMYFUNCTION("""COMPUTED_VALUE"""),0.0)</f>
        <v>0</v>
      </c>
      <c r="G53" s="49" t="str">
        <f>IFERROR(__xludf.DUMMYFUNCTION("""COMPUTED_VALUE"""),"DMG")</f>
        <v>DMG</v>
      </c>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t="str">
        <f>IFERROR(__xludf.DUMMYFUNCTION("""COMPUTED_VALUE"""),"++X2 additional Chaos and Blood damage")</f>
        <v>++X2 additional Chaos and Blood damage</v>
      </c>
      <c r="AG53" s="49" t="str">
        <f>IFERROR(__xludf.DUMMYFUNCTION("""COMPUTED_VALUE"""),"Land of Spira")</f>
        <v>Land of Spira</v>
      </c>
      <c r="AH53" s="49" t="b">
        <f>IFERROR(__xludf.DUMMYFUNCTION("""COMPUTED_VALUE"""),FALSE)</f>
        <v>0</v>
      </c>
    </row>
    <row r="54">
      <c r="A54" s="49" t="str">
        <f>IFERROR(__xludf.DUMMYFUNCTION("""COMPUTED_VALUE"""),"Chaotic Shadow Life Orb")</f>
        <v>Chaotic Shadow Life Orb</v>
      </c>
      <c r="B54" s="49" t="str">
        <f>IFERROR(__xludf.DUMMYFUNCTION("""COMPUTED_VALUE"""),"Hand")</f>
        <v>Hand</v>
      </c>
      <c r="C54" s="49"/>
      <c r="D54" s="49"/>
      <c r="E54" s="49">
        <f>IFERROR(__xludf.DUMMYFUNCTION("""COMPUTED_VALUE"""),1.0)</f>
        <v>1</v>
      </c>
      <c r="F54" s="112">
        <f>IFERROR(__xludf.DUMMYFUNCTION("""COMPUTED_VALUE"""),0.0)</f>
        <v>0</v>
      </c>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49" t="str">
        <f>IFERROR(__xludf.DUMMYFUNCTION("""COMPUTED_VALUE"""),"Land of Spira")</f>
        <v>Land of Spira</v>
      </c>
      <c r="AH54" s="49" t="b">
        <f>IFERROR(__xludf.DUMMYFUNCTION("""COMPUTED_VALUE"""),FALSE)</f>
        <v>0</v>
      </c>
    </row>
    <row r="55">
      <c r="A55" s="49" t="str">
        <f>IFERROR(__xludf.DUMMYFUNCTION("""COMPUTED_VALUE"""),"Charm of Awaken")</f>
        <v>Charm of Awaken</v>
      </c>
      <c r="B55" s="49" t="str">
        <f>IFERROR(__xludf.DUMMYFUNCTION("""COMPUTED_VALUE"""),"Neck")</f>
        <v>Neck</v>
      </c>
      <c r="C55" s="49"/>
      <c r="D55" s="49"/>
      <c r="E55" s="49">
        <f>IFERROR(__xludf.DUMMYFUNCTION("""COMPUTED_VALUE"""),1.0)</f>
        <v>1</v>
      </c>
      <c r="F55" s="112">
        <f>IFERROR(__xludf.DUMMYFUNCTION("""COMPUTED_VALUE"""),0.0)</f>
        <v>0</v>
      </c>
      <c r="G55" s="49" t="str">
        <f>IFERROR(__xludf.DUMMYFUNCTION("""COMPUTED_VALUE"""),"DMG")</f>
        <v>DMG</v>
      </c>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t="str">
        <f>IFERROR(__xludf.DUMMYFUNCTION("""COMPUTED_VALUE"""),"++Immunity to sleep.")</f>
        <v>++Immunity to sleep.</v>
      </c>
      <c r="AG55" s="49" t="str">
        <f>IFERROR(__xludf.DUMMYFUNCTION("""COMPUTED_VALUE"""),"Abstara")</f>
        <v>Abstara</v>
      </c>
      <c r="AH55" s="49" t="b">
        <f>IFERROR(__xludf.DUMMYFUNCTION("""COMPUTED_VALUE"""),FALSE)</f>
        <v>0</v>
      </c>
    </row>
    <row r="56">
      <c r="A56" s="49" t="str">
        <f>IFERROR(__xludf.DUMMYFUNCTION("""COMPUTED_VALUE"""),"Chestplate of Foul Night")</f>
        <v>Chestplate of Foul Night</v>
      </c>
      <c r="B56" s="49" t="str">
        <f>IFERROR(__xludf.DUMMYFUNCTION("""COMPUTED_VALUE"""),"Torso")</f>
        <v>Torso</v>
      </c>
      <c r="C56" s="49"/>
      <c r="D56" s="49"/>
      <c r="E56" s="49">
        <f>IFERROR(__xludf.DUMMYFUNCTION("""COMPUTED_VALUE"""),200.0)</f>
        <v>200</v>
      </c>
      <c r="F56" s="112">
        <f>IFERROR(__xludf.DUMMYFUNCTION("""COMPUTED_VALUE"""),1900000.0)</f>
        <v>1900000</v>
      </c>
      <c r="G56" s="49" t="str">
        <f>IFERROR(__xludf.DUMMYFUNCTION("""COMPUTED_VALUE"""),"DEF")</f>
        <v>DEF</v>
      </c>
      <c r="H56" s="49">
        <f>IFERROR(__xludf.DUMMYFUNCTION("""COMPUTED_VALUE"""),5000.0)</f>
        <v>5000</v>
      </c>
      <c r="I56" s="49"/>
      <c r="J56" s="49"/>
      <c r="K56" s="49"/>
      <c r="L56" s="49"/>
      <c r="M56" s="49"/>
      <c r="N56" s="49"/>
      <c r="O56" s="49"/>
      <c r="P56" s="49"/>
      <c r="Q56" s="49"/>
      <c r="R56" s="49"/>
      <c r="S56" s="49">
        <f>IFERROR(__xludf.DUMMYFUNCTION("""COMPUTED_VALUE"""),5000.0)</f>
        <v>5000</v>
      </c>
      <c r="T56" s="49"/>
      <c r="U56" s="49"/>
      <c r="V56" s="49"/>
      <c r="W56" s="49"/>
      <c r="X56" s="49"/>
      <c r="Y56" s="49"/>
      <c r="Z56" s="49"/>
      <c r="AA56" s="49"/>
      <c r="AB56" s="49"/>
      <c r="AC56" s="49"/>
      <c r="AD56" s="49"/>
      <c r="AE56" s="49"/>
      <c r="AF56" s="49" t="str">
        <f>IFERROR(__xludf.DUMMYFUNCTION("""COMPUTED_VALUE"""),"(Foul Night Set) ++X2 Nature and Poison damage, ++Poison Immunity.")</f>
        <v>(Foul Night Set) ++X2 Nature and Poison damage, ++Poison Immunity.</v>
      </c>
      <c r="AG56" s="49" t="str">
        <f>IFERROR(__xludf.DUMMYFUNCTION("""COMPUTED_VALUE"""),"Land of Spira")</f>
        <v>Land of Spira</v>
      </c>
      <c r="AH56" s="49" t="b">
        <f>IFERROR(__xludf.DUMMYFUNCTION("""COMPUTED_VALUE"""),FALSE)</f>
        <v>0</v>
      </c>
    </row>
    <row r="57">
      <c r="A57" s="49" t="str">
        <f>IFERROR(__xludf.DUMMYFUNCTION("""COMPUTED_VALUE"""),"Chestplate of Waking Waters")</f>
        <v>Chestplate of Waking Waters</v>
      </c>
      <c r="B57" s="49" t="str">
        <f>IFERROR(__xludf.DUMMYFUNCTION("""COMPUTED_VALUE"""),"Torso")</f>
        <v>Torso</v>
      </c>
      <c r="C57" s="49"/>
      <c r="D57" s="49"/>
      <c r="E57" s="49">
        <f>IFERROR(__xludf.DUMMYFUNCTION("""COMPUTED_VALUE"""),400.0)</f>
        <v>400</v>
      </c>
      <c r="F57" s="112">
        <f>IFERROR(__xludf.DUMMYFUNCTION("""COMPUTED_VALUE"""),7800000.0)</f>
        <v>7800000</v>
      </c>
      <c r="G57" s="49" t="str">
        <f>IFERROR(__xludf.DUMMYFUNCTION("""COMPUTED_VALUE"""),"DEF")</f>
        <v>DEF</v>
      </c>
      <c r="H57" s="125">
        <f>IFERROR(__xludf.DUMMYFUNCTION("""COMPUTED_VALUE"""),10000.0)</f>
        <v>10000</v>
      </c>
      <c r="I57" s="49"/>
      <c r="J57" s="49"/>
      <c r="K57" s="125">
        <f>IFERROR(__xludf.DUMMYFUNCTION("""COMPUTED_VALUE"""),10000.0)</f>
        <v>10000</v>
      </c>
      <c r="L57" s="49"/>
      <c r="M57" s="49"/>
      <c r="N57" s="49"/>
      <c r="O57" s="49"/>
      <c r="P57" s="49"/>
      <c r="Q57" s="49"/>
      <c r="R57" s="49"/>
      <c r="S57" s="49"/>
      <c r="T57" s="49"/>
      <c r="U57" s="49"/>
      <c r="V57" s="49"/>
      <c r="W57" s="49"/>
      <c r="X57" s="49"/>
      <c r="Y57" s="49"/>
      <c r="Z57" s="49"/>
      <c r="AA57" s="49"/>
      <c r="AB57" s="49"/>
      <c r="AC57" s="49"/>
      <c r="AD57" s="49"/>
      <c r="AE57" s="49"/>
      <c r="AF57" s="49" t="str">
        <f>IFERROR(__xludf.DUMMYFUNCTION("""COMPUTED_VALUE"""),"++X4 additional water damage for self.")</f>
        <v>++X4 additional water damage for self.</v>
      </c>
      <c r="AG57" s="49" t="str">
        <f>IFERROR(__xludf.DUMMYFUNCTION("""COMPUTED_VALUE"""),"Land of Spira")</f>
        <v>Land of Spira</v>
      </c>
      <c r="AH57" s="49" t="b">
        <f>IFERROR(__xludf.DUMMYFUNCTION("""COMPUTED_VALUE"""),FALSE)</f>
        <v>0</v>
      </c>
    </row>
    <row r="58">
      <c r="A58" s="49" t="str">
        <f>IFERROR(__xludf.DUMMYFUNCTION("""COMPUTED_VALUE"""),"Cloth Cap")</f>
        <v>Cloth Cap</v>
      </c>
      <c r="B58" s="49" t="str">
        <f>IFERROR(__xludf.DUMMYFUNCTION("""COMPUTED_VALUE"""),"Head")</f>
        <v>Head</v>
      </c>
      <c r="C58" s="49"/>
      <c r="D58" s="49"/>
      <c r="E58" s="49">
        <f>IFERROR(__xludf.DUMMYFUNCTION("""COMPUTED_VALUE"""),50.0)</f>
        <v>50</v>
      </c>
      <c r="F58" s="112">
        <f>IFERROR(__xludf.DUMMYFUNCTION("""COMPUTED_VALUE"""),100000.0)</f>
        <v>100000</v>
      </c>
      <c r="G58" s="49" t="str">
        <f>IFERROR(__xludf.DUMMYFUNCTION("""COMPUTED_VALUE"""),"DEF")</f>
        <v>DEF</v>
      </c>
      <c r="H58" s="49">
        <f>IFERROR(__xludf.DUMMYFUNCTION("""COMPUTED_VALUE"""),2500.0)</f>
        <v>2500</v>
      </c>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t="str">
        <f>IFERROR(__xludf.DUMMYFUNCTION("""COMPUTED_VALUE"""),"Land of Spira")</f>
        <v>Land of Spira</v>
      </c>
      <c r="AH58" s="49" t="b">
        <f>IFERROR(__xludf.DUMMYFUNCTION("""COMPUTED_VALUE"""),FALSE)</f>
        <v>0</v>
      </c>
    </row>
    <row r="59">
      <c r="A59" s="49" t="str">
        <f>IFERROR(__xludf.DUMMYFUNCTION("""COMPUTED_VALUE"""),"Colossus Bone Sword")</f>
        <v>Colossus Bone Sword</v>
      </c>
      <c r="B59" s="49" t="str">
        <f>IFERROR(__xludf.DUMMYFUNCTION("""COMPUTED_VALUE"""),"Hand")</f>
        <v>Hand</v>
      </c>
      <c r="C59" s="49" t="str">
        <f>IFERROR(__xludf.DUMMYFUNCTION("""COMPUTED_VALUE"""),"Mob Exclusive")</f>
        <v>Mob Exclusive</v>
      </c>
      <c r="D59" s="49" t="str">
        <f>IFERROR(__xludf.DUMMYFUNCTION("""COMPUTED_VALUE"""),"Sword")</f>
        <v>Sword</v>
      </c>
      <c r="E59" s="49">
        <f>IFERROR(__xludf.DUMMYFUNCTION("""COMPUTED_VALUE"""),1500.0)</f>
        <v>1500</v>
      </c>
      <c r="F59" s="112">
        <f>IFERROR(__xludf.DUMMYFUNCTION("""COMPUTED_VALUE"""),1.1175E8)</f>
        <v>111750000</v>
      </c>
      <c r="G59" s="49" t="str">
        <f>IFERROR(__xludf.DUMMYFUNCTION("""COMPUTED_VALUE"""),"DMG")</f>
        <v>DMG</v>
      </c>
      <c r="H59" s="49">
        <f>IFERROR(__xludf.DUMMYFUNCTION("""COMPUTED_VALUE"""),25000.0)</f>
        <v>25000</v>
      </c>
      <c r="I59" s="49"/>
      <c r="J59" s="49"/>
      <c r="K59" s="49"/>
      <c r="L59" s="49"/>
      <c r="M59" s="125">
        <f>IFERROR(__xludf.DUMMYFUNCTION("""COMPUTED_VALUE"""),25000.0)</f>
        <v>25000</v>
      </c>
      <c r="N59" s="49"/>
      <c r="O59" s="125">
        <f>IFERROR(__xludf.DUMMYFUNCTION("""COMPUTED_VALUE"""),25000.0)</f>
        <v>25000</v>
      </c>
      <c r="P59" s="49"/>
      <c r="Q59" s="49"/>
      <c r="R59" s="49"/>
      <c r="S59" s="49"/>
      <c r="T59" s="49"/>
      <c r="U59" s="49"/>
      <c r="V59" s="49"/>
      <c r="W59" s="49"/>
      <c r="X59" s="49"/>
      <c r="Y59" s="49"/>
      <c r="Z59" s="49"/>
      <c r="AA59" s="49"/>
      <c r="AB59" s="49"/>
      <c r="AC59" s="49"/>
      <c r="AD59" s="49"/>
      <c r="AE59" s="49"/>
      <c r="AF59" s="49" t="str">
        <f>IFERROR(__xludf.DUMMYFUNCTION("""COMPUTED_VALUE"""),"++X2 additional damage for the user.")</f>
        <v>++X2 additional damage for the user.</v>
      </c>
      <c r="AG59" s="49" t="str">
        <f>IFERROR(__xludf.DUMMYFUNCTION("""COMPUTED_VALUE"""),"Land of Spira")</f>
        <v>Land of Spira</v>
      </c>
      <c r="AH59" s="49" t="b">
        <f>IFERROR(__xludf.DUMMYFUNCTION("""COMPUTED_VALUE"""),FALSE)</f>
        <v>0</v>
      </c>
    </row>
    <row r="60">
      <c r="A60" s="49" t="str">
        <f>IFERROR(__xludf.DUMMYFUNCTION("""COMPUTED_VALUE"""),"Coral Hat")</f>
        <v>Coral Hat</v>
      </c>
      <c r="B60" s="49" t="str">
        <f>IFERROR(__xludf.DUMMYFUNCTION("""COMPUTED_VALUE"""),"Head")</f>
        <v>Head</v>
      </c>
      <c r="C60" s="49"/>
      <c r="D60" s="49"/>
      <c r="E60" s="49">
        <f>IFERROR(__xludf.DUMMYFUNCTION("""COMPUTED_VALUE"""),20.0)</f>
        <v>20</v>
      </c>
      <c r="F60" s="112">
        <f>IFERROR(__xludf.DUMMYFUNCTION("""COMPUTED_VALUE"""),1000.0)</f>
        <v>1000</v>
      </c>
      <c r="G60" s="49" t="str">
        <f>IFERROR(__xludf.DUMMYFUNCTION("""COMPUTED_VALUE"""),"DEF")</f>
        <v>DEF</v>
      </c>
      <c r="H60" s="49">
        <f>IFERROR(__xludf.DUMMYFUNCTION("""COMPUTED_VALUE"""),800.0)</f>
        <v>800</v>
      </c>
      <c r="I60" s="49"/>
      <c r="J60" s="49"/>
      <c r="K60" s="49"/>
      <c r="L60" s="49"/>
      <c r="M60" s="49"/>
      <c r="N60" s="49"/>
      <c r="O60" s="49"/>
      <c r="P60" s="49"/>
      <c r="Q60" s="49"/>
      <c r="R60" s="49"/>
      <c r="S60" s="49"/>
      <c r="T60" s="49"/>
      <c r="U60" s="49"/>
      <c r="V60" s="49"/>
      <c r="W60" s="49"/>
      <c r="X60" s="49"/>
      <c r="Y60" s="49"/>
      <c r="Z60" s="49"/>
      <c r="AA60" s="49"/>
      <c r="AB60" s="49"/>
      <c r="AC60" s="49"/>
      <c r="AD60" s="49"/>
      <c r="AE60" s="49"/>
      <c r="AF60" s="49" t="str">
        <f>IFERROR(__xludf.DUMMYFUNCTION("""COMPUTED_VALUE"""),"++Immunity to water damage.")</f>
        <v>++Immunity to water damage.</v>
      </c>
      <c r="AG60" s="49" t="str">
        <f>IFERROR(__xludf.DUMMYFUNCTION("""COMPUTED_VALUE"""),"Land of Spira")</f>
        <v>Land of Spira</v>
      </c>
      <c r="AH60" s="49" t="b">
        <f>IFERROR(__xludf.DUMMYFUNCTION("""COMPUTED_VALUE"""),FALSE)</f>
        <v>0</v>
      </c>
    </row>
    <row r="61">
      <c r="A61" s="49" t="str">
        <f>IFERROR(__xludf.DUMMYFUNCTION("""COMPUTED_VALUE"""),"Critical Vanish Armor")</f>
        <v>Critical Vanish Armor</v>
      </c>
      <c r="B61" s="49" t="str">
        <f>IFERROR(__xludf.DUMMYFUNCTION("""COMPUTED_VALUE"""),"Torso")</f>
        <v>Torso</v>
      </c>
      <c r="C61" s="49"/>
      <c r="D61" s="49"/>
      <c r="E61" s="49">
        <f>IFERROR(__xludf.DUMMYFUNCTION("""COMPUTED_VALUE"""),10.0)</f>
        <v>10</v>
      </c>
      <c r="F61" s="112">
        <f>IFERROR(__xludf.DUMMYFUNCTION("""COMPUTED_VALUE"""),1000.0)</f>
        <v>1000</v>
      </c>
      <c r="G61" s="49" t="str">
        <f>IFERROR(__xludf.DUMMYFUNCTION("""COMPUTED_VALUE"""),"DEF")</f>
        <v>DEF</v>
      </c>
      <c r="H61" s="49">
        <f>IFERROR(__xludf.DUMMYFUNCTION("""COMPUTED_VALUE"""),500.0)</f>
        <v>500</v>
      </c>
      <c r="I61" s="49"/>
      <c r="J61" s="49"/>
      <c r="K61" s="49"/>
      <c r="L61" s="49"/>
      <c r="M61" s="49"/>
      <c r="N61" s="49"/>
      <c r="O61" s="49"/>
      <c r="P61" s="49"/>
      <c r="Q61" s="49"/>
      <c r="R61" s="49"/>
      <c r="S61" s="49"/>
      <c r="T61" s="49"/>
      <c r="U61" s="49"/>
      <c r="V61" s="49"/>
      <c r="W61" s="49"/>
      <c r="X61" s="49"/>
      <c r="Y61" s="49"/>
      <c r="Z61" s="49"/>
      <c r="AA61" s="49"/>
      <c r="AB61" s="49"/>
      <c r="AC61" s="49"/>
      <c r="AD61" s="49"/>
      <c r="AE61" s="49"/>
      <c r="AF61" s="49" t="str">
        <f>IFERROR(__xludf.DUMMYFUNCTION("""COMPUTED_VALUE"""),"++will negate a critical hit to the wearer")</f>
        <v>++will negate a critical hit to the wearer</v>
      </c>
      <c r="AG61" s="49" t="str">
        <f>IFERROR(__xludf.DUMMYFUNCTION("""COMPUTED_VALUE"""),"Land of Spira")</f>
        <v>Land of Spira</v>
      </c>
      <c r="AH61" s="49" t="b">
        <f>IFERROR(__xludf.DUMMYFUNCTION("""COMPUTED_VALUE"""),FALSE)</f>
        <v>0</v>
      </c>
    </row>
    <row r="62">
      <c r="A62" s="49" t="str">
        <f>IFERROR(__xludf.DUMMYFUNCTION("""COMPUTED_VALUE"""),"Crow Staff")</f>
        <v>Crow Staff</v>
      </c>
      <c r="B62" s="49" t="str">
        <f>IFERROR(__xludf.DUMMYFUNCTION("""COMPUTED_VALUE"""),"Hand")</f>
        <v>Hand</v>
      </c>
      <c r="C62" s="49"/>
      <c r="D62" s="49" t="str">
        <f>IFERROR(__xludf.DUMMYFUNCTION("""COMPUTED_VALUE"""),"Staff")</f>
        <v>Staff</v>
      </c>
      <c r="E62" s="49">
        <f>IFERROR(__xludf.DUMMYFUNCTION("""COMPUTED_VALUE"""),400.0)</f>
        <v>400</v>
      </c>
      <c r="F62" s="112">
        <f>IFERROR(__xludf.DUMMYFUNCTION("""COMPUTED_VALUE"""),7800000.0)</f>
        <v>7800000</v>
      </c>
      <c r="G62" s="49" t="str">
        <f>IFERROR(__xludf.DUMMYFUNCTION("""COMPUTED_VALUE"""),"DMG")</f>
        <v>DMG</v>
      </c>
      <c r="H62" s="49">
        <f>IFERROR(__xludf.DUMMYFUNCTION("""COMPUTED_VALUE"""),10000.0)</f>
        <v>10000</v>
      </c>
      <c r="I62" s="49"/>
      <c r="J62" s="49"/>
      <c r="K62" s="49"/>
      <c r="L62" s="49"/>
      <c r="M62" s="49"/>
      <c r="N62" s="49"/>
      <c r="O62" s="49">
        <f>IFERROR(__xludf.DUMMYFUNCTION("""COMPUTED_VALUE"""),10000.0)</f>
        <v>10000</v>
      </c>
      <c r="P62" s="49"/>
      <c r="Q62" s="49"/>
      <c r="R62" s="49"/>
      <c r="S62" s="49"/>
      <c r="T62" s="49"/>
      <c r="U62" s="49"/>
      <c r="V62" s="49"/>
      <c r="W62" s="49"/>
      <c r="X62" s="49"/>
      <c r="Y62" s="49"/>
      <c r="Z62" s="49"/>
      <c r="AA62" s="49"/>
      <c r="AB62" s="49"/>
      <c r="AC62" s="49"/>
      <c r="AD62" s="49"/>
      <c r="AE62" s="49"/>
      <c r="AF62" s="49" t="str">
        <f>IFERROR(__xludf.DUMMYFUNCTION("""COMPUTED_VALUE"""),"++Swarm: inflicts 10000 bleed to all enemies. +- 300SP")</f>
        <v>++Swarm: inflicts 10000 bleed to all enemies. +- 300SP</v>
      </c>
      <c r="AG62" s="49" t="str">
        <f>IFERROR(__xludf.DUMMYFUNCTION("""COMPUTED_VALUE"""),"Land of Spira")</f>
        <v>Land of Spira</v>
      </c>
      <c r="AH62" s="49" t="b">
        <f>IFERROR(__xludf.DUMMYFUNCTION("""COMPUTED_VALUE"""),FALSE)</f>
        <v>0</v>
      </c>
    </row>
    <row r="63">
      <c r="A63" s="49" t="str">
        <f>IFERROR(__xludf.DUMMYFUNCTION("""COMPUTED_VALUE"""),"Crown of Control")</f>
        <v>Crown of Control</v>
      </c>
      <c r="B63" s="49" t="str">
        <f>IFERROR(__xludf.DUMMYFUNCTION("""COMPUTED_VALUE"""),"Head")</f>
        <v>Head</v>
      </c>
      <c r="C63" s="49"/>
      <c r="D63" s="49"/>
      <c r="E63" s="49">
        <f>IFERROR(__xludf.DUMMYFUNCTION("""COMPUTED_VALUE"""),300.0)</f>
        <v>300</v>
      </c>
      <c r="F63" s="112">
        <f>IFERROR(__xludf.DUMMYFUNCTION("""COMPUTED_VALUE"""),4350000.0)</f>
        <v>4350000</v>
      </c>
      <c r="G63" s="125" t="str">
        <f>IFERROR(__xludf.DUMMYFUNCTION("""COMPUTED_VALUE"""),"DEF")</f>
        <v>DEF</v>
      </c>
      <c r="H63" s="125">
        <f>IFERROR(__xludf.DUMMYFUNCTION("""COMPUTED_VALUE"""),15000.0)</f>
        <v>15000</v>
      </c>
      <c r="I63" s="49"/>
      <c r="J63" s="49"/>
      <c r="K63" s="49"/>
      <c r="L63" s="49"/>
      <c r="M63" s="49"/>
      <c r="N63" s="49"/>
      <c r="O63" s="49"/>
      <c r="P63" s="49"/>
      <c r="Q63" s="49"/>
      <c r="R63" s="49"/>
      <c r="S63" s="49"/>
      <c r="T63" s="49"/>
      <c r="U63" s="49"/>
      <c r="V63" s="49"/>
      <c r="W63" s="49"/>
      <c r="X63" s="49"/>
      <c r="Y63" s="49"/>
      <c r="Z63" s="49"/>
      <c r="AA63" s="49"/>
      <c r="AB63" s="49"/>
      <c r="AC63" s="49"/>
      <c r="AD63" s="49"/>
      <c r="AE63" s="49"/>
      <c r="AF63" s="49"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49" t="str">
        <f>IFERROR(__xludf.DUMMYFUNCTION("""COMPUTED_VALUE"""),"Land of The Forgotten")</f>
        <v>Land of The Forgotten</v>
      </c>
      <c r="AH63" s="49" t="b">
        <f>IFERROR(__xludf.DUMMYFUNCTION("""COMPUTED_VALUE"""),FALSE)</f>
        <v>0</v>
      </c>
    </row>
    <row r="64">
      <c r="A64" s="49" t="str">
        <f>IFERROR(__xludf.DUMMYFUNCTION("""COMPUTED_VALUE"""),"Crown of Ice Spears")</f>
        <v>Crown of Ice Spears</v>
      </c>
      <c r="B64" s="49" t="str">
        <f>IFERROR(__xludf.DUMMYFUNCTION("""COMPUTED_VALUE"""),"Head")</f>
        <v>Head</v>
      </c>
      <c r="C64" s="49"/>
      <c r="D64" s="49"/>
      <c r="E64" s="49">
        <f>IFERROR(__xludf.DUMMYFUNCTION("""COMPUTED_VALUE"""),200.0)</f>
        <v>200</v>
      </c>
      <c r="F64" s="112">
        <f>IFERROR(__xludf.DUMMYFUNCTION("""COMPUTED_VALUE"""),1900000.0)</f>
        <v>1900000</v>
      </c>
      <c r="G64" s="49" t="str">
        <f>IFERROR(__xludf.DUMMYFUNCTION("""COMPUTED_VALUE"""),"DEF")</f>
        <v>DEF</v>
      </c>
      <c r="H64" s="125">
        <f>IFERROR(__xludf.DUMMYFUNCTION("""COMPUTED_VALUE"""),10000.0)</f>
        <v>10000</v>
      </c>
      <c r="I64" s="49"/>
      <c r="J64" s="49"/>
      <c r="K64" s="49"/>
      <c r="L64" s="49"/>
      <c r="M64" s="49"/>
      <c r="N64" s="49"/>
      <c r="O64" s="49"/>
      <c r="P64" s="49"/>
      <c r="Q64" s="49"/>
      <c r="R64" s="49"/>
      <c r="S64" s="49"/>
      <c r="T64" s="49"/>
      <c r="U64" s="49"/>
      <c r="V64" s="49"/>
      <c r="W64" s="49"/>
      <c r="X64" s="49"/>
      <c r="Y64" s="49"/>
      <c r="Z64" s="49"/>
      <c r="AA64" s="49"/>
      <c r="AB64" s="49"/>
      <c r="AC64" s="49"/>
      <c r="AD64" s="49"/>
      <c r="AE64" s="49"/>
      <c r="AF64" s="49"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49" t="str">
        <f>IFERROR(__xludf.DUMMYFUNCTION("""COMPUTED_VALUE"""),"Land of Spira")</f>
        <v>Land of Spira</v>
      </c>
      <c r="AH64" s="49" t="b">
        <f>IFERROR(__xludf.DUMMYFUNCTION("""COMPUTED_VALUE"""),FALSE)</f>
        <v>0</v>
      </c>
    </row>
    <row r="65">
      <c r="A65" s="49" t="str">
        <f>IFERROR(__xludf.DUMMYFUNCTION("""COMPUTED_VALUE"""),"Crown of the Forgotten")</f>
        <v>Crown of the Forgotten</v>
      </c>
      <c r="B65" s="49" t="str">
        <f>IFERROR(__xludf.DUMMYFUNCTION("""COMPUTED_VALUE"""),"Head")</f>
        <v>Head</v>
      </c>
      <c r="C65" s="49"/>
      <c r="D65" s="49"/>
      <c r="E65" s="49">
        <f>IFERROR(__xludf.DUMMYFUNCTION("""COMPUTED_VALUE"""),20.0)</f>
        <v>20</v>
      </c>
      <c r="F65" s="112">
        <f>IFERROR(__xludf.DUMMYFUNCTION("""COMPUTED_VALUE"""),10000.0)</f>
        <v>10000</v>
      </c>
      <c r="G65" s="49" t="str">
        <f>IFERROR(__xludf.DUMMYFUNCTION("""COMPUTED_VALUE"""),"DEF")</f>
        <v>DEF</v>
      </c>
      <c r="H65" s="49">
        <f>IFERROR(__xludf.DUMMYFUNCTION("""COMPUTED_VALUE"""),1000.0)</f>
        <v>1000</v>
      </c>
      <c r="I65" s="49"/>
      <c r="J65" s="49"/>
      <c r="K65" s="49"/>
      <c r="L65" s="49"/>
      <c r="M65" s="49"/>
      <c r="N65" s="49"/>
      <c r="O65" s="49"/>
      <c r="P65" s="49"/>
      <c r="Q65" s="49"/>
      <c r="R65" s="49"/>
      <c r="S65" s="49"/>
      <c r="T65" s="49"/>
      <c r="U65" s="49"/>
      <c r="V65" s="49"/>
      <c r="W65" s="49"/>
      <c r="X65" s="49"/>
      <c r="Y65" s="49"/>
      <c r="Z65" s="49"/>
      <c r="AA65" s="49"/>
      <c r="AB65" s="49"/>
      <c r="AC65" s="49"/>
      <c r="AD65" s="49"/>
      <c r="AE65" s="49"/>
      <c r="AF65" s="49"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49" t="str">
        <f>IFERROR(__xludf.DUMMYFUNCTION("""COMPUTED_VALUE"""),"Land of The Forgotten")</f>
        <v>Land of The Forgotten</v>
      </c>
      <c r="AH65" s="49" t="b">
        <f>IFERROR(__xludf.DUMMYFUNCTION("""COMPUTED_VALUE"""),FALSE)</f>
        <v>0</v>
      </c>
    </row>
    <row r="66">
      <c r="A66" s="49" t="str">
        <f>IFERROR(__xludf.DUMMYFUNCTION("""COMPUTED_VALUE"""),"Crown Of The Sea Serpent")</f>
        <v>Crown Of The Sea Serpent</v>
      </c>
      <c r="B66" s="49" t="str">
        <f>IFERROR(__xludf.DUMMYFUNCTION("""COMPUTED_VALUE"""),"Head")</f>
        <v>Head</v>
      </c>
      <c r="C66" s="49"/>
      <c r="D66" s="49"/>
      <c r="E66" s="49">
        <f>IFERROR(__xludf.DUMMYFUNCTION("""COMPUTED_VALUE"""),1.0)</f>
        <v>1</v>
      </c>
      <c r="F66" s="112">
        <f>IFERROR(__xludf.DUMMYFUNCTION("""COMPUTED_VALUE"""),0.0)</f>
        <v>0</v>
      </c>
      <c r="G66" s="49"/>
      <c r="H66" s="49"/>
      <c r="I66" s="49"/>
      <c r="J66" s="49"/>
      <c r="K66" s="49"/>
      <c r="L66" s="49"/>
      <c r="M66" s="49"/>
      <c r="N66" s="49"/>
      <c r="O66" s="49"/>
      <c r="P66" s="49"/>
      <c r="Q66" s="49"/>
      <c r="R66" s="49"/>
      <c r="S66" s="49"/>
      <c r="T66" s="49"/>
      <c r="U66" s="49"/>
      <c r="V66" s="49"/>
      <c r="W66" s="49"/>
      <c r="X66" s="49"/>
      <c r="Y66" s="49"/>
      <c r="Z66" s="49"/>
      <c r="AA66" s="49"/>
      <c r="AB66" s="49"/>
      <c r="AC66" s="49"/>
      <c r="AD66" s="49"/>
      <c r="AE66" s="49"/>
      <c r="AF66" s="49" t="str">
        <f>IFERROR(__xludf.DUMMYFUNCTION("""COMPUTED_VALUE"""),"++X4 additional water damage for the user, ++Water spells cost half sp, +-Cannot be duplicated.")</f>
        <v>++X4 additional water damage for the user, ++Water spells cost half sp, +-Cannot be duplicated.</v>
      </c>
      <c r="AG66" s="49" t="str">
        <f>IFERROR(__xludf.DUMMYFUNCTION("""COMPUTED_VALUE"""),"Land of Spira")</f>
        <v>Land of Spira</v>
      </c>
      <c r="AH66" s="49" t="b">
        <f>IFERROR(__xludf.DUMMYFUNCTION("""COMPUTED_VALUE"""),FALSE)</f>
        <v>0</v>
      </c>
    </row>
    <row r="67">
      <c r="A67" s="49" t="str">
        <f>IFERROR(__xludf.DUMMYFUNCTION("""COMPUTED_VALUE"""),"Crown Of Tritonoch")</f>
        <v>Crown Of Tritonoch</v>
      </c>
      <c r="B67" s="49" t="str">
        <f>IFERROR(__xludf.DUMMYFUNCTION("""COMPUTED_VALUE"""),"Head")</f>
        <v>Head</v>
      </c>
      <c r="C67" s="49"/>
      <c r="D67" s="49"/>
      <c r="E67" s="49">
        <f>IFERROR(__xludf.DUMMYFUNCTION("""COMPUTED_VALUE"""),400.0)</f>
        <v>400</v>
      </c>
      <c r="F67" s="112">
        <f>IFERROR(__xludf.DUMMYFUNCTION("""COMPUTED_VALUE"""),7800000.0)</f>
        <v>7800000</v>
      </c>
      <c r="G67" s="49" t="str">
        <f>IFERROR(__xludf.DUMMYFUNCTION("""COMPUTED_VALUE"""),"DEF")</f>
        <v>DEF</v>
      </c>
      <c r="H67" s="49">
        <f>IFERROR(__xludf.DUMMYFUNCTION("""COMPUTED_VALUE"""),20000.0)</f>
        <v>20000</v>
      </c>
      <c r="I67" s="49"/>
      <c r="J67" s="49"/>
      <c r="K67" s="49"/>
      <c r="L67" s="49"/>
      <c r="M67" s="49"/>
      <c r="N67" s="49"/>
      <c r="O67" s="49"/>
      <c r="P67" s="49"/>
      <c r="Q67" s="49"/>
      <c r="R67" s="49"/>
      <c r="S67" s="49"/>
      <c r="T67" s="49"/>
      <c r="U67" s="49"/>
      <c r="V67" s="49"/>
      <c r="W67" s="49"/>
      <c r="X67" s="49"/>
      <c r="Y67" s="49"/>
      <c r="Z67" s="49"/>
      <c r="AA67" s="49"/>
      <c r="AB67" s="49"/>
      <c r="AC67" s="49"/>
      <c r="AD67" s="49"/>
      <c r="AE67" s="49"/>
      <c r="AF67" s="49" t="str">
        <f>IFERROR(__xludf.DUMMYFUNCTION("""COMPUTED_VALUE"""),"++Waves of Entitlement - x5 additional Water damage")</f>
        <v>++Waves of Entitlement - x5 additional Water damage</v>
      </c>
      <c r="AG67" s="49" t="str">
        <f>IFERROR(__xludf.DUMMYFUNCTION("""COMPUTED_VALUE"""),"Land of Spira")</f>
        <v>Land of Spira</v>
      </c>
      <c r="AH67" s="49" t="b">
        <f>IFERROR(__xludf.DUMMYFUNCTION("""COMPUTED_VALUE"""),FALSE)</f>
        <v>0</v>
      </c>
    </row>
    <row r="68">
      <c r="A68" s="49" t="str">
        <f>IFERROR(__xludf.DUMMYFUNCTION("""COMPUTED_VALUE"""),"Cryogenic Claymore")</f>
        <v>Cryogenic Claymore</v>
      </c>
      <c r="B68" s="49" t="str">
        <f>IFERROR(__xludf.DUMMYFUNCTION("""COMPUTED_VALUE"""),"Hand")</f>
        <v>Hand</v>
      </c>
      <c r="C68" s="49" t="str">
        <f>IFERROR(__xludf.DUMMYFUNCTION("""COMPUTED_VALUE"""),"(The Frozen Blade Master Set)")</f>
        <v>(The Frozen Blade Master Set)</v>
      </c>
      <c r="D68" s="49" t="str">
        <f>IFERROR(__xludf.DUMMYFUNCTION("""COMPUTED_VALUE"""),"Sword")</f>
        <v>Sword</v>
      </c>
      <c r="E68" s="49">
        <f>IFERROR(__xludf.DUMMYFUNCTION("""COMPUTED_VALUE"""),400.0)</f>
        <v>400</v>
      </c>
      <c r="F68" s="112">
        <f>IFERROR(__xludf.DUMMYFUNCTION("""COMPUTED_VALUE"""),7800000.0)</f>
        <v>7800000</v>
      </c>
      <c r="G68" s="49" t="str">
        <f>IFERROR(__xludf.DUMMYFUNCTION("""COMPUTED_VALUE"""),"DMG")</f>
        <v>DMG</v>
      </c>
      <c r="H68" s="125">
        <f>IFERROR(__xludf.DUMMYFUNCTION("""COMPUTED_VALUE"""),10000.0)</f>
        <v>10000</v>
      </c>
      <c r="I68" s="49"/>
      <c r="J68" s="49"/>
      <c r="K68" s="125">
        <f>IFERROR(__xludf.DUMMYFUNCTION("""COMPUTED_VALUE"""),10000.0)</f>
        <v>10000</v>
      </c>
      <c r="L68" s="49"/>
      <c r="M68" s="49"/>
      <c r="N68" s="49"/>
      <c r="O68" s="49"/>
      <c r="P68" s="49"/>
      <c r="Q68" s="49"/>
      <c r="R68" s="49"/>
      <c r="S68" s="49"/>
      <c r="T68" s="49"/>
      <c r="U68" s="49"/>
      <c r="V68" s="49"/>
      <c r="W68" s="49"/>
      <c r="X68" s="49"/>
      <c r="Y68" s="49"/>
      <c r="Z68" s="49"/>
      <c r="AA68" s="49"/>
      <c r="AB68" s="49"/>
      <c r="AC68" s="49"/>
      <c r="AD68" s="49"/>
      <c r="AE68" s="49"/>
      <c r="AF68" s="49" t="str">
        <f>IFERROR(__xludf.DUMMYFUNCTION("""COMPUTED_VALUE"""),"++10% chance to freeze all enemies.")</f>
        <v>++10% chance to freeze all enemies.</v>
      </c>
      <c r="AG68" s="49" t="str">
        <f>IFERROR(__xludf.DUMMYFUNCTION("""COMPUTED_VALUE"""),"Land of Spira")</f>
        <v>Land of Spira</v>
      </c>
      <c r="AH68" s="49" t="b">
        <f>IFERROR(__xludf.DUMMYFUNCTION("""COMPUTED_VALUE"""),FALSE)</f>
        <v>0</v>
      </c>
    </row>
    <row r="69">
      <c r="A69" s="49" t="str">
        <f>IFERROR(__xludf.DUMMYFUNCTION("""COMPUTED_VALUE"""),"Crystal Forged Helmet")</f>
        <v>Crystal Forged Helmet</v>
      </c>
      <c r="B69" s="49" t="str">
        <f>IFERROR(__xludf.DUMMYFUNCTION("""COMPUTED_VALUE"""),"Head")</f>
        <v>Head</v>
      </c>
      <c r="C69" s="49"/>
      <c r="D69" s="49"/>
      <c r="E69" s="49">
        <f>IFERROR(__xludf.DUMMYFUNCTION("""COMPUTED_VALUE"""),200.0)</f>
        <v>200</v>
      </c>
      <c r="F69" s="112">
        <f>IFERROR(__xludf.DUMMYFUNCTION("""COMPUTED_VALUE"""),1900000.0)</f>
        <v>1900000</v>
      </c>
      <c r="G69" s="49" t="str">
        <f>IFERROR(__xludf.DUMMYFUNCTION("""COMPUTED_VALUE"""),"DEF")</f>
        <v>DEF</v>
      </c>
      <c r="H69" s="49">
        <f>IFERROR(__xludf.DUMMYFUNCTION("""COMPUTED_VALUE"""),10000.0)</f>
        <v>10000</v>
      </c>
      <c r="I69" s="49"/>
      <c r="J69" s="49"/>
      <c r="K69" s="49"/>
      <c r="L69" s="49"/>
      <c r="M69" s="49"/>
      <c r="N69" s="49"/>
      <c r="O69" s="49"/>
      <c r="P69" s="49"/>
      <c r="Q69" s="49"/>
      <c r="R69" s="49"/>
      <c r="S69" s="49"/>
      <c r="T69" s="49"/>
      <c r="U69" s="49"/>
      <c r="V69" s="49"/>
      <c r="W69" s="49"/>
      <c r="X69" s="49"/>
      <c r="Y69" s="49"/>
      <c r="Z69" s="49"/>
      <c r="AA69" s="49"/>
      <c r="AB69" s="49"/>
      <c r="AC69" s="49"/>
      <c r="AD69" s="49"/>
      <c r="AE69" s="49"/>
      <c r="AF69" s="49" t="str">
        <f>IFERROR(__xludf.DUMMYFUNCTION("""COMPUTED_VALUE"""),"++When equipped, Gem and Crystal related weapons deal an additional X2 damage for the user.")</f>
        <v>++When equipped, Gem and Crystal related weapons deal an additional X2 damage for the user.</v>
      </c>
      <c r="AG69" s="49" t="str">
        <f>IFERROR(__xludf.DUMMYFUNCTION("""COMPUTED_VALUE"""),"Land of Spira")</f>
        <v>Land of Spira</v>
      </c>
      <c r="AH69" s="49" t="b">
        <f>IFERROR(__xludf.DUMMYFUNCTION("""COMPUTED_VALUE"""),FALSE)</f>
        <v>0</v>
      </c>
    </row>
    <row r="70">
      <c r="A70" s="49" t="str">
        <f>IFERROR(__xludf.DUMMYFUNCTION("""COMPUTED_VALUE"""),"Crystal Forged Axe")</f>
        <v>Crystal Forged Axe</v>
      </c>
      <c r="B70" s="49" t="str">
        <f>IFERROR(__xludf.DUMMYFUNCTION("""COMPUTED_VALUE"""),"Hand")</f>
        <v>Hand</v>
      </c>
      <c r="C70" s="49"/>
      <c r="D70" s="49"/>
      <c r="E70" s="49">
        <f>IFERROR(__xludf.DUMMYFUNCTION("""COMPUTED_VALUE"""),400.0)</f>
        <v>400</v>
      </c>
      <c r="F70" s="112">
        <f>IFERROR(__xludf.DUMMYFUNCTION("""COMPUTED_VALUE"""),7800000.0)</f>
        <v>7800000</v>
      </c>
      <c r="G70" s="49" t="str">
        <f>IFERROR(__xludf.DUMMYFUNCTION("""COMPUTED_VALUE"""),"DMG")</f>
        <v>DMG</v>
      </c>
      <c r="H70" s="125">
        <f>IFERROR(__xludf.DUMMYFUNCTION("""COMPUTED_VALUE"""),10000.0)</f>
        <v>10000</v>
      </c>
      <c r="I70" s="49"/>
      <c r="J70" s="49"/>
      <c r="K70" s="49"/>
      <c r="L70" s="49"/>
      <c r="M70" s="125">
        <f>IFERROR(__xludf.DUMMYFUNCTION("""COMPUTED_VALUE"""),10000.0)</f>
        <v>10000</v>
      </c>
      <c r="N70" s="49"/>
      <c r="O70" s="49"/>
      <c r="P70" s="49"/>
      <c r="Q70" s="49"/>
      <c r="R70" s="49"/>
      <c r="S70" s="49"/>
      <c r="T70" s="49"/>
      <c r="U70" s="49"/>
      <c r="V70" s="49"/>
      <c r="W70" s="49"/>
      <c r="X70" s="49"/>
      <c r="Y70" s="49"/>
      <c r="Z70" s="49"/>
      <c r="AA70" s="49"/>
      <c r="AB70" s="49"/>
      <c r="AC70" s="49"/>
      <c r="AD70" s="49"/>
      <c r="AE70" s="49"/>
      <c r="AF70" s="49" t="str">
        <f>IFERROR(__xludf.DUMMYFUNCTION("""COMPUTED_VALUE"""),"++When equipped, Gem and Crystal related weapons deal an additional X6 damage for the user.")</f>
        <v>++When equipped, Gem and Crystal related weapons deal an additional X6 damage for the user.</v>
      </c>
      <c r="AG70" s="49" t="str">
        <f>IFERROR(__xludf.DUMMYFUNCTION("""COMPUTED_VALUE"""),"Land of Spira")</f>
        <v>Land of Spira</v>
      </c>
      <c r="AH70" s="49" t="b">
        <f>IFERROR(__xludf.DUMMYFUNCTION("""COMPUTED_VALUE"""),FALSE)</f>
        <v>0</v>
      </c>
    </row>
    <row r="71">
      <c r="A71" s="49" t="str">
        <f>IFERROR(__xludf.DUMMYFUNCTION("""COMPUTED_VALUE"""),"Crystal Forged Chestplate")</f>
        <v>Crystal Forged Chestplate</v>
      </c>
      <c r="B71" s="49" t="str">
        <f>IFERROR(__xludf.DUMMYFUNCTION("""COMPUTED_VALUE"""),"Torso")</f>
        <v>Torso</v>
      </c>
      <c r="C71" s="49"/>
      <c r="D71" s="49"/>
      <c r="E71" s="49">
        <f>IFERROR(__xludf.DUMMYFUNCTION("""COMPUTED_VALUE"""),200.0)</f>
        <v>200</v>
      </c>
      <c r="F71" s="112">
        <f>IFERROR(__xludf.DUMMYFUNCTION("""COMPUTED_VALUE"""),1900000.0)</f>
        <v>1900000</v>
      </c>
      <c r="G71" s="49" t="str">
        <f>IFERROR(__xludf.DUMMYFUNCTION("""COMPUTED_VALUE"""),"DEF")</f>
        <v>DEF</v>
      </c>
      <c r="H71" s="125">
        <f>IFERROR(__xludf.DUMMYFUNCTION("""COMPUTED_VALUE"""),5000.0)</f>
        <v>5000</v>
      </c>
      <c r="I71" s="49"/>
      <c r="J71" s="49"/>
      <c r="K71" s="49"/>
      <c r="L71" s="49"/>
      <c r="M71" s="125">
        <f>IFERROR(__xludf.DUMMYFUNCTION("""COMPUTED_VALUE"""),5000.0)</f>
        <v>5000</v>
      </c>
      <c r="N71" s="49"/>
      <c r="O71" s="49"/>
      <c r="P71" s="49"/>
      <c r="Q71" s="49"/>
      <c r="R71" s="49"/>
      <c r="S71" s="49"/>
      <c r="T71" s="49"/>
      <c r="U71" s="49"/>
      <c r="V71" s="49"/>
      <c r="W71" s="49"/>
      <c r="X71" s="49"/>
      <c r="Y71" s="49"/>
      <c r="Z71" s="49"/>
      <c r="AA71" s="49"/>
      <c r="AB71" s="49"/>
      <c r="AC71" s="49"/>
      <c r="AD71" s="49"/>
      <c r="AE71" s="49"/>
      <c r="AF71" s="49" t="str">
        <f>IFERROR(__xludf.DUMMYFUNCTION("""COMPUTED_VALUE"""),"++When equipped, Gem and Crystal related weapons deal an additional X2 damage for the user.")</f>
        <v>++When equipped, Gem and Crystal related weapons deal an additional X2 damage for the user.</v>
      </c>
      <c r="AG71" s="49" t="str">
        <f>IFERROR(__xludf.DUMMYFUNCTION("""COMPUTED_VALUE"""),"Land of Spira")</f>
        <v>Land of Spira</v>
      </c>
      <c r="AH71" s="49" t="b">
        <f>IFERROR(__xludf.DUMMYFUNCTION("""COMPUTED_VALUE"""),FALSE)</f>
        <v>0</v>
      </c>
    </row>
    <row r="72">
      <c r="A72" s="49" t="str">
        <f>IFERROR(__xludf.DUMMYFUNCTION("""COMPUTED_VALUE"""),"Crystal Healing Amulet")</f>
        <v>Crystal Healing Amulet</v>
      </c>
      <c r="B72" s="49" t="str">
        <f>IFERROR(__xludf.DUMMYFUNCTION("""COMPUTED_VALUE"""),"Neck")</f>
        <v>Neck</v>
      </c>
      <c r="C72" s="49"/>
      <c r="D72" s="49"/>
      <c r="E72" s="49">
        <f>IFERROR(__xludf.DUMMYFUNCTION("""COMPUTED_VALUE"""),1.0)</f>
        <v>1</v>
      </c>
      <c r="F72" s="112">
        <f>IFERROR(__xludf.DUMMYFUNCTION("""COMPUTED_VALUE"""),0.0)</f>
        <v>0</v>
      </c>
      <c r="G72" s="49"/>
      <c r="H72" s="49"/>
      <c r="I72" s="49"/>
      <c r="J72" s="49"/>
      <c r="K72" s="49"/>
      <c r="L72" s="49"/>
      <c r="M72" s="49"/>
      <c r="N72" s="49"/>
      <c r="O72" s="49"/>
      <c r="P72" s="49"/>
      <c r="Q72" s="49"/>
      <c r="R72" s="49"/>
      <c r="S72" s="49"/>
      <c r="T72" s="49"/>
      <c r="U72" s="49"/>
      <c r="V72" s="49"/>
      <c r="W72" s="49"/>
      <c r="X72" s="49"/>
      <c r="Y72" s="49"/>
      <c r="Z72" s="49"/>
      <c r="AA72" s="49"/>
      <c r="AB72" s="49"/>
      <c r="AC72" s="49"/>
      <c r="AD72" s="49"/>
      <c r="AE72" s="49"/>
      <c r="AF72" s="49"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49" t="str">
        <f>IFERROR(__xludf.DUMMYFUNCTION("""COMPUTED_VALUE"""),"Land of Spira")</f>
        <v>Land of Spira</v>
      </c>
      <c r="AH72" s="49" t="b">
        <f>IFERROR(__xludf.DUMMYFUNCTION("""COMPUTED_VALUE"""),FALSE)</f>
        <v>0</v>
      </c>
    </row>
    <row r="73">
      <c r="A73" s="49" t="str">
        <f>IFERROR(__xludf.DUMMYFUNCTION("""COMPUTED_VALUE"""),"Crystal Longsword")</f>
        <v>Crystal Longsword</v>
      </c>
      <c r="B73" s="49" t="str">
        <f>IFERROR(__xludf.DUMMYFUNCTION("""COMPUTED_VALUE"""),"Hand")</f>
        <v>Hand</v>
      </c>
      <c r="C73" s="49"/>
      <c r="D73" s="49" t="str">
        <f>IFERROR(__xludf.DUMMYFUNCTION("""COMPUTED_VALUE"""),"Sword")</f>
        <v>Sword</v>
      </c>
      <c r="E73" s="49">
        <f>IFERROR(__xludf.DUMMYFUNCTION("""COMPUTED_VALUE"""),200.0)</f>
        <v>200</v>
      </c>
      <c r="F73" s="112">
        <f>IFERROR(__xludf.DUMMYFUNCTION("""COMPUTED_VALUE"""),1900000.0)</f>
        <v>1900000</v>
      </c>
      <c r="G73" s="49" t="str">
        <f>IFERROR(__xludf.DUMMYFUNCTION("""COMPUTED_VALUE"""),"DMG")</f>
        <v>DMG</v>
      </c>
      <c r="H73" s="125">
        <f>IFERROR(__xludf.DUMMYFUNCTION("""COMPUTED_VALUE"""),5000.0)</f>
        <v>5000</v>
      </c>
      <c r="I73" s="49"/>
      <c r="J73" s="49"/>
      <c r="K73" s="49"/>
      <c r="L73" s="49"/>
      <c r="M73" s="125">
        <f>IFERROR(__xludf.DUMMYFUNCTION("""COMPUTED_VALUE"""),5000.0)</f>
        <v>5000</v>
      </c>
      <c r="N73" s="49"/>
      <c r="O73" s="49"/>
      <c r="P73" s="49"/>
      <c r="Q73" s="49"/>
      <c r="R73" s="49"/>
      <c r="S73" s="49"/>
      <c r="T73" s="49"/>
      <c r="U73" s="49"/>
      <c r="V73" s="49"/>
      <c r="W73" s="49"/>
      <c r="X73" s="49"/>
      <c r="Y73" s="49"/>
      <c r="Z73" s="49"/>
      <c r="AA73" s="49"/>
      <c r="AB73" s="49"/>
      <c r="AC73" s="49"/>
      <c r="AD73" s="49"/>
      <c r="AE73" s="49"/>
      <c r="AF73" s="49" t="str">
        <f>IFERROR(__xludf.DUMMYFUNCTION("""COMPUTED_VALUE"""),"++When equipped, Gem and Crystal related weapons deal an additional X4 damage for the user.")</f>
        <v>++When equipped, Gem and Crystal related weapons deal an additional X4 damage for the user.</v>
      </c>
      <c r="AG73" s="49" t="str">
        <f>IFERROR(__xludf.DUMMYFUNCTION("""COMPUTED_VALUE"""),"Land of Spira")</f>
        <v>Land of Spira</v>
      </c>
      <c r="AH73" s="49" t="b">
        <f>IFERROR(__xludf.DUMMYFUNCTION("""COMPUTED_VALUE"""),FALSE)</f>
        <v>0</v>
      </c>
    </row>
    <row r="74">
      <c r="A74" s="49" t="str">
        <f>IFERROR(__xludf.DUMMYFUNCTION("""COMPUTED_VALUE"""),"Crystal Ring")</f>
        <v>Crystal Ring</v>
      </c>
      <c r="B74" s="49" t="str">
        <f>IFERROR(__xludf.DUMMYFUNCTION("""COMPUTED_VALUE"""),"Ring")</f>
        <v>Ring</v>
      </c>
      <c r="C74" s="49"/>
      <c r="D74" s="49"/>
      <c r="E74" s="49">
        <f>IFERROR(__xludf.DUMMYFUNCTION("""COMPUTED_VALUE"""),1.0)</f>
        <v>1</v>
      </c>
      <c r="F74" s="112">
        <f>IFERROR(__xludf.DUMMYFUNCTION("""COMPUTED_VALUE"""),0.0)</f>
        <v>0</v>
      </c>
      <c r="G74" s="49"/>
      <c r="H74" s="49"/>
      <c r="I74" s="49"/>
      <c r="J74" s="49"/>
      <c r="K74" s="49"/>
      <c r="L74" s="49"/>
      <c r="M74" s="49"/>
      <c r="N74" s="49"/>
      <c r="O74" s="49"/>
      <c r="P74" s="49"/>
      <c r="Q74" s="49"/>
      <c r="R74" s="49"/>
      <c r="S74" s="49"/>
      <c r="T74" s="49"/>
      <c r="U74" s="49"/>
      <c r="V74" s="49"/>
      <c r="W74" s="49"/>
      <c r="X74" s="49"/>
      <c r="Y74" s="49"/>
      <c r="Z74" s="49"/>
      <c r="AA74" s="49"/>
      <c r="AB74" s="49"/>
      <c r="AC74" s="49"/>
      <c r="AD74" s="49"/>
      <c r="AE74" s="49"/>
      <c r="AF74" s="49" t="str">
        <f>IFERROR(__xludf.DUMMYFUNCTION("""COMPUTED_VALUE"""),"++When equipped, Gem and Crystal related weapons deal an additional X2 damage for the user.")</f>
        <v>++When equipped, Gem and Crystal related weapons deal an additional X2 damage for the user.</v>
      </c>
      <c r="AG74" s="49" t="str">
        <f>IFERROR(__xludf.DUMMYFUNCTION("""COMPUTED_VALUE"""),"Land of Spira")</f>
        <v>Land of Spira</v>
      </c>
      <c r="AH74" s="49" t="b">
        <f>IFERROR(__xludf.DUMMYFUNCTION("""COMPUTED_VALUE"""),FALSE)</f>
        <v>0</v>
      </c>
    </row>
    <row r="75">
      <c r="A75" s="49" t="str">
        <f>IFERROR(__xludf.DUMMYFUNCTION("""COMPUTED_VALUE"""),"Crystal Shield")</f>
        <v>Crystal Shield</v>
      </c>
      <c r="B75" s="49" t="str">
        <f>IFERROR(__xludf.DUMMYFUNCTION("""COMPUTED_VALUE"""),"Hand")</f>
        <v>Hand</v>
      </c>
      <c r="C75" s="49"/>
      <c r="D75" s="49" t="str">
        <f>IFERROR(__xludf.DUMMYFUNCTION("""COMPUTED_VALUE"""),"Buckler")</f>
        <v>Buckler</v>
      </c>
      <c r="E75" s="49">
        <f>IFERROR(__xludf.DUMMYFUNCTION("""COMPUTED_VALUE"""),200.0)</f>
        <v>200</v>
      </c>
      <c r="F75" s="112">
        <f>IFERROR(__xludf.DUMMYFUNCTION("""COMPUTED_VALUE"""),1900000.0)</f>
        <v>1900000</v>
      </c>
      <c r="G75" s="49" t="str">
        <f>IFERROR(__xludf.DUMMYFUNCTION("""COMPUTED_VALUE"""),"DEF")</f>
        <v>DEF</v>
      </c>
      <c r="H75" s="49">
        <f>IFERROR(__xludf.DUMMYFUNCTION("""COMPUTED_VALUE"""),10000.0)</f>
        <v>10000</v>
      </c>
      <c r="I75" s="49"/>
      <c r="J75" s="49"/>
      <c r="K75" s="49"/>
      <c r="L75" s="49"/>
      <c r="M75" s="49"/>
      <c r="N75" s="49"/>
      <c r="O75" s="49"/>
      <c r="P75" s="49"/>
      <c r="Q75" s="49"/>
      <c r="R75" s="49"/>
      <c r="S75" s="49"/>
      <c r="T75" s="49"/>
      <c r="U75" s="49"/>
      <c r="V75" s="49"/>
      <c r="W75" s="49"/>
      <c r="X75" s="49"/>
      <c r="Y75" s="49"/>
      <c r="Z75" s="49"/>
      <c r="AA75" s="49"/>
      <c r="AB75" s="49"/>
      <c r="AC75" s="49"/>
      <c r="AD75" s="49"/>
      <c r="AE75" s="49"/>
      <c r="AF75" s="49" t="str">
        <f>IFERROR(__xludf.DUMMYFUNCTION("""COMPUTED_VALUE"""),"++Take half damage from Gem and Crystal related weapons.")</f>
        <v>++Take half damage from Gem and Crystal related weapons.</v>
      </c>
      <c r="AG75" s="49" t="str">
        <f>IFERROR(__xludf.DUMMYFUNCTION("""COMPUTED_VALUE"""),"Land of Spira")</f>
        <v>Land of Spira</v>
      </c>
      <c r="AH75" s="49" t="b">
        <f>IFERROR(__xludf.DUMMYFUNCTION("""COMPUTED_VALUE"""),FALSE)</f>
        <v>0</v>
      </c>
    </row>
    <row r="76">
      <c r="A76" s="49" t="str">
        <f>IFERROR(__xludf.DUMMYFUNCTION("""COMPUTED_VALUE"""),"Crystal Staff")</f>
        <v>Crystal Staff</v>
      </c>
      <c r="B76" s="49" t="str">
        <f>IFERROR(__xludf.DUMMYFUNCTION("""COMPUTED_VALUE"""),"Hand")</f>
        <v>Hand</v>
      </c>
      <c r="C76" s="49"/>
      <c r="D76" s="49" t="str">
        <f>IFERROR(__xludf.DUMMYFUNCTION("""COMPUTED_VALUE"""),"Staff")</f>
        <v>Staff</v>
      </c>
      <c r="E76" s="49">
        <f>IFERROR(__xludf.DUMMYFUNCTION("""COMPUTED_VALUE"""),1.0)</f>
        <v>1</v>
      </c>
      <c r="F76" s="112">
        <f>IFERROR(__xludf.DUMMYFUNCTION("""COMPUTED_VALUE"""),0.0)</f>
        <v>0</v>
      </c>
      <c r="G76" s="49"/>
      <c r="H76" s="49"/>
      <c r="I76" s="49"/>
      <c r="J76" s="49"/>
      <c r="K76" s="49"/>
      <c r="L76" s="49"/>
      <c r="M76" s="49"/>
      <c r="N76" s="49"/>
      <c r="O76" s="49"/>
      <c r="P76" s="49"/>
      <c r="Q76" s="49"/>
      <c r="R76" s="49"/>
      <c r="S76" s="49"/>
      <c r="T76" s="49"/>
      <c r="U76" s="49"/>
      <c r="V76" s="49"/>
      <c r="W76" s="49"/>
      <c r="X76" s="49"/>
      <c r="Y76" s="49"/>
      <c r="Z76" s="49"/>
      <c r="AA76" s="49"/>
      <c r="AB76" s="49"/>
      <c r="AC76" s="49"/>
      <c r="AD76" s="49"/>
      <c r="AE76" s="49"/>
      <c r="AF76" s="49"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49" t="str">
        <f>IFERROR(__xludf.DUMMYFUNCTION("""COMPUTED_VALUE"""),"Land of Spira")</f>
        <v>Land of Spira</v>
      </c>
      <c r="AH76" s="49" t="b">
        <f>IFERROR(__xludf.DUMMYFUNCTION("""COMPUTED_VALUE"""),FALSE)</f>
        <v>0</v>
      </c>
    </row>
    <row r="77">
      <c r="A77" s="49" t="str">
        <f>IFERROR(__xludf.DUMMYFUNCTION("""COMPUTED_VALUE"""),"Crystal Sword")</f>
        <v>Crystal Sword</v>
      </c>
      <c r="B77" s="49" t="str">
        <f>IFERROR(__xludf.DUMMYFUNCTION("""COMPUTED_VALUE"""),"Hand")</f>
        <v>Hand</v>
      </c>
      <c r="C77" s="49"/>
      <c r="D77" s="49" t="str">
        <f>IFERROR(__xludf.DUMMYFUNCTION("""COMPUTED_VALUE"""),"Sword")</f>
        <v>Sword</v>
      </c>
      <c r="E77" s="49">
        <f>IFERROR(__xludf.DUMMYFUNCTION("""COMPUTED_VALUE"""),80.0)</f>
        <v>80</v>
      </c>
      <c r="F77" s="112">
        <f>IFERROR(__xludf.DUMMYFUNCTION("""COMPUTED_VALUE"""),280000.0)</f>
        <v>280000</v>
      </c>
      <c r="G77" s="49" t="str">
        <f>IFERROR(__xludf.DUMMYFUNCTION("""COMPUTED_VALUE"""),"DMG")</f>
        <v>DMG</v>
      </c>
      <c r="H77" s="49">
        <f>IFERROR(__xludf.DUMMYFUNCTION("""COMPUTED_VALUE"""),2000.0)</f>
        <v>2000</v>
      </c>
      <c r="I77" s="49"/>
      <c r="J77" s="49"/>
      <c r="K77" s="49"/>
      <c r="L77" s="49"/>
      <c r="M77" s="49">
        <f>IFERROR(__xludf.DUMMYFUNCTION("""COMPUTED_VALUE"""),2000.0)</f>
        <v>2000</v>
      </c>
      <c r="N77" s="49"/>
      <c r="O77" s="49"/>
      <c r="P77" s="49"/>
      <c r="Q77" s="49"/>
      <c r="R77" s="49"/>
      <c r="S77" s="49"/>
      <c r="T77" s="49"/>
      <c r="U77" s="49"/>
      <c r="V77" s="49"/>
      <c r="W77" s="49"/>
      <c r="X77" s="49"/>
      <c r="Y77" s="49"/>
      <c r="Z77" s="49"/>
      <c r="AA77" s="49"/>
      <c r="AB77" s="49"/>
      <c r="AC77" s="49"/>
      <c r="AD77" s="49"/>
      <c r="AE77" s="49"/>
      <c r="AF77" s="49" t="str">
        <f>IFERROR(__xludf.DUMMYFUNCTION("""COMPUTED_VALUE"""),"++When equipped, Gem and Crystal related weapons deal an additional X2 damage for the user.")</f>
        <v>++When equipped, Gem and Crystal related weapons deal an additional X2 damage for the user.</v>
      </c>
      <c r="AG77" s="49" t="str">
        <f>IFERROR(__xludf.DUMMYFUNCTION("""COMPUTED_VALUE"""),"Land of Spira")</f>
        <v>Land of Spira</v>
      </c>
      <c r="AH77" s="49" t="b">
        <f>IFERROR(__xludf.DUMMYFUNCTION("""COMPUTED_VALUE"""),FALSE)</f>
        <v>0</v>
      </c>
    </row>
    <row r="78">
      <c r="A78" s="49" t="str">
        <f>IFERROR(__xludf.DUMMYFUNCTION("""COMPUTED_VALUE"""),"Cursed Blade")</f>
        <v>Cursed Blade</v>
      </c>
      <c r="B78" s="49" t="str">
        <f>IFERROR(__xludf.DUMMYFUNCTION("""COMPUTED_VALUE"""),"Hand")</f>
        <v>Hand</v>
      </c>
      <c r="C78" s="49"/>
      <c r="D78" s="49" t="str">
        <f>IFERROR(__xludf.DUMMYFUNCTION("""COMPUTED_VALUE"""),"Sword")</f>
        <v>Sword</v>
      </c>
      <c r="E78" s="49">
        <f>IFERROR(__xludf.DUMMYFUNCTION("""COMPUTED_VALUE"""),620.0)</f>
        <v>620</v>
      </c>
      <c r="F78" s="112">
        <f>IFERROR(__xludf.DUMMYFUNCTION("""COMPUTED_VALUE"""),1.891E7)</f>
        <v>18910000</v>
      </c>
      <c r="G78" s="49" t="str">
        <f>IFERROR(__xludf.DUMMYFUNCTION("""COMPUTED_VALUE"""),"DMG")</f>
        <v>DMG</v>
      </c>
      <c r="H78" s="125">
        <f>IFERROR(__xludf.DUMMYFUNCTION("""COMPUTED_VALUE"""),30000.0)</f>
        <v>30000</v>
      </c>
      <c r="I78" s="49"/>
      <c r="J78" s="49"/>
      <c r="K78" s="49"/>
      <c r="L78" s="49"/>
      <c r="M78" s="49"/>
      <c r="N78" s="49"/>
      <c r="O78" s="49">
        <f>IFERROR(__xludf.DUMMYFUNCTION("""COMPUTED_VALUE"""),1000.0)</f>
        <v>1000</v>
      </c>
      <c r="P78" s="49"/>
      <c r="Q78" s="49"/>
      <c r="R78" s="49"/>
      <c r="S78" s="49"/>
      <c r="T78" s="49"/>
      <c r="U78" s="49"/>
      <c r="V78" s="49"/>
      <c r="W78" s="49"/>
      <c r="X78" s="49"/>
      <c r="Y78" s="49"/>
      <c r="Z78" s="49"/>
      <c r="AA78" s="49"/>
      <c r="AB78" s="49"/>
      <c r="AC78" s="49"/>
      <c r="AD78" s="49"/>
      <c r="AE78" s="49"/>
      <c r="AF78" s="49" t="str">
        <f>IFERROR(__xludf.DUMMYFUNCTION("""COMPUTED_VALUE"""),"+- -5 evasion and mobility while equipped.")</f>
        <v>+- -5 evasion and mobility while equipped.</v>
      </c>
      <c r="AG78" s="49" t="str">
        <f>IFERROR(__xludf.DUMMYFUNCTION("""COMPUTED_VALUE"""),"Land of Spira")</f>
        <v>Land of Spira</v>
      </c>
      <c r="AH78" s="49" t="b">
        <f>IFERROR(__xludf.DUMMYFUNCTION("""COMPUTED_VALUE"""),FALSE)</f>
        <v>0</v>
      </c>
    </row>
    <row r="79">
      <c r="A79" s="49" t="str">
        <f>IFERROR(__xludf.DUMMYFUNCTION("""COMPUTED_VALUE"""),"Cursed Blade of The Void Realm")</f>
        <v>Cursed Blade of The Void Realm</v>
      </c>
      <c r="B79" s="49" t="str">
        <f>IFERROR(__xludf.DUMMYFUNCTION("""COMPUTED_VALUE"""),"Hand")</f>
        <v>Hand</v>
      </c>
      <c r="C79" s="49"/>
      <c r="D79" s="49" t="str">
        <f>IFERROR(__xludf.DUMMYFUNCTION("""COMPUTED_VALUE"""),"Sword")</f>
        <v>Sword</v>
      </c>
      <c r="E79" s="49">
        <f>IFERROR(__xludf.DUMMYFUNCTION("""COMPUTED_VALUE"""),1.0)</f>
        <v>1</v>
      </c>
      <c r="F79" s="112">
        <f>IFERROR(__xludf.DUMMYFUNCTION("""COMPUTED_VALUE"""),0.0)</f>
        <v>0</v>
      </c>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t="str">
        <f>IFERROR(__xludf.DUMMYFUNCTION("""COMPUTED_VALUE"""),"+-When equipped this item cannot be unequipped for 3 rounds, +-Depletes 1000 SP per round.")</f>
        <v>+-When equipped this item cannot be unequipped for 3 rounds, +-Depletes 1000 SP per round.</v>
      </c>
      <c r="AG79" s="49" t="str">
        <f>IFERROR(__xludf.DUMMYFUNCTION("""COMPUTED_VALUE"""),"Land of Spira")</f>
        <v>Land of Spira</v>
      </c>
      <c r="AH79" s="49" t="b">
        <f>IFERROR(__xludf.DUMMYFUNCTION("""COMPUTED_VALUE"""),FALSE)</f>
        <v>0</v>
      </c>
    </row>
    <row r="80">
      <c r="A80" s="49" t="str">
        <f>IFERROR(__xludf.DUMMYFUNCTION("""COMPUTED_VALUE"""),"Dagger")</f>
        <v>Dagger</v>
      </c>
      <c r="B80" s="49" t="str">
        <f>IFERROR(__xludf.DUMMYFUNCTION("""COMPUTED_VALUE"""),"Hand")</f>
        <v>Hand</v>
      </c>
      <c r="C80" s="49" t="str">
        <f>IFERROR(__xludf.DUMMYFUNCTION("""COMPUTED_VALUE"""),"The first weapon ")</f>
        <v>The first weapon </v>
      </c>
      <c r="D80" s="49" t="str">
        <f>IFERROR(__xludf.DUMMYFUNCTION("""COMPUTED_VALUE"""),"Knife")</f>
        <v>Knife</v>
      </c>
      <c r="E80" s="49">
        <f>IFERROR(__xludf.DUMMYFUNCTION("""COMPUTED_VALUE"""),20.0)</f>
        <v>20</v>
      </c>
      <c r="F80" s="112">
        <f>IFERROR(__xludf.DUMMYFUNCTION("""COMPUTED_VALUE"""),10000.0)</f>
        <v>10000</v>
      </c>
      <c r="G80" s="49" t="str">
        <f>IFERROR(__xludf.DUMMYFUNCTION("""COMPUTED_VALUE"""),"DMG")</f>
        <v>DMG</v>
      </c>
      <c r="H80" s="49">
        <f>IFERROR(__xludf.DUMMYFUNCTION("""COMPUTED_VALUE"""),1000.0)</f>
        <v>1000</v>
      </c>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t="str">
        <f>IFERROR(__xludf.DUMMYFUNCTION("""COMPUTED_VALUE"""),"Land of Spira")</f>
        <v>Land of Spira</v>
      </c>
      <c r="AH80" s="49" t="b">
        <f>IFERROR(__xludf.DUMMYFUNCTION("""COMPUTED_VALUE"""),FALSE)</f>
        <v>0</v>
      </c>
    </row>
    <row r="81">
      <c r="A81" s="49" t="str">
        <f>IFERROR(__xludf.DUMMYFUNCTION("""COMPUTED_VALUE"""),"Dagger of Flowers")</f>
        <v>Dagger of Flowers</v>
      </c>
      <c r="B81" s="49" t="str">
        <f>IFERROR(__xludf.DUMMYFUNCTION("""COMPUTED_VALUE"""),"Hand")</f>
        <v>Hand</v>
      </c>
      <c r="C81" s="49" t="str">
        <f>IFERROR(__xludf.DUMMYFUNCTION("""COMPUTED_VALUE"""),"(Event Exclusive)")</f>
        <v>(Event Exclusive)</v>
      </c>
      <c r="D81" s="49" t="str">
        <f>IFERROR(__xludf.DUMMYFUNCTION("""COMPUTED_VALUE"""),"Knife")</f>
        <v>Knife</v>
      </c>
      <c r="E81" s="49">
        <f>IFERROR(__xludf.DUMMYFUNCTION("""COMPUTED_VALUE"""),90.0)</f>
        <v>90</v>
      </c>
      <c r="F81" s="112">
        <f>IFERROR(__xludf.DUMMYFUNCTION("""COMPUTED_VALUE"""),360000.0)</f>
        <v>360000</v>
      </c>
      <c r="G81" s="49" t="str">
        <f>IFERROR(__xludf.DUMMYFUNCTION("""COMPUTED_VALUE"""),"DMG")</f>
        <v>DMG</v>
      </c>
      <c r="H81" s="49">
        <f>IFERROR(__xludf.DUMMYFUNCTION("""COMPUTED_VALUE"""),3000.0)</f>
        <v>3000</v>
      </c>
      <c r="I81" s="49"/>
      <c r="J81" s="49"/>
      <c r="K81" s="49"/>
      <c r="L81" s="49"/>
      <c r="M81" s="49"/>
      <c r="N81" s="49"/>
      <c r="O81" s="49"/>
      <c r="P81" s="49"/>
      <c r="Q81" s="49"/>
      <c r="R81" s="49"/>
      <c r="S81" s="49">
        <f>IFERROR(__xludf.DUMMYFUNCTION("""COMPUTED_VALUE"""),1500.0)</f>
        <v>1500</v>
      </c>
      <c r="T81" s="49"/>
      <c r="U81" s="49"/>
      <c r="V81" s="49"/>
      <c r="W81" s="49"/>
      <c r="X81" s="49"/>
      <c r="Y81" s="49"/>
      <c r="Z81" s="49"/>
      <c r="AA81" s="49"/>
      <c r="AB81" s="49"/>
      <c r="AC81" s="49"/>
      <c r="AD81" s="49"/>
      <c r="AE81" s="49"/>
      <c r="AF81" s="49"/>
      <c r="AG81" s="49" t="str">
        <f>IFERROR(__xludf.DUMMYFUNCTION("""COMPUTED_VALUE"""),"Land of Spira")</f>
        <v>Land of Spira</v>
      </c>
      <c r="AH81" s="49" t="b">
        <f>IFERROR(__xludf.DUMMYFUNCTION("""COMPUTED_VALUE"""),TRUE)</f>
        <v>1</v>
      </c>
    </row>
    <row r="82">
      <c r="A82" s="49" t="str">
        <f>IFERROR(__xludf.DUMMYFUNCTION("""COMPUTED_VALUE"""),"Dagger of The Cultist")</f>
        <v>Dagger of The Cultist</v>
      </c>
      <c r="B82" s="49" t="str">
        <f>IFERROR(__xludf.DUMMYFUNCTION("""COMPUTED_VALUE"""),"Hand")</f>
        <v>Hand</v>
      </c>
      <c r="C82" s="49"/>
      <c r="D82" s="49" t="str">
        <f>IFERROR(__xludf.DUMMYFUNCTION("""COMPUTED_VALUE"""),"Knife")</f>
        <v>Knife</v>
      </c>
      <c r="E82" s="49">
        <f>IFERROR(__xludf.DUMMYFUNCTION("""COMPUTED_VALUE"""),120.0)</f>
        <v>120</v>
      </c>
      <c r="F82" s="112">
        <f>IFERROR(__xludf.DUMMYFUNCTION("""COMPUTED_VALUE"""),660000.0)</f>
        <v>660000</v>
      </c>
      <c r="G82" s="49" t="str">
        <f>IFERROR(__xludf.DUMMYFUNCTION("""COMPUTED_VALUE"""),"DMG")</f>
        <v>DMG</v>
      </c>
      <c r="H82" s="49">
        <f>IFERROR(__xludf.DUMMYFUNCTION("""COMPUTED_VALUE"""),2000.0)</f>
        <v>2000</v>
      </c>
      <c r="I82" s="49"/>
      <c r="J82" s="49"/>
      <c r="K82" s="49"/>
      <c r="L82" s="49"/>
      <c r="M82" s="49"/>
      <c r="N82" s="49"/>
      <c r="O82" s="49">
        <f>IFERROR(__xludf.DUMMYFUNCTION("""COMPUTED_VALUE"""),2000.0)</f>
        <v>2000</v>
      </c>
      <c r="P82" s="49"/>
      <c r="Q82" s="49"/>
      <c r="R82" s="49">
        <f>IFERROR(__xludf.DUMMYFUNCTION("""COMPUTED_VALUE"""),2000.0)</f>
        <v>2000</v>
      </c>
      <c r="S82" s="49"/>
      <c r="T82" s="49"/>
      <c r="U82" s="49"/>
      <c r="V82" s="49"/>
      <c r="W82" s="49"/>
      <c r="X82" s="49"/>
      <c r="Y82" s="49"/>
      <c r="Z82" s="49"/>
      <c r="AA82" s="49"/>
      <c r="AB82" s="49"/>
      <c r="AC82" s="49"/>
      <c r="AD82" s="49"/>
      <c r="AE82" s="49"/>
      <c r="AF82" s="49" t="str">
        <f>IFERROR(__xludf.DUMMYFUNCTION("""COMPUTED_VALUE"""),"(Cultist Set) ++25% chance of instant death to the target.")</f>
        <v>(Cultist Set) ++25% chance of instant death to the target.</v>
      </c>
      <c r="AG82" s="49" t="str">
        <f>IFERROR(__xludf.DUMMYFUNCTION("""COMPUTED_VALUE"""),"Land of Spira")</f>
        <v>Land of Spira</v>
      </c>
      <c r="AH82" s="49" t="b">
        <f>IFERROR(__xludf.DUMMYFUNCTION("""COMPUTED_VALUE"""),FALSE)</f>
        <v>0</v>
      </c>
    </row>
    <row r="83">
      <c r="A83" s="49" t="str">
        <f>IFERROR(__xludf.DUMMYFUNCTION("""COMPUTED_VALUE"""),"Dark Ice Sword")</f>
        <v>Dark Ice Sword</v>
      </c>
      <c r="B83" s="49" t="str">
        <f>IFERROR(__xludf.DUMMYFUNCTION("""COMPUTED_VALUE"""),"Hand")</f>
        <v>Hand</v>
      </c>
      <c r="C83" s="49"/>
      <c r="D83" s="49" t="str">
        <f>IFERROR(__xludf.DUMMYFUNCTION("""COMPUTED_VALUE"""),"Sword")</f>
        <v>Sword</v>
      </c>
      <c r="E83" s="49">
        <f>IFERROR(__xludf.DUMMYFUNCTION("""COMPUTED_VALUE"""),20.0)</f>
        <v>20</v>
      </c>
      <c r="F83" s="112">
        <f>IFERROR(__xludf.DUMMYFUNCTION("""COMPUTED_VALUE"""),1000.0)</f>
        <v>1000</v>
      </c>
      <c r="G83" s="49" t="str">
        <f>IFERROR(__xludf.DUMMYFUNCTION("""COMPUTED_VALUE"""),"DMG")</f>
        <v>DMG</v>
      </c>
      <c r="H83" s="49">
        <f>IFERROR(__xludf.DUMMYFUNCTION("""COMPUTED_VALUE"""),600.0)</f>
        <v>600</v>
      </c>
      <c r="I83" s="49"/>
      <c r="J83" s="49"/>
      <c r="K83" s="49"/>
      <c r="L83" s="49"/>
      <c r="M83" s="49"/>
      <c r="N83" s="49"/>
      <c r="O83" s="49"/>
      <c r="P83" s="49"/>
      <c r="Q83" s="49"/>
      <c r="R83" s="49"/>
      <c r="S83" s="49"/>
      <c r="T83" s="49"/>
      <c r="U83" s="49"/>
      <c r="V83" s="49"/>
      <c r="W83" s="49"/>
      <c r="X83" s="49"/>
      <c r="Y83" s="49"/>
      <c r="Z83" s="49"/>
      <c r="AA83" s="49"/>
      <c r="AB83" s="49"/>
      <c r="AC83" s="49"/>
      <c r="AD83" s="49"/>
      <c r="AE83" s="49"/>
      <c r="AF83" s="49" t="str">
        <f>IFERROR(__xludf.DUMMYFUNCTION("""COMPUTED_VALUE"""),"++25% Chance to freeze target.")</f>
        <v>++25% Chance to freeze target.</v>
      </c>
      <c r="AG83" s="49" t="str">
        <f>IFERROR(__xludf.DUMMYFUNCTION("""COMPUTED_VALUE"""),"Land of Spira")</f>
        <v>Land of Spira</v>
      </c>
      <c r="AH83" s="49" t="b">
        <f>IFERROR(__xludf.DUMMYFUNCTION("""COMPUTED_VALUE"""),FALSE)</f>
        <v>0</v>
      </c>
    </row>
    <row r="84">
      <c r="A84" s="49" t="str">
        <f>IFERROR(__xludf.DUMMYFUNCTION("""COMPUTED_VALUE"""),"Dark Knight Helm")</f>
        <v>Dark Knight Helm</v>
      </c>
      <c r="B84" s="49" t="str">
        <f>IFERROR(__xludf.DUMMYFUNCTION("""COMPUTED_VALUE"""),"Head")</f>
        <v>Head</v>
      </c>
      <c r="C84" s="49"/>
      <c r="D84" s="49"/>
      <c r="E84" s="49">
        <f>IFERROR(__xludf.DUMMYFUNCTION("""COMPUTED_VALUE"""),10.0)</f>
        <v>10</v>
      </c>
      <c r="F84" s="112">
        <f>IFERROR(__xludf.DUMMYFUNCTION("""COMPUTED_VALUE"""),1000.0)</f>
        <v>1000</v>
      </c>
      <c r="G84" s="49" t="str">
        <f>IFERROR(__xludf.DUMMYFUNCTION("""COMPUTED_VALUE"""),"DEF")</f>
        <v>DEF</v>
      </c>
      <c r="H84" s="49">
        <f>IFERROR(__xludf.DUMMYFUNCTION("""COMPUTED_VALUE"""),500.0)</f>
        <v>500</v>
      </c>
      <c r="I84" s="49"/>
      <c r="J84" s="49"/>
      <c r="K84" s="49"/>
      <c r="L84" s="49"/>
      <c r="M84" s="49"/>
      <c r="N84" s="49"/>
      <c r="O84" s="49"/>
      <c r="P84" s="49"/>
      <c r="Q84" s="49"/>
      <c r="R84" s="49"/>
      <c r="S84" s="49"/>
      <c r="T84" s="49"/>
      <c r="U84" s="49"/>
      <c r="V84" s="49"/>
      <c r="W84" s="49"/>
      <c r="X84" s="49"/>
      <c r="Y84" s="49"/>
      <c r="Z84" s="49"/>
      <c r="AA84" s="49"/>
      <c r="AB84" s="49"/>
      <c r="AC84" s="49"/>
      <c r="AD84" s="49"/>
      <c r="AE84" s="49"/>
      <c r="AF84" s="49" t="str">
        <f>IFERROR(__xludf.DUMMYFUNCTION("""COMPUTED_VALUE"""),"++Immune to dark damage")</f>
        <v>++Immune to dark damage</v>
      </c>
      <c r="AG84" s="49" t="str">
        <f>IFERROR(__xludf.DUMMYFUNCTION("""COMPUTED_VALUE"""),"Land of Spira")</f>
        <v>Land of Spira</v>
      </c>
      <c r="AH84" s="49" t="b">
        <f>IFERROR(__xludf.DUMMYFUNCTION("""COMPUTED_VALUE"""),FALSE)</f>
        <v>0</v>
      </c>
    </row>
    <row r="85">
      <c r="A85" s="49" t="str">
        <f>IFERROR(__xludf.DUMMYFUNCTION("""COMPUTED_VALUE"""),"Dark Wand")</f>
        <v>Dark Wand</v>
      </c>
      <c r="B85" s="49" t="str">
        <f>IFERROR(__xludf.DUMMYFUNCTION("""COMPUTED_VALUE"""),"Hand")</f>
        <v>Hand</v>
      </c>
      <c r="C85" s="49"/>
      <c r="D85" s="49" t="str">
        <f>IFERROR(__xludf.DUMMYFUNCTION("""COMPUTED_VALUE"""),"Wand")</f>
        <v>Wand</v>
      </c>
      <c r="E85" s="49">
        <f>IFERROR(__xludf.DUMMYFUNCTION("""COMPUTED_VALUE"""),1.0)</f>
        <v>1</v>
      </c>
      <c r="F85" s="112">
        <f>IFERROR(__xludf.DUMMYFUNCTION("""COMPUTED_VALUE"""),0.0)</f>
        <v>0</v>
      </c>
      <c r="G85" s="49"/>
      <c r="H85" s="49"/>
      <c r="I85" s="49"/>
      <c r="J85" s="49"/>
      <c r="K85" s="49"/>
      <c r="L85" s="49"/>
      <c r="M85" s="49"/>
      <c r="N85" s="49"/>
      <c r="O85" s="49"/>
      <c r="P85" s="49"/>
      <c r="Q85" s="49"/>
      <c r="R85" s="49"/>
      <c r="S85" s="49"/>
      <c r="T85" s="49"/>
      <c r="U85" s="49"/>
      <c r="V85" s="49"/>
      <c r="W85" s="49"/>
      <c r="X85" s="49"/>
      <c r="Y85" s="49"/>
      <c r="Z85" s="49"/>
      <c r="AA85" s="49"/>
      <c r="AB85" s="49"/>
      <c r="AC85" s="49"/>
      <c r="AD85" s="49"/>
      <c r="AE85" s="49"/>
      <c r="AF85" s="49" t="str">
        <f>IFERROR(__xludf.DUMMYFUNCTION("""COMPUTED_VALUE"""),"++Half the SP cost of dark spells")</f>
        <v>++Half the SP cost of dark spells</v>
      </c>
      <c r="AG85" s="49" t="str">
        <f>IFERROR(__xludf.DUMMYFUNCTION("""COMPUTED_VALUE"""),"Land of Spira")</f>
        <v>Land of Spira</v>
      </c>
      <c r="AH85" s="49" t="b">
        <f>IFERROR(__xludf.DUMMYFUNCTION("""COMPUTED_VALUE"""),FALSE)</f>
        <v>0</v>
      </c>
    </row>
    <row r="86">
      <c r="A86" s="49" t="str">
        <f>IFERROR(__xludf.DUMMYFUNCTION("""COMPUTED_VALUE"""),"Dead Forest Blade")</f>
        <v>Dead Forest Blade</v>
      </c>
      <c r="B86" s="49" t="str">
        <f>IFERROR(__xludf.DUMMYFUNCTION("""COMPUTED_VALUE"""),"Hand")</f>
        <v>Hand</v>
      </c>
      <c r="C86" s="49"/>
      <c r="D86" s="49" t="str">
        <f>IFERROR(__xludf.DUMMYFUNCTION("""COMPUTED_VALUE"""),"Sword")</f>
        <v>Sword</v>
      </c>
      <c r="E86" s="49">
        <f>IFERROR(__xludf.DUMMYFUNCTION("""COMPUTED_VALUE"""),180.0)</f>
        <v>180</v>
      </c>
      <c r="F86" s="112">
        <f>IFERROR(__xludf.DUMMYFUNCTION("""COMPUTED_VALUE"""),1530000.0)</f>
        <v>1530000</v>
      </c>
      <c r="G86" s="49" t="str">
        <f>IFERROR(__xludf.DUMMYFUNCTION("""COMPUTED_VALUE"""),"DMG")</f>
        <v>DMG</v>
      </c>
      <c r="H86" s="49">
        <f>IFERROR(__xludf.DUMMYFUNCTION("""COMPUTED_VALUE"""),5000.0)</f>
        <v>5000</v>
      </c>
      <c r="I86" s="49"/>
      <c r="J86" s="49"/>
      <c r="K86" s="49"/>
      <c r="L86" s="49"/>
      <c r="M86" s="49"/>
      <c r="N86" s="49"/>
      <c r="O86" s="49">
        <f>IFERROR(__xludf.DUMMYFUNCTION("""COMPUTED_VALUE"""),4000.0)</f>
        <v>4000</v>
      </c>
      <c r="P86" s="49"/>
      <c r="Q86" s="49"/>
      <c r="R86" s="49"/>
      <c r="S86" s="49"/>
      <c r="T86" s="49"/>
      <c r="U86" s="49"/>
      <c r="V86" s="49"/>
      <c r="W86" s="49"/>
      <c r="X86" s="49"/>
      <c r="Y86" s="49"/>
      <c r="Z86" s="49"/>
      <c r="AA86" s="49"/>
      <c r="AB86" s="49"/>
      <c r="AC86" s="49"/>
      <c r="AD86" s="49"/>
      <c r="AE86" s="49"/>
      <c r="AF86" s="49"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49" t="str">
        <f>IFERROR(__xludf.DUMMYFUNCTION("""COMPUTED_VALUE"""),"Land of Spira")</f>
        <v>Land of Spira</v>
      </c>
      <c r="AH86" s="49" t="b">
        <f>IFERROR(__xludf.DUMMYFUNCTION("""COMPUTED_VALUE"""),FALSE)</f>
        <v>0</v>
      </c>
    </row>
    <row r="87">
      <c r="A87" s="49" t="str">
        <f>IFERROR(__xludf.DUMMYFUNCTION("""COMPUTED_VALUE"""),"Dead Forest Branch")</f>
        <v>Dead Forest Branch</v>
      </c>
      <c r="B87" s="49" t="str">
        <f>IFERROR(__xludf.DUMMYFUNCTION("""COMPUTED_VALUE"""),"Hand")</f>
        <v>Hand</v>
      </c>
      <c r="C87" s="49"/>
      <c r="D87" s="49" t="str">
        <f>IFERROR(__xludf.DUMMYFUNCTION("""COMPUTED_VALUE"""),"Club")</f>
        <v>Club</v>
      </c>
      <c r="E87" s="49">
        <f>IFERROR(__xludf.DUMMYFUNCTION("""COMPUTED_VALUE"""),200.0)</f>
        <v>200</v>
      </c>
      <c r="F87" s="112">
        <f>IFERROR(__xludf.DUMMYFUNCTION("""COMPUTED_VALUE"""),2.8788E10)</f>
        <v>28788000000</v>
      </c>
      <c r="G87" s="49" t="str">
        <f>IFERROR(__xludf.DUMMYFUNCTION("""COMPUTED_VALUE"""),"DMG")</f>
        <v>DMG</v>
      </c>
      <c r="H87" s="49"/>
      <c r="I87" s="49"/>
      <c r="J87" s="49"/>
      <c r="K87" s="49"/>
      <c r="L87" s="49"/>
      <c r="M87" s="49"/>
      <c r="N87" s="49"/>
      <c r="O87" s="49"/>
      <c r="P87" s="49"/>
      <c r="Q87" s="49"/>
      <c r="R87" s="49"/>
      <c r="S87" s="49"/>
      <c r="T87" s="49"/>
      <c r="U87" s="49"/>
      <c r="V87" s="49"/>
      <c r="W87" s="49"/>
      <c r="X87" s="49"/>
      <c r="Y87" s="49"/>
      <c r="Z87" s="49"/>
      <c r="AA87" s="49"/>
      <c r="AB87" s="49"/>
      <c r="AC87" s="125">
        <f>IFERROR(__xludf.DUMMYFUNCTION("""COMPUTED_VALUE"""),1.0E7)</f>
        <v>10000000</v>
      </c>
      <c r="AD87" s="49"/>
      <c r="AE87" s="49"/>
      <c r="AF87" s="49" t="str">
        <f>IFERROR(__xludf.DUMMYFUNCTION("""COMPUTED_VALUE"""),"++This Branch will deal 10,000,000 celestial damage but it has a 95% chance to break")</f>
        <v>++This Branch will deal 10,000,000 celestial damage but it has a 95% chance to break</v>
      </c>
      <c r="AG87" s="49" t="str">
        <f>IFERROR(__xludf.DUMMYFUNCTION("""COMPUTED_VALUE"""),"Land of Spira")</f>
        <v>Land of Spira</v>
      </c>
      <c r="AH87" s="49" t="b">
        <f>IFERROR(__xludf.DUMMYFUNCTION("""COMPUTED_VALUE"""),FALSE)</f>
        <v>0</v>
      </c>
    </row>
    <row r="88">
      <c r="A88" s="49" t="str">
        <f>IFERROR(__xludf.DUMMYFUNCTION("""COMPUTED_VALUE"""),"Death's Scythe")</f>
        <v>Death's Scythe</v>
      </c>
      <c r="B88" s="49" t="str">
        <f>IFERROR(__xludf.DUMMYFUNCTION("""COMPUTED_VALUE"""),"Hand")</f>
        <v>Hand</v>
      </c>
      <c r="C88" s="49"/>
      <c r="D88" s="49" t="str">
        <f>IFERROR(__xludf.DUMMYFUNCTION("""COMPUTED_VALUE"""),"Scythe")</f>
        <v>Scythe</v>
      </c>
      <c r="E88" s="49">
        <f>IFERROR(__xludf.DUMMYFUNCTION("""COMPUTED_VALUE"""),600.0)</f>
        <v>600</v>
      </c>
      <c r="F88" s="112">
        <f>IFERROR(__xludf.DUMMYFUNCTION("""COMPUTED_VALUE"""),1.77E7)</f>
        <v>17700000</v>
      </c>
      <c r="G88" s="49" t="str">
        <f>IFERROR(__xludf.DUMMYFUNCTION("""COMPUTED_VALUE"""),"DMG")</f>
        <v>DMG</v>
      </c>
      <c r="H88" s="125">
        <f>IFERROR(__xludf.DUMMYFUNCTION("""COMPUTED_VALUE"""),10000.0)</f>
        <v>10000</v>
      </c>
      <c r="I88" s="49"/>
      <c r="J88" s="49"/>
      <c r="K88" s="49"/>
      <c r="L88" s="49"/>
      <c r="M88" s="49"/>
      <c r="N88" s="49"/>
      <c r="O88" s="125">
        <f>IFERROR(__xludf.DUMMYFUNCTION("""COMPUTED_VALUE"""),10000.0)</f>
        <v>10000</v>
      </c>
      <c r="P88" s="49"/>
      <c r="Q88" s="49"/>
      <c r="R88" s="125">
        <f>IFERROR(__xludf.DUMMYFUNCTION("""COMPUTED_VALUE"""),10000.0)</f>
        <v>10000</v>
      </c>
      <c r="S88" s="49"/>
      <c r="T88" s="49"/>
      <c r="U88" s="49"/>
      <c r="V88" s="49"/>
      <c r="W88" s="49"/>
      <c r="X88" s="49"/>
      <c r="Y88" s="49"/>
      <c r="Z88" s="49"/>
      <c r="AA88" s="49"/>
      <c r="AB88" s="49"/>
      <c r="AC88" s="49"/>
      <c r="AD88" s="49"/>
      <c r="AE88" s="49"/>
      <c r="AF88" s="49" t="str">
        <f>IFERROR(__xludf.DUMMYFUNCTION("""COMPUTED_VALUE"""),"++ +2 Intimidation, ++ +2 Wisdom when rolling a wisdom check for traps. +-Cannot be duplicated, +-Can only equip one.")</f>
        <v>++ +2 Intimidation, ++ +2 Wisdom when rolling a wisdom check for traps. +-Cannot be duplicated, +-Can only equip one.</v>
      </c>
      <c r="AG88" s="49" t="str">
        <f>IFERROR(__xludf.DUMMYFUNCTION("""COMPUTED_VALUE"""),"Land of Spira")</f>
        <v>Land of Spira</v>
      </c>
      <c r="AH88" s="49" t="b">
        <f>IFERROR(__xludf.DUMMYFUNCTION("""COMPUTED_VALUE"""),FALSE)</f>
        <v>0</v>
      </c>
    </row>
    <row r="89">
      <c r="A89" s="49" t="str">
        <f>IFERROR(__xludf.DUMMYFUNCTION("""COMPUTED_VALUE"""),"Demonic Scythe of Chaos ")</f>
        <v>Demonic Scythe of Chaos </v>
      </c>
      <c r="B89" s="49" t="str">
        <f>IFERROR(__xludf.DUMMYFUNCTION("""COMPUTED_VALUE"""),"Hand")</f>
        <v>Hand</v>
      </c>
      <c r="C89" s="49"/>
      <c r="D89" s="49" t="str">
        <f>IFERROR(__xludf.DUMMYFUNCTION("""COMPUTED_VALUE"""),"Scythe")</f>
        <v>Scythe</v>
      </c>
      <c r="E89" s="49">
        <f>IFERROR(__xludf.DUMMYFUNCTION("""COMPUTED_VALUE"""),3000.0)</f>
        <v>3000</v>
      </c>
      <c r="F89" s="112">
        <f>IFERROR(__xludf.DUMMYFUNCTION("""COMPUTED_VALUE"""),4.485E8)</f>
        <v>448500000</v>
      </c>
      <c r="G89" s="49" t="str">
        <f>IFERROR(__xludf.DUMMYFUNCTION("""COMPUTED_VALUE"""),"DMG")</f>
        <v>DMG</v>
      </c>
      <c r="H89" s="125">
        <f>IFERROR(__xludf.DUMMYFUNCTION("""COMPUTED_VALUE"""),50000.0)</f>
        <v>50000</v>
      </c>
      <c r="I89" s="125">
        <f>IFERROR(__xludf.DUMMYFUNCTION("""COMPUTED_VALUE"""),50000.0)</f>
        <v>50000</v>
      </c>
      <c r="J89" s="49"/>
      <c r="K89" s="49"/>
      <c r="L89" s="49"/>
      <c r="M89" s="49"/>
      <c r="N89" s="49"/>
      <c r="O89" s="49"/>
      <c r="P89" s="49"/>
      <c r="Q89" s="49"/>
      <c r="R89" s="125">
        <f>IFERROR(__xludf.DUMMYFUNCTION("""COMPUTED_VALUE"""),50000.0)</f>
        <v>50000</v>
      </c>
      <c r="S89" s="49"/>
      <c r="T89" s="49"/>
      <c r="U89" s="49"/>
      <c r="V89" s="49"/>
      <c r="W89" s="49"/>
      <c r="X89" s="49"/>
      <c r="Y89" s="49"/>
      <c r="Z89" s="49"/>
      <c r="AA89" s="49"/>
      <c r="AB89" s="49"/>
      <c r="AC89" s="49"/>
      <c r="AD89" s="49"/>
      <c r="AE89" s="49"/>
      <c r="AF89" s="49" t="str">
        <f>IFERROR(__xludf.DUMMYFUNCTION("""COMPUTED_VALUE"""),"++X2  Additional Fire and Chaos damage. +-Cannot be duplicated.")</f>
        <v>++X2  Additional Fire and Chaos damage. +-Cannot be duplicated.</v>
      </c>
      <c r="AG89" s="49" t="str">
        <f>IFERROR(__xludf.DUMMYFUNCTION("""COMPUTED_VALUE"""),"Abstara")</f>
        <v>Abstara</v>
      </c>
      <c r="AH89" s="49" t="b">
        <f>IFERROR(__xludf.DUMMYFUNCTION("""COMPUTED_VALUE"""),FALSE)</f>
        <v>0</v>
      </c>
    </row>
    <row r="90">
      <c r="A90" s="49" t="str">
        <f>IFERROR(__xludf.DUMMYFUNCTION("""COMPUTED_VALUE"""),"Demonic Sword of The King")</f>
        <v>Demonic Sword of The King</v>
      </c>
      <c r="B90" s="49" t="str">
        <f>IFERROR(__xludf.DUMMYFUNCTION("""COMPUTED_VALUE"""),"Hand")</f>
        <v>Hand</v>
      </c>
      <c r="C90" s="49"/>
      <c r="D90" s="49" t="str">
        <f>IFERROR(__xludf.DUMMYFUNCTION("""COMPUTED_VALUE"""),"Sword")</f>
        <v>Sword</v>
      </c>
      <c r="E90" s="49">
        <f>IFERROR(__xludf.DUMMYFUNCTION("""COMPUTED_VALUE"""),200.0)</f>
        <v>200</v>
      </c>
      <c r="F90" s="112">
        <f>IFERROR(__xludf.DUMMYFUNCTION("""COMPUTED_VALUE"""),3.196E9)</f>
        <v>3196000000</v>
      </c>
      <c r="G90" s="49" t="str">
        <f>IFERROR(__xludf.DUMMYFUNCTION("""COMPUTED_VALUE"""),"DMG")</f>
        <v>DMG</v>
      </c>
      <c r="H90" s="125">
        <f>IFERROR(__xludf.DUMMYFUNCTION("""COMPUTED_VALUE"""),100000.0)</f>
        <v>100000</v>
      </c>
      <c r="I90" s="125">
        <f>IFERROR(__xludf.DUMMYFUNCTION("""COMPUTED_VALUE"""),100000.0)</f>
        <v>100000</v>
      </c>
      <c r="J90" s="49"/>
      <c r="K90" s="49"/>
      <c r="L90" s="49"/>
      <c r="M90" s="49"/>
      <c r="N90" s="49"/>
      <c r="O90" s="125">
        <f>IFERROR(__xludf.DUMMYFUNCTION("""COMPUTED_VALUE"""),50000.0)</f>
        <v>50000</v>
      </c>
      <c r="P90" s="49"/>
      <c r="Q90" s="49"/>
      <c r="R90" s="125">
        <f>IFERROR(__xludf.DUMMYFUNCTION("""COMPUTED_VALUE"""),50000.0)</f>
        <v>50000</v>
      </c>
      <c r="S90" s="49"/>
      <c r="T90" s="49"/>
      <c r="U90" s="49"/>
      <c r="V90" s="49"/>
      <c r="W90" s="49"/>
      <c r="X90" s="49"/>
      <c r="Y90" s="125">
        <f>IFERROR(__xludf.DUMMYFUNCTION("""COMPUTED_VALUE"""),50000.0)</f>
        <v>50000</v>
      </c>
      <c r="Z90" s="49"/>
      <c r="AA90" s="49"/>
      <c r="AB90" s="49"/>
      <c r="AC90" s="125">
        <f>IFERROR(__xludf.DUMMYFUNCTION("""COMPUTED_VALUE"""),50000.0)</f>
        <v>50000</v>
      </c>
      <c r="AD90" s="49"/>
      <c r="AE90" s="49"/>
      <c r="AF90" s="49" t="str">
        <f>IFERROR(__xludf.DUMMYFUNCTION("""COMPUTED_VALUE"""),"++When targeted for an attack you can choose a party member to take the damage instead. +-Cannot be duplicated.")</f>
        <v>++When targeted for an attack you can choose a party member to take the damage instead. +-Cannot be duplicated.</v>
      </c>
      <c r="AG90" s="49" t="str">
        <f>IFERROR(__xludf.DUMMYFUNCTION("""COMPUTED_VALUE"""),"Abstara")</f>
        <v>Abstara</v>
      </c>
      <c r="AH90" s="49" t="b">
        <f>IFERROR(__xludf.DUMMYFUNCTION("""COMPUTED_VALUE"""),FALSE)</f>
        <v>0</v>
      </c>
    </row>
    <row r="91">
      <c r="A91" s="49" t="str">
        <f>IFERROR(__xludf.DUMMYFUNCTION("""COMPUTED_VALUE"""),"Dimensional Dagger")</f>
        <v>Dimensional Dagger</v>
      </c>
      <c r="B91" s="49" t="str">
        <f>IFERROR(__xludf.DUMMYFUNCTION("""COMPUTED_VALUE"""),"Hand")</f>
        <v>Hand</v>
      </c>
      <c r="C91" s="49"/>
      <c r="D91" s="49" t="str">
        <f>IFERROR(__xludf.DUMMYFUNCTION("""COMPUTED_VALUE"""),"Knife")</f>
        <v>Knife</v>
      </c>
      <c r="E91" s="49">
        <f>IFERROR(__xludf.DUMMYFUNCTION("""COMPUTED_VALUE"""),200.0)</f>
        <v>200</v>
      </c>
      <c r="F91" s="112">
        <f>IFERROR(__xludf.DUMMYFUNCTION("""COMPUTED_VALUE"""),1900000.0)</f>
        <v>1900000</v>
      </c>
      <c r="G91" s="49" t="str">
        <f>IFERROR(__xludf.DUMMYFUNCTION("""COMPUTED_VALUE"""),"DMG")</f>
        <v>DMG</v>
      </c>
      <c r="H91" s="49">
        <f>IFERROR(__xludf.DUMMYFUNCTION("""COMPUTED_VALUE"""),5000.0)</f>
        <v>5000</v>
      </c>
      <c r="I91" s="49"/>
      <c r="J91" s="49"/>
      <c r="K91" s="49"/>
      <c r="L91" s="49"/>
      <c r="M91" s="49"/>
      <c r="N91" s="49"/>
      <c r="O91" s="49"/>
      <c r="P91" s="49"/>
      <c r="Q91" s="49"/>
      <c r="R91" s="125">
        <f>IFERROR(__xludf.DUMMYFUNCTION("""COMPUTED_VALUE"""),5000.0)</f>
        <v>5000</v>
      </c>
      <c r="S91" s="49"/>
      <c r="T91" s="49"/>
      <c r="U91" s="49"/>
      <c r="V91" s="49"/>
      <c r="W91" s="49"/>
      <c r="X91" s="49"/>
      <c r="Y91" s="49"/>
      <c r="Z91" s="49"/>
      <c r="AA91" s="49"/>
      <c r="AB91" s="49"/>
      <c r="AC91" s="49"/>
      <c r="AD91" s="49"/>
      <c r="AE91" s="49"/>
      <c r="AF91" s="49" t="str">
        <f>IFERROR(__xludf.DUMMYFUNCTION("""COMPUTED_VALUE"""),"++25% chance to teleport the target being attacked to a random location.")</f>
        <v>++25% chance to teleport the target being attacked to a random location.</v>
      </c>
      <c r="AG91" s="49" t="str">
        <f>IFERROR(__xludf.DUMMYFUNCTION("""COMPUTED_VALUE"""),"Land of Spira")</f>
        <v>Land of Spira</v>
      </c>
      <c r="AH91" s="49" t="b">
        <f>IFERROR(__xludf.DUMMYFUNCTION("""COMPUTED_VALUE"""),FALSE)</f>
        <v>0</v>
      </c>
    </row>
    <row r="92">
      <c r="A92" s="49" t="str">
        <f>IFERROR(__xludf.DUMMYFUNCTION("""COMPUTED_VALUE"""),"Draconic Shield")</f>
        <v>Draconic Shield</v>
      </c>
      <c r="B92" s="49" t="str">
        <f>IFERROR(__xludf.DUMMYFUNCTION("""COMPUTED_VALUE"""),"Hand")</f>
        <v>Hand</v>
      </c>
      <c r="C92" s="49"/>
      <c r="D92" s="49" t="str">
        <f>IFERROR(__xludf.DUMMYFUNCTION("""COMPUTED_VALUE"""),"Towershield")</f>
        <v>Towershield</v>
      </c>
      <c r="E92" s="49">
        <f>IFERROR(__xludf.DUMMYFUNCTION("""COMPUTED_VALUE"""),5000.0)</f>
        <v>5000</v>
      </c>
      <c r="F92" s="112">
        <f>IFERROR(__xludf.DUMMYFUNCTION("""COMPUTED_VALUE"""),1.2475E9)</f>
        <v>1247500000</v>
      </c>
      <c r="G92" s="49" t="str">
        <f>IFERROR(__xludf.DUMMYFUNCTION("""COMPUTED_VALUE"""),"DEF")</f>
        <v>DEF</v>
      </c>
      <c r="H92" s="125">
        <f>IFERROR(__xludf.DUMMYFUNCTION("""COMPUTED_VALUE"""),50000.0)</f>
        <v>50000</v>
      </c>
      <c r="I92" s="125">
        <f>IFERROR(__xludf.DUMMYFUNCTION("""COMPUTED_VALUE"""),50000.0)</f>
        <v>50000</v>
      </c>
      <c r="J92" s="49"/>
      <c r="K92" s="49"/>
      <c r="L92" s="49"/>
      <c r="M92" s="49"/>
      <c r="N92" s="49"/>
      <c r="O92" s="125">
        <f>IFERROR(__xludf.DUMMYFUNCTION("""COMPUTED_VALUE"""),50000.0)</f>
        <v>50000</v>
      </c>
      <c r="P92" s="49"/>
      <c r="Q92" s="49"/>
      <c r="R92" s="125">
        <f>IFERROR(__xludf.DUMMYFUNCTION("""COMPUTED_VALUE"""),50000.0)</f>
        <v>50000</v>
      </c>
      <c r="S92" s="49"/>
      <c r="T92" s="49"/>
      <c r="U92" s="49"/>
      <c r="V92" s="49"/>
      <c r="W92" s="49"/>
      <c r="X92" s="49"/>
      <c r="Y92" s="125">
        <f>IFERROR(__xludf.DUMMYFUNCTION("""COMPUTED_VALUE"""),50000.0)</f>
        <v>50000</v>
      </c>
      <c r="Z92" s="49"/>
      <c r="AA92" s="49"/>
      <c r="AB92" s="49"/>
      <c r="AC92" s="49"/>
      <c r="AD92" s="49"/>
      <c r="AE92" s="49"/>
      <c r="AF92" s="49" t="str">
        <f>IFERROR(__xludf.DUMMYFUNCTION("""COMPUTED_VALUE"""),"++Draconic Block - Any damage you take in battle is now reduced to 1 for for the first round of battle.")</f>
        <v>++Draconic Block - Any damage you take in battle is now reduced to 1 for for the first round of battle.</v>
      </c>
      <c r="AG92" s="49" t="str">
        <f>IFERROR(__xludf.DUMMYFUNCTION("""COMPUTED_VALUE"""),"Abstara")</f>
        <v>Abstara</v>
      </c>
      <c r="AH92" s="49" t="b">
        <f>IFERROR(__xludf.DUMMYFUNCTION("""COMPUTED_VALUE"""),FALSE)</f>
        <v>0</v>
      </c>
    </row>
    <row r="93">
      <c r="A93" s="49" t="str">
        <f>IFERROR(__xludf.DUMMYFUNCTION("""COMPUTED_VALUE"""),"Dragon's Skull")</f>
        <v>Dragon's Skull</v>
      </c>
      <c r="B93" s="49" t="str">
        <f>IFERROR(__xludf.DUMMYFUNCTION("""COMPUTED_VALUE"""),"Head")</f>
        <v>Head</v>
      </c>
      <c r="C93" s="49"/>
      <c r="D93" s="49"/>
      <c r="E93" s="49">
        <f>IFERROR(__xludf.DUMMYFUNCTION("""COMPUTED_VALUE"""),200.0)</f>
        <v>200</v>
      </c>
      <c r="F93" s="112">
        <f>IFERROR(__xludf.DUMMYFUNCTION("""COMPUTED_VALUE"""),1900000.0)</f>
        <v>1900000</v>
      </c>
      <c r="G93" s="49" t="str">
        <f>IFERROR(__xludf.DUMMYFUNCTION("""COMPUTED_VALUE"""),"DEF")</f>
        <v>DEF</v>
      </c>
      <c r="H93" s="125">
        <f>IFERROR(__xludf.DUMMYFUNCTION("""COMPUTED_VALUE"""),10000.0)</f>
        <v>10000</v>
      </c>
      <c r="I93" s="49"/>
      <c r="J93" s="49"/>
      <c r="K93" s="49"/>
      <c r="L93" s="49"/>
      <c r="M93" s="49"/>
      <c r="N93" s="49"/>
      <c r="O93" s="49"/>
      <c r="P93" s="49"/>
      <c r="Q93" s="49"/>
      <c r="R93" s="49"/>
      <c r="S93" s="49"/>
      <c r="T93" s="49"/>
      <c r="U93" s="49"/>
      <c r="V93" s="49"/>
      <c r="W93" s="49"/>
      <c r="X93" s="49"/>
      <c r="Y93" s="49"/>
      <c r="Z93" s="49"/>
      <c r="AA93" s="49"/>
      <c r="AB93" s="49"/>
      <c r="AC93" s="49"/>
      <c r="AD93" s="49"/>
      <c r="AE93" s="49"/>
      <c r="AF93" s="49" t="str">
        <f>IFERROR(__xludf.DUMMYFUNCTION("""COMPUTED_VALUE"""),"++Any damage that is dealt to the wearer by a dragon is negated. ++(Dragon Tamers Cannot Wear This)")</f>
        <v>++Any damage that is dealt to the wearer by a dragon is negated. ++(Dragon Tamers Cannot Wear This)</v>
      </c>
      <c r="AG93" s="49" t="str">
        <f>IFERROR(__xludf.DUMMYFUNCTION("""COMPUTED_VALUE"""),"Land of Spira")</f>
        <v>Land of Spira</v>
      </c>
      <c r="AH93" s="49" t="b">
        <f>IFERROR(__xludf.DUMMYFUNCTION("""COMPUTED_VALUE"""),FALSE)</f>
        <v>0</v>
      </c>
    </row>
    <row r="94">
      <c r="A94" s="49" t="str">
        <f>IFERROR(__xludf.DUMMYFUNCTION("""COMPUTED_VALUE"""),"Dragonbone Greatsword")</f>
        <v>Dragonbone Greatsword</v>
      </c>
      <c r="B94" s="49" t="str">
        <f>IFERROR(__xludf.DUMMYFUNCTION("""COMPUTED_VALUE"""),"Hand")</f>
        <v>Hand</v>
      </c>
      <c r="C94" s="49"/>
      <c r="D94" s="49" t="str">
        <f>IFERROR(__xludf.DUMMYFUNCTION("""COMPUTED_VALUE"""),"Sword")</f>
        <v>Sword</v>
      </c>
      <c r="E94" s="49">
        <f>IFERROR(__xludf.DUMMYFUNCTION("""COMPUTED_VALUE"""),200.0)</f>
        <v>200</v>
      </c>
      <c r="F94" s="112">
        <f>IFERROR(__xludf.DUMMYFUNCTION("""COMPUTED_VALUE"""),7.194E9)</f>
        <v>7194000000</v>
      </c>
      <c r="G94" s="49" t="str">
        <f>IFERROR(__xludf.DUMMYFUNCTION("""COMPUTED_VALUE"""),"DMG")</f>
        <v>DMG</v>
      </c>
      <c r="H94" s="125">
        <f>IFERROR(__xludf.DUMMYFUNCTION("""COMPUTED_VALUE"""),100000.0)</f>
        <v>100000</v>
      </c>
      <c r="I94" s="125">
        <f>IFERROR(__xludf.DUMMYFUNCTION("""COMPUTED_VALUE"""),100000.0)</f>
        <v>100000</v>
      </c>
      <c r="J94" s="49"/>
      <c r="K94" s="49"/>
      <c r="L94" s="49"/>
      <c r="M94" s="125">
        <f>IFERROR(__xludf.DUMMYFUNCTION("""COMPUTED_VALUE"""),100000.0)</f>
        <v>100000</v>
      </c>
      <c r="N94" s="49"/>
      <c r="O94" s="125">
        <f>IFERROR(__xludf.DUMMYFUNCTION("""COMPUTED_VALUE"""),100000.0)</f>
        <v>100000</v>
      </c>
      <c r="P94" s="49"/>
      <c r="Q94" s="49"/>
      <c r="R94" s="49"/>
      <c r="S94" s="49"/>
      <c r="T94" s="49"/>
      <c r="U94" s="49"/>
      <c r="V94" s="49"/>
      <c r="W94" s="49"/>
      <c r="X94" s="49"/>
      <c r="Y94" s="125">
        <f>IFERROR(__xludf.DUMMYFUNCTION("""COMPUTED_VALUE"""),100000.0)</f>
        <v>100000</v>
      </c>
      <c r="Z94" s="49"/>
      <c r="AA94" s="49"/>
      <c r="AB94" s="49"/>
      <c r="AC94" s="125">
        <f>IFERROR(__xludf.DUMMYFUNCTION("""COMPUTED_VALUE"""),100000.0)</f>
        <v>100000</v>
      </c>
      <c r="AD94" s="49"/>
      <c r="AE94" s="49"/>
      <c r="AF94" s="49"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49" t="str">
        <f>IFERROR(__xludf.DUMMYFUNCTION("""COMPUTED_VALUE"""),"Abstara")</f>
        <v>Abstara</v>
      </c>
      <c r="AH94" s="49" t="b">
        <f>IFERROR(__xludf.DUMMYFUNCTION("""COMPUTED_VALUE"""),FALSE)</f>
        <v>0</v>
      </c>
    </row>
    <row r="95">
      <c r="A95" s="49" t="str">
        <f>IFERROR(__xludf.DUMMYFUNCTION("""COMPUTED_VALUE"""),"Dreading Wand Of Fire")</f>
        <v>Dreading Wand Of Fire</v>
      </c>
      <c r="B95" s="49" t="str">
        <f>IFERROR(__xludf.DUMMYFUNCTION("""COMPUTED_VALUE"""),"Hand")</f>
        <v>Hand</v>
      </c>
      <c r="C95" s="49"/>
      <c r="D95" s="49" t="str">
        <f>IFERROR(__xludf.DUMMYFUNCTION("""COMPUTED_VALUE"""),"Wand")</f>
        <v>Wand</v>
      </c>
      <c r="E95" s="49">
        <f>IFERROR(__xludf.DUMMYFUNCTION("""COMPUTED_VALUE"""),1.0)</f>
        <v>1</v>
      </c>
      <c r="F95" s="112">
        <f>IFERROR(__xludf.DUMMYFUNCTION("""COMPUTED_VALUE"""),0.0)</f>
        <v>0</v>
      </c>
      <c r="G95" s="49"/>
      <c r="H95" s="49"/>
      <c r="I95" s="49"/>
      <c r="J95" s="49"/>
      <c r="K95" s="49"/>
      <c r="L95" s="49"/>
      <c r="M95" s="49"/>
      <c r="N95" s="49"/>
      <c r="O95" s="49"/>
      <c r="P95" s="49"/>
      <c r="Q95" s="49"/>
      <c r="R95" s="49"/>
      <c r="S95" s="49"/>
      <c r="T95" s="49"/>
      <c r="U95" s="49"/>
      <c r="V95" s="49"/>
      <c r="W95" s="49"/>
      <c r="X95" s="49"/>
      <c r="Y95" s="49"/>
      <c r="Z95" s="49"/>
      <c r="AA95" s="49"/>
      <c r="AB95" s="49"/>
      <c r="AC95" s="49"/>
      <c r="AD95" s="49"/>
      <c r="AE95" s="49"/>
      <c r="AF95" s="49" t="str">
        <f>IFERROR(__xludf.DUMMYFUNCTION("""COMPUTED_VALUE"""),"++Half SP costs for fire spells")</f>
        <v>++Half SP costs for fire spells</v>
      </c>
      <c r="AG95" s="49" t="str">
        <f>IFERROR(__xludf.DUMMYFUNCTION("""COMPUTED_VALUE"""),"Land of Spira")</f>
        <v>Land of Spira</v>
      </c>
      <c r="AH95" s="49" t="b">
        <f>IFERROR(__xludf.DUMMYFUNCTION("""COMPUTED_VALUE"""),FALSE)</f>
        <v>0</v>
      </c>
    </row>
    <row r="96">
      <c r="A96" s="49" t="str">
        <f>IFERROR(__xludf.DUMMYFUNCTION("""COMPUTED_VALUE"""),"Dy Yu’s Plated Armor")</f>
        <v>Dy Yu’s Plated Armor</v>
      </c>
      <c r="B96" s="49" t="str">
        <f>IFERROR(__xludf.DUMMYFUNCTION("""COMPUTED_VALUE"""),"Torso")</f>
        <v>Torso</v>
      </c>
      <c r="C96" s="49"/>
      <c r="D96" s="49"/>
      <c r="E96" s="49">
        <f>IFERROR(__xludf.DUMMYFUNCTION("""COMPUTED_VALUE"""),4000.0)</f>
        <v>4000</v>
      </c>
      <c r="F96" s="112">
        <f>IFERROR(__xludf.DUMMYFUNCTION("""COMPUTED_VALUE"""),7.98E8)</f>
        <v>798000000</v>
      </c>
      <c r="G96" s="49" t="str">
        <f>IFERROR(__xludf.DUMMYFUNCTION("""COMPUTED_VALUE"""),"DEF")</f>
        <v>DEF</v>
      </c>
      <c r="H96" s="125">
        <f>IFERROR(__xludf.DUMMYFUNCTION("""COMPUTED_VALUE"""),50000.0)</f>
        <v>50000</v>
      </c>
      <c r="I96" s="125">
        <f>IFERROR(__xludf.DUMMYFUNCTION("""COMPUTED_VALUE"""),50000.0)</f>
        <v>50000</v>
      </c>
      <c r="J96" s="49"/>
      <c r="K96" s="49"/>
      <c r="L96" s="49"/>
      <c r="M96" s="125">
        <f>IFERROR(__xludf.DUMMYFUNCTION("""COMPUTED_VALUE"""),50000.0)</f>
        <v>50000</v>
      </c>
      <c r="N96" s="49"/>
      <c r="O96" s="49"/>
      <c r="P96" s="125">
        <f>IFERROR(__xludf.DUMMYFUNCTION("""COMPUTED_VALUE"""),50000.0)</f>
        <v>50000</v>
      </c>
      <c r="Q96" s="49"/>
      <c r="R96" s="49"/>
      <c r="S96" s="49"/>
      <c r="T96" s="49"/>
      <c r="U96" s="49"/>
      <c r="V96" s="49"/>
      <c r="W96" s="49"/>
      <c r="X96" s="49"/>
      <c r="Y96" s="49"/>
      <c r="Z96" s="49"/>
      <c r="AA96" s="49"/>
      <c r="AB96" s="49"/>
      <c r="AC96" s="49"/>
      <c r="AD96" s="49"/>
      <c r="AE96" s="49"/>
      <c r="AF96" s="49"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49" t="str">
        <f>IFERROR(__xludf.DUMMYFUNCTION("""COMPUTED_VALUE"""),"Land of Spira")</f>
        <v>Land of Spira</v>
      </c>
      <c r="AH96" s="49" t="b">
        <f>IFERROR(__xludf.DUMMYFUNCTION("""COMPUTED_VALUE"""),FALSE)</f>
        <v>0</v>
      </c>
    </row>
    <row r="97">
      <c r="A97" s="49" t="str">
        <f>IFERROR(__xludf.DUMMYFUNCTION("""COMPUTED_VALUE"""),"Easters Ring (Exclusive)")</f>
        <v>Easters Ring (Exclusive)</v>
      </c>
      <c r="B97" s="49" t="str">
        <f>IFERROR(__xludf.DUMMYFUNCTION("""COMPUTED_VALUE"""),"Ring")</f>
        <v>Ring</v>
      </c>
      <c r="C97" s="49"/>
      <c r="D97" s="49"/>
      <c r="E97" s="49">
        <f>IFERROR(__xludf.DUMMYFUNCTION("""COMPUTED_VALUE"""),1.0)</f>
        <v>1</v>
      </c>
      <c r="F97" s="112">
        <f>IFERROR(__xludf.DUMMYFUNCTION("""COMPUTED_VALUE"""),0.0)</f>
        <v>0</v>
      </c>
      <c r="G97" s="49"/>
      <c r="H97" s="49"/>
      <c r="I97" s="49"/>
      <c r="J97" s="49"/>
      <c r="K97" s="49"/>
      <c r="L97" s="49"/>
      <c r="M97" s="49"/>
      <c r="N97" s="49"/>
      <c r="O97" s="49"/>
      <c r="P97" s="49"/>
      <c r="Q97" s="49"/>
      <c r="R97" s="49"/>
      <c r="S97" s="49"/>
      <c r="T97" s="49"/>
      <c r="U97" s="49"/>
      <c r="V97" s="49"/>
      <c r="W97" s="49"/>
      <c r="X97" s="49"/>
      <c r="Y97" s="49"/>
      <c r="Z97" s="49"/>
      <c r="AA97" s="49"/>
      <c r="AB97" s="49"/>
      <c r="AC97" s="49"/>
      <c r="AD97" s="49"/>
      <c r="AE97" s="49"/>
      <c r="AF97" s="49" t="str">
        <f>IFERROR(__xludf.DUMMYFUNCTION("""COMPUTED_VALUE"""),"++Can turn one bad day of travel into a good day of travel. +-Cannot be forged")</f>
        <v>++Can turn one bad day of travel into a good day of travel. +-Cannot be forged</v>
      </c>
      <c r="AG97" s="49" t="str">
        <f>IFERROR(__xludf.DUMMYFUNCTION("""COMPUTED_VALUE"""),"Land of Spira")</f>
        <v>Land of Spira</v>
      </c>
      <c r="AH97" s="49" t="b">
        <f>IFERROR(__xludf.DUMMYFUNCTION("""COMPUTED_VALUE"""),FALSE)</f>
        <v>0</v>
      </c>
    </row>
    <row r="98">
      <c r="A98" s="49" t="str">
        <f>IFERROR(__xludf.DUMMYFUNCTION("""COMPUTED_VALUE"""),"Enchanted Chestplate of Defense")</f>
        <v>Enchanted Chestplate of Defense</v>
      </c>
      <c r="B98" s="49" t="str">
        <f>IFERROR(__xludf.DUMMYFUNCTION("""COMPUTED_VALUE"""),"Torso")</f>
        <v>Torso</v>
      </c>
      <c r="C98" s="49"/>
      <c r="D98" s="49"/>
      <c r="E98" s="49">
        <f>IFERROR(__xludf.DUMMYFUNCTION("""COMPUTED_VALUE"""),100.0)</f>
        <v>100</v>
      </c>
      <c r="F98" s="112">
        <f>IFERROR(__xludf.DUMMYFUNCTION("""COMPUTED_VALUE"""),450000.0)</f>
        <v>450000</v>
      </c>
      <c r="G98" s="49" t="str">
        <f>IFERROR(__xludf.DUMMYFUNCTION("""COMPUTED_VALUE"""),"DEF")</f>
        <v>DEF</v>
      </c>
      <c r="H98" s="49">
        <f>IFERROR(__xludf.DUMMYFUNCTION("""COMPUTED_VALUE"""),5000.0)</f>
        <v>5000</v>
      </c>
      <c r="I98" s="49"/>
      <c r="J98" s="49"/>
      <c r="K98" s="49"/>
      <c r="L98" s="49"/>
      <c r="M98" s="49"/>
      <c r="N98" s="49"/>
      <c r="O98" s="49"/>
      <c r="P98" s="49"/>
      <c r="Q98" s="49"/>
      <c r="R98" s="49"/>
      <c r="S98" s="49"/>
      <c r="T98" s="49"/>
      <c r="U98" s="49"/>
      <c r="V98" s="49"/>
      <c r="W98" s="49"/>
      <c r="X98" s="49"/>
      <c r="Y98" s="49"/>
      <c r="Z98" s="49"/>
      <c r="AA98" s="49"/>
      <c r="AB98" s="49"/>
      <c r="AC98" s="49"/>
      <c r="AD98" s="49"/>
      <c r="AE98" s="49"/>
      <c r="AF98" s="49" t="str">
        <f>IFERROR(__xludf.DUMMYFUNCTION("""COMPUTED_VALUE"""),"++Damage received by Spells and Weapons are reduced to half when wearing this.")</f>
        <v>++Damage received by Spells and Weapons are reduced to half when wearing this.</v>
      </c>
      <c r="AG98" s="49" t="str">
        <f>IFERROR(__xludf.DUMMYFUNCTION("""COMPUTED_VALUE"""),"Land of Spira")</f>
        <v>Land of Spira</v>
      </c>
      <c r="AH98" s="49" t="b">
        <f>IFERROR(__xludf.DUMMYFUNCTION("""COMPUTED_VALUE"""),FALSE)</f>
        <v>0</v>
      </c>
    </row>
    <row r="99">
      <c r="A99" s="49" t="str">
        <f>IFERROR(__xludf.DUMMYFUNCTION("""COMPUTED_VALUE"""),"Enchanted Dagger")</f>
        <v>Enchanted Dagger</v>
      </c>
      <c r="B99" s="49" t="str">
        <f>IFERROR(__xludf.DUMMYFUNCTION("""COMPUTED_VALUE"""),"Hand")</f>
        <v>Hand</v>
      </c>
      <c r="C99" s="49"/>
      <c r="D99" s="49" t="str">
        <f>IFERROR(__xludf.DUMMYFUNCTION("""COMPUTED_VALUE"""),"Knife")</f>
        <v>Knife</v>
      </c>
      <c r="E99" s="49">
        <f>IFERROR(__xludf.DUMMYFUNCTION("""COMPUTED_VALUE"""),1.0)</f>
        <v>1</v>
      </c>
      <c r="F99" s="112">
        <f>IFERROR(__xludf.DUMMYFUNCTION("""COMPUTED_VALUE"""),0.0)</f>
        <v>0</v>
      </c>
      <c r="G99" s="49"/>
      <c r="H99" s="49">
        <f>IFERROR(__xludf.DUMMYFUNCTION("""COMPUTED_VALUE"""),1.0)</f>
        <v>1</v>
      </c>
      <c r="I99" s="49"/>
      <c r="J99" s="49"/>
      <c r="K99" s="49"/>
      <c r="L99" s="49"/>
      <c r="M99" s="49"/>
      <c r="N99" s="49"/>
      <c r="O99" s="49"/>
      <c r="P99" s="49"/>
      <c r="Q99" s="49"/>
      <c r="R99" s="49"/>
      <c r="S99" s="49"/>
      <c r="T99" s="49"/>
      <c r="U99" s="49"/>
      <c r="V99" s="49"/>
      <c r="W99" s="49"/>
      <c r="X99" s="49"/>
      <c r="Y99" s="49"/>
      <c r="Z99" s="49"/>
      <c r="AA99" s="49"/>
      <c r="AB99" s="49"/>
      <c r="AC99" s="49"/>
      <c r="AD99" s="49"/>
      <c r="AE99" s="49"/>
      <c r="AF99" s="49" t="str">
        <f>IFERROR(__xludf.DUMMYFUNCTION("""COMPUTED_VALUE"""),"++100% of instantly killing the target.")</f>
        <v>++100% of instantly killing the target.</v>
      </c>
      <c r="AG99" s="49" t="str">
        <f>IFERROR(__xludf.DUMMYFUNCTION("""COMPUTED_VALUE"""),"Land of Spira")</f>
        <v>Land of Spira</v>
      </c>
      <c r="AH99" s="49" t="b">
        <f>IFERROR(__xludf.DUMMYFUNCTION("""COMPUTED_VALUE"""),FALSE)</f>
        <v>0</v>
      </c>
    </row>
    <row r="100">
      <c r="A100" s="49" t="str">
        <f>IFERROR(__xludf.DUMMYFUNCTION("""COMPUTED_VALUE"""),"Enchanted Falcon Blade")</f>
        <v>Enchanted Falcon Blade</v>
      </c>
      <c r="B100" s="49" t="str">
        <f>IFERROR(__xludf.DUMMYFUNCTION("""COMPUTED_VALUE"""),"Hand")</f>
        <v>Hand</v>
      </c>
      <c r="C100" s="49"/>
      <c r="D100" s="49" t="str">
        <f>IFERROR(__xludf.DUMMYFUNCTION("""COMPUTED_VALUE"""),"Sword")</f>
        <v>Sword</v>
      </c>
      <c r="E100" s="49">
        <f>IFERROR(__xludf.DUMMYFUNCTION("""COMPUTED_VALUE"""),60.0)</f>
        <v>60</v>
      </c>
      <c r="F100" s="112">
        <f>IFERROR(__xludf.DUMMYFUNCTION("""COMPUTED_VALUE"""),100000.0)</f>
        <v>100000</v>
      </c>
      <c r="G100" s="49" t="str">
        <f>IFERROR(__xludf.DUMMYFUNCTION("""COMPUTED_VALUE"""),"DMG")</f>
        <v>DMG</v>
      </c>
      <c r="H100" s="125">
        <f>IFERROR(__xludf.DUMMYFUNCTION("""COMPUTED_VALUE"""),2000.0)</f>
        <v>2000</v>
      </c>
      <c r="I100" s="49"/>
      <c r="J100" s="49"/>
      <c r="K100" s="49"/>
      <c r="L100" s="49"/>
      <c r="M100" s="49"/>
      <c r="N100" s="49"/>
      <c r="O100" s="49"/>
      <c r="P100" s="49"/>
      <c r="Q100" s="49">
        <f>IFERROR(__xludf.DUMMYFUNCTION("""COMPUTED_VALUE"""),600.0)</f>
        <v>600</v>
      </c>
      <c r="R100" s="49"/>
      <c r="S100" s="49"/>
      <c r="T100" s="49"/>
      <c r="U100" s="49"/>
      <c r="V100" s="49"/>
      <c r="W100" s="49"/>
      <c r="X100" s="49"/>
      <c r="Y100" s="49"/>
      <c r="Z100" s="49"/>
      <c r="AA100" s="49"/>
      <c r="AB100" s="49"/>
      <c r="AC100" s="49"/>
      <c r="AD100" s="49"/>
      <c r="AE100" s="49"/>
      <c r="AF100" s="49"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49" t="str">
        <f>IFERROR(__xludf.DUMMYFUNCTION("""COMPUTED_VALUE"""),"Land of Spira")</f>
        <v>Land of Spira</v>
      </c>
      <c r="AH100" s="49" t="b">
        <f>IFERROR(__xludf.DUMMYFUNCTION("""COMPUTED_VALUE"""),FALSE)</f>
        <v>0</v>
      </c>
    </row>
    <row r="101">
      <c r="A101" s="49" t="str">
        <f>IFERROR(__xludf.DUMMYFUNCTION("""COMPUTED_VALUE"""),"Energy Prong")</f>
        <v>Energy Prong</v>
      </c>
      <c r="B101" s="49" t="str">
        <f>IFERROR(__xludf.DUMMYFUNCTION("""COMPUTED_VALUE"""),"Hand")</f>
        <v>Hand</v>
      </c>
      <c r="C101" s="49"/>
      <c r="D101" s="49" t="str">
        <f>IFERROR(__xludf.DUMMYFUNCTION("""COMPUTED_VALUE"""),"Spear")</f>
        <v>Spear</v>
      </c>
      <c r="E101" s="49">
        <f>IFERROR(__xludf.DUMMYFUNCTION("""COMPUTED_VALUE"""),10.0)</f>
        <v>10</v>
      </c>
      <c r="F101" s="112">
        <f>IFERROR(__xludf.DUMMYFUNCTION("""COMPUTED_VALUE"""),1000.0)</f>
        <v>1000</v>
      </c>
      <c r="G101" s="49" t="str">
        <f>IFERROR(__xludf.DUMMYFUNCTION("""COMPUTED_VALUE"""),"DMG")</f>
        <v>DMG</v>
      </c>
      <c r="H101" s="49">
        <f>IFERROR(__xludf.DUMMYFUNCTION("""COMPUTED_VALUE"""),500.0)</f>
        <v>500</v>
      </c>
      <c r="I101" s="49"/>
      <c r="J101" s="49"/>
      <c r="K101" s="49"/>
      <c r="L101" s="49"/>
      <c r="M101" s="49"/>
      <c r="N101" s="49"/>
      <c r="O101" s="49"/>
      <c r="P101" s="49"/>
      <c r="Q101" s="49"/>
      <c r="R101" s="49"/>
      <c r="S101" s="49"/>
      <c r="T101" s="49"/>
      <c r="U101" s="49"/>
      <c r="V101" s="49"/>
      <c r="W101" s="49"/>
      <c r="X101" s="49"/>
      <c r="Y101" s="49"/>
      <c r="Z101" s="49"/>
      <c r="AA101" s="49"/>
      <c r="AB101" s="49"/>
      <c r="AC101" s="49"/>
      <c r="AD101" s="49"/>
      <c r="AE101" s="49"/>
      <c r="AF101" s="49" t="str">
        <f>IFERROR(__xludf.DUMMYFUNCTION("""COMPUTED_VALUE"""),"++50% chance of stun 3.")</f>
        <v>++50% chance of stun 3.</v>
      </c>
      <c r="AG101" s="49" t="str">
        <f>IFERROR(__xludf.DUMMYFUNCTION("""COMPUTED_VALUE"""),"Land of Spira")</f>
        <v>Land of Spira</v>
      </c>
      <c r="AH101" s="49" t="b">
        <f>IFERROR(__xludf.DUMMYFUNCTION("""COMPUTED_VALUE"""),FALSE)</f>
        <v>0</v>
      </c>
    </row>
    <row r="102">
      <c r="A102" s="49" t="str">
        <f>IFERROR(__xludf.DUMMYFUNCTION("""COMPUTED_VALUE"""),"Faery Kings Sword")</f>
        <v>Faery Kings Sword</v>
      </c>
      <c r="B102" s="49" t="str">
        <f>IFERROR(__xludf.DUMMYFUNCTION("""COMPUTED_VALUE"""),"Hand")</f>
        <v>Hand</v>
      </c>
      <c r="C102" s="49"/>
      <c r="D102" s="49" t="str">
        <f>IFERROR(__xludf.DUMMYFUNCTION("""COMPUTED_VALUE"""),"Sword")</f>
        <v>Sword</v>
      </c>
      <c r="E102" s="49">
        <f>IFERROR(__xludf.DUMMYFUNCTION("""COMPUTED_VALUE"""),200.0)</f>
        <v>200</v>
      </c>
      <c r="F102" s="112">
        <f>IFERROR(__xludf.DUMMYFUNCTION("""COMPUTED_VALUE"""),6.0445E9)</f>
        <v>6044500000</v>
      </c>
      <c r="G102" s="49" t="str">
        <f>IFERROR(__xludf.DUMMYFUNCTION("""COMPUTED_VALUE"""),"DMG")</f>
        <v>DMG</v>
      </c>
      <c r="H102" s="49">
        <f>IFERROR(__xludf.DUMMYFUNCTION("""COMPUTED_VALUE"""),500000.0)</f>
        <v>500000</v>
      </c>
      <c r="I102" s="49"/>
      <c r="J102" s="49"/>
      <c r="K102" s="49"/>
      <c r="L102" s="49"/>
      <c r="M102" s="49"/>
      <c r="N102" s="49"/>
      <c r="O102" s="49"/>
      <c r="P102" s="49"/>
      <c r="Q102" s="49"/>
      <c r="R102" s="49"/>
      <c r="S102" s="49">
        <f>IFERROR(__xludf.DUMMYFUNCTION("""COMPUTED_VALUE"""),25000.0)</f>
        <v>25000</v>
      </c>
      <c r="T102" s="49"/>
      <c r="U102" s="49"/>
      <c r="V102" s="49"/>
      <c r="W102" s="49"/>
      <c r="X102" s="49"/>
      <c r="Y102" s="49"/>
      <c r="Z102" s="49"/>
      <c r="AA102" s="49"/>
      <c r="AB102" s="49"/>
      <c r="AC102" s="49">
        <f>IFERROR(__xludf.DUMMYFUNCTION("""COMPUTED_VALUE"""),25000.0)</f>
        <v>25000</v>
      </c>
      <c r="AD102" s="49"/>
      <c r="AE102" s="49"/>
      <c r="AF102" s="49"/>
      <c r="AG102" s="49" t="str">
        <f>IFERROR(__xludf.DUMMYFUNCTION("""COMPUTED_VALUE"""),"Land of Spira")</f>
        <v>Land of Spira</v>
      </c>
      <c r="AH102" s="49" t="b">
        <f>IFERROR(__xludf.DUMMYFUNCTION("""COMPUTED_VALUE"""),TRUE)</f>
        <v>1</v>
      </c>
    </row>
    <row r="103">
      <c r="A103" s="49" t="str">
        <f>IFERROR(__xludf.DUMMYFUNCTION("""COMPUTED_VALUE"""),"False Helmet")</f>
        <v>False Helmet</v>
      </c>
      <c r="B103" s="49" t="str">
        <f>IFERROR(__xludf.DUMMYFUNCTION("""COMPUTED_VALUE"""),"Head")</f>
        <v>Head</v>
      </c>
      <c r="C103" s="49"/>
      <c r="D103" s="49"/>
      <c r="E103" s="49">
        <f>IFERROR(__xludf.DUMMYFUNCTION("""COMPUTED_VALUE"""),1.0)</f>
        <v>1</v>
      </c>
      <c r="F103" s="112">
        <f>IFERROR(__xludf.DUMMYFUNCTION("""COMPUTED_VALUE"""),0.0)</f>
        <v>0</v>
      </c>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t="str">
        <f>IFERROR(__xludf.DUMMYFUNCTION("""COMPUTED_VALUE"""),"++ ++5 Intimidation, ++ - 2 Charisma. +-Cannot be forged +-Cannot be duplicated.")</f>
        <v>++ ++5 Intimidation, ++ - 2 Charisma. +-Cannot be forged +-Cannot be duplicated.</v>
      </c>
      <c r="AG103" s="49" t="str">
        <f>IFERROR(__xludf.DUMMYFUNCTION("""COMPUTED_VALUE"""),"Land of Spira")</f>
        <v>Land of Spira</v>
      </c>
      <c r="AH103" s="49" t="b">
        <f>IFERROR(__xludf.DUMMYFUNCTION("""COMPUTED_VALUE"""),FALSE)</f>
        <v>0</v>
      </c>
    </row>
    <row r="104">
      <c r="A104" s="49" t="str">
        <f>IFERROR(__xludf.DUMMYFUNCTION("""COMPUTED_VALUE"""),"Felt Cap")</f>
        <v>Felt Cap</v>
      </c>
      <c r="B104" s="49" t="str">
        <f>IFERROR(__xludf.DUMMYFUNCTION("""COMPUTED_VALUE"""),"Head")</f>
        <v>Head</v>
      </c>
      <c r="C104" s="49"/>
      <c r="D104" s="49"/>
      <c r="E104" s="49">
        <f>IFERROR(__xludf.DUMMYFUNCTION("""COMPUTED_VALUE"""),1.0)</f>
        <v>1</v>
      </c>
      <c r="F104" s="112">
        <f>IFERROR(__xludf.DUMMYFUNCTION("""COMPUTED_VALUE"""),0.0)</f>
        <v>0</v>
      </c>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t="str">
        <f>IFERROR(__xludf.DUMMYFUNCTION("""COMPUTED_VALUE"""),"++ -1 Evasion ++ +2 Intimidation, +-Can only wear one, +-Cannot be duplicated.")</f>
        <v>++ -1 Evasion ++ +2 Intimidation, +-Can only wear one, +-Cannot be duplicated.</v>
      </c>
      <c r="AG104" s="49" t="str">
        <f>IFERROR(__xludf.DUMMYFUNCTION("""COMPUTED_VALUE"""),"Land of Spira")</f>
        <v>Land of Spira</v>
      </c>
      <c r="AH104" s="49" t="b">
        <f>IFERROR(__xludf.DUMMYFUNCTION("""COMPUTED_VALUE"""),FALSE)</f>
        <v>0</v>
      </c>
    </row>
    <row r="105">
      <c r="A105" s="49" t="str">
        <f>IFERROR(__xludf.DUMMYFUNCTION("""COMPUTED_VALUE"""),"Fire Resistant Boots")</f>
        <v>Fire Resistant Boots</v>
      </c>
      <c r="B105" s="49" t="str">
        <f>IFERROR(__xludf.DUMMYFUNCTION("""COMPUTED_VALUE"""),"Feet")</f>
        <v>Feet</v>
      </c>
      <c r="C105" s="49"/>
      <c r="D105" s="49"/>
      <c r="E105" s="49">
        <f>IFERROR(__xludf.DUMMYFUNCTION("""COMPUTED_VALUE"""),200.0)</f>
        <v>200</v>
      </c>
      <c r="F105" s="112">
        <f>IFERROR(__xludf.DUMMYFUNCTION("""COMPUTED_VALUE"""),1900000.0)</f>
        <v>1900000</v>
      </c>
      <c r="G105" s="49" t="str">
        <f>IFERROR(__xludf.DUMMYFUNCTION("""COMPUTED_VALUE"""),"DEF")</f>
        <v>DEF</v>
      </c>
      <c r="H105" s="49"/>
      <c r="I105" s="125">
        <f>IFERROR(__xludf.DUMMYFUNCTION("""COMPUTED_VALUE"""),10000.0)</f>
        <v>10000</v>
      </c>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t="str">
        <f>IFERROR(__xludf.DUMMYFUNCTION("""COMPUTED_VALUE"""),"++Fire Immune, ++X2 Additional fire damage. +-Cannot be duplicated.")</f>
        <v>++Fire Immune, ++X2 Additional fire damage. +-Cannot be duplicated.</v>
      </c>
      <c r="AG105" s="49" t="str">
        <f>IFERROR(__xludf.DUMMYFUNCTION("""COMPUTED_VALUE"""),"Land of Spira")</f>
        <v>Land of Spira</v>
      </c>
      <c r="AH105" s="49" t="b">
        <f>IFERROR(__xludf.DUMMYFUNCTION("""COMPUTED_VALUE"""),FALSE)</f>
        <v>0</v>
      </c>
    </row>
    <row r="106">
      <c r="A106" s="49" t="str">
        <f>IFERROR(__xludf.DUMMYFUNCTION("""COMPUTED_VALUE"""),"Fire Ring")</f>
        <v>Fire Ring</v>
      </c>
      <c r="B106" s="49" t="str">
        <f>IFERROR(__xludf.DUMMYFUNCTION("""COMPUTED_VALUE"""),"Ring")</f>
        <v>Ring</v>
      </c>
      <c r="C106" s="49"/>
      <c r="D106" s="49"/>
      <c r="E106" s="49">
        <f>IFERROR(__xludf.DUMMYFUNCTION("""COMPUTED_VALUE"""),1.0)</f>
        <v>1</v>
      </c>
      <c r="F106" s="112">
        <f>IFERROR(__xludf.DUMMYFUNCTION("""COMPUTED_VALUE"""),0.0)</f>
        <v>0</v>
      </c>
      <c r="G106" s="49"/>
      <c r="H106" s="49"/>
      <c r="I106" s="49"/>
      <c r="J106" s="49"/>
      <c r="K106" s="49"/>
      <c r="L106" s="49"/>
      <c r="M106" s="49"/>
      <c r="N106" s="49"/>
      <c r="O106" s="49"/>
      <c r="P106" s="49"/>
      <c r="Q106" s="49"/>
      <c r="R106" s="49"/>
      <c r="S106" s="49"/>
      <c r="T106" s="49"/>
      <c r="U106" s="49"/>
      <c r="V106" s="49"/>
      <c r="W106" s="49"/>
      <c r="X106" s="49"/>
      <c r="Y106" s="49"/>
      <c r="Z106" s="49"/>
      <c r="AA106" s="49"/>
      <c r="AB106" s="49"/>
      <c r="AC106" s="49"/>
      <c r="AD106" s="49"/>
      <c r="AE106" s="49"/>
      <c r="AF106" s="49" t="str">
        <f>IFERROR(__xludf.DUMMYFUNCTION("""COMPUTED_VALUE"""),"++Fire Immune, ++X2 Additional fire damage. +-Cannot be duplicated.")</f>
        <v>++Fire Immune, ++X2 Additional fire damage. +-Cannot be duplicated.</v>
      </c>
      <c r="AG106" s="49" t="str">
        <f>IFERROR(__xludf.DUMMYFUNCTION("""COMPUTED_VALUE"""),"Land of Spira")</f>
        <v>Land of Spira</v>
      </c>
      <c r="AH106" s="49" t="b">
        <f>IFERROR(__xludf.DUMMYFUNCTION("""COMPUTED_VALUE"""),FALSE)</f>
        <v>0</v>
      </c>
    </row>
    <row r="107">
      <c r="A107" s="49" t="str">
        <f>IFERROR(__xludf.DUMMYFUNCTION("""COMPUTED_VALUE"""),"Fire Shield")</f>
        <v>Fire Shield</v>
      </c>
      <c r="B107" s="49" t="str">
        <f>IFERROR(__xludf.DUMMYFUNCTION("""COMPUTED_VALUE"""),"Hand")</f>
        <v>Hand</v>
      </c>
      <c r="C107" s="49"/>
      <c r="D107" s="49" t="str">
        <f>IFERROR(__xludf.DUMMYFUNCTION("""COMPUTED_VALUE"""),"Towershield")</f>
        <v>Towershield</v>
      </c>
      <c r="E107" s="49">
        <f>IFERROR(__xludf.DUMMYFUNCTION("""COMPUTED_VALUE"""),200.0)</f>
        <v>200</v>
      </c>
      <c r="F107" s="112">
        <f>IFERROR(__xludf.DUMMYFUNCTION("""COMPUTED_VALUE"""),1900000.0)</f>
        <v>1900000</v>
      </c>
      <c r="G107" s="49" t="str">
        <f>IFERROR(__xludf.DUMMYFUNCTION("""COMPUTED_VALUE"""),"DEF")</f>
        <v>DEF</v>
      </c>
      <c r="H107" s="49">
        <f>IFERROR(__xludf.DUMMYFUNCTION("""COMPUTED_VALUE"""),5000.0)</f>
        <v>5000</v>
      </c>
      <c r="I107" s="49">
        <f>IFERROR(__xludf.DUMMYFUNCTION("""COMPUTED_VALUE"""),5000.0)</f>
        <v>5000</v>
      </c>
      <c r="J107" s="49"/>
      <c r="K107" s="49"/>
      <c r="L107" s="49"/>
      <c r="M107" s="49"/>
      <c r="N107" s="49"/>
      <c r="O107" s="49"/>
      <c r="P107" s="49"/>
      <c r="Q107" s="49"/>
      <c r="R107" s="49"/>
      <c r="S107" s="49"/>
      <c r="T107" s="49"/>
      <c r="U107" s="49"/>
      <c r="V107" s="49"/>
      <c r="W107" s="49"/>
      <c r="X107" s="49"/>
      <c r="Y107" s="49"/>
      <c r="Z107" s="49"/>
      <c r="AA107" s="49"/>
      <c r="AB107" s="49"/>
      <c r="AC107" s="49"/>
      <c r="AD107" s="49"/>
      <c r="AE107" s="49"/>
      <c r="AF107" s="49" t="str">
        <f>IFERROR(__xludf.DUMMYFUNCTION("""COMPUTED_VALUE"""),"++ Immunity to Fire, ++X2 Additional fire resistance. +-Cannot be duplicated.")</f>
        <v>++ Immunity to Fire, ++X2 Additional fire resistance. +-Cannot be duplicated.</v>
      </c>
      <c r="AG107" s="49" t="str">
        <f>IFERROR(__xludf.DUMMYFUNCTION("""COMPUTED_VALUE"""),"Land of Spira")</f>
        <v>Land of Spira</v>
      </c>
      <c r="AH107" s="49" t="b">
        <f>IFERROR(__xludf.DUMMYFUNCTION("""COMPUTED_VALUE"""),FALSE)</f>
        <v>0</v>
      </c>
    </row>
    <row r="108">
      <c r="A108" s="49" t="str">
        <f>IFERROR(__xludf.DUMMYFUNCTION("""COMPUTED_VALUE"""),"Fire Sword")</f>
        <v>Fire Sword</v>
      </c>
      <c r="B108" s="49" t="str">
        <f>IFERROR(__xludf.DUMMYFUNCTION("""COMPUTED_VALUE"""),"Hand")</f>
        <v>Hand</v>
      </c>
      <c r="C108" s="49"/>
      <c r="D108" s="49" t="str">
        <f>IFERROR(__xludf.DUMMYFUNCTION("""COMPUTED_VALUE"""),"Sword")</f>
        <v>Sword</v>
      </c>
      <c r="E108" s="49">
        <f>IFERROR(__xludf.DUMMYFUNCTION("""COMPUTED_VALUE"""),200.0)</f>
        <v>200</v>
      </c>
      <c r="F108" s="112">
        <f>IFERROR(__xludf.DUMMYFUNCTION("""COMPUTED_VALUE"""),1900000.0)</f>
        <v>1900000</v>
      </c>
      <c r="G108" s="49" t="str">
        <f>IFERROR(__xludf.DUMMYFUNCTION("""COMPUTED_VALUE"""),"DMG")</f>
        <v>DMG</v>
      </c>
      <c r="H108" s="49">
        <f>IFERROR(__xludf.DUMMYFUNCTION("""COMPUTED_VALUE"""),5000.0)</f>
        <v>5000</v>
      </c>
      <c r="I108" s="49">
        <f>IFERROR(__xludf.DUMMYFUNCTION("""COMPUTED_VALUE"""),5000.0)</f>
        <v>5000</v>
      </c>
      <c r="J108" s="49"/>
      <c r="K108" s="49"/>
      <c r="L108" s="49"/>
      <c r="M108" s="49"/>
      <c r="N108" s="49"/>
      <c r="O108" s="49"/>
      <c r="P108" s="49"/>
      <c r="Q108" s="49"/>
      <c r="R108" s="49"/>
      <c r="S108" s="49"/>
      <c r="T108" s="49"/>
      <c r="U108" s="49"/>
      <c r="V108" s="49"/>
      <c r="W108" s="49"/>
      <c r="X108" s="49"/>
      <c r="Y108" s="49"/>
      <c r="Z108" s="49"/>
      <c r="AA108" s="49"/>
      <c r="AB108" s="49"/>
      <c r="AC108" s="49"/>
      <c r="AD108" s="49"/>
      <c r="AE108" s="49"/>
      <c r="AF108" s="49" t="str">
        <f>IFERROR(__xludf.DUMMYFUNCTION("""COMPUTED_VALUE"""),"++X2 Additional Fire damage. Burn 2500. Cannot be duplicated.")</f>
        <v>++X2 Additional Fire damage. Burn 2500. Cannot be duplicated.</v>
      </c>
      <c r="AG108" s="49" t="str">
        <f>IFERROR(__xludf.DUMMYFUNCTION("""COMPUTED_VALUE"""),"Land of Spira")</f>
        <v>Land of Spira</v>
      </c>
      <c r="AH108" s="49" t="b">
        <f>IFERROR(__xludf.DUMMYFUNCTION("""COMPUTED_VALUE"""),FALSE)</f>
        <v>0</v>
      </c>
    </row>
    <row r="109">
      <c r="A109" s="49" t="str">
        <f>IFERROR(__xludf.DUMMYFUNCTION("""COMPUTED_VALUE"""),"Fireproof Suit")</f>
        <v>Fireproof Suit</v>
      </c>
      <c r="B109" s="49" t="str">
        <f>IFERROR(__xludf.DUMMYFUNCTION("""COMPUTED_VALUE"""),"Torso")</f>
        <v>Torso</v>
      </c>
      <c r="C109" s="49"/>
      <c r="D109" s="49"/>
      <c r="E109" s="49">
        <f>IFERROR(__xludf.DUMMYFUNCTION("""COMPUTED_VALUE"""),400.0)</f>
        <v>400</v>
      </c>
      <c r="F109" s="112">
        <f>IFERROR(__xludf.DUMMYFUNCTION("""COMPUTED_VALUE"""),7800000.0)</f>
        <v>7800000</v>
      </c>
      <c r="G109" s="49" t="str">
        <f>IFERROR(__xludf.DUMMYFUNCTION("""COMPUTED_VALUE"""),"DEF")</f>
        <v>DEF</v>
      </c>
      <c r="H109" s="49">
        <f>IFERROR(__xludf.DUMMYFUNCTION("""COMPUTED_VALUE"""),5000.0)</f>
        <v>5000</v>
      </c>
      <c r="I109" s="125">
        <f>IFERROR(__xludf.DUMMYFUNCTION("""COMPUTED_VALUE"""),15000.0)</f>
        <v>15000</v>
      </c>
      <c r="J109" s="49"/>
      <c r="K109" s="49"/>
      <c r="L109" s="49"/>
      <c r="M109" s="49"/>
      <c r="N109" s="49"/>
      <c r="O109" s="49"/>
      <c r="P109" s="49"/>
      <c r="Q109" s="49"/>
      <c r="R109" s="49"/>
      <c r="S109" s="49"/>
      <c r="T109" s="49"/>
      <c r="U109" s="49"/>
      <c r="V109" s="49"/>
      <c r="W109" s="49"/>
      <c r="X109" s="49"/>
      <c r="Y109" s="49"/>
      <c r="Z109" s="49"/>
      <c r="AA109" s="49"/>
      <c r="AB109" s="49"/>
      <c r="AC109" s="49"/>
      <c r="AD109" s="49"/>
      <c r="AE109" s="49"/>
      <c r="AF109" s="49" t="str">
        <f>IFERROR(__xludf.DUMMYFUNCTION("""COMPUTED_VALUE"""),"Fire Immune, X2 Additional fire resistance. Cannot be duplicated.")</f>
        <v>Fire Immune, X2 Additional fire resistance. Cannot be duplicated.</v>
      </c>
      <c r="AG109" s="49" t="str">
        <f>IFERROR(__xludf.DUMMYFUNCTION("""COMPUTED_VALUE"""),"Land of Spira")</f>
        <v>Land of Spira</v>
      </c>
      <c r="AH109" s="49" t="b">
        <f>IFERROR(__xludf.DUMMYFUNCTION("""COMPUTED_VALUE"""),FALSE)</f>
        <v>0</v>
      </c>
    </row>
    <row r="110">
      <c r="A110" s="49" t="str">
        <f>IFERROR(__xludf.DUMMYFUNCTION("""COMPUTED_VALUE"""),"Fish Pendant")</f>
        <v>Fish Pendant</v>
      </c>
      <c r="B110" s="49" t="str">
        <f>IFERROR(__xludf.DUMMYFUNCTION("""COMPUTED_VALUE"""),"Neck")</f>
        <v>Neck</v>
      </c>
      <c r="C110" s="49"/>
      <c r="D110" s="49"/>
      <c r="E110" s="49">
        <f>IFERROR(__xludf.DUMMYFUNCTION("""COMPUTED_VALUE"""),1.0)</f>
        <v>1</v>
      </c>
      <c r="F110" s="112">
        <f>IFERROR(__xludf.DUMMYFUNCTION("""COMPUTED_VALUE"""),0.0)</f>
        <v>0</v>
      </c>
      <c r="G110" s="49"/>
      <c r="H110" s="49"/>
      <c r="I110" s="49"/>
      <c r="J110" s="49"/>
      <c r="K110" s="49"/>
      <c r="L110" s="49"/>
      <c r="M110" s="49"/>
      <c r="N110" s="49"/>
      <c r="O110" s="49"/>
      <c r="P110" s="49"/>
      <c r="Q110" s="49"/>
      <c r="R110" s="49"/>
      <c r="S110" s="49"/>
      <c r="T110" s="49"/>
      <c r="U110" s="49"/>
      <c r="V110" s="49"/>
      <c r="W110" s="49"/>
      <c r="X110" s="49"/>
      <c r="Y110" s="49"/>
      <c r="Z110" s="49"/>
      <c r="AA110" s="49"/>
      <c r="AB110" s="49"/>
      <c r="AC110" s="49"/>
      <c r="AD110" s="49"/>
      <c r="AE110" s="49"/>
      <c r="AF110" s="49" t="str">
        <f>IFERROR(__xludf.DUMMYFUNCTION("""COMPUTED_VALUE"""),"++Choose the rarity of the fish when fishing +-Cannot be forged +-Cannot be duplicated +-Can only equip one")</f>
        <v>++Choose the rarity of the fish when fishing +-Cannot be forged +-Cannot be duplicated +-Can only equip one</v>
      </c>
      <c r="AG110" s="49" t="str">
        <f>IFERROR(__xludf.DUMMYFUNCTION("""COMPUTED_VALUE"""),"Land of Spira")</f>
        <v>Land of Spira</v>
      </c>
      <c r="AH110" s="49" t="b">
        <f>IFERROR(__xludf.DUMMYFUNCTION("""COMPUTED_VALUE"""),FALSE)</f>
        <v>0</v>
      </c>
    </row>
    <row r="111">
      <c r="A111" s="49" t="str">
        <f>IFERROR(__xludf.DUMMYFUNCTION("""COMPUTED_VALUE"""),"Flame Band")</f>
        <v>Flame Band</v>
      </c>
      <c r="B111" s="49" t="str">
        <f>IFERROR(__xludf.DUMMYFUNCTION("""COMPUTED_VALUE"""),"Arms")</f>
        <v>Arms</v>
      </c>
      <c r="C111" s="49"/>
      <c r="D111" s="49"/>
      <c r="E111" s="49">
        <f>IFERROR(__xludf.DUMMYFUNCTION("""COMPUTED_VALUE"""),1.0)</f>
        <v>1</v>
      </c>
      <c r="F111" s="112">
        <f>IFERROR(__xludf.DUMMYFUNCTION("""COMPUTED_VALUE"""),0.0)</f>
        <v>0</v>
      </c>
      <c r="G111" s="49" t="str">
        <f>IFERROR(__xludf.DUMMYFUNCTION("""COMPUTED_VALUE"""),"DMG")</f>
        <v>DMG</v>
      </c>
      <c r="H111" s="49"/>
      <c r="I111" s="49"/>
      <c r="J111" s="49"/>
      <c r="K111" s="49"/>
      <c r="L111" s="49"/>
      <c r="M111" s="49"/>
      <c r="N111" s="49"/>
      <c r="O111" s="49"/>
      <c r="P111" s="49"/>
      <c r="Q111" s="49"/>
      <c r="R111" s="49"/>
      <c r="S111" s="49"/>
      <c r="T111" s="49"/>
      <c r="U111" s="49"/>
      <c r="V111" s="49"/>
      <c r="W111" s="49"/>
      <c r="X111" s="49"/>
      <c r="Y111" s="49"/>
      <c r="Z111" s="49"/>
      <c r="AA111" s="49"/>
      <c r="AB111" s="49"/>
      <c r="AC111" s="49"/>
      <c r="AD111" s="49"/>
      <c r="AE111" s="49"/>
      <c r="AF111" s="49" t="str">
        <f>IFERROR(__xludf.DUMMYFUNCTION("""COMPUTED_VALUE"""),"Fire Immune, X2 Additional fire damage. +-Cannot be duplicated")</f>
        <v>Fire Immune, X2 Additional fire damage. +-Cannot be duplicated</v>
      </c>
      <c r="AG111" s="49" t="str">
        <f>IFERROR(__xludf.DUMMYFUNCTION("""COMPUTED_VALUE"""),"Land of Spira")</f>
        <v>Land of Spira</v>
      </c>
      <c r="AH111" s="49" t="b">
        <f>IFERROR(__xludf.DUMMYFUNCTION("""COMPUTED_VALUE"""),FALSE)</f>
        <v>0</v>
      </c>
    </row>
    <row r="112">
      <c r="A112" s="49" t="str">
        <f>IFERROR(__xludf.DUMMYFUNCTION("""COMPUTED_VALUE"""),"Flame Mask")</f>
        <v>Flame Mask</v>
      </c>
      <c r="B112" s="49" t="str">
        <f>IFERROR(__xludf.DUMMYFUNCTION("""COMPUTED_VALUE"""),"Head")</f>
        <v>Head</v>
      </c>
      <c r="C112" s="49"/>
      <c r="D112" s="49"/>
      <c r="E112" s="49">
        <f>IFERROR(__xludf.DUMMYFUNCTION("""COMPUTED_VALUE"""),130.0)</f>
        <v>130</v>
      </c>
      <c r="F112" s="112">
        <f>IFERROR(__xludf.DUMMYFUNCTION("""COMPUTED_VALUE"""),780000.0)</f>
        <v>780000</v>
      </c>
      <c r="G112" s="49" t="str">
        <f>IFERROR(__xludf.DUMMYFUNCTION("""COMPUTED_VALUE"""),"DEF")</f>
        <v>DEF</v>
      </c>
      <c r="H112" s="49">
        <f>IFERROR(__xludf.DUMMYFUNCTION("""COMPUTED_VALUE"""),5000.0)</f>
        <v>5000</v>
      </c>
      <c r="I112" s="125">
        <f>IFERROR(__xludf.DUMMYFUNCTION("""COMPUTED_VALUE"""),1500.0)</f>
        <v>1500</v>
      </c>
      <c r="J112" s="49"/>
      <c r="K112" s="49"/>
      <c r="L112" s="49"/>
      <c r="M112" s="49"/>
      <c r="N112" s="49"/>
      <c r="O112" s="49"/>
      <c r="P112" s="49"/>
      <c r="Q112" s="49"/>
      <c r="R112" s="49"/>
      <c r="S112" s="49"/>
      <c r="T112" s="49"/>
      <c r="U112" s="49"/>
      <c r="V112" s="49"/>
      <c r="W112" s="49"/>
      <c r="X112" s="49"/>
      <c r="Y112" s="49"/>
      <c r="Z112" s="49"/>
      <c r="AA112" s="49"/>
      <c r="AB112" s="49"/>
      <c r="AC112" s="49"/>
      <c r="AD112" s="49"/>
      <c r="AE112" s="49"/>
      <c r="AF112" s="49" t="str">
        <f>IFERROR(__xludf.DUMMYFUNCTION("""COMPUTED_VALUE"""),"++Fire Immunity, ++X2 Additional fire resistance. +-Cannot be duplicated.")</f>
        <v>++Fire Immunity, ++X2 Additional fire resistance. +-Cannot be duplicated.</v>
      </c>
      <c r="AG112" s="49" t="str">
        <f>IFERROR(__xludf.DUMMYFUNCTION("""COMPUTED_VALUE"""),"Land of Spira")</f>
        <v>Land of Spira</v>
      </c>
      <c r="AH112" s="49" t="b">
        <f>IFERROR(__xludf.DUMMYFUNCTION("""COMPUTED_VALUE"""),FALSE)</f>
        <v>0</v>
      </c>
    </row>
    <row r="113">
      <c r="A113" s="49" t="str">
        <f>IFERROR(__xludf.DUMMYFUNCTION("""COMPUTED_VALUE"""),"Flamethrower")</f>
        <v>Flamethrower</v>
      </c>
      <c r="B113" s="49" t="str">
        <f>IFERROR(__xludf.DUMMYFUNCTION("""COMPUTED_VALUE"""),"Hand")</f>
        <v>Hand</v>
      </c>
      <c r="C113" s="49"/>
      <c r="D113" s="49" t="str">
        <f>IFERROR(__xludf.DUMMYFUNCTION("""COMPUTED_VALUE"""),"Firearm")</f>
        <v>Firearm</v>
      </c>
      <c r="E113" s="49">
        <f>IFERROR(__xludf.DUMMYFUNCTION("""COMPUTED_VALUE"""),700.0)</f>
        <v>700</v>
      </c>
      <c r="F113" s="112">
        <f>IFERROR(__xludf.DUMMYFUNCTION("""COMPUTED_VALUE"""),2.415E7)</f>
        <v>24150000</v>
      </c>
      <c r="G113" s="49" t="str">
        <f>IFERROR(__xludf.DUMMYFUNCTION("""COMPUTED_VALUE"""),"DMG")</f>
        <v>DMG</v>
      </c>
      <c r="H113" s="49"/>
      <c r="I113" s="125">
        <f>IFERROR(__xludf.DUMMYFUNCTION("""COMPUTED_VALUE"""),35000.0)</f>
        <v>35000</v>
      </c>
      <c r="J113" s="49"/>
      <c r="K113" s="49"/>
      <c r="L113" s="49"/>
      <c r="M113" s="49"/>
      <c r="N113" s="49"/>
      <c r="O113" s="49"/>
      <c r="P113" s="49"/>
      <c r="Q113" s="49"/>
      <c r="R113" s="49"/>
      <c r="S113" s="49"/>
      <c r="T113" s="49"/>
      <c r="U113" s="49"/>
      <c r="V113" s="49"/>
      <c r="W113" s="49"/>
      <c r="X113" s="49"/>
      <c r="Y113" s="49"/>
      <c r="Z113" s="49"/>
      <c r="AA113" s="49"/>
      <c r="AB113" s="49"/>
      <c r="AC113" s="49"/>
      <c r="AD113" s="49"/>
      <c r="AE113" s="49"/>
      <c r="AF113" s="49" t="str">
        <f>IFERROR(__xludf.DUMMYFUNCTION("""COMPUTED_VALUE"""),"++20% chance of hitting all enemies")</f>
        <v>++20% chance of hitting all enemies</v>
      </c>
      <c r="AG113" s="49" t="str">
        <f>IFERROR(__xludf.DUMMYFUNCTION("""COMPUTED_VALUE"""),"Land of Spira")</f>
        <v>Land of Spira</v>
      </c>
      <c r="AH113" s="49" t="b">
        <f>IFERROR(__xludf.DUMMYFUNCTION("""COMPUTED_VALUE"""),FALSE)</f>
        <v>0</v>
      </c>
    </row>
    <row r="114">
      <c r="A114" s="49" t="str">
        <f>IFERROR(__xludf.DUMMYFUNCTION("""COMPUTED_VALUE"""),"Flaming Sword")</f>
        <v>Flaming Sword</v>
      </c>
      <c r="B114" s="49" t="str">
        <f>IFERROR(__xludf.DUMMYFUNCTION("""COMPUTED_VALUE"""),"Hand")</f>
        <v>Hand</v>
      </c>
      <c r="C114" s="49"/>
      <c r="D114" s="49" t="str">
        <f>IFERROR(__xludf.DUMMYFUNCTION("""COMPUTED_VALUE"""),"Sword")</f>
        <v>Sword</v>
      </c>
      <c r="E114" s="49">
        <f>IFERROR(__xludf.DUMMYFUNCTION("""COMPUTED_VALUE"""),300.0)</f>
        <v>300</v>
      </c>
      <c r="F114" s="112">
        <f>IFERROR(__xludf.DUMMYFUNCTION("""COMPUTED_VALUE"""),4350000.0)</f>
        <v>4350000</v>
      </c>
      <c r="G114" s="49" t="str">
        <f>IFERROR(__xludf.DUMMYFUNCTION("""COMPUTED_VALUE"""),"DMG")</f>
        <v>DMG</v>
      </c>
      <c r="H114" s="49">
        <f>IFERROR(__xludf.DUMMYFUNCTION("""COMPUTED_VALUE"""),5000.0)</f>
        <v>5000</v>
      </c>
      <c r="I114" s="49">
        <f>IFERROR(__xludf.DUMMYFUNCTION("""COMPUTED_VALUE"""),5000.0)</f>
        <v>5000</v>
      </c>
      <c r="J114" s="49"/>
      <c r="K114" s="49"/>
      <c r="L114" s="49"/>
      <c r="M114" s="49"/>
      <c r="N114" s="49"/>
      <c r="O114" s="49"/>
      <c r="P114" s="49"/>
      <c r="Q114" s="49"/>
      <c r="R114" s="49"/>
      <c r="S114" s="49">
        <f>IFERROR(__xludf.DUMMYFUNCTION("""COMPUTED_VALUE"""),5000.0)</f>
        <v>5000</v>
      </c>
      <c r="T114" s="49"/>
      <c r="U114" s="49"/>
      <c r="V114" s="49"/>
      <c r="W114" s="49"/>
      <c r="X114" s="49"/>
      <c r="Y114" s="49"/>
      <c r="Z114" s="49"/>
      <c r="AA114" s="49"/>
      <c r="AB114" s="49"/>
      <c r="AC114" s="49"/>
      <c r="AD114" s="49"/>
      <c r="AE114" s="49"/>
      <c r="AF114" s="49" t="str">
        <f>IFERROR(__xludf.DUMMYFUNCTION("""COMPUTED_VALUE"""),"++Burn 1000")</f>
        <v>++Burn 1000</v>
      </c>
      <c r="AG114" s="49" t="str">
        <f>IFERROR(__xludf.DUMMYFUNCTION("""COMPUTED_VALUE"""),"Land of Spira")</f>
        <v>Land of Spira</v>
      </c>
      <c r="AH114" s="49" t="b">
        <f>IFERROR(__xludf.DUMMYFUNCTION("""COMPUTED_VALUE"""),FALSE)</f>
        <v>0</v>
      </c>
    </row>
    <row r="115">
      <c r="A115" s="49" t="str">
        <f>IFERROR(__xludf.DUMMYFUNCTION("""COMPUTED_VALUE"""),"Foul Night Blade")</f>
        <v>Foul Night Blade</v>
      </c>
      <c r="B115" s="49" t="str">
        <f>IFERROR(__xludf.DUMMYFUNCTION("""COMPUTED_VALUE"""),"Hand")</f>
        <v>Hand</v>
      </c>
      <c r="C115" s="49"/>
      <c r="D115" s="49" t="str">
        <f>IFERROR(__xludf.DUMMYFUNCTION("""COMPUTED_VALUE"""),"Sword")</f>
        <v>Sword</v>
      </c>
      <c r="E115" s="49">
        <f>IFERROR(__xludf.DUMMYFUNCTION("""COMPUTED_VALUE"""),200.0)</f>
        <v>200</v>
      </c>
      <c r="F115" s="112">
        <f>IFERROR(__xludf.DUMMYFUNCTION("""COMPUTED_VALUE"""),1900000.0)</f>
        <v>1900000</v>
      </c>
      <c r="G115" s="49" t="str">
        <f>IFERROR(__xludf.DUMMYFUNCTION("""COMPUTED_VALUE"""),"DMG")</f>
        <v>DMG</v>
      </c>
      <c r="H115" s="49">
        <f>IFERROR(__xludf.DUMMYFUNCTION("""COMPUTED_VALUE"""),5000.0)</f>
        <v>5000</v>
      </c>
      <c r="I115" s="49"/>
      <c r="J115" s="49"/>
      <c r="K115" s="49"/>
      <c r="L115" s="49"/>
      <c r="M115" s="49"/>
      <c r="N115" s="49"/>
      <c r="O115" s="49"/>
      <c r="P115" s="49"/>
      <c r="Q115" s="49"/>
      <c r="R115" s="49"/>
      <c r="S115" s="49">
        <f>IFERROR(__xludf.DUMMYFUNCTION("""COMPUTED_VALUE"""),5000.0)</f>
        <v>5000</v>
      </c>
      <c r="T115" s="49"/>
      <c r="U115" s="49"/>
      <c r="V115" s="49"/>
      <c r="W115" s="49"/>
      <c r="X115" s="49"/>
      <c r="Y115" s="49"/>
      <c r="Z115" s="49"/>
      <c r="AA115" s="49"/>
      <c r="AB115" s="49"/>
      <c r="AC115" s="49"/>
      <c r="AD115" s="49"/>
      <c r="AE115" s="49"/>
      <c r="AF115" s="49"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49" t="str">
        <f>IFERROR(__xludf.DUMMYFUNCTION("""COMPUTED_VALUE"""),"Land of Spira")</f>
        <v>Land of Spira</v>
      </c>
      <c r="AH115" s="49" t="b">
        <f>IFERROR(__xludf.DUMMYFUNCTION("""COMPUTED_VALUE"""),FALSE)</f>
        <v>0</v>
      </c>
    </row>
    <row r="116">
      <c r="A116" s="49" t="str">
        <f>IFERROR(__xludf.DUMMYFUNCTION("""COMPUTED_VALUE"""),"Freezing Chains")</f>
        <v>Freezing Chains</v>
      </c>
      <c r="B116" s="49" t="str">
        <f>IFERROR(__xludf.DUMMYFUNCTION("""COMPUTED_VALUE"""),"Hand")</f>
        <v>Hand</v>
      </c>
      <c r="C116" s="49"/>
      <c r="D116" s="49" t="str">
        <f>IFERROR(__xludf.DUMMYFUNCTION("""COMPUTED_VALUE"""),"Club")</f>
        <v>Club</v>
      </c>
      <c r="E116" s="49">
        <f>IFERROR(__xludf.DUMMYFUNCTION("""COMPUTED_VALUE"""),200.0)</f>
        <v>200</v>
      </c>
      <c r="F116" s="112">
        <f>IFERROR(__xludf.DUMMYFUNCTION("""COMPUTED_VALUE"""),1900000.0)</f>
        <v>1900000</v>
      </c>
      <c r="G116" s="49" t="str">
        <f>IFERROR(__xludf.DUMMYFUNCTION("""COMPUTED_VALUE"""),"DMG")</f>
        <v>DMG</v>
      </c>
      <c r="H116" s="49">
        <f>IFERROR(__xludf.DUMMYFUNCTION("""COMPUTED_VALUE"""),5000.0)</f>
        <v>5000</v>
      </c>
      <c r="I116" s="49"/>
      <c r="J116" s="49"/>
      <c r="K116" s="49">
        <f>IFERROR(__xludf.DUMMYFUNCTION("""COMPUTED_VALUE"""),5000.0)</f>
        <v>5000</v>
      </c>
      <c r="L116" s="49"/>
      <c r="M116" s="49"/>
      <c r="N116" s="49"/>
      <c r="O116" s="49"/>
      <c r="P116" s="49"/>
      <c r="Q116" s="49"/>
      <c r="R116" s="49"/>
      <c r="S116" s="49"/>
      <c r="T116" s="49"/>
      <c r="U116" s="49"/>
      <c r="V116" s="49"/>
      <c r="W116" s="49"/>
      <c r="X116" s="49"/>
      <c r="Y116" s="49"/>
      <c r="Z116" s="49"/>
      <c r="AA116" s="49"/>
      <c r="AB116" s="49"/>
      <c r="AC116" s="49"/>
      <c r="AD116" s="49"/>
      <c r="AE116" s="49"/>
      <c r="AF116" s="49" t="str">
        <f>IFERROR(__xludf.DUMMYFUNCTION("""COMPUTED_VALUE"""),"++Frost Bind- binds the target freezing them until the end of their next turn")</f>
        <v>++Frost Bind- binds the target freezing them until the end of their next turn</v>
      </c>
      <c r="AG116" s="49" t="str">
        <f>IFERROR(__xludf.DUMMYFUNCTION("""COMPUTED_VALUE"""),"Land of Spira")</f>
        <v>Land of Spira</v>
      </c>
      <c r="AH116" s="49" t="b">
        <f>IFERROR(__xludf.DUMMYFUNCTION("""COMPUTED_VALUE"""),FALSE)</f>
        <v>0</v>
      </c>
    </row>
    <row r="117">
      <c r="A117" s="49" t="str">
        <f>IFERROR(__xludf.DUMMYFUNCTION("""COMPUTED_VALUE"""),"Frost Bow")</f>
        <v>Frost Bow</v>
      </c>
      <c r="B117" s="49" t="str">
        <f>IFERROR(__xludf.DUMMYFUNCTION("""COMPUTED_VALUE"""),"Hand")</f>
        <v>Hand</v>
      </c>
      <c r="C117" s="49"/>
      <c r="D117" s="49" t="str">
        <f>IFERROR(__xludf.DUMMYFUNCTION("""COMPUTED_VALUE"""),"Bow")</f>
        <v>Bow</v>
      </c>
      <c r="E117" s="49">
        <f>IFERROR(__xludf.DUMMYFUNCTION("""COMPUTED_VALUE"""),180.0)</f>
        <v>180</v>
      </c>
      <c r="F117" s="112">
        <f>IFERROR(__xludf.DUMMYFUNCTION("""COMPUTED_VALUE"""),1530000.0)</f>
        <v>1530000</v>
      </c>
      <c r="G117" s="49" t="str">
        <f>IFERROR(__xludf.DUMMYFUNCTION("""COMPUTED_VALUE"""),"DMG")</f>
        <v>DMG</v>
      </c>
      <c r="H117" s="49">
        <f>IFERROR(__xludf.DUMMYFUNCTION("""COMPUTED_VALUE"""),5000.0)</f>
        <v>5000</v>
      </c>
      <c r="I117" s="49"/>
      <c r="J117" s="49"/>
      <c r="K117" s="49">
        <f>IFERROR(__xludf.DUMMYFUNCTION("""COMPUTED_VALUE"""),4000.0)</f>
        <v>4000</v>
      </c>
      <c r="L117" s="49"/>
      <c r="M117" s="49"/>
      <c r="N117" s="49"/>
      <c r="O117" s="49"/>
      <c r="P117" s="49"/>
      <c r="Q117" s="49"/>
      <c r="R117" s="49"/>
      <c r="S117" s="49"/>
      <c r="T117" s="49"/>
      <c r="U117" s="49"/>
      <c r="V117" s="49"/>
      <c r="W117" s="49"/>
      <c r="X117" s="49"/>
      <c r="Y117" s="49"/>
      <c r="Z117" s="49"/>
      <c r="AA117" s="49"/>
      <c r="AB117" s="49"/>
      <c r="AC117" s="49"/>
      <c r="AD117" s="49"/>
      <c r="AE117" s="49"/>
      <c r="AF117" s="49" t="str">
        <f>IFERROR(__xludf.DUMMYFUNCTION("""COMPUTED_VALUE"""),"++Arrows Used with this bow have a 50% chance to freeze the target(s)")</f>
        <v>++Arrows Used with this bow have a 50% chance to freeze the target(s)</v>
      </c>
      <c r="AG117" s="49" t="str">
        <f>IFERROR(__xludf.DUMMYFUNCTION("""COMPUTED_VALUE"""),"Land of Spira")</f>
        <v>Land of Spira</v>
      </c>
      <c r="AH117" s="49" t="b">
        <f>IFERROR(__xludf.DUMMYFUNCTION("""COMPUTED_VALUE"""),FALSE)</f>
        <v>0</v>
      </c>
    </row>
    <row r="118">
      <c r="A118" s="49" t="str">
        <f>IFERROR(__xludf.DUMMYFUNCTION("""COMPUTED_VALUE"""),"Frost Cloak")</f>
        <v>Frost Cloak</v>
      </c>
      <c r="B118" s="49" t="str">
        <f>IFERROR(__xludf.DUMMYFUNCTION("""COMPUTED_VALUE"""),"Torso")</f>
        <v>Torso</v>
      </c>
      <c r="C118" s="49"/>
      <c r="D118" s="49"/>
      <c r="E118" s="49">
        <f>IFERROR(__xludf.DUMMYFUNCTION("""COMPUTED_VALUE"""),1.0)</f>
        <v>1</v>
      </c>
      <c r="F118" s="112">
        <f>IFERROR(__xludf.DUMMYFUNCTION("""COMPUTED_VALUE"""),0.0)</f>
        <v>0</v>
      </c>
      <c r="G118" s="49"/>
      <c r="H118" s="49"/>
      <c r="I118" s="49"/>
      <c r="J118" s="49"/>
      <c r="K118" s="49"/>
      <c r="L118" s="49"/>
      <c r="M118" s="49"/>
      <c r="N118" s="49"/>
      <c r="O118" s="49"/>
      <c r="P118" s="49"/>
      <c r="Q118" s="49"/>
      <c r="R118" s="49"/>
      <c r="S118" s="49"/>
      <c r="T118" s="49"/>
      <c r="U118" s="49"/>
      <c r="V118" s="49"/>
      <c r="W118" s="49"/>
      <c r="X118" s="49"/>
      <c r="Y118" s="49"/>
      <c r="Z118" s="49"/>
      <c r="AA118" s="49"/>
      <c r="AB118" s="49"/>
      <c r="AC118" s="49"/>
      <c r="AD118" s="49"/>
      <c r="AE118" s="49"/>
      <c r="AF118" s="49" t="str">
        <f>IFERROR(__xludf.DUMMYFUNCTION("""COMPUTED_VALUE"""),"(Frost Mage Set) ++When caster is hit by an enemy,the enemy is frozen for 5r/s caster,s cloak last for 3 r/s 90 sp")</f>
        <v>(Frost Mage Set) ++When caster is hit by an enemy,the enemy is frozen for 5r/s caster,s cloak last for 3 r/s 90 sp</v>
      </c>
      <c r="AG118" s="49" t="str">
        <f>IFERROR(__xludf.DUMMYFUNCTION("""COMPUTED_VALUE"""),"Land of Spira")</f>
        <v>Land of Spira</v>
      </c>
      <c r="AH118" s="49" t="b">
        <f>IFERROR(__xludf.DUMMYFUNCTION("""COMPUTED_VALUE"""),FALSE)</f>
        <v>0</v>
      </c>
    </row>
    <row r="119">
      <c r="A119" s="49" t="str">
        <f>IFERROR(__xludf.DUMMYFUNCTION("""COMPUTED_VALUE"""),"Frost Spear")</f>
        <v>Frost Spear</v>
      </c>
      <c r="B119" s="49" t="str">
        <f>IFERROR(__xludf.DUMMYFUNCTION("""COMPUTED_VALUE"""),"Hand")</f>
        <v>Hand</v>
      </c>
      <c r="C119" s="49" t="str">
        <f>IFERROR(__xludf.DUMMYFUNCTION("""COMPUTED_VALUE"""),"Event Exclusive")</f>
        <v>Event Exclusive</v>
      </c>
      <c r="D119" s="49" t="str">
        <f>IFERROR(__xludf.DUMMYFUNCTION("""COMPUTED_VALUE"""),"Spear")</f>
        <v>Spear</v>
      </c>
      <c r="E119" s="49">
        <f>IFERROR(__xludf.DUMMYFUNCTION("""COMPUTED_VALUE"""),1000.0)</f>
        <v>1000</v>
      </c>
      <c r="F119" s="112">
        <f>IFERROR(__xludf.DUMMYFUNCTION("""COMPUTED_VALUE"""),4.95E7)</f>
        <v>49500000</v>
      </c>
      <c r="G119" s="49" t="str">
        <f>IFERROR(__xludf.DUMMYFUNCTION("""COMPUTED_VALUE"""),"DMG")</f>
        <v>DMG</v>
      </c>
      <c r="H119" s="49">
        <f>IFERROR(__xludf.DUMMYFUNCTION("""COMPUTED_VALUE"""),25000.0)</f>
        <v>25000</v>
      </c>
      <c r="I119" s="49"/>
      <c r="J119" s="49"/>
      <c r="K119" s="49"/>
      <c r="L119" s="49">
        <f>IFERROR(__xludf.DUMMYFUNCTION("""COMPUTED_VALUE"""),25000.0)</f>
        <v>25000</v>
      </c>
      <c r="M119" s="49"/>
      <c r="N119" s="49"/>
      <c r="O119" s="49"/>
      <c r="P119" s="49"/>
      <c r="Q119" s="49"/>
      <c r="R119" s="49"/>
      <c r="S119" s="49"/>
      <c r="T119" s="49"/>
      <c r="U119" s="49"/>
      <c r="V119" s="49"/>
      <c r="W119" s="49"/>
      <c r="X119" s="49"/>
      <c r="Y119" s="49"/>
      <c r="Z119" s="49"/>
      <c r="AA119" s="49"/>
      <c r="AB119" s="49"/>
      <c r="AC119" s="49"/>
      <c r="AD119" s="49"/>
      <c r="AE119" s="49"/>
      <c r="AF119" s="49" t="str">
        <f>IFERROR(__xludf.DUMMYFUNCTION("""COMPUTED_VALUE"""),"(The Frozen Spear Master Set) ++50% chance to freeze any enemies hit with this weapon")</f>
        <v>(The Frozen Spear Master Set) ++50% chance to freeze any enemies hit with this weapon</v>
      </c>
      <c r="AG119" s="49" t="str">
        <f>IFERROR(__xludf.DUMMYFUNCTION("""COMPUTED_VALUE"""),"Land of Spira")</f>
        <v>Land of Spira</v>
      </c>
      <c r="AH119" s="49" t="b">
        <f>IFERROR(__xludf.DUMMYFUNCTION("""COMPUTED_VALUE"""),TRUE)</f>
        <v>1</v>
      </c>
    </row>
    <row r="120">
      <c r="A120" s="49" t="str">
        <f>IFERROR(__xludf.DUMMYFUNCTION("""COMPUTED_VALUE"""),"Frozen Carrot Dagger")</f>
        <v>Frozen Carrot Dagger</v>
      </c>
      <c r="B120" s="49" t="str">
        <f>IFERROR(__xludf.DUMMYFUNCTION("""COMPUTED_VALUE"""),"Hand")</f>
        <v>Hand</v>
      </c>
      <c r="C120" s="49" t="str">
        <f>IFERROR(__xludf.DUMMYFUNCTION("""COMPUTED_VALUE"""),"Event Exclusive")</f>
        <v>Event Exclusive</v>
      </c>
      <c r="D120" s="49" t="str">
        <f>IFERROR(__xludf.DUMMYFUNCTION("""COMPUTED_VALUE"""),"Knife")</f>
        <v>Knife</v>
      </c>
      <c r="E120" s="49">
        <f>IFERROR(__xludf.DUMMYFUNCTION("""COMPUTED_VALUE"""),200.0)</f>
        <v>200</v>
      </c>
      <c r="F120" s="112">
        <f>IFERROR(__xludf.DUMMYFUNCTION("""COMPUTED_VALUE"""),1900000.0)</f>
        <v>1900000</v>
      </c>
      <c r="G120" s="49" t="str">
        <f>IFERROR(__xludf.DUMMYFUNCTION("""COMPUTED_VALUE"""),"DMG")</f>
        <v>DMG</v>
      </c>
      <c r="H120" s="49">
        <f>IFERROR(__xludf.DUMMYFUNCTION("""COMPUTED_VALUE"""),5000.0)</f>
        <v>5000</v>
      </c>
      <c r="I120" s="49"/>
      <c r="J120" s="49"/>
      <c r="K120" s="49">
        <f>IFERROR(__xludf.DUMMYFUNCTION("""COMPUTED_VALUE"""),5000.0)</f>
        <v>5000</v>
      </c>
      <c r="L120" s="49"/>
      <c r="M120" s="49"/>
      <c r="N120" s="49"/>
      <c r="O120" s="49"/>
      <c r="P120" s="49"/>
      <c r="Q120" s="49"/>
      <c r="R120" s="49"/>
      <c r="S120" s="49"/>
      <c r="T120" s="49"/>
      <c r="U120" s="49"/>
      <c r="V120" s="49"/>
      <c r="W120" s="49"/>
      <c r="X120" s="49"/>
      <c r="Y120" s="49"/>
      <c r="Z120" s="49"/>
      <c r="AA120" s="49"/>
      <c r="AB120" s="49"/>
      <c r="AC120" s="49"/>
      <c r="AD120" s="49"/>
      <c r="AE120" s="49"/>
      <c r="AF120" s="49"/>
      <c r="AG120" s="49" t="str">
        <f>IFERROR(__xludf.DUMMYFUNCTION("""COMPUTED_VALUE"""),"Land of Spira")</f>
        <v>Land of Spira</v>
      </c>
      <c r="AH120" s="49" t="b">
        <f>IFERROR(__xludf.DUMMYFUNCTION("""COMPUTED_VALUE"""),TRUE)</f>
        <v>1</v>
      </c>
    </row>
    <row r="121">
      <c r="A121" s="49" t="str">
        <f>IFERROR(__xludf.DUMMYFUNCTION("""COMPUTED_VALUE"""),"Frozen Falchion")</f>
        <v>Frozen Falchion</v>
      </c>
      <c r="B121" s="49" t="str">
        <f>IFERROR(__xludf.DUMMYFUNCTION("""COMPUTED_VALUE"""),"Hand")</f>
        <v>Hand</v>
      </c>
      <c r="C121" s="49"/>
      <c r="D121" s="49" t="str">
        <f>IFERROR(__xludf.DUMMYFUNCTION("""COMPUTED_VALUE"""),"Sword")</f>
        <v>Sword</v>
      </c>
      <c r="E121" s="49">
        <f>IFERROR(__xludf.DUMMYFUNCTION("""COMPUTED_VALUE"""),400.0)</f>
        <v>400</v>
      </c>
      <c r="F121" s="112">
        <f>IFERROR(__xludf.DUMMYFUNCTION("""COMPUTED_VALUE"""),7800000.0)</f>
        <v>7800000</v>
      </c>
      <c r="G121" s="49" t="str">
        <f>IFERROR(__xludf.DUMMYFUNCTION("""COMPUTED_VALUE"""),"DMG")</f>
        <v>DMG</v>
      </c>
      <c r="H121" s="125">
        <f>IFERROR(__xludf.DUMMYFUNCTION("""COMPUTED_VALUE"""),10000.0)</f>
        <v>10000</v>
      </c>
      <c r="I121" s="49"/>
      <c r="J121" s="49"/>
      <c r="K121" s="125">
        <f>IFERROR(__xludf.DUMMYFUNCTION("""COMPUTED_VALUE"""),10000.0)</f>
        <v>10000</v>
      </c>
      <c r="L121" s="49"/>
      <c r="M121" s="49"/>
      <c r="N121" s="49"/>
      <c r="O121" s="49"/>
      <c r="P121" s="49"/>
      <c r="Q121" s="49"/>
      <c r="R121" s="49"/>
      <c r="S121" s="49"/>
      <c r="T121" s="49"/>
      <c r="U121" s="49"/>
      <c r="V121" s="49"/>
      <c r="W121" s="49"/>
      <c r="X121" s="49"/>
      <c r="Y121" s="49"/>
      <c r="Z121" s="49"/>
      <c r="AA121" s="49"/>
      <c r="AB121" s="49"/>
      <c r="AC121" s="49"/>
      <c r="AD121" s="49"/>
      <c r="AE121" s="49"/>
      <c r="AF121" s="49"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49" t="str">
        <f>IFERROR(__xludf.DUMMYFUNCTION("""COMPUTED_VALUE"""),"Land of Spira")</f>
        <v>Land of Spira</v>
      </c>
      <c r="AH121" s="49" t="b">
        <f>IFERROR(__xludf.DUMMYFUNCTION("""COMPUTED_VALUE"""),FALSE)</f>
        <v>0</v>
      </c>
    </row>
    <row r="122">
      <c r="A122" s="49" t="str">
        <f>IFERROR(__xludf.DUMMYFUNCTION("""COMPUTED_VALUE"""),"Frozen Soul Lantern")</f>
        <v>Frozen Soul Lantern</v>
      </c>
      <c r="B122" s="49" t="str">
        <f>IFERROR(__xludf.DUMMYFUNCTION("""COMPUTED_VALUE"""),"Hand")</f>
        <v>Hand</v>
      </c>
      <c r="C122" s="49"/>
      <c r="D122" s="49" t="str">
        <f>IFERROR(__xludf.DUMMYFUNCTION("""COMPUTED_VALUE"""),"Wand")</f>
        <v>Wand</v>
      </c>
      <c r="E122" s="49">
        <f>IFERROR(__xludf.DUMMYFUNCTION("""COMPUTED_VALUE"""),1.0)</f>
        <v>1</v>
      </c>
      <c r="F122" s="112">
        <f>IFERROR(__xludf.DUMMYFUNCTION("""COMPUTED_VALUE"""),0.0)</f>
        <v>0</v>
      </c>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49" t="str">
        <f>IFERROR(__xludf.DUMMYFUNCTION("""COMPUTED_VALUE"""),"Land of Spira")</f>
        <v>Land of Spira</v>
      </c>
      <c r="AH122" s="49" t="b">
        <f>IFERROR(__xludf.DUMMYFUNCTION("""COMPUTED_VALUE"""),FALSE)</f>
        <v>0</v>
      </c>
    </row>
    <row r="123">
      <c r="A123" s="49" t="str">
        <f>IFERROR(__xludf.DUMMYFUNCTION("""COMPUTED_VALUE"""),"Gargoyle War Horn")</f>
        <v>Gargoyle War Horn</v>
      </c>
      <c r="B123" s="49" t="str">
        <f>IFERROR(__xludf.DUMMYFUNCTION("""COMPUTED_VALUE"""),"Hand")</f>
        <v>Hand</v>
      </c>
      <c r="C123" s="49"/>
      <c r="D123" s="49" t="str">
        <f>IFERROR(__xludf.DUMMYFUNCTION("""COMPUTED_VALUE"""),"Wand")</f>
        <v>Wand</v>
      </c>
      <c r="E123" s="49">
        <f>IFERROR(__xludf.DUMMYFUNCTION("""COMPUTED_VALUE"""),1.0)</f>
        <v>1</v>
      </c>
      <c r="F123" s="112">
        <f>IFERROR(__xludf.DUMMYFUNCTION("""COMPUTED_VALUE"""),0.0)</f>
        <v>0</v>
      </c>
      <c r="G123" s="49"/>
      <c r="H123" s="49"/>
      <c r="I123" s="49"/>
      <c r="J123" s="49"/>
      <c r="K123" s="49"/>
      <c r="L123" s="49"/>
      <c r="M123" s="49"/>
      <c r="N123" s="49"/>
      <c r="O123" s="49"/>
      <c r="P123" s="49"/>
      <c r="Q123" s="49"/>
      <c r="R123" s="49"/>
      <c r="S123" s="49"/>
      <c r="T123" s="49"/>
      <c r="U123" s="49"/>
      <c r="V123" s="49"/>
      <c r="W123" s="49"/>
      <c r="X123" s="49"/>
      <c r="Y123" s="49"/>
      <c r="Z123" s="49"/>
      <c r="AA123" s="49"/>
      <c r="AB123" s="49"/>
      <c r="AC123" s="49"/>
      <c r="AD123" s="49"/>
      <c r="AE123" s="49"/>
      <c r="AF123" s="49" t="str">
        <f>IFERROR(__xludf.DUMMYFUNCTION("""COMPUTED_VALUE"""),"++Summons a d2 of Gargoyles to help you in battle. +-Can only be used once per battle.")</f>
        <v>++Summons a d2 of Gargoyles to help you in battle. +-Can only be used once per battle.</v>
      </c>
      <c r="AG123" s="49" t="str">
        <f>IFERROR(__xludf.DUMMYFUNCTION("""COMPUTED_VALUE"""),"Abstara")</f>
        <v>Abstara</v>
      </c>
      <c r="AH123" s="49" t="b">
        <f>IFERROR(__xludf.DUMMYFUNCTION("""COMPUTED_VALUE"""),FALSE)</f>
        <v>0</v>
      </c>
    </row>
    <row r="124">
      <c r="A124" s="49" t="str">
        <f>IFERROR(__xludf.DUMMYFUNCTION("""COMPUTED_VALUE"""),"Gargoyle’s Heavy Enchanted Bow")</f>
        <v>Gargoyle’s Heavy Enchanted Bow</v>
      </c>
      <c r="B124" s="49" t="str">
        <f>IFERROR(__xludf.DUMMYFUNCTION("""COMPUTED_VALUE"""),"Hand")</f>
        <v>Hand</v>
      </c>
      <c r="C124" s="49"/>
      <c r="D124" s="49" t="str">
        <f>IFERROR(__xludf.DUMMYFUNCTION("""COMPUTED_VALUE"""),"Bow")</f>
        <v>Bow</v>
      </c>
      <c r="E124" s="49">
        <f>IFERROR(__xludf.DUMMYFUNCTION("""COMPUTED_VALUE"""),3000.0)</f>
        <v>3000</v>
      </c>
      <c r="F124" s="112">
        <f>IFERROR(__xludf.DUMMYFUNCTION("""COMPUTED_VALUE"""),4.485E8)</f>
        <v>448500000</v>
      </c>
      <c r="G124" s="49" t="str">
        <f>IFERROR(__xludf.DUMMYFUNCTION("""COMPUTED_VALUE"""),"DMG")</f>
        <v>DMG</v>
      </c>
      <c r="H124" s="125">
        <f>IFERROR(__xludf.DUMMYFUNCTION("""COMPUTED_VALUE"""),100000.0)</f>
        <v>100000</v>
      </c>
      <c r="I124" s="49"/>
      <c r="J124" s="49"/>
      <c r="K124" s="49"/>
      <c r="L124" s="49"/>
      <c r="M124" s="125">
        <f>IFERROR(__xludf.DUMMYFUNCTION("""COMPUTED_VALUE"""),50000.0)</f>
        <v>50000</v>
      </c>
      <c r="N124" s="49"/>
      <c r="O124" s="49"/>
      <c r="P124" s="49"/>
      <c r="Q124" s="49"/>
      <c r="R124" s="49"/>
      <c r="S124" s="49"/>
      <c r="T124" s="49"/>
      <c r="U124" s="49"/>
      <c r="V124" s="49"/>
      <c r="W124" s="49"/>
      <c r="X124" s="49"/>
      <c r="Y124" s="49"/>
      <c r="Z124" s="49"/>
      <c r="AA124" s="49"/>
      <c r="AB124" s="49"/>
      <c r="AC124" s="49"/>
      <c r="AD124" s="49"/>
      <c r="AE124" s="49"/>
      <c r="AF124" s="49" t="str">
        <f>IFERROR(__xludf.DUMMYFUNCTION("""COMPUTED_VALUE"""),"++Damage dealt with this bow gives you hp back equal to the damage you dealt. ")</f>
        <v>++Damage dealt with this bow gives you hp back equal to the damage you dealt. </v>
      </c>
      <c r="AG124" s="49" t="str">
        <f>IFERROR(__xludf.DUMMYFUNCTION("""COMPUTED_VALUE"""),"Abstara")</f>
        <v>Abstara</v>
      </c>
      <c r="AH124" s="49" t="b">
        <f>IFERROR(__xludf.DUMMYFUNCTION("""COMPUTED_VALUE"""),FALSE)</f>
        <v>0</v>
      </c>
    </row>
    <row r="125">
      <c r="A125" s="49" t="str">
        <f>IFERROR(__xludf.DUMMYFUNCTION("""COMPUTED_VALUE"""),"Gargoyle’s Necklace of Luck ")</f>
        <v>Gargoyle’s Necklace of Luck </v>
      </c>
      <c r="B125" s="49" t="str">
        <f>IFERROR(__xludf.DUMMYFUNCTION("""COMPUTED_VALUE"""),"Neck")</f>
        <v>Neck</v>
      </c>
      <c r="C125" s="49"/>
      <c r="D125" s="49"/>
      <c r="E125" s="49">
        <f>IFERROR(__xludf.DUMMYFUNCTION("""COMPUTED_VALUE"""),1.0)</f>
        <v>1</v>
      </c>
      <c r="F125" s="112">
        <f>IFERROR(__xludf.DUMMYFUNCTION("""COMPUTED_VALUE"""),0.0)</f>
        <v>0</v>
      </c>
      <c r="G125" s="49"/>
      <c r="H125" s="49"/>
      <c r="I125" s="49"/>
      <c r="J125" s="49"/>
      <c r="K125" s="49"/>
      <c r="L125" s="49"/>
      <c r="M125" s="49"/>
      <c r="N125" s="49"/>
      <c r="O125" s="49"/>
      <c r="P125" s="49"/>
      <c r="Q125" s="49"/>
      <c r="R125" s="49"/>
      <c r="S125" s="49"/>
      <c r="T125" s="49"/>
      <c r="U125" s="49"/>
      <c r="V125" s="49"/>
      <c r="W125" s="49"/>
      <c r="X125" s="49"/>
      <c r="Y125" s="49"/>
      <c r="Z125" s="49"/>
      <c r="AA125" s="49"/>
      <c r="AB125" s="49"/>
      <c r="AC125" s="49"/>
      <c r="AD125" s="49"/>
      <c r="AE125" s="49"/>
      <c r="AF125" s="49"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49" t="str">
        <f>IFERROR(__xludf.DUMMYFUNCTION("""COMPUTED_VALUE"""),"Abstara")</f>
        <v>Abstara</v>
      </c>
      <c r="AH125" s="49" t="b">
        <f>IFERROR(__xludf.DUMMYFUNCTION("""COMPUTED_VALUE"""),FALSE)</f>
        <v>0</v>
      </c>
    </row>
    <row r="126">
      <c r="A126" s="49" t="str">
        <f>IFERROR(__xludf.DUMMYFUNCTION("""COMPUTED_VALUE"""),"Gargoyle’s Ring")</f>
        <v>Gargoyle’s Ring</v>
      </c>
      <c r="B126" s="49" t="str">
        <f>IFERROR(__xludf.DUMMYFUNCTION("""COMPUTED_VALUE"""),"Ring")</f>
        <v>Ring</v>
      </c>
      <c r="C126" s="49"/>
      <c r="D126" s="49"/>
      <c r="E126" s="49">
        <f>IFERROR(__xludf.DUMMYFUNCTION("""COMPUTED_VALUE"""),1.0)</f>
        <v>1</v>
      </c>
      <c r="F126" s="112">
        <f>IFERROR(__xludf.DUMMYFUNCTION("""COMPUTED_VALUE"""),0.0)</f>
        <v>0</v>
      </c>
      <c r="G126" s="49"/>
      <c r="H126" s="49"/>
      <c r="I126" s="49"/>
      <c r="J126" s="49"/>
      <c r="K126" s="49"/>
      <c r="L126" s="49"/>
      <c r="M126" s="49"/>
      <c r="N126" s="49"/>
      <c r="O126" s="49"/>
      <c r="P126" s="49"/>
      <c r="Q126" s="49"/>
      <c r="R126" s="49"/>
      <c r="S126" s="49"/>
      <c r="T126" s="49"/>
      <c r="U126" s="49"/>
      <c r="V126" s="49"/>
      <c r="W126" s="49"/>
      <c r="X126" s="49"/>
      <c r="Y126" s="49"/>
      <c r="Z126" s="49"/>
      <c r="AA126" s="49"/>
      <c r="AB126" s="49"/>
      <c r="AC126" s="49"/>
      <c r="AD126" s="49"/>
      <c r="AE126" s="49"/>
      <c r="AF126" s="49"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49" t="str">
        <f>IFERROR(__xludf.DUMMYFUNCTION("""COMPUTED_VALUE"""),"Abstara")</f>
        <v>Abstara</v>
      </c>
      <c r="AH126" s="49" t="b">
        <f>IFERROR(__xludf.DUMMYFUNCTION("""COMPUTED_VALUE"""),FALSE)</f>
        <v>0</v>
      </c>
    </row>
    <row r="127">
      <c r="A127" s="49" t="str">
        <f>IFERROR(__xludf.DUMMYFUNCTION("""COMPUTED_VALUE"""),"Giant Spider Leg")</f>
        <v>Giant Spider Leg</v>
      </c>
      <c r="B127" s="49" t="str">
        <f>IFERROR(__xludf.DUMMYFUNCTION("""COMPUTED_VALUE"""),"Hand")</f>
        <v>Hand</v>
      </c>
      <c r="C127" s="49"/>
      <c r="D127" s="49" t="str">
        <f>IFERROR(__xludf.DUMMYFUNCTION("""COMPUTED_VALUE"""),"Knife")</f>
        <v>Knife</v>
      </c>
      <c r="E127" s="49">
        <f>IFERROR(__xludf.DUMMYFUNCTION("""COMPUTED_VALUE"""),200.0)</f>
        <v>200</v>
      </c>
      <c r="F127" s="112">
        <f>IFERROR(__xludf.DUMMYFUNCTION("""COMPUTED_VALUE"""),1900000.0)</f>
        <v>1900000</v>
      </c>
      <c r="G127" s="49" t="str">
        <f>IFERROR(__xludf.DUMMYFUNCTION("""COMPUTED_VALUE"""),"ATK")</f>
        <v>ATK</v>
      </c>
      <c r="H127" s="49">
        <f>IFERROR(__xludf.DUMMYFUNCTION("""COMPUTED_VALUE"""),10000.0)</f>
        <v>10000</v>
      </c>
      <c r="I127" s="49"/>
      <c r="J127" s="49"/>
      <c r="K127" s="49"/>
      <c r="L127" s="49"/>
      <c r="M127" s="49"/>
      <c r="N127" s="49"/>
      <c r="O127" s="49"/>
      <c r="P127" s="49"/>
      <c r="Q127" s="49"/>
      <c r="R127" s="49"/>
      <c r="S127" s="49"/>
      <c r="T127" s="49"/>
      <c r="U127" s="49"/>
      <c r="V127" s="49"/>
      <c r="W127" s="49"/>
      <c r="X127" s="49"/>
      <c r="Y127" s="49"/>
      <c r="Z127" s="49"/>
      <c r="AA127" s="49"/>
      <c r="AB127" s="49"/>
      <c r="AC127" s="49"/>
      <c r="AD127" s="49"/>
      <c r="AE127" s="49"/>
      <c r="AF127" s="49" t="str">
        <f>IFERROR(__xludf.DUMMYFUNCTION("""COMPUTED_VALUE"""),"++When hitting an enemy inflict them with poison 500")</f>
        <v>++When hitting an enemy inflict them with poison 500</v>
      </c>
      <c r="AG127" s="49" t="str">
        <f>IFERROR(__xludf.DUMMYFUNCTION("""COMPUTED_VALUE"""),"Land of Spira")</f>
        <v>Land of Spira</v>
      </c>
      <c r="AH127" s="49" t="b">
        <f>IFERROR(__xludf.DUMMYFUNCTION("""COMPUTED_VALUE"""),FALSE)</f>
        <v>0</v>
      </c>
    </row>
    <row r="128">
      <c r="A128" s="49" t="str">
        <f>IFERROR(__xludf.DUMMYFUNCTION("""COMPUTED_VALUE"""),"Glass Shield")</f>
        <v>Glass Shield</v>
      </c>
      <c r="B128" s="49" t="str">
        <f>IFERROR(__xludf.DUMMYFUNCTION("""COMPUTED_VALUE"""),"Hand")</f>
        <v>Hand</v>
      </c>
      <c r="C128" s="49"/>
      <c r="D128" s="49" t="str">
        <f>IFERROR(__xludf.DUMMYFUNCTION("""COMPUTED_VALUE"""),"Towershield")</f>
        <v>Towershield</v>
      </c>
      <c r="E128" s="49">
        <f>IFERROR(__xludf.DUMMYFUNCTION("""COMPUTED_VALUE"""),1000.0)</f>
        <v>1000</v>
      </c>
      <c r="F128" s="112">
        <f>IFERROR(__xludf.DUMMYFUNCTION("""COMPUTED_VALUE"""),4.95E7)</f>
        <v>49500000</v>
      </c>
      <c r="G128" s="49" t="str">
        <f>IFERROR(__xludf.DUMMYFUNCTION("""COMPUTED_VALUE"""),"DEF")</f>
        <v>DEF</v>
      </c>
      <c r="H128" s="125">
        <f>IFERROR(__xludf.DUMMYFUNCTION("""COMPUTED_VALUE"""),50000.0)</f>
        <v>50000</v>
      </c>
      <c r="I128" s="49"/>
      <c r="J128" s="49"/>
      <c r="K128" s="49"/>
      <c r="L128" s="49"/>
      <c r="M128" s="49"/>
      <c r="N128" s="49"/>
      <c r="O128" s="49"/>
      <c r="P128" s="49"/>
      <c r="Q128" s="49"/>
      <c r="R128" s="49"/>
      <c r="S128" s="49"/>
      <c r="T128" s="49"/>
      <c r="U128" s="49"/>
      <c r="V128" s="49"/>
      <c r="W128" s="49"/>
      <c r="X128" s="49"/>
      <c r="Y128" s="49"/>
      <c r="Z128" s="49"/>
      <c r="AA128" s="49"/>
      <c r="AB128" s="49"/>
      <c r="AC128" s="49"/>
      <c r="AD128" s="49"/>
      <c r="AE128" s="49"/>
      <c r="AF128" s="49" t="str">
        <f>IFERROR(__xludf.DUMMYFUNCTION("""COMPUTED_VALUE"""),"+-has a 50% chance of breaking upon taking damage")</f>
        <v>+-has a 50% chance of breaking upon taking damage</v>
      </c>
      <c r="AG128" s="49" t="str">
        <f>IFERROR(__xludf.DUMMYFUNCTION("""COMPUTED_VALUE"""),"Land of Spira")</f>
        <v>Land of Spira</v>
      </c>
      <c r="AH128" s="49" t="b">
        <f>IFERROR(__xludf.DUMMYFUNCTION("""COMPUTED_VALUE"""),FALSE)</f>
        <v>0</v>
      </c>
    </row>
    <row r="129">
      <c r="A129" s="49" t="str">
        <f>IFERROR(__xludf.DUMMYFUNCTION("""COMPUTED_VALUE"""),"Goose Staff")</f>
        <v>Goose Staff</v>
      </c>
      <c r="B129" s="49" t="str">
        <f>IFERROR(__xludf.DUMMYFUNCTION("""COMPUTED_VALUE"""),"Hand")</f>
        <v>Hand</v>
      </c>
      <c r="C129" s="49"/>
      <c r="D129" s="49" t="str">
        <f>IFERROR(__xludf.DUMMYFUNCTION("""COMPUTED_VALUE"""),"Staff")</f>
        <v>Staff</v>
      </c>
      <c r="E129" s="49">
        <f>IFERROR(__xludf.DUMMYFUNCTION("""COMPUTED_VALUE"""),1.0)</f>
        <v>1</v>
      </c>
      <c r="F129" s="112">
        <f>IFERROR(__xludf.DUMMYFUNCTION("""COMPUTED_VALUE"""),0.0)</f>
        <v>0</v>
      </c>
      <c r="G129" s="49"/>
      <c r="H129" s="49"/>
      <c r="I129" s="49"/>
      <c r="J129" s="49"/>
      <c r="K129" s="49"/>
      <c r="L129" s="49"/>
      <c r="M129" s="49"/>
      <c r="N129" s="49"/>
      <c r="O129" s="49"/>
      <c r="P129" s="49"/>
      <c r="Q129" s="49"/>
      <c r="R129" s="49"/>
      <c r="S129" s="49"/>
      <c r="T129" s="49"/>
      <c r="U129" s="49"/>
      <c r="V129" s="49"/>
      <c r="W129" s="49"/>
      <c r="X129" s="49"/>
      <c r="Y129" s="49"/>
      <c r="Z129" s="49"/>
      <c r="AA129" s="49"/>
      <c r="AB129" s="49"/>
      <c r="AC129" s="49"/>
      <c r="AD129" s="49"/>
      <c r="AE129" s="49"/>
      <c r="AF129" s="49" t="str">
        <f>IFERROR(__xludf.DUMMYFUNCTION("""COMPUTED_VALUE"""),"++Summons Lord Goose to aid you in battle, 1000 SP.")</f>
        <v>++Summons Lord Goose to aid you in battle, 1000 SP.</v>
      </c>
      <c r="AG129" s="49" t="str">
        <f>IFERROR(__xludf.DUMMYFUNCTION("""COMPUTED_VALUE"""),"Land of Spira")</f>
        <v>Land of Spira</v>
      </c>
      <c r="AH129" s="49" t="b">
        <f>IFERROR(__xludf.DUMMYFUNCTION("""COMPUTED_VALUE"""),FALSE)</f>
        <v>0</v>
      </c>
    </row>
    <row r="130">
      <c r="A130" s="49" t="str">
        <f>IFERROR(__xludf.DUMMYFUNCTION("""COMPUTED_VALUE"""),"Grand Hellfire Sword")</f>
        <v>Grand Hellfire Sword</v>
      </c>
      <c r="B130" s="49" t="str">
        <f>IFERROR(__xludf.DUMMYFUNCTION("""COMPUTED_VALUE"""),"Hand")</f>
        <v>Hand</v>
      </c>
      <c r="C130" s="49"/>
      <c r="D130" s="49" t="str">
        <f>IFERROR(__xludf.DUMMYFUNCTION("""COMPUTED_VALUE"""),"Sword")</f>
        <v>Sword</v>
      </c>
      <c r="E130" s="49">
        <f>IFERROR(__xludf.DUMMYFUNCTION("""COMPUTED_VALUE"""),200.0)</f>
        <v>200</v>
      </c>
      <c r="F130" s="112">
        <f>IFERROR(__xludf.DUMMYFUNCTION("""COMPUTED_VALUE"""),1.797E9)</f>
        <v>1797000000</v>
      </c>
      <c r="G130" s="49" t="str">
        <f>IFERROR(__xludf.DUMMYFUNCTION("""COMPUTED_VALUE"""),"DMG")</f>
        <v>DMG</v>
      </c>
      <c r="H130" s="125">
        <f>IFERROR(__xludf.DUMMYFUNCTION("""COMPUTED_VALUE"""),50000.0)</f>
        <v>50000</v>
      </c>
      <c r="I130" s="125">
        <f>IFERROR(__xludf.DUMMYFUNCTION("""COMPUTED_VALUE"""),100000.0)</f>
        <v>100000</v>
      </c>
      <c r="J130" s="49"/>
      <c r="K130" s="49"/>
      <c r="L130" s="49"/>
      <c r="M130" s="49"/>
      <c r="N130" s="49"/>
      <c r="O130" s="125">
        <f>IFERROR(__xludf.DUMMYFUNCTION("""COMPUTED_VALUE"""),50000.0)</f>
        <v>50000</v>
      </c>
      <c r="P130" s="49"/>
      <c r="Q130" s="49"/>
      <c r="R130" s="125">
        <f>IFERROR(__xludf.DUMMYFUNCTION("""COMPUTED_VALUE"""),50000.0)</f>
        <v>50000</v>
      </c>
      <c r="S130" s="49"/>
      <c r="T130" s="49"/>
      <c r="U130" s="49"/>
      <c r="V130" s="49"/>
      <c r="W130" s="49"/>
      <c r="X130" s="49"/>
      <c r="Y130" s="49"/>
      <c r="Z130" s="49"/>
      <c r="AA130" s="49"/>
      <c r="AB130" s="49"/>
      <c r="AC130" s="125">
        <f>IFERROR(__xludf.DUMMYFUNCTION("""COMPUTED_VALUE"""),50000.0)</f>
        <v>50000</v>
      </c>
      <c r="AD130" s="49"/>
      <c r="AE130" s="49"/>
      <c r="AF130" s="49"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49" t="str">
        <f>IFERROR(__xludf.DUMMYFUNCTION("""COMPUTED_VALUE"""),"Abstara")</f>
        <v>Abstara</v>
      </c>
      <c r="AH130" s="49" t="b">
        <f>IFERROR(__xludf.DUMMYFUNCTION("""COMPUTED_VALUE"""),FALSE)</f>
        <v>0</v>
      </c>
    </row>
    <row r="131">
      <c r="A131" s="49" t="str">
        <f>IFERROR(__xludf.DUMMYFUNCTION("""COMPUTED_VALUE"""),"Grand Master Bow")</f>
        <v>Grand Master Bow</v>
      </c>
      <c r="B131" s="49" t="str">
        <f>IFERROR(__xludf.DUMMYFUNCTION("""COMPUTED_VALUE"""),"Hand")</f>
        <v>Hand</v>
      </c>
      <c r="C131" s="49"/>
      <c r="D131" s="49" t="str">
        <f>IFERROR(__xludf.DUMMYFUNCTION("""COMPUTED_VALUE"""),"Bow")</f>
        <v>Bow</v>
      </c>
      <c r="E131" s="49">
        <f>IFERROR(__xludf.DUMMYFUNCTION("""COMPUTED_VALUE"""),20.0)</f>
        <v>20</v>
      </c>
      <c r="F131" s="112">
        <f>IFERROR(__xludf.DUMMYFUNCTION("""COMPUTED_VALUE"""),10000.0)</f>
        <v>10000</v>
      </c>
      <c r="G131" s="49" t="str">
        <f>IFERROR(__xludf.DUMMYFUNCTION("""COMPUTED_VALUE"""),"DMG")</f>
        <v>DMG</v>
      </c>
      <c r="H131" s="49">
        <f>IFERROR(__xludf.DUMMYFUNCTION("""COMPUTED_VALUE"""),1000.0)</f>
        <v>1000</v>
      </c>
      <c r="I131" s="49"/>
      <c r="J131" s="49"/>
      <c r="K131" s="49"/>
      <c r="L131" s="49"/>
      <c r="M131" s="49"/>
      <c r="N131" s="49"/>
      <c r="O131" s="49"/>
      <c r="P131" s="49"/>
      <c r="Q131" s="49"/>
      <c r="R131" s="49"/>
      <c r="S131" s="49"/>
      <c r="T131" s="49"/>
      <c r="U131" s="49"/>
      <c r="V131" s="49"/>
      <c r="W131" s="49"/>
      <c r="X131" s="49"/>
      <c r="Y131" s="49"/>
      <c r="Z131" s="49"/>
      <c r="AA131" s="49"/>
      <c r="AB131" s="49"/>
      <c r="AC131" s="49"/>
      <c r="AD131" s="49"/>
      <c r="AE131" s="49"/>
      <c r="AF131" s="49" t="str">
        <f>IFERROR(__xludf.DUMMYFUNCTION("""COMPUTED_VALUE"""),"++X4 additional damage towards ranged attacks. +-Only Archers can equip. +-Cannot be duplicated. ")</f>
        <v>++X4 additional damage towards ranged attacks. +-Only Archers can equip. +-Cannot be duplicated. </v>
      </c>
      <c r="AG131" s="49" t="str">
        <f>IFERROR(__xludf.DUMMYFUNCTION("""COMPUTED_VALUE"""),"Land of Spira")</f>
        <v>Land of Spira</v>
      </c>
      <c r="AH131" s="49" t="b">
        <f>IFERROR(__xludf.DUMMYFUNCTION("""COMPUTED_VALUE"""),FALSE)</f>
        <v>0</v>
      </c>
    </row>
    <row r="132">
      <c r="A132" s="49" t="str">
        <f>IFERROR(__xludf.DUMMYFUNCTION("""COMPUTED_VALUE"""),"Grass Sword")</f>
        <v>Grass Sword</v>
      </c>
      <c r="B132" s="49" t="str">
        <f>IFERROR(__xludf.DUMMYFUNCTION("""COMPUTED_VALUE"""),"Hand")</f>
        <v>Hand</v>
      </c>
      <c r="C132" s="49" t="str">
        <f>IFERROR(__xludf.DUMMYFUNCTION("""COMPUTED_VALUE"""),"A strong grass entity in the form of a sword")</f>
        <v>A strong grass entity in the form of a sword</v>
      </c>
      <c r="D132" s="49" t="str">
        <f>IFERROR(__xludf.DUMMYFUNCTION("""COMPUTED_VALUE"""),"Sword")</f>
        <v>Sword</v>
      </c>
      <c r="E132" s="49">
        <f>IFERROR(__xludf.DUMMYFUNCTION("""COMPUTED_VALUE"""),1.0)</f>
        <v>1</v>
      </c>
      <c r="F132" s="112">
        <f>IFERROR(__xludf.DUMMYFUNCTION("""COMPUTED_VALUE"""),0.0)</f>
        <v>0</v>
      </c>
      <c r="G132" s="49" t="str">
        <f>IFERROR(__xludf.DUMMYFUNCTION("""COMPUTED_VALUE"""),"DMG")</f>
        <v>DMG</v>
      </c>
      <c r="H132" s="49">
        <f>IFERROR(__xludf.DUMMYFUNCTION("""COMPUTED_VALUE"""),250.0)</f>
        <v>250</v>
      </c>
      <c r="I132" s="49"/>
      <c r="J132" s="49"/>
      <c r="K132" s="49"/>
      <c r="L132" s="49"/>
      <c r="M132" s="49"/>
      <c r="N132" s="49"/>
      <c r="O132" s="49"/>
      <c r="P132" s="49"/>
      <c r="Q132" s="49"/>
      <c r="R132" s="49"/>
      <c r="S132" s="49"/>
      <c r="T132" s="49"/>
      <c r="U132" s="49"/>
      <c r="V132" s="49"/>
      <c r="W132" s="49"/>
      <c r="X132" s="49"/>
      <c r="Y132" s="49"/>
      <c r="Z132" s="49"/>
      <c r="AA132" s="49"/>
      <c r="AB132" s="49"/>
      <c r="AC132" s="49"/>
      <c r="AD132" s="49"/>
      <c r="AE132" s="49"/>
      <c r="AF132" s="49"/>
      <c r="AG132" s="49" t="str">
        <f>IFERROR(__xludf.DUMMYFUNCTION("""COMPUTED_VALUE"""),"Land of Spira")</f>
        <v>Land of Spira</v>
      </c>
      <c r="AH132" s="49" t="b">
        <f>IFERROR(__xludf.DUMMYFUNCTION("""COMPUTED_VALUE"""),FALSE)</f>
        <v>0</v>
      </c>
    </row>
    <row r="133">
      <c r="A133" s="49" t="str">
        <f>IFERROR(__xludf.DUMMYFUNCTION("""COMPUTED_VALUE"""),"Great Stone Gargoyle Sword")</f>
        <v>Great Stone Gargoyle Sword</v>
      </c>
      <c r="B133" s="49" t="str">
        <f>IFERROR(__xludf.DUMMYFUNCTION("""COMPUTED_VALUE"""),"Hand")</f>
        <v>Hand</v>
      </c>
      <c r="C133" s="49"/>
      <c r="D133" s="49" t="str">
        <f>IFERROR(__xludf.DUMMYFUNCTION("""COMPUTED_VALUE"""),"Sword")</f>
        <v>Sword</v>
      </c>
      <c r="E133" s="49">
        <f>IFERROR(__xludf.DUMMYFUNCTION("""COMPUTED_VALUE"""),4000.0)</f>
        <v>4000</v>
      </c>
      <c r="F133" s="112">
        <f>IFERROR(__xludf.DUMMYFUNCTION("""COMPUTED_VALUE"""),7.98E8)</f>
        <v>798000000</v>
      </c>
      <c r="G133" s="49" t="str">
        <f>IFERROR(__xludf.DUMMYFUNCTION("""COMPUTED_VALUE"""),"DMG")</f>
        <v>DMG</v>
      </c>
      <c r="H133" s="125">
        <f>IFERROR(__xludf.DUMMYFUNCTION("""COMPUTED_VALUE"""),100000.0)</f>
        <v>100000</v>
      </c>
      <c r="I133" s="49"/>
      <c r="J133" s="49"/>
      <c r="K133" s="49"/>
      <c r="L133" s="49"/>
      <c r="M133" s="125">
        <f>IFERROR(__xludf.DUMMYFUNCTION("""COMPUTED_VALUE"""),100000.0)</f>
        <v>100000</v>
      </c>
      <c r="N133" s="49"/>
      <c r="O133" s="49"/>
      <c r="P133" s="49"/>
      <c r="Q133" s="49"/>
      <c r="R133" s="49"/>
      <c r="S133" s="49"/>
      <c r="T133" s="49"/>
      <c r="U133" s="49"/>
      <c r="V133" s="49"/>
      <c r="W133" s="49"/>
      <c r="X133" s="49"/>
      <c r="Y133" s="49"/>
      <c r="Z133" s="49"/>
      <c r="AA133" s="49"/>
      <c r="AB133" s="49"/>
      <c r="AC133" s="49"/>
      <c r="AD133" s="49"/>
      <c r="AE133" s="49"/>
      <c r="AF133" s="49" t="str">
        <f>IFERROR(__xludf.DUMMYFUNCTION("""COMPUTED_VALUE"""),"++When this weapon is equipped the wielder gets X2 Attack and Defence, +-Cannot be duplicated.")</f>
        <v>++When this weapon is equipped the wielder gets X2 Attack and Defence, +-Cannot be duplicated.</v>
      </c>
      <c r="AG133" s="49" t="str">
        <f>IFERROR(__xludf.DUMMYFUNCTION("""COMPUTED_VALUE"""),"Abstara")</f>
        <v>Abstara</v>
      </c>
      <c r="AH133" s="49" t="b">
        <f>IFERROR(__xludf.DUMMYFUNCTION("""COMPUTED_VALUE"""),FALSE)</f>
        <v>0</v>
      </c>
    </row>
    <row r="134">
      <c r="A134" s="49" t="str">
        <f>IFERROR(__xludf.DUMMYFUNCTION("""COMPUTED_VALUE"""),"Greaves of The Sea Serpent")</f>
        <v>Greaves of The Sea Serpent</v>
      </c>
      <c r="B134" s="49" t="str">
        <f>IFERROR(__xludf.DUMMYFUNCTION("""COMPUTED_VALUE"""),"Legs")</f>
        <v>Legs</v>
      </c>
      <c r="C134" s="49"/>
      <c r="D134" s="49"/>
      <c r="E134" s="49">
        <f>IFERROR(__xludf.DUMMYFUNCTION("""COMPUTED_VALUE"""),100.0)</f>
        <v>100</v>
      </c>
      <c r="F134" s="112">
        <f>IFERROR(__xludf.DUMMYFUNCTION("""COMPUTED_VALUE"""),450000.0)</f>
        <v>450000</v>
      </c>
      <c r="G134" s="49" t="str">
        <f>IFERROR(__xludf.DUMMYFUNCTION("""COMPUTED_VALUE"""),"DEF")</f>
        <v>DEF</v>
      </c>
      <c r="H134" s="49">
        <f>IFERROR(__xludf.DUMMYFUNCTION("""COMPUTED_VALUE"""),2500.0)</f>
        <v>2500</v>
      </c>
      <c r="I134" s="49"/>
      <c r="J134" s="49"/>
      <c r="K134" s="49">
        <f>IFERROR(__xludf.DUMMYFUNCTION("""COMPUTED_VALUE"""),2500.0)</f>
        <v>2500</v>
      </c>
      <c r="L134" s="49"/>
      <c r="M134" s="49"/>
      <c r="N134" s="49"/>
      <c r="O134" s="49"/>
      <c r="P134" s="49"/>
      <c r="Q134" s="49"/>
      <c r="R134" s="49"/>
      <c r="S134" s="49"/>
      <c r="T134" s="49"/>
      <c r="U134" s="49"/>
      <c r="V134" s="49"/>
      <c r="W134" s="49"/>
      <c r="X134" s="49"/>
      <c r="Y134" s="49"/>
      <c r="Z134" s="49"/>
      <c r="AA134" s="49"/>
      <c r="AB134" s="49"/>
      <c r="AC134" s="49"/>
      <c r="AD134" s="49"/>
      <c r="AE134" s="49"/>
      <c r="AF134" s="49" t="str">
        <f>IFERROR(__xludf.DUMMYFUNCTION("""COMPUTED_VALUE"""),"++X2 additional water damage for self.")</f>
        <v>++X2 additional water damage for self.</v>
      </c>
      <c r="AG134" s="49"/>
      <c r="AH134" s="49" t="b">
        <f>IFERROR(__xludf.DUMMYFUNCTION("""COMPUTED_VALUE"""),FALSE)</f>
        <v>0</v>
      </c>
    </row>
    <row r="135">
      <c r="A135" s="49" t="str">
        <f>IFERROR(__xludf.DUMMYFUNCTION("""COMPUTED_VALUE"""),"Greaves of Waking Waters")</f>
        <v>Greaves of Waking Waters</v>
      </c>
      <c r="B135" s="49" t="str">
        <f>IFERROR(__xludf.DUMMYFUNCTION("""COMPUTED_VALUE"""),"Legs")</f>
        <v>Legs</v>
      </c>
      <c r="C135" s="49"/>
      <c r="D135" s="49"/>
      <c r="E135" s="49">
        <f>IFERROR(__xludf.DUMMYFUNCTION("""COMPUTED_VALUE"""),200.0)</f>
        <v>200</v>
      </c>
      <c r="F135" s="112">
        <f>IFERROR(__xludf.DUMMYFUNCTION("""COMPUTED_VALUE"""),1900000.0)</f>
        <v>1900000</v>
      </c>
      <c r="G135" s="49" t="str">
        <f>IFERROR(__xludf.DUMMYFUNCTION("""COMPUTED_VALUE"""),"DEF")</f>
        <v>DEF</v>
      </c>
      <c r="H135" s="49">
        <f>IFERROR(__xludf.DUMMYFUNCTION("""COMPUTED_VALUE"""),5000.0)</f>
        <v>5000</v>
      </c>
      <c r="I135" s="49"/>
      <c r="J135" s="49"/>
      <c r="K135" s="49">
        <f>IFERROR(__xludf.DUMMYFUNCTION("""COMPUTED_VALUE"""),5000.0)</f>
        <v>5000</v>
      </c>
      <c r="L135" s="49"/>
      <c r="M135" s="49"/>
      <c r="N135" s="49"/>
      <c r="O135" s="49"/>
      <c r="P135" s="49"/>
      <c r="Q135" s="49"/>
      <c r="R135" s="49"/>
      <c r="S135" s="49"/>
      <c r="T135" s="49"/>
      <c r="U135" s="49"/>
      <c r="V135" s="49"/>
      <c r="W135" s="49"/>
      <c r="X135" s="49"/>
      <c r="Y135" s="49"/>
      <c r="Z135" s="49"/>
      <c r="AA135" s="49"/>
      <c r="AB135" s="49"/>
      <c r="AC135" s="49"/>
      <c r="AD135" s="49"/>
      <c r="AE135" s="49"/>
      <c r="AF135" s="49" t="str">
        <f>IFERROR(__xludf.DUMMYFUNCTION("""COMPUTED_VALUE"""),"++X4 additional water damage for self.")</f>
        <v>++X4 additional water damage for self.</v>
      </c>
      <c r="AG135" s="49"/>
      <c r="AH135" s="49" t="b">
        <f>IFERROR(__xludf.DUMMYFUNCTION("""COMPUTED_VALUE"""),FALSE)</f>
        <v>0</v>
      </c>
    </row>
    <row r="136">
      <c r="A136" s="49" t="str">
        <f>IFERROR(__xludf.DUMMYFUNCTION("""COMPUTED_VALUE"""),"Halloween Staff")</f>
        <v>Halloween Staff</v>
      </c>
      <c r="B136" s="49" t="str">
        <f>IFERROR(__xludf.DUMMYFUNCTION("""COMPUTED_VALUE"""),"Hand")</f>
        <v>Hand</v>
      </c>
      <c r="C136" s="49" t="str">
        <f>IFERROR(__xludf.DUMMYFUNCTION("""COMPUTED_VALUE"""),"Halloween exclusive")</f>
        <v>Halloween exclusive</v>
      </c>
      <c r="D136" s="49" t="str">
        <f>IFERROR(__xludf.DUMMYFUNCTION("""COMPUTED_VALUE"""),"Staff")</f>
        <v>Staff</v>
      </c>
      <c r="E136" s="49">
        <f>IFERROR(__xludf.DUMMYFUNCTION("""COMPUTED_VALUE"""),1.0)</f>
        <v>1</v>
      </c>
      <c r="F136" s="112">
        <f>IFERROR(__xludf.DUMMYFUNCTION("""COMPUTED_VALUE"""),0.0)</f>
        <v>0</v>
      </c>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t="str">
        <f>IFERROR(__xludf.DUMMYFUNCTION("""COMPUTED_VALUE"""),"++Transform into the Headless Horseman for 3 rounds.")</f>
        <v>++Transform into the Headless Horseman for 3 rounds.</v>
      </c>
      <c r="AG136" s="49" t="str">
        <f>IFERROR(__xludf.DUMMYFUNCTION("""COMPUTED_VALUE"""),"Halloween Kingdom")</f>
        <v>Halloween Kingdom</v>
      </c>
      <c r="AH136" s="49" t="b">
        <f>IFERROR(__xludf.DUMMYFUNCTION("""COMPUTED_VALUE"""),FALSE)</f>
        <v>0</v>
      </c>
    </row>
    <row r="137">
      <c r="A137" s="49" t="str">
        <f>IFERROR(__xludf.DUMMYFUNCTION("""COMPUTED_VALUE"""),"Hammer of Chaotic Shadows")</f>
        <v>Hammer of Chaotic Shadows</v>
      </c>
      <c r="B137" s="49" t="str">
        <f>IFERROR(__xludf.DUMMYFUNCTION("""COMPUTED_VALUE"""),"Hand")</f>
        <v>Hand</v>
      </c>
      <c r="C137" s="49"/>
      <c r="D137" s="49" t="str">
        <f>IFERROR(__xludf.DUMMYFUNCTION("""COMPUTED_VALUE"""),"Club")</f>
        <v>Club</v>
      </c>
      <c r="E137" s="49">
        <f>IFERROR(__xludf.DUMMYFUNCTION("""COMPUTED_VALUE"""),300.0)</f>
        <v>300</v>
      </c>
      <c r="F137" s="112">
        <f>IFERROR(__xludf.DUMMYFUNCTION("""COMPUTED_VALUE"""),4350000.0)</f>
        <v>4350000</v>
      </c>
      <c r="G137" s="49" t="str">
        <f>IFERROR(__xludf.DUMMYFUNCTION("""COMPUTED_VALUE"""),"DMG")</f>
        <v>DMG</v>
      </c>
      <c r="H137" s="49">
        <f>IFERROR(__xludf.DUMMYFUNCTION("""COMPUTED_VALUE"""),5000.0)</f>
        <v>5000</v>
      </c>
      <c r="I137" s="49"/>
      <c r="J137" s="49"/>
      <c r="K137" s="49"/>
      <c r="L137" s="49"/>
      <c r="M137" s="49"/>
      <c r="N137" s="49"/>
      <c r="O137" s="49">
        <f>IFERROR(__xludf.DUMMYFUNCTION("""COMPUTED_VALUE"""),5000.0)</f>
        <v>5000</v>
      </c>
      <c r="P137" s="49"/>
      <c r="Q137" s="49"/>
      <c r="R137" s="49">
        <f>IFERROR(__xludf.DUMMYFUNCTION("""COMPUTED_VALUE"""),5000.0)</f>
        <v>5000</v>
      </c>
      <c r="S137" s="49"/>
      <c r="T137" s="49"/>
      <c r="U137" s="49"/>
      <c r="V137" s="49"/>
      <c r="W137" s="49"/>
      <c r="X137" s="49"/>
      <c r="Y137" s="49"/>
      <c r="Z137" s="49"/>
      <c r="AA137" s="49"/>
      <c r="AB137" s="49"/>
      <c r="AC137" s="49"/>
      <c r="AD137" s="49"/>
      <c r="AE137" s="49"/>
      <c r="AF137" s="49" t="str">
        <f>IFERROR(__xludf.DUMMYFUNCTION("""COMPUTED_VALUE"""),"++X2 Additional Dark and Chaos Damage. ")</f>
        <v>++X2 Additional Dark and Chaos Damage. </v>
      </c>
      <c r="AG137" s="49" t="str">
        <f>IFERROR(__xludf.DUMMYFUNCTION("""COMPUTED_VALUE"""),"Land of Spira")</f>
        <v>Land of Spira</v>
      </c>
      <c r="AH137" s="49" t="b">
        <f>IFERROR(__xludf.DUMMYFUNCTION("""COMPUTED_VALUE"""),FALSE)</f>
        <v>0</v>
      </c>
    </row>
    <row r="138">
      <c r="A138" s="49" t="str">
        <f>IFERROR(__xludf.DUMMYFUNCTION("""COMPUTED_VALUE"""),"Hardened Ice Sickle")</f>
        <v>Hardened Ice Sickle</v>
      </c>
      <c r="B138" s="49" t="str">
        <f>IFERROR(__xludf.DUMMYFUNCTION("""COMPUTED_VALUE"""),"Hand")</f>
        <v>Hand</v>
      </c>
      <c r="C138" s="49" t="str">
        <f>IFERROR(__xludf.DUMMYFUNCTION("""COMPUTED_VALUE"""),"Event Exclusive")</f>
        <v>Event Exclusive</v>
      </c>
      <c r="D138" s="49" t="str">
        <f>IFERROR(__xludf.DUMMYFUNCTION("""COMPUTED_VALUE"""),"Knife")</f>
        <v>Knife</v>
      </c>
      <c r="E138" s="49">
        <f>IFERROR(__xludf.DUMMYFUNCTION("""COMPUTED_VALUE"""),200.0)</f>
        <v>200</v>
      </c>
      <c r="F138" s="112">
        <f>IFERROR(__xludf.DUMMYFUNCTION("""COMPUTED_VALUE"""),1900000.0)</f>
        <v>1900000</v>
      </c>
      <c r="G138" s="49" t="str">
        <f>IFERROR(__xludf.DUMMYFUNCTION("""COMPUTED_VALUE"""),"DMG")</f>
        <v>DMG</v>
      </c>
      <c r="H138" s="49">
        <f>IFERROR(__xludf.DUMMYFUNCTION("""COMPUTED_VALUE"""),5000.0)</f>
        <v>5000</v>
      </c>
      <c r="I138" s="49"/>
      <c r="J138" s="49"/>
      <c r="K138" s="49">
        <f>IFERROR(__xludf.DUMMYFUNCTION("""COMPUTED_VALUE"""),5000.0)</f>
        <v>5000</v>
      </c>
      <c r="L138" s="49"/>
      <c r="M138" s="49"/>
      <c r="N138" s="49"/>
      <c r="O138" s="49"/>
      <c r="P138" s="49"/>
      <c r="Q138" s="49"/>
      <c r="R138" s="49"/>
      <c r="S138" s="49"/>
      <c r="T138" s="49"/>
      <c r="U138" s="49"/>
      <c r="V138" s="49"/>
      <c r="W138" s="49"/>
      <c r="X138" s="49"/>
      <c r="Y138" s="49"/>
      <c r="Z138" s="49"/>
      <c r="AA138" s="49"/>
      <c r="AB138" s="49"/>
      <c r="AC138" s="49"/>
      <c r="AD138" s="49"/>
      <c r="AE138" s="49"/>
      <c r="AF138" s="49" t="str">
        <f>IFERROR(__xludf.DUMMYFUNCTION("""COMPUTED_VALUE"""),"++75% chance to freeze the target.")</f>
        <v>++75% chance to freeze the target.</v>
      </c>
      <c r="AG138" s="49" t="str">
        <f>IFERROR(__xludf.DUMMYFUNCTION("""COMPUTED_VALUE"""),"Land of Spira")</f>
        <v>Land of Spira</v>
      </c>
      <c r="AH138" s="49" t="b">
        <f>IFERROR(__xludf.DUMMYFUNCTION("""COMPUTED_VALUE"""),TRUE)</f>
        <v>1</v>
      </c>
    </row>
    <row r="139">
      <c r="A139" s="49" t="str">
        <f>IFERROR(__xludf.DUMMYFUNCTION("""COMPUTED_VALUE"""),"Haunted Katana")</f>
        <v>Haunted Katana</v>
      </c>
      <c r="B139" s="49" t="str">
        <f>IFERROR(__xludf.DUMMYFUNCTION("""COMPUTED_VALUE"""),"Hand")</f>
        <v>Hand</v>
      </c>
      <c r="C139" s="49"/>
      <c r="D139" s="49" t="str">
        <f>IFERROR(__xludf.DUMMYFUNCTION("""COMPUTED_VALUE"""),"Sword")</f>
        <v>Sword</v>
      </c>
      <c r="E139" s="49">
        <f>IFERROR(__xludf.DUMMYFUNCTION("""COMPUTED_VALUE"""),600.0)</f>
        <v>600</v>
      </c>
      <c r="F139" s="112">
        <f>IFERROR(__xludf.DUMMYFUNCTION("""COMPUTED_VALUE"""),1.77E7)</f>
        <v>17700000</v>
      </c>
      <c r="G139" s="49" t="str">
        <f>IFERROR(__xludf.DUMMYFUNCTION("""COMPUTED_VALUE"""),"DMG")</f>
        <v>DMG</v>
      </c>
      <c r="H139" s="125">
        <f>IFERROR(__xludf.DUMMYFUNCTION("""COMPUTED_VALUE"""),10000.0)</f>
        <v>10000</v>
      </c>
      <c r="I139" s="49"/>
      <c r="J139" s="49"/>
      <c r="K139" s="49"/>
      <c r="L139" s="49"/>
      <c r="M139" s="49"/>
      <c r="N139" s="49"/>
      <c r="O139" s="125">
        <f>IFERROR(__xludf.DUMMYFUNCTION("""COMPUTED_VALUE"""),10000.0)</f>
        <v>10000</v>
      </c>
      <c r="P139" s="125">
        <f>IFERROR(__xludf.DUMMYFUNCTION("""COMPUTED_VALUE"""),10000.0)</f>
        <v>10000</v>
      </c>
      <c r="Q139" s="49"/>
      <c r="R139" s="49"/>
      <c r="S139" s="49"/>
      <c r="T139" s="49"/>
      <c r="U139" s="49"/>
      <c r="V139" s="49"/>
      <c r="W139" s="49"/>
      <c r="X139" s="49"/>
      <c r="Y139" s="49"/>
      <c r="Z139" s="49"/>
      <c r="AA139" s="49"/>
      <c r="AB139" s="49"/>
      <c r="AC139" s="49"/>
      <c r="AD139" s="49"/>
      <c r="AE139" s="49"/>
      <c r="AF139" s="49" t="str">
        <f>IFERROR(__xludf.DUMMYFUNCTION("""COMPUTED_VALUE"""),"+-You go last during the turn order in battle.. ")</f>
        <v>+-You go last during the turn order in battle.. </v>
      </c>
      <c r="AG139" s="49" t="str">
        <f>IFERROR(__xludf.DUMMYFUNCTION("""COMPUTED_VALUE"""),"Land of Spira")</f>
        <v>Land of Spira</v>
      </c>
      <c r="AH139" s="49" t="b">
        <f>IFERROR(__xludf.DUMMYFUNCTION("""COMPUTED_VALUE"""),FALSE)</f>
        <v>0</v>
      </c>
    </row>
    <row r="140">
      <c r="A140" s="49" t="str">
        <f>IFERROR(__xludf.DUMMYFUNCTION("""COMPUTED_VALUE"""),"Haunted King's Favorite Shield")</f>
        <v>Haunted King's Favorite Shield</v>
      </c>
      <c r="B140" s="49" t="str">
        <f>IFERROR(__xludf.DUMMYFUNCTION("""COMPUTED_VALUE"""),"Hand")</f>
        <v>Hand</v>
      </c>
      <c r="C140" s="49" t="str">
        <f>IFERROR(__xludf.DUMMYFUNCTION("""COMPUTED_VALUE"""),"Halloween exclusive")</f>
        <v>Halloween exclusive</v>
      </c>
      <c r="D140" s="49" t="str">
        <f>IFERROR(__xludf.DUMMYFUNCTION("""COMPUTED_VALUE"""),"Towershield")</f>
        <v>Towershield</v>
      </c>
      <c r="E140" s="49">
        <f>IFERROR(__xludf.DUMMYFUNCTION("""COMPUTED_VALUE"""),20.0)</f>
        <v>20</v>
      </c>
      <c r="F140" s="112">
        <f>IFERROR(__xludf.DUMMYFUNCTION("""COMPUTED_VALUE"""),10000.0)</f>
        <v>10000</v>
      </c>
      <c r="G140" s="49" t="str">
        <f>IFERROR(__xludf.DUMMYFUNCTION("""COMPUTED_VALUE"""),"DEF")</f>
        <v>DEF</v>
      </c>
      <c r="H140" s="49">
        <f>IFERROR(__xludf.DUMMYFUNCTION("""COMPUTED_VALUE"""),1000.0)</f>
        <v>1000</v>
      </c>
      <c r="I140" s="49"/>
      <c r="J140" s="49"/>
      <c r="K140" s="49"/>
      <c r="L140" s="49"/>
      <c r="M140" s="49"/>
      <c r="N140" s="49"/>
      <c r="O140" s="49"/>
      <c r="P140" s="49"/>
      <c r="Q140" s="49"/>
      <c r="R140" s="49"/>
      <c r="S140" s="49"/>
      <c r="T140" s="49"/>
      <c r="U140" s="49"/>
      <c r="V140" s="49"/>
      <c r="W140" s="49"/>
      <c r="X140" s="49"/>
      <c r="Y140" s="49"/>
      <c r="Z140" s="49"/>
      <c r="AA140" s="49"/>
      <c r="AB140" s="49"/>
      <c r="AC140" s="49"/>
      <c r="AD140" s="49"/>
      <c r="AE140" s="49"/>
      <c r="AF140" s="49" t="str">
        <f>IFERROR(__xludf.DUMMYFUNCTION("""COMPUTED_VALUE"""),"++Great Block - When attacked you will take no damage until your next turn, Costs All SP and sets Users HP to 1.")</f>
        <v>++Great Block - When attacked you will take no damage until your next turn, Costs All SP and sets Users HP to 1.</v>
      </c>
      <c r="AG140" s="49" t="str">
        <f>IFERROR(__xludf.DUMMYFUNCTION("""COMPUTED_VALUE"""),"Land of Spira")</f>
        <v>Land of Spira</v>
      </c>
      <c r="AH140" s="49" t="b">
        <f>IFERROR(__xludf.DUMMYFUNCTION("""COMPUTED_VALUE"""),FALSE)</f>
        <v>0</v>
      </c>
    </row>
    <row r="141">
      <c r="A141" s="49" t="str">
        <f>IFERROR(__xludf.DUMMYFUNCTION("""COMPUTED_VALUE"""),"Haunted King's Favorite Sword")</f>
        <v>Haunted King's Favorite Sword</v>
      </c>
      <c r="B141" s="49" t="str">
        <f>IFERROR(__xludf.DUMMYFUNCTION("""COMPUTED_VALUE"""),"Hand")</f>
        <v>Hand</v>
      </c>
      <c r="C141" s="49" t="str">
        <f>IFERROR(__xludf.DUMMYFUNCTION("""COMPUTED_VALUE"""),"Halloween exclusive")</f>
        <v>Halloween exclusive</v>
      </c>
      <c r="D141" s="49" t="str">
        <f>IFERROR(__xludf.DUMMYFUNCTION("""COMPUTED_VALUE"""),"Sword")</f>
        <v>Sword</v>
      </c>
      <c r="E141" s="49">
        <f>IFERROR(__xludf.DUMMYFUNCTION("""COMPUTED_VALUE"""),60.0)</f>
        <v>60</v>
      </c>
      <c r="F141" s="112">
        <f>IFERROR(__xludf.DUMMYFUNCTION("""COMPUTED_VALUE"""),150000.0)</f>
        <v>150000</v>
      </c>
      <c r="G141" s="49" t="str">
        <f>IFERROR(__xludf.DUMMYFUNCTION("""COMPUTED_VALUE"""),"DMG")</f>
        <v>DMG</v>
      </c>
      <c r="H141" s="49">
        <f>IFERROR(__xludf.DUMMYFUNCTION("""COMPUTED_VALUE"""),3000.0)</f>
        <v>3000</v>
      </c>
      <c r="I141" s="49"/>
      <c r="J141" s="49"/>
      <c r="K141" s="49"/>
      <c r="L141" s="49"/>
      <c r="M141" s="49"/>
      <c r="N141" s="49"/>
      <c r="O141" s="49"/>
      <c r="P141" s="49"/>
      <c r="Q141" s="49"/>
      <c r="R141" s="49"/>
      <c r="S141" s="49"/>
      <c r="T141" s="49"/>
      <c r="U141" s="49"/>
      <c r="V141" s="49"/>
      <c r="W141" s="49"/>
      <c r="X141" s="49"/>
      <c r="Y141" s="49"/>
      <c r="Z141" s="49"/>
      <c r="AA141" s="49"/>
      <c r="AB141" s="49"/>
      <c r="AC141" s="49"/>
      <c r="AD141" s="49"/>
      <c r="AE141" s="49"/>
      <c r="AF141" s="49"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49" t="str">
        <f>IFERROR(__xludf.DUMMYFUNCTION("""COMPUTED_VALUE"""),"Land of Spira")</f>
        <v>Land of Spira</v>
      </c>
      <c r="AH141" s="49" t="b">
        <f>IFERROR(__xludf.DUMMYFUNCTION("""COMPUTED_VALUE"""),FALSE)</f>
        <v>0</v>
      </c>
    </row>
    <row r="142">
      <c r="A142" s="49" t="str">
        <f>IFERROR(__xludf.DUMMYFUNCTION("""COMPUTED_VALUE"""),"Heatmore Flame Golem Head")</f>
        <v>Heatmore Flame Golem Head</v>
      </c>
      <c r="B142" s="49" t="str">
        <f>IFERROR(__xludf.DUMMYFUNCTION("""COMPUTED_VALUE"""),"Head")</f>
        <v>Head</v>
      </c>
      <c r="C142" s="49"/>
      <c r="D142" s="49"/>
      <c r="E142" s="49">
        <f>IFERROR(__xludf.DUMMYFUNCTION("""COMPUTED_VALUE"""),300.0)</f>
        <v>300</v>
      </c>
      <c r="F142" s="112">
        <f>IFERROR(__xludf.DUMMYFUNCTION("""COMPUTED_VALUE"""),4350000.0)</f>
        <v>4350000</v>
      </c>
      <c r="G142" s="49" t="str">
        <f>IFERROR(__xludf.DUMMYFUNCTION("""COMPUTED_VALUE"""),"DEF")</f>
        <v>DEF</v>
      </c>
      <c r="H142" s="49">
        <f>IFERROR(__xludf.DUMMYFUNCTION("""COMPUTED_VALUE"""),5000.0)</f>
        <v>5000</v>
      </c>
      <c r="I142" s="49">
        <f>IFERROR(__xludf.DUMMYFUNCTION("""COMPUTED_VALUE"""),5000.0)</f>
        <v>5000</v>
      </c>
      <c r="J142" s="49"/>
      <c r="K142" s="49"/>
      <c r="L142" s="49"/>
      <c r="M142" s="49">
        <f>IFERROR(__xludf.DUMMYFUNCTION("""COMPUTED_VALUE"""),5000.0)</f>
        <v>5000</v>
      </c>
      <c r="N142" s="49"/>
      <c r="O142" s="49"/>
      <c r="P142" s="49"/>
      <c r="Q142" s="49"/>
      <c r="R142" s="49"/>
      <c r="S142" s="49"/>
      <c r="T142" s="49"/>
      <c r="U142" s="49"/>
      <c r="V142" s="49"/>
      <c r="W142" s="49"/>
      <c r="X142" s="49"/>
      <c r="Y142" s="49"/>
      <c r="Z142" s="49"/>
      <c r="AA142" s="49"/>
      <c r="AB142" s="49"/>
      <c r="AC142" s="49"/>
      <c r="AD142" s="49"/>
      <c r="AE142" s="49"/>
      <c r="AF142" s="49" t="str">
        <f>IFERROR(__xludf.DUMMYFUNCTION("""COMPUTED_VALUE"""),"++X2 additional Earth and Fire Resistance.")</f>
        <v>++X2 additional Earth and Fire Resistance.</v>
      </c>
      <c r="AG142" s="49" t="str">
        <f>IFERROR(__xludf.DUMMYFUNCTION("""COMPUTED_VALUE"""),"Land of Spira")</f>
        <v>Land of Spira</v>
      </c>
      <c r="AH142" s="49" t="b">
        <f>IFERROR(__xludf.DUMMYFUNCTION("""COMPUTED_VALUE"""),FALSE)</f>
        <v>0</v>
      </c>
    </row>
    <row r="143">
      <c r="A143" s="49" t="str">
        <f>IFERROR(__xludf.DUMMYFUNCTION("""COMPUTED_VALUE"""),"Helmet of Darkness")</f>
        <v>Helmet of Darkness</v>
      </c>
      <c r="B143" s="49" t="str">
        <f>IFERROR(__xludf.DUMMYFUNCTION("""COMPUTED_VALUE"""),"Head")</f>
        <v>Head</v>
      </c>
      <c r="C143" s="49"/>
      <c r="D143" s="49"/>
      <c r="E143" s="49">
        <f>IFERROR(__xludf.DUMMYFUNCTION("""COMPUTED_VALUE"""),400.0)</f>
        <v>400</v>
      </c>
      <c r="F143" s="112">
        <f>IFERROR(__xludf.DUMMYFUNCTION("""COMPUTED_VALUE"""),7800000.0)</f>
        <v>7800000</v>
      </c>
      <c r="G143" s="49" t="str">
        <f>IFERROR(__xludf.DUMMYFUNCTION("""COMPUTED_VALUE"""),"DEF")</f>
        <v>DEF</v>
      </c>
      <c r="H143" s="125">
        <f>IFERROR(__xludf.DUMMYFUNCTION("""COMPUTED_VALUE"""),10000.0)</f>
        <v>10000</v>
      </c>
      <c r="I143" s="49"/>
      <c r="J143" s="49"/>
      <c r="K143" s="49"/>
      <c r="L143" s="49"/>
      <c r="M143" s="49"/>
      <c r="N143" s="49"/>
      <c r="O143" s="125">
        <f>IFERROR(__xludf.DUMMYFUNCTION("""COMPUTED_VALUE"""),10000.0)</f>
        <v>10000</v>
      </c>
      <c r="P143" s="49"/>
      <c r="Q143" s="49"/>
      <c r="R143" s="49"/>
      <c r="S143" s="49"/>
      <c r="T143" s="49"/>
      <c r="U143" s="49"/>
      <c r="V143" s="49"/>
      <c r="W143" s="49"/>
      <c r="X143" s="49"/>
      <c r="Y143" s="49"/>
      <c r="Z143" s="49"/>
      <c r="AA143" s="49"/>
      <c r="AB143" s="49"/>
      <c r="AC143" s="49"/>
      <c r="AD143" s="49"/>
      <c r="AE143" s="49"/>
      <c r="AF143" s="49" t="str">
        <f>IFERROR(__xludf.DUMMYFUNCTION("""COMPUTED_VALUE"""),"++Immunity to Dark damage.")</f>
        <v>++Immunity to Dark damage.</v>
      </c>
      <c r="AG143" s="49" t="str">
        <f>IFERROR(__xludf.DUMMYFUNCTION("""COMPUTED_VALUE"""),"Land of Spira")</f>
        <v>Land of Spira</v>
      </c>
      <c r="AH143" s="49" t="b">
        <f>IFERROR(__xludf.DUMMYFUNCTION("""COMPUTED_VALUE"""),FALSE)</f>
        <v>0</v>
      </c>
    </row>
    <row r="144">
      <c r="A144" s="49" t="str">
        <f>IFERROR(__xludf.DUMMYFUNCTION("""COMPUTED_VALUE"""),"Helmet of Waking Waters")</f>
        <v>Helmet of Waking Waters</v>
      </c>
      <c r="B144" s="49" t="str">
        <f>IFERROR(__xludf.DUMMYFUNCTION("""COMPUTED_VALUE"""),"Head")</f>
        <v>Head</v>
      </c>
      <c r="C144" s="49"/>
      <c r="D144" s="49"/>
      <c r="E144" s="49">
        <f>IFERROR(__xludf.DUMMYFUNCTION("""COMPUTED_VALUE"""),200.0)</f>
        <v>200</v>
      </c>
      <c r="F144" s="112">
        <f>IFERROR(__xludf.DUMMYFUNCTION("""COMPUTED_VALUE"""),1900000.0)</f>
        <v>1900000</v>
      </c>
      <c r="G144" s="49" t="str">
        <f>IFERROR(__xludf.DUMMYFUNCTION("""COMPUTED_VALUE"""),"DEF")</f>
        <v>DEF</v>
      </c>
      <c r="H144" s="49">
        <f>IFERROR(__xludf.DUMMYFUNCTION("""COMPUTED_VALUE"""),5000.0)</f>
        <v>5000</v>
      </c>
      <c r="I144" s="49"/>
      <c r="J144" s="49"/>
      <c r="K144" s="49">
        <f>IFERROR(__xludf.DUMMYFUNCTION("""COMPUTED_VALUE"""),5000.0)</f>
        <v>5000</v>
      </c>
      <c r="L144" s="49"/>
      <c r="M144" s="49"/>
      <c r="N144" s="49"/>
      <c r="O144" s="49"/>
      <c r="P144" s="49"/>
      <c r="Q144" s="49"/>
      <c r="R144" s="49"/>
      <c r="S144" s="49"/>
      <c r="T144" s="49"/>
      <c r="U144" s="49"/>
      <c r="V144" s="49"/>
      <c r="W144" s="49"/>
      <c r="X144" s="49"/>
      <c r="Y144" s="49"/>
      <c r="Z144" s="49"/>
      <c r="AA144" s="49"/>
      <c r="AB144" s="49"/>
      <c r="AC144" s="49"/>
      <c r="AD144" s="49"/>
      <c r="AE144" s="49"/>
      <c r="AF144" s="49" t="str">
        <f>IFERROR(__xludf.DUMMYFUNCTION("""COMPUTED_VALUE"""),"++X4 additional water damage.")</f>
        <v>++X4 additional water damage.</v>
      </c>
      <c r="AG144" s="49" t="str">
        <f>IFERROR(__xludf.DUMMYFUNCTION("""COMPUTED_VALUE"""),"Land of Spira")</f>
        <v>Land of Spira</v>
      </c>
      <c r="AH144" s="49" t="b">
        <f>IFERROR(__xludf.DUMMYFUNCTION("""COMPUTED_VALUE"""),FALSE)</f>
        <v>0</v>
      </c>
    </row>
    <row r="145">
      <c r="A145" s="49" t="str">
        <f>IFERROR(__xludf.DUMMYFUNCTION("""COMPUTED_VALUE"""),"High Range Bow")</f>
        <v>High Range Bow</v>
      </c>
      <c r="B145" s="49" t="str">
        <f>IFERROR(__xludf.DUMMYFUNCTION("""COMPUTED_VALUE"""),"Hand")</f>
        <v>Hand</v>
      </c>
      <c r="C145" s="49"/>
      <c r="D145" s="49" t="str">
        <f>IFERROR(__xludf.DUMMYFUNCTION("""COMPUTED_VALUE"""),"Bow")</f>
        <v>Bow</v>
      </c>
      <c r="E145" s="49">
        <f>IFERROR(__xludf.DUMMYFUNCTION("""COMPUTED_VALUE"""),10.0)</f>
        <v>10</v>
      </c>
      <c r="F145" s="112">
        <f>IFERROR(__xludf.DUMMYFUNCTION("""COMPUTED_VALUE"""),1000.0)</f>
        <v>1000</v>
      </c>
      <c r="G145" s="49" t="str">
        <f>IFERROR(__xludf.DUMMYFUNCTION("""COMPUTED_VALUE"""),"DMG")</f>
        <v>DMG</v>
      </c>
      <c r="H145" s="49">
        <f>IFERROR(__xludf.DUMMYFUNCTION("""COMPUTED_VALUE"""),500.0)</f>
        <v>500</v>
      </c>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t="str">
        <f>IFERROR(__xludf.DUMMYFUNCTION("""COMPUTED_VALUE"""),"++Hawkeye: X2 more arrow damage and ranged attacks deal half damage that are dealt to the wearer. ")</f>
        <v>++Hawkeye: X2 more arrow damage and ranged attacks deal half damage that are dealt to the wearer. </v>
      </c>
      <c r="AG145" s="49" t="str">
        <f>IFERROR(__xludf.DUMMYFUNCTION("""COMPUTED_VALUE"""),"Land of Spira")</f>
        <v>Land of Spira</v>
      </c>
      <c r="AH145" s="49" t="b">
        <f>IFERROR(__xludf.DUMMYFUNCTION("""COMPUTED_VALUE"""),FALSE)</f>
        <v>0</v>
      </c>
    </row>
    <row r="146">
      <c r="A146" s="49" t="str">
        <f>IFERROR(__xludf.DUMMYFUNCTION("""COMPUTED_VALUE"""),"Horn of The Forgotten")</f>
        <v>Horn of The Forgotten</v>
      </c>
      <c r="B146" s="49" t="str">
        <f>IFERROR(__xludf.DUMMYFUNCTION("""COMPUTED_VALUE"""),"Hand")</f>
        <v>Hand</v>
      </c>
      <c r="C146" s="49"/>
      <c r="D146" s="49" t="str">
        <f>IFERROR(__xludf.DUMMYFUNCTION("""COMPUTED_VALUE"""),"Wand")</f>
        <v>Wand</v>
      </c>
      <c r="E146" s="49">
        <f>IFERROR(__xludf.DUMMYFUNCTION("""COMPUTED_VALUE"""),1.0)</f>
        <v>1</v>
      </c>
      <c r="F146" s="112">
        <f>IFERROR(__xludf.DUMMYFUNCTION("""COMPUTED_VALUE"""),0.0)</f>
        <v>0</v>
      </c>
      <c r="G146" s="49"/>
      <c r="H146" s="49"/>
      <c r="I146" s="49"/>
      <c r="J146" s="49"/>
      <c r="K146" s="49"/>
      <c r="L146" s="49"/>
      <c r="M146" s="49"/>
      <c r="N146" s="49"/>
      <c r="O146" s="49"/>
      <c r="P146" s="49"/>
      <c r="Q146" s="49"/>
      <c r="R146" s="49"/>
      <c r="S146" s="49"/>
      <c r="T146" s="49"/>
      <c r="U146" s="49"/>
      <c r="V146" s="49"/>
      <c r="W146" s="49"/>
      <c r="X146" s="49"/>
      <c r="Y146" s="49"/>
      <c r="Z146" s="49"/>
      <c r="AA146" s="49"/>
      <c r="AB146" s="49"/>
      <c r="AC146" s="49"/>
      <c r="AD146" s="49"/>
      <c r="AE146" s="49"/>
      <c r="AF146" s="49"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49" t="str">
        <f>IFERROR(__xludf.DUMMYFUNCTION("""COMPUTED_VALUE"""),"Abstara")</f>
        <v>Abstara</v>
      </c>
      <c r="AH146" s="49" t="b">
        <f>IFERROR(__xludf.DUMMYFUNCTION("""COMPUTED_VALUE"""),FALSE)</f>
        <v>0</v>
      </c>
    </row>
    <row r="147">
      <c r="A147" s="49" t="str">
        <f>IFERROR(__xludf.DUMMYFUNCTION("""COMPUTED_VALUE"""),"Houyi's Bow")</f>
        <v>Houyi's Bow</v>
      </c>
      <c r="B147" s="49" t="str">
        <f>IFERROR(__xludf.DUMMYFUNCTION("""COMPUTED_VALUE"""),"Hand")</f>
        <v>Hand</v>
      </c>
      <c r="C147" s="49"/>
      <c r="D147" s="49" t="str">
        <f>IFERROR(__xludf.DUMMYFUNCTION("""COMPUTED_VALUE"""),"Bow")</f>
        <v>Bow</v>
      </c>
      <c r="E147" s="49">
        <f>IFERROR(__xludf.DUMMYFUNCTION("""COMPUTED_VALUE"""),400.0)</f>
        <v>400</v>
      </c>
      <c r="F147" s="112">
        <f>IFERROR(__xludf.DUMMYFUNCTION("""COMPUTED_VALUE"""),7800000.0)</f>
        <v>7800000</v>
      </c>
      <c r="G147" s="49" t="str">
        <f>IFERROR(__xludf.DUMMYFUNCTION("""COMPUTED_VALUE"""),"DMG")</f>
        <v>DMG</v>
      </c>
      <c r="H147" s="125">
        <f>IFERROR(__xludf.DUMMYFUNCTION("""COMPUTED_VALUE"""),20000.0)</f>
        <v>20000</v>
      </c>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t="str">
        <f>IFERROR(__xludf.DUMMYFUNCTION("""COMPUTED_VALUE"""),"++Skill Shot - gives the wielder X2 accuracy and X2 damage for bows.")</f>
        <v>++Skill Shot - gives the wielder X2 accuracy and X2 damage for bows.</v>
      </c>
      <c r="AG147" s="49" t="str">
        <f>IFERROR(__xludf.DUMMYFUNCTION("""COMPUTED_VALUE"""),"Land of Spira")</f>
        <v>Land of Spira</v>
      </c>
      <c r="AH147" s="49" t="b">
        <f>IFERROR(__xludf.DUMMYFUNCTION("""COMPUTED_VALUE"""),FALSE)</f>
        <v>0</v>
      </c>
    </row>
    <row r="148">
      <c r="A148" s="49" t="str">
        <f>IFERROR(__xludf.DUMMYFUNCTION("""COMPUTED_VALUE"""),"Ice Blade")</f>
        <v>Ice Blade</v>
      </c>
      <c r="B148" s="49" t="str">
        <f>IFERROR(__xludf.DUMMYFUNCTION("""COMPUTED_VALUE"""),"Hand")</f>
        <v>Hand</v>
      </c>
      <c r="C148" s="49"/>
      <c r="D148" s="49" t="str">
        <f>IFERROR(__xludf.DUMMYFUNCTION("""COMPUTED_VALUE"""),"Sword")</f>
        <v>Sword</v>
      </c>
      <c r="E148" s="49">
        <f>IFERROR(__xludf.DUMMYFUNCTION("""COMPUTED_VALUE"""),100.0)</f>
        <v>100</v>
      </c>
      <c r="F148" s="112">
        <f>IFERROR(__xludf.DUMMYFUNCTION("""COMPUTED_VALUE"""),450000.0)</f>
        <v>450000</v>
      </c>
      <c r="G148" s="49" t="str">
        <f>IFERROR(__xludf.DUMMYFUNCTION("""COMPUTED_VALUE"""),"DMG")</f>
        <v>DMG</v>
      </c>
      <c r="H148" s="49">
        <f>IFERROR(__xludf.DUMMYFUNCTION("""COMPUTED_VALUE"""),2000.0)</f>
        <v>2000</v>
      </c>
      <c r="I148" s="49"/>
      <c r="J148" s="49"/>
      <c r="K148" s="49">
        <f>IFERROR(__xludf.DUMMYFUNCTION("""COMPUTED_VALUE"""),3000.0)</f>
        <v>3000</v>
      </c>
      <c r="L148" s="49"/>
      <c r="M148" s="49"/>
      <c r="N148" s="49"/>
      <c r="O148" s="49"/>
      <c r="P148" s="49"/>
      <c r="Q148" s="49"/>
      <c r="R148" s="49"/>
      <c r="S148" s="49"/>
      <c r="T148" s="49"/>
      <c r="U148" s="49"/>
      <c r="V148" s="49"/>
      <c r="W148" s="49"/>
      <c r="X148" s="49"/>
      <c r="Y148" s="49"/>
      <c r="Z148" s="49"/>
      <c r="AA148" s="49"/>
      <c r="AB148" s="49"/>
      <c r="AC148" s="49"/>
      <c r="AD148" s="49"/>
      <c r="AE148" s="49"/>
      <c r="AF148" s="49" t="str">
        <f>IFERROR(__xludf.DUMMYFUNCTION("""COMPUTED_VALUE"""),"++50% chance to freeze the target.")</f>
        <v>++50% chance to freeze the target.</v>
      </c>
      <c r="AG148" s="49" t="str">
        <f>IFERROR(__xludf.DUMMYFUNCTION("""COMPUTED_VALUE"""),"Land of Spira")</f>
        <v>Land of Spira</v>
      </c>
      <c r="AH148" s="49" t="b">
        <f>IFERROR(__xludf.DUMMYFUNCTION("""COMPUTED_VALUE"""),FALSE)</f>
        <v>0</v>
      </c>
    </row>
    <row r="149">
      <c r="A149" s="49" t="str">
        <f>IFERROR(__xludf.DUMMYFUNCTION("""COMPUTED_VALUE"""),"Inferno Staff")</f>
        <v>Inferno Staff</v>
      </c>
      <c r="B149" s="49" t="str">
        <f>IFERROR(__xludf.DUMMYFUNCTION("""COMPUTED_VALUE"""),"Hand")</f>
        <v>Hand</v>
      </c>
      <c r="C149" s="49"/>
      <c r="D149" s="49" t="str">
        <f>IFERROR(__xludf.DUMMYFUNCTION("""COMPUTED_VALUE"""),"Staff")</f>
        <v>Staff</v>
      </c>
      <c r="E149" s="49">
        <f>IFERROR(__xludf.DUMMYFUNCTION("""COMPUTED_VALUE"""),200.0)</f>
        <v>200</v>
      </c>
      <c r="F149" s="112">
        <f>IFERROR(__xludf.DUMMYFUNCTION("""COMPUTED_VALUE"""),1900000.0)</f>
        <v>1900000</v>
      </c>
      <c r="G149" s="49"/>
      <c r="H149" s="49"/>
      <c r="I149" s="125">
        <f>IFERROR(__xludf.DUMMYFUNCTION("""COMPUTED_VALUE"""),10000.0)</f>
        <v>10000</v>
      </c>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t="str">
        <f>IFERROR(__xludf.DUMMYFUNCTION("""COMPUTED_VALUE"""),"++Burn 10,000 to 1 target for 3 rounds. 100sp.")</f>
        <v>++Burn 10,000 to 1 target for 3 rounds. 100sp.</v>
      </c>
      <c r="AG149" s="49" t="str">
        <f>IFERROR(__xludf.DUMMYFUNCTION("""COMPUTED_VALUE"""),"Land of Spira")</f>
        <v>Land of Spira</v>
      </c>
      <c r="AH149" s="49" t="b">
        <f>IFERROR(__xludf.DUMMYFUNCTION("""COMPUTED_VALUE"""),FALSE)</f>
        <v>0</v>
      </c>
    </row>
    <row r="150">
      <c r="A150" s="49" t="str">
        <f>IFERROR(__xludf.DUMMYFUNCTION("""COMPUTED_VALUE"""),"Jack's Special Archer Robe")</f>
        <v>Jack's Special Archer Robe</v>
      </c>
      <c r="B150" s="49" t="str">
        <f>IFERROR(__xludf.DUMMYFUNCTION("""COMPUTED_VALUE"""),"Torso")</f>
        <v>Torso</v>
      </c>
      <c r="C150" s="49" t="str">
        <f>IFERROR(__xludf.DUMMYFUNCTION("""COMPUTED_VALUE"""),"Halloween exclusive")</f>
        <v>Halloween exclusive</v>
      </c>
      <c r="D150" s="49"/>
      <c r="E150" s="49">
        <f>IFERROR(__xludf.DUMMYFUNCTION("""COMPUTED_VALUE"""),20.0)</f>
        <v>20</v>
      </c>
      <c r="F150" s="112">
        <f>IFERROR(__xludf.DUMMYFUNCTION("""COMPUTED_VALUE"""),1000.0)</f>
        <v>1000</v>
      </c>
      <c r="G150" s="49" t="str">
        <f>IFERROR(__xludf.DUMMYFUNCTION("""COMPUTED_VALUE"""),"DEF")</f>
        <v>DEF</v>
      </c>
      <c r="H150" s="49">
        <f>IFERROR(__xludf.DUMMYFUNCTION("""COMPUTED_VALUE"""),900.0)</f>
        <v>900</v>
      </c>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t="str">
        <f>IFERROR(__xludf.DUMMYFUNCTION("""COMPUTED_VALUE"""),"++Range Spells cost half the SP cost and all damage is doubled for ranged spells +-Archer Class Only")</f>
        <v>++Range Spells cost half the SP cost and all damage is doubled for ranged spells +-Archer Class Only</v>
      </c>
      <c r="AG150" s="49" t="str">
        <f>IFERROR(__xludf.DUMMYFUNCTION("""COMPUTED_VALUE"""),"Halloween Kingdom")</f>
        <v>Halloween Kingdom</v>
      </c>
      <c r="AH150" s="49" t="b">
        <f>IFERROR(__xludf.DUMMYFUNCTION("""COMPUTED_VALUE"""),FALSE)</f>
        <v>0</v>
      </c>
    </row>
    <row r="151">
      <c r="A151" s="49" t="str">
        <f>IFERROR(__xludf.DUMMYFUNCTION("""COMPUTED_VALUE"""),"Jack's Special Ring")</f>
        <v>Jack's Special Ring</v>
      </c>
      <c r="B151" s="49" t="str">
        <f>IFERROR(__xludf.DUMMYFUNCTION("""COMPUTED_VALUE"""),"Ring")</f>
        <v>Ring</v>
      </c>
      <c r="C151" s="49" t="str">
        <f>IFERROR(__xludf.DUMMYFUNCTION("""COMPUTED_VALUE"""),"Halloween exclusive")</f>
        <v>Halloween exclusive</v>
      </c>
      <c r="D151" s="49"/>
      <c r="E151" s="49">
        <f>IFERROR(__xludf.DUMMYFUNCTION("""COMPUTED_VALUE"""),1.0)</f>
        <v>1</v>
      </c>
      <c r="F151" s="112">
        <f>IFERROR(__xludf.DUMMYFUNCTION("""COMPUTED_VALUE"""),0.0)</f>
        <v>0</v>
      </c>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t="str">
        <f>IFERROR(__xludf.DUMMYFUNCTION("""COMPUTED_VALUE"""),"++Increase all types of damage by X2. +-Cannot be forged +-Cannot be duplicated")</f>
        <v>++Increase all types of damage by X2. +-Cannot be forged +-Cannot be duplicated</v>
      </c>
      <c r="AG151" s="49" t="str">
        <f>IFERROR(__xludf.DUMMYFUNCTION("""COMPUTED_VALUE"""),"Halloween Kingdom")</f>
        <v>Halloween Kingdom</v>
      </c>
      <c r="AH151" s="49" t="b">
        <f>IFERROR(__xludf.DUMMYFUNCTION("""COMPUTED_VALUE"""),FALSE)</f>
        <v>0</v>
      </c>
    </row>
    <row r="152">
      <c r="A152" s="49" t="str">
        <f>IFERROR(__xludf.DUMMYFUNCTION("""COMPUTED_VALUE"""),"Jack's Special Sword")</f>
        <v>Jack's Special Sword</v>
      </c>
      <c r="B152" s="49" t="str">
        <f>IFERROR(__xludf.DUMMYFUNCTION("""COMPUTED_VALUE"""),"Hand")</f>
        <v>Hand</v>
      </c>
      <c r="C152" s="49" t="str">
        <f>IFERROR(__xludf.DUMMYFUNCTION("""COMPUTED_VALUE"""),"Halloween exclusive")</f>
        <v>Halloween exclusive</v>
      </c>
      <c r="D152" s="49" t="str">
        <f>IFERROR(__xludf.DUMMYFUNCTION("""COMPUTED_VALUE"""),"Sword")</f>
        <v>Sword</v>
      </c>
      <c r="E152" s="49">
        <f>IFERROR(__xludf.DUMMYFUNCTION("""COMPUTED_VALUE"""),60.0)</f>
        <v>60</v>
      </c>
      <c r="F152" s="112">
        <f>IFERROR(__xludf.DUMMYFUNCTION("""COMPUTED_VALUE"""),150000.0)</f>
        <v>150000</v>
      </c>
      <c r="G152" s="49" t="str">
        <f>IFERROR(__xludf.DUMMYFUNCTION("""COMPUTED_VALUE"""),"DMG")</f>
        <v>DMG</v>
      </c>
      <c r="H152" s="125">
        <f>IFERROR(__xludf.DUMMYFUNCTION("""COMPUTED_VALUE"""),1500.0)</f>
        <v>1500</v>
      </c>
      <c r="I152" s="49"/>
      <c r="J152" s="49"/>
      <c r="K152" s="49"/>
      <c r="L152" s="49"/>
      <c r="M152" s="49"/>
      <c r="N152" s="49"/>
      <c r="O152" s="49">
        <f>IFERROR(__xludf.DUMMYFUNCTION("""COMPUTED_VALUE"""),600.0)</f>
        <v>600</v>
      </c>
      <c r="P152" s="49"/>
      <c r="Q152" s="49"/>
      <c r="R152" s="49">
        <f>IFERROR(__xludf.DUMMYFUNCTION("""COMPUTED_VALUE"""),900.0)</f>
        <v>900</v>
      </c>
      <c r="S152" s="49"/>
      <c r="T152" s="49"/>
      <c r="U152" s="49"/>
      <c r="V152" s="49"/>
      <c r="W152" s="49"/>
      <c r="X152" s="49"/>
      <c r="Y152" s="49"/>
      <c r="Z152" s="49"/>
      <c r="AA152" s="49"/>
      <c r="AB152" s="49"/>
      <c r="AC152" s="49"/>
      <c r="AD152" s="49"/>
      <c r="AE152" s="49"/>
      <c r="AF152" s="49"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49" t="str">
        <f>IFERROR(__xludf.DUMMYFUNCTION("""COMPUTED_VALUE"""),"Halloween Kingdom")</f>
        <v>Halloween Kingdom</v>
      </c>
      <c r="AH152" s="49" t="b">
        <f>IFERROR(__xludf.DUMMYFUNCTION("""COMPUTED_VALUE"""),FALSE)</f>
        <v>0</v>
      </c>
    </row>
    <row r="153">
      <c r="A153" s="49" t="str">
        <f>IFERROR(__xludf.DUMMYFUNCTION("""COMPUTED_VALUE"""),"Jack’o Lantern Helmet of Swampy Hallow")</f>
        <v>Jack’o Lantern Helmet of Swampy Hallow</v>
      </c>
      <c r="B153" s="49" t="str">
        <f>IFERROR(__xludf.DUMMYFUNCTION("""COMPUTED_VALUE"""),"Head")</f>
        <v>Head</v>
      </c>
      <c r="C153" s="49" t="str">
        <f>IFERROR(__xludf.DUMMYFUNCTION("""COMPUTED_VALUE"""),"Halloween exclusive")</f>
        <v>Halloween exclusive</v>
      </c>
      <c r="D153" s="49"/>
      <c r="E153" s="49">
        <f>IFERROR(__xludf.DUMMYFUNCTION("""COMPUTED_VALUE"""),600.0)</f>
        <v>600</v>
      </c>
      <c r="F153" s="112">
        <f>IFERROR(__xludf.DUMMYFUNCTION("""COMPUTED_VALUE"""),1.77E7)</f>
        <v>17700000</v>
      </c>
      <c r="G153" s="49" t="str">
        <f>IFERROR(__xludf.DUMMYFUNCTION("""COMPUTED_VALUE"""),"DEF")</f>
        <v>DEF</v>
      </c>
      <c r="H153" s="49">
        <f>IFERROR(__xludf.DUMMYFUNCTION("""COMPUTED_VALUE"""),5000.0)</f>
        <v>5000</v>
      </c>
      <c r="I153" s="49">
        <f>IFERROR(__xludf.DUMMYFUNCTION("""COMPUTED_VALUE"""),5000.0)</f>
        <v>5000</v>
      </c>
      <c r="J153" s="49"/>
      <c r="K153" s="49"/>
      <c r="L153" s="49"/>
      <c r="M153" s="49"/>
      <c r="N153" s="49"/>
      <c r="O153" s="49">
        <f>IFERROR(__xludf.DUMMYFUNCTION("""COMPUTED_VALUE"""),5000.0)</f>
        <v>5000</v>
      </c>
      <c r="P153" s="49">
        <f>IFERROR(__xludf.DUMMYFUNCTION("""COMPUTED_VALUE"""),5000.0)</f>
        <v>5000</v>
      </c>
      <c r="Q153" s="49"/>
      <c r="R153" s="49">
        <f>IFERROR(__xludf.DUMMYFUNCTION("""COMPUTED_VALUE"""),5000.0)</f>
        <v>5000</v>
      </c>
      <c r="S153" s="49">
        <f>IFERROR(__xludf.DUMMYFUNCTION("""COMPUTED_VALUE"""),5000.0)</f>
        <v>5000</v>
      </c>
      <c r="T153" s="49"/>
      <c r="U153" s="49"/>
      <c r="V153" s="49"/>
      <c r="W153" s="49"/>
      <c r="X153" s="49"/>
      <c r="Y153" s="49"/>
      <c r="Z153" s="49"/>
      <c r="AA153" s="49"/>
      <c r="AB153" s="49"/>
      <c r="AC153" s="49"/>
      <c r="AD153" s="49"/>
      <c r="AE153" s="49"/>
      <c r="AF153" s="49"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49" t="str">
        <f>IFERROR(__xludf.DUMMYFUNCTION("""COMPUTED_VALUE"""),"Halloween Kingdom")</f>
        <v>Halloween Kingdom</v>
      </c>
      <c r="AH153" s="49" t="b">
        <f>IFERROR(__xludf.DUMMYFUNCTION("""COMPUTED_VALUE"""),FALSE)</f>
        <v>0</v>
      </c>
    </row>
    <row r="154">
      <c r="A154" s="49" t="str">
        <f>IFERROR(__xludf.DUMMYFUNCTION("""COMPUTED_VALUE"""),"Katana")</f>
        <v>Katana</v>
      </c>
      <c r="B154" s="49" t="str">
        <f>IFERROR(__xludf.DUMMYFUNCTION("""COMPUTED_VALUE"""),"Hand")</f>
        <v>Hand</v>
      </c>
      <c r="C154" s="49"/>
      <c r="D154" s="49" t="str">
        <f>IFERROR(__xludf.DUMMYFUNCTION("""COMPUTED_VALUE"""),"Sword")</f>
        <v>Sword</v>
      </c>
      <c r="E154" s="49">
        <f>IFERROR(__xludf.DUMMYFUNCTION("""COMPUTED_VALUE"""),10.0)</f>
        <v>10</v>
      </c>
      <c r="F154" s="112">
        <f>IFERROR(__xludf.DUMMYFUNCTION("""COMPUTED_VALUE"""),1000.0)</f>
        <v>1000</v>
      </c>
      <c r="G154" s="49" t="str">
        <f>IFERROR(__xludf.DUMMYFUNCTION("""COMPUTED_VALUE"""),"DMG")</f>
        <v>DMG</v>
      </c>
      <c r="H154" s="49">
        <f>IFERROR(__xludf.DUMMYFUNCTION("""COMPUTED_VALUE"""),500.0)</f>
        <v>500</v>
      </c>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t="str">
        <f>IFERROR(__xludf.DUMMYFUNCTION("""COMPUTED_VALUE"""),"++ +10% chance of the sword ability activating.")</f>
        <v>++ +10% chance of the sword ability activating.</v>
      </c>
      <c r="AG154" s="49" t="str">
        <f>IFERROR(__xludf.DUMMYFUNCTION("""COMPUTED_VALUE"""),"Land of Spira")</f>
        <v>Land of Spira</v>
      </c>
      <c r="AH154" s="49" t="b">
        <f>IFERROR(__xludf.DUMMYFUNCTION("""COMPUTED_VALUE"""),FALSE)</f>
        <v>0</v>
      </c>
    </row>
    <row r="155">
      <c r="A155" s="49" t="str">
        <f>IFERROR(__xludf.DUMMYFUNCTION("""COMPUTED_VALUE"""),"King Of Mekanas Sword")</f>
        <v>King Of Mekanas Sword</v>
      </c>
      <c r="B155" s="49" t="str">
        <f>IFERROR(__xludf.DUMMYFUNCTION("""COMPUTED_VALUE"""),"Hand")</f>
        <v>Hand</v>
      </c>
      <c r="C155" s="49" t="str">
        <f>IFERROR(__xludf.DUMMYFUNCTION("""COMPUTED_VALUE"""),"Mob Exclusive")</f>
        <v>Mob Exclusive</v>
      </c>
      <c r="D155" s="49" t="str">
        <f>IFERROR(__xludf.DUMMYFUNCTION("""COMPUTED_VALUE"""),"Sword")</f>
        <v>Sword</v>
      </c>
      <c r="E155" s="49">
        <f>IFERROR(__xludf.DUMMYFUNCTION("""COMPUTED_VALUE"""),3000.0)</f>
        <v>3000</v>
      </c>
      <c r="F155" s="112">
        <f>IFERROR(__xludf.DUMMYFUNCTION("""COMPUTED_VALUE"""),4.485E8)</f>
        <v>448500000</v>
      </c>
      <c r="G155" s="49" t="str">
        <f>IFERROR(__xludf.DUMMYFUNCTION("""COMPUTED_VALUE"""),"DMG")</f>
        <v>DMG</v>
      </c>
      <c r="H155" s="125">
        <f>IFERROR(__xludf.DUMMYFUNCTION("""COMPUTED_VALUE"""),50000.0)</f>
        <v>50000</v>
      </c>
      <c r="I155" s="125">
        <f>IFERROR(__xludf.DUMMYFUNCTION("""COMPUTED_VALUE"""),50000.0)</f>
        <v>50000</v>
      </c>
      <c r="J155" s="49"/>
      <c r="K155" s="49"/>
      <c r="L155" s="125">
        <f>IFERROR(__xludf.DUMMYFUNCTION("""COMPUTED_VALUE"""),50000.0)</f>
        <v>50000</v>
      </c>
      <c r="M155" s="49"/>
      <c r="N155" s="49"/>
      <c r="O155" s="49"/>
      <c r="P155" s="49"/>
      <c r="Q155" s="49"/>
      <c r="R155" s="49"/>
      <c r="S155" s="49"/>
      <c r="T155" s="49"/>
      <c r="U155" s="49"/>
      <c r="V155" s="49"/>
      <c r="W155" s="49"/>
      <c r="X155" s="49"/>
      <c r="Y155" s="49"/>
      <c r="Z155" s="49"/>
      <c r="AA155" s="49"/>
      <c r="AB155" s="49"/>
      <c r="AC155" s="49"/>
      <c r="AD155" s="49"/>
      <c r="AE155" s="49"/>
      <c r="AF155" s="49" t="str">
        <f>IFERROR(__xludf.DUMMYFUNCTION("""COMPUTED_VALUE"""),"++X8 additional Fire and Storm damage. ")</f>
        <v>++X8 additional Fire and Storm damage. </v>
      </c>
      <c r="AG155" s="49" t="str">
        <f>IFERROR(__xludf.DUMMYFUNCTION("""COMPUTED_VALUE"""),"Land of Spira")</f>
        <v>Land of Spira</v>
      </c>
      <c r="AH155" s="49" t="b">
        <f>IFERROR(__xludf.DUMMYFUNCTION("""COMPUTED_VALUE"""),TRUE)</f>
        <v>1</v>
      </c>
    </row>
    <row r="156">
      <c r="A156" s="49" t="str">
        <f>IFERROR(__xludf.DUMMYFUNCTION("""COMPUTED_VALUE"""),"King's Royal Sword")</f>
        <v>King's Royal Sword</v>
      </c>
      <c r="B156" s="49" t="str">
        <f>IFERROR(__xludf.DUMMYFUNCTION("""COMPUTED_VALUE"""),"Hand")</f>
        <v>Hand</v>
      </c>
      <c r="C156" s="49" t="str">
        <f>IFERROR(__xludf.DUMMYFUNCTION("""COMPUTED_VALUE"""),"Quest Item")</f>
        <v>Quest Item</v>
      </c>
      <c r="D156" s="49" t="str">
        <f>IFERROR(__xludf.DUMMYFUNCTION("""COMPUTED_VALUE"""),"Sword")</f>
        <v>Sword</v>
      </c>
      <c r="E156" s="49">
        <f>IFERROR(__xludf.DUMMYFUNCTION("""COMPUTED_VALUE"""),200.0)</f>
        <v>200</v>
      </c>
      <c r="F156" s="112">
        <f>IFERROR(__xludf.DUMMYFUNCTION("""COMPUTED_VALUE"""),7.98E8)</f>
        <v>798000000</v>
      </c>
      <c r="G156" s="49" t="str">
        <f>IFERROR(__xludf.DUMMYFUNCTION("""COMPUTED_VALUE"""),"DMG")</f>
        <v>DMG</v>
      </c>
      <c r="H156" s="125">
        <f>IFERROR(__xludf.DUMMYFUNCTION("""COMPUTED_VALUE"""),100000.0)</f>
        <v>100000</v>
      </c>
      <c r="I156" s="49"/>
      <c r="J156" s="49"/>
      <c r="K156" s="49"/>
      <c r="L156" s="49"/>
      <c r="M156" s="49"/>
      <c r="N156" s="49"/>
      <c r="O156" s="49"/>
      <c r="P156" s="49"/>
      <c r="Q156" s="49"/>
      <c r="R156" s="49"/>
      <c r="S156" s="49"/>
      <c r="T156" s="49"/>
      <c r="U156" s="49"/>
      <c r="V156" s="49"/>
      <c r="W156" s="49"/>
      <c r="X156" s="49"/>
      <c r="Y156" s="49"/>
      <c r="Z156" s="49"/>
      <c r="AA156" s="49"/>
      <c r="AB156" s="49"/>
      <c r="AC156" s="125">
        <f>IFERROR(__xludf.DUMMYFUNCTION("""COMPUTED_VALUE"""),100000.0)</f>
        <v>100000</v>
      </c>
      <c r="AD156" s="49"/>
      <c r="AE156" s="49"/>
      <c r="AF156" s="49" t="str">
        <f>IFERROR(__xludf.DUMMYFUNCTION("""COMPUTED_VALUE"""),"++ +5 can be added to your d20 rolls. X12 additional Celestial damage. +-Cannot be duplicated")</f>
        <v>++ +5 can be added to your d20 rolls. X12 additional Celestial damage. +-Cannot be duplicated</v>
      </c>
      <c r="AG156" s="49" t="str">
        <f>IFERROR(__xludf.DUMMYFUNCTION("""COMPUTED_VALUE"""),"Land of Spira")</f>
        <v>Land of Spira</v>
      </c>
      <c r="AH156" s="49" t="b">
        <f>IFERROR(__xludf.DUMMYFUNCTION("""COMPUTED_VALUE"""),FALSE)</f>
        <v>0</v>
      </c>
    </row>
    <row r="157">
      <c r="A157" s="49" t="str">
        <f>IFERROR(__xludf.DUMMYFUNCTION("""COMPUTED_VALUE"""),"Knife")</f>
        <v>Knife</v>
      </c>
      <c r="B157" s="49" t="str">
        <f>IFERROR(__xludf.DUMMYFUNCTION("""COMPUTED_VALUE"""),"Hand")</f>
        <v>Hand</v>
      </c>
      <c r="C157" s="49"/>
      <c r="D157" s="49" t="str">
        <f>IFERROR(__xludf.DUMMYFUNCTION("""COMPUTED_VALUE"""),"Knife")</f>
        <v>Knife</v>
      </c>
      <c r="E157" s="49">
        <f>IFERROR(__xludf.DUMMYFUNCTION("""COMPUTED_VALUE"""),20.0)</f>
        <v>20</v>
      </c>
      <c r="F157" s="112">
        <f>IFERROR(__xludf.DUMMYFUNCTION("""COMPUTED_VALUE"""),10000.0)</f>
        <v>10000</v>
      </c>
      <c r="G157" s="49" t="str">
        <f>IFERROR(__xludf.DUMMYFUNCTION("""COMPUTED_VALUE"""),"DMG")</f>
        <v>DMG</v>
      </c>
      <c r="H157" s="49">
        <f>IFERROR(__xludf.DUMMYFUNCTION("""COMPUTED_VALUE"""),1000.0)</f>
        <v>1000</v>
      </c>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t="str">
        <f>IFERROR(__xludf.DUMMYFUNCTION("""COMPUTED_VALUE"""),"Land of Spira")</f>
        <v>Land of Spira</v>
      </c>
      <c r="AH157" s="49" t="b">
        <f>IFERROR(__xludf.DUMMYFUNCTION("""COMPUTED_VALUE"""),FALSE)</f>
        <v>0</v>
      </c>
    </row>
    <row r="158">
      <c r="A158" s="49" t="str">
        <f>IFERROR(__xludf.DUMMYFUNCTION("""COMPUTED_VALUE"""),"Knife of Jinx")</f>
        <v>Knife of Jinx</v>
      </c>
      <c r="B158" s="49" t="str">
        <f>IFERROR(__xludf.DUMMYFUNCTION("""COMPUTED_VALUE"""),"Hand")</f>
        <v>Hand</v>
      </c>
      <c r="C158" s="49"/>
      <c r="D158" s="49" t="str">
        <f>IFERROR(__xludf.DUMMYFUNCTION("""COMPUTED_VALUE"""),"Knife")</f>
        <v>Knife</v>
      </c>
      <c r="E158" s="49">
        <f>IFERROR(__xludf.DUMMYFUNCTION("""COMPUTED_VALUE"""),1.0)</f>
        <v>1</v>
      </c>
      <c r="F158" s="112">
        <f>IFERROR(__xludf.DUMMYFUNCTION("""COMPUTED_VALUE"""),0.0)</f>
        <v>0</v>
      </c>
      <c r="G158" s="49" t="str">
        <f>IFERROR(__xludf.DUMMYFUNCTION("""COMPUTED_VALUE"""),"DMG")</f>
        <v>DMG</v>
      </c>
      <c r="H158" s="49">
        <f>IFERROR(__xludf.DUMMYFUNCTION("""COMPUTED_VALUE"""),10.0)</f>
        <v>10</v>
      </c>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49" t="str">
        <f>IFERROR(__xludf.DUMMYFUNCTION("""COMPUTED_VALUE"""),"Land of Spira")</f>
        <v>Land of Spira</v>
      </c>
      <c r="AH158" s="49" t="b">
        <f>IFERROR(__xludf.DUMMYFUNCTION("""COMPUTED_VALUE"""),FALSE)</f>
        <v>0</v>
      </c>
    </row>
    <row r="159">
      <c r="A159" s="49" t="str">
        <f>IFERROR(__xludf.DUMMYFUNCTION("""COMPUTED_VALUE"""),"kraken's power ring")</f>
        <v>kraken's power ring</v>
      </c>
      <c r="B159" s="49" t="str">
        <f>IFERROR(__xludf.DUMMYFUNCTION("""COMPUTED_VALUE"""),"Ring")</f>
        <v>Ring</v>
      </c>
      <c r="C159" s="49"/>
      <c r="D159" s="49"/>
      <c r="E159" s="49">
        <f>IFERROR(__xludf.DUMMYFUNCTION("""COMPUTED_VALUE"""),1.0)</f>
        <v>1</v>
      </c>
      <c r="F159" s="112">
        <f>IFERROR(__xludf.DUMMYFUNCTION("""COMPUTED_VALUE"""),0.0)</f>
        <v>0</v>
      </c>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t="str">
        <f>IFERROR(__xludf.DUMMYFUNCTION("""COMPUTED_VALUE"""),"++water based attacks double in damage. ++sp cost is halved for water spells only")</f>
        <v>++water based attacks double in damage. ++sp cost is halved for water spells only</v>
      </c>
      <c r="AG159" s="49" t="str">
        <f>IFERROR(__xludf.DUMMYFUNCTION("""COMPUTED_VALUE"""),"Land of Spira")</f>
        <v>Land of Spira</v>
      </c>
      <c r="AH159" s="49" t="b">
        <f>IFERROR(__xludf.DUMMYFUNCTION("""COMPUTED_VALUE"""),FALSE)</f>
        <v>0</v>
      </c>
    </row>
    <row r="160">
      <c r="A160" s="49" t="str">
        <f>IFERROR(__xludf.DUMMYFUNCTION("""COMPUTED_VALUE"""),"Krakens Power Ring")</f>
        <v>Krakens Power Ring</v>
      </c>
      <c r="B160" s="49" t="str">
        <f>IFERROR(__xludf.DUMMYFUNCTION("""COMPUTED_VALUE"""),"Ring")</f>
        <v>Ring</v>
      </c>
      <c r="C160" s="49"/>
      <c r="D160" s="49"/>
      <c r="E160" s="49">
        <f>IFERROR(__xludf.DUMMYFUNCTION("""COMPUTED_VALUE"""),1.0)</f>
        <v>1</v>
      </c>
      <c r="F160" s="112">
        <f>IFERROR(__xludf.DUMMYFUNCTION("""COMPUTED_VALUE"""),0.0)</f>
        <v>0</v>
      </c>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t="str">
        <f>IFERROR(__xludf.DUMMYFUNCTION("""COMPUTED_VALUE"""),"++water based attacks deal x2 damage, ++sp is halved for water spells only. +-(one use per battle)")</f>
        <v>++water based attacks deal x2 damage, ++sp is halved for water spells only. +-(one use per battle)</v>
      </c>
      <c r="AG160" s="49" t="str">
        <f>IFERROR(__xludf.DUMMYFUNCTION("""COMPUTED_VALUE"""),"Land of Spira")</f>
        <v>Land of Spira</v>
      </c>
      <c r="AH160" s="49" t="b">
        <f>IFERROR(__xludf.DUMMYFUNCTION("""COMPUTED_VALUE"""),FALSE)</f>
        <v>0</v>
      </c>
    </row>
    <row r="161">
      <c r="A161" s="49" t="str">
        <f>IFERROR(__xludf.DUMMYFUNCTION("""COMPUTED_VALUE"""),"Lava Longsword")</f>
        <v>Lava Longsword</v>
      </c>
      <c r="B161" s="49" t="str">
        <f>IFERROR(__xludf.DUMMYFUNCTION("""COMPUTED_VALUE"""),"Hand")</f>
        <v>Hand</v>
      </c>
      <c r="C161" s="49"/>
      <c r="D161" s="49" t="str">
        <f>IFERROR(__xludf.DUMMYFUNCTION("""COMPUTED_VALUE"""),"Sword")</f>
        <v>Sword</v>
      </c>
      <c r="E161" s="49">
        <f>IFERROR(__xludf.DUMMYFUNCTION("""COMPUTED_VALUE"""),800.0)</f>
        <v>800</v>
      </c>
      <c r="F161" s="112">
        <f>IFERROR(__xludf.DUMMYFUNCTION("""COMPUTED_VALUE"""),3.16E7)</f>
        <v>31600000</v>
      </c>
      <c r="G161" s="49" t="str">
        <f>IFERROR(__xludf.DUMMYFUNCTION("""COMPUTED_VALUE"""),"DMG")</f>
        <v>DMG</v>
      </c>
      <c r="H161" s="125">
        <f>IFERROR(__xludf.DUMMYFUNCTION("""COMPUTED_VALUE"""),20000.0)</f>
        <v>20000</v>
      </c>
      <c r="I161" s="125">
        <f>IFERROR(__xludf.DUMMYFUNCTION("""COMPUTED_VALUE"""),20000.0)</f>
        <v>20000</v>
      </c>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t="str">
        <f>IFERROR(__xludf.DUMMYFUNCTION("""COMPUTED_VALUE"""),"++Burn 10,000 for 3 rounds.")</f>
        <v>++Burn 10,000 for 3 rounds.</v>
      </c>
      <c r="AG161" s="49" t="str">
        <f>IFERROR(__xludf.DUMMYFUNCTION("""COMPUTED_VALUE"""),"Land of Spira")</f>
        <v>Land of Spira</v>
      </c>
      <c r="AH161" s="49" t="b">
        <f>IFERROR(__xludf.DUMMYFUNCTION("""COMPUTED_VALUE"""),FALSE)</f>
        <v>0</v>
      </c>
    </row>
    <row r="162">
      <c r="A162" s="49" t="str">
        <f>IFERROR(__xludf.DUMMYFUNCTION("""COMPUTED_VALUE"""),"Lazer Infused Sword")</f>
        <v>Lazer Infused Sword</v>
      </c>
      <c r="B162" s="49" t="str">
        <f>IFERROR(__xludf.DUMMYFUNCTION("""COMPUTED_VALUE"""),"Hand")</f>
        <v>Hand</v>
      </c>
      <c r="C162" s="49"/>
      <c r="D162" s="49" t="str">
        <f>IFERROR(__xludf.DUMMYFUNCTION("""COMPUTED_VALUE"""),"Sword")</f>
        <v>Sword</v>
      </c>
      <c r="E162" s="49">
        <f>IFERROR(__xludf.DUMMYFUNCTION("""COMPUTED_VALUE"""),600.0)</f>
        <v>600</v>
      </c>
      <c r="F162" s="112">
        <f>IFERROR(__xludf.DUMMYFUNCTION("""COMPUTED_VALUE"""),1.77E7)</f>
        <v>17700000</v>
      </c>
      <c r="G162" s="49" t="str">
        <f>IFERROR(__xludf.DUMMYFUNCTION("""COMPUTED_VALUE"""),"DMG")</f>
        <v>DMG</v>
      </c>
      <c r="H162" s="125">
        <f>IFERROR(__xludf.DUMMYFUNCTION("""COMPUTED_VALUE"""),10000.0)</f>
        <v>10000</v>
      </c>
      <c r="I162" s="125">
        <f>IFERROR(__xludf.DUMMYFUNCTION("""COMPUTED_VALUE"""),10000.0)</f>
        <v>10000</v>
      </c>
      <c r="J162" s="49"/>
      <c r="K162" s="49"/>
      <c r="L162" s="49"/>
      <c r="M162" s="49"/>
      <c r="N162" s="49"/>
      <c r="O162" s="49"/>
      <c r="P162" s="49"/>
      <c r="Q162" s="49"/>
      <c r="R162" s="49"/>
      <c r="S162" s="49"/>
      <c r="T162" s="49"/>
      <c r="U162" s="49"/>
      <c r="V162" s="49"/>
      <c r="W162" s="49"/>
      <c r="X162" s="49"/>
      <c r="Y162" s="125">
        <f>IFERROR(__xludf.DUMMYFUNCTION("""COMPUTED_VALUE"""),10000.0)</f>
        <v>10000</v>
      </c>
      <c r="Z162" s="49"/>
      <c r="AA162" s="49"/>
      <c r="AB162" s="49"/>
      <c r="AC162" s="49"/>
      <c r="AD162" s="49"/>
      <c r="AE162" s="49"/>
      <c r="AF162" s="49" t="str">
        <f>IFERROR(__xludf.DUMMYFUNCTION("""COMPUTED_VALUE"""),"++Ignores Defense. +-Cannot be duplicated.")</f>
        <v>++Ignores Defense. +-Cannot be duplicated.</v>
      </c>
      <c r="AG162" s="49" t="str">
        <f>IFERROR(__xludf.DUMMYFUNCTION("""COMPUTED_VALUE"""),"Land of Spira")</f>
        <v>Land of Spira</v>
      </c>
      <c r="AH162" s="49" t="b">
        <f>IFERROR(__xludf.DUMMYFUNCTION("""COMPUTED_VALUE"""),FALSE)</f>
        <v>0</v>
      </c>
    </row>
    <row r="163">
      <c r="A163" s="49" t="str">
        <f>IFERROR(__xludf.DUMMYFUNCTION("""COMPUTED_VALUE"""),"Legendary Sword of Heatmore")</f>
        <v>Legendary Sword of Heatmore</v>
      </c>
      <c r="B163" s="49" t="str">
        <f>IFERROR(__xludf.DUMMYFUNCTION("""COMPUTED_VALUE"""),"Hand")</f>
        <v>Hand</v>
      </c>
      <c r="C163" s="49"/>
      <c r="D163" s="49" t="str">
        <f>IFERROR(__xludf.DUMMYFUNCTION("""COMPUTED_VALUE"""),"Sword")</f>
        <v>Sword</v>
      </c>
      <c r="E163" s="49">
        <f>IFERROR(__xludf.DUMMYFUNCTION("""COMPUTED_VALUE"""),200.0)</f>
        <v>200</v>
      </c>
      <c r="F163" s="112">
        <f>IFERROR(__xludf.DUMMYFUNCTION("""COMPUTED_VALUE"""),1.272E8)</f>
        <v>127200000</v>
      </c>
      <c r="G163" s="49" t="str">
        <f>IFERROR(__xludf.DUMMYFUNCTION("""COMPUTED_VALUE"""),"DMG")</f>
        <v>DMG</v>
      </c>
      <c r="H163" s="125">
        <f>IFERROR(__xludf.DUMMYFUNCTION("""COMPUTED_VALUE"""),20000.0)</f>
        <v>20000</v>
      </c>
      <c r="I163" s="125">
        <f>IFERROR(__xludf.DUMMYFUNCTION("""COMPUTED_VALUE"""),20000.0)</f>
        <v>20000</v>
      </c>
      <c r="J163" s="49"/>
      <c r="K163" s="125">
        <f>IFERROR(__xludf.DUMMYFUNCTION("""COMPUTED_VALUE"""),20000.0)</f>
        <v>20000</v>
      </c>
      <c r="L163" s="49"/>
      <c r="M163" s="49"/>
      <c r="N163" s="49"/>
      <c r="O163" s="49"/>
      <c r="P163" s="49"/>
      <c r="Q163" s="49"/>
      <c r="R163" s="49"/>
      <c r="S163" s="49"/>
      <c r="T163" s="49"/>
      <c r="U163" s="49"/>
      <c r="V163" s="49"/>
      <c r="W163" s="49"/>
      <c r="X163" s="49"/>
      <c r="Y163" s="49"/>
      <c r="Z163" s="49"/>
      <c r="AA163" s="49"/>
      <c r="AB163" s="49"/>
      <c r="AC163" s="125">
        <f>IFERROR(__xludf.DUMMYFUNCTION("""COMPUTED_VALUE"""),20000.0)</f>
        <v>20000</v>
      </c>
      <c r="AD163" s="49"/>
      <c r="AE163" s="49"/>
      <c r="AF163" s="49" t="str">
        <f>IFERROR(__xludf.DUMMYFUNCTION("""COMPUTED_VALUE"""),"++75% chance of instant death. ++X6 additional Fire damage. ++Burn 10,000. +-Cannot be duplicated")</f>
        <v>++75% chance of instant death. ++X6 additional Fire damage. ++Burn 10,000. +-Cannot be duplicated</v>
      </c>
      <c r="AG163" s="49" t="str">
        <f>IFERROR(__xludf.DUMMYFUNCTION("""COMPUTED_VALUE"""),"Land of Spira")</f>
        <v>Land of Spira</v>
      </c>
      <c r="AH163" s="49" t="b">
        <f>IFERROR(__xludf.DUMMYFUNCTION("""COMPUTED_VALUE"""),FALSE)</f>
        <v>0</v>
      </c>
    </row>
    <row r="164">
      <c r="A164" s="49" t="str">
        <f>IFERROR(__xludf.DUMMYFUNCTION("""COMPUTED_VALUE"""),"Legendary Tree Sword")</f>
        <v>Legendary Tree Sword</v>
      </c>
      <c r="B164" s="49" t="str">
        <f>IFERROR(__xludf.DUMMYFUNCTION("""COMPUTED_VALUE"""),"Hand")</f>
        <v>Hand</v>
      </c>
      <c r="C164" s="49"/>
      <c r="D164" s="49" t="str">
        <f>IFERROR(__xludf.DUMMYFUNCTION("""COMPUTED_VALUE"""),"Sword")</f>
        <v>Sword</v>
      </c>
      <c r="E164" s="49">
        <f>IFERROR(__xludf.DUMMYFUNCTION("""COMPUTED_VALUE"""),200.0)</f>
        <v>200</v>
      </c>
      <c r="F164" s="112">
        <f>IFERROR(__xludf.DUMMYFUNCTION("""COMPUTED_VALUE"""),4.485E8)</f>
        <v>448500000</v>
      </c>
      <c r="G164" s="49" t="str">
        <f>IFERROR(__xludf.DUMMYFUNCTION("""COMPUTED_VALUE"""),"DMG")</f>
        <v>DMG</v>
      </c>
      <c r="H164" s="125">
        <f>IFERROR(__xludf.DUMMYFUNCTION("""COMPUTED_VALUE"""),50000.0)</f>
        <v>50000</v>
      </c>
      <c r="I164" s="49"/>
      <c r="J164" s="49"/>
      <c r="K164" s="49"/>
      <c r="L164" s="49"/>
      <c r="M164" s="49"/>
      <c r="N164" s="49"/>
      <c r="O164" s="49"/>
      <c r="P164" s="49"/>
      <c r="Q164" s="49"/>
      <c r="R164" s="49"/>
      <c r="S164" s="125">
        <f>IFERROR(__xludf.DUMMYFUNCTION("""COMPUTED_VALUE"""),50000.0)</f>
        <v>50000</v>
      </c>
      <c r="T164" s="49"/>
      <c r="U164" s="49"/>
      <c r="V164" s="49"/>
      <c r="W164" s="49"/>
      <c r="X164" s="49"/>
      <c r="Y164" s="49"/>
      <c r="Z164" s="49"/>
      <c r="AA164" s="49"/>
      <c r="AB164" s="49"/>
      <c r="AC164" s="125">
        <f>IFERROR(__xludf.DUMMYFUNCTION("""COMPUTED_VALUE"""),50000.0)</f>
        <v>50000</v>
      </c>
      <c r="AD164" s="49"/>
      <c r="AE164" s="49"/>
      <c r="AF164" s="49" t="str">
        <f>IFERROR(__xludf.DUMMYFUNCTION("""COMPUTED_VALUE"""),"++X6 Additional Nature damage. ++20% chance of Incorporeal 2. +-Cannot be duplicated.")</f>
        <v>++X6 Additional Nature damage. ++20% chance of Incorporeal 2. +-Cannot be duplicated.</v>
      </c>
      <c r="AG164" s="49" t="str">
        <f>IFERROR(__xludf.DUMMYFUNCTION("""COMPUTED_VALUE"""),"Land of Spira")</f>
        <v>Land of Spira</v>
      </c>
      <c r="AH164" s="49" t="b">
        <f>IFERROR(__xludf.DUMMYFUNCTION("""COMPUTED_VALUE"""),FALSE)</f>
        <v>0</v>
      </c>
    </row>
    <row r="165">
      <c r="A165" s="49" t="str">
        <f>IFERROR(__xludf.DUMMYFUNCTION("""COMPUTED_VALUE"""),"Leggings Of Tritonoch")</f>
        <v>Leggings Of Tritonoch</v>
      </c>
      <c r="B165" s="49" t="str">
        <f>IFERROR(__xludf.DUMMYFUNCTION("""COMPUTED_VALUE"""),"Legs")</f>
        <v>Legs</v>
      </c>
      <c r="C165" s="49"/>
      <c r="D165" s="49"/>
      <c r="E165" s="49">
        <f>IFERROR(__xludf.DUMMYFUNCTION("""COMPUTED_VALUE"""),400.0)</f>
        <v>400</v>
      </c>
      <c r="F165" s="112">
        <f>IFERROR(__xludf.DUMMYFUNCTION("""COMPUTED_VALUE"""),7800000.0)</f>
        <v>7800000</v>
      </c>
      <c r="G165" s="49" t="str">
        <f>IFERROR(__xludf.DUMMYFUNCTION("""COMPUTED_VALUE"""),"DEF")</f>
        <v>DEF</v>
      </c>
      <c r="H165" s="49">
        <f>IFERROR(__xludf.DUMMYFUNCTION("""COMPUTED_VALUE"""),20000.0)</f>
        <v>20000</v>
      </c>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t="str">
        <f>IFERROR(__xludf.DUMMYFUNCTION("""COMPUTED_VALUE"""),"++Waves of Entitlement - x5 additional Water damage")</f>
        <v>++Waves of Entitlement - x5 additional Water damage</v>
      </c>
      <c r="AG165" s="49" t="str">
        <f>IFERROR(__xludf.DUMMYFUNCTION("""COMPUTED_VALUE"""),"Land of Spira")</f>
        <v>Land of Spira</v>
      </c>
      <c r="AH165" s="49" t="b">
        <f>IFERROR(__xludf.DUMMYFUNCTION("""COMPUTED_VALUE"""),FALSE)</f>
        <v>0</v>
      </c>
    </row>
    <row r="166">
      <c r="A166" s="49" t="str">
        <f>IFERROR(__xludf.DUMMYFUNCTION("""COMPUTED_VALUE"""),"Lightning Lance")</f>
        <v>Lightning Lance</v>
      </c>
      <c r="B166" s="49" t="str">
        <f>IFERROR(__xludf.DUMMYFUNCTION("""COMPUTED_VALUE"""),"Hand")</f>
        <v>Hand</v>
      </c>
      <c r="C166" s="49"/>
      <c r="D166" s="49" t="str">
        <f>IFERROR(__xludf.DUMMYFUNCTION("""COMPUTED_VALUE"""),"Spear")</f>
        <v>Spear</v>
      </c>
      <c r="E166" s="49">
        <f>IFERROR(__xludf.DUMMYFUNCTION("""COMPUTED_VALUE"""),500.0)</f>
        <v>500</v>
      </c>
      <c r="F166" s="112">
        <f>IFERROR(__xludf.DUMMYFUNCTION("""COMPUTED_VALUE"""),1.225E7)</f>
        <v>12250000</v>
      </c>
      <c r="G166" s="49" t="str">
        <f>IFERROR(__xludf.DUMMYFUNCTION("""COMPUTED_VALUE"""),"DMG")</f>
        <v>DMG</v>
      </c>
      <c r="H166" s="125">
        <f>IFERROR(__xludf.DUMMYFUNCTION("""COMPUTED_VALUE"""),10000.0)</f>
        <v>10000</v>
      </c>
      <c r="I166" s="49"/>
      <c r="J166" s="49"/>
      <c r="K166" s="49"/>
      <c r="L166" s="125">
        <f>IFERROR(__xludf.DUMMYFUNCTION("""COMPUTED_VALUE"""),15000.0)</f>
        <v>15000</v>
      </c>
      <c r="M166" s="49"/>
      <c r="N166" s="49"/>
      <c r="O166" s="49"/>
      <c r="P166" s="49"/>
      <c r="Q166" s="49"/>
      <c r="R166" s="49"/>
      <c r="S166" s="49"/>
      <c r="T166" s="49"/>
      <c r="U166" s="49"/>
      <c r="V166" s="49"/>
      <c r="W166" s="49"/>
      <c r="X166" s="49"/>
      <c r="Y166" s="49"/>
      <c r="Z166" s="49"/>
      <c r="AA166" s="49"/>
      <c r="AB166" s="49"/>
      <c r="AC166" s="49"/>
      <c r="AD166" s="49"/>
      <c r="AE166" s="49"/>
      <c r="AF166" s="49" t="str">
        <f>IFERROR(__xludf.DUMMYFUNCTION("""COMPUTED_VALUE"""),"++Stun 2")</f>
        <v>++Stun 2</v>
      </c>
      <c r="AG166" s="49" t="str">
        <f>IFERROR(__xludf.DUMMYFUNCTION("""COMPUTED_VALUE"""),"Land of Spira")</f>
        <v>Land of Spira</v>
      </c>
      <c r="AH166" s="49" t="b">
        <f>IFERROR(__xludf.DUMMYFUNCTION("""COMPUTED_VALUE"""),FALSE)</f>
        <v>0</v>
      </c>
    </row>
    <row r="167">
      <c r="A167" s="49" t="str">
        <f>IFERROR(__xludf.DUMMYFUNCTION("""COMPUTED_VALUE"""),"Long Spear")</f>
        <v>Long Spear</v>
      </c>
      <c r="B167" s="49" t="str">
        <f>IFERROR(__xludf.DUMMYFUNCTION("""COMPUTED_VALUE"""),"Hand")</f>
        <v>Hand</v>
      </c>
      <c r="C167" s="49"/>
      <c r="D167" s="49" t="str">
        <f>IFERROR(__xludf.DUMMYFUNCTION("""COMPUTED_VALUE"""),"Spear")</f>
        <v>Spear</v>
      </c>
      <c r="E167" s="49">
        <f>IFERROR(__xludf.DUMMYFUNCTION("""COMPUTED_VALUE"""),10.0)</f>
        <v>10</v>
      </c>
      <c r="F167" s="112">
        <f>IFERROR(__xludf.DUMMYFUNCTION("""COMPUTED_VALUE"""),1000.0)</f>
        <v>1000</v>
      </c>
      <c r="G167" s="49" t="str">
        <f>IFERROR(__xludf.DUMMYFUNCTION("""COMPUTED_VALUE"""),"DMG")</f>
        <v>DMG</v>
      </c>
      <c r="H167" s="49">
        <f>IFERROR(__xludf.DUMMYFUNCTION("""COMPUTED_VALUE"""),500.0)</f>
        <v>500</v>
      </c>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t="str">
        <f>IFERROR(__xludf.DUMMYFUNCTION("""COMPUTED_VALUE"""),"++25% chance of instant death. ")</f>
        <v>++25% chance of instant death. </v>
      </c>
      <c r="AG167" s="49" t="str">
        <f>IFERROR(__xludf.DUMMYFUNCTION("""COMPUTED_VALUE"""),"Land of Spira")</f>
        <v>Land of Spira</v>
      </c>
      <c r="AH167" s="49" t="b">
        <f>IFERROR(__xludf.DUMMYFUNCTION("""COMPUTED_VALUE"""),FALSE)</f>
        <v>0</v>
      </c>
    </row>
    <row r="168">
      <c r="A168" s="49" t="str">
        <f>IFERROR(__xludf.DUMMYFUNCTION("""COMPUTED_VALUE"""),"Lord Dreadfuls Sword")</f>
        <v>Lord Dreadfuls Sword</v>
      </c>
      <c r="B168" s="49" t="str">
        <f>IFERROR(__xludf.DUMMYFUNCTION("""COMPUTED_VALUE"""),"Hand")</f>
        <v>Hand</v>
      </c>
      <c r="C168" s="49"/>
      <c r="D168" s="49" t="str">
        <f>IFERROR(__xludf.DUMMYFUNCTION("""COMPUTED_VALUE"""),"Sword")</f>
        <v>Sword</v>
      </c>
      <c r="E168" s="49">
        <f>IFERROR(__xludf.DUMMYFUNCTION("""COMPUTED_VALUE"""),800.0)</f>
        <v>800</v>
      </c>
      <c r="F168" s="112">
        <f>IFERROR(__xludf.DUMMYFUNCTION("""COMPUTED_VALUE"""),3.16E7)</f>
        <v>31600000</v>
      </c>
      <c r="G168" s="49" t="str">
        <f>IFERROR(__xludf.DUMMYFUNCTION("""COMPUTED_VALUE"""),"DMG")</f>
        <v>DMG</v>
      </c>
      <c r="H168" s="49">
        <f>IFERROR(__xludf.DUMMYFUNCTION("""COMPUTED_VALUE"""),20000.0)</f>
        <v>20000</v>
      </c>
      <c r="I168" s="49"/>
      <c r="J168" s="49"/>
      <c r="K168" s="49"/>
      <c r="L168" s="49"/>
      <c r="M168" s="49"/>
      <c r="N168" s="49"/>
      <c r="O168" s="49">
        <f>IFERROR(__xludf.DUMMYFUNCTION("""COMPUTED_VALUE"""),10000.0)</f>
        <v>10000</v>
      </c>
      <c r="P168" s="49"/>
      <c r="Q168" s="49"/>
      <c r="R168" s="49">
        <f>IFERROR(__xludf.DUMMYFUNCTION("""COMPUTED_VALUE"""),10000.0)</f>
        <v>10000</v>
      </c>
      <c r="S168" s="49"/>
      <c r="T168" s="49"/>
      <c r="U168" s="49"/>
      <c r="V168" s="49"/>
      <c r="W168" s="49"/>
      <c r="X168" s="49"/>
      <c r="Y168" s="49"/>
      <c r="Z168" s="49"/>
      <c r="AA168" s="49"/>
      <c r="AB168" s="49"/>
      <c r="AC168" s="49"/>
      <c r="AD168" s="49"/>
      <c r="AE168" s="49"/>
      <c r="AF168" s="49"/>
      <c r="AG168" s="49" t="str">
        <f>IFERROR(__xludf.DUMMYFUNCTION("""COMPUTED_VALUE"""),"Land of Spira")</f>
        <v>Land of Spira</v>
      </c>
      <c r="AH168" s="49" t="b">
        <f>IFERROR(__xludf.DUMMYFUNCTION("""COMPUTED_VALUE"""),TRUE)</f>
        <v>1</v>
      </c>
    </row>
    <row r="169">
      <c r="A169" s="49" t="str">
        <f>IFERROR(__xludf.DUMMYFUNCTION("""COMPUTED_VALUE"""),"Magma Morningstar")</f>
        <v>Magma Morningstar</v>
      </c>
      <c r="B169" s="49" t="str">
        <f>IFERROR(__xludf.DUMMYFUNCTION("""COMPUTED_VALUE"""),"Hand")</f>
        <v>Hand</v>
      </c>
      <c r="C169" s="49"/>
      <c r="D169" s="49" t="str">
        <f>IFERROR(__xludf.DUMMYFUNCTION("""COMPUTED_VALUE"""),"Club")</f>
        <v>Club</v>
      </c>
      <c r="E169" s="49">
        <f>IFERROR(__xludf.DUMMYFUNCTION("""COMPUTED_VALUE"""),20.0)</f>
        <v>20</v>
      </c>
      <c r="F169" s="112">
        <f>IFERROR(__xludf.DUMMYFUNCTION("""COMPUTED_VALUE"""),1000.0)</f>
        <v>1000</v>
      </c>
      <c r="G169" s="49" t="str">
        <f>IFERROR(__xludf.DUMMYFUNCTION("""COMPUTED_VALUE"""),"DMG")</f>
        <v>DMG</v>
      </c>
      <c r="H169" s="49">
        <f>IFERROR(__xludf.DUMMYFUNCTION("""COMPUTED_VALUE"""),500.0)</f>
        <v>500</v>
      </c>
      <c r="I169" s="49">
        <f>IFERROR(__xludf.DUMMYFUNCTION("""COMPUTED_VALUE"""),400.0)</f>
        <v>400</v>
      </c>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t="str">
        <f>IFERROR(__xludf.DUMMYFUNCTION("""COMPUTED_VALUE"""),"++Will return to you each round when thrown")</f>
        <v>++Will return to you each round when thrown</v>
      </c>
      <c r="AG169" s="49" t="str">
        <f>IFERROR(__xludf.DUMMYFUNCTION("""COMPUTED_VALUE"""),"Land of Spira")</f>
        <v>Land of Spira</v>
      </c>
      <c r="AH169" s="49" t="b">
        <f>IFERROR(__xludf.DUMMYFUNCTION("""COMPUTED_VALUE"""),FALSE)</f>
        <v>0</v>
      </c>
    </row>
    <row r="170">
      <c r="A170" s="49" t="str">
        <f>IFERROR(__xludf.DUMMYFUNCTION("""COMPUTED_VALUE"""),"Magma Sword")</f>
        <v>Magma Sword</v>
      </c>
      <c r="B170" s="49" t="str">
        <f>IFERROR(__xludf.DUMMYFUNCTION("""COMPUTED_VALUE"""),"Hand")</f>
        <v>Hand</v>
      </c>
      <c r="C170" s="49" t="str">
        <f>IFERROR(__xludf.DUMMYFUNCTION("""COMPUTED_VALUE"""),"A sword that turned Forest View into Ash View.")</f>
        <v>A sword that turned Forest View into Ash View.</v>
      </c>
      <c r="D170" s="49" t="str">
        <f>IFERROR(__xludf.DUMMYFUNCTION("""COMPUTED_VALUE"""),"Sword")</f>
        <v>Sword</v>
      </c>
      <c r="E170" s="49">
        <f>IFERROR(__xludf.DUMMYFUNCTION("""COMPUTED_VALUE"""),200.0)</f>
        <v>200</v>
      </c>
      <c r="F170" s="112">
        <f>IFERROR(__xludf.DUMMYFUNCTION("""COMPUTED_VALUE"""),4.485E8)</f>
        <v>448500000</v>
      </c>
      <c r="G170" s="49" t="str">
        <f>IFERROR(__xludf.DUMMYFUNCTION("""COMPUTED_VALUE"""),"DMG")</f>
        <v>DMG</v>
      </c>
      <c r="H170" s="125">
        <f>IFERROR(__xludf.DUMMYFUNCTION("""COMPUTED_VALUE"""),50000.0)</f>
        <v>50000</v>
      </c>
      <c r="I170" s="125">
        <f>IFERROR(__xludf.DUMMYFUNCTION("""COMPUTED_VALUE"""),50000.0)</f>
        <v>50000</v>
      </c>
      <c r="J170" s="49"/>
      <c r="K170" s="49"/>
      <c r="L170" s="49"/>
      <c r="M170" s="49"/>
      <c r="N170" s="49"/>
      <c r="O170" s="49"/>
      <c r="P170" s="49"/>
      <c r="Q170" s="49"/>
      <c r="R170" s="49"/>
      <c r="S170" s="49"/>
      <c r="T170" s="49"/>
      <c r="U170" s="49"/>
      <c r="V170" s="49"/>
      <c r="W170" s="49"/>
      <c r="X170" s="49"/>
      <c r="Y170" s="49"/>
      <c r="Z170" s="49"/>
      <c r="AA170" s="49"/>
      <c r="AB170" s="49"/>
      <c r="AC170" s="125">
        <f>IFERROR(__xludf.DUMMYFUNCTION("""COMPUTED_VALUE"""),50000.0)</f>
        <v>50000</v>
      </c>
      <c r="AD170" s="49"/>
      <c r="AE170" s="49"/>
      <c r="AF170" s="49" t="str">
        <f>IFERROR(__xludf.DUMMYFUNCTION("""COMPUTED_VALUE"""),"++X6 additional Fire damage. ++Burn 20,000 for 3 rounds. +-Cannot be duplicated")</f>
        <v>++X6 additional Fire damage. ++Burn 20,000 for 3 rounds. +-Cannot be duplicated</v>
      </c>
      <c r="AG170" s="49" t="str">
        <f>IFERROR(__xludf.DUMMYFUNCTION("""COMPUTED_VALUE"""),"Abstara")</f>
        <v>Abstara</v>
      </c>
      <c r="AH170" s="49" t="b">
        <f>IFERROR(__xludf.DUMMYFUNCTION("""COMPUTED_VALUE"""),FALSE)</f>
        <v>0</v>
      </c>
    </row>
    <row r="171">
      <c r="A171" s="49" t="str">
        <f>IFERROR(__xludf.DUMMYFUNCTION("""COMPUTED_VALUE"""),"Masking Cloak")</f>
        <v>Masking Cloak</v>
      </c>
      <c r="B171" s="49" t="str">
        <f>IFERROR(__xludf.DUMMYFUNCTION("""COMPUTED_VALUE"""),"Torso")</f>
        <v>Torso</v>
      </c>
      <c r="C171" s="49"/>
      <c r="D171" s="49"/>
      <c r="E171" s="49">
        <f>IFERROR(__xludf.DUMMYFUNCTION("""COMPUTED_VALUE"""),1.0)</f>
        <v>1</v>
      </c>
      <c r="F171" s="112">
        <f>IFERROR(__xludf.DUMMYFUNCTION("""COMPUTED_VALUE"""),0.0)</f>
        <v>0</v>
      </c>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t="str">
        <f>IFERROR(__xludf.DUMMYFUNCTION("""COMPUTED_VALUE"""),"++5 Evasion +-(Cannot be duplicated)")</f>
        <v>++5 Evasion +-(Cannot be duplicated)</v>
      </c>
      <c r="AG171" s="49" t="str">
        <f>IFERROR(__xludf.DUMMYFUNCTION("""COMPUTED_VALUE"""),"Land of Spira")</f>
        <v>Land of Spira</v>
      </c>
      <c r="AH171" s="49" t="b">
        <f>IFERROR(__xludf.DUMMYFUNCTION("""COMPUTED_VALUE"""),FALSE)</f>
        <v>0</v>
      </c>
    </row>
    <row r="172">
      <c r="A172" s="49" t="str">
        <f>IFERROR(__xludf.DUMMYFUNCTION("""COMPUTED_VALUE"""),"Mini Lucky Fish in a Bottle")</f>
        <v>Mini Lucky Fish in a Bottle</v>
      </c>
      <c r="B172" s="49" t="str">
        <f>IFERROR(__xludf.DUMMYFUNCTION("""COMPUTED_VALUE"""),"Hand")</f>
        <v>Hand</v>
      </c>
      <c r="C172" s="49"/>
      <c r="D172" s="49" t="str">
        <f>IFERROR(__xludf.DUMMYFUNCTION("""COMPUTED_VALUE"""),"Wand")</f>
        <v>Wand</v>
      </c>
      <c r="E172" s="49">
        <f>IFERROR(__xludf.DUMMYFUNCTION("""COMPUTED_VALUE"""),1.0)</f>
        <v>1</v>
      </c>
      <c r="F172" s="112">
        <f>IFERROR(__xludf.DUMMYFUNCTION("""COMPUTED_VALUE"""),0.0)</f>
        <v>0</v>
      </c>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t="str">
        <f>IFERROR(__xludf.DUMMYFUNCTION("""COMPUTED_VALUE"""),"++Percentage rolls are now increased by 10% for caster that holds this item. +-Can only equip one")</f>
        <v>++Percentage rolls are now increased by 10% for caster that holds this item. +-Can only equip one</v>
      </c>
      <c r="AG172" s="49" t="str">
        <f>IFERROR(__xludf.DUMMYFUNCTION("""COMPUTED_VALUE"""),"Land of Spira")</f>
        <v>Land of Spira</v>
      </c>
      <c r="AH172" s="49" t="b">
        <f>IFERROR(__xludf.DUMMYFUNCTION("""COMPUTED_VALUE"""),FALSE)</f>
        <v>0</v>
      </c>
    </row>
    <row r="173">
      <c r="A173" s="49" t="str">
        <f>IFERROR(__xludf.DUMMYFUNCTION("""COMPUTED_VALUE"""),"Nature Faery Wand")</f>
        <v>Nature Faery Wand</v>
      </c>
      <c r="B173" s="49" t="str">
        <f>IFERROR(__xludf.DUMMYFUNCTION("""COMPUTED_VALUE"""),"Hand")</f>
        <v>Hand</v>
      </c>
      <c r="C173" s="49"/>
      <c r="D173" s="49" t="str">
        <f>IFERROR(__xludf.DUMMYFUNCTION("""COMPUTED_VALUE"""),"Wand")</f>
        <v>Wand</v>
      </c>
      <c r="E173" s="49">
        <f>IFERROR(__xludf.DUMMYFUNCTION("""COMPUTED_VALUE"""),1.0)</f>
        <v>1</v>
      </c>
      <c r="F173" s="112">
        <f>IFERROR(__xludf.DUMMYFUNCTION("""COMPUTED_VALUE"""),0.0)</f>
        <v>0</v>
      </c>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t="str">
        <f>IFERROR(__xludf.DUMMYFUNCTION("""COMPUTED_VALUE"""),"++half the sp cost of nature spells")</f>
        <v>++half the sp cost of nature spells</v>
      </c>
      <c r="AG173" s="49" t="str">
        <f>IFERROR(__xludf.DUMMYFUNCTION("""COMPUTED_VALUE"""),"Land of Spira")</f>
        <v>Land of Spira</v>
      </c>
      <c r="AH173" s="49" t="b">
        <f>IFERROR(__xludf.DUMMYFUNCTION("""COMPUTED_VALUE"""),FALSE)</f>
        <v>0</v>
      </c>
    </row>
    <row r="174">
      <c r="A174" s="49" t="str">
        <f>IFERROR(__xludf.DUMMYFUNCTION("""COMPUTED_VALUE"""),"Nature's Sword")</f>
        <v>Nature's Sword</v>
      </c>
      <c r="B174" s="49" t="str">
        <f>IFERROR(__xludf.DUMMYFUNCTION("""COMPUTED_VALUE"""),"Hand")</f>
        <v>Hand</v>
      </c>
      <c r="C174" s="49"/>
      <c r="D174" s="49" t="str">
        <f>IFERROR(__xludf.DUMMYFUNCTION("""COMPUTED_VALUE"""),"Sword")</f>
        <v>Sword</v>
      </c>
      <c r="E174" s="49">
        <f>IFERROR(__xludf.DUMMYFUNCTION("""COMPUTED_VALUE"""),40.0)</f>
        <v>40</v>
      </c>
      <c r="F174" s="112">
        <f>IFERROR(__xludf.DUMMYFUNCTION("""COMPUTED_VALUE"""),30000.0)</f>
        <v>30000</v>
      </c>
      <c r="G174" s="49" t="str">
        <f>IFERROR(__xludf.DUMMYFUNCTION("""COMPUTED_VALUE"""),"DMG")</f>
        <v>DMG</v>
      </c>
      <c r="H174" s="49">
        <f>IFERROR(__xludf.DUMMYFUNCTION("""COMPUTED_VALUE"""),800.0)</f>
        <v>800</v>
      </c>
      <c r="I174" s="49"/>
      <c r="J174" s="49"/>
      <c r="K174" s="49"/>
      <c r="L174" s="49"/>
      <c r="M174" s="49"/>
      <c r="N174" s="49"/>
      <c r="O174" s="49"/>
      <c r="P174" s="49"/>
      <c r="Q174" s="49"/>
      <c r="R174" s="49"/>
      <c r="S174" s="49">
        <f>IFERROR(__xludf.DUMMYFUNCTION("""COMPUTED_VALUE"""),800.0)</f>
        <v>800</v>
      </c>
      <c r="T174" s="49"/>
      <c r="U174" s="49"/>
      <c r="V174" s="49"/>
      <c r="W174" s="49"/>
      <c r="X174" s="49"/>
      <c r="Y174" s="49"/>
      <c r="Z174" s="49"/>
      <c r="AA174" s="49"/>
      <c r="AB174" s="49"/>
      <c r="AC174" s="49"/>
      <c r="AD174" s="49"/>
      <c r="AE174" s="49"/>
      <c r="AF174" s="49" t="str">
        <f>IFERROR(__xludf.DUMMYFUNCTION("""COMPUTED_VALUE"""),"++Upon a successful hit, the next turn you will automatically use the spell Tree Stance.")</f>
        <v>++Upon a successful hit, the next turn you will automatically use the spell Tree Stance.</v>
      </c>
      <c r="AG174" s="49" t="str">
        <f>IFERROR(__xludf.DUMMYFUNCTION("""COMPUTED_VALUE"""),"Land of Spira")</f>
        <v>Land of Spira</v>
      </c>
      <c r="AH174" s="49" t="b">
        <f>IFERROR(__xludf.DUMMYFUNCTION("""COMPUTED_VALUE"""),FALSE)</f>
        <v>0</v>
      </c>
    </row>
    <row r="175">
      <c r="A175" s="49" t="str">
        <f>IFERROR(__xludf.DUMMYFUNCTION("""COMPUTED_VALUE"""),"Necklace o' Lending")</f>
        <v>Necklace o' Lending</v>
      </c>
      <c r="B175" s="49" t="str">
        <f>IFERROR(__xludf.DUMMYFUNCTION("""COMPUTED_VALUE"""),"Neck")</f>
        <v>Neck</v>
      </c>
      <c r="C175" s="49"/>
      <c r="D175" s="49"/>
      <c r="E175" s="49">
        <f>IFERROR(__xludf.DUMMYFUNCTION("""COMPUTED_VALUE"""),1.0)</f>
        <v>1</v>
      </c>
      <c r="F175" s="112">
        <f>IFERROR(__xludf.DUMMYFUNCTION("""COMPUTED_VALUE"""),0.0)</f>
        <v>0</v>
      </c>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t="str">
        <f>IFERROR(__xludf.DUMMYFUNCTION("""COMPUTED_VALUE"""),"++Decrease XHP and XSP from your character sheet and add that amount to another target.")</f>
        <v>++Decrease XHP and XSP from your character sheet and add that amount to another target.</v>
      </c>
      <c r="AG175" s="49" t="str">
        <f>IFERROR(__xludf.DUMMYFUNCTION("""COMPUTED_VALUE"""),"Land of Spira")</f>
        <v>Land of Spira</v>
      </c>
      <c r="AH175" s="49" t="b">
        <f>IFERROR(__xludf.DUMMYFUNCTION("""COMPUTED_VALUE"""),FALSE)</f>
        <v>0</v>
      </c>
    </row>
    <row r="176">
      <c r="A176" s="49" t="str">
        <f>IFERROR(__xludf.DUMMYFUNCTION("""COMPUTED_VALUE"""),"Necklace Of Ancient Mountains")</f>
        <v>Necklace Of Ancient Mountains</v>
      </c>
      <c r="B176" s="49" t="str">
        <f>IFERROR(__xludf.DUMMYFUNCTION("""COMPUTED_VALUE"""),"Neck")</f>
        <v>Neck</v>
      </c>
      <c r="C176" s="49"/>
      <c r="D176" s="49"/>
      <c r="E176" s="49">
        <f>IFERROR(__xludf.DUMMYFUNCTION("""COMPUTED_VALUE"""),1.0)</f>
        <v>1</v>
      </c>
      <c r="F176" s="112">
        <f>IFERROR(__xludf.DUMMYFUNCTION("""COMPUTED_VALUE"""),0.0)</f>
        <v>0</v>
      </c>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49" t="str">
        <f>IFERROR(__xludf.DUMMYFUNCTION("""COMPUTED_VALUE"""),"Land of Spira")</f>
        <v>Land of Spira</v>
      </c>
      <c r="AH176" s="49" t="b">
        <f>IFERROR(__xludf.DUMMYFUNCTION("""COMPUTED_VALUE"""),FALSE)</f>
        <v>0</v>
      </c>
    </row>
    <row r="177">
      <c r="A177" s="49" t="str">
        <f>IFERROR(__xludf.DUMMYFUNCTION("""COMPUTED_VALUE"""),"Necklace Of Heatmore")</f>
        <v>Necklace Of Heatmore</v>
      </c>
      <c r="B177" s="49" t="str">
        <f>IFERROR(__xludf.DUMMYFUNCTION("""COMPUTED_VALUE"""),"Neck")</f>
        <v>Neck</v>
      </c>
      <c r="C177" s="49"/>
      <c r="D177" s="49"/>
      <c r="E177" s="49">
        <f>IFERROR(__xludf.DUMMYFUNCTION("""COMPUTED_VALUE"""),1.0)</f>
        <v>1</v>
      </c>
      <c r="F177" s="112">
        <f>IFERROR(__xludf.DUMMYFUNCTION("""COMPUTED_VALUE"""),0.0)</f>
        <v>0</v>
      </c>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t="str">
        <f>IFERROR(__xludf.DUMMYFUNCTION("""COMPUTED_VALUE"""),"++ +2 is added to your d20 roll.")</f>
        <v>++ +2 is added to your d20 roll.</v>
      </c>
      <c r="AG177" s="49" t="str">
        <f>IFERROR(__xludf.DUMMYFUNCTION("""COMPUTED_VALUE"""),"Land of Spira")</f>
        <v>Land of Spira</v>
      </c>
      <c r="AH177" s="49" t="b">
        <f>IFERROR(__xludf.DUMMYFUNCTION("""COMPUTED_VALUE"""),FALSE)</f>
        <v>0</v>
      </c>
    </row>
    <row r="178">
      <c r="A178" s="49" t="str">
        <f>IFERROR(__xludf.DUMMYFUNCTION("""COMPUTED_VALUE"""),"Necklace of Shards")</f>
        <v>Necklace of Shards</v>
      </c>
      <c r="B178" s="49" t="str">
        <f>IFERROR(__xludf.DUMMYFUNCTION("""COMPUTED_VALUE"""),"Neck")</f>
        <v>Neck</v>
      </c>
      <c r="C178" s="49"/>
      <c r="D178" s="49"/>
      <c r="E178" s="49">
        <f>IFERROR(__xludf.DUMMYFUNCTION("""COMPUTED_VALUE"""),1.0)</f>
        <v>1</v>
      </c>
      <c r="F178" s="112">
        <f>IFERROR(__xludf.DUMMYFUNCTION("""COMPUTED_VALUE"""),0.0)</f>
        <v>0</v>
      </c>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t="str">
        <f>IFERROR(__xludf.DUMMYFUNCTION("""COMPUTED_VALUE"""),"++X6 Chaos and Dark Damage. +-Cannot be duplicated.")</f>
        <v>++X6 Chaos and Dark Damage. +-Cannot be duplicated.</v>
      </c>
      <c r="AG178" s="49" t="str">
        <f>IFERROR(__xludf.DUMMYFUNCTION("""COMPUTED_VALUE"""),"Land of The Forgotten")</f>
        <v>Land of The Forgotten</v>
      </c>
      <c r="AH178" s="49" t="b">
        <f>IFERROR(__xludf.DUMMYFUNCTION("""COMPUTED_VALUE"""),FALSE)</f>
        <v>0</v>
      </c>
    </row>
    <row r="179">
      <c r="A179" s="49" t="str">
        <f>IFERROR(__xludf.DUMMYFUNCTION("""COMPUTED_VALUE"""),"Necklace of The Lost Soul")</f>
        <v>Necklace of The Lost Soul</v>
      </c>
      <c r="B179" s="49" t="str">
        <f>IFERROR(__xludf.DUMMYFUNCTION("""COMPUTED_VALUE"""),"Neck")</f>
        <v>Neck</v>
      </c>
      <c r="C179" s="49"/>
      <c r="D179" s="49"/>
      <c r="E179" s="49">
        <f>IFERROR(__xludf.DUMMYFUNCTION("""COMPUTED_VALUE"""),1.0)</f>
        <v>1</v>
      </c>
      <c r="F179" s="112">
        <f>IFERROR(__xludf.DUMMYFUNCTION("""COMPUTED_VALUE"""),0.0)</f>
        <v>0</v>
      </c>
      <c r="G179" s="49" t="str">
        <f>IFERROR(__xludf.DUMMYFUNCTION("""COMPUTED_VALUE"""),"DEF")</f>
        <v>DEF</v>
      </c>
      <c r="H179" s="49">
        <f>IFERROR(__xludf.DUMMYFUNCTION("""COMPUTED_VALUE"""),100.0)</f>
        <v>100</v>
      </c>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49" t="str">
        <f>IFERROR(__xludf.DUMMYFUNCTION("""COMPUTED_VALUE"""),"Land of Spira")</f>
        <v>Land of Spira</v>
      </c>
      <c r="AH179" s="49" t="b">
        <f>IFERROR(__xludf.DUMMYFUNCTION("""COMPUTED_VALUE"""),FALSE)</f>
        <v>0</v>
      </c>
    </row>
    <row r="180">
      <c r="A180" s="49" t="str">
        <f>IFERROR(__xludf.DUMMYFUNCTION("""COMPUTED_VALUE"""),"Necklace of the Pumpkin")</f>
        <v>Necklace of the Pumpkin</v>
      </c>
      <c r="B180" s="49" t="str">
        <f>IFERROR(__xludf.DUMMYFUNCTION("""COMPUTED_VALUE"""),"Neck")</f>
        <v>Neck</v>
      </c>
      <c r="C180" s="49"/>
      <c r="D180" s="49"/>
      <c r="E180" s="49">
        <f>IFERROR(__xludf.DUMMYFUNCTION("""COMPUTED_VALUE"""),1.0)</f>
        <v>1</v>
      </c>
      <c r="F180" s="112">
        <f>IFERROR(__xludf.DUMMYFUNCTION("""COMPUTED_VALUE"""),0.0)</f>
        <v>0</v>
      </c>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t="str">
        <f>IFERROR(__xludf.DUMMYFUNCTION("""COMPUTED_VALUE"""),"++Gives Immunity to Fire, Dark, and Nature damage")</f>
        <v>++Gives Immunity to Fire, Dark, and Nature damage</v>
      </c>
      <c r="AG180" s="49" t="str">
        <f>IFERROR(__xludf.DUMMYFUNCTION("""COMPUTED_VALUE"""),"Land of Spira")</f>
        <v>Land of Spira</v>
      </c>
      <c r="AH180" s="49" t="b">
        <f>IFERROR(__xludf.DUMMYFUNCTION("""COMPUTED_VALUE"""),FALSE)</f>
        <v>0</v>
      </c>
    </row>
    <row r="181">
      <c r="A181" s="49" t="str">
        <f>IFERROR(__xludf.DUMMYFUNCTION("""COMPUTED_VALUE"""),"Necklace Of Tritonoch")</f>
        <v>Necklace Of Tritonoch</v>
      </c>
      <c r="B181" s="49" t="str">
        <f>IFERROR(__xludf.DUMMYFUNCTION("""COMPUTED_VALUE"""),"Neck")</f>
        <v>Neck</v>
      </c>
      <c r="C181" s="49"/>
      <c r="D181" s="49"/>
      <c r="E181" s="49">
        <f>IFERROR(__xludf.DUMMYFUNCTION("""COMPUTED_VALUE"""),1.0)</f>
        <v>1</v>
      </c>
      <c r="F181" s="112">
        <f>IFERROR(__xludf.DUMMYFUNCTION("""COMPUTED_VALUE"""),0.0)</f>
        <v>0</v>
      </c>
      <c r="G181" s="49" t="str">
        <f>IFERROR(__xludf.DUMMYFUNCTION("""COMPUTED_VALUE"""),"DEF")</f>
        <v>DEF</v>
      </c>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49" t="str">
        <f>IFERROR(__xludf.DUMMYFUNCTION("""COMPUTED_VALUE"""),"Land of Spira")</f>
        <v>Land of Spira</v>
      </c>
      <c r="AH181" s="49" t="b">
        <f>IFERROR(__xludf.DUMMYFUNCTION("""COMPUTED_VALUE"""),FALSE)</f>
        <v>0</v>
      </c>
    </row>
    <row r="182">
      <c r="A182" s="49" t="str">
        <f>IFERROR(__xludf.DUMMYFUNCTION("""COMPUTED_VALUE"""),"Necklace of Waking Waters")</f>
        <v>Necklace of Waking Waters</v>
      </c>
      <c r="B182" s="49" t="str">
        <f>IFERROR(__xludf.DUMMYFUNCTION("""COMPUTED_VALUE"""),"Neck")</f>
        <v>Neck</v>
      </c>
      <c r="C182" s="49"/>
      <c r="D182" s="49"/>
      <c r="E182" s="49">
        <f>IFERROR(__xludf.DUMMYFUNCTION("""COMPUTED_VALUE"""),1.0)</f>
        <v>1</v>
      </c>
      <c r="F182" s="112">
        <f>IFERROR(__xludf.DUMMYFUNCTION("""COMPUTED_VALUE"""),0.0)</f>
        <v>0</v>
      </c>
      <c r="G182" s="49" t="str">
        <f>IFERROR(__xludf.DUMMYFUNCTION("""COMPUTED_VALUE"""),"DEF")</f>
        <v>DEF</v>
      </c>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t="str">
        <f>IFERROR(__xludf.DUMMYFUNCTION("""COMPUTED_VALUE"""),"++Immunity to sleep. ++X4 Water damage.")</f>
        <v>++Immunity to sleep. ++X4 Water damage.</v>
      </c>
      <c r="AG182" s="49" t="str">
        <f>IFERROR(__xludf.DUMMYFUNCTION("""COMPUTED_VALUE"""),"Land of Spira")</f>
        <v>Land of Spira</v>
      </c>
      <c r="AH182" s="49" t="b">
        <f>IFERROR(__xludf.DUMMYFUNCTION("""COMPUTED_VALUE"""),FALSE)</f>
        <v>0</v>
      </c>
    </row>
    <row r="183">
      <c r="A183" s="49" t="str">
        <f>IFERROR(__xludf.DUMMYFUNCTION("""COMPUTED_VALUE"""),"Necklace of Water Breathing")</f>
        <v>Necklace of Water Breathing</v>
      </c>
      <c r="B183" s="49" t="str">
        <f>IFERROR(__xludf.DUMMYFUNCTION("""COMPUTED_VALUE"""),"Neck")</f>
        <v>Neck</v>
      </c>
      <c r="C183" s="49"/>
      <c r="D183" s="49"/>
      <c r="E183" s="49">
        <f>IFERROR(__xludf.DUMMYFUNCTION("""COMPUTED_VALUE"""),1.0)</f>
        <v>1</v>
      </c>
      <c r="F183" s="112">
        <f>IFERROR(__xludf.DUMMYFUNCTION("""COMPUTED_VALUE"""),0.0)</f>
        <v>0</v>
      </c>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t="str">
        <f>IFERROR(__xludf.DUMMYFUNCTION("""COMPUTED_VALUE"""),"++Allows you to breath underwater.")</f>
        <v>++Allows you to breath underwater.</v>
      </c>
      <c r="AG183" s="49" t="str">
        <f>IFERROR(__xludf.DUMMYFUNCTION("""COMPUTED_VALUE"""),"Land of Spira")</f>
        <v>Land of Spira</v>
      </c>
      <c r="AH183" s="49" t="b">
        <f>IFERROR(__xludf.DUMMYFUNCTION("""COMPUTED_VALUE"""),FALSE)</f>
        <v>0</v>
      </c>
    </row>
    <row r="184">
      <c r="A184" s="49" t="str">
        <f>IFERROR(__xludf.DUMMYFUNCTION("""COMPUTED_VALUE"""),"Obsidian Chestplate")</f>
        <v>Obsidian Chestplate</v>
      </c>
      <c r="B184" s="49" t="str">
        <f>IFERROR(__xludf.DUMMYFUNCTION("""COMPUTED_VALUE"""),"Torso")</f>
        <v>Torso</v>
      </c>
      <c r="C184" s="49" t="str">
        <f>IFERROR(__xludf.DUMMYFUNCTION("""COMPUTED_VALUE"""),"Quest Item")</f>
        <v>Quest Item</v>
      </c>
      <c r="D184" s="49"/>
      <c r="E184" s="49">
        <f>IFERROR(__xludf.DUMMYFUNCTION("""COMPUTED_VALUE"""),4000.0)</f>
        <v>4000</v>
      </c>
      <c r="F184" s="112">
        <f>IFERROR(__xludf.DUMMYFUNCTION("""COMPUTED_VALUE"""),7.98E8)</f>
        <v>798000000</v>
      </c>
      <c r="G184" s="49" t="str">
        <f>IFERROR(__xludf.DUMMYFUNCTION("""COMPUTED_VALUE"""),"DEF")</f>
        <v>DEF</v>
      </c>
      <c r="H184" s="125">
        <f>IFERROR(__xludf.DUMMYFUNCTION("""COMPUTED_VALUE"""),100000.0)</f>
        <v>100000</v>
      </c>
      <c r="I184" s="125">
        <f>IFERROR(__xludf.DUMMYFUNCTION("""COMPUTED_VALUE"""),100000.0)</f>
        <v>100000</v>
      </c>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t="str">
        <f>IFERROR(__xludf.DUMMYFUNCTION("""COMPUTED_VALUE"""),"++Fire Immunity. +-Cannot be duplicated.")</f>
        <v>++Fire Immunity. +-Cannot be duplicated.</v>
      </c>
      <c r="AG184" s="49" t="str">
        <f>IFERROR(__xludf.DUMMYFUNCTION("""COMPUTED_VALUE"""),"Land of Spira")</f>
        <v>Land of Spira</v>
      </c>
      <c r="AH184" s="49" t="b">
        <f>IFERROR(__xludf.DUMMYFUNCTION("""COMPUTED_VALUE"""),FALSE)</f>
        <v>0</v>
      </c>
    </row>
    <row r="185">
      <c r="A185" s="49"/>
      <c r="B185" s="49" t="str">
        <f>IFERROR(__xludf.DUMMYFUNCTION("""COMPUTED_VALUE"""),"Hand")</f>
        <v>Hand</v>
      </c>
      <c r="C185" s="49"/>
      <c r="D185" s="49"/>
      <c r="E185" s="49">
        <f>IFERROR(__xludf.DUMMYFUNCTION("""COMPUTED_VALUE"""),1.0)</f>
        <v>1</v>
      </c>
      <c r="F185" s="112">
        <f>IFERROR(__xludf.DUMMYFUNCTION("""COMPUTED_VALUE"""),0.0)</f>
        <v>0</v>
      </c>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t="str">
        <f>IFERROR(__xludf.DUMMYFUNCTION("""COMPUTED_VALUE"""),"Land of Spira")</f>
        <v>Land of Spira</v>
      </c>
      <c r="AH185" s="49" t="b">
        <f>IFERROR(__xludf.DUMMYFUNCTION("""COMPUTED_VALUE"""),FALSE)</f>
        <v>0</v>
      </c>
    </row>
    <row r="186">
      <c r="A186" s="49" t="str">
        <f>IFERROR(__xludf.DUMMYFUNCTION("""COMPUTED_VALUE"""),"Ancient Oni Mask")</f>
        <v>Ancient Oni Mask</v>
      </c>
      <c r="B186" s="49" t="str">
        <f>IFERROR(__xludf.DUMMYFUNCTION("""COMPUTED_VALUE"""),"Head")</f>
        <v>Head</v>
      </c>
      <c r="C186" s="49" t="str">
        <f>IFERROR(__xludf.DUMMYFUNCTION("""COMPUTED_VALUE"""),"An ancient relic to Zhenmay")</f>
        <v>An ancient relic to Zhenmay</v>
      </c>
      <c r="D186" s="49"/>
      <c r="E186" s="49">
        <f>IFERROR(__xludf.DUMMYFUNCTION("""COMPUTED_VALUE"""),200.0)</f>
        <v>200</v>
      </c>
      <c r="F186" s="112">
        <f>IFERROR(__xludf.DUMMYFUNCTION("""COMPUTED_VALUE"""),5.104E8)</f>
        <v>510400000</v>
      </c>
      <c r="G186" s="49" t="str">
        <f>IFERROR(__xludf.DUMMYFUNCTION("""COMPUTED_VALUE"""),"DEF")</f>
        <v>DEF</v>
      </c>
      <c r="H186" s="125">
        <f>IFERROR(__xludf.DUMMYFUNCTION("""COMPUTED_VALUE"""),10000.0)</f>
        <v>10000</v>
      </c>
      <c r="I186" s="125">
        <f>IFERROR(__xludf.DUMMYFUNCTION("""COMPUTED_VALUE"""),10000.0)</f>
        <v>10000</v>
      </c>
      <c r="J186" s="125">
        <f>IFERROR(__xludf.DUMMYFUNCTION("""COMPUTED_VALUE"""),10000.0)</f>
        <v>10000</v>
      </c>
      <c r="K186" s="125">
        <f>IFERROR(__xludf.DUMMYFUNCTION("""COMPUTED_VALUE"""),10000.0)</f>
        <v>10000</v>
      </c>
      <c r="L186" s="125">
        <f>IFERROR(__xludf.DUMMYFUNCTION("""COMPUTED_VALUE"""),10000.0)</f>
        <v>10000</v>
      </c>
      <c r="M186" s="125">
        <f>IFERROR(__xludf.DUMMYFUNCTION("""COMPUTED_VALUE"""),10000.0)</f>
        <v>10000</v>
      </c>
      <c r="N186" s="125">
        <f>IFERROR(__xludf.DUMMYFUNCTION("""COMPUTED_VALUE"""),10000.0)</f>
        <v>10000</v>
      </c>
      <c r="O186" s="125">
        <f>IFERROR(__xludf.DUMMYFUNCTION("""COMPUTED_VALUE"""),10000.0)</f>
        <v>10000</v>
      </c>
      <c r="P186" s="125">
        <f>IFERROR(__xludf.DUMMYFUNCTION("""COMPUTED_VALUE"""),10000.0)</f>
        <v>10000</v>
      </c>
      <c r="Q186" s="125">
        <f>IFERROR(__xludf.DUMMYFUNCTION("""COMPUTED_VALUE"""),10000.0)</f>
        <v>10000</v>
      </c>
      <c r="R186" s="125">
        <f>IFERROR(__xludf.DUMMYFUNCTION("""COMPUTED_VALUE"""),10000.0)</f>
        <v>10000</v>
      </c>
      <c r="S186" s="125">
        <f>IFERROR(__xludf.DUMMYFUNCTION("""COMPUTED_VALUE"""),10000.0)</f>
        <v>10000</v>
      </c>
      <c r="T186" s="49"/>
      <c r="U186" s="49"/>
      <c r="V186" s="49"/>
      <c r="W186" s="49"/>
      <c r="X186" s="125">
        <f>IFERROR(__xludf.DUMMYFUNCTION("""COMPUTED_VALUE"""),10000.0)</f>
        <v>10000</v>
      </c>
      <c r="Y186" s="125">
        <f>IFERROR(__xludf.DUMMYFUNCTION("""COMPUTED_VALUE"""),10000.0)</f>
        <v>10000</v>
      </c>
      <c r="Z186" s="49"/>
      <c r="AA186" s="49"/>
      <c r="AB186" s="125">
        <f>IFERROR(__xludf.DUMMYFUNCTION("""COMPUTED_VALUE"""),10000.0)</f>
        <v>10000</v>
      </c>
      <c r="AC186" s="125">
        <f>IFERROR(__xludf.DUMMYFUNCTION("""COMPUTED_VALUE"""),10000.0)</f>
        <v>10000</v>
      </c>
      <c r="AD186" s="49"/>
      <c r="AE186" s="49"/>
      <c r="AF186" s="49" t="str">
        <f>IFERROR(__xludf.DUMMYFUNCTION("""COMPUTED_VALUE"""),"++X2 damage for all elements. +-Only Samurai's, Monks, and Ninjas can equip. +-Cannot be forged +-Cannot be duplicated")</f>
        <v>++X2 damage for all elements. +-Only Samurai's, Monks, and Ninjas can equip. +-Cannot be forged +-Cannot be duplicated</v>
      </c>
      <c r="AG186" s="49" t="str">
        <f>IFERROR(__xludf.DUMMYFUNCTION("""COMPUTED_VALUE"""),"Land of Spira")</f>
        <v>Land of Spira</v>
      </c>
      <c r="AH186" s="49" t="b">
        <f>IFERROR(__xludf.DUMMYFUNCTION("""COMPUTED_VALUE"""),FALSE)</f>
        <v>0</v>
      </c>
    </row>
    <row r="187">
      <c r="A187" s="49" t="str">
        <f>IFERROR(__xludf.DUMMYFUNCTION("""COMPUTED_VALUE"""),"Pauldrons of Waking Waters")</f>
        <v>Pauldrons of Waking Waters</v>
      </c>
      <c r="B187" s="49" t="str">
        <f>IFERROR(__xludf.DUMMYFUNCTION("""COMPUTED_VALUE"""),"Shoulders")</f>
        <v>Shoulders</v>
      </c>
      <c r="C187" s="49"/>
      <c r="D187" s="49"/>
      <c r="E187" s="49">
        <f>IFERROR(__xludf.DUMMYFUNCTION("""COMPUTED_VALUE"""),200.0)</f>
        <v>200</v>
      </c>
      <c r="F187" s="112">
        <f>IFERROR(__xludf.DUMMYFUNCTION("""COMPUTED_VALUE"""),1900000.0)</f>
        <v>1900000</v>
      </c>
      <c r="G187" s="49" t="str">
        <f>IFERROR(__xludf.DUMMYFUNCTION("""COMPUTED_VALUE"""),"DEF")</f>
        <v>DEF</v>
      </c>
      <c r="H187" s="49">
        <f>IFERROR(__xludf.DUMMYFUNCTION("""COMPUTED_VALUE"""),5000.0)</f>
        <v>5000</v>
      </c>
      <c r="I187" s="49"/>
      <c r="J187" s="49"/>
      <c r="K187" s="49">
        <f>IFERROR(__xludf.DUMMYFUNCTION("""COMPUTED_VALUE"""),5000.0)</f>
        <v>5000</v>
      </c>
      <c r="L187" s="49"/>
      <c r="M187" s="49"/>
      <c r="N187" s="49"/>
      <c r="O187" s="49"/>
      <c r="P187" s="49"/>
      <c r="Q187" s="49"/>
      <c r="R187" s="49"/>
      <c r="S187" s="49"/>
      <c r="T187" s="49"/>
      <c r="U187" s="49"/>
      <c r="V187" s="49"/>
      <c r="W187" s="49"/>
      <c r="X187" s="49"/>
      <c r="Y187" s="49"/>
      <c r="Z187" s="49"/>
      <c r="AA187" s="49"/>
      <c r="AB187" s="49"/>
      <c r="AC187" s="49"/>
      <c r="AD187" s="49"/>
      <c r="AE187" s="49"/>
      <c r="AF187" s="49" t="str">
        <f>IFERROR(__xludf.DUMMYFUNCTION("""COMPUTED_VALUE"""),"++X4 additional water damage for self.")</f>
        <v>++X4 additional water damage for self.</v>
      </c>
      <c r="AG187" s="49" t="str">
        <f>IFERROR(__xludf.DUMMYFUNCTION("""COMPUTED_VALUE"""),"Land of Spira")</f>
        <v>Land of Spira</v>
      </c>
      <c r="AH187" s="49" t="b">
        <f>IFERROR(__xludf.DUMMYFUNCTION("""COMPUTED_VALUE"""),FALSE)</f>
        <v>0</v>
      </c>
    </row>
    <row r="188">
      <c r="A188" s="49" t="str">
        <f>IFERROR(__xludf.DUMMYFUNCTION("""COMPUTED_VALUE"""),"Pendent of the Sea Serpent")</f>
        <v>Pendent of the Sea Serpent</v>
      </c>
      <c r="B188" s="49" t="str">
        <f>IFERROR(__xludf.DUMMYFUNCTION("""COMPUTED_VALUE"""),"Neck")</f>
        <v>Neck</v>
      </c>
      <c r="C188" s="49"/>
      <c r="D188" s="49"/>
      <c r="E188" s="49">
        <f>IFERROR(__xludf.DUMMYFUNCTION("""COMPUTED_VALUE"""),1.0)</f>
        <v>1</v>
      </c>
      <c r="F188" s="112">
        <f>IFERROR(__xludf.DUMMYFUNCTION("""COMPUTED_VALUE"""),0.0)</f>
        <v>0</v>
      </c>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t="str">
        <f>IFERROR(__xludf.DUMMYFUNCTION("""COMPUTED_VALUE"""),"++X2 Water Resistance.")</f>
        <v>++X2 Water Resistance.</v>
      </c>
      <c r="AG188" s="49" t="str">
        <f>IFERROR(__xludf.DUMMYFUNCTION("""COMPUTED_VALUE"""),"Land of Spira")</f>
        <v>Land of Spira</v>
      </c>
      <c r="AH188" s="49" t="b">
        <f>IFERROR(__xludf.DUMMYFUNCTION("""COMPUTED_VALUE"""),FALSE)</f>
        <v>0</v>
      </c>
    </row>
    <row r="189">
      <c r="A189" s="49" t="str">
        <f>IFERROR(__xludf.DUMMYFUNCTION("""COMPUTED_VALUE"""),"Pendent of Confusion")</f>
        <v>Pendent of Confusion</v>
      </c>
      <c r="B189" s="49" t="str">
        <f>IFERROR(__xludf.DUMMYFUNCTION("""COMPUTED_VALUE"""),"Neck")</f>
        <v>Neck</v>
      </c>
      <c r="C189" s="49"/>
      <c r="D189" s="49"/>
      <c r="E189" s="49">
        <f>IFERROR(__xludf.DUMMYFUNCTION("""COMPUTED_VALUE"""),1.0)</f>
        <v>1</v>
      </c>
      <c r="F189" s="112">
        <f>IFERROR(__xludf.DUMMYFUNCTION("""COMPUTED_VALUE"""),0.0)</f>
        <v>0</v>
      </c>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49" t="str">
        <f>IFERROR(__xludf.DUMMYFUNCTION("""COMPUTED_VALUE"""),"Land of Spira")</f>
        <v>Land of Spira</v>
      </c>
      <c r="AH189" s="49" t="b">
        <f>IFERROR(__xludf.DUMMYFUNCTION("""COMPUTED_VALUE"""),FALSE)</f>
        <v>0</v>
      </c>
    </row>
    <row r="190">
      <c r="A190" s="49" t="str">
        <f>IFERROR(__xludf.DUMMYFUNCTION("""COMPUTED_VALUE"""),"Pendent of Luck")</f>
        <v>Pendent of Luck</v>
      </c>
      <c r="B190" s="49" t="str">
        <f>IFERROR(__xludf.DUMMYFUNCTION("""COMPUTED_VALUE"""),"Neck")</f>
        <v>Neck</v>
      </c>
      <c r="C190" s="49"/>
      <c r="D190" s="49"/>
      <c r="E190" s="49">
        <f>IFERROR(__xludf.DUMMYFUNCTION("""COMPUTED_VALUE"""),1.0)</f>
        <v>1</v>
      </c>
      <c r="F190" s="112">
        <f>IFERROR(__xludf.DUMMYFUNCTION("""COMPUTED_VALUE"""),0.0)</f>
        <v>0</v>
      </c>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t="str">
        <f>IFERROR(__xludf.DUMMYFUNCTION("""COMPUTED_VALUE"""),"++Plus 100 to each base Stat.")</f>
        <v>++Plus 100 to each base Stat.</v>
      </c>
      <c r="AG190" s="49" t="str">
        <f>IFERROR(__xludf.DUMMYFUNCTION("""COMPUTED_VALUE"""),"Land of Spira")</f>
        <v>Land of Spira</v>
      </c>
      <c r="AH190" s="49" t="b">
        <f>IFERROR(__xludf.DUMMYFUNCTION("""COMPUTED_VALUE"""),FALSE)</f>
        <v>0</v>
      </c>
    </row>
    <row r="191">
      <c r="A191" s="49" t="str">
        <f>IFERROR(__xludf.DUMMYFUNCTION("""COMPUTED_VALUE"""),"Pillow of Dreams")</f>
        <v>Pillow of Dreams</v>
      </c>
      <c r="B191" s="49" t="str">
        <f>IFERROR(__xludf.DUMMYFUNCTION("""COMPUTED_VALUE"""),"Hand")</f>
        <v>Hand</v>
      </c>
      <c r="C191" s="49"/>
      <c r="D191" s="49" t="str">
        <f>IFERROR(__xludf.DUMMYFUNCTION("""COMPUTED_VALUE"""),"Towershield")</f>
        <v>Towershield</v>
      </c>
      <c r="E191" s="49">
        <f>IFERROR(__xludf.DUMMYFUNCTION("""COMPUTED_VALUE"""),200.0)</f>
        <v>200</v>
      </c>
      <c r="F191" s="112">
        <f>IFERROR(__xludf.DUMMYFUNCTION("""COMPUTED_VALUE"""),1.2475E9)</f>
        <v>1247500000</v>
      </c>
      <c r="G191" s="49" t="str">
        <f>IFERROR(__xludf.DUMMYFUNCTION("""COMPUTED_VALUE"""),"DEF")</f>
        <v>DEF</v>
      </c>
      <c r="H191" s="125">
        <f>IFERROR(__xludf.DUMMYFUNCTION("""COMPUTED_VALUE"""),100000.0)</f>
        <v>100000</v>
      </c>
      <c r="I191" s="49"/>
      <c r="J191" s="49"/>
      <c r="K191" s="49"/>
      <c r="L191" s="49"/>
      <c r="M191" s="49"/>
      <c r="N191" s="49"/>
      <c r="O191" s="49"/>
      <c r="P191" s="49"/>
      <c r="Q191" s="49"/>
      <c r="R191" s="49"/>
      <c r="S191" s="49"/>
      <c r="T191" s="49"/>
      <c r="U191" s="49"/>
      <c r="V191" s="49"/>
      <c r="W191" s="49"/>
      <c r="X191" s="49"/>
      <c r="Y191" s="49"/>
      <c r="Z191" s="49"/>
      <c r="AA191" s="49"/>
      <c r="AB191" s="125">
        <f>IFERROR(__xludf.DUMMYFUNCTION("""COMPUTED_VALUE"""),100000.0)</f>
        <v>100000</v>
      </c>
      <c r="AC191" s="125">
        <f>IFERROR(__xludf.DUMMYFUNCTION("""COMPUTED_VALUE"""),50000.0)</f>
        <v>50000</v>
      </c>
      <c r="AD191" s="49"/>
      <c r="AE191" s="49"/>
      <c r="AF191" s="49"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49" t="str">
        <f>IFERROR(__xludf.DUMMYFUNCTION("""COMPUTED_VALUE"""),"Abstara")</f>
        <v>Abstara</v>
      </c>
      <c r="AH191" s="49" t="b">
        <f>IFERROR(__xludf.DUMMYFUNCTION("""COMPUTED_VALUE"""),FALSE)</f>
        <v>0</v>
      </c>
    </row>
    <row r="192">
      <c r="A192" s="49" t="str">
        <f>IFERROR(__xludf.DUMMYFUNCTION("""COMPUTED_VALUE"""),"Poison Vine Sword")</f>
        <v>Poison Vine Sword</v>
      </c>
      <c r="B192" s="49" t="str">
        <f>IFERROR(__xludf.DUMMYFUNCTION("""COMPUTED_VALUE"""),"Hand")</f>
        <v>Hand</v>
      </c>
      <c r="C192" s="49"/>
      <c r="D192" s="49" t="str">
        <f>IFERROR(__xludf.DUMMYFUNCTION("""COMPUTED_VALUE"""),"Sword")</f>
        <v>Sword</v>
      </c>
      <c r="E192" s="49">
        <f>IFERROR(__xludf.DUMMYFUNCTION("""COMPUTED_VALUE"""),2000.0)</f>
        <v>2000</v>
      </c>
      <c r="F192" s="112">
        <f>IFERROR(__xludf.DUMMYFUNCTION("""COMPUTED_VALUE"""),1.99E8)</f>
        <v>199000000</v>
      </c>
      <c r="G192" s="49" t="str">
        <f>IFERROR(__xludf.DUMMYFUNCTION("""COMPUTED_VALUE"""),"DMG")</f>
        <v>DMG</v>
      </c>
      <c r="H192" s="125">
        <f>IFERROR(__xludf.DUMMYFUNCTION("""COMPUTED_VALUE"""),50000.0)</f>
        <v>50000</v>
      </c>
      <c r="I192" s="49"/>
      <c r="J192" s="49"/>
      <c r="K192" s="49"/>
      <c r="L192" s="49"/>
      <c r="M192" s="49"/>
      <c r="N192" s="49"/>
      <c r="O192" s="49"/>
      <c r="P192" s="49"/>
      <c r="Q192" s="49"/>
      <c r="R192" s="49"/>
      <c r="S192" s="125">
        <f>IFERROR(__xludf.DUMMYFUNCTION("""COMPUTED_VALUE"""),50000.0)</f>
        <v>50000</v>
      </c>
      <c r="T192" s="49"/>
      <c r="U192" s="49"/>
      <c r="V192" s="49"/>
      <c r="W192" s="49"/>
      <c r="X192" s="49"/>
      <c r="Y192" s="49"/>
      <c r="Z192" s="49"/>
      <c r="AA192" s="49"/>
      <c r="AB192" s="49"/>
      <c r="AC192" s="49"/>
      <c r="AD192" s="49"/>
      <c r="AE192" s="49"/>
      <c r="AF192" s="49" t="str">
        <f>IFERROR(__xludf.DUMMYFUNCTION("""COMPUTED_VALUE"""),"++Poison 25,000")</f>
        <v>++Poison 25,000</v>
      </c>
      <c r="AG192" s="49" t="str">
        <f>IFERROR(__xludf.DUMMYFUNCTION("""COMPUTED_VALUE"""),"Land of Spira")</f>
        <v>Land of Spira</v>
      </c>
      <c r="AH192" s="49" t="b">
        <f>IFERROR(__xludf.DUMMYFUNCTION("""COMPUTED_VALUE"""),FALSE)</f>
        <v>0</v>
      </c>
    </row>
    <row r="193">
      <c r="A193" s="49" t="str">
        <f>IFERROR(__xludf.DUMMYFUNCTION("""COMPUTED_VALUE"""),"Poseidon's Boots")</f>
        <v>Poseidon's Boots</v>
      </c>
      <c r="B193" s="49" t="str">
        <f>IFERROR(__xludf.DUMMYFUNCTION("""COMPUTED_VALUE"""),"Feet")</f>
        <v>Feet</v>
      </c>
      <c r="C193" s="49"/>
      <c r="D193" s="49"/>
      <c r="E193" s="49">
        <f>IFERROR(__xludf.DUMMYFUNCTION("""COMPUTED_VALUE"""),400.0)</f>
        <v>400</v>
      </c>
      <c r="F193" s="112">
        <f>IFERROR(__xludf.DUMMYFUNCTION("""COMPUTED_VALUE"""),7800000.0)</f>
        <v>7800000</v>
      </c>
      <c r="G193" s="49" t="str">
        <f>IFERROR(__xludf.DUMMYFUNCTION("""COMPUTED_VALUE"""),"DEF")</f>
        <v>DEF</v>
      </c>
      <c r="H193" s="125">
        <f>IFERROR(__xludf.DUMMYFUNCTION("""COMPUTED_VALUE"""),10000.0)</f>
        <v>10000</v>
      </c>
      <c r="I193" s="49"/>
      <c r="J193" s="49"/>
      <c r="K193" s="125">
        <f>IFERROR(__xludf.DUMMYFUNCTION("""COMPUTED_VALUE"""),10000.0)</f>
        <v>10000</v>
      </c>
      <c r="L193" s="49"/>
      <c r="M193" s="49"/>
      <c r="N193" s="49"/>
      <c r="O193" s="49"/>
      <c r="P193" s="49"/>
      <c r="Q193" s="49"/>
      <c r="R193" s="49"/>
      <c r="S193" s="49"/>
      <c r="T193" s="49"/>
      <c r="U193" s="49"/>
      <c r="V193" s="49"/>
      <c r="W193" s="49"/>
      <c r="X193" s="49"/>
      <c r="Y193" s="49"/>
      <c r="Z193" s="49"/>
      <c r="AA193" s="49"/>
      <c r="AB193" s="49"/>
      <c r="AC193" s="49"/>
      <c r="AD193" s="49"/>
      <c r="AE193" s="49"/>
      <c r="AF193" s="49" t="str">
        <f>IFERROR(__xludf.DUMMYFUNCTION("""COMPUTED_VALUE"""),"++X8 additional water damage for self.")</f>
        <v>++X8 additional water damage for self.</v>
      </c>
      <c r="AG193" s="49" t="str">
        <f>IFERROR(__xludf.DUMMYFUNCTION("""COMPUTED_VALUE"""),"Land of Spira")</f>
        <v>Land of Spira</v>
      </c>
      <c r="AH193" s="49" t="b">
        <f>IFERROR(__xludf.DUMMYFUNCTION("""COMPUTED_VALUE"""),FALSE)</f>
        <v>0</v>
      </c>
    </row>
    <row r="194">
      <c r="A194" s="49" t="str">
        <f>IFERROR(__xludf.DUMMYFUNCTION("""COMPUTED_VALUE"""),"Poseidon's Chestplate")</f>
        <v>Poseidon's Chestplate</v>
      </c>
      <c r="B194" s="49" t="str">
        <f>IFERROR(__xludf.DUMMYFUNCTION("""COMPUTED_VALUE"""),"Torso")</f>
        <v>Torso</v>
      </c>
      <c r="C194" s="49"/>
      <c r="D194" s="49"/>
      <c r="E194" s="49">
        <f>IFERROR(__xludf.DUMMYFUNCTION("""COMPUTED_VALUE"""),800.0)</f>
        <v>800</v>
      </c>
      <c r="F194" s="112">
        <f>IFERROR(__xludf.DUMMYFUNCTION("""COMPUTED_VALUE"""),3.16E7)</f>
        <v>31600000</v>
      </c>
      <c r="G194" s="49" t="str">
        <f>IFERROR(__xludf.DUMMYFUNCTION("""COMPUTED_VALUE"""),"DEF")</f>
        <v>DEF</v>
      </c>
      <c r="H194" s="125">
        <f>IFERROR(__xludf.DUMMYFUNCTION("""COMPUTED_VALUE"""),20000.0)</f>
        <v>20000</v>
      </c>
      <c r="I194" s="49"/>
      <c r="J194" s="49"/>
      <c r="K194" s="49">
        <f>IFERROR(__xludf.DUMMYFUNCTION("""COMPUTED_VALUE"""),20000.0)</f>
        <v>20000</v>
      </c>
      <c r="L194" s="49"/>
      <c r="M194" s="49"/>
      <c r="N194" s="49"/>
      <c r="O194" s="49"/>
      <c r="P194" s="49"/>
      <c r="Q194" s="49"/>
      <c r="R194" s="49"/>
      <c r="S194" s="49"/>
      <c r="T194" s="49"/>
      <c r="U194" s="49"/>
      <c r="V194" s="49"/>
      <c r="W194" s="49"/>
      <c r="X194" s="49"/>
      <c r="Y194" s="49"/>
      <c r="Z194" s="49"/>
      <c r="AA194" s="49"/>
      <c r="AB194" s="49"/>
      <c r="AC194" s="49"/>
      <c r="AD194" s="49"/>
      <c r="AE194" s="49"/>
      <c r="AF194" s="49"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49" t="str">
        <f>IFERROR(__xludf.DUMMYFUNCTION("""COMPUTED_VALUE"""),"Land of Spira")</f>
        <v>Land of Spira</v>
      </c>
      <c r="AH194" s="49" t="b">
        <f>IFERROR(__xludf.DUMMYFUNCTION("""COMPUTED_VALUE"""),FALSE)</f>
        <v>0</v>
      </c>
    </row>
    <row r="195">
      <c r="A195" s="49" t="str">
        <f>IFERROR(__xludf.DUMMYFUNCTION("""COMPUTED_VALUE"""),"Poseidon's Greaves")</f>
        <v>Poseidon's Greaves</v>
      </c>
      <c r="B195" s="49" t="str">
        <f>IFERROR(__xludf.DUMMYFUNCTION("""COMPUTED_VALUE"""),"Legs")</f>
        <v>Legs</v>
      </c>
      <c r="C195" s="49"/>
      <c r="D195" s="49"/>
      <c r="E195" s="49">
        <f>IFERROR(__xludf.DUMMYFUNCTION("""COMPUTED_VALUE"""),400.0)</f>
        <v>400</v>
      </c>
      <c r="F195" s="112">
        <f>IFERROR(__xludf.DUMMYFUNCTION("""COMPUTED_VALUE"""),7800000.0)</f>
        <v>7800000</v>
      </c>
      <c r="G195" s="49" t="str">
        <f>IFERROR(__xludf.DUMMYFUNCTION("""COMPUTED_VALUE"""),"DEF")</f>
        <v>DEF</v>
      </c>
      <c r="H195" s="125">
        <f>IFERROR(__xludf.DUMMYFUNCTION("""COMPUTED_VALUE"""),10000.0)</f>
        <v>10000</v>
      </c>
      <c r="I195" s="49"/>
      <c r="J195" s="49"/>
      <c r="K195" s="125">
        <f>IFERROR(__xludf.DUMMYFUNCTION("""COMPUTED_VALUE"""),10000.0)</f>
        <v>10000</v>
      </c>
      <c r="L195" s="49"/>
      <c r="M195" s="49"/>
      <c r="N195" s="49"/>
      <c r="O195" s="49"/>
      <c r="P195" s="49"/>
      <c r="Q195" s="49"/>
      <c r="R195" s="49"/>
      <c r="S195" s="49"/>
      <c r="T195" s="49"/>
      <c r="U195" s="49"/>
      <c r="V195" s="49"/>
      <c r="W195" s="49"/>
      <c r="X195" s="49"/>
      <c r="Y195" s="49"/>
      <c r="Z195" s="49"/>
      <c r="AA195" s="49"/>
      <c r="AB195" s="49"/>
      <c r="AC195" s="49"/>
      <c r="AD195" s="49"/>
      <c r="AE195" s="49"/>
      <c r="AF195" s="49" t="str">
        <f>IFERROR(__xludf.DUMMYFUNCTION("""COMPUTED_VALUE"""),"++X8 additional water damage for self.")</f>
        <v>++X8 additional water damage for self.</v>
      </c>
      <c r="AG195" s="49" t="str">
        <f>IFERROR(__xludf.DUMMYFUNCTION("""COMPUTED_VALUE"""),"Land of Spira")</f>
        <v>Land of Spira</v>
      </c>
      <c r="AH195" s="49" t="b">
        <f>IFERROR(__xludf.DUMMYFUNCTION("""COMPUTED_VALUE"""),FALSE)</f>
        <v>0</v>
      </c>
    </row>
    <row r="196">
      <c r="A196" s="49" t="str">
        <f>IFERROR(__xludf.DUMMYFUNCTION("""COMPUTED_VALUE"""),"Poseidon's Helmet")</f>
        <v>Poseidon's Helmet</v>
      </c>
      <c r="B196" s="49" t="str">
        <f>IFERROR(__xludf.DUMMYFUNCTION("""COMPUTED_VALUE"""),"Head")</f>
        <v>Head</v>
      </c>
      <c r="C196" s="49"/>
      <c r="D196" s="49"/>
      <c r="E196" s="49">
        <f>IFERROR(__xludf.DUMMYFUNCTION("""COMPUTED_VALUE"""),400.0)</f>
        <v>400</v>
      </c>
      <c r="F196" s="112">
        <f>IFERROR(__xludf.DUMMYFUNCTION("""COMPUTED_VALUE"""),7800000.0)</f>
        <v>7800000</v>
      </c>
      <c r="G196" s="49" t="str">
        <f>IFERROR(__xludf.DUMMYFUNCTION("""COMPUTED_VALUE"""),"DEF")</f>
        <v>DEF</v>
      </c>
      <c r="H196" s="125">
        <f>IFERROR(__xludf.DUMMYFUNCTION("""COMPUTED_VALUE"""),10000.0)</f>
        <v>10000</v>
      </c>
      <c r="I196" s="49"/>
      <c r="J196" s="49"/>
      <c r="K196" s="125">
        <f>IFERROR(__xludf.DUMMYFUNCTION("""COMPUTED_VALUE"""),10000.0)</f>
        <v>10000</v>
      </c>
      <c r="L196" s="49"/>
      <c r="M196" s="49"/>
      <c r="N196" s="49"/>
      <c r="O196" s="49"/>
      <c r="P196" s="49"/>
      <c r="Q196" s="49"/>
      <c r="R196" s="49"/>
      <c r="S196" s="49"/>
      <c r="T196" s="49"/>
      <c r="U196" s="49"/>
      <c r="V196" s="49"/>
      <c r="W196" s="49"/>
      <c r="X196" s="49"/>
      <c r="Y196" s="49"/>
      <c r="Z196" s="49"/>
      <c r="AA196" s="49"/>
      <c r="AB196" s="49"/>
      <c r="AC196" s="49"/>
      <c r="AD196" s="49"/>
      <c r="AE196" s="49"/>
      <c r="AF196" s="49" t="str">
        <f>IFERROR(__xludf.DUMMYFUNCTION("""COMPUTED_VALUE"""),"++X8 additional water damage for self.")</f>
        <v>++X8 additional water damage for self.</v>
      </c>
      <c r="AG196" s="49" t="str">
        <f>IFERROR(__xludf.DUMMYFUNCTION("""COMPUTED_VALUE"""),"Land of Spira")</f>
        <v>Land of Spira</v>
      </c>
      <c r="AH196" s="49" t="b">
        <f>IFERROR(__xludf.DUMMYFUNCTION("""COMPUTED_VALUE"""),FALSE)</f>
        <v>0</v>
      </c>
    </row>
    <row r="197">
      <c r="A197" s="49" t="str">
        <f>IFERROR(__xludf.DUMMYFUNCTION("""COMPUTED_VALUE"""),"Poseidon's Pauldrons")</f>
        <v>Poseidon's Pauldrons</v>
      </c>
      <c r="B197" s="49" t="str">
        <f>IFERROR(__xludf.DUMMYFUNCTION("""COMPUTED_VALUE"""),"Shoulders")</f>
        <v>Shoulders</v>
      </c>
      <c r="C197" s="49"/>
      <c r="D197" s="49"/>
      <c r="E197" s="49">
        <f>IFERROR(__xludf.DUMMYFUNCTION("""COMPUTED_VALUE"""),400.0)</f>
        <v>400</v>
      </c>
      <c r="F197" s="112">
        <f>IFERROR(__xludf.DUMMYFUNCTION("""COMPUTED_VALUE"""),7800000.0)</f>
        <v>7800000</v>
      </c>
      <c r="G197" s="49" t="str">
        <f>IFERROR(__xludf.DUMMYFUNCTION("""COMPUTED_VALUE"""),"DEF")</f>
        <v>DEF</v>
      </c>
      <c r="H197" s="125">
        <f>IFERROR(__xludf.DUMMYFUNCTION("""COMPUTED_VALUE"""),10000.0)</f>
        <v>10000</v>
      </c>
      <c r="I197" s="49"/>
      <c r="J197" s="49"/>
      <c r="K197" s="125">
        <f>IFERROR(__xludf.DUMMYFUNCTION("""COMPUTED_VALUE"""),10000.0)</f>
        <v>10000</v>
      </c>
      <c r="L197" s="49"/>
      <c r="M197" s="49"/>
      <c r="N197" s="49"/>
      <c r="O197" s="49"/>
      <c r="P197" s="49"/>
      <c r="Q197" s="49"/>
      <c r="R197" s="49"/>
      <c r="S197" s="49"/>
      <c r="T197" s="49"/>
      <c r="U197" s="49"/>
      <c r="V197" s="49"/>
      <c r="W197" s="49"/>
      <c r="X197" s="49"/>
      <c r="Y197" s="49"/>
      <c r="Z197" s="49"/>
      <c r="AA197" s="49"/>
      <c r="AB197" s="49"/>
      <c r="AC197" s="49"/>
      <c r="AD197" s="49"/>
      <c r="AE197" s="49"/>
      <c r="AF197" s="49" t="str">
        <f>IFERROR(__xludf.DUMMYFUNCTION("""COMPUTED_VALUE"""),"++X8 additional water damage for self.")</f>
        <v>++X8 additional water damage for self.</v>
      </c>
      <c r="AG197" s="49" t="str">
        <f>IFERROR(__xludf.DUMMYFUNCTION("""COMPUTED_VALUE"""),"Land of Spira")</f>
        <v>Land of Spira</v>
      </c>
      <c r="AH197" s="49" t="b">
        <f>IFERROR(__xludf.DUMMYFUNCTION("""COMPUTED_VALUE"""),FALSE)</f>
        <v>0</v>
      </c>
    </row>
    <row r="198">
      <c r="A198" s="49" t="str">
        <f>IFERROR(__xludf.DUMMYFUNCTION("""COMPUTED_VALUE"""),"Poseidon's Ring")</f>
        <v>Poseidon's Ring</v>
      </c>
      <c r="B198" s="49" t="str">
        <f>IFERROR(__xludf.DUMMYFUNCTION("""COMPUTED_VALUE"""),"Ring")</f>
        <v>Ring</v>
      </c>
      <c r="C198" s="49"/>
      <c r="D198" s="49"/>
      <c r="E198" s="49">
        <f>IFERROR(__xludf.DUMMYFUNCTION("""COMPUTED_VALUE"""),20.0)</f>
        <v>20</v>
      </c>
      <c r="F198" s="112">
        <f>IFERROR(__xludf.DUMMYFUNCTION("""COMPUTED_VALUE"""),10000.0)</f>
        <v>10000</v>
      </c>
      <c r="G198" s="49" t="str">
        <f>IFERROR(__xludf.DUMMYFUNCTION("""COMPUTED_VALUE"""),"DEF")</f>
        <v>DEF</v>
      </c>
      <c r="H198" s="125">
        <f>IFERROR(__xludf.DUMMYFUNCTION("""COMPUTED_VALUE"""),1000.0)</f>
        <v>1000</v>
      </c>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t="str">
        <f>IFERROR(__xludf.DUMMYFUNCTION("""COMPUTED_VALUE"""),"++X8 additional water damage for self. ")</f>
        <v>++X8 additional water damage for self. </v>
      </c>
      <c r="AG198" s="49" t="str">
        <f>IFERROR(__xludf.DUMMYFUNCTION("""COMPUTED_VALUE"""),"Land of Spira")</f>
        <v>Land of Spira</v>
      </c>
      <c r="AH198" s="49" t="b">
        <f>IFERROR(__xludf.DUMMYFUNCTION("""COMPUTED_VALUE"""),FALSE)</f>
        <v>0</v>
      </c>
    </row>
    <row r="199">
      <c r="A199" s="49" t="str">
        <f>IFERROR(__xludf.DUMMYFUNCTION("""COMPUTED_VALUE"""),"Poseidon's Sword")</f>
        <v>Poseidon's Sword</v>
      </c>
      <c r="B199" s="49" t="str">
        <f>IFERROR(__xludf.DUMMYFUNCTION("""COMPUTED_VALUE"""),"Hand")</f>
        <v>Hand</v>
      </c>
      <c r="C199" s="49"/>
      <c r="D199" s="49" t="str">
        <f>IFERROR(__xludf.DUMMYFUNCTION("""COMPUTED_VALUE"""),"Sword")</f>
        <v>Sword</v>
      </c>
      <c r="E199" s="49">
        <f>IFERROR(__xludf.DUMMYFUNCTION("""COMPUTED_VALUE"""),200.0)</f>
        <v>200</v>
      </c>
      <c r="F199" s="112">
        <f>IFERROR(__xludf.DUMMYFUNCTION("""COMPUTED_VALUE"""),1.99E8)</f>
        <v>199000000</v>
      </c>
      <c r="G199" s="49" t="str">
        <f>IFERROR(__xludf.DUMMYFUNCTION("""COMPUTED_VALUE"""),"DMG")</f>
        <v>DMG</v>
      </c>
      <c r="H199" s="125">
        <f>IFERROR(__xludf.DUMMYFUNCTION("""COMPUTED_VALUE"""),40000.0)</f>
        <v>40000</v>
      </c>
      <c r="I199" s="49"/>
      <c r="J199" s="49"/>
      <c r="K199" s="125">
        <f>IFERROR(__xludf.DUMMYFUNCTION("""COMPUTED_VALUE"""),40000.0)</f>
        <v>40000</v>
      </c>
      <c r="L199" s="49"/>
      <c r="M199" s="49"/>
      <c r="N199" s="49"/>
      <c r="O199" s="49"/>
      <c r="P199" s="49"/>
      <c r="Q199" s="49"/>
      <c r="R199" s="49"/>
      <c r="S199" s="49"/>
      <c r="T199" s="49"/>
      <c r="U199" s="49"/>
      <c r="V199" s="49"/>
      <c r="W199" s="49"/>
      <c r="X199" s="49"/>
      <c r="Y199" s="49"/>
      <c r="Z199" s="49"/>
      <c r="AA199" s="49"/>
      <c r="AB199" s="49"/>
      <c r="AC199" s="125">
        <f>IFERROR(__xludf.DUMMYFUNCTION("""COMPUTED_VALUE"""),20000.0)</f>
        <v>20000</v>
      </c>
      <c r="AD199" s="49"/>
      <c r="AE199" s="49"/>
      <c r="AF199" s="49"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49" t="str">
        <f>IFERROR(__xludf.DUMMYFUNCTION("""COMPUTED_VALUE"""),"Land of Spira")</f>
        <v>Land of Spira</v>
      </c>
      <c r="AH199" s="49" t="b">
        <f>IFERROR(__xludf.DUMMYFUNCTION("""COMPUTED_VALUE"""),FALSE)</f>
        <v>0</v>
      </c>
    </row>
    <row r="200">
      <c r="A200" s="49" t="str">
        <f>IFERROR(__xludf.DUMMYFUNCTION("""COMPUTED_VALUE"""),"Poseidon's Trident")</f>
        <v>Poseidon's Trident</v>
      </c>
      <c r="B200" s="49" t="str">
        <f>IFERROR(__xludf.DUMMYFUNCTION("""COMPUTED_VALUE"""),"Hand")</f>
        <v>Hand</v>
      </c>
      <c r="C200" s="49"/>
      <c r="D200" s="49" t="str">
        <f>IFERROR(__xludf.DUMMYFUNCTION("""COMPUTED_VALUE"""),"Spear")</f>
        <v>Spear</v>
      </c>
      <c r="E200" s="49">
        <f>IFERROR(__xludf.DUMMYFUNCTION("""COMPUTED_VALUE"""),200.0)</f>
        <v>200</v>
      </c>
      <c r="F200" s="112">
        <f>IFERROR(__xludf.DUMMYFUNCTION("""COMPUTED_VALUE"""),3.1125E8)</f>
        <v>311250000</v>
      </c>
      <c r="G200" s="49" t="str">
        <f>IFERROR(__xludf.DUMMYFUNCTION("""COMPUTED_VALUE"""),"DMG")</f>
        <v>DMG</v>
      </c>
      <c r="H200" s="125">
        <f>IFERROR(__xludf.DUMMYFUNCTION("""COMPUTED_VALUE"""),50000.0)</f>
        <v>50000</v>
      </c>
      <c r="I200" s="49"/>
      <c r="J200" s="49"/>
      <c r="K200" s="125">
        <f>IFERROR(__xludf.DUMMYFUNCTION("""COMPUTED_VALUE"""),50000.0)</f>
        <v>50000</v>
      </c>
      <c r="L200" s="49"/>
      <c r="M200" s="49"/>
      <c r="N200" s="49"/>
      <c r="O200" s="49"/>
      <c r="P200" s="49"/>
      <c r="Q200" s="49"/>
      <c r="R200" s="49"/>
      <c r="S200" s="49"/>
      <c r="T200" s="49"/>
      <c r="U200" s="49"/>
      <c r="V200" s="49"/>
      <c r="W200" s="49"/>
      <c r="X200" s="49"/>
      <c r="Y200" s="49"/>
      <c r="Z200" s="49"/>
      <c r="AA200" s="49"/>
      <c r="AB200" s="49"/>
      <c r="AC200" s="125">
        <f>IFERROR(__xludf.DUMMYFUNCTION("""COMPUTED_VALUE"""),25000.0)</f>
        <v>25000</v>
      </c>
      <c r="AD200" s="49"/>
      <c r="AE200" s="49"/>
      <c r="AF200" s="49"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49" t="str">
        <f>IFERROR(__xludf.DUMMYFUNCTION("""COMPUTED_VALUE"""),"Land of Spira")</f>
        <v>Land of Spira</v>
      </c>
      <c r="AH200" s="49" t="b">
        <f>IFERROR(__xludf.DUMMYFUNCTION("""COMPUTED_VALUE"""),FALSE)</f>
        <v>0</v>
      </c>
    </row>
    <row r="201">
      <c r="A201" s="49" t="str">
        <f>IFERROR(__xludf.DUMMYFUNCTION("""COMPUTED_VALUE"""),"Poseidon's Vambraces")</f>
        <v>Poseidon's Vambraces</v>
      </c>
      <c r="B201" s="49" t="str">
        <f>IFERROR(__xludf.DUMMYFUNCTION("""COMPUTED_VALUE"""),"Arms")</f>
        <v>Arms</v>
      </c>
      <c r="C201" s="49"/>
      <c r="D201" s="49"/>
      <c r="E201" s="49">
        <f>IFERROR(__xludf.DUMMYFUNCTION("""COMPUTED_VALUE"""),400.0)</f>
        <v>400</v>
      </c>
      <c r="F201" s="112">
        <f>IFERROR(__xludf.DUMMYFUNCTION("""COMPUTED_VALUE"""),7800000.0)</f>
        <v>7800000</v>
      </c>
      <c r="G201" s="49" t="str">
        <f>IFERROR(__xludf.DUMMYFUNCTION("""COMPUTED_VALUE"""),"DEF")</f>
        <v>DEF</v>
      </c>
      <c r="H201" s="125">
        <f>IFERROR(__xludf.DUMMYFUNCTION("""COMPUTED_VALUE"""),10000.0)</f>
        <v>10000</v>
      </c>
      <c r="I201" s="49"/>
      <c r="J201" s="49"/>
      <c r="K201" s="125">
        <f>IFERROR(__xludf.DUMMYFUNCTION("""COMPUTED_VALUE"""),10000.0)</f>
        <v>10000</v>
      </c>
      <c r="L201" s="49"/>
      <c r="M201" s="49"/>
      <c r="N201" s="49"/>
      <c r="O201" s="49"/>
      <c r="P201" s="49"/>
      <c r="Q201" s="49"/>
      <c r="R201" s="49"/>
      <c r="S201" s="49"/>
      <c r="T201" s="49"/>
      <c r="U201" s="49"/>
      <c r="V201" s="49"/>
      <c r="W201" s="49"/>
      <c r="X201" s="49"/>
      <c r="Y201" s="49"/>
      <c r="Z201" s="49"/>
      <c r="AA201" s="49"/>
      <c r="AB201" s="49"/>
      <c r="AC201" s="49"/>
      <c r="AD201" s="49"/>
      <c r="AE201" s="49"/>
      <c r="AF201" s="49" t="str">
        <f>IFERROR(__xludf.DUMMYFUNCTION("""COMPUTED_VALUE"""),"++X8 additional water damage for self.")</f>
        <v>++X8 additional water damage for self.</v>
      </c>
      <c r="AG201" s="49" t="str">
        <f>IFERROR(__xludf.DUMMYFUNCTION("""COMPUTED_VALUE"""),"Land of Spira")</f>
        <v>Land of Spira</v>
      </c>
      <c r="AH201" s="49" t="b">
        <f>IFERROR(__xludf.DUMMYFUNCTION("""COMPUTED_VALUE"""),FALSE)</f>
        <v>0</v>
      </c>
    </row>
    <row r="202">
      <c r="A202" s="49" t="str">
        <f>IFERROR(__xludf.DUMMYFUNCTION("""COMPUTED_VALUE"""),"Riftblade")</f>
        <v>Riftblade</v>
      </c>
      <c r="B202" s="49" t="str">
        <f>IFERROR(__xludf.DUMMYFUNCTION("""COMPUTED_VALUE"""),"Hand")</f>
        <v>Hand</v>
      </c>
      <c r="C202" s="49" t="str">
        <f>IFERROR(__xludf.DUMMYFUNCTION("""COMPUTED_VALUE"""),"An ancient blade from a forgotten time")</f>
        <v>An ancient blade from a forgotten time</v>
      </c>
      <c r="D202" s="49" t="str">
        <f>IFERROR(__xludf.DUMMYFUNCTION("""COMPUTED_VALUE"""),"Sword")</f>
        <v>Sword</v>
      </c>
      <c r="E202" s="49">
        <f>IFERROR(__xludf.DUMMYFUNCTION("""COMPUTED_VALUE"""),600.0)</f>
        <v>600</v>
      </c>
      <c r="F202" s="112">
        <f>IFERROR(__xludf.DUMMYFUNCTION("""COMPUTED_VALUE"""),1.77E7)</f>
        <v>17700000</v>
      </c>
      <c r="G202" s="49" t="str">
        <f>IFERROR(__xludf.DUMMYFUNCTION("""COMPUTED_VALUE"""),"DMG")</f>
        <v>DMG</v>
      </c>
      <c r="H202" s="125">
        <f>IFERROR(__xludf.DUMMYFUNCTION("""COMPUTED_VALUE"""),10000.0)</f>
        <v>10000</v>
      </c>
      <c r="I202" s="49"/>
      <c r="J202" s="49"/>
      <c r="K202" s="49"/>
      <c r="L202" s="49"/>
      <c r="M202" s="49"/>
      <c r="N202" s="49"/>
      <c r="O202" s="49"/>
      <c r="P202" s="49"/>
      <c r="Q202" s="49"/>
      <c r="R202" s="125">
        <f>IFERROR(__xludf.DUMMYFUNCTION("""COMPUTED_VALUE"""),10000.0)</f>
        <v>10000</v>
      </c>
      <c r="S202" s="125">
        <f>IFERROR(__xludf.DUMMYFUNCTION("""COMPUTED_VALUE"""),10000.0)</f>
        <v>10000</v>
      </c>
      <c r="T202" s="49"/>
      <c r="U202" s="49"/>
      <c r="V202" s="49"/>
      <c r="W202" s="49"/>
      <c r="X202" s="49"/>
      <c r="Y202" s="49"/>
      <c r="Z202" s="49"/>
      <c r="AA202" s="49"/>
      <c r="AB202" s="49"/>
      <c r="AC202" s="49"/>
      <c r="AD202" s="49"/>
      <c r="AE202" s="49"/>
      <c r="AF202" s="49"/>
      <c r="AG202" s="49" t="str">
        <f>IFERROR(__xludf.DUMMYFUNCTION("""COMPUTED_VALUE"""),"Solreach")</f>
        <v>Solreach</v>
      </c>
      <c r="AH202" s="49" t="b">
        <f>IFERROR(__xludf.DUMMYFUNCTION("""COMPUTED_VALUE"""),TRUE)</f>
        <v>1</v>
      </c>
    </row>
    <row r="203">
      <c r="A203" s="49" t="str">
        <f>IFERROR(__xludf.DUMMYFUNCTION("""COMPUTED_VALUE"""),"Ring o’ Luck and Nature")</f>
        <v>Ring o’ Luck and Nature</v>
      </c>
      <c r="B203" s="49" t="str">
        <f>IFERROR(__xludf.DUMMYFUNCTION("""COMPUTED_VALUE"""),"Ring")</f>
        <v>Ring</v>
      </c>
      <c r="C203" s="49"/>
      <c r="D203" s="49"/>
      <c r="E203" s="49">
        <f>IFERROR(__xludf.DUMMYFUNCTION("""COMPUTED_VALUE"""),1.0)</f>
        <v>1</v>
      </c>
      <c r="F203" s="112">
        <f>IFERROR(__xludf.DUMMYFUNCTION("""COMPUTED_VALUE"""),0.0)</f>
        <v>0</v>
      </c>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t="str">
        <f>IFERROR(__xludf.DUMMYFUNCTION("""COMPUTED_VALUE"""),"++Immunity to nature damage, ++increases the roll of a d20 by 2. +-Can only equip one")</f>
        <v>++Immunity to nature damage, ++increases the roll of a d20 by 2. +-Can only equip one</v>
      </c>
      <c r="AG203" s="49" t="str">
        <f>IFERROR(__xludf.DUMMYFUNCTION("""COMPUTED_VALUE"""),"Land of Spira")</f>
        <v>Land of Spira</v>
      </c>
      <c r="AH203" s="49" t="b">
        <f>IFERROR(__xludf.DUMMYFUNCTION("""COMPUTED_VALUE"""),FALSE)</f>
        <v>0</v>
      </c>
    </row>
    <row r="204">
      <c r="A204" s="49" t="str">
        <f>IFERROR(__xludf.DUMMYFUNCTION("""COMPUTED_VALUE"""),"Ring of Darkness")</f>
        <v>Ring of Darkness</v>
      </c>
      <c r="B204" s="49" t="str">
        <f>IFERROR(__xludf.DUMMYFUNCTION("""COMPUTED_VALUE"""),"Ring")</f>
        <v>Ring</v>
      </c>
      <c r="C204" s="49"/>
      <c r="D204" s="49"/>
      <c r="E204" s="49">
        <f>IFERROR(__xludf.DUMMYFUNCTION("""COMPUTED_VALUE"""),1.0)</f>
        <v>1</v>
      </c>
      <c r="F204" s="112">
        <f>IFERROR(__xludf.DUMMYFUNCTION("""COMPUTED_VALUE"""),0.0)</f>
        <v>0</v>
      </c>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49" t="str">
        <f>IFERROR(__xludf.DUMMYFUNCTION("""COMPUTED_VALUE"""),"Land of Spira")</f>
        <v>Land of Spira</v>
      </c>
      <c r="AH204" s="49" t="b">
        <f>IFERROR(__xludf.DUMMYFUNCTION("""COMPUTED_VALUE"""),FALSE)</f>
        <v>0</v>
      </c>
    </row>
    <row r="205">
      <c r="A205" s="49" t="str">
        <f>IFERROR(__xludf.DUMMYFUNCTION("""COMPUTED_VALUE"""),"Ring of Death")</f>
        <v>Ring of Death</v>
      </c>
      <c r="B205" s="49" t="str">
        <f>IFERROR(__xludf.DUMMYFUNCTION("""COMPUTED_VALUE"""),"Ring")</f>
        <v>Ring</v>
      </c>
      <c r="C205" s="49"/>
      <c r="D205" s="49"/>
      <c r="E205" s="49">
        <f>IFERROR(__xludf.DUMMYFUNCTION("""COMPUTED_VALUE"""),1.0)</f>
        <v>1</v>
      </c>
      <c r="F205" s="112">
        <f>IFERROR(__xludf.DUMMYFUNCTION("""COMPUTED_VALUE"""),0.0)</f>
        <v>0</v>
      </c>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t="str">
        <f>IFERROR(__xludf.DUMMYFUNCTION("""COMPUTED_VALUE"""),"++Causes instant death with a fail/succeed roll.")</f>
        <v>++Causes instant death with a fail/succeed roll.</v>
      </c>
      <c r="AG205" s="49" t="str">
        <f>IFERROR(__xludf.DUMMYFUNCTION("""COMPUTED_VALUE"""),"Land of Spira")</f>
        <v>Land of Spira</v>
      </c>
      <c r="AH205" s="49" t="b">
        <f>IFERROR(__xludf.DUMMYFUNCTION("""COMPUTED_VALUE"""),FALSE)</f>
        <v>0</v>
      </c>
    </row>
    <row r="206">
      <c r="A206" s="49" t="str">
        <f>IFERROR(__xludf.DUMMYFUNCTION("""COMPUTED_VALUE"""),"Ring Of Dwelling Waters")</f>
        <v>Ring Of Dwelling Waters</v>
      </c>
      <c r="B206" s="49" t="str">
        <f>IFERROR(__xludf.DUMMYFUNCTION("""COMPUTED_VALUE"""),"Ring")</f>
        <v>Ring</v>
      </c>
      <c r="C206" s="49"/>
      <c r="D206" s="49"/>
      <c r="E206" s="49">
        <f>IFERROR(__xludf.DUMMYFUNCTION("""COMPUTED_VALUE"""),1.0)</f>
        <v>1</v>
      </c>
      <c r="F206" s="112">
        <f>IFERROR(__xludf.DUMMYFUNCTION("""COMPUTED_VALUE"""),0.0)</f>
        <v>0</v>
      </c>
      <c r="G206" s="49"/>
      <c r="H206" s="49"/>
      <c r="I206" s="49" t="str">
        <f>IFERROR(__xludf.DUMMYFUNCTION("""COMPUTED_VALUE""")," ")</f>
        <v> </v>
      </c>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t="str">
        <f>IFERROR(__xludf.DUMMYFUNCTION("""COMPUTED_VALUE"""),"++X2 Water and Dark damage.")</f>
        <v>++X2 Water and Dark damage.</v>
      </c>
      <c r="AG206" s="49" t="str">
        <f>IFERROR(__xludf.DUMMYFUNCTION("""COMPUTED_VALUE"""),"Land of Spira")</f>
        <v>Land of Spira</v>
      </c>
      <c r="AH206" s="49" t="b">
        <f>IFERROR(__xludf.DUMMYFUNCTION("""COMPUTED_VALUE"""),FALSE)</f>
        <v>0</v>
      </c>
    </row>
    <row r="207">
      <c r="A207" s="49" t="str">
        <f>IFERROR(__xludf.DUMMYFUNCTION("""COMPUTED_VALUE"""),"Ring of Endless Souls")</f>
        <v>Ring of Endless Souls</v>
      </c>
      <c r="B207" s="49" t="str">
        <f>IFERROR(__xludf.DUMMYFUNCTION("""COMPUTED_VALUE"""),"Ring")</f>
        <v>Ring</v>
      </c>
      <c r="C207" s="49"/>
      <c r="D207" s="49"/>
      <c r="E207" s="49">
        <f>IFERROR(__xludf.DUMMYFUNCTION("""COMPUTED_VALUE"""),1.0)</f>
        <v>1</v>
      </c>
      <c r="F207" s="112">
        <f>IFERROR(__xludf.DUMMYFUNCTION("""COMPUTED_VALUE"""),0.0)</f>
        <v>0</v>
      </c>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t="str">
        <f>IFERROR(__xludf.DUMMYFUNCTION("""COMPUTED_VALUE"""),"++0 Def ++Soul Enchanted - Every time you enchant a soul into this item increase the Def of this item by 10. ")</f>
        <v>++0 Def ++Soul Enchanted - Every time you enchant a soul into this item increase the Def of this item by 10. </v>
      </c>
      <c r="AG207" s="49" t="str">
        <f>IFERROR(__xludf.DUMMYFUNCTION("""COMPUTED_VALUE"""),"Land of The Forgotten")</f>
        <v>Land of The Forgotten</v>
      </c>
      <c r="AH207" s="49" t="b">
        <f>IFERROR(__xludf.DUMMYFUNCTION("""COMPUTED_VALUE"""),FALSE)</f>
        <v>0</v>
      </c>
    </row>
    <row r="208">
      <c r="A208" s="49" t="str">
        <f>IFERROR(__xludf.DUMMYFUNCTION("""COMPUTED_VALUE"""),"Ring of Healing")</f>
        <v>Ring of Healing</v>
      </c>
      <c r="B208" s="49" t="str">
        <f>IFERROR(__xludf.DUMMYFUNCTION("""COMPUTED_VALUE"""),"Ring")</f>
        <v>Ring</v>
      </c>
      <c r="C208" s="49"/>
      <c r="D208" s="49"/>
      <c r="E208" s="49">
        <f>IFERROR(__xludf.DUMMYFUNCTION("""COMPUTED_VALUE"""),1.0)</f>
        <v>1</v>
      </c>
      <c r="F208" s="112">
        <f>IFERROR(__xludf.DUMMYFUNCTION("""COMPUTED_VALUE"""),0.0)</f>
        <v>0</v>
      </c>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t="str">
        <f>IFERROR(__xludf.DUMMYFUNCTION("""COMPUTED_VALUE"""),"++500 hp per round.")</f>
        <v>++500 hp per round.</v>
      </c>
      <c r="AG208" s="49" t="str">
        <f>IFERROR(__xludf.DUMMYFUNCTION("""COMPUTED_VALUE"""),"Land of Spira")</f>
        <v>Land of Spira</v>
      </c>
      <c r="AH208" s="49" t="b">
        <f>IFERROR(__xludf.DUMMYFUNCTION("""COMPUTED_VALUE"""),FALSE)</f>
        <v>0</v>
      </c>
    </row>
    <row r="209">
      <c r="A209" s="49" t="str">
        <f>IFERROR(__xludf.DUMMYFUNCTION("""COMPUTED_VALUE"""),"Ring of Invulnerability ")</f>
        <v>Ring of Invulnerability </v>
      </c>
      <c r="B209" s="49" t="str">
        <f>IFERROR(__xludf.DUMMYFUNCTION("""COMPUTED_VALUE"""),"Ring")</f>
        <v>Ring</v>
      </c>
      <c r="C209" s="49"/>
      <c r="D209" s="49"/>
      <c r="E209" s="49">
        <f>IFERROR(__xludf.DUMMYFUNCTION("""COMPUTED_VALUE"""),1.0)</f>
        <v>1</v>
      </c>
      <c r="F209" s="112">
        <f>IFERROR(__xludf.DUMMYFUNCTION("""COMPUTED_VALUE"""),0.0)</f>
        <v>0</v>
      </c>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49" t="str">
        <f>IFERROR(__xludf.DUMMYFUNCTION("""COMPUTED_VALUE"""),"Land of The Forgotten")</f>
        <v>Land of The Forgotten</v>
      </c>
      <c r="AH209" s="49" t="b">
        <f>IFERROR(__xludf.DUMMYFUNCTION("""COMPUTED_VALUE"""),FALSE)</f>
        <v>0</v>
      </c>
    </row>
    <row r="210">
      <c r="A210" s="49" t="str">
        <f>IFERROR(__xludf.DUMMYFUNCTION("""COMPUTED_VALUE"""),"Ring of Pure Chaos")</f>
        <v>Ring of Pure Chaos</v>
      </c>
      <c r="B210" s="49" t="str">
        <f>IFERROR(__xludf.DUMMYFUNCTION("""COMPUTED_VALUE"""),"Ring")</f>
        <v>Ring</v>
      </c>
      <c r="C210" s="49"/>
      <c r="D210" s="49"/>
      <c r="E210" s="49">
        <f>IFERROR(__xludf.DUMMYFUNCTION("""COMPUTED_VALUE"""),1.0)</f>
        <v>1</v>
      </c>
      <c r="F210" s="112">
        <f>IFERROR(__xludf.DUMMYFUNCTION("""COMPUTED_VALUE"""),0.0)</f>
        <v>0</v>
      </c>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9"/>
      <c r="AE210" s="49"/>
      <c r="AF210" s="49" t="str">
        <f>IFERROR(__xludf.DUMMYFUNCTION("""COMPUTED_VALUE"""),"++X2 Chaos damage, ++ +5 Charisma and Intimidation. +-Cannot be forged +-Cannot be duplicated +-Can only equip one")</f>
        <v>++X2 Chaos damage, ++ +5 Charisma and Intimidation. +-Cannot be forged +-Cannot be duplicated +-Can only equip one</v>
      </c>
      <c r="AG210" s="49" t="str">
        <f>IFERROR(__xludf.DUMMYFUNCTION("""COMPUTED_VALUE"""),"Abstara")</f>
        <v>Abstara</v>
      </c>
      <c r="AH210" s="49" t="b">
        <f>IFERROR(__xludf.DUMMYFUNCTION("""COMPUTED_VALUE"""),FALSE)</f>
        <v>0</v>
      </c>
    </row>
    <row r="211">
      <c r="A211" s="49" t="str">
        <f>IFERROR(__xludf.DUMMYFUNCTION("""COMPUTED_VALUE"""),"Ring of Pure Defense")</f>
        <v>Ring of Pure Defense</v>
      </c>
      <c r="B211" s="49" t="str">
        <f>IFERROR(__xludf.DUMMYFUNCTION("""COMPUTED_VALUE"""),"Ring")</f>
        <v>Ring</v>
      </c>
      <c r="C211" s="49"/>
      <c r="D211" s="49"/>
      <c r="E211" s="49">
        <f>IFERROR(__xludf.DUMMYFUNCTION("""COMPUTED_VALUE"""),1.0)</f>
        <v>1</v>
      </c>
      <c r="F211" s="112">
        <f>IFERROR(__xludf.DUMMYFUNCTION("""COMPUTED_VALUE"""),0.0)</f>
        <v>0</v>
      </c>
      <c r="G211" s="49"/>
      <c r="H211" s="49"/>
      <c r="I211" s="49"/>
      <c r="J211" s="49"/>
      <c r="K211" s="49"/>
      <c r="L211" s="49"/>
      <c r="M211" s="49"/>
      <c r="N211" s="49"/>
      <c r="O211" s="49"/>
      <c r="P211" s="49"/>
      <c r="Q211" s="49"/>
      <c r="R211" s="49"/>
      <c r="S211" s="49"/>
      <c r="T211" s="49"/>
      <c r="U211" s="49"/>
      <c r="V211" s="49"/>
      <c r="W211" s="49"/>
      <c r="X211" s="49"/>
      <c r="Y211" s="49"/>
      <c r="Z211" s="49"/>
      <c r="AA211" s="49"/>
      <c r="AB211" s="49"/>
      <c r="AC211" s="49"/>
      <c r="AD211" s="49"/>
      <c r="AE211" s="49"/>
      <c r="AF211" s="49" t="str">
        <f>IFERROR(__xludf.DUMMYFUNCTION("""COMPUTED_VALUE"""),"++Half the damage taken from the next attack 100SP Will Succeed.")</f>
        <v>++Half the damage taken from the next attack 100SP Will Succeed.</v>
      </c>
      <c r="AG211" s="49" t="str">
        <f>IFERROR(__xludf.DUMMYFUNCTION("""COMPUTED_VALUE"""),"Land of Spira")</f>
        <v>Land of Spira</v>
      </c>
      <c r="AH211" s="49" t="b">
        <f>IFERROR(__xludf.DUMMYFUNCTION("""COMPUTED_VALUE"""),FALSE)</f>
        <v>0</v>
      </c>
    </row>
    <row r="212">
      <c r="A212" s="49" t="str">
        <f>IFERROR(__xludf.DUMMYFUNCTION("""COMPUTED_VALUE"""),"Ring of Reflect")</f>
        <v>Ring of Reflect</v>
      </c>
      <c r="B212" s="49" t="str">
        <f>IFERROR(__xludf.DUMMYFUNCTION("""COMPUTED_VALUE"""),"Ring")</f>
        <v>Ring</v>
      </c>
      <c r="C212" s="49"/>
      <c r="D212" s="49"/>
      <c r="E212" s="49">
        <f>IFERROR(__xludf.DUMMYFUNCTION("""COMPUTED_VALUE"""),1.0)</f>
        <v>1</v>
      </c>
      <c r="F212" s="112">
        <f>IFERROR(__xludf.DUMMYFUNCTION("""COMPUTED_VALUE"""),0.0)</f>
        <v>0</v>
      </c>
      <c r="G212" s="49"/>
      <c r="H212" s="49"/>
      <c r="I212" s="49"/>
      <c r="J212" s="49"/>
      <c r="K212" s="49"/>
      <c r="L212" s="49"/>
      <c r="M212" s="49"/>
      <c r="N212" s="49"/>
      <c r="O212" s="49"/>
      <c r="P212" s="49"/>
      <c r="Q212" s="49"/>
      <c r="R212" s="49"/>
      <c r="S212" s="49"/>
      <c r="T212" s="49"/>
      <c r="U212" s="49"/>
      <c r="V212" s="49"/>
      <c r="W212" s="49"/>
      <c r="X212" s="49"/>
      <c r="Y212" s="49"/>
      <c r="Z212" s="49"/>
      <c r="AA212" s="49"/>
      <c r="AB212" s="49"/>
      <c r="AC212" s="49"/>
      <c r="AD212" s="49"/>
      <c r="AE212" s="49"/>
      <c r="AF212" s="49"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49" t="str">
        <f>IFERROR(__xludf.DUMMYFUNCTION("""COMPUTED_VALUE"""),"Land of Spira")</f>
        <v>Land of Spira</v>
      </c>
      <c r="AH212" s="49" t="b">
        <f>IFERROR(__xludf.DUMMYFUNCTION("""COMPUTED_VALUE"""),FALSE)</f>
        <v>0</v>
      </c>
    </row>
    <row r="213">
      <c r="A213" s="49" t="str">
        <f>IFERROR(__xludf.DUMMYFUNCTION("""COMPUTED_VALUE"""),"Ring of the Bonded Undead")</f>
        <v>Ring of the Bonded Undead</v>
      </c>
      <c r="B213" s="49" t="str">
        <f>IFERROR(__xludf.DUMMYFUNCTION("""COMPUTED_VALUE"""),"Ring")</f>
        <v>Ring</v>
      </c>
      <c r="C213" s="49"/>
      <c r="D213" s="49"/>
      <c r="E213" s="49">
        <f>IFERROR(__xludf.DUMMYFUNCTION("""COMPUTED_VALUE"""),1.0)</f>
        <v>1</v>
      </c>
      <c r="F213" s="112">
        <f>IFERROR(__xludf.DUMMYFUNCTION("""COMPUTED_VALUE"""),0.0)</f>
        <v>0</v>
      </c>
      <c r="G213" s="49"/>
      <c r="H213" s="49"/>
      <c r="I213" s="49"/>
      <c r="J213" s="49"/>
      <c r="K213" s="49"/>
      <c r="L213" s="49"/>
      <c r="M213" s="49"/>
      <c r="N213" s="49"/>
      <c r="O213" s="49"/>
      <c r="P213" s="49"/>
      <c r="Q213" s="49"/>
      <c r="R213" s="49"/>
      <c r="S213" s="49"/>
      <c r="T213" s="49"/>
      <c r="U213" s="49"/>
      <c r="V213" s="49"/>
      <c r="W213" s="49"/>
      <c r="X213" s="49"/>
      <c r="Y213" s="49"/>
      <c r="Z213" s="49"/>
      <c r="AA213" s="49"/>
      <c r="AB213" s="49"/>
      <c r="AC213" s="49"/>
      <c r="AD213" s="49"/>
      <c r="AE213" s="49"/>
      <c r="AF213" s="49" t="str">
        <f>IFERROR(__xludf.DUMMYFUNCTION("""COMPUTED_VALUE"""),"++When you battle with any Undead target you can deal X2 more damage.")</f>
        <v>++When you battle with any Undead target you can deal X2 more damage.</v>
      </c>
      <c r="AG213" s="49" t="str">
        <f>IFERROR(__xludf.DUMMYFUNCTION("""COMPUTED_VALUE"""),"Land of Spira")</f>
        <v>Land of Spira</v>
      </c>
      <c r="AH213" s="49" t="b">
        <f>IFERROR(__xludf.DUMMYFUNCTION("""COMPUTED_VALUE"""),FALSE)</f>
        <v>0</v>
      </c>
    </row>
    <row r="214">
      <c r="A214" s="49" t="str">
        <f>IFERROR(__xludf.DUMMYFUNCTION("""COMPUTED_VALUE"""),"Ring of the Forgotten")</f>
        <v>Ring of the Forgotten</v>
      </c>
      <c r="B214" s="49" t="str">
        <f>IFERROR(__xludf.DUMMYFUNCTION("""COMPUTED_VALUE"""),"Ring")</f>
        <v>Ring</v>
      </c>
      <c r="C214" s="49"/>
      <c r="D214" s="49"/>
      <c r="E214" s="49">
        <f>IFERROR(__xludf.DUMMYFUNCTION("""COMPUTED_VALUE"""),1.0)</f>
        <v>1</v>
      </c>
      <c r="F214" s="112">
        <f>IFERROR(__xludf.DUMMYFUNCTION("""COMPUTED_VALUE"""),0.0)</f>
        <v>0</v>
      </c>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9"/>
      <c r="AE214" s="49"/>
      <c r="AF214" s="49" t="str">
        <f>IFERROR(__xludf.DUMMYFUNCTION("""COMPUTED_VALUE"""),"++Make a fail/succeed roll to make a target forget they were fighting you. +-Cannot be duplicated")</f>
        <v>++Make a fail/succeed roll to make a target forget they were fighting you. +-Cannot be duplicated</v>
      </c>
      <c r="AG214" s="49" t="str">
        <f>IFERROR(__xludf.DUMMYFUNCTION("""COMPUTED_VALUE"""),"Land of The Forgotten")</f>
        <v>Land of The Forgotten</v>
      </c>
      <c r="AH214" s="49" t="b">
        <f>IFERROR(__xludf.DUMMYFUNCTION("""COMPUTED_VALUE"""),FALSE)</f>
        <v>0</v>
      </c>
    </row>
    <row r="215">
      <c r="A215" s="49" t="str">
        <f>IFERROR(__xludf.DUMMYFUNCTION("""COMPUTED_VALUE"""),"Ring Of Tritonoch")</f>
        <v>Ring Of Tritonoch</v>
      </c>
      <c r="B215" s="49" t="str">
        <f>IFERROR(__xludf.DUMMYFUNCTION("""COMPUTED_VALUE"""),"Ring")</f>
        <v>Ring</v>
      </c>
      <c r="C215" s="49"/>
      <c r="D215" s="49"/>
      <c r="E215" s="49">
        <f>IFERROR(__xludf.DUMMYFUNCTION("""COMPUTED_VALUE"""),1.0)</f>
        <v>1</v>
      </c>
      <c r="F215" s="112">
        <f>IFERROR(__xludf.DUMMYFUNCTION("""COMPUTED_VALUE"""),0.0)</f>
        <v>0</v>
      </c>
      <c r="G215" s="49"/>
      <c r="H215" s="49"/>
      <c r="I215" s="49"/>
      <c r="J215" s="49"/>
      <c r="K215" s="49"/>
      <c r="L215" s="49"/>
      <c r="M215" s="49"/>
      <c r="N215" s="49"/>
      <c r="O215" s="49"/>
      <c r="P215" s="49"/>
      <c r="Q215" s="49"/>
      <c r="R215" s="49"/>
      <c r="S215" s="49"/>
      <c r="T215" s="49"/>
      <c r="U215" s="49"/>
      <c r="V215" s="49"/>
      <c r="W215" s="49"/>
      <c r="X215" s="49"/>
      <c r="Y215" s="49"/>
      <c r="Z215" s="49"/>
      <c r="AA215" s="49"/>
      <c r="AB215" s="49"/>
      <c r="AC215" s="49"/>
      <c r="AD215" s="49"/>
      <c r="AE215" s="49"/>
      <c r="AF215" s="49" t="str">
        <f>IFERROR(__xludf.DUMMYFUNCTION("""COMPUTED_VALUE"""),"++Waves of Entitlement - x5 additional Water damage")</f>
        <v>++Waves of Entitlement - x5 additional Water damage</v>
      </c>
      <c r="AG215" s="49" t="str">
        <f>IFERROR(__xludf.DUMMYFUNCTION("""COMPUTED_VALUE"""),"Land of Spira")</f>
        <v>Land of Spira</v>
      </c>
      <c r="AH215" s="49" t="b">
        <f>IFERROR(__xludf.DUMMYFUNCTION("""COMPUTED_VALUE"""),FALSE)</f>
        <v>0</v>
      </c>
    </row>
    <row r="216">
      <c r="A216" s="49" t="str">
        <f>IFERROR(__xludf.DUMMYFUNCTION("""COMPUTED_VALUE"""),"Ring of Waking Waters")</f>
        <v>Ring of Waking Waters</v>
      </c>
      <c r="B216" s="49" t="str">
        <f>IFERROR(__xludf.DUMMYFUNCTION("""COMPUTED_VALUE"""),"Ring")</f>
        <v>Ring</v>
      </c>
      <c r="C216" s="49"/>
      <c r="D216" s="49"/>
      <c r="E216" s="49">
        <f>IFERROR(__xludf.DUMMYFUNCTION("""COMPUTED_VALUE"""),100.0)</f>
        <v>100</v>
      </c>
      <c r="F216" s="112">
        <f>IFERROR(__xludf.DUMMYFUNCTION("""COMPUTED_VALUE"""),450000.0)</f>
        <v>450000</v>
      </c>
      <c r="G216" s="49" t="str">
        <f>IFERROR(__xludf.DUMMYFUNCTION("""COMPUTED_VALUE"""),"DEF")</f>
        <v>DEF</v>
      </c>
      <c r="H216" s="49"/>
      <c r="I216" s="49"/>
      <c r="J216" s="49"/>
      <c r="K216" s="49">
        <f>IFERROR(__xludf.DUMMYFUNCTION("""COMPUTED_VALUE"""),5000.0)</f>
        <v>5000</v>
      </c>
      <c r="L216" s="49"/>
      <c r="M216" s="49"/>
      <c r="N216" s="49"/>
      <c r="O216" s="49"/>
      <c r="P216" s="49"/>
      <c r="Q216" s="49"/>
      <c r="R216" s="49"/>
      <c r="S216" s="49"/>
      <c r="T216" s="49"/>
      <c r="U216" s="49"/>
      <c r="V216" s="49"/>
      <c r="W216" s="49"/>
      <c r="X216" s="49"/>
      <c r="Y216" s="49"/>
      <c r="Z216" s="49"/>
      <c r="AA216" s="49"/>
      <c r="AB216" s="49"/>
      <c r="AC216" s="49"/>
      <c r="AD216" s="49"/>
      <c r="AE216" s="49"/>
      <c r="AF216" s="49" t="str">
        <f>IFERROR(__xludf.DUMMYFUNCTION("""COMPUTED_VALUE"""),"++X4 additional water damage for self.")</f>
        <v>++X4 additional water damage for self.</v>
      </c>
      <c r="AG216" s="49" t="str">
        <f>IFERROR(__xludf.DUMMYFUNCTION("""COMPUTED_VALUE"""),"Land of Spira")</f>
        <v>Land of Spira</v>
      </c>
      <c r="AH216" s="49" t="b">
        <f>IFERROR(__xludf.DUMMYFUNCTION("""COMPUTED_VALUE"""),FALSE)</f>
        <v>0</v>
      </c>
    </row>
    <row r="217">
      <c r="A217" s="49" t="str">
        <f>IFERROR(__xludf.DUMMYFUNCTION("""COMPUTED_VALUE"""),"Robe of The Cultist")</f>
        <v>Robe of The Cultist</v>
      </c>
      <c r="B217" s="49" t="str">
        <f>IFERROR(__xludf.DUMMYFUNCTION("""COMPUTED_VALUE"""),"Torso")</f>
        <v>Torso</v>
      </c>
      <c r="C217" s="49"/>
      <c r="D217" s="49"/>
      <c r="E217" s="49">
        <f>IFERROR(__xludf.DUMMYFUNCTION("""COMPUTED_VALUE"""),80.0)</f>
        <v>80</v>
      </c>
      <c r="F217" s="112">
        <f>IFERROR(__xludf.DUMMYFUNCTION("""COMPUTED_VALUE"""),280000.0)</f>
        <v>280000</v>
      </c>
      <c r="G217" s="49" t="str">
        <f>IFERROR(__xludf.DUMMYFUNCTION("""COMPUTED_VALUE"""),"DEF")</f>
        <v>DEF</v>
      </c>
      <c r="H217" s="49">
        <f>IFERROR(__xludf.DUMMYFUNCTION("""COMPUTED_VALUE"""),2000.0)</f>
        <v>2000</v>
      </c>
      <c r="I217" s="49"/>
      <c r="J217" s="49"/>
      <c r="K217" s="49"/>
      <c r="L217" s="49"/>
      <c r="M217" s="49"/>
      <c r="N217" s="49"/>
      <c r="O217" s="49">
        <f>IFERROR(__xludf.DUMMYFUNCTION("""COMPUTED_VALUE"""),2000.0)</f>
        <v>2000</v>
      </c>
      <c r="P217" s="49"/>
      <c r="Q217" s="49"/>
      <c r="R217" s="49"/>
      <c r="S217" s="49"/>
      <c r="T217" s="49"/>
      <c r="U217" s="49"/>
      <c r="V217" s="49"/>
      <c r="W217" s="49"/>
      <c r="X217" s="49"/>
      <c r="Y217" s="49"/>
      <c r="Z217" s="49"/>
      <c r="AA217" s="49"/>
      <c r="AB217" s="49"/>
      <c r="AC217" s="49"/>
      <c r="AD217" s="49"/>
      <c r="AE217" s="49"/>
      <c r="AF217" s="49" t="str">
        <f>IFERROR(__xludf.DUMMYFUNCTION("""COMPUTED_VALUE"""),"++Instant Death Immunity. ++500HP +-Cannot be forged +-Cannot be duplicated")</f>
        <v>++Instant Death Immunity. ++500HP +-Cannot be forged +-Cannot be duplicated</v>
      </c>
      <c r="AG217" s="49" t="str">
        <f>IFERROR(__xludf.DUMMYFUNCTION("""COMPUTED_VALUE"""),"Land of Spira")</f>
        <v>Land of Spira</v>
      </c>
      <c r="AH217" s="49" t="b">
        <f>IFERROR(__xludf.DUMMYFUNCTION("""COMPUTED_VALUE"""),FALSE)</f>
        <v>0</v>
      </c>
    </row>
    <row r="218">
      <c r="A218" s="49" t="str">
        <f>IFERROR(__xludf.DUMMYFUNCTION("""COMPUTED_VALUE"""),"Robe of Vanish")</f>
        <v>Robe of Vanish</v>
      </c>
      <c r="B218" s="49" t="str">
        <f>IFERROR(__xludf.DUMMYFUNCTION("""COMPUTED_VALUE"""),"Torso")</f>
        <v>Torso</v>
      </c>
      <c r="C218" s="49"/>
      <c r="D218" s="49"/>
      <c r="E218" s="49">
        <f>IFERROR(__xludf.DUMMYFUNCTION("""COMPUTED_VALUE"""),20.0)</f>
        <v>20</v>
      </c>
      <c r="F218" s="112">
        <f>IFERROR(__xludf.DUMMYFUNCTION("""COMPUTED_VALUE"""),1000.0)</f>
        <v>1000</v>
      </c>
      <c r="G218" s="49" t="str">
        <f>IFERROR(__xludf.DUMMYFUNCTION("""COMPUTED_VALUE"""),"DEF")</f>
        <v>DEF</v>
      </c>
      <c r="H218" s="49">
        <f>IFERROR(__xludf.DUMMYFUNCTION("""COMPUTED_VALUE"""),900.0)</f>
        <v>900</v>
      </c>
      <c r="I218" s="49"/>
      <c r="J218" s="49"/>
      <c r="K218" s="49"/>
      <c r="L218" s="49"/>
      <c r="M218" s="49"/>
      <c r="N218" s="49"/>
      <c r="O218" s="49"/>
      <c r="P218" s="49"/>
      <c r="Q218" s="49"/>
      <c r="R218" s="49"/>
      <c r="S218" s="49"/>
      <c r="T218" s="49"/>
      <c r="U218" s="49"/>
      <c r="V218" s="49"/>
      <c r="W218" s="49"/>
      <c r="X218" s="49"/>
      <c r="Y218" s="49"/>
      <c r="Z218" s="49"/>
      <c r="AA218" s="49"/>
      <c r="AB218" s="49"/>
      <c r="AC218" s="49"/>
      <c r="AD218" s="49"/>
      <c r="AE218" s="49"/>
      <c r="AF218" s="49" t="str">
        <f>IFERROR(__xludf.DUMMYFUNCTION("""COMPUTED_VALUE"""),"++Shadow Disappear - When Equipped you are invulnerable to all damage for the first round of battle. ")</f>
        <v>++Shadow Disappear - When Equipped you are invulnerable to all damage for the first round of battle. </v>
      </c>
      <c r="AG218" s="49" t="str">
        <f>IFERROR(__xludf.DUMMYFUNCTION("""COMPUTED_VALUE"""),"Land of Spira")</f>
        <v>Land of Spira</v>
      </c>
      <c r="AH218" s="49" t="b">
        <f>IFERROR(__xludf.DUMMYFUNCTION("""COMPUTED_VALUE"""),FALSE)</f>
        <v>0</v>
      </c>
    </row>
    <row r="219">
      <c r="A219" s="49" t="str">
        <f>IFERROR(__xludf.DUMMYFUNCTION("""COMPUTED_VALUE"""),"Robes of a Peaceful Immortal")</f>
        <v>Robes of a Peaceful Immortal</v>
      </c>
      <c r="B219" s="49" t="str">
        <f>IFERROR(__xludf.DUMMYFUNCTION("""COMPUTED_VALUE"""),"Torso")</f>
        <v>Torso</v>
      </c>
      <c r="C219" s="49"/>
      <c r="D219" s="49"/>
      <c r="E219" s="49">
        <f>IFERROR(__xludf.DUMMYFUNCTION("""COMPUTED_VALUE"""),1.0)</f>
        <v>1</v>
      </c>
      <c r="F219" s="112">
        <f>IFERROR(__xludf.DUMMYFUNCTION("""COMPUTED_VALUE"""),0.0)</f>
        <v>0</v>
      </c>
      <c r="G219" s="49"/>
      <c r="H219" s="49"/>
      <c r="I219" s="49"/>
      <c r="J219" s="49"/>
      <c r="K219" s="49"/>
      <c r="L219" s="49"/>
      <c r="M219" s="49"/>
      <c r="N219" s="49"/>
      <c r="O219" s="49"/>
      <c r="P219" s="49"/>
      <c r="Q219" s="49"/>
      <c r="R219" s="49"/>
      <c r="S219" s="49"/>
      <c r="T219" s="49"/>
      <c r="U219" s="49"/>
      <c r="V219" s="49"/>
      <c r="W219" s="49"/>
      <c r="X219" s="49"/>
      <c r="Y219" s="49"/>
      <c r="Z219" s="49"/>
      <c r="AA219" s="49"/>
      <c r="AB219" s="49"/>
      <c r="AC219" s="49"/>
      <c r="AD219" s="49"/>
      <c r="AE219" s="49"/>
      <c r="AF219" s="49" t="str">
        <f>IFERROR(__xludf.DUMMYFUNCTION("""COMPUTED_VALUE"""),"++Peaceful Blessing - Incapable of receiving or dealing damage. +-Cannot be duplicated.")</f>
        <v>++Peaceful Blessing - Incapable of receiving or dealing damage. +-Cannot be duplicated.</v>
      </c>
      <c r="AG219" s="49" t="str">
        <f>IFERROR(__xludf.DUMMYFUNCTION("""COMPUTED_VALUE"""),"Land of Spira")</f>
        <v>Land of Spira</v>
      </c>
      <c r="AH219" s="49" t="b">
        <f>IFERROR(__xludf.DUMMYFUNCTION("""COMPUTED_VALUE"""),FALSE)</f>
        <v>0</v>
      </c>
    </row>
    <row r="220">
      <c r="A220" s="49" t="str">
        <f>IFERROR(__xludf.DUMMYFUNCTION("""COMPUTED_VALUE"""),"Royal Amulet Of Heatmore")</f>
        <v>Royal Amulet Of Heatmore</v>
      </c>
      <c r="B220" s="49" t="str">
        <f>IFERROR(__xludf.DUMMYFUNCTION("""COMPUTED_VALUE"""),"Neck")</f>
        <v>Neck</v>
      </c>
      <c r="C220" s="49"/>
      <c r="D220" s="49"/>
      <c r="E220" s="49">
        <f>IFERROR(__xludf.DUMMYFUNCTION("""COMPUTED_VALUE"""),1.0)</f>
        <v>1</v>
      </c>
      <c r="F220" s="112">
        <f>IFERROR(__xludf.DUMMYFUNCTION("""COMPUTED_VALUE"""),0.0)</f>
        <v>0</v>
      </c>
      <c r="G220" s="49"/>
      <c r="H220" s="49"/>
      <c r="I220" s="49"/>
      <c r="J220" s="49"/>
      <c r="K220" s="49"/>
      <c r="L220" s="49"/>
      <c r="M220" s="49"/>
      <c r="N220" s="49"/>
      <c r="O220" s="49"/>
      <c r="P220" s="49"/>
      <c r="Q220" s="49"/>
      <c r="R220" s="49"/>
      <c r="S220" s="49"/>
      <c r="T220" s="49"/>
      <c r="U220" s="49"/>
      <c r="V220" s="49"/>
      <c r="W220" s="49"/>
      <c r="X220" s="49"/>
      <c r="Y220" s="49"/>
      <c r="Z220" s="49"/>
      <c r="AA220" s="49"/>
      <c r="AB220" s="49"/>
      <c r="AC220" s="49"/>
      <c r="AD220" s="49"/>
      <c r="AE220" s="49"/>
      <c r="AF220" s="49" t="str">
        <f>IFERROR(__xludf.DUMMYFUNCTION("""COMPUTED_VALUE"""),"++ immune to fire dmg")</f>
        <v>++ immune to fire dmg</v>
      </c>
      <c r="AG220" s="49" t="str">
        <f>IFERROR(__xludf.DUMMYFUNCTION("""COMPUTED_VALUE"""),"Land of Spira")</f>
        <v>Land of Spira</v>
      </c>
      <c r="AH220" s="49" t="b">
        <f>IFERROR(__xludf.DUMMYFUNCTION("""COMPUTED_VALUE"""),FALSE)</f>
        <v>0</v>
      </c>
    </row>
    <row r="221">
      <c r="A221" s="49" t="str">
        <f>IFERROR(__xludf.DUMMYFUNCTION("""COMPUTED_VALUE"""),"Royal Guard Axe")</f>
        <v>Royal Guard Axe</v>
      </c>
      <c r="B221" s="49" t="str">
        <f>IFERROR(__xludf.DUMMYFUNCTION("""COMPUTED_VALUE"""),"Hand")</f>
        <v>Hand</v>
      </c>
      <c r="C221" s="49" t="str">
        <f>IFERROR(__xludf.DUMMYFUNCTION("""COMPUTED_VALUE"""),"Quest Item")</f>
        <v>Quest Item</v>
      </c>
      <c r="D221" s="49"/>
      <c r="E221" s="49">
        <f>IFERROR(__xludf.DUMMYFUNCTION("""COMPUTED_VALUE"""),200.0)</f>
        <v>200</v>
      </c>
      <c r="F221" s="112">
        <f>IFERROR(__xludf.DUMMYFUNCTION("""COMPUTED_VALUE"""),4.485E8)</f>
        <v>448500000</v>
      </c>
      <c r="G221" s="49" t="str">
        <f>IFERROR(__xludf.DUMMYFUNCTION("""COMPUTED_VALUE"""),"DMG")</f>
        <v>DMG</v>
      </c>
      <c r="H221" s="125">
        <f>IFERROR(__xludf.DUMMYFUNCTION("""COMPUTED_VALUE"""),50000.0)</f>
        <v>50000</v>
      </c>
      <c r="I221" s="49"/>
      <c r="J221" s="49"/>
      <c r="K221" s="49"/>
      <c r="L221" s="49"/>
      <c r="M221" s="49"/>
      <c r="N221" s="125">
        <f>IFERROR(__xludf.DUMMYFUNCTION("""COMPUTED_VALUE"""),50000.0)</f>
        <v>50000</v>
      </c>
      <c r="O221" s="49"/>
      <c r="P221" s="49"/>
      <c r="Q221" s="49"/>
      <c r="R221" s="49"/>
      <c r="S221" s="49"/>
      <c r="T221" s="49"/>
      <c r="U221" s="49"/>
      <c r="V221" s="49"/>
      <c r="W221" s="49"/>
      <c r="X221" s="49"/>
      <c r="Y221" s="49"/>
      <c r="Z221" s="49"/>
      <c r="AA221" s="49"/>
      <c r="AB221" s="49"/>
      <c r="AC221" s="125">
        <f>IFERROR(__xludf.DUMMYFUNCTION("""COMPUTED_VALUE"""),50000.0)</f>
        <v>50000</v>
      </c>
      <c r="AD221" s="49"/>
      <c r="AE221" s="49"/>
      <c r="AF221" s="49" t="str">
        <f>IFERROR(__xludf.DUMMYFUNCTION("""COMPUTED_VALUE"""),"++X4 additional Weapon Damage. +-Cannot be duplicated.")</f>
        <v>++X4 additional Weapon Damage. +-Cannot be duplicated.</v>
      </c>
      <c r="AG221" s="49" t="str">
        <f>IFERROR(__xludf.DUMMYFUNCTION("""COMPUTED_VALUE"""),"Land of Spira")</f>
        <v>Land of Spira</v>
      </c>
      <c r="AH221" s="49" t="b">
        <f>IFERROR(__xludf.DUMMYFUNCTION("""COMPUTED_VALUE"""),FALSE)</f>
        <v>0</v>
      </c>
    </row>
    <row r="222">
      <c r="A222" s="49" t="str">
        <f>IFERROR(__xludf.DUMMYFUNCTION("""COMPUTED_VALUE"""),"Royal Guard Helmet")</f>
        <v>Royal Guard Helmet</v>
      </c>
      <c r="B222" s="49" t="str">
        <f>IFERROR(__xludf.DUMMYFUNCTION("""COMPUTED_VALUE"""),"Head")</f>
        <v>Head</v>
      </c>
      <c r="C222" s="49" t="str">
        <f>IFERROR(__xludf.DUMMYFUNCTION("""COMPUTED_VALUE"""),"Quest Item")</f>
        <v>Quest Item</v>
      </c>
      <c r="D222" s="49"/>
      <c r="E222" s="49">
        <f>IFERROR(__xludf.DUMMYFUNCTION("""COMPUTED_VALUE"""),200.0)</f>
        <v>200</v>
      </c>
      <c r="F222" s="112">
        <f>IFERROR(__xludf.DUMMYFUNCTION("""COMPUTED_VALUE"""),4.485E8)</f>
        <v>448500000</v>
      </c>
      <c r="G222" s="49" t="str">
        <f>IFERROR(__xludf.DUMMYFUNCTION("""COMPUTED_VALUE"""),"DEF")</f>
        <v>DEF</v>
      </c>
      <c r="H222" s="125">
        <f>IFERROR(__xludf.DUMMYFUNCTION("""COMPUTED_VALUE"""),50000.0)</f>
        <v>50000</v>
      </c>
      <c r="I222" s="49"/>
      <c r="J222" s="49"/>
      <c r="K222" s="49"/>
      <c r="L222" s="49"/>
      <c r="M222" s="49"/>
      <c r="N222" s="125">
        <f>IFERROR(__xludf.DUMMYFUNCTION("""COMPUTED_VALUE"""),50000.0)</f>
        <v>50000</v>
      </c>
      <c r="O222" s="49"/>
      <c r="P222" s="49"/>
      <c r="Q222" s="49"/>
      <c r="R222" s="49"/>
      <c r="S222" s="49"/>
      <c r="T222" s="49"/>
      <c r="U222" s="49"/>
      <c r="V222" s="49"/>
      <c r="W222" s="49"/>
      <c r="X222" s="49"/>
      <c r="Y222" s="49"/>
      <c r="Z222" s="49"/>
      <c r="AA222" s="49"/>
      <c r="AB222" s="49"/>
      <c r="AC222" s="125">
        <f>IFERROR(__xludf.DUMMYFUNCTION("""COMPUTED_VALUE"""),50000.0)</f>
        <v>50000</v>
      </c>
      <c r="AD222" s="49"/>
      <c r="AE222" s="49"/>
      <c r="AF222" s="49" t="str">
        <f>IFERROR(__xludf.DUMMYFUNCTION("""COMPUTED_VALUE"""),"++X4 Additional Weapon damage. ++X2 Additional Defense. +-Cannot be duplicated.")</f>
        <v>++X4 Additional Weapon damage. ++X2 Additional Defense. +-Cannot be duplicated.</v>
      </c>
      <c r="AG222" s="49" t="str">
        <f>IFERROR(__xludf.DUMMYFUNCTION("""COMPUTED_VALUE"""),"Land of Spira")</f>
        <v>Land of Spira</v>
      </c>
      <c r="AH222" s="49" t="b">
        <f>IFERROR(__xludf.DUMMYFUNCTION("""COMPUTED_VALUE"""),FALSE)</f>
        <v>0</v>
      </c>
    </row>
    <row r="223">
      <c r="A223" s="49" t="str">
        <f>IFERROR(__xludf.DUMMYFUNCTION("""COMPUTED_VALUE"""),"Royal Guard Chestplate")</f>
        <v>Royal Guard Chestplate</v>
      </c>
      <c r="B223" s="49" t="str">
        <f>IFERROR(__xludf.DUMMYFUNCTION("""COMPUTED_VALUE"""),"Torso")</f>
        <v>Torso</v>
      </c>
      <c r="C223" s="49" t="str">
        <f>IFERROR(__xludf.DUMMYFUNCTION("""COMPUTED_VALUE"""),"Quest Item")</f>
        <v>Quest Item</v>
      </c>
      <c r="D223" s="49"/>
      <c r="E223" s="49">
        <f>IFERROR(__xludf.DUMMYFUNCTION("""COMPUTED_VALUE"""),200.0)</f>
        <v>200</v>
      </c>
      <c r="F223" s="112">
        <f>IFERROR(__xludf.DUMMYFUNCTION("""COMPUTED_VALUE"""),4.485E8)</f>
        <v>448500000</v>
      </c>
      <c r="G223" s="49" t="str">
        <f>IFERROR(__xludf.DUMMYFUNCTION("""COMPUTED_VALUE"""),"DEF")</f>
        <v>DEF</v>
      </c>
      <c r="H223" s="125">
        <f>IFERROR(__xludf.DUMMYFUNCTION("""COMPUTED_VALUE"""),50000.0)</f>
        <v>50000</v>
      </c>
      <c r="I223" s="49"/>
      <c r="J223" s="49"/>
      <c r="K223" s="49"/>
      <c r="L223" s="49"/>
      <c r="M223" s="49"/>
      <c r="N223" s="125">
        <f>IFERROR(__xludf.DUMMYFUNCTION("""COMPUTED_VALUE"""),50000.0)</f>
        <v>50000</v>
      </c>
      <c r="O223" s="49"/>
      <c r="P223" s="49"/>
      <c r="Q223" s="49"/>
      <c r="R223" s="49"/>
      <c r="S223" s="49"/>
      <c r="T223" s="49"/>
      <c r="U223" s="49"/>
      <c r="V223" s="49"/>
      <c r="W223" s="49"/>
      <c r="X223" s="49"/>
      <c r="Y223" s="49"/>
      <c r="Z223" s="49"/>
      <c r="AA223" s="49"/>
      <c r="AB223" s="49"/>
      <c r="AC223" s="125">
        <f>IFERROR(__xludf.DUMMYFUNCTION("""COMPUTED_VALUE"""),50000.0)</f>
        <v>50000</v>
      </c>
      <c r="AD223" s="49"/>
      <c r="AE223" s="49"/>
      <c r="AF223" s="49" t="str">
        <f>IFERROR(__xludf.DUMMYFUNCTION("""COMPUTED_VALUE"""),"++X4 Additional Weapon damage. ++X2 Additional Defense. +-Cannot be duplicated.")</f>
        <v>++X4 Additional Weapon damage. ++X2 Additional Defense. +-Cannot be duplicated.</v>
      </c>
      <c r="AG223" s="49" t="str">
        <f>IFERROR(__xludf.DUMMYFUNCTION("""COMPUTED_VALUE"""),"Land of Spira")</f>
        <v>Land of Spira</v>
      </c>
      <c r="AH223" s="49" t="b">
        <f>IFERROR(__xludf.DUMMYFUNCTION("""COMPUTED_VALUE"""),FALSE)</f>
        <v>0</v>
      </c>
    </row>
    <row r="224">
      <c r="A224" s="49" t="str">
        <f>IFERROR(__xludf.DUMMYFUNCTION("""COMPUTED_VALUE"""),"Royal Guard Boots")</f>
        <v>Royal Guard Boots</v>
      </c>
      <c r="B224" s="49" t="str">
        <f>IFERROR(__xludf.DUMMYFUNCTION("""COMPUTED_VALUE"""),"Feet")</f>
        <v>Feet</v>
      </c>
      <c r="C224" s="49" t="str">
        <f>IFERROR(__xludf.DUMMYFUNCTION("""COMPUTED_VALUE"""),"Quest Item")</f>
        <v>Quest Item</v>
      </c>
      <c r="D224" s="49"/>
      <c r="E224" s="49">
        <f>IFERROR(__xludf.DUMMYFUNCTION("""COMPUTED_VALUE"""),200.0)</f>
        <v>200</v>
      </c>
      <c r="F224" s="112">
        <f>IFERROR(__xludf.DUMMYFUNCTION("""COMPUTED_VALUE"""),4.485E8)</f>
        <v>448500000</v>
      </c>
      <c r="G224" s="49" t="str">
        <f>IFERROR(__xludf.DUMMYFUNCTION("""COMPUTED_VALUE"""),"DEF")</f>
        <v>DEF</v>
      </c>
      <c r="H224" s="125">
        <f>IFERROR(__xludf.DUMMYFUNCTION("""COMPUTED_VALUE"""),50000.0)</f>
        <v>50000</v>
      </c>
      <c r="I224" s="49"/>
      <c r="J224" s="49"/>
      <c r="K224" s="49"/>
      <c r="L224" s="49"/>
      <c r="M224" s="49"/>
      <c r="N224" s="125">
        <f>IFERROR(__xludf.DUMMYFUNCTION("""COMPUTED_VALUE"""),50000.0)</f>
        <v>50000</v>
      </c>
      <c r="O224" s="49"/>
      <c r="P224" s="49"/>
      <c r="Q224" s="49"/>
      <c r="R224" s="49"/>
      <c r="S224" s="49"/>
      <c r="T224" s="49"/>
      <c r="U224" s="49"/>
      <c r="V224" s="49"/>
      <c r="W224" s="49"/>
      <c r="X224" s="49"/>
      <c r="Y224" s="49"/>
      <c r="Z224" s="49"/>
      <c r="AA224" s="49"/>
      <c r="AB224" s="49"/>
      <c r="AC224" s="125">
        <f>IFERROR(__xludf.DUMMYFUNCTION("""COMPUTED_VALUE"""),50000.0)</f>
        <v>50000</v>
      </c>
      <c r="AD224" s="49"/>
      <c r="AE224" s="49"/>
      <c r="AF224" s="49" t="str">
        <f>IFERROR(__xludf.DUMMYFUNCTION("""COMPUTED_VALUE"""),"++X4 Additional Weapon damage. ++X2 Additional Defense. +-Cannot be duplicated.")</f>
        <v>++X4 Additional Weapon damage. ++X2 Additional Defense. +-Cannot be duplicated.</v>
      </c>
      <c r="AG224" s="49" t="str">
        <f>IFERROR(__xludf.DUMMYFUNCTION("""COMPUTED_VALUE"""),"Land of Spira")</f>
        <v>Land of Spira</v>
      </c>
      <c r="AH224" s="49" t="b">
        <f>IFERROR(__xludf.DUMMYFUNCTION("""COMPUTED_VALUE"""),FALSE)</f>
        <v>0</v>
      </c>
    </row>
    <row r="225">
      <c r="A225" s="49" t="str">
        <f>IFERROR(__xludf.DUMMYFUNCTION("""COMPUTED_VALUE"""),"Royal Guard Greaves")</f>
        <v>Royal Guard Greaves</v>
      </c>
      <c r="B225" s="49" t="str">
        <f>IFERROR(__xludf.DUMMYFUNCTION("""COMPUTED_VALUE"""),"Legs")</f>
        <v>Legs</v>
      </c>
      <c r="C225" s="49" t="str">
        <f>IFERROR(__xludf.DUMMYFUNCTION("""COMPUTED_VALUE"""),"Quest Item")</f>
        <v>Quest Item</v>
      </c>
      <c r="D225" s="49"/>
      <c r="E225" s="49">
        <f>IFERROR(__xludf.DUMMYFUNCTION("""COMPUTED_VALUE"""),200.0)</f>
        <v>200</v>
      </c>
      <c r="F225" s="112">
        <f>IFERROR(__xludf.DUMMYFUNCTION("""COMPUTED_VALUE"""),4.485E8)</f>
        <v>448500000</v>
      </c>
      <c r="G225" s="49" t="str">
        <f>IFERROR(__xludf.DUMMYFUNCTION("""COMPUTED_VALUE"""),"DEF")</f>
        <v>DEF</v>
      </c>
      <c r="H225" s="125">
        <f>IFERROR(__xludf.DUMMYFUNCTION("""COMPUTED_VALUE"""),50000.0)</f>
        <v>50000</v>
      </c>
      <c r="I225" s="49"/>
      <c r="J225" s="49"/>
      <c r="K225" s="49"/>
      <c r="L225" s="49"/>
      <c r="M225" s="49"/>
      <c r="N225" s="125">
        <f>IFERROR(__xludf.DUMMYFUNCTION("""COMPUTED_VALUE"""),50000.0)</f>
        <v>50000</v>
      </c>
      <c r="O225" s="49"/>
      <c r="P225" s="49"/>
      <c r="Q225" s="49"/>
      <c r="R225" s="49"/>
      <c r="S225" s="49"/>
      <c r="T225" s="49"/>
      <c r="U225" s="49"/>
      <c r="V225" s="49"/>
      <c r="W225" s="49"/>
      <c r="X225" s="49"/>
      <c r="Y225" s="49"/>
      <c r="Z225" s="49"/>
      <c r="AA225" s="49"/>
      <c r="AB225" s="49"/>
      <c r="AC225" s="125">
        <f>IFERROR(__xludf.DUMMYFUNCTION("""COMPUTED_VALUE"""),50000.0)</f>
        <v>50000</v>
      </c>
      <c r="AD225" s="49"/>
      <c r="AE225" s="49"/>
      <c r="AF225" s="49" t="str">
        <f>IFERROR(__xludf.DUMMYFUNCTION("""COMPUTED_VALUE"""),"++X4 Additional Weapon damage. ++X2 Additional Defense. +-Cannot be duplicated.")</f>
        <v>++X4 Additional Weapon damage. ++X2 Additional Defense. +-Cannot be duplicated.</v>
      </c>
      <c r="AG225" s="49" t="str">
        <f>IFERROR(__xludf.DUMMYFUNCTION("""COMPUTED_VALUE"""),"Land of Spira")</f>
        <v>Land of Spira</v>
      </c>
      <c r="AH225" s="49" t="b">
        <f>IFERROR(__xludf.DUMMYFUNCTION("""COMPUTED_VALUE"""),FALSE)</f>
        <v>0</v>
      </c>
    </row>
    <row r="226">
      <c r="A226" s="49" t="str">
        <f>IFERROR(__xludf.DUMMYFUNCTION("""COMPUTED_VALUE"""),"Royal Keeper Shield")</f>
        <v>Royal Keeper Shield</v>
      </c>
      <c r="B226" s="49" t="str">
        <f>IFERROR(__xludf.DUMMYFUNCTION("""COMPUTED_VALUE"""),"Hand")</f>
        <v>Hand</v>
      </c>
      <c r="C226" s="49"/>
      <c r="D226" s="49" t="str">
        <f>IFERROR(__xludf.DUMMYFUNCTION("""COMPUTED_VALUE"""),"Towershield")</f>
        <v>Towershield</v>
      </c>
      <c r="E226" s="49">
        <f>IFERROR(__xludf.DUMMYFUNCTION("""COMPUTED_VALUE"""),20.0)</f>
        <v>20</v>
      </c>
      <c r="F226" s="112">
        <f>IFERROR(__xludf.DUMMYFUNCTION("""COMPUTED_VALUE"""),10000.0)</f>
        <v>10000</v>
      </c>
      <c r="G226" s="49" t="str">
        <f>IFERROR(__xludf.DUMMYFUNCTION("""COMPUTED_VALUE"""),"DEF")</f>
        <v>DEF</v>
      </c>
      <c r="H226" s="49">
        <f>IFERROR(__xludf.DUMMYFUNCTION("""COMPUTED_VALUE"""),1000.0)</f>
        <v>1000</v>
      </c>
      <c r="I226" s="49"/>
      <c r="J226" s="49"/>
      <c r="K226" s="49"/>
      <c r="L226" s="49"/>
      <c r="M226" s="49"/>
      <c r="N226" s="49"/>
      <c r="O226" s="49"/>
      <c r="P226" s="49"/>
      <c r="Q226" s="49"/>
      <c r="R226" s="49"/>
      <c r="S226" s="49"/>
      <c r="T226" s="49"/>
      <c r="U226" s="49"/>
      <c r="V226" s="49"/>
      <c r="W226" s="49"/>
      <c r="X226" s="49"/>
      <c r="Y226" s="49"/>
      <c r="Z226" s="49"/>
      <c r="AA226" s="49"/>
      <c r="AB226" s="49"/>
      <c r="AC226" s="49"/>
      <c r="AD226" s="49"/>
      <c r="AE226" s="49"/>
      <c r="AF226" s="49" t="str">
        <f>IFERROR(__xludf.DUMMYFUNCTION("""COMPUTED_VALUE"""),"++Royal Block - Gan invulnerability to all damage for 3 rounds of battle. 5000SP Will Succeed.")</f>
        <v>++Royal Block - Gan invulnerability to all damage for 3 rounds of battle. 5000SP Will Succeed.</v>
      </c>
      <c r="AG226" s="49" t="str">
        <f>IFERROR(__xludf.DUMMYFUNCTION("""COMPUTED_VALUE"""),"Land of Spira")</f>
        <v>Land of Spira</v>
      </c>
      <c r="AH226" s="49" t="b">
        <f>IFERROR(__xludf.DUMMYFUNCTION("""COMPUTED_VALUE"""),FALSE)</f>
        <v>0</v>
      </c>
    </row>
    <row r="227">
      <c r="A227" s="49" t="str">
        <f>IFERROR(__xludf.DUMMYFUNCTION("""COMPUTED_VALUE"""),"Royal Keeper Spear")</f>
        <v>Royal Keeper Spear</v>
      </c>
      <c r="B227" s="49" t="str">
        <f>IFERROR(__xludf.DUMMYFUNCTION("""COMPUTED_VALUE"""),"Hand")</f>
        <v>Hand</v>
      </c>
      <c r="C227" s="49"/>
      <c r="D227" s="49" t="str">
        <f>IFERROR(__xludf.DUMMYFUNCTION("""COMPUTED_VALUE"""),"Spear")</f>
        <v>Spear</v>
      </c>
      <c r="E227" s="49">
        <f>IFERROR(__xludf.DUMMYFUNCTION("""COMPUTED_VALUE"""),400.0)</f>
        <v>400</v>
      </c>
      <c r="F227" s="112">
        <f>IFERROR(__xludf.DUMMYFUNCTION("""COMPUTED_VALUE"""),7800000.0)</f>
        <v>7800000</v>
      </c>
      <c r="G227" s="49" t="str">
        <f>IFERROR(__xludf.DUMMYFUNCTION("""COMPUTED_VALUE"""),"DMG")</f>
        <v>DMG</v>
      </c>
      <c r="H227" s="125">
        <f>IFERROR(__xludf.DUMMYFUNCTION("""COMPUTED_VALUE"""),10000.0)</f>
        <v>10000</v>
      </c>
      <c r="I227" s="125">
        <f>IFERROR(__xludf.DUMMYFUNCTION("""COMPUTED_VALUE"""),10000.0)</f>
        <v>10000</v>
      </c>
      <c r="J227" s="49"/>
      <c r="K227" s="49"/>
      <c r="L227" s="49"/>
      <c r="M227" s="49"/>
      <c r="N227" s="49"/>
      <c r="O227" s="49"/>
      <c r="P227" s="49"/>
      <c r="Q227" s="49"/>
      <c r="R227" s="49"/>
      <c r="S227" s="49"/>
      <c r="T227" s="49"/>
      <c r="U227" s="49"/>
      <c r="V227" s="49"/>
      <c r="W227" s="49"/>
      <c r="X227" s="49"/>
      <c r="Y227" s="49"/>
      <c r="Z227" s="49"/>
      <c r="AA227" s="49"/>
      <c r="AB227" s="49"/>
      <c r="AC227" s="49"/>
      <c r="AD227" s="49"/>
      <c r="AE227" s="49"/>
      <c r="AF227" s="49" t="str">
        <f>IFERROR(__xludf.DUMMYFUNCTION("""COMPUTED_VALUE"""),"++Royal Stance -  Shuttering 1 for the first round of battle.")</f>
        <v>++Royal Stance -  Shuttering 1 for the first round of battle.</v>
      </c>
      <c r="AG227" s="49" t="str">
        <f>IFERROR(__xludf.DUMMYFUNCTION("""COMPUTED_VALUE"""),"Land of Spira")</f>
        <v>Land of Spira</v>
      </c>
      <c r="AH227" s="49" t="b">
        <f>IFERROR(__xludf.DUMMYFUNCTION("""COMPUTED_VALUE"""),FALSE)</f>
        <v>0</v>
      </c>
    </row>
    <row r="228">
      <c r="A228" s="49" t="str">
        <f>IFERROR(__xludf.DUMMYFUNCTION("""COMPUTED_VALUE"""),"Royal Sword of Chaotic Shadows")</f>
        <v>Royal Sword of Chaotic Shadows</v>
      </c>
      <c r="B228" s="49" t="str">
        <f>IFERROR(__xludf.DUMMYFUNCTION("""COMPUTED_VALUE"""),"Hand")</f>
        <v>Hand</v>
      </c>
      <c r="C228" s="49"/>
      <c r="D228" s="49" t="str">
        <f>IFERROR(__xludf.DUMMYFUNCTION("""COMPUTED_VALUE"""),"Sword")</f>
        <v>Sword</v>
      </c>
      <c r="E228" s="49">
        <f>IFERROR(__xludf.DUMMYFUNCTION("""COMPUTED_VALUE"""),900.0)</f>
        <v>900</v>
      </c>
      <c r="F228" s="112">
        <f>IFERROR(__xludf.DUMMYFUNCTION("""COMPUTED_VALUE"""),4.005E7)</f>
        <v>40050000</v>
      </c>
      <c r="G228" s="49" t="str">
        <f>IFERROR(__xludf.DUMMYFUNCTION("""COMPUTED_VALUE"""),"DMG")</f>
        <v>DMG</v>
      </c>
      <c r="H228" s="125">
        <f>IFERROR(__xludf.DUMMYFUNCTION("""COMPUTED_VALUE"""),15000.0)</f>
        <v>15000</v>
      </c>
      <c r="I228" s="49"/>
      <c r="J228" s="49"/>
      <c r="K228" s="49"/>
      <c r="L228" s="49"/>
      <c r="M228" s="49"/>
      <c r="N228" s="49"/>
      <c r="O228" s="125">
        <f>IFERROR(__xludf.DUMMYFUNCTION("""COMPUTED_VALUE"""),15000.0)</f>
        <v>15000</v>
      </c>
      <c r="P228" s="49"/>
      <c r="Q228" s="49"/>
      <c r="R228" s="125">
        <f>IFERROR(__xludf.DUMMYFUNCTION("""COMPUTED_VALUE"""),15000.0)</f>
        <v>15000</v>
      </c>
      <c r="S228" s="49"/>
      <c r="T228" s="49"/>
      <c r="U228" s="49"/>
      <c r="V228" s="49"/>
      <c r="W228" s="49"/>
      <c r="X228" s="49"/>
      <c r="Y228" s="49"/>
      <c r="Z228" s="49"/>
      <c r="AA228" s="49"/>
      <c r="AB228" s="49"/>
      <c r="AC228" s="49"/>
      <c r="AD228" s="49"/>
      <c r="AE228" s="49"/>
      <c r="AF228" s="49"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49" t="str">
        <f>IFERROR(__xludf.DUMMYFUNCTION("""COMPUTED_VALUE"""),"Land of Spira")</f>
        <v>Land of Spira</v>
      </c>
      <c r="AH228" s="49" t="b">
        <f>IFERROR(__xludf.DUMMYFUNCTION("""COMPUTED_VALUE"""),FALSE)</f>
        <v>0</v>
      </c>
    </row>
    <row r="229">
      <c r="A229" s="49" t="str">
        <f>IFERROR(__xludf.DUMMYFUNCTION("""COMPUTED_VALUE"""),"Rusty sword")</f>
        <v>Rusty sword</v>
      </c>
      <c r="B229" s="49" t="str">
        <f>IFERROR(__xludf.DUMMYFUNCTION("""COMPUTED_VALUE"""),"Hand")</f>
        <v>Hand</v>
      </c>
      <c r="C229" s="49"/>
      <c r="D229" s="49" t="str">
        <f>IFERROR(__xludf.DUMMYFUNCTION("""COMPUTED_VALUE"""),"Sword")</f>
        <v>Sword</v>
      </c>
      <c r="E229" s="49">
        <f>IFERROR(__xludf.DUMMYFUNCTION("""COMPUTED_VALUE"""),1.0)</f>
        <v>1</v>
      </c>
      <c r="F229" s="112">
        <f>IFERROR(__xludf.DUMMYFUNCTION("""COMPUTED_VALUE"""),0.0)</f>
        <v>0</v>
      </c>
      <c r="G229" s="49" t="str">
        <f>IFERROR(__xludf.DUMMYFUNCTION("""COMPUTED_VALUE"""),"DMG")</f>
        <v>DMG</v>
      </c>
      <c r="H229" s="49">
        <f>IFERROR(__xludf.DUMMYFUNCTION("""COMPUTED_VALUE"""),60.0)</f>
        <v>60</v>
      </c>
      <c r="I229" s="49"/>
      <c r="J229" s="49"/>
      <c r="K229" s="49"/>
      <c r="L229" s="49"/>
      <c r="M229" s="49"/>
      <c r="N229" s="49"/>
      <c r="O229" s="49"/>
      <c r="P229" s="49"/>
      <c r="Q229" s="49"/>
      <c r="R229" s="49"/>
      <c r="S229" s="49"/>
      <c r="T229" s="49"/>
      <c r="U229" s="49"/>
      <c r="V229" s="49"/>
      <c r="W229" s="49"/>
      <c r="X229" s="49"/>
      <c r="Y229" s="49"/>
      <c r="Z229" s="49"/>
      <c r="AA229" s="49"/>
      <c r="AB229" s="49"/>
      <c r="AC229" s="49"/>
      <c r="AD229" s="49"/>
      <c r="AE229" s="49"/>
      <c r="AF229" s="49" t="str">
        <f>IFERROR(__xludf.DUMMYFUNCTION("""COMPUTED_VALUE"""),"++25% chance to break with each use")</f>
        <v>++25% chance to break with each use</v>
      </c>
      <c r="AG229" s="49" t="str">
        <f>IFERROR(__xludf.DUMMYFUNCTION("""COMPUTED_VALUE"""),"Land of Spira")</f>
        <v>Land of Spira</v>
      </c>
      <c r="AH229" s="49" t="b">
        <f>IFERROR(__xludf.DUMMYFUNCTION("""COMPUTED_VALUE"""),FALSE)</f>
        <v>0</v>
      </c>
    </row>
    <row r="230">
      <c r="A230" s="49" t="str">
        <f>IFERROR(__xludf.DUMMYFUNCTION("""COMPUTED_VALUE"""),"Saber Toothed Sword")</f>
        <v>Saber Toothed Sword</v>
      </c>
      <c r="B230" s="49" t="str">
        <f>IFERROR(__xludf.DUMMYFUNCTION("""COMPUTED_VALUE"""),"Hand")</f>
        <v>Hand</v>
      </c>
      <c r="C230" s="49" t="str">
        <f>IFERROR(__xludf.DUMMYFUNCTION("""COMPUTED_VALUE"""),"A sword crafted from the teeth of a saber toothed cat.")</f>
        <v>A sword crafted from the teeth of a saber toothed cat.</v>
      </c>
      <c r="D230" s="49" t="str">
        <f>IFERROR(__xludf.DUMMYFUNCTION("""COMPUTED_VALUE"""),"Sword")</f>
        <v>Sword</v>
      </c>
      <c r="E230" s="49">
        <f>IFERROR(__xludf.DUMMYFUNCTION("""COMPUTED_VALUE"""),2200.0)</f>
        <v>2200</v>
      </c>
      <c r="F230" s="112">
        <f>IFERROR(__xludf.DUMMYFUNCTION("""COMPUTED_VALUE"""),2.409E8)</f>
        <v>240900000</v>
      </c>
      <c r="G230" s="49" t="str">
        <f>IFERROR(__xludf.DUMMYFUNCTION("""COMPUTED_VALUE"""),"DMG")</f>
        <v>DMG</v>
      </c>
      <c r="H230" s="125">
        <f>IFERROR(__xludf.DUMMYFUNCTION("""COMPUTED_VALUE"""),60000.0)</f>
        <v>60000</v>
      </c>
      <c r="I230" s="49"/>
      <c r="J230" s="49"/>
      <c r="K230" s="49"/>
      <c r="L230" s="49"/>
      <c r="M230" s="49"/>
      <c r="N230" s="49"/>
      <c r="O230" s="49"/>
      <c r="P230" s="49"/>
      <c r="Q230" s="49"/>
      <c r="R230" s="49"/>
      <c r="S230" s="49"/>
      <c r="T230" s="49"/>
      <c r="U230" s="49"/>
      <c r="V230" s="49"/>
      <c r="W230" s="49"/>
      <c r="X230" s="49"/>
      <c r="Y230" s="125">
        <f>IFERROR(__xludf.DUMMYFUNCTION("""COMPUTED_VALUE"""),50000.0)</f>
        <v>50000</v>
      </c>
      <c r="Z230" s="49"/>
      <c r="AA230" s="49"/>
      <c r="AB230" s="49"/>
      <c r="AC230" s="49"/>
      <c r="AD230" s="49"/>
      <c r="AE230" s="49"/>
      <c r="AF230" s="49" t="str">
        <f>IFERROR(__xludf.DUMMYFUNCTION("""COMPUTED_VALUE"""),"++X2 additional blood damage.")</f>
        <v>++X2 additional blood damage.</v>
      </c>
      <c r="AG230" s="49" t="str">
        <f>IFERROR(__xludf.DUMMYFUNCTION("""COMPUTED_VALUE"""),"Abstara")</f>
        <v>Abstara</v>
      </c>
      <c r="AH230" s="49" t="b">
        <f>IFERROR(__xludf.DUMMYFUNCTION("""COMPUTED_VALUE"""),TRUE)</f>
        <v>1</v>
      </c>
    </row>
    <row r="231">
      <c r="A231" s="49" t="str">
        <f>IFERROR(__xludf.DUMMYFUNCTION("""COMPUTED_VALUE"""),"Ancient Oni Chestplate")</f>
        <v>Ancient Oni Chestplate</v>
      </c>
      <c r="B231" s="49" t="str">
        <f>IFERROR(__xludf.DUMMYFUNCTION("""COMPUTED_VALUE"""),"Torso")</f>
        <v>Torso</v>
      </c>
      <c r="C231" s="49" t="str">
        <f>IFERROR(__xludf.DUMMYFUNCTION("""COMPUTED_VALUE"""),"An ancient relic to Zhenmay")</f>
        <v>An ancient relic to Zhenmay</v>
      </c>
      <c r="D231" s="49"/>
      <c r="E231" s="49">
        <f>IFERROR(__xludf.DUMMYFUNCTION("""COMPUTED_VALUE"""),200.0)</f>
        <v>200</v>
      </c>
      <c r="F231" s="112">
        <f>IFERROR(__xludf.DUMMYFUNCTION("""COMPUTED_VALUE"""),5.104E8)</f>
        <v>510400000</v>
      </c>
      <c r="G231" s="49" t="str">
        <f>IFERROR(__xludf.DUMMYFUNCTION("""COMPUTED_VALUE"""),"DEF")</f>
        <v>DEF</v>
      </c>
      <c r="H231" s="125">
        <f>IFERROR(__xludf.DUMMYFUNCTION("""COMPUTED_VALUE"""),10000.0)</f>
        <v>10000</v>
      </c>
      <c r="I231" s="125">
        <f>IFERROR(__xludf.DUMMYFUNCTION("""COMPUTED_VALUE"""),10000.0)</f>
        <v>10000</v>
      </c>
      <c r="J231" s="125">
        <f>IFERROR(__xludf.DUMMYFUNCTION("""COMPUTED_VALUE"""),10000.0)</f>
        <v>10000</v>
      </c>
      <c r="K231" s="125">
        <f>IFERROR(__xludf.DUMMYFUNCTION("""COMPUTED_VALUE"""),10000.0)</f>
        <v>10000</v>
      </c>
      <c r="L231" s="125">
        <f>IFERROR(__xludf.DUMMYFUNCTION("""COMPUTED_VALUE"""),10000.0)</f>
        <v>10000</v>
      </c>
      <c r="M231" s="125">
        <f>IFERROR(__xludf.DUMMYFUNCTION("""COMPUTED_VALUE"""),10000.0)</f>
        <v>10000</v>
      </c>
      <c r="N231" s="125">
        <f>IFERROR(__xludf.DUMMYFUNCTION("""COMPUTED_VALUE"""),10000.0)</f>
        <v>10000</v>
      </c>
      <c r="O231" s="125">
        <f>IFERROR(__xludf.DUMMYFUNCTION("""COMPUTED_VALUE"""),10000.0)</f>
        <v>10000</v>
      </c>
      <c r="P231" s="125">
        <f>IFERROR(__xludf.DUMMYFUNCTION("""COMPUTED_VALUE"""),10000.0)</f>
        <v>10000</v>
      </c>
      <c r="Q231" s="125">
        <f>IFERROR(__xludf.DUMMYFUNCTION("""COMPUTED_VALUE"""),10000.0)</f>
        <v>10000</v>
      </c>
      <c r="R231" s="125">
        <f>IFERROR(__xludf.DUMMYFUNCTION("""COMPUTED_VALUE"""),10000.0)</f>
        <v>10000</v>
      </c>
      <c r="S231" s="125">
        <f>IFERROR(__xludf.DUMMYFUNCTION("""COMPUTED_VALUE"""),10000.0)</f>
        <v>10000</v>
      </c>
      <c r="T231" s="49"/>
      <c r="U231" s="49"/>
      <c r="V231" s="49"/>
      <c r="W231" s="49"/>
      <c r="X231" s="125">
        <f>IFERROR(__xludf.DUMMYFUNCTION("""COMPUTED_VALUE"""),10000.0)</f>
        <v>10000</v>
      </c>
      <c r="Y231" s="125">
        <f>IFERROR(__xludf.DUMMYFUNCTION("""COMPUTED_VALUE"""),10000.0)</f>
        <v>10000</v>
      </c>
      <c r="Z231" s="49"/>
      <c r="AA231" s="49"/>
      <c r="AB231" s="125">
        <f>IFERROR(__xludf.DUMMYFUNCTION("""COMPUTED_VALUE"""),10000.0)</f>
        <v>10000</v>
      </c>
      <c r="AC231" s="125">
        <f>IFERROR(__xludf.DUMMYFUNCTION("""COMPUTED_VALUE"""),10000.0)</f>
        <v>10000</v>
      </c>
      <c r="AD231" s="49"/>
      <c r="AE231" s="49"/>
      <c r="AF231" s="49" t="str">
        <f>IFERROR(__xludf.DUMMYFUNCTION("""COMPUTED_VALUE"""),"++X2 damage for all elements. ++Only Samurai's, Monks, and Ninjas can equip. +-Cannot be duplicated or forged.")</f>
        <v>++X2 damage for all elements. ++Only Samurai's, Monks, and Ninjas can equip. +-Cannot be duplicated or forged.</v>
      </c>
      <c r="AG231" s="49" t="str">
        <f>IFERROR(__xludf.DUMMYFUNCTION("""COMPUTED_VALUE"""),"Land of Spira")</f>
        <v>Land of Spira</v>
      </c>
      <c r="AH231" s="49" t="b">
        <f>IFERROR(__xludf.DUMMYFUNCTION("""COMPUTED_VALUE"""),FALSE)</f>
        <v>0</v>
      </c>
    </row>
    <row r="232">
      <c r="A232" s="49" t="str">
        <f>IFERROR(__xludf.DUMMYFUNCTION("""COMPUTED_VALUE"""),"Scythe of Mischief ")</f>
        <v>Scythe of Mischief </v>
      </c>
      <c r="B232" s="49" t="str">
        <f>IFERROR(__xludf.DUMMYFUNCTION("""COMPUTED_VALUE"""),"Hand")</f>
        <v>Hand</v>
      </c>
      <c r="C232" s="49"/>
      <c r="D232" s="49" t="str">
        <f>IFERROR(__xludf.DUMMYFUNCTION("""COMPUTED_VALUE"""),"Scythe")</f>
        <v>Scythe</v>
      </c>
      <c r="E232" s="49">
        <f>IFERROR(__xludf.DUMMYFUNCTION("""COMPUTED_VALUE"""),200.0)</f>
        <v>200</v>
      </c>
      <c r="F232" s="112">
        <f>IFERROR(__xludf.DUMMYFUNCTION("""COMPUTED_VALUE"""),5.995E7)</f>
        <v>59950000</v>
      </c>
      <c r="G232" s="49" t="str">
        <f>IFERROR(__xludf.DUMMYFUNCTION("""COMPUTED_VALUE"""),"DMG")</f>
        <v>DMG</v>
      </c>
      <c r="H232" s="125">
        <f>IFERROR(__xludf.DUMMYFUNCTION("""COMPUTED_VALUE"""),5000.0)</f>
        <v>5000</v>
      </c>
      <c r="I232" s="125">
        <f>IFERROR(__xludf.DUMMYFUNCTION("""COMPUTED_VALUE"""),5000.0)</f>
        <v>5000</v>
      </c>
      <c r="J232" s="49"/>
      <c r="K232" s="49"/>
      <c r="L232" s="49"/>
      <c r="M232" s="49"/>
      <c r="N232" s="49"/>
      <c r="O232" s="125">
        <f>IFERROR(__xludf.DUMMYFUNCTION("""COMPUTED_VALUE"""),5000.0)</f>
        <v>5000</v>
      </c>
      <c r="P232" s="125">
        <f>IFERROR(__xludf.DUMMYFUNCTION("""COMPUTED_VALUE"""),5000.0)</f>
        <v>5000</v>
      </c>
      <c r="Q232" s="49"/>
      <c r="R232" s="125">
        <f>IFERROR(__xludf.DUMMYFUNCTION("""COMPUTED_VALUE"""),5000.0)</f>
        <v>5000</v>
      </c>
      <c r="S232" s="49"/>
      <c r="T232" s="49"/>
      <c r="U232" s="49"/>
      <c r="V232" s="125">
        <f>IFERROR(__xludf.DUMMYFUNCTION("""COMPUTED_VALUE"""),5000.0)</f>
        <v>5000</v>
      </c>
      <c r="W232" s="125">
        <f>IFERROR(__xludf.DUMMYFUNCTION("""COMPUTED_VALUE"""),5000.0)</f>
        <v>5000</v>
      </c>
      <c r="X232" s="125">
        <f>IFERROR(__xludf.DUMMYFUNCTION("""COMPUTED_VALUE"""),5000.0)</f>
        <v>5000</v>
      </c>
      <c r="Y232" s="125">
        <f>IFERROR(__xludf.DUMMYFUNCTION("""COMPUTED_VALUE"""),5000.0)</f>
        <v>5000</v>
      </c>
      <c r="Z232" s="49"/>
      <c r="AA232" s="49"/>
      <c r="AB232" s="49"/>
      <c r="AC232" s="125">
        <f>IFERROR(__xludf.DUMMYFUNCTION("""COMPUTED_VALUE"""),10000.0)</f>
        <v>10000</v>
      </c>
      <c r="AD232" s="49"/>
      <c r="AE232" s="49"/>
      <c r="AF232" s="49" t="str">
        <f>IFERROR(__xludf.DUMMYFUNCTION("""COMPUTED_VALUE"""),"++Enemies deduct 2 from their rolls when targeting you. +-Cannot be duplicated")</f>
        <v>++Enemies deduct 2 from their rolls when targeting you. +-Cannot be duplicated</v>
      </c>
      <c r="AG232" s="49" t="str">
        <f>IFERROR(__xludf.DUMMYFUNCTION("""COMPUTED_VALUE"""),"Land of Spira")</f>
        <v>Land of Spira</v>
      </c>
      <c r="AH232" s="49" t="b">
        <f>IFERROR(__xludf.DUMMYFUNCTION("""COMPUTED_VALUE"""),FALSE)</f>
        <v>0</v>
      </c>
    </row>
    <row r="233">
      <c r="A233" s="49" t="str">
        <f>IFERROR(__xludf.DUMMYFUNCTION("""COMPUTED_VALUE"""),"Sea Serpent Boots")</f>
        <v>Sea Serpent Boots</v>
      </c>
      <c r="B233" s="49" t="str">
        <f>IFERROR(__xludf.DUMMYFUNCTION("""COMPUTED_VALUE"""),"Feet")</f>
        <v>Feet</v>
      </c>
      <c r="C233" s="49"/>
      <c r="D233" s="49"/>
      <c r="E233" s="49">
        <f>IFERROR(__xludf.DUMMYFUNCTION("""COMPUTED_VALUE"""),100.0)</f>
        <v>100</v>
      </c>
      <c r="F233" s="112">
        <f>IFERROR(__xludf.DUMMYFUNCTION("""COMPUTED_VALUE"""),450000.0)</f>
        <v>450000</v>
      </c>
      <c r="G233" s="49" t="str">
        <f>IFERROR(__xludf.DUMMYFUNCTION("""COMPUTED_VALUE"""),"DEF")</f>
        <v>DEF</v>
      </c>
      <c r="H233" s="49">
        <f>IFERROR(__xludf.DUMMYFUNCTION("""COMPUTED_VALUE"""),2500.0)</f>
        <v>2500</v>
      </c>
      <c r="I233" s="49"/>
      <c r="J233" s="49"/>
      <c r="K233" s="49">
        <f>IFERROR(__xludf.DUMMYFUNCTION("""COMPUTED_VALUE"""),2500.0)</f>
        <v>2500</v>
      </c>
      <c r="L233" s="49"/>
      <c r="M233" s="49"/>
      <c r="N233" s="49"/>
      <c r="O233" s="49"/>
      <c r="P233" s="49"/>
      <c r="Q233" s="49"/>
      <c r="R233" s="49"/>
      <c r="S233" s="49"/>
      <c r="T233" s="49"/>
      <c r="U233" s="49"/>
      <c r="V233" s="49"/>
      <c r="W233" s="49"/>
      <c r="X233" s="49"/>
      <c r="Y233" s="49"/>
      <c r="Z233" s="49"/>
      <c r="AA233" s="49"/>
      <c r="AB233" s="49"/>
      <c r="AC233" s="49"/>
      <c r="AD233" s="49"/>
      <c r="AE233" s="49"/>
      <c r="AF233" s="49" t="str">
        <f>IFERROR(__xludf.DUMMYFUNCTION("""COMPUTED_VALUE"""),"++X2 additional water damage for self.")</f>
        <v>++X2 additional water damage for self.</v>
      </c>
      <c r="AG233" s="49"/>
      <c r="AH233" s="49" t="b">
        <f>IFERROR(__xludf.DUMMYFUNCTION("""COMPUTED_VALUE"""),FALSE)</f>
        <v>0</v>
      </c>
    </row>
    <row r="234">
      <c r="A234" s="49" t="str">
        <f>IFERROR(__xludf.DUMMYFUNCTION("""COMPUTED_VALUE"""),"Sea Serpent Pauldrons")</f>
        <v>Sea Serpent Pauldrons</v>
      </c>
      <c r="B234" s="49" t="str">
        <f>IFERROR(__xludf.DUMMYFUNCTION("""COMPUTED_VALUE"""),"Shoulders")</f>
        <v>Shoulders</v>
      </c>
      <c r="C234" s="49"/>
      <c r="D234" s="49"/>
      <c r="E234" s="49">
        <f>IFERROR(__xludf.DUMMYFUNCTION("""COMPUTED_VALUE"""),100.0)</f>
        <v>100</v>
      </c>
      <c r="F234" s="112">
        <f>IFERROR(__xludf.DUMMYFUNCTION("""COMPUTED_VALUE"""),450000.0)</f>
        <v>450000</v>
      </c>
      <c r="G234" s="49" t="str">
        <f>IFERROR(__xludf.DUMMYFUNCTION("""COMPUTED_VALUE"""),"DEF")</f>
        <v>DEF</v>
      </c>
      <c r="H234" s="49">
        <f>IFERROR(__xludf.DUMMYFUNCTION("""COMPUTED_VALUE"""),2500.0)</f>
        <v>2500</v>
      </c>
      <c r="I234" s="49"/>
      <c r="J234" s="49"/>
      <c r="K234" s="49">
        <f>IFERROR(__xludf.DUMMYFUNCTION("""COMPUTED_VALUE"""),2500.0)</f>
        <v>2500</v>
      </c>
      <c r="L234" s="49"/>
      <c r="M234" s="49"/>
      <c r="N234" s="49"/>
      <c r="O234" s="49"/>
      <c r="P234" s="49"/>
      <c r="Q234" s="49"/>
      <c r="R234" s="49"/>
      <c r="S234" s="49"/>
      <c r="T234" s="49"/>
      <c r="U234" s="49"/>
      <c r="V234" s="49"/>
      <c r="W234" s="49"/>
      <c r="X234" s="49"/>
      <c r="Y234" s="49"/>
      <c r="Z234" s="49"/>
      <c r="AA234" s="49"/>
      <c r="AB234" s="49"/>
      <c r="AC234" s="49"/>
      <c r="AD234" s="49"/>
      <c r="AE234" s="49"/>
      <c r="AF234" s="49" t="str">
        <f>IFERROR(__xludf.DUMMYFUNCTION("""COMPUTED_VALUE"""),"++X2 additional water damage for self.")</f>
        <v>++X2 additional water damage for self.</v>
      </c>
      <c r="AG234" s="49"/>
      <c r="AH234" s="49" t="b">
        <f>IFERROR(__xludf.DUMMYFUNCTION("""COMPUTED_VALUE"""),FALSE)</f>
        <v>0</v>
      </c>
    </row>
    <row r="235">
      <c r="A235" s="49" t="str">
        <f>IFERROR(__xludf.DUMMYFUNCTION("""COMPUTED_VALUE"""),"Sea Serpent Vambrace")</f>
        <v>Sea Serpent Vambrace</v>
      </c>
      <c r="B235" s="49" t="str">
        <f>IFERROR(__xludf.DUMMYFUNCTION("""COMPUTED_VALUE"""),"Arms")</f>
        <v>Arms</v>
      </c>
      <c r="C235" s="49"/>
      <c r="D235" s="49"/>
      <c r="E235" s="49">
        <f>IFERROR(__xludf.DUMMYFUNCTION("""COMPUTED_VALUE"""),100.0)</f>
        <v>100</v>
      </c>
      <c r="F235" s="112">
        <f>IFERROR(__xludf.DUMMYFUNCTION("""COMPUTED_VALUE"""),450000.0)</f>
        <v>450000</v>
      </c>
      <c r="G235" s="49" t="str">
        <f>IFERROR(__xludf.DUMMYFUNCTION("""COMPUTED_VALUE"""),"DEF")</f>
        <v>DEF</v>
      </c>
      <c r="H235" s="49">
        <f>IFERROR(__xludf.DUMMYFUNCTION("""COMPUTED_VALUE"""),2500.0)</f>
        <v>2500</v>
      </c>
      <c r="I235" s="49"/>
      <c r="J235" s="49"/>
      <c r="K235" s="49">
        <f>IFERROR(__xludf.DUMMYFUNCTION("""COMPUTED_VALUE"""),2500.0)</f>
        <v>2500</v>
      </c>
      <c r="L235" s="49"/>
      <c r="M235" s="49"/>
      <c r="N235" s="49"/>
      <c r="O235" s="49"/>
      <c r="P235" s="49"/>
      <c r="Q235" s="49"/>
      <c r="R235" s="49"/>
      <c r="S235" s="49"/>
      <c r="T235" s="49"/>
      <c r="U235" s="49"/>
      <c r="V235" s="49"/>
      <c r="W235" s="49"/>
      <c r="X235" s="49"/>
      <c r="Y235" s="49"/>
      <c r="Z235" s="49"/>
      <c r="AA235" s="49"/>
      <c r="AB235" s="49"/>
      <c r="AC235" s="49"/>
      <c r="AD235" s="49"/>
      <c r="AE235" s="49"/>
      <c r="AF235" s="49" t="str">
        <f>IFERROR(__xludf.DUMMYFUNCTION("""COMPUTED_VALUE"""),"++X2 additional water damage for self.")</f>
        <v>++X2 additional water damage for self.</v>
      </c>
      <c r="AG235" s="49"/>
      <c r="AH235" s="49" t="b">
        <f>IFERROR(__xludf.DUMMYFUNCTION("""COMPUTED_VALUE"""),FALSE)</f>
        <v>0</v>
      </c>
    </row>
    <row r="236">
      <c r="A236" s="49" t="str">
        <f>IFERROR(__xludf.DUMMYFUNCTION("""COMPUTED_VALUE"""),"Sea Serpents Mythical Chestplate")</f>
        <v>Sea Serpents Mythical Chestplate</v>
      </c>
      <c r="B236" s="49" t="str">
        <f>IFERROR(__xludf.DUMMYFUNCTION("""COMPUTED_VALUE"""),"Torso")</f>
        <v>Torso</v>
      </c>
      <c r="C236" s="49"/>
      <c r="D236" s="49"/>
      <c r="E236" s="49">
        <f>IFERROR(__xludf.DUMMYFUNCTION("""COMPUTED_VALUE"""),200.0)</f>
        <v>200</v>
      </c>
      <c r="F236" s="112">
        <f>IFERROR(__xludf.DUMMYFUNCTION("""COMPUTED_VALUE"""),1900000.0)</f>
        <v>1900000</v>
      </c>
      <c r="G236" s="49" t="str">
        <f>IFERROR(__xludf.DUMMYFUNCTION("""COMPUTED_VALUE"""),"DEF")</f>
        <v>DEF</v>
      </c>
      <c r="H236" s="125">
        <f>IFERROR(__xludf.DUMMYFUNCTION("""COMPUTED_VALUE"""),5000.0)</f>
        <v>5000</v>
      </c>
      <c r="I236" s="49"/>
      <c r="J236" s="49"/>
      <c r="K236" s="49">
        <f>IFERROR(__xludf.DUMMYFUNCTION("""COMPUTED_VALUE"""),5000.0)</f>
        <v>5000</v>
      </c>
      <c r="L236" s="49"/>
      <c r="M236" s="49"/>
      <c r="N236" s="49"/>
      <c r="O236" s="49"/>
      <c r="P236" s="49"/>
      <c r="Q236" s="49"/>
      <c r="R236" s="49"/>
      <c r="S236" s="49"/>
      <c r="T236" s="49"/>
      <c r="U236" s="49"/>
      <c r="V236" s="49"/>
      <c r="W236" s="49"/>
      <c r="X236" s="49"/>
      <c r="Y236" s="49"/>
      <c r="Z236" s="49"/>
      <c r="AA236" s="49"/>
      <c r="AB236" s="49"/>
      <c r="AC236" s="49"/>
      <c r="AD236" s="49"/>
      <c r="AE236" s="49"/>
      <c r="AF236" s="49"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49"/>
      <c r="AH236" s="49" t="b">
        <f>IFERROR(__xludf.DUMMYFUNCTION("""COMPUTED_VALUE"""),FALSE)</f>
        <v>0</v>
      </c>
    </row>
    <row r="237">
      <c r="A237" s="49" t="str">
        <f>IFERROR(__xludf.DUMMYFUNCTION("""COMPUTED_VALUE"""),"Shadow Flute")</f>
        <v>Shadow Flute</v>
      </c>
      <c r="B237" s="49" t="str">
        <f>IFERROR(__xludf.DUMMYFUNCTION("""COMPUTED_VALUE"""),"Hand")</f>
        <v>Hand</v>
      </c>
      <c r="C237" s="49"/>
      <c r="D237" s="49"/>
      <c r="E237" s="49">
        <f>IFERROR(__xludf.DUMMYFUNCTION("""COMPUTED_VALUE"""),1.0)</f>
        <v>1</v>
      </c>
      <c r="F237" s="112">
        <f>IFERROR(__xludf.DUMMYFUNCTION("""COMPUTED_VALUE"""),0.0)</f>
        <v>0</v>
      </c>
      <c r="G237" s="49"/>
      <c r="H237" s="49"/>
      <c r="I237" s="49"/>
      <c r="J237" s="49"/>
      <c r="K237" s="49"/>
      <c r="L237" s="49"/>
      <c r="M237" s="49"/>
      <c r="N237" s="49"/>
      <c r="O237" s="49"/>
      <c r="P237" s="49"/>
      <c r="Q237" s="49"/>
      <c r="R237" s="49"/>
      <c r="S237" s="49"/>
      <c r="T237" s="49"/>
      <c r="U237" s="49"/>
      <c r="V237" s="49"/>
      <c r="W237" s="49"/>
      <c r="X237" s="49"/>
      <c r="Y237" s="49"/>
      <c r="Z237" s="49"/>
      <c r="AA237" s="49"/>
      <c r="AB237" s="49"/>
      <c r="AC237" s="49"/>
      <c r="AD237" s="49"/>
      <c r="AE237" s="49"/>
      <c r="AF237" s="49" t="str">
        <f>IFERROR(__xludf.DUMMYFUNCTION("""COMPUTED_VALUE"""),"++Can summon a chaotic shadow gnome to battle.")</f>
        <v>++Can summon a chaotic shadow gnome to battle.</v>
      </c>
      <c r="AG237" s="49" t="str">
        <f>IFERROR(__xludf.DUMMYFUNCTION("""COMPUTED_VALUE"""),"Land of Spira")</f>
        <v>Land of Spira</v>
      </c>
      <c r="AH237" s="49" t="b">
        <f>IFERROR(__xludf.DUMMYFUNCTION("""COMPUTED_VALUE"""),FALSE)</f>
        <v>0</v>
      </c>
    </row>
    <row r="238">
      <c r="A238" s="49" t="str">
        <f>IFERROR(__xludf.DUMMYFUNCTION("""COMPUTED_VALUE"""),"Shadow Kings Sword")</f>
        <v>Shadow Kings Sword</v>
      </c>
      <c r="B238" s="49" t="str">
        <f>IFERROR(__xludf.DUMMYFUNCTION("""COMPUTED_VALUE"""),"Hand")</f>
        <v>Hand</v>
      </c>
      <c r="C238" s="49"/>
      <c r="D238" s="49" t="str">
        <f>IFERROR(__xludf.DUMMYFUNCTION("""COMPUTED_VALUE"""),"Sword")</f>
        <v>Sword</v>
      </c>
      <c r="E238" s="49">
        <f>IFERROR(__xludf.DUMMYFUNCTION("""COMPUTED_VALUE"""),400.0)</f>
        <v>400</v>
      </c>
      <c r="F238" s="112">
        <f>IFERROR(__xludf.DUMMYFUNCTION("""COMPUTED_VALUE"""),7800000.0)</f>
        <v>7800000</v>
      </c>
      <c r="G238" s="49" t="str">
        <f>IFERROR(__xludf.DUMMYFUNCTION("""COMPUTED_VALUE"""),"DMG")</f>
        <v>DMG</v>
      </c>
      <c r="H238" s="49">
        <f>IFERROR(__xludf.DUMMYFUNCTION("""COMPUTED_VALUE"""),10000.0)</f>
        <v>10000</v>
      </c>
      <c r="I238" s="49"/>
      <c r="J238" s="49"/>
      <c r="K238" s="49"/>
      <c r="L238" s="49"/>
      <c r="M238" s="49"/>
      <c r="N238" s="49"/>
      <c r="O238" s="49">
        <f>IFERROR(__xludf.DUMMYFUNCTION("""COMPUTED_VALUE"""),5000.0)</f>
        <v>5000</v>
      </c>
      <c r="P238" s="49"/>
      <c r="Q238" s="49"/>
      <c r="R238" s="49">
        <f>IFERROR(__xludf.DUMMYFUNCTION("""COMPUTED_VALUE"""),5000.0)</f>
        <v>5000</v>
      </c>
      <c r="S238" s="49"/>
      <c r="T238" s="49"/>
      <c r="U238" s="49"/>
      <c r="V238" s="49"/>
      <c r="W238" s="49"/>
      <c r="X238" s="49"/>
      <c r="Y238" s="49"/>
      <c r="Z238" s="49"/>
      <c r="AA238" s="49"/>
      <c r="AB238" s="49"/>
      <c r="AC238" s="49"/>
      <c r="AD238" s="49"/>
      <c r="AE238" s="49"/>
      <c r="AF238" s="49"/>
      <c r="AG238" s="49" t="str">
        <f>IFERROR(__xludf.DUMMYFUNCTION("""COMPUTED_VALUE"""),"Land of Spira")</f>
        <v>Land of Spira</v>
      </c>
      <c r="AH238" s="49" t="b">
        <f>IFERROR(__xludf.DUMMYFUNCTION("""COMPUTED_VALUE"""),TRUE)</f>
        <v>1</v>
      </c>
    </row>
    <row r="239">
      <c r="A239" s="49" t="str">
        <f>IFERROR(__xludf.DUMMYFUNCTION("""COMPUTED_VALUE"""),"Shield of Guarding Smite")</f>
        <v>Shield of Guarding Smite</v>
      </c>
      <c r="B239" s="49" t="str">
        <f>IFERROR(__xludf.DUMMYFUNCTION("""COMPUTED_VALUE"""),"Hand")</f>
        <v>Hand</v>
      </c>
      <c r="C239" s="49"/>
      <c r="D239" s="49" t="str">
        <f>IFERROR(__xludf.DUMMYFUNCTION("""COMPUTED_VALUE"""),"Towershield")</f>
        <v>Towershield</v>
      </c>
      <c r="E239" s="49">
        <f>IFERROR(__xludf.DUMMYFUNCTION("""COMPUTED_VALUE"""),2000.0)</f>
        <v>2000</v>
      </c>
      <c r="F239" s="112">
        <f>IFERROR(__xludf.DUMMYFUNCTION("""COMPUTED_VALUE"""),1.99E8)</f>
        <v>199000000</v>
      </c>
      <c r="G239" s="49" t="str">
        <f>IFERROR(__xludf.DUMMYFUNCTION("""COMPUTED_VALUE"""),"DEF")</f>
        <v>DEF</v>
      </c>
      <c r="H239" s="125">
        <f>IFERROR(__xludf.DUMMYFUNCTION("""COMPUTED_VALUE"""),100000.0)</f>
        <v>100000</v>
      </c>
      <c r="I239" s="49"/>
      <c r="J239" s="49"/>
      <c r="K239" s="49"/>
      <c r="L239" s="49"/>
      <c r="M239" s="49"/>
      <c r="N239" s="49"/>
      <c r="O239" s="49"/>
      <c r="P239" s="49"/>
      <c r="Q239" s="49"/>
      <c r="R239" s="49"/>
      <c r="S239" s="49"/>
      <c r="T239" s="49"/>
      <c r="U239" s="49"/>
      <c r="V239" s="49"/>
      <c r="W239" s="49"/>
      <c r="X239" s="49"/>
      <c r="Y239" s="49"/>
      <c r="Z239" s="49"/>
      <c r="AA239" s="49"/>
      <c r="AB239" s="49"/>
      <c r="AC239" s="49"/>
      <c r="AD239" s="49"/>
      <c r="AE239" s="49"/>
      <c r="AF239" s="49" t="str">
        <f>IFERROR(__xludf.DUMMYFUNCTION("""COMPUTED_VALUE"""),"++75% chance to melt an enemies weapon that dealt damage to you. +-Cannot be duplicated")</f>
        <v>++75% chance to melt an enemies weapon that dealt damage to you. +-Cannot be duplicated</v>
      </c>
      <c r="AG239" s="49" t="str">
        <f>IFERROR(__xludf.DUMMYFUNCTION("""COMPUTED_VALUE"""),"Abstara")</f>
        <v>Abstara</v>
      </c>
      <c r="AH239" s="49" t="b">
        <f>IFERROR(__xludf.DUMMYFUNCTION("""COMPUTED_VALUE"""),TRUE)</f>
        <v>1</v>
      </c>
    </row>
    <row r="240">
      <c r="A240" s="49" t="str">
        <f>IFERROR(__xludf.DUMMYFUNCTION("""COMPUTED_VALUE"""),"Shield of Targeting")</f>
        <v>Shield of Targeting</v>
      </c>
      <c r="B240" s="49" t="str">
        <f>IFERROR(__xludf.DUMMYFUNCTION("""COMPUTED_VALUE"""),"Hand")</f>
        <v>Hand</v>
      </c>
      <c r="C240" s="49"/>
      <c r="D240" s="49" t="str">
        <f>IFERROR(__xludf.DUMMYFUNCTION("""COMPUTED_VALUE"""),"Buckler")</f>
        <v>Buckler</v>
      </c>
      <c r="E240" s="49">
        <f>IFERROR(__xludf.DUMMYFUNCTION("""COMPUTED_VALUE"""),20.0)</f>
        <v>20</v>
      </c>
      <c r="F240" s="112">
        <f>IFERROR(__xludf.DUMMYFUNCTION("""COMPUTED_VALUE"""),10000.0)</f>
        <v>10000</v>
      </c>
      <c r="G240" s="49" t="str">
        <f>IFERROR(__xludf.DUMMYFUNCTION("""COMPUTED_VALUE"""),"DEF")</f>
        <v>DEF</v>
      </c>
      <c r="H240" s="49">
        <f>IFERROR(__xludf.DUMMYFUNCTION("""COMPUTED_VALUE"""),1000.0)</f>
        <v>1000</v>
      </c>
      <c r="I240" s="49"/>
      <c r="J240" s="49"/>
      <c r="K240" s="49"/>
      <c r="L240" s="49"/>
      <c r="M240" s="49"/>
      <c r="N240" s="49"/>
      <c r="O240" s="49"/>
      <c r="P240" s="49"/>
      <c r="Q240" s="49"/>
      <c r="R240" s="49"/>
      <c r="S240" s="49"/>
      <c r="T240" s="49"/>
      <c r="U240" s="49"/>
      <c r="V240" s="49"/>
      <c r="W240" s="49"/>
      <c r="X240" s="49"/>
      <c r="Y240" s="49"/>
      <c r="Z240" s="49"/>
      <c r="AA240" s="49"/>
      <c r="AB240" s="49"/>
      <c r="AC240" s="49"/>
      <c r="AD240" s="49"/>
      <c r="AE240" s="49"/>
      <c r="AF240" s="49" t="str">
        <f>IFERROR(__xludf.DUMMYFUNCTION("""COMPUTED_VALUE"""),"++Target me you B**** - enemies will automatically target you no matter, Use intimidation for this item effect.")</f>
        <v>++Target me you B**** - enemies will automatically target you no matter, Use intimidation for this item effect.</v>
      </c>
      <c r="AG240" s="49" t="str">
        <f>IFERROR(__xludf.DUMMYFUNCTION("""COMPUTED_VALUE"""),"Land of Spira")</f>
        <v>Land of Spira</v>
      </c>
      <c r="AH240" s="49" t="b">
        <f>IFERROR(__xludf.DUMMYFUNCTION("""COMPUTED_VALUE"""),FALSE)</f>
        <v>0</v>
      </c>
    </row>
    <row r="241">
      <c r="A241" s="49" t="str">
        <f>IFERROR(__xludf.DUMMYFUNCTION("""COMPUTED_VALUE"""),"Shining Katana")</f>
        <v>Shining Katana</v>
      </c>
      <c r="B241" s="49" t="str">
        <f>IFERROR(__xludf.DUMMYFUNCTION("""COMPUTED_VALUE"""),"Hand")</f>
        <v>Hand</v>
      </c>
      <c r="C241" s="49"/>
      <c r="D241" s="49"/>
      <c r="E241" s="49">
        <f>IFERROR(__xludf.DUMMYFUNCTION("""COMPUTED_VALUE"""),200.0)</f>
        <v>200</v>
      </c>
      <c r="F241" s="112">
        <f>IFERROR(__xludf.DUMMYFUNCTION("""COMPUTED_VALUE"""),1900000.0)</f>
        <v>1900000</v>
      </c>
      <c r="G241" s="49" t="str">
        <f>IFERROR(__xludf.DUMMYFUNCTION("""COMPUTED_VALUE"""),"DMG")</f>
        <v>DMG</v>
      </c>
      <c r="H241" s="125">
        <f>IFERROR(__xludf.DUMMYFUNCTION("""COMPUTED_VALUE"""),10000.0)</f>
        <v>10000</v>
      </c>
      <c r="I241" s="49"/>
      <c r="J241" s="49"/>
      <c r="K241" s="49"/>
      <c r="L241" s="49"/>
      <c r="M241" s="49"/>
      <c r="N241" s="49"/>
      <c r="O241" s="49"/>
      <c r="P241" s="49"/>
      <c r="Q241" s="49"/>
      <c r="R241" s="49"/>
      <c r="S241" s="49"/>
      <c r="T241" s="49"/>
      <c r="U241" s="49"/>
      <c r="V241" s="49"/>
      <c r="W241" s="49"/>
      <c r="X241" s="49"/>
      <c r="Y241" s="49"/>
      <c r="Z241" s="49"/>
      <c r="AA241" s="49"/>
      <c r="AB241" s="49"/>
      <c r="AC241" s="49"/>
      <c r="AD241" s="49"/>
      <c r="AE241" s="49"/>
      <c r="AF241" s="49" t="str">
        <f>IFERROR(__xludf.DUMMYFUNCTION("""COMPUTED_VALUE"""),"++++500 bleeding damage p/r.")</f>
        <v>++++500 bleeding damage p/r.</v>
      </c>
      <c r="AG241" s="49" t="str">
        <f>IFERROR(__xludf.DUMMYFUNCTION("""COMPUTED_VALUE"""),"Land of Spira")</f>
        <v>Land of Spira</v>
      </c>
      <c r="AH241" s="49" t="b">
        <f>IFERROR(__xludf.DUMMYFUNCTION("""COMPUTED_VALUE"""),FALSE)</f>
        <v>0</v>
      </c>
    </row>
    <row r="242">
      <c r="A242" s="49" t="str">
        <f>IFERROR(__xludf.DUMMYFUNCTION("""COMPUTED_VALUE"""),"Shoes of Metal Harmony's")</f>
        <v>Shoes of Metal Harmony's</v>
      </c>
      <c r="B242" s="49" t="str">
        <f>IFERROR(__xludf.DUMMYFUNCTION("""COMPUTED_VALUE"""),"Feet")</f>
        <v>Feet</v>
      </c>
      <c r="C242" s="49"/>
      <c r="D242" s="49"/>
      <c r="E242" s="49">
        <f>IFERROR(__xludf.DUMMYFUNCTION("""COMPUTED_VALUE"""),200.0)</f>
        <v>200</v>
      </c>
      <c r="F242" s="112">
        <f>IFERROR(__xludf.DUMMYFUNCTION("""COMPUTED_VALUE"""),1900000.0)</f>
        <v>1900000</v>
      </c>
      <c r="G242" s="49" t="str">
        <f>IFERROR(__xludf.DUMMYFUNCTION("""COMPUTED_VALUE"""),"DEF")</f>
        <v>DEF</v>
      </c>
      <c r="H242" s="125">
        <f>IFERROR(__xludf.DUMMYFUNCTION("""COMPUTED_VALUE"""),10000.0)</f>
        <v>10000</v>
      </c>
      <c r="I242" s="49"/>
      <c r="J242" s="49"/>
      <c r="K242" s="49"/>
      <c r="L242" s="49"/>
      <c r="M242" s="49"/>
      <c r="N242" s="49"/>
      <c r="O242" s="49"/>
      <c r="P242" s="49"/>
      <c r="Q242" s="49"/>
      <c r="R242" s="49"/>
      <c r="S242" s="49"/>
      <c r="T242" s="49"/>
      <c r="U242" s="49"/>
      <c r="V242" s="49"/>
      <c r="W242" s="49"/>
      <c r="X242" s="49"/>
      <c r="Y242" s="49"/>
      <c r="Z242" s="49"/>
      <c r="AA242" s="49"/>
      <c r="AB242" s="49"/>
      <c r="AC242" s="49"/>
      <c r="AD242" s="49"/>
      <c r="AE242" s="49"/>
      <c r="AF242" s="49" t="str">
        <f>IFERROR(__xludf.DUMMYFUNCTION("""COMPUTED_VALUE"""),"++When dealing damage with an instrument you will regain hp equal to the damage you caused.")</f>
        <v>++When dealing damage with an instrument you will regain hp equal to the damage you caused.</v>
      </c>
      <c r="AG242" s="49" t="str">
        <f>IFERROR(__xludf.DUMMYFUNCTION("""COMPUTED_VALUE"""),"Land of Spira")</f>
        <v>Land of Spira</v>
      </c>
      <c r="AH242" s="49" t="b">
        <f>IFERROR(__xludf.DUMMYFUNCTION("""COMPUTED_VALUE"""),FALSE)</f>
        <v>0</v>
      </c>
    </row>
    <row r="243">
      <c r="A243" s="49" t="str">
        <f>IFERROR(__xludf.DUMMYFUNCTION("""COMPUTED_VALUE"""),"Shoes of Water Walking")</f>
        <v>Shoes of Water Walking</v>
      </c>
      <c r="B243" s="49" t="str">
        <f>IFERROR(__xludf.DUMMYFUNCTION("""COMPUTED_VALUE"""),"Feet")</f>
        <v>Feet</v>
      </c>
      <c r="C243" s="49"/>
      <c r="D243" s="49"/>
      <c r="E243" s="49">
        <f>IFERROR(__xludf.DUMMYFUNCTION("""COMPUTED_VALUE"""),200.0)</f>
        <v>200</v>
      </c>
      <c r="F243" s="112">
        <f>IFERROR(__xludf.DUMMYFUNCTION("""COMPUTED_VALUE"""),1900000.0)</f>
        <v>1900000</v>
      </c>
      <c r="G243" s="49" t="str">
        <f>IFERROR(__xludf.DUMMYFUNCTION("""COMPUTED_VALUE"""),"DEF")</f>
        <v>DEF</v>
      </c>
      <c r="H243" s="125">
        <f>IFERROR(__xludf.DUMMYFUNCTION("""COMPUTED_VALUE"""),5000.0)</f>
        <v>5000</v>
      </c>
      <c r="I243" s="49"/>
      <c r="J243" s="49"/>
      <c r="K243" s="49">
        <f>IFERROR(__xludf.DUMMYFUNCTION("""COMPUTED_VALUE"""),5000.0)</f>
        <v>5000</v>
      </c>
      <c r="L243" s="49"/>
      <c r="M243" s="49"/>
      <c r="N243" s="49"/>
      <c r="O243" s="49"/>
      <c r="P243" s="49"/>
      <c r="Q243" s="49"/>
      <c r="R243" s="49"/>
      <c r="S243" s="49"/>
      <c r="T243" s="49"/>
      <c r="U243" s="49"/>
      <c r="V243" s="49"/>
      <c r="W243" s="49"/>
      <c r="X243" s="49"/>
      <c r="Y243" s="49"/>
      <c r="Z243" s="49"/>
      <c r="AA243" s="49"/>
      <c r="AB243" s="49"/>
      <c r="AC243" s="49"/>
      <c r="AD243" s="49"/>
      <c r="AE243" s="49"/>
      <c r="AF243" s="49"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49" t="str">
        <f>IFERROR(__xludf.DUMMYFUNCTION("""COMPUTED_VALUE"""),"Land of Spira")</f>
        <v>Land of Spira</v>
      </c>
      <c r="AH243" s="49" t="b">
        <f>IFERROR(__xludf.DUMMYFUNCTION("""COMPUTED_VALUE"""),FALSE)</f>
        <v>0</v>
      </c>
    </row>
    <row r="244">
      <c r="A244" s="49" t="str">
        <f>IFERROR(__xludf.DUMMYFUNCTION("""COMPUTED_VALUE"""),"Short Spear")</f>
        <v>Short Spear</v>
      </c>
      <c r="B244" s="49" t="str">
        <f>IFERROR(__xludf.DUMMYFUNCTION("""COMPUTED_VALUE"""),"Hand")</f>
        <v>Hand</v>
      </c>
      <c r="C244" s="49"/>
      <c r="D244" s="49" t="str">
        <f>IFERROR(__xludf.DUMMYFUNCTION("""COMPUTED_VALUE"""),"Spear")</f>
        <v>Spear</v>
      </c>
      <c r="E244" s="49">
        <f>IFERROR(__xludf.DUMMYFUNCTION("""COMPUTED_VALUE"""),1.0)</f>
        <v>1</v>
      </c>
      <c r="F244" s="112">
        <f>IFERROR(__xludf.DUMMYFUNCTION("""COMPUTED_VALUE"""),0.0)</f>
        <v>0</v>
      </c>
      <c r="G244" s="49" t="str">
        <f>IFERROR(__xludf.DUMMYFUNCTION("""COMPUTED_VALUE"""),"DMG")</f>
        <v>DMG</v>
      </c>
      <c r="H244" s="49">
        <f>IFERROR(__xludf.DUMMYFUNCTION("""COMPUTED_VALUE"""),250.0)</f>
        <v>250</v>
      </c>
      <c r="I244" s="49"/>
      <c r="J244" s="49"/>
      <c r="K244" s="49"/>
      <c r="L244" s="49"/>
      <c r="M244" s="49"/>
      <c r="N244" s="49"/>
      <c r="O244" s="49"/>
      <c r="P244" s="49"/>
      <c r="Q244" s="49"/>
      <c r="R244" s="49"/>
      <c r="S244" s="49"/>
      <c r="T244" s="49"/>
      <c r="U244" s="49"/>
      <c r="V244" s="49"/>
      <c r="W244" s="49"/>
      <c r="X244" s="49"/>
      <c r="Y244" s="49"/>
      <c r="Z244" s="49"/>
      <c r="AA244" s="49"/>
      <c r="AB244" s="49"/>
      <c r="AC244" s="49"/>
      <c r="AD244" s="49"/>
      <c r="AE244" s="49"/>
      <c r="AF244" s="49"/>
      <c r="AG244" s="49" t="str">
        <f>IFERROR(__xludf.DUMMYFUNCTION("""COMPUTED_VALUE"""),"Land of Spira")</f>
        <v>Land of Spira</v>
      </c>
      <c r="AH244" s="49" t="b">
        <f>IFERROR(__xludf.DUMMYFUNCTION("""COMPUTED_VALUE"""),TRUE)</f>
        <v>1</v>
      </c>
    </row>
    <row r="245">
      <c r="A245" s="49" t="str">
        <f>IFERROR(__xludf.DUMMYFUNCTION("""COMPUTED_VALUE"""),"Shuriken")</f>
        <v>Shuriken</v>
      </c>
      <c r="B245" s="49" t="str">
        <f>IFERROR(__xludf.DUMMYFUNCTION("""COMPUTED_VALUE"""),"Hand")</f>
        <v>Hand</v>
      </c>
      <c r="C245" s="49"/>
      <c r="D245" s="49" t="str">
        <f>IFERROR(__xludf.DUMMYFUNCTION("""COMPUTED_VALUE"""),"Boomerang")</f>
        <v>Boomerang</v>
      </c>
      <c r="E245" s="49">
        <f>IFERROR(__xludf.DUMMYFUNCTION("""COMPUTED_VALUE"""),200.0)</f>
        <v>200</v>
      </c>
      <c r="F245" s="112">
        <f>IFERROR(__xludf.DUMMYFUNCTION("""COMPUTED_VALUE"""),1900000.0)</f>
        <v>1900000</v>
      </c>
      <c r="G245" s="49" t="str">
        <f>IFERROR(__xludf.DUMMYFUNCTION("""COMPUTED_VALUE"""),"DMG")</f>
        <v>DMG</v>
      </c>
      <c r="H245" s="125">
        <f>IFERROR(__xludf.DUMMYFUNCTION("""COMPUTED_VALUE"""),5000.0)</f>
        <v>5000</v>
      </c>
      <c r="I245" s="49"/>
      <c r="J245" s="49"/>
      <c r="K245" s="49"/>
      <c r="L245" s="49"/>
      <c r="M245" s="49"/>
      <c r="N245" s="49"/>
      <c r="O245" s="49"/>
      <c r="P245" s="49"/>
      <c r="Q245" s="49"/>
      <c r="R245" s="49"/>
      <c r="S245" s="49"/>
      <c r="T245" s="49"/>
      <c r="U245" s="49"/>
      <c r="V245" s="49"/>
      <c r="W245" s="49"/>
      <c r="X245" s="49"/>
      <c r="Y245" s="49">
        <f>IFERROR(__xludf.DUMMYFUNCTION("""COMPUTED_VALUE"""),5000.0)</f>
        <v>5000</v>
      </c>
      <c r="Z245" s="49"/>
      <c r="AA245" s="49"/>
      <c r="AB245" s="49"/>
      <c r="AC245" s="49"/>
      <c r="AD245" s="49"/>
      <c r="AE245" s="49"/>
      <c r="AF245" s="49" t="str">
        <f>IFERROR(__xludf.DUMMYFUNCTION("""COMPUTED_VALUE"""),"++Will return to you when thrown.")</f>
        <v>++Will return to you when thrown.</v>
      </c>
      <c r="AG245" s="49" t="str">
        <f>IFERROR(__xludf.DUMMYFUNCTION("""COMPUTED_VALUE"""),"Land of Spira")</f>
        <v>Land of Spira</v>
      </c>
      <c r="AH245" s="49" t="b">
        <f>IFERROR(__xludf.DUMMYFUNCTION("""COMPUTED_VALUE"""),FALSE)</f>
        <v>0</v>
      </c>
    </row>
    <row r="246">
      <c r="A246" s="49" t="str">
        <f>IFERROR(__xludf.DUMMYFUNCTION("""COMPUTED_VALUE"""),"Shuttering Cloak")</f>
        <v>Shuttering Cloak</v>
      </c>
      <c r="B246" s="49" t="str">
        <f>IFERROR(__xludf.DUMMYFUNCTION("""COMPUTED_VALUE"""),"Torso")</f>
        <v>Torso</v>
      </c>
      <c r="C246" s="49"/>
      <c r="D246" s="49"/>
      <c r="E246" s="49">
        <f>IFERROR(__xludf.DUMMYFUNCTION("""COMPUTED_VALUE"""),1.0)</f>
        <v>1</v>
      </c>
      <c r="F246" s="112">
        <f>IFERROR(__xludf.DUMMYFUNCTION("""COMPUTED_VALUE"""),0.0)</f>
        <v>0</v>
      </c>
      <c r="G246" s="49"/>
      <c r="H246" s="49"/>
      <c r="I246" s="49"/>
      <c r="J246" s="49"/>
      <c r="K246" s="49"/>
      <c r="L246" s="49"/>
      <c r="M246" s="49"/>
      <c r="N246" s="49"/>
      <c r="O246" s="49"/>
      <c r="P246" s="49"/>
      <c r="Q246" s="49"/>
      <c r="R246" s="49"/>
      <c r="S246" s="49"/>
      <c r="T246" s="49"/>
      <c r="U246" s="49"/>
      <c r="V246" s="49"/>
      <c r="W246" s="49"/>
      <c r="X246" s="49"/>
      <c r="Y246" s="49"/>
      <c r="Z246" s="49"/>
      <c r="AA246" s="49"/>
      <c r="AB246" s="49"/>
      <c r="AC246" s="49"/>
      <c r="AD246" s="49"/>
      <c r="AE246" s="49"/>
      <c r="AF246" s="49" t="str">
        <f>IFERROR(__xludf.DUMMYFUNCTION("""COMPUTED_VALUE"""),"++Plus 10 Evasion and Mobility, +-You Cannot be unaffected by spells or attacks. +-Can only equip one")</f>
        <v>++Plus 10 Evasion and Mobility, +-You Cannot be unaffected by spells or attacks. +-Can only equip one</v>
      </c>
      <c r="AG246" s="49" t="str">
        <f>IFERROR(__xludf.DUMMYFUNCTION("""COMPUTED_VALUE"""),"Land of The Forgotten")</f>
        <v>Land of The Forgotten</v>
      </c>
      <c r="AH246" s="49" t="b">
        <f>IFERROR(__xludf.DUMMYFUNCTION("""COMPUTED_VALUE"""),FALSE)</f>
        <v>0</v>
      </c>
    </row>
    <row r="247">
      <c r="A247" s="49" t="str">
        <f>IFERROR(__xludf.DUMMYFUNCTION("""COMPUTED_VALUE"""),"Silver Armor")</f>
        <v>Silver Armor</v>
      </c>
      <c r="B247" s="49" t="str">
        <f>IFERROR(__xludf.DUMMYFUNCTION("""COMPUTED_VALUE"""),"Torso")</f>
        <v>Torso</v>
      </c>
      <c r="C247" s="49"/>
      <c r="D247" s="49"/>
      <c r="E247" s="49">
        <f>IFERROR(__xludf.DUMMYFUNCTION("""COMPUTED_VALUE"""),1.0)</f>
        <v>1</v>
      </c>
      <c r="F247" s="112">
        <f>IFERROR(__xludf.DUMMYFUNCTION("""COMPUTED_VALUE"""),0.0)</f>
        <v>0</v>
      </c>
      <c r="G247" s="49" t="str">
        <f>IFERROR(__xludf.DUMMYFUNCTION("""COMPUTED_VALUE"""),"DEF")</f>
        <v>DEF</v>
      </c>
      <c r="H247" s="49">
        <f>IFERROR(__xludf.DUMMYFUNCTION("""COMPUTED_VALUE"""),30.0)</f>
        <v>30</v>
      </c>
      <c r="I247" s="49"/>
      <c r="J247" s="49"/>
      <c r="K247" s="49"/>
      <c r="L247" s="49"/>
      <c r="M247" s="49"/>
      <c r="N247" s="49"/>
      <c r="O247" s="49"/>
      <c r="P247" s="49"/>
      <c r="Q247" s="49"/>
      <c r="R247" s="49"/>
      <c r="S247" s="49"/>
      <c r="T247" s="49"/>
      <c r="U247" s="49"/>
      <c r="V247" s="49"/>
      <c r="W247" s="49"/>
      <c r="X247" s="49"/>
      <c r="Y247" s="49"/>
      <c r="Z247" s="49"/>
      <c r="AA247" s="49"/>
      <c r="AB247" s="49"/>
      <c r="AC247" s="49"/>
      <c r="AD247" s="49"/>
      <c r="AE247" s="49"/>
      <c r="AF247" s="49"/>
      <c r="AG247" s="49" t="str">
        <f>IFERROR(__xludf.DUMMYFUNCTION("""COMPUTED_VALUE"""),"Land of Spira")</f>
        <v>Land of Spira</v>
      </c>
      <c r="AH247" s="49" t="b">
        <f>IFERROR(__xludf.DUMMYFUNCTION("""COMPUTED_VALUE"""),TRUE)</f>
        <v>1</v>
      </c>
    </row>
    <row r="248">
      <c r="A248" s="49" t="str">
        <f>IFERROR(__xludf.DUMMYFUNCTION("""COMPUTED_VALUE"""),"Silver Katana")</f>
        <v>Silver Katana</v>
      </c>
      <c r="B248" s="49" t="str">
        <f>IFERROR(__xludf.DUMMYFUNCTION("""COMPUTED_VALUE"""),"Hand")</f>
        <v>Hand</v>
      </c>
      <c r="C248" s="49"/>
      <c r="D248" s="49" t="str">
        <f>IFERROR(__xludf.DUMMYFUNCTION("""COMPUTED_VALUE"""),"Sword")</f>
        <v>Sword</v>
      </c>
      <c r="E248" s="49">
        <f>IFERROR(__xludf.DUMMYFUNCTION("""COMPUTED_VALUE"""),200.0)</f>
        <v>200</v>
      </c>
      <c r="F248" s="112">
        <f>IFERROR(__xludf.DUMMYFUNCTION("""COMPUTED_VALUE"""),1900000.0)</f>
        <v>1900000</v>
      </c>
      <c r="G248" s="49" t="str">
        <f>IFERROR(__xludf.DUMMYFUNCTION("""COMPUTED_VALUE"""),"DMG")</f>
        <v>DMG</v>
      </c>
      <c r="H248" s="125">
        <f>IFERROR(__xludf.DUMMYFUNCTION("""COMPUTED_VALUE"""),10000.0)</f>
        <v>10000</v>
      </c>
      <c r="I248" s="49"/>
      <c r="J248" s="49"/>
      <c r="K248" s="49"/>
      <c r="L248" s="49"/>
      <c r="M248" s="49"/>
      <c r="N248" s="49"/>
      <c r="O248" s="49"/>
      <c r="P248" s="49"/>
      <c r="Q248" s="49"/>
      <c r="R248" s="49"/>
      <c r="S248" s="49"/>
      <c r="T248" s="49"/>
      <c r="U248" s="49"/>
      <c r="V248" s="49"/>
      <c r="W248" s="49"/>
      <c r="X248" s="49"/>
      <c r="Y248" s="49"/>
      <c r="Z248" s="49"/>
      <c r="AA248" s="49"/>
      <c r="AB248" s="49"/>
      <c r="AC248" s="49"/>
      <c r="AD248" s="49"/>
      <c r="AE248" s="49"/>
      <c r="AF248" s="49" t="str">
        <f>IFERROR(__xludf.DUMMYFUNCTION("""COMPUTED_VALUE"""),"++Causes Blindness 3")</f>
        <v>++Causes Blindness 3</v>
      </c>
      <c r="AG248" s="49" t="str">
        <f>IFERROR(__xludf.DUMMYFUNCTION("""COMPUTED_VALUE"""),"Land of Spira")</f>
        <v>Land of Spira</v>
      </c>
      <c r="AH248" s="49" t="b">
        <f>IFERROR(__xludf.DUMMYFUNCTION("""COMPUTED_VALUE"""),FALSE)</f>
        <v>0</v>
      </c>
    </row>
    <row r="249">
      <c r="A249" s="49" t="str">
        <f>IFERROR(__xludf.DUMMYFUNCTION("""COMPUTED_VALUE"""),"Silver Knife")</f>
        <v>Silver Knife</v>
      </c>
      <c r="B249" s="49" t="str">
        <f>IFERROR(__xludf.DUMMYFUNCTION("""COMPUTED_VALUE"""),"Hand")</f>
        <v>Hand</v>
      </c>
      <c r="C249" s="49"/>
      <c r="D249" s="49" t="str">
        <f>IFERROR(__xludf.DUMMYFUNCTION("""COMPUTED_VALUE"""),"Knife")</f>
        <v>Knife</v>
      </c>
      <c r="E249" s="49">
        <f>IFERROR(__xludf.DUMMYFUNCTION("""COMPUTED_VALUE"""),200.0)</f>
        <v>200</v>
      </c>
      <c r="F249" s="112">
        <f>IFERROR(__xludf.DUMMYFUNCTION("""COMPUTED_VALUE"""),1900000.0)</f>
        <v>1900000</v>
      </c>
      <c r="G249" s="49" t="str">
        <f>IFERROR(__xludf.DUMMYFUNCTION("""COMPUTED_VALUE"""),"DMG")</f>
        <v>DMG</v>
      </c>
      <c r="H249" s="49">
        <f>IFERROR(__xludf.DUMMYFUNCTION("""COMPUTED_VALUE"""),10000.0)</f>
        <v>10000</v>
      </c>
      <c r="I249" s="49"/>
      <c r="J249" s="49"/>
      <c r="K249" s="49"/>
      <c r="L249" s="49"/>
      <c r="M249" s="49"/>
      <c r="N249" s="49"/>
      <c r="O249" s="49"/>
      <c r="P249" s="49"/>
      <c r="Q249" s="49"/>
      <c r="R249" s="49"/>
      <c r="S249" s="49"/>
      <c r="T249" s="49"/>
      <c r="U249" s="49"/>
      <c r="V249" s="49"/>
      <c r="W249" s="49"/>
      <c r="X249" s="49"/>
      <c r="Y249" s="49"/>
      <c r="Z249" s="49"/>
      <c r="AA249" s="49"/>
      <c r="AB249" s="49"/>
      <c r="AC249" s="49"/>
      <c r="AD249" s="49"/>
      <c r="AE249" s="49"/>
      <c r="AF249" s="49"/>
      <c r="AG249" s="49" t="str">
        <f>IFERROR(__xludf.DUMMYFUNCTION("""COMPUTED_VALUE"""),"Land of Spira")</f>
        <v>Land of Spira</v>
      </c>
      <c r="AH249" s="49" t="b">
        <f>IFERROR(__xludf.DUMMYFUNCTION("""COMPUTED_VALUE"""),TRUE)</f>
        <v>1</v>
      </c>
    </row>
    <row r="250">
      <c r="A250" s="49" t="str">
        <f>IFERROR(__xludf.DUMMYFUNCTION("""COMPUTED_VALUE"""),"Skull Cleaver")</f>
        <v>Skull Cleaver</v>
      </c>
      <c r="B250" s="49" t="str">
        <f>IFERROR(__xludf.DUMMYFUNCTION("""COMPUTED_VALUE"""),"Hand")</f>
        <v>Hand</v>
      </c>
      <c r="C250" s="49"/>
      <c r="D250" s="49" t="str">
        <f>IFERROR(__xludf.DUMMYFUNCTION("""COMPUTED_VALUE"""),"Sword")</f>
        <v>Sword</v>
      </c>
      <c r="E250" s="49">
        <f>IFERROR(__xludf.DUMMYFUNCTION("""COMPUTED_VALUE"""),1000.0)</f>
        <v>1000</v>
      </c>
      <c r="F250" s="112">
        <f>IFERROR(__xludf.DUMMYFUNCTION("""COMPUTED_VALUE"""),4.95E7)</f>
        <v>49500000</v>
      </c>
      <c r="G250" s="49" t="str">
        <f>IFERROR(__xludf.DUMMYFUNCTION("""COMPUTED_VALUE"""),"DMG")</f>
        <v>DMG</v>
      </c>
      <c r="H250" s="125">
        <f>IFERROR(__xludf.DUMMYFUNCTION("""COMPUTED_VALUE"""),30000.0)</f>
        <v>30000</v>
      </c>
      <c r="I250" s="49"/>
      <c r="J250" s="49"/>
      <c r="K250" s="49"/>
      <c r="L250" s="49"/>
      <c r="M250" s="49"/>
      <c r="N250" s="49"/>
      <c r="O250" s="125">
        <f>IFERROR(__xludf.DUMMYFUNCTION("""COMPUTED_VALUE"""),20000.0)</f>
        <v>20000</v>
      </c>
      <c r="P250" s="49"/>
      <c r="Q250" s="49"/>
      <c r="R250" s="49"/>
      <c r="S250" s="49"/>
      <c r="T250" s="49"/>
      <c r="U250" s="49"/>
      <c r="V250" s="49"/>
      <c r="W250" s="49"/>
      <c r="X250" s="49"/>
      <c r="Y250" s="49"/>
      <c r="Z250" s="49"/>
      <c r="AA250" s="49"/>
      <c r="AB250" s="49"/>
      <c r="AC250" s="49"/>
      <c r="AD250" s="49"/>
      <c r="AE250" s="49"/>
      <c r="AF250" s="49" t="str">
        <f>IFERROR(__xludf.DUMMYFUNCTION("""COMPUTED_VALUE"""),"++75% Chance of instant death.")</f>
        <v>++75% Chance of instant death.</v>
      </c>
      <c r="AG250" s="49" t="str">
        <f>IFERROR(__xludf.DUMMYFUNCTION("""COMPUTED_VALUE"""),"Abstara")</f>
        <v>Abstara</v>
      </c>
      <c r="AH250" s="49" t="b">
        <f>IFERROR(__xludf.DUMMYFUNCTION("""COMPUTED_VALUE"""),TRUE)</f>
        <v>1</v>
      </c>
    </row>
    <row r="251">
      <c r="A251" s="49" t="str">
        <f>IFERROR(__xludf.DUMMYFUNCTION("""COMPUTED_VALUE"""),"Skull of the many Kings")</f>
        <v>Skull of the many Kings</v>
      </c>
      <c r="B251" s="49" t="str">
        <f>IFERROR(__xludf.DUMMYFUNCTION("""COMPUTED_VALUE"""),"Head")</f>
        <v>Head</v>
      </c>
      <c r="C251" s="49"/>
      <c r="D251" s="49"/>
      <c r="E251" s="49">
        <f>IFERROR(__xludf.DUMMYFUNCTION("""COMPUTED_VALUE"""),1.0)</f>
        <v>1</v>
      </c>
      <c r="F251" s="112">
        <f>IFERROR(__xludf.DUMMYFUNCTION("""COMPUTED_VALUE"""),0.0)</f>
        <v>0</v>
      </c>
      <c r="G251" s="49" t="str">
        <f>IFERROR(__xludf.DUMMYFUNCTION("""COMPUTED_VALUE"""),"DEF")</f>
        <v>DEF</v>
      </c>
      <c r="H251" s="49">
        <f>IFERROR(__xludf.DUMMYFUNCTION("""COMPUTED_VALUE"""),300.0)</f>
        <v>300</v>
      </c>
      <c r="I251" s="49"/>
      <c r="J251" s="49"/>
      <c r="K251" s="49"/>
      <c r="L251" s="49"/>
      <c r="M251" s="49"/>
      <c r="N251" s="49"/>
      <c r="O251" s="49"/>
      <c r="P251" s="49"/>
      <c r="Q251" s="49"/>
      <c r="R251" s="49"/>
      <c r="S251" s="49"/>
      <c r="T251" s="49"/>
      <c r="U251" s="49"/>
      <c r="V251" s="49"/>
      <c r="W251" s="49"/>
      <c r="X251" s="49"/>
      <c r="Y251" s="49"/>
      <c r="Z251" s="49"/>
      <c r="AA251" s="49"/>
      <c r="AB251" s="49"/>
      <c r="AC251" s="49"/>
      <c r="AD251" s="49"/>
      <c r="AE251" s="49"/>
      <c r="AF251" s="49" t="str">
        <f>IFERROR(__xludf.DUMMYFUNCTION("""COMPUTED_VALUE"""),"++Immunity to all dark damage")</f>
        <v>++Immunity to all dark damage</v>
      </c>
      <c r="AG251" s="49" t="str">
        <f>IFERROR(__xludf.DUMMYFUNCTION("""COMPUTED_VALUE"""),"Land of Spira")</f>
        <v>Land of Spira</v>
      </c>
      <c r="AH251" s="49" t="b">
        <f>IFERROR(__xludf.DUMMYFUNCTION("""COMPUTED_VALUE"""),FALSE)</f>
        <v>0</v>
      </c>
    </row>
    <row r="252">
      <c r="A252" s="49" t="str">
        <f>IFERROR(__xludf.DUMMYFUNCTION("""COMPUTED_VALUE"""),"Skull Ring")</f>
        <v>Skull Ring</v>
      </c>
      <c r="B252" s="49" t="str">
        <f>IFERROR(__xludf.DUMMYFUNCTION("""COMPUTED_VALUE"""),"Ring")</f>
        <v>Ring</v>
      </c>
      <c r="C252" s="49"/>
      <c r="D252" s="49"/>
      <c r="E252" s="49">
        <f>IFERROR(__xludf.DUMMYFUNCTION("""COMPUTED_VALUE"""),1.0)</f>
        <v>1</v>
      </c>
      <c r="F252" s="112">
        <f>IFERROR(__xludf.DUMMYFUNCTION("""COMPUTED_VALUE"""),0.0)</f>
        <v>0</v>
      </c>
      <c r="G252" s="49"/>
      <c r="H252" s="49"/>
      <c r="I252" s="49"/>
      <c r="J252" s="49"/>
      <c r="K252" s="49"/>
      <c r="L252" s="49"/>
      <c r="M252" s="49"/>
      <c r="N252" s="49"/>
      <c r="O252" s="49"/>
      <c r="P252" s="49"/>
      <c r="Q252" s="49"/>
      <c r="R252" s="49"/>
      <c r="S252" s="49"/>
      <c r="T252" s="49"/>
      <c r="U252" s="49"/>
      <c r="V252" s="49"/>
      <c r="W252" s="49"/>
      <c r="X252" s="49"/>
      <c r="Y252" s="49"/>
      <c r="Z252" s="49"/>
      <c r="AA252" s="49"/>
      <c r="AB252" s="49"/>
      <c r="AC252" s="49"/>
      <c r="AD252" s="49"/>
      <c r="AE252" s="49"/>
      <c r="AF252" s="49" t="str">
        <f>IFERROR(__xludf.DUMMYFUNCTION("""COMPUTED_VALUE"""),"++Increase damage of all dark spells and weapons by X2")</f>
        <v>++Increase damage of all dark spells and weapons by X2</v>
      </c>
      <c r="AG252" s="49" t="str">
        <f>IFERROR(__xludf.DUMMYFUNCTION("""COMPUTED_VALUE"""),"Land of Spira")</f>
        <v>Land of Spira</v>
      </c>
      <c r="AH252" s="49" t="b">
        <f>IFERROR(__xludf.DUMMYFUNCTION("""COMPUTED_VALUE"""),FALSE)</f>
        <v>0</v>
      </c>
    </row>
    <row r="253">
      <c r="A253" s="49" t="str">
        <f>IFERROR(__xludf.DUMMYFUNCTION("""COMPUTED_VALUE"""),"Spear")</f>
        <v>Spear</v>
      </c>
      <c r="B253" s="49" t="str">
        <f>IFERROR(__xludf.DUMMYFUNCTION("""COMPUTED_VALUE"""),"Hand")</f>
        <v>Hand</v>
      </c>
      <c r="C253" s="49"/>
      <c r="D253" s="49" t="str">
        <f>IFERROR(__xludf.DUMMYFUNCTION("""COMPUTED_VALUE"""),"Spear")</f>
        <v>Spear</v>
      </c>
      <c r="E253" s="49">
        <f>IFERROR(__xludf.DUMMYFUNCTION("""COMPUTED_VALUE"""),1.0)</f>
        <v>1</v>
      </c>
      <c r="F253" s="112">
        <f>IFERROR(__xludf.DUMMYFUNCTION("""COMPUTED_VALUE"""),0.0)</f>
        <v>0</v>
      </c>
      <c r="G253" s="49" t="str">
        <f>IFERROR(__xludf.DUMMYFUNCTION("""COMPUTED_VALUE"""),"DMG")</f>
        <v>DMG</v>
      </c>
      <c r="H253" s="49">
        <f>IFERROR(__xludf.DUMMYFUNCTION("""COMPUTED_VALUE"""),100.0)</f>
        <v>100</v>
      </c>
      <c r="I253" s="49"/>
      <c r="J253" s="49"/>
      <c r="K253" s="49"/>
      <c r="L253" s="49"/>
      <c r="M253" s="49"/>
      <c r="N253" s="49"/>
      <c r="O253" s="49"/>
      <c r="P253" s="49"/>
      <c r="Q253" s="49"/>
      <c r="R253" s="49"/>
      <c r="S253" s="49"/>
      <c r="T253" s="49"/>
      <c r="U253" s="49"/>
      <c r="V253" s="49"/>
      <c r="W253" s="49"/>
      <c r="X253" s="49"/>
      <c r="Y253" s="49"/>
      <c r="Z253" s="49"/>
      <c r="AA253" s="49"/>
      <c r="AB253" s="49"/>
      <c r="AC253" s="49"/>
      <c r="AD253" s="49"/>
      <c r="AE253" s="49"/>
      <c r="AF253" s="49"/>
      <c r="AG253" s="49" t="str">
        <f>IFERROR(__xludf.DUMMYFUNCTION("""COMPUTED_VALUE"""),"Land of Spira")</f>
        <v>Land of Spira</v>
      </c>
      <c r="AH253" s="49" t="b">
        <f>IFERROR(__xludf.DUMMYFUNCTION("""COMPUTED_VALUE"""),TRUE)</f>
        <v>1</v>
      </c>
    </row>
    <row r="254">
      <c r="A254" s="49" t="str">
        <f>IFERROR(__xludf.DUMMYFUNCTION("""COMPUTED_VALUE"""),"Spear Of Assal ")</f>
        <v>Spear Of Assal </v>
      </c>
      <c r="B254" s="49" t="str">
        <f>IFERROR(__xludf.DUMMYFUNCTION("""COMPUTED_VALUE"""),"Hand")</f>
        <v>Hand</v>
      </c>
      <c r="C254" s="49"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49" t="str">
        <f>IFERROR(__xludf.DUMMYFUNCTION("""COMPUTED_VALUE"""),"Spear")</f>
        <v>Spear</v>
      </c>
      <c r="E254" s="49">
        <f>IFERROR(__xludf.DUMMYFUNCTION("""COMPUTED_VALUE"""),200.0)</f>
        <v>200</v>
      </c>
      <c r="F254" s="112">
        <f>IFERROR(__xludf.DUMMYFUNCTION("""COMPUTED_VALUE"""),4.485E8)</f>
        <v>448500000</v>
      </c>
      <c r="G254" s="49" t="str">
        <f>IFERROR(__xludf.DUMMYFUNCTION("""COMPUTED_VALUE"""),"DMG")</f>
        <v>DMG</v>
      </c>
      <c r="H254" s="125">
        <f>IFERROR(__xludf.DUMMYFUNCTION("""COMPUTED_VALUE"""),50000.0)</f>
        <v>50000</v>
      </c>
      <c r="I254" s="125">
        <f>IFERROR(__xludf.DUMMYFUNCTION("""COMPUTED_VALUE"""),50000.0)</f>
        <v>50000</v>
      </c>
      <c r="J254" s="49"/>
      <c r="K254" s="49"/>
      <c r="L254" s="49"/>
      <c r="M254" s="49"/>
      <c r="N254" s="49"/>
      <c r="O254" s="49"/>
      <c r="P254" s="49"/>
      <c r="Q254" s="49"/>
      <c r="R254" s="49"/>
      <c r="S254" s="49"/>
      <c r="T254" s="49"/>
      <c r="U254" s="49"/>
      <c r="V254" s="49"/>
      <c r="W254" s="49"/>
      <c r="X254" s="49"/>
      <c r="Y254" s="49"/>
      <c r="Z254" s="49"/>
      <c r="AA254" s="49"/>
      <c r="AB254" s="49"/>
      <c r="AC254" s="125">
        <f>IFERROR(__xludf.DUMMYFUNCTION("""COMPUTED_VALUE"""),50000.0)</f>
        <v>50000</v>
      </c>
      <c r="AD254" s="49"/>
      <c r="AE254" s="49"/>
      <c r="AF254" s="49"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49" t="str">
        <f>IFERROR(__xludf.DUMMYFUNCTION("""COMPUTED_VALUE"""),"Land of Spira")</f>
        <v>Land of Spira</v>
      </c>
      <c r="AH254" s="49" t="b">
        <f>IFERROR(__xludf.DUMMYFUNCTION("""COMPUTED_VALUE"""),FALSE)</f>
        <v>0</v>
      </c>
    </row>
    <row r="255">
      <c r="A255" s="49" t="str">
        <f>IFERROR(__xludf.DUMMYFUNCTION("""COMPUTED_VALUE"""),"Spiked Armor")</f>
        <v>Spiked Armor</v>
      </c>
      <c r="B255" s="49" t="str">
        <f>IFERROR(__xludf.DUMMYFUNCTION("""COMPUTED_VALUE"""),"Torso")</f>
        <v>Torso</v>
      </c>
      <c r="C255" s="49"/>
      <c r="D255" s="49"/>
      <c r="E255" s="49">
        <f>IFERROR(__xludf.DUMMYFUNCTION("""COMPUTED_VALUE"""),1.0)</f>
        <v>1</v>
      </c>
      <c r="F255" s="112">
        <f>IFERROR(__xludf.DUMMYFUNCTION("""COMPUTED_VALUE"""),0.0)</f>
        <v>0</v>
      </c>
      <c r="G255" s="49" t="str">
        <f>IFERROR(__xludf.DUMMYFUNCTION("""COMPUTED_VALUE"""),"DEF")</f>
        <v>DEF</v>
      </c>
      <c r="H255" s="49">
        <f>IFERROR(__xludf.DUMMYFUNCTION("""COMPUTED_VALUE"""),100.0)</f>
        <v>100</v>
      </c>
      <c r="I255" s="49"/>
      <c r="J255" s="49"/>
      <c r="K255" s="49"/>
      <c r="L255" s="49"/>
      <c r="M255" s="49"/>
      <c r="N255" s="49"/>
      <c r="O255" s="49"/>
      <c r="P255" s="49"/>
      <c r="Q255" s="49"/>
      <c r="R255" s="49"/>
      <c r="S255" s="49"/>
      <c r="T255" s="49"/>
      <c r="U255" s="49"/>
      <c r="V255" s="49"/>
      <c r="W255" s="49"/>
      <c r="X255" s="49"/>
      <c r="Y255" s="49"/>
      <c r="Z255" s="49"/>
      <c r="AA255" s="49"/>
      <c r="AB255" s="49"/>
      <c r="AC255" s="49"/>
      <c r="AD255" s="49"/>
      <c r="AE255" s="49"/>
      <c r="AF255" s="49" t="str">
        <f>IFERROR(__xludf.DUMMYFUNCTION("""COMPUTED_VALUE"""),"++Used for both offense and defense. ++Enemies take half the damage they caused, when they attack you.")</f>
        <v>++Used for both offense and defense. ++Enemies take half the damage they caused, when they attack you.</v>
      </c>
      <c r="AG255" s="49" t="str">
        <f>IFERROR(__xludf.DUMMYFUNCTION("""COMPUTED_VALUE"""),"Land of Spira")</f>
        <v>Land of Spira</v>
      </c>
      <c r="AH255" s="49" t="b">
        <f>IFERROR(__xludf.DUMMYFUNCTION("""COMPUTED_VALUE"""),FALSE)</f>
        <v>0</v>
      </c>
    </row>
    <row r="256">
      <c r="A256" s="49" t="str">
        <f>IFERROR(__xludf.DUMMYFUNCTION("""COMPUTED_VALUE"""),"Spiny Shield")</f>
        <v>Spiny Shield</v>
      </c>
      <c r="B256" s="49" t="str">
        <f>IFERROR(__xludf.DUMMYFUNCTION("""COMPUTED_VALUE"""),"Hand")</f>
        <v>Hand</v>
      </c>
      <c r="C256" s="49"/>
      <c r="D256" s="49" t="str">
        <f>IFERROR(__xludf.DUMMYFUNCTION("""COMPUTED_VALUE"""),"Buckler")</f>
        <v>Buckler</v>
      </c>
      <c r="E256" s="49">
        <f>IFERROR(__xludf.DUMMYFUNCTION("""COMPUTED_VALUE"""),1.0)</f>
        <v>1</v>
      </c>
      <c r="F256" s="112">
        <f>IFERROR(__xludf.DUMMYFUNCTION("""COMPUTED_VALUE"""),0.0)</f>
        <v>0</v>
      </c>
      <c r="G256" s="49" t="str">
        <f>IFERROR(__xludf.DUMMYFUNCTION("""COMPUTED_VALUE"""),"DEF")</f>
        <v>DEF</v>
      </c>
      <c r="H256" s="49">
        <f>IFERROR(__xludf.DUMMYFUNCTION("""COMPUTED_VALUE"""),170.0)</f>
        <v>170</v>
      </c>
      <c r="I256" s="49"/>
      <c r="J256" s="49"/>
      <c r="K256" s="49"/>
      <c r="L256" s="49"/>
      <c r="M256" s="49"/>
      <c r="N256" s="49"/>
      <c r="O256" s="49"/>
      <c r="P256" s="49"/>
      <c r="Q256" s="49"/>
      <c r="R256" s="49"/>
      <c r="S256" s="49"/>
      <c r="T256" s="49"/>
      <c r="U256" s="49"/>
      <c r="V256" s="49"/>
      <c r="W256" s="49"/>
      <c r="X256" s="49"/>
      <c r="Y256" s="49"/>
      <c r="Z256" s="49"/>
      <c r="AA256" s="49"/>
      <c r="AB256" s="49"/>
      <c r="AC256" s="49"/>
      <c r="AD256" s="49"/>
      <c r="AE256" s="49"/>
      <c r="AF256" s="49"/>
      <c r="AG256" s="49" t="str">
        <f>IFERROR(__xludf.DUMMYFUNCTION("""COMPUTED_VALUE"""),"Land of Spira")</f>
        <v>Land of Spira</v>
      </c>
      <c r="AH256" s="49" t="b">
        <f>IFERROR(__xludf.DUMMYFUNCTION("""COMPUTED_VALUE"""),FALSE)</f>
        <v>0</v>
      </c>
    </row>
    <row r="257">
      <c r="A257" s="49" t="str">
        <f>IFERROR(__xludf.DUMMYFUNCTION("""COMPUTED_VALUE"""),"Spooky Branch Ring")</f>
        <v>Spooky Branch Ring</v>
      </c>
      <c r="B257" s="49" t="str">
        <f>IFERROR(__xludf.DUMMYFUNCTION("""COMPUTED_VALUE"""),"Ring")</f>
        <v>Ring</v>
      </c>
      <c r="C257" s="49" t="str">
        <f>IFERROR(__xludf.DUMMYFUNCTION("""COMPUTED_VALUE"""),"Halloween Exclusive")</f>
        <v>Halloween Exclusive</v>
      </c>
      <c r="D257" s="49"/>
      <c r="E257" s="49">
        <f>IFERROR(__xludf.DUMMYFUNCTION("""COMPUTED_VALUE"""),1.0)</f>
        <v>1</v>
      </c>
      <c r="F257" s="112">
        <f>IFERROR(__xludf.DUMMYFUNCTION("""COMPUTED_VALUE"""),0.0)</f>
        <v>0</v>
      </c>
      <c r="G257" s="49"/>
      <c r="H257" s="49"/>
      <c r="I257" s="49"/>
      <c r="J257" s="49"/>
      <c r="K257" s="49"/>
      <c r="L257" s="49"/>
      <c r="M257" s="49"/>
      <c r="N257" s="49"/>
      <c r="O257" s="49"/>
      <c r="P257" s="49"/>
      <c r="Q257" s="49"/>
      <c r="R257" s="49"/>
      <c r="S257" s="49"/>
      <c r="T257" s="49"/>
      <c r="U257" s="49"/>
      <c r="V257" s="49"/>
      <c r="W257" s="49"/>
      <c r="X257" s="49"/>
      <c r="Y257" s="49"/>
      <c r="Z257" s="49"/>
      <c r="AA257" s="49"/>
      <c r="AB257" s="49"/>
      <c r="AC257" s="49"/>
      <c r="AD257" s="49"/>
      <c r="AE257" s="49"/>
      <c r="AF257" s="49" t="str">
        <f>IFERROR(__xludf.DUMMYFUNCTION("""COMPUTED_VALUE"""),"++Increase fire and dark damage by X2.")</f>
        <v>++Increase fire and dark damage by X2.</v>
      </c>
      <c r="AG257" s="49" t="str">
        <f>IFERROR(__xludf.DUMMYFUNCTION("""COMPUTED_VALUE"""),"Halloween Kingdom")</f>
        <v>Halloween Kingdom</v>
      </c>
      <c r="AH257" s="49" t="b">
        <f>IFERROR(__xludf.DUMMYFUNCTION("""COMPUTED_VALUE"""),FALSE)</f>
        <v>0</v>
      </c>
    </row>
    <row r="258">
      <c r="A258" s="49" t="str">
        <f>IFERROR(__xludf.DUMMYFUNCTION("""COMPUTED_VALUE"""),"Staff of Chaotic Shadows")</f>
        <v>Staff of Chaotic Shadows</v>
      </c>
      <c r="B258" s="49" t="str">
        <f>IFERROR(__xludf.DUMMYFUNCTION("""COMPUTED_VALUE"""),"Hand")</f>
        <v>Hand</v>
      </c>
      <c r="C258" s="49"/>
      <c r="D258" s="49" t="str">
        <f>IFERROR(__xludf.DUMMYFUNCTION("""COMPUTED_VALUE"""),"Staff")</f>
        <v>Staff</v>
      </c>
      <c r="E258" s="49">
        <f>IFERROR(__xludf.DUMMYFUNCTION("""COMPUTED_VALUE"""),1200.0)</f>
        <v>1200</v>
      </c>
      <c r="F258" s="112">
        <f>IFERROR(__xludf.DUMMYFUNCTION("""COMPUTED_VALUE"""),7.14E7)</f>
        <v>71400000</v>
      </c>
      <c r="G258" s="49" t="str">
        <f>IFERROR(__xludf.DUMMYFUNCTION("""COMPUTED_VALUE"""),"DMG")</f>
        <v>DMG</v>
      </c>
      <c r="H258" s="49"/>
      <c r="I258" s="125">
        <f>IFERROR(__xludf.DUMMYFUNCTION("""COMPUTED_VALUE"""),20000.0)</f>
        <v>20000</v>
      </c>
      <c r="J258" s="49"/>
      <c r="K258" s="49"/>
      <c r="L258" s="49"/>
      <c r="M258" s="49"/>
      <c r="N258" s="49"/>
      <c r="O258" s="49">
        <f>IFERROR(__xludf.DUMMYFUNCTION("""COMPUTED_VALUE"""),20000.0)</f>
        <v>20000</v>
      </c>
      <c r="P258" s="49"/>
      <c r="Q258" s="49"/>
      <c r="R258" s="49">
        <f>IFERROR(__xludf.DUMMYFUNCTION("""COMPUTED_VALUE"""),20000.0)</f>
        <v>20000</v>
      </c>
      <c r="S258" s="49"/>
      <c r="T258" s="49"/>
      <c r="U258" s="49"/>
      <c r="V258" s="49"/>
      <c r="W258" s="49"/>
      <c r="X258" s="49"/>
      <c r="Y258" s="49"/>
      <c r="Z258" s="49"/>
      <c r="AA258" s="49"/>
      <c r="AB258" s="49"/>
      <c r="AC258" s="49"/>
      <c r="AD258" s="49"/>
      <c r="AE258" s="49"/>
      <c r="AF258" s="49" t="str">
        <f>IFERROR(__xludf.DUMMYFUNCTION("""COMPUTED_VALUE"""),"++damages all enemies. +-Cannot be forged.")</f>
        <v>++damages all enemies. +-Cannot be forged.</v>
      </c>
      <c r="AG258" s="49" t="str">
        <f>IFERROR(__xludf.DUMMYFUNCTION("""COMPUTED_VALUE"""),"Land of Spira")</f>
        <v>Land of Spira</v>
      </c>
      <c r="AH258" s="49" t="b">
        <f>IFERROR(__xludf.DUMMYFUNCTION("""COMPUTED_VALUE"""),FALSE)</f>
        <v>0</v>
      </c>
    </row>
    <row r="259">
      <c r="A259" s="49" t="str">
        <f>IFERROR(__xludf.DUMMYFUNCTION("""COMPUTED_VALUE"""),"Staff of Crystals")</f>
        <v>Staff of Crystals</v>
      </c>
      <c r="B259" s="49" t="str">
        <f>IFERROR(__xludf.DUMMYFUNCTION("""COMPUTED_VALUE"""),"Hand")</f>
        <v>Hand</v>
      </c>
      <c r="C259" s="49"/>
      <c r="D259" s="49" t="str">
        <f>IFERROR(__xludf.DUMMYFUNCTION("""COMPUTED_VALUE"""),"Staff")</f>
        <v>Staff</v>
      </c>
      <c r="E259" s="49">
        <f>IFERROR(__xludf.DUMMYFUNCTION("""COMPUTED_VALUE"""),400.0)</f>
        <v>400</v>
      </c>
      <c r="F259" s="112">
        <f>IFERROR(__xludf.DUMMYFUNCTION("""COMPUTED_VALUE"""),7800000.0)</f>
        <v>7800000</v>
      </c>
      <c r="G259" s="49" t="str">
        <f>IFERROR(__xludf.DUMMYFUNCTION("""COMPUTED_VALUE"""),"DMG")</f>
        <v>DMG</v>
      </c>
      <c r="H259" s="49"/>
      <c r="I259" s="49"/>
      <c r="J259" s="49"/>
      <c r="K259" s="49"/>
      <c r="L259" s="49"/>
      <c r="M259" s="49">
        <f>IFERROR(__xludf.DUMMYFUNCTION("""COMPUTED_VALUE"""),20000.0)</f>
        <v>20000</v>
      </c>
      <c r="N259" s="49"/>
      <c r="O259" s="49"/>
      <c r="P259" s="49"/>
      <c r="Q259" s="49"/>
      <c r="R259" s="49"/>
      <c r="S259" s="49"/>
      <c r="T259" s="49"/>
      <c r="U259" s="49"/>
      <c r="V259" s="49"/>
      <c r="W259" s="49"/>
      <c r="X259" s="49"/>
      <c r="Y259" s="49"/>
      <c r="Z259" s="49"/>
      <c r="AA259" s="49"/>
      <c r="AB259" s="49"/>
      <c r="AC259" s="49"/>
      <c r="AD259" s="49"/>
      <c r="AE259" s="49"/>
      <c r="AF259" s="49" t="str">
        <f>IFERROR(__xludf.DUMMYFUNCTION("""COMPUTED_VALUE"""),"++When Equipped any damage dealt by a Crystal or Gem related weapon is X4. +-Cannot be duplicated.")</f>
        <v>++When Equipped any damage dealt by a Crystal or Gem related weapon is X4. +-Cannot be duplicated.</v>
      </c>
      <c r="AG259" s="49" t="str">
        <f>IFERROR(__xludf.DUMMYFUNCTION("""COMPUTED_VALUE"""),"Land of Spira")</f>
        <v>Land of Spira</v>
      </c>
      <c r="AH259" s="49" t="b">
        <f>IFERROR(__xludf.DUMMYFUNCTION("""COMPUTED_VALUE"""),FALSE)</f>
        <v>0</v>
      </c>
    </row>
    <row r="260">
      <c r="A260" s="49" t="str">
        <f>IFERROR(__xludf.DUMMYFUNCTION("""COMPUTED_VALUE"""),"Staff Of Heatmore")</f>
        <v>Staff Of Heatmore</v>
      </c>
      <c r="B260" s="49" t="str">
        <f>IFERROR(__xludf.DUMMYFUNCTION("""COMPUTED_VALUE"""),"Hand")</f>
        <v>Hand</v>
      </c>
      <c r="C260" s="49"/>
      <c r="D260" s="49" t="str">
        <f>IFERROR(__xludf.DUMMYFUNCTION("""COMPUTED_VALUE"""),"Staff")</f>
        <v>Staff</v>
      </c>
      <c r="E260" s="49">
        <f>IFERROR(__xludf.DUMMYFUNCTION("""COMPUTED_VALUE"""),1.0)</f>
        <v>1</v>
      </c>
      <c r="F260" s="112">
        <f>IFERROR(__xludf.DUMMYFUNCTION("""COMPUTED_VALUE"""),0.0)</f>
        <v>0</v>
      </c>
      <c r="G260" s="49" t="str">
        <f>IFERROR(__xludf.DUMMYFUNCTION("""COMPUTED_VALUE"""),"DMG")</f>
        <v>DMG</v>
      </c>
      <c r="H260" s="49"/>
      <c r="I260" s="49"/>
      <c r="J260" s="49"/>
      <c r="K260" s="49"/>
      <c r="L260" s="49"/>
      <c r="M260" s="49"/>
      <c r="N260" s="49"/>
      <c r="O260" s="49"/>
      <c r="P260" s="49"/>
      <c r="Q260" s="49"/>
      <c r="R260" s="49"/>
      <c r="S260" s="49"/>
      <c r="T260" s="49"/>
      <c r="U260" s="49"/>
      <c r="V260" s="49"/>
      <c r="W260" s="49"/>
      <c r="X260" s="49"/>
      <c r="Y260" s="49"/>
      <c r="Z260" s="49"/>
      <c r="AA260" s="49"/>
      <c r="AB260" s="49"/>
      <c r="AC260" s="49"/>
      <c r="AD260" s="49"/>
      <c r="AE260" s="49"/>
      <c r="AF260" s="49" t="str">
        <f>IFERROR(__xludf.DUMMYFUNCTION("""COMPUTED_VALUE"""),"++20,000 fire damage to all enemies, cannot avoid. 10,000sp")</f>
        <v>++20,000 fire damage to all enemies, cannot avoid. 10,000sp</v>
      </c>
      <c r="AG260" s="49" t="str">
        <f>IFERROR(__xludf.DUMMYFUNCTION("""COMPUTED_VALUE"""),"Land of Spira")</f>
        <v>Land of Spira</v>
      </c>
      <c r="AH260" s="49" t="b">
        <f>IFERROR(__xludf.DUMMYFUNCTION("""COMPUTED_VALUE"""),FALSE)</f>
        <v>0</v>
      </c>
    </row>
    <row r="261">
      <c r="A261" s="49" t="str">
        <f>IFERROR(__xludf.DUMMYFUNCTION("""COMPUTED_VALUE"""),"Staff of Shadows")</f>
        <v>Staff of Shadows</v>
      </c>
      <c r="B261" s="49" t="str">
        <f>IFERROR(__xludf.DUMMYFUNCTION("""COMPUTED_VALUE"""),"Hand")</f>
        <v>Hand</v>
      </c>
      <c r="C261" s="49"/>
      <c r="D261" s="49" t="str">
        <f>IFERROR(__xludf.DUMMYFUNCTION("""COMPUTED_VALUE"""),"Staff")</f>
        <v>Staff</v>
      </c>
      <c r="E261" s="49">
        <f>IFERROR(__xludf.DUMMYFUNCTION("""COMPUTED_VALUE"""),1.0)</f>
        <v>1</v>
      </c>
      <c r="F261" s="112">
        <f>IFERROR(__xludf.DUMMYFUNCTION("""COMPUTED_VALUE"""),0.0)</f>
        <v>0</v>
      </c>
      <c r="G261" s="49" t="str">
        <f>IFERROR(__xludf.DUMMYFUNCTION("""COMPUTED_VALUE"""),"DMG")</f>
        <v>DMG</v>
      </c>
      <c r="H261" s="49"/>
      <c r="I261" s="49"/>
      <c r="J261" s="49"/>
      <c r="K261" s="49"/>
      <c r="L261" s="49"/>
      <c r="M261" s="49"/>
      <c r="N261" s="49"/>
      <c r="O261" s="49"/>
      <c r="P261" s="49"/>
      <c r="Q261" s="49"/>
      <c r="R261" s="49"/>
      <c r="S261" s="49"/>
      <c r="T261" s="49"/>
      <c r="U261" s="49"/>
      <c r="V261" s="49"/>
      <c r="W261" s="49"/>
      <c r="X261" s="49"/>
      <c r="Y261" s="49"/>
      <c r="Z261" s="49"/>
      <c r="AA261" s="49"/>
      <c r="AB261" s="49"/>
      <c r="AC261" s="49"/>
      <c r="AD261" s="49"/>
      <c r="AE261" s="49"/>
      <c r="AF261" s="49" t="str">
        <f>IFERROR(__xludf.DUMMYFUNCTION("""COMPUTED_VALUE"""),"++You are invisible and silent so long as you don't attack. You cannot be attacked while invisible. 200SP")</f>
        <v>++You are invisible and silent so long as you don't attack. You cannot be attacked while invisible. 200SP</v>
      </c>
      <c r="AG261" s="49" t="str">
        <f>IFERROR(__xludf.DUMMYFUNCTION("""COMPUTED_VALUE"""),"Land of Spira")</f>
        <v>Land of Spira</v>
      </c>
      <c r="AH261" s="49" t="b">
        <f>IFERROR(__xludf.DUMMYFUNCTION("""COMPUTED_VALUE"""),FALSE)</f>
        <v>0</v>
      </c>
    </row>
    <row r="262">
      <c r="A262" s="49" t="str">
        <f>IFERROR(__xludf.DUMMYFUNCTION("""COMPUTED_VALUE"""),"Staff Of Suffering")</f>
        <v>Staff Of Suffering</v>
      </c>
      <c r="B262" s="49" t="str">
        <f>IFERROR(__xludf.DUMMYFUNCTION("""COMPUTED_VALUE"""),"Hand")</f>
        <v>Hand</v>
      </c>
      <c r="C262" s="49"/>
      <c r="D262" s="49" t="str">
        <f>IFERROR(__xludf.DUMMYFUNCTION("""COMPUTED_VALUE"""),"Staff")</f>
        <v>Staff</v>
      </c>
      <c r="E262" s="49">
        <f>IFERROR(__xludf.DUMMYFUNCTION("""COMPUTED_VALUE"""),1.0)</f>
        <v>1</v>
      </c>
      <c r="F262" s="112">
        <f>IFERROR(__xludf.DUMMYFUNCTION("""COMPUTED_VALUE"""),0.0)</f>
        <v>0</v>
      </c>
      <c r="G262" s="49" t="str">
        <f>IFERROR(__xludf.DUMMYFUNCTION("""COMPUTED_VALUE"""),"DMG")</f>
        <v>DMG</v>
      </c>
      <c r="H262" s="49"/>
      <c r="I262" s="49"/>
      <c r="J262" s="49"/>
      <c r="K262" s="49"/>
      <c r="L262" s="49"/>
      <c r="M262" s="49"/>
      <c r="N262" s="49"/>
      <c r="O262" s="49"/>
      <c r="P262" s="49"/>
      <c r="Q262" s="49"/>
      <c r="R262" s="49"/>
      <c r="S262" s="49"/>
      <c r="T262" s="49"/>
      <c r="U262" s="49"/>
      <c r="V262" s="49"/>
      <c r="W262" s="49"/>
      <c r="X262" s="49"/>
      <c r="Y262" s="49"/>
      <c r="Z262" s="49"/>
      <c r="AA262" s="49"/>
      <c r="AB262" s="49"/>
      <c r="AC262" s="49"/>
      <c r="AD262" s="49"/>
      <c r="AE262" s="49"/>
      <c r="AF262" s="49" t="str">
        <f>IFERROR(__xludf.DUMMYFUNCTION("""COMPUTED_VALUE"""),"++Casts a chaotic aura around 1 target dealing 1000 unblockable damage to them each time they cast a spell.")</f>
        <v>++Casts a chaotic aura around 1 target dealing 1000 unblockable damage to them each time they cast a spell.</v>
      </c>
      <c r="AG262" s="49" t="str">
        <f>IFERROR(__xludf.DUMMYFUNCTION("""COMPUTED_VALUE"""),"Land of Spira")</f>
        <v>Land of Spira</v>
      </c>
      <c r="AH262" s="49" t="b">
        <f>IFERROR(__xludf.DUMMYFUNCTION("""COMPUTED_VALUE"""),FALSE)</f>
        <v>0</v>
      </c>
    </row>
    <row r="263">
      <c r="A263" s="49" t="str">
        <f>IFERROR(__xludf.DUMMYFUNCTION("""COMPUTED_VALUE"""),"Staff of Targeting")</f>
        <v>Staff of Targeting</v>
      </c>
      <c r="B263" s="49" t="str">
        <f>IFERROR(__xludf.DUMMYFUNCTION("""COMPUTED_VALUE"""),"Hand")</f>
        <v>Hand</v>
      </c>
      <c r="C263" s="49"/>
      <c r="D263" s="49" t="str">
        <f>IFERROR(__xludf.DUMMYFUNCTION("""COMPUTED_VALUE"""),"Staff")</f>
        <v>Staff</v>
      </c>
      <c r="E263" s="49">
        <f>IFERROR(__xludf.DUMMYFUNCTION("""COMPUTED_VALUE"""),1.0)</f>
        <v>1</v>
      </c>
      <c r="F263" s="112">
        <f>IFERROR(__xludf.DUMMYFUNCTION("""COMPUTED_VALUE"""),0.0)</f>
        <v>0</v>
      </c>
      <c r="G263" s="49" t="str">
        <f>IFERROR(__xludf.DUMMYFUNCTION("""COMPUTED_VALUE"""),"DMG")</f>
        <v>DMG</v>
      </c>
      <c r="H263" s="49"/>
      <c r="I263" s="49"/>
      <c r="J263" s="49"/>
      <c r="K263" s="49"/>
      <c r="L263" s="49"/>
      <c r="M263" s="49"/>
      <c r="N263" s="49"/>
      <c r="O263" s="49"/>
      <c r="P263" s="49"/>
      <c r="Q263" s="49"/>
      <c r="R263" s="49"/>
      <c r="S263" s="49"/>
      <c r="T263" s="49"/>
      <c r="U263" s="49"/>
      <c r="V263" s="49"/>
      <c r="W263" s="49"/>
      <c r="X263" s="49"/>
      <c r="Y263" s="49"/>
      <c r="Z263" s="49"/>
      <c r="AA263" s="49"/>
      <c r="AB263" s="49"/>
      <c r="AC263" s="49"/>
      <c r="AD263" s="49"/>
      <c r="AE263" s="49"/>
      <c r="AF263" s="49"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49" t="str">
        <f>IFERROR(__xludf.DUMMYFUNCTION("""COMPUTED_VALUE"""),"Land of The Forgotten")</f>
        <v>Land of The Forgotten</v>
      </c>
      <c r="AH263" s="49" t="b">
        <f>IFERROR(__xludf.DUMMYFUNCTION("""COMPUTED_VALUE"""),FALSE)</f>
        <v>0</v>
      </c>
    </row>
    <row r="264">
      <c r="A264" s="49" t="str">
        <f>IFERROR(__xludf.DUMMYFUNCTION("""COMPUTED_VALUE"""),"Staff of Waves")</f>
        <v>Staff of Waves</v>
      </c>
      <c r="B264" s="49" t="str">
        <f>IFERROR(__xludf.DUMMYFUNCTION("""COMPUTED_VALUE"""),"Hand")</f>
        <v>Hand</v>
      </c>
      <c r="C264" s="49"/>
      <c r="D264" s="49" t="str">
        <f>IFERROR(__xludf.DUMMYFUNCTION("""COMPUTED_VALUE"""),"Staff")</f>
        <v>Staff</v>
      </c>
      <c r="E264" s="49">
        <f>IFERROR(__xludf.DUMMYFUNCTION("""COMPUTED_VALUE"""),1.0)</f>
        <v>1</v>
      </c>
      <c r="F264" s="112">
        <f>IFERROR(__xludf.DUMMYFUNCTION("""COMPUTED_VALUE"""),0.0)</f>
        <v>0</v>
      </c>
      <c r="G264" s="49" t="str">
        <f>IFERROR(__xludf.DUMMYFUNCTION("""COMPUTED_VALUE"""),"DMG")</f>
        <v>DMG</v>
      </c>
      <c r="H264" s="49"/>
      <c r="I264" s="49"/>
      <c r="J264" s="49"/>
      <c r="K264" s="49"/>
      <c r="L264" s="49"/>
      <c r="M264" s="49"/>
      <c r="N264" s="49"/>
      <c r="O264" s="49"/>
      <c r="P264" s="49"/>
      <c r="Q264" s="49"/>
      <c r="R264" s="49"/>
      <c r="S264" s="49"/>
      <c r="T264" s="49"/>
      <c r="U264" s="49"/>
      <c r="V264" s="49"/>
      <c r="W264" s="49"/>
      <c r="X264" s="49"/>
      <c r="Y264" s="49"/>
      <c r="Z264" s="49"/>
      <c r="AA264" s="49"/>
      <c r="AB264" s="49"/>
      <c r="AC264" s="49"/>
      <c r="AD264" s="49"/>
      <c r="AE264" s="49"/>
      <c r="AF264" s="49" t="str">
        <f>IFERROR(__xludf.DUMMYFUNCTION("""COMPUTED_VALUE"""),"++Casts the Spell Tsunami as if you would know it.")</f>
        <v>++Casts the Spell Tsunami as if you would know it.</v>
      </c>
      <c r="AG264" s="49" t="str">
        <f>IFERROR(__xludf.DUMMYFUNCTION("""COMPUTED_VALUE"""),"Land of Spira")</f>
        <v>Land of Spira</v>
      </c>
      <c r="AH264" s="49" t="b">
        <f>IFERROR(__xludf.DUMMYFUNCTION("""COMPUTED_VALUE"""),FALSE)</f>
        <v>0</v>
      </c>
    </row>
    <row r="265">
      <c r="A265" s="49" t="str">
        <f>IFERROR(__xludf.DUMMYFUNCTION("""COMPUTED_VALUE"""),"Guard Helmet")</f>
        <v>Guard Helmet</v>
      </c>
      <c r="B265" s="49" t="str">
        <f>IFERROR(__xludf.DUMMYFUNCTION("""COMPUTED_VALUE"""),"Head")</f>
        <v>Head</v>
      </c>
      <c r="C265" s="49" t="str">
        <f>IFERROR(__xludf.DUMMYFUNCTION("""COMPUTED_VALUE"""),"Quest Item")</f>
        <v>Quest Item</v>
      </c>
      <c r="D265" s="49"/>
      <c r="E265" s="49">
        <f>IFERROR(__xludf.DUMMYFUNCTION("""COMPUTED_VALUE"""),200.0)</f>
        <v>200</v>
      </c>
      <c r="F265" s="112">
        <f>IFERROR(__xludf.DUMMYFUNCTION("""COMPUTED_VALUE"""),1.1175E8)</f>
        <v>111750000</v>
      </c>
      <c r="G265" s="49" t="str">
        <f>IFERROR(__xludf.DUMMYFUNCTION("""COMPUTED_VALUE"""),"DEF")</f>
        <v>DEF</v>
      </c>
      <c r="H265" s="125">
        <f>IFERROR(__xludf.DUMMYFUNCTION("""COMPUTED_VALUE"""),25000.0)</f>
        <v>25000</v>
      </c>
      <c r="I265" s="49"/>
      <c r="J265" s="49"/>
      <c r="K265" s="49"/>
      <c r="L265" s="49"/>
      <c r="M265" s="49"/>
      <c r="N265" s="125">
        <f>IFERROR(__xludf.DUMMYFUNCTION("""COMPUTED_VALUE"""),25000.0)</f>
        <v>25000</v>
      </c>
      <c r="O265" s="49"/>
      <c r="P265" s="49"/>
      <c r="Q265" s="49"/>
      <c r="R265" s="49"/>
      <c r="S265" s="49"/>
      <c r="T265" s="49"/>
      <c r="U265" s="49"/>
      <c r="V265" s="49"/>
      <c r="W265" s="49"/>
      <c r="X265" s="49"/>
      <c r="Y265" s="49"/>
      <c r="Z265" s="49"/>
      <c r="AA265" s="49"/>
      <c r="AB265" s="49"/>
      <c r="AC265" s="125">
        <f>IFERROR(__xludf.DUMMYFUNCTION("""COMPUTED_VALUE"""),25000.0)</f>
        <v>25000</v>
      </c>
      <c r="AD265" s="49"/>
      <c r="AE265" s="49"/>
      <c r="AF265" s="49"/>
      <c r="AG265" s="49" t="str">
        <f>IFERROR(__xludf.DUMMYFUNCTION("""COMPUTED_VALUE"""),"Land of Spira")</f>
        <v>Land of Spira</v>
      </c>
      <c r="AH265" s="49" t="b">
        <f>IFERROR(__xludf.DUMMYFUNCTION("""COMPUTED_VALUE"""),TRUE)</f>
        <v>1</v>
      </c>
    </row>
    <row r="266">
      <c r="A266" s="49" t="str">
        <f>IFERROR(__xludf.DUMMYFUNCTION("""COMPUTED_VALUE"""),"Guard Shield")</f>
        <v>Guard Shield</v>
      </c>
      <c r="B266" s="49" t="str">
        <f>IFERROR(__xludf.DUMMYFUNCTION("""COMPUTED_VALUE"""),"Hand")</f>
        <v>Hand</v>
      </c>
      <c r="C266" s="49" t="str">
        <f>IFERROR(__xludf.DUMMYFUNCTION("""COMPUTED_VALUE"""),"Quest Item")</f>
        <v>Quest Item</v>
      </c>
      <c r="D266" s="49" t="str">
        <f>IFERROR(__xludf.DUMMYFUNCTION("""COMPUTED_VALUE"""),"Towershield")</f>
        <v>Towershield</v>
      </c>
      <c r="E266" s="49">
        <f>IFERROR(__xludf.DUMMYFUNCTION("""COMPUTED_VALUE"""),200.0)</f>
        <v>200</v>
      </c>
      <c r="F266" s="112">
        <f>IFERROR(__xludf.DUMMYFUNCTION("""COMPUTED_VALUE"""),1.1175E8)</f>
        <v>111750000</v>
      </c>
      <c r="G266" s="49" t="str">
        <f>IFERROR(__xludf.DUMMYFUNCTION("""COMPUTED_VALUE"""),"DEF")</f>
        <v>DEF</v>
      </c>
      <c r="H266" s="125">
        <f>IFERROR(__xludf.DUMMYFUNCTION("""COMPUTED_VALUE"""),25000.0)</f>
        <v>25000</v>
      </c>
      <c r="I266" s="49"/>
      <c r="J266" s="49"/>
      <c r="K266" s="49"/>
      <c r="L266" s="49"/>
      <c r="M266" s="49"/>
      <c r="N266" s="125">
        <f>IFERROR(__xludf.DUMMYFUNCTION("""COMPUTED_VALUE"""),25000.0)</f>
        <v>25000</v>
      </c>
      <c r="O266" s="49"/>
      <c r="P266" s="49"/>
      <c r="Q266" s="49"/>
      <c r="R266" s="49"/>
      <c r="S266" s="49"/>
      <c r="T266" s="49"/>
      <c r="U266" s="49"/>
      <c r="V266" s="49"/>
      <c r="W266" s="49"/>
      <c r="X266" s="49"/>
      <c r="Y266" s="49"/>
      <c r="Z266" s="49"/>
      <c r="AA266" s="49"/>
      <c r="AB266" s="49"/>
      <c r="AC266" s="125">
        <f>IFERROR(__xludf.DUMMYFUNCTION("""COMPUTED_VALUE"""),25000.0)</f>
        <v>25000</v>
      </c>
      <c r="AD266" s="49"/>
      <c r="AE266" s="49"/>
      <c r="AF266" s="49"/>
      <c r="AG266" s="49" t="str">
        <f>IFERROR(__xludf.DUMMYFUNCTION("""COMPUTED_VALUE"""),"Land of Spira")</f>
        <v>Land of Spira</v>
      </c>
      <c r="AH266" s="49" t="b">
        <f>IFERROR(__xludf.DUMMYFUNCTION("""COMPUTED_VALUE"""),TRUE)</f>
        <v>1</v>
      </c>
    </row>
    <row r="267">
      <c r="A267" s="49" t="str">
        <f>IFERROR(__xludf.DUMMYFUNCTION("""COMPUTED_VALUE"""),"Guard Sword")</f>
        <v>Guard Sword</v>
      </c>
      <c r="B267" s="49" t="str">
        <f>IFERROR(__xludf.DUMMYFUNCTION("""COMPUTED_VALUE"""),"Hand")</f>
        <v>Hand</v>
      </c>
      <c r="C267" s="49" t="str">
        <f>IFERROR(__xludf.DUMMYFUNCTION("""COMPUTED_VALUE"""),"Quest Item")</f>
        <v>Quest Item</v>
      </c>
      <c r="D267" s="49" t="str">
        <f>IFERROR(__xludf.DUMMYFUNCTION("""COMPUTED_VALUE"""),"Sword")</f>
        <v>Sword</v>
      </c>
      <c r="E267" s="49">
        <f>IFERROR(__xludf.DUMMYFUNCTION("""COMPUTED_VALUE"""),200.0)</f>
        <v>200</v>
      </c>
      <c r="F267" s="112">
        <f>IFERROR(__xludf.DUMMYFUNCTION("""COMPUTED_VALUE"""),1.1175E8)</f>
        <v>111750000</v>
      </c>
      <c r="G267" s="49" t="str">
        <f>IFERROR(__xludf.DUMMYFUNCTION("""COMPUTED_VALUE"""),"DMG")</f>
        <v>DMG</v>
      </c>
      <c r="H267" s="125">
        <f>IFERROR(__xludf.DUMMYFUNCTION("""COMPUTED_VALUE"""),25000.0)</f>
        <v>25000</v>
      </c>
      <c r="I267" s="49"/>
      <c r="J267" s="49"/>
      <c r="K267" s="49"/>
      <c r="L267" s="49"/>
      <c r="M267" s="49"/>
      <c r="N267" s="125">
        <f>IFERROR(__xludf.DUMMYFUNCTION("""COMPUTED_VALUE"""),25000.0)</f>
        <v>25000</v>
      </c>
      <c r="O267" s="49"/>
      <c r="P267" s="49"/>
      <c r="Q267" s="49"/>
      <c r="R267" s="49"/>
      <c r="S267" s="49"/>
      <c r="T267" s="49"/>
      <c r="U267" s="49"/>
      <c r="V267" s="49"/>
      <c r="W267" s="49"/>
      <c r="X267" s="49"/>
      <c r="Y267" s="49"/>
      <c r="Z267" s="49"/>
      <c r="AA267" s="49"/>
      <c r="AB267" s="49"/>
      <c r="AC267" s="125">
        <f>IFERROR(__xludf.DUMMYFUNCTION("""COMPUTED_VALUE"""),25000.0)</f>
        <v>25000</v>
      </c>
      <c r="AD267" s="49"/>
      <c r="AE267" s="49"/>
      <c r="AF267" s="49"/>
      <c r="AG267" s="49" t="str">
        <f>IFERROR(__xludf.DUMMYFUNCTION("""COMPUTED_VALUE"""),"Land of Spira")</f>
        <v>Land of Spira</v>
      </c>
      <c r="AH267" s="49" t="b">
        <f>IFERROR(__xludf.DUMMYFUNCTION("""COMPUTED_VALUE"""),TRUE)</f>
        <v>1</v>
      </c>
    </row>
    <row r="268">
      <c r="A268" s="49" t="str">
        <f>IFERROR(__xludf.DUMMYFUNCTION("""COMPUTED_VALUE"""),"Steel Armor")</f>
        <v>Steel Armor</v>
      </c>
      <c r="B268" s="49" t="str">
        <f>IFERROR(__xludf.DUMMYFUNCTION("""COMPUTED_VALUE"""),"Torso")</f>
        <v>Torso</v>
      </c>
      <c r="C268" s="49"/>
      <c r="D268" s="49"/>
      <c r="E268" s="49">
        <f>IFERROR(__xludf.DUMMYFUNCTION("""COMPUTED_VALUE"""),1.0)</f>
        <v>1</v>
      </c>
      <c r="F268" s="112">
        <f>IFERROR(__xludf.DUMMYFUNCTION("""COMPUTED_VALUE"""),0.0)</f>
        <v>0</v>
      </c>
      <c r="G268" s="49" t="str">
        <f>IFERROR(__xludf.DUMMYFUNCTION("""COMPUTED_VALUE"""),"DEF")</f>
        <v>DEF</v>
      </c>
      <c r="H268" s="49">
        <f>IFERROR(__xludf.DUMMYFUNCTION("""COMPUTED_VALUE"""),20.0)</f>
        <v>20</v>
      </c>
      <c r="I268" s="49"/>
      <c r="J268" s="49"/>
      <c r="K268" s="49"/>
      <c r="L268" s="49"/>
      <c r="M268" s="49"/>
      <c r="N268" s="49"/>
      <c r="O268" s="49"/>
      <c r="P268" s="49"/>
      <c r="Q268" s="49"/>
      <c r="R268" s="49"/>
      <c r="S268" s="49"/>
      <c r="T268" s="49"/>
      <c r="U268" s="49"/>
      <c r="V268" s="49"/>
      <c r="W268" s="49"/>
      <c r="X268" s="49"/>
      <c r="Y268" s="49"/>
      <c r="Z268" s="49"/>
      <c r="AA268" s="49"/>
      <c r="AB268" s="49"/>
      <c r="AC268" s="49"/>
      <c r="AD268" s="49"/>
      <c r="AE268" s="49"/>
      <c r="AF268" s="49"/>
      <c r="AG268" s="49" t="str">
        <f>IFERROR(__xludf.DUMMYFUNCTION("""COMPUTED_VALUE"""),"Land of Spira")</f>
        <v>Land of Spira</v>
      </c>
      <c r="AH268" s="49" t="b">
        <f>IFERROR(__xludf.DUMMYFUNCTION("""COMPUTED_VALUE"""),TRUE)</f>
        <v>1</v>
      </c>
    </row>
    <row r="269">
      <c r="A269" s="49" t="str">
        <f>IFERROR(__xludf.DUMMYFUNCTION("""COMPUTED_VALUE"""),"Steel Broadsword")</f>
        <v>Steel Broadsword</v>
      </c>
      <c r="B269" s="49" t="str">
        <f>IFERROR(__xludf.DUMMYFUNCTION("""COMPUTED_VALUE"""),"Hand")</f>
        <v>Hand</v>
      </c>
      <c r="C269" s="49"/>
      <c r="D269" s="49" t="str">
        <f>IFERROR(__xludf.DUMMYFUNCTION("""COMPUTED_VALUE"""),"Sword")</f>
        <v>Sword</v>
      </c>
      <c r="E269" s="49">
        <f>IFERROR(__xludf.DUMMYFUNCTION("""COMPUTED_VALUE"""),40.0)</f>
        <v>40</v>
      </c>
      <c r="F269" s="112">
        <f>IFERROR(__xludf.DUMMYFUNCTION("""COMPUTED_VALUE"""),60000.0)</f>
        <v>60000</v>
      </c>
      <c r="G269" s="49" t="str">
        <f>IFERROR(__xludf.DUMMYFUNCTION("""COMPUTED_VALUE"""),"DMG")</f>
        <v>DMG</v>
      </c>
      <c r="H269" s="49">
        <f>IFERROR(__xludf.DUMMYFUNCTION("""COMPUTED_VALUE"""),2000.0)</f>
        <v>2000</v>
      </c>
      <c r="I269" s="49"/>
      <c r="J269" s="49"/>
      <c r="K269" s="49"/>
      <c r="L269" s="49"/>
      <c r="M269" s="49"/>
      <c r="N269" s="49"/>
      <c r="O269" s="49"/>
      <c r="P269" s="49"/>
      <c r="Q269" s="49"/>
      <c r="R269" s="49"/>
      <c r="S269" s="49"/>
      <c r="T269" s="49"/>
      <c r="U269" s="49"/>
      <c r="V269" s="49"/>
      <c r="W269" s="49"/>
      <c r="X269" s="49"/>
      <c r="Y269" s="49"/>
      <c r="Z269" s="49"/>
      <c r="AA269" s="49"/>
      <c r="AB269" s="49"/>
      <c r="AC269" s="49"/>
      <c r="AD269" s="49"/>
      <c r="AE269" s="49"/>
      <c r="AF269" s="49"/>
      <c r="AG269" s="49" t="str">
        <f>IFERROR(__xludf.DUMMYFUNCTION("""COMPUTED_VALUE"""),"Land of Spira")</f>
        <v>Land of Spira</v>
      </c>
      <c r="AH269" s="49" t="b">
        <f>IFERROR(__xludf.DUMMYFUNCTION("""COMPUTED_VALUE"""),TRUE)</f>
        <v>1</v>
      </c>
    </row>
    <row r="270">
      <c r="A270" s="49" t="str">
        <f>IFERROR(__xludf.DUMMYFUNCTION("""COMPUTED_VALUE"""),"Steel Sword")</f>
        <v>Steel Sword</v>
      </c>
      <c r="B270" s="49" t="str">
        <f>IFERROR(__xludf.DUMMYFUNCTION("""COMPUTED_VALUE"""),"Hand")</f>
        <v>Hand</v>
      </c>
      <c r="C270" s="49"/>
      <c r="D270" s="49" t="str">
        <f>IFERROR(__xludf.DUMMYFUNCTION("""COMPUTED_VALUE"""),"Sword")</f>
        <v>Sword</v>
      </c>
      <c r="E270" s="49">
        <f>IFERROR(__xludf.DUMMYFUNCTION("""COMPUTED_VALUE"""),10.0)</f>
        <v>10</v>
      </c>
      <c r="F270" s="112">
        <f>IFERROR(__xludf.DUMMYFUNCTION("""COMPUTED_VALUE"""),1000.0)</f>
        <v>1000</v>
      </c>
      <c r="G270" s="49" t="str">
        <f>IFERROR(__xludf.DUMMYFUNCTION("""COMPUTED_VALUE"""),"DMG")</f>
        <v>DMG</v>
      </c>
      <c r="H270" s="49">
        <f>IFERROR(__xludf.DUMMYFUNCTION("""COMPUTED_VALUE"""),500.0)</f>
        <v>500</v>
      </c>
      <c r="I270" s="49"/>
      <c r="J270" s="49"/>
      <c r="K270" s="49"/>
      <c r="L270" s="49"/>
      <c r="M270" s="49"/>
      <c r="N270" s="49"/>
      <c r="O270" s="49"/>
      <c r="P270" s="49"/>
      <c r="Q270" s="49"/>
      <c r="R270" s="49"/>
      <c r="S270" s="49"/>
      <c r="T270" s="49"/>
      <c r="U270" s="49"/>
      <c r="V270" s="49"/>
      <c r="W270" s="49"/>
      <c r="X270" s="49"/>
      <c r="Y270" s="49"/>
      <c r="Z270" s="49"/>
      <c r="AA270" s="49"/>
      <c r="AB270" s="49"/>
      <c r="AC270" s="49"/>
      <c r="AD270" s="49"/>
      <c r="AE270" s="49"/>
      <c r="AF270" s="49"/>
      <c r="AG270" s="49" t="str">
        <f>IFERROR(__xludf.DUMMYFUNCTION("""COMPUTED_VALUE"""),"Land of Spira")</f>
        <v>Land of Spira</v>
      </c>
      <c r="AH270" s="49" t="b">
        <f>IFERROR(__xludf.DUMMYFUNCTION("""COMPUTED_VALUE"""),TRUE)</f>
        <v>1</v>
      </c>
    </row>
    <row r="271">
      <c r="A271" s="49" t="str">
        <f>IFERROR(__xludf.DUMMYFUNCTION("""COMPUTED_VALUE"""),"Stick of Mystery ")</f>
        <v>Stick of Mystery </v>
      </c>
      <c r="B271" s="49" t="str">
        <f>IFERROR(__xludf.DUMMYFUNCTION("""COMPUTED_VALUE"""),"Hand")</f>
        <v>Hand</v>
      </c>
      <c r="C271" s="49" t="str">
        <f>IFERROR(__xludf.DUMMYFUNCTION("""COMPUTED_VALUE"""),"Those who doubt the stick's power will suffer the stick's wrath")</f>
        <v>Those who doubt the stick's power will suffer the stick's wrath</v>
      </c>
      <c r="D271" s="49" t="str">
        <f>IFERROR(__xludf.DUMMYFUNCTION("""COMPUTED_VALUE"""),"Wand")</f>
        <v>Wand</v>
      </c>
      <c r="E271" s="49">
        <f>IFERROR(__xludf.DUMMYFUNCTION("""COMPUTED_VALUE"""),1.0)</f>
        <v>1</v>
      </c>
      <c r="F271" s="112">
        <f>IFERROR(__xludf.DUMMYFUNCTION("""COMPUTED_VALUE"""),0.0)</f>
        <v>0</v>
      </c>
      <c r="G271" s="49"/>
      <c r="H271" s="49"/>
      <c r="I271" s="49"/>
      <c r="J271" s="49"/>
      <c r="K271" s="49"/>
      <c r="L271" s="49"/>
      <c r="M271" s="49"/>
      <c r="N271" s="49"/>
      <c r="O271" s="49"/>
      <c r="P271" s="49"/>
      <c r="Q271" s="49"/>
      <c r="R271" s="49"/>
      <c r="S271" s="49"/>
      <c r="T271" s="49"/>
      <c r="U271" s="49"/>
      <c r="V271" s="49"/>
      <c r="W271" s="49"/>
      <c r="X271" s="49"/>
      <c r="Y271" s="49"/>
      <c r="Z271" s="49"/>
      <c r="AA271" s="49"/>
      <c r="AB271" s="49"/>
      <c r="AC271" s="49"/>
      <c r="AD271" s="49"/>
      <c r="AE271" s="49"/>
      <c r="AF271" s="49" t="str">
        <f>IFERROR(__xludf.DUMMYFUNCTION("""COMPUTED_VALUE"""),"++roll a d20 to see what it does :)")</f>
        <v>++roll a d20 to see what it does :)</v>
      </c>
      <c r="AG271" s="49" t="str">
        <f>IFERROR(__xludf.DUMMYFUNCTION("""COMPUTED_VALUE"""),"Land of Spira")</f>
        <v>Land of Spira</v>
      </c>
      <c r="AH271" s="49" t="b">
        <f>IFERROR(__xludf.DUMMYFUNCTION("""COMPUTED_VALUE"""),FALSE)</f>
        <v>0</v>
      </c>
    </row>
    <row r="272">
      <c r="A272" s="49" t="str">
        <f>IFERROR(__xludf.DUMMYFUNCTION("""COMPUTED_VALUE"""),"Stone Arming Sword")</f>
        <v>Stone Arming Sword</v>
      </c>
      <c r="B272" s="49" t="str">
        <f>IFERROR(__xludf.DUMMYFUNCTION("""COMPUTED_VALUE"""),"Hand")</f>
        <v>Hand</v>
      </c>
      <c r="C272" s="49"/>
      <c r="D272" s="49" t="str">
        <f>IFERROR(__xludf.DUMMYFUNCTION("""COMPUTED_VALUE"""),"Sword")</f>
        <v>Sword</v>
      </c>
      <c r="E272" s="49">
        <f>IFERROR(__xludf.DUMMYFUNCTION("""COMPUTED_VALUE"""),20.0)</f>
        <v>20</v>
      </c>
      <c r="F272" s="112">
        <f>IFERROR(__xludf.DUMMYFUNCTION("""COMPUTED_VALUE"""),1000.0)</f>
        <v>1000</v>
      </c>
      <c r="G272" s="49" t="str">
        <f>IFERROR(__xludf.DUMMYFUNCTION("""COMPUTED_VALUE"""),"DMG")</f>
        <v>DMG</v>
      </c>
      <c r="H272" s="49">
        <f>IFERROR(__xludf.DUMMYFUNCTION("""COMPUTED_VALUE"""),500.0)</f>
        <v>500</v>
      </c>
      <c r="I272" s="49"/>
      <c r="J272" s="49"/>
      <c r="K272" s="49"/>
      <c r="L272" s="49"/>
      <c r="M272" s="49"/>
      <c r="N272" s="49"/>
      <c r="O272" s="49">
        <f>IFERROR(__xludf.DUMMYFUNCTION("""COMPUTED_VALUE"""),200.0)</f>
        <v>200</v>
      </c>
      <c r="P272" s="49"/>
      <c r="Q272" s="49"/>
      <c r="R272" s="49"/>
      <c r="S272" s="49"/>
      <c r="T272" s="49"/>
      <c r="U272" s="49"/>
      <c r="V272" s="49"/>
      <c r="W272" s="49"/>
      <c r="X272" s="49"/>
      <c r="Y272" s="49"/>
      <c r="Z272" s="49"/>
      <c r="AA272" s="49"/>
      <c r="AB272" s="49"/>
      <c r="AC272" s="49"/>
      <c r="AD272" s="49"/>
      <c r="AE272" s="49"/>
      <c r="AF272" s="49"/>
      <c r="AG272" s="49" t="str">
        <f>IFERROR(__xludf.DUMMYFUNCTION("""COMPUTED_VALUE"""),"Land of Spira")</f>
        <v>Land of Spira</v>
      </c>
      <c r="AH272" s="49" t="b">
        <f>IFERROR(__xludf.DUMMYFUNCTION("""COMPUTED_VALUE"""),TRUE)</f>
        <v>1</v>
      </c>
    </row>
    <row r="273">
      <c r="A273" s="49" t="str">
        <f>IFERROR(__xludf.DUMMYFUNCTION("""COMPUTED_VALUE"""),"Stone Sledgehammer")</f>
        <v>Stone Sledgehammer</v>
      </c>
      <c r="B273" s="49" t="str">
        <f>IFERROR(__xludf.DUMMYFUNCTION("""COMPUTED_VALUE"""),"Hand")</f>
        <v>Hand</v>
      </c>
      <c r="C273" s="49"/>
      <c r="D273" s="49" t="str">
        <f>IFERROR(__xludf.DUMMYFUNCTION("""COMPUTED_VALUE"""),"Club")</f>
        <v>Club</v>
      </c>
      <c r="E273" s="49">
        <f>IFERROR(__xludf.DUMMYFUNCTION("""COMPUTED_VALUE"""),20.0)</f>
        <v>20</v>
      </c>
      <c r="F273" s="112">
        <f>IFERROR(__xludf.DUMMYFUNCTION("""COMPUTED_VALUE"""),1000.0)</f>
        <v>1000</v>
      </c>
      <c r="G273" s="49" t="str">
        <f>IFERROR(__xludf.DUMMYFUNCTION("""COMPUTED_VALUE"""),"DMG")</f>
        <v>DMG</v>
      </c>
      <c r="H273" s="49">
        <f>IFERROR(__xludf.DUMMYFUNCTION("""COMPUTED_VALUE"""),400.0)</f>
        <v>400</v>
      </c>
      <c r="I273" s="49"/>
      <c r="J273" s="49"/>
      <c r="K273" s="49"/>
      <c r="L273" s="49"/>
      <c r="M273" s="49">
        <f>IFERROR(__xludf.DUMMYFUNCTION("""COMPUTED_VALUE"""),200.0)</f>
        <v>200</v>
      </c>
      <c r="N273" s="49"/>
      <c r="O273" s="49"/>
      <c r="P273" s="49"/>
      <c r="Q273" s="49"/>
      <c r="R273" s="49"/>
      <c r="S273" s="49"/>
      <c r="T273" s="49"/>
      <c r="U273" s="49"/>
      <c r="V273" s="49"/>
      <c r="W273" s="49"/>
      <c r="X273" s="49"/>
      <c r="Y273" s="49"/>
      <c r="Z273" s="49"/>
      <c r="AA273" s="49"/>
      <c r="AB273" s="49"/>
      <c r="AC273" s="49"/>
      <c r="AD273" s="49"/>
      <c r="AE273" s="49"/>
      <c r="AF273" s="49"/>
      <c r="AG273" s="49" t="str">
        <f>IFERROR(__xludf.DUMMYFUNCTION("""COMPUTED_VALUE"""),"Land of Spira")</f>
        <v>Land of Spira</v>
      </c>
      <c r="AH273" s="49" t="b">
        <f>IFERROR(__xludf.DUMMYFUNCTION("""COMPUTED_VALUE"""),TRUE)</f>
        <v>1</v>
      </c>
    </row>
    <row r="274">
      <c r="A274" s="49" t="str">
        <f>IFERROR(__xludf.DUMMYFUNCTION("""COMPUTED_VALUE"""),"Stone Small Shield")</f>
        <v>Stone Small Shield</v>
      </c>
      <c r="B274" s="49" t="str">
        <f>IFERROR(__xludf.DUMMYFUNCTION("""COMPUTED_VALUE"""),"Hand")</f>
        <v>Hand</v>
      </c>
      <c r="C274" s="49"/>
      <c r="D274" s="49" t="str">
        <f>IFERROR(__xludf.DUMMYFUNCTION("""COMPUTED_VALUE"""),"Buckler")</f>
        <v>Buckler</v>
      </c>
      <c r="E274" s="49">
        <f>IFERROR(__xludf.DUMMYFUNCTION("""COMPUTED_VALUE"""),1.0)</f>
        <v>1</v>
      </c>
      <c r="F274" s="112">
        <f>IFERROR(__xludf.DUMMYFUNCTION("""COMPUTED_VALUE"""),0.0)</f>
        <v>0</v>
      </c>
      <c r="G274" s="49" t="str">
        <f>IFERROR(__xludf.DUMMYFUNCTION("""COMPUTED_VALUE"""),"DEF")</f>
        <v>DEF</v>
      </c>
      <c r="H274" s="49">
        <f>IFERROR(__xludf.DUMMYFUNCTION("""COMPUTED_VALUE"""),100.0)</f>
        <v>100</v>
      </c>
      <c r="I274" s="49"/>
      <c r="J274" s="49"/>
      <c r="K274" s="49"/>
      <c r="L274" s="49"/>
      <c r="M274" s="49"/>
      <c r="N274" s="49"/>
      <c r="O274" s="49"/>
      <c r="P274" s="49"/>
      <c r="Q274" s="49"/>
      <c r="R274" s="49"/>
      <c r="S274" s="49"/>
      <c r="T274" s="49"/>
      <c r="U274" s="49"/>
      <c r="V274" s="49"/>
      <c r="W274" s="49"/>
      <c r="X274" s="49"/>
      <c r="Y274" s="49"/>
      <c r="Z274" s="49"/>
      <c r="AA274" s="49"/>
      <c r="AB274" s="49"/>
      <c r="AC274" s="49"/>
      <c r="AD274" s="49"/>
      <c r="AE274" s="49"/>
      <c r="AF274" s="49"/>
      <c r="AG274" s="49" t="str">
        <f>IFERROR(__xludf.DUMMYFUNCTION("""COMPUTED_VALUE"""),"Land of Spira")</f>
        <v>Land of Spira</v>
      </c>
      <c r="AH274" s="49" t="b">
        <f>IFERROR(__xludf.DUMMYFUNCTION("""COMPUTED_VALUE"""),TRUE)</f>
        <v>1</v>
      </c>
    </row>
    <row r="275">
      <c r="A275" s="49" t="str">
        <f>IFERROR(__xludf.DUMMYFUNCTION("""COMPUTED_VALUE"""),"Stonewall Shield")</f>
        <v>Stonewall Shield</v>
      </c>
      <c r="B275" s="49" t="str">
        <f>IFERROR(__xludf.DUMMYFUNCTION("""COMPUTED_VALUE"""),"Hand")</f>
        <v>Hand</v>
      </c>
      <c r="C275" s="49"/>
      <c r="D275" s="49" t="str">
        <f>IFERROR(__xludf.DUMMYFUNCTION("""COMPUTED_VALUE"""),"Towershield")</f>
        <v>Towershield</v>
      </c>
      <c r="E275" s="49">
        <f>IFERROR(__xludf.DUMMYFUNCTION("""COMPUTED_VALUE"""),10.0)</f>
        <v>10</v>
      </c>
      <c r="F275" s="112">
        <f>IFERROR(__xludf.DUMMYFUNCTION("""COMPUTED_VALUE"""),1000.0)</f>
        <v>1000</v>
      </c>
      <c r="G275" s="49" t="str">
        <f>IFERROR(__xludf.DUMMYFUNCTION("""COMPUTED_VALUE"""),"DEF")</f>
        <v>DEF</v>
      </c>
      <c r="H275" s="49">
        <f>IFERROR(__xludf.DUMMYFUNCTION("""COMPUTED_VALUE"""),500.0)</f>
        <v>500</v>
      </c>
      <c r="I275" s="49"/>
      <c r="J275" s="49"/>
      <c r="K275" s="49"/>
      <c r="L275" s="49"/>
      <c r="M275" s="49"/>
      <c r="N275" s="49"/>
      <c r="O275" s="49"/>
      <c r="P275" s="49"/>
      <c r="Q275" s="49"/>
      <c r="R275" s="49"/>
      <c r="S275" s="49"/>
      <c r="T275" s="49"/>
      <c r="U275" s="49"/>
      <c r="V275" s="49"/>
      <c r="W275" s="49"/>
      <c r="X275" s="49"/>
      <c r="Y275" s="49"/>
      <c r="Z275" s="49"/>
      <c r="AA275" s="49"/>
      <c r="AB275" s="49"/>
      <c r="AC275" s="49"/>
      <c r="AD275" s="49"/>
      <c r="AE275" s="49"/>
      <c r="AF275" s="49" t="str">
        <f>IFERROR(__xludf.DUMMYFUNCTION("""COMPUTED_VALUE"""),"++Immunity to earth")</f>
        <v>++Immunity to earth</v>
      </c>
      <c r="AG275" s="49" t="str">
        <f>IFERROR(__xludf.DUMMYFUNCTION("""COMPUTED_VALUE"""),"Land of Spira")</f>
        <v>Land of Spira</v>
      </c>
      <c r="AH275" s="49" t="b">
        <f>IFERROR(__xludf.DUMMYFUNCTION("""COMPUTED_VALUE"""),TRUE)</f>
        <v>1</v>
      </c>
    </row>
    <row r="276">
      <c r="A276" s="49" t="str">
        <f>IFERROR(__xludf.DUMMYFUNCTION("""COMPUTED_VALUE"""),"Sturdy Wooden Shield")</f>
        <v>Sturdy Wooden Shield</v>
      </c>
      <c r="B276" s="49" t="str">
        <f>IFERROR(__xludf.DUMMYFUNCTION("""COMPUTED_VALUE"""),"Hand")</f>
        <v>Hand</v>
      </c>
      <c r="C276" s="49" t="str">
        <f>IFERROR(__xludf.DUMMYFUNCTION("""COMPUTED_VALUE"""),"A wooden shield")</f>
        <v>A wooden shield</v>
      </c>
      <c r="D276" s="49" t="str">
        <f>IFERROR(__xludf.DUMMYFUNCTION("""COMPUTED_VALUE"""),"Towershield")</f>
        <v>Towershield</v>
      </c>
      <c r="E276" s="49">
        <f>IFERROR(__xludf.DUMMYFUNCTION("""COMPUTED_VALUE"""),1.0)</f>
        <v>1</v>
      </c>
      <c r="F276" s="112">
        <f>IFERROR(__xludf.DUMMYFUNCTION("""COMPUTED_VALUE"""),0.0)</f>
        <v>0</v>
      </c>
      <c r="G276" s="49" t="str">
        <f>IFERROR(__xludf.DUMMYFUNCTION("""COMPUTED_VALUE"""),"DEF")</f>
        <v>DEF</v>
      </c>
      <c r="H276" s="49">
        <f>IFERROR(__xludf.DUMMYFUNCTION("""COMPUTED_VALUE"""),50.0)</f>
        <v>50</v>
      </c>
      <c r="I276" s="49"/>
      <c r="J276" s="49"/>
      <c r="K276" s="49"/>
      <c r="L276" s="49"/>
      <c r="M276" s="49"/>
      <c r="N276" s="49"/>
      <c r="O276" s="49"/>
      <c r="P276" s="49"/>
      <c r="Q276" s="49"/>
      <c r="R276" s="49"/>
      <c r="S276" s="49"/>
      <c r="T276" s="49"/>
      <c r="U276" s="49"/>
      <c r="V276" s="49"/>
      <c r="W276" s="49"/>
      <c r="X276" s="49"/>
      <c r="Y276" s="49"/>
      <c r="Z276" s="49"/>
      <c r="AA276" s="49"/>
      <c r="AB276" s="49"/>
      <c r="AC276" s="49"/>
      <c r="AD276" s="49"/>
      <c r="AE276" s="49"/>
      <c r="AF276" s="49"/>
      <c r="AG276" s="49" t="str">
        <f>IFERROR(__xludf.DUMMYFUNCTION("""COMPUTED_VALUE"""),"Land of Spira")</f>
        <v>Land of Spira</v>
      </c>
      <c r="AH276" s="49" t="b">
        <f>IFERROR(__xludf.DUMMYFUNCTION("""COMPUTED_VALUE"""),TRUE)</f>
        <v>1</v>
      </c>
    </row>
    <row r="277">
      <c r="A277" s="49" t="str">
        <f>IFERROR(__xludf.DUMMYFUNCTION("""COMPUTED_VALUE"""),"Swampville Dagger")</f>
        <v>Swampville Dagger</v>
      </c>
      <c r="B277" s="49" t="str">
        <f>IFERROR(__xludf.DUMMYFUNCTION("""COMPUTED_VALUE"""),"Hand")</f>
        <v>Hand</v>
      </c>
      <c r="C277" s="49"/>
      <c r="D277" s="49" t="str">
        <f>IFERROR(__xludf.DUMMYFUNCTION("""COMPUTED_VALUE"""),"Knife")</f>
        <v>Knife</v>
      </c>
      <c r="E277" s="49">
        <f>IFERROR(__xludf.DUMMYFUNCTION("""COMPUTED_VALUE"""),400.0)</f>
        <v>400</v>
      </c>
      <c r="F277" s="112">
        <f>IFERROR(__xludf.DUMMYFUNCTION("""COMPUTED_VALUE"""),7800000.0)</f>
        <v>7800000</v>
      </c>
      <c r="G277" s="49" t="str">
        <f>IFERROR(__xludf.DUMMYFUNCTION("""COMPUTED_VALUE"""),"DMG")</f>
        <v>DMG</v>
      </c>
      <c r="H277" s="125">
        <f>IFERROR(__xludf.DUMMYFUNCTION("""COMPUTED_VALUE"""),10000.0)</f>
        <v>10000</v>
      </c>
      <c r="I277" s="49"/>
      <c r="J277" s="49"/>
      <c r="K277" s="49"/>
      <c r="L277" s="49"/>
      <c r="M277" s="49"/>
      <c r="N277" s="49"/>
      <c r="O277" s="49"/>
      <c r="P277" s="49"/>
      <c r="Q277" s="49"/>
      <c r="R277" s="49"/>
      <c r="S277" s="125">
        <f>IFERROR(__xludf.DUMMYFUNCTION("""COMPUTED_VALUE"""),10000.0)</f>
        <v>10000</v>
      </c>
      <c r="T277" s="49"/>
      <c r="U277" s="49"/>
      <c r="V277" s="49"/>
      <c r="W277" s="49"/>
      <c r="X277" s="49"/>
      <c r="Y277" s="49"/>
      <c r="Z277" s="49"/>
      <c r="AA277" s="49"/>
      <c r="AB277" s="49"/>
      <c r="AC277" s="49"/>
      <c r="AD277" s="49"/>
      <c r="AE277" s="49"/>
      <c r="AF277" s="49" t="str">
        <f>IFERROR(__xludf.DUMMYFUNCTION("""COMPUTED_VALUE"""),"++Poison 5000 for 3 rounds.")</f>
        <v>++Poison 5000 for 3 rounds.</v>
      </c>
      <c r="AG277" s="49" t="str">
        <f>IFERROR(__xludf.DUMMYFUNCTION("""COMPUTED_VALUE"""),"Land of Spira")</f>
        <v>Land of Spira</v>
      </c>
      <c r="AH277" s="49" t="b">
        <f>IFERROR(__xludf.DUMMYFUNCTION("""COMPUTED_VALUE"""),TRUE)</f>
        <v>1</v>
      </c>
    </row>
    <row r="278">
      <c r="A278" s="49" t="str">
        <f>IFERROR(__xludf.DUMMYFUNCTION("""COMPUTED_VALUE"""),"Sword of Bad Luck")</f>
        <v>Sword of Bad Luck</v>
      </c>
      <c r="B278" s="49" t="str">
        <f>IFERROR(__xludf.DUMMYFUNCTION("""COMPUTED_VALUE"""),"Hand")</f>
        <v>Hand</v>
      </c>
      <c r="C278" s="49"/>
      <c r="D278" s="49" t="str">
        <f>IFERROR(__xludf.DUMMYFUNCTION("""COMPUTED_VALUE"""),"Sword")</f>
        <v>Sword</v>
      </c>
      <c r="E278" s="49">
        <f>IFERROR(__xludf.DUMMYFUNCTION("""COMPUTED_VALUE"""),600.0)</f>
        <v>600</v>
      </c>
      <c r="F278" s="112">
        <f>IFERROR(__xludf.DUMMYFUNCTION("""COMPUTED_VALUE"""),1.77E7)</f>
        <v>17700000</v>
      </c>
      <c r="G278" s="49" t="str">
        <f>IFERROR(__xludf.DUMMYFUNCTION("""COMPUTED_VALUE"""),"DMG")</f>
        <v>DMG</v>
      </c>
      <c r="H278" s="125">
        <f>IFERROR(__xludf.DUMMYFUNCTION("""COMPUTED_VALUE"""),30000.0)</f>
        <v>30000</v>
      </c>
      <c r="I278" s="49"/>
      <c r="J278" s="49"/>
      <c r="K278" s="49"/>
      <c r="L278" s="49"/>
      <c r="M278" s="49"/>
      <c r="N278" s="49"/>
      <c r="O278" s="49"/>
      <c r="P278" s="49"/>
      <c r="Q278" s="49"/>
      <c r="R278" s="49"/>
      <c r="S278" s="49"/>
      <c r="T278" s="49"/>
      <c r="U278" s="49"/>
      <c r="V278" s="49"/>
      <c r="W278" s="49"/>
      <c r="X278" s="49"/>
      <c r="Y278" s="49"/>
      <c r="Z278" s="49"/>
      <c r="AA278" s="49"/>
      <c r="AB278" s="49"/>
      <c r="AC278" s="49"/>
      <c r="AD278" s="49"/>
      <c r="AE278" s="49"/>
      <c r="AF278" s="49" t="str">
        <f>IFERROR(__xludf.DUMMYFUNCTION("""COMPUTED_VALUE"""),"++GSteal - Steal X amount of gilders equal to the amount of damage caused with this weapon.")</f>
        <v>++GSteal - Steal X amount of gilders equal to the amount of damage caused with this weapon.</v>
      </c>
      <c r="AG278" s="49" t="str">
        <f>IFERROR(__xludf.DUMMYFUNCTION("""COMPUTED_VALUE"""),"Land of The Forgotten")</f>
        <v>Land of The Forgotten</v>
      </c>
      <c r="AH278" s="49" t="b">
        <f>IFERROR(__xludf.DUMMYFUNCTION("""COMPUTED_VALUE"""),FALSE)</f>
        <v>0</v>
      </c>
    </row>
    <row r="279">
      <c r="A279" s="49" t="str">
        <f>IFERROR(__xludf.DUMMYFUNCTION("""COMPUTED_VALUE"""),"Sword of Chaotic Shadows")</f>
        <v>Sword of Chaotic Shadows</v>
      </c>
      <c r="B279" s="49" t="str">
        <f>IFERROR(__xludf.DUMMYFUNCTION("""COMPUTED_VALUE"""),"Hand")</f>
        <v>Hand</v>
      </c>
      <c r="C279" s="49"/>
      <c r="D279" s="49" t="str">
        <f>IFERROR(__xludf.DUMMYFUNCTION("""COMPUTED_VALUE"""),"Sword")</f>
        <v>Sword</v>
      </c>
      <c r="E279" s="49">
        <f>IFERROR(__xludf.DUMMYFUNCTION("""COMPUTED_VALUE"""),600.0)</f>
        <v>600</v>
      </c>
      <c r="F279" s="112">
        <f>IFERROR(__xludf.DUMMYFUNCTION("""COMPUTED_VALUE"""),1.77E7)</f>
        <v>17700000</v>
      </c>
      <c r="G279" s="49" t="str">
        <f>IFERROR(__xludf.DUMMYFUNCTION("""COMPUTED_VALUE"""),"DMG")</f>
        <v>DMG</v>
      </c>
      <c r="H279" s="125">
        <f>IFERROR(__xludf.DUMMYFUNCTION("""COMPUTED_VALUE"""),10000.0)</f>
        <v>10000</v>
      </c>
      <c r="I279" s="49"/>
      <c r="J279" s="49"/>
      <c r="K279" s="49"/>
      <c r="L279" s="49"/>
      <c r="M279" s="49"/>
      <c r="N279" s="49"/>
      <c r="O279" s="125">
        <f>IFERROR(__xludf.DUMMYFUNCTION("""COMPUTED_VALUE"""),10000.0)</f>
        <v>10000</v>
      </c>
      <c r="P279" s="49"/>
      <c r="Q279" s="49"/>
      <c r="R279" s="125">
        <f>IFERROR(__xludf.DUMMYFUNCTION("""COMPUTED_VALUE"""),10000.0)</f>
        <v>10000</v>
      </c>
      <c r="S279" s="49"/>
      <c r="T279" s="49"/>
      <c r="U279" s="49"/>
      <c r="V279" s="49"/>
      <c r="W279" s="49"/>
      <c r="X279" s="49"/>
      <c r="Y279" s="49"/>
      <c r="Z279" s="49"/>
      <c r="AA279" s="49"/>
      <c r="AB279" s="49"/>
      <c r="AC279" s="49"/>
      <c r="AD279" s="49"/>
      <c r="AE279" s="49"/>
      <c r="AF279" s="49"/>
      <c r="AG279" s="49" t="str">
        <f>IFERROR(__xludf.DUMMYFUNCTION("""COMPUTED_VALUE"""),"Land of Spira")</f>
        <v>Land of Spira</v>
      </c>
      <c r="AH279" s="49" t="b">
        <f>IFERROR(__xludf.DUMMYFUNCTION("""COMPUTED_VALUE"""),TRUE)</f>
        <v>1</v>
      </c>
    </row>
    <row r="280">
      <c r="A280" s="49" t="str">
        <f>IFERROR(__xludf.DUMMYFUNCTION("""COMPUTED_VALUE"""),"Sword Of Darkness")</f>
        <v>Sword Of Darkness</v>
      </c>
      <c r="B280" s="49" t="str">
        <f>IFERROR(__xludf.DUMMYFUNCTION("""COMPUTED_VALUE"""),"Hand")</f>
        <v>Hand</v>
      </c>
      <c r="C280" s="49"/>
      <c r="D280" s="49" t="str">
        <f>IFERROR(__xludf.DUMMYFUNCTION("""COMPUTED_VALUE"""),"Sword")</f>
        <v>Sword</v>
      </c>
      <c r="E280" s="49">
        <f>IFERROR(__xludf.DUMMYFUNCTION("""COMPUTED_VALUE"""),20.0)</f>
        <v>20</v>
      </c>
      <c r="F280" s="112">
        <f>IFERROR(__xludf.DUMMYFUNCTION("""COMPUTED_VALUE"""),1000.0)</f>
        <v>1000</v>
      </c>
      <c r="G280" s="49" t="str">
        <f>IFERROR(__xludf.DUMMYFUNCTION("""COMPUTED_VALUE"""),"DMG")</f>
        <v>DMG</v>
      </c>
      <c r="H280" s="49">
        <f>IFERROR(__xludf.DUMMYFUNCTION("""COMPUTED_VALUE"""),500.0)</f>
        <v>500</v>
      </c>
      <c r="I280" s="49"/>
      <c r="J280" s="49"/>
      <c r="K280" s="49"/>
      <c r="L280" s="49"/>
      <c r="M280" s="49"/>
      <c r="N280" s="49"/>
      <c r="O280" s="49">
        <f>IFERROR(__xludf.DUMMYFUNCTION("""COMPUTED_VALUE"""),200.0)</f>
        <v>200</v>
      </c>
      <c r="P280" s="49"/>
      <c r="Q280" s="49"/>
      <c r="R280" s="49"/>
      <c r="S280" s="49"/>
      <c r="T280" s="49"/>
      <c r="U280" s="49"/>
      <c r="V280" s="49"/>
      <c r="W280" s="49"/>
      <c r="X280" s="49"/>
      <c r="Y280" s="49"/>
      <c r="Z280" s="49"/>
      <c r="AA280" s="49"/>
      <c r="AB280" s="49"/>
      <c r="AC280" s="49"/>
      <c r="AD280" s="49"/>
      <c r="AE280" s="49"/>
      <c r="AF280" s="49"/>
      <c r="AG280" s="49" t="str">
        <f>IFERROR(__xludf.DUMMYFUNCTION("""COMPUTED_VALUE"""),"Land of Spira")</f>
        <v>Land of Spira</v>
      </c>
      <c r="AH280" s="49" t="b">
        <f>IFERROR(__xludf.DUMMYFUNCTION("""COMPUTED_VALUE"""),TRUE)</f>
        <v>1</v>
      </c>
    </row>
    <row r="281">
      <c r="A281" s="49" t="str">
        <f>IFERROR(__xludf.DUMMYFUNCTION("""COMPUTED_VALUE"""),"Sword of Disorder")</f>
        <v>Sword of Disorder</v>
      </c>
      <c r="B281" s="49" t="str">
        <f>IFERROR(__xludf.DUMMYFUNCTION("""COMPUTED_VALUE"""),"Hand")</f>
        <v>Hand</v>
      </c>
      <c r="C281" s="49"/>
      <c r="D281" s="49" t="str">
        <f>IFERROR(__xludf.DUMMYFUNCTION("""COMPUTED_VALUE"""),"Sword")</f>
        <v>Sword</v>
      </c>
      <c r="E281" s="49">
        <f>IFERROR(__xludf.DUMMYFUNCTION("""COMPUTED_VALUE"""),1.0)</f>
        <v>1</v>
      </c>
      <c r="F281" s="112">
        <f>IFERROR(__xludf.DUMMYFUNCTION("""COMPUTED_VALUE"""),0.0)</f>
        <v>0</v>
      </c>
      <c r="G281" s="49"/>
      <c r="H281" s="49"/>
      <c r="I281" s="49"/>
      <c r="J281" s="49"/>
      <c r="K281" s="49"/>
      <c r="L281" s="49"/>
      <c r="M281" s="49"/>
      <c r="N281" s="49"/>
      <c r="O281" s="49"/>
      <c r="P281" s="49"/>
      <c r="Q281" s="49"/>
      <c r="R281" s="49"/>
      <c r="S281" s="49"/>
      <c r="T281" s="49"/>
      <c r="U281" s="49"/>
      <c r="V281" s="49"/>
      <c r="W281" s="49"/>
      <c r="X281" s="49"/>
      <c r="Y281" s="49"/>
      <c r="Z281" s="49"/>
      <c r="AA281" s="49"/>
      <c r="AB281" s="49"/>
      <c r="AC281" s="49"/>
      <c r="AD281" s="49"/>
      <c r="AE281" s="49"/>
      <c r="AF281" s="49"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49" t="str">
        <f>IFERROR(__xludf.DUMMYFUNCTION("""COMPUTED_VALUE"""),"Land of Spira")</f>
        <v>Land of Spira</v>
      </c>
      <c r="AH281" s="49" t="b">
        <f>IFERROR(__xludf.DUMMYFUNCTION("""COMPUTED_VALUE"""),FALSE)</f>
        <v>0</v>
      </c>
    </row>
    <row r="282">
      <c r="A282" s="49" t="str">
        <f>IFERROR(__xludf.DUMMYFUNCTION("""COMPUTED_VALUE"""),"Sword Of Divine Flames")</f>
        <v>Sword Of Divine Flames</v>
      </c>
      <c r="B282" s="49" t="str">
        <f>IFERROR(__xludf.DUMMYFUNCTION("""COMPUTED_VALUE"""),"Hand")</f>
        <v>Hand</v>
      </c>
      <c r="C282" s="49"/>
      <c r="D282" s="49" t="str">
        <f>IFERROR(__xludf.DUMMYFUNCTION("""COMPUTED_VALUE"""),"Sword")</f>
        <v>Sword</v>
      </c>
      <c r="E282" s="49">
        <f>IFERROR(__xludf.DUMMYFUNCTION("""COMPUTED_VALUE"""),300.0)</f>
        <v>300</v>
      </c>
      <c r="F282" s="112">
        <f>IFERROR(__xludf.DUMMYFUNCTION("""COMPUTED_VALUE"""),4350000.0)</f>
        <v>4350000</v>
      </c>
      <c r="G282" s="49" t="str">
        <f>IFERROR(__xludf.DUMMYFUNCTION("""COMPUTED_VALUE"""),"DMG")</f>
        <v>DMG</v>
      </c>
      <c r="H282" s="49">
        <f>IFERROR(__xludf.DUMMYFUNCTION("""COMPUTED_VALUE"""),10000.0)</f>
        <v>10000</v>
      </c>
      <c r="I282" s="49">
        <f>IFERROR(__xludf.DUMMYFUNCTION("""COMPUTED_VALUE"""),5000.0)</f>
        <v>5000</v>
      </c>
      <c r="J282" s="49"/>
      <c r="K282" s="49"/>
      <c r="L282" s="49"/>
      <c r="M282" s="49"/>
      <c r="N282" s="49"/>
      <c r="O282" s="49"/>
      <c r="P282" s="49"/>
      <c r="Q282" s="49"/>
      <c r="R282" s="49"/>
      <c r="S282" s="49"/>
      <c r="T282" s="49"/>
      <c r="U282" s="49"/>
      <c r="V282" s="49"/>
      <c r="W282" s="49"/>
      <c r="X282" s="49"/>
      <c r="Y282" s="49"/>
      <c r="Z282" s="49"/>
      <c r="AA282" s="49"/>
      <c r="AB282" s="49"/>
      <c r="AC282" s="49"/>
      <c r="AD282" s="49"/>
      <c r="AE282" s="49"/>
      <c r="AF282" s="49" t="str">
        <f>IFERROR(__xludf.DUMMYFUNCTION("""COMPUTED_VALUE"""),"++Divine Flame - Fire spells and weapons will deal an additional X2 damage while this weapon is equipped")</f>
        <v>++Divine Flame - Fire spells and weapons will deal an additional X2 damage while this weapon is equipped</v>
      </c>
      <c r="AG282" s="49" t="str">
        <f>IFERROR(__xludf.DUMMYFUNCTION("""COMPUTED_VALUE"""),"Land of Spira")</f>
        <v>Land of Spira</v>
      </c>
      <c r="AH282" s="49" t="b">
        <f>IFERROR(__xludf.DUMMYFUNCTION("""COMPUTED_VALUE"""),FALSE)</f>
        <v>0</v>
      </c>
    </row>
    <row r="283">
      <c r="A283" s="49" t="str">
        <f>IFERROR(__xludf.DUMMYFUNCTION("""COMPUTED_VALUE"""),"Sword of Eternal darkness")</f>
        <v>Sword of Eternal darkness</v>
      </c>
      <c r="B283" s="49" t="str">
        <f>IFERROR(__xludf.DUMMYFUNCTION("""COMPUTED_VALUE"""),"Hand")</f>
        <v>Hand</v>
      </c>
      <c r="C283" s="49"/>
      <c r="D283" s="49" t="str">
        <f>IFERROR(__xludf.DUMMYFUNCTION("""COMPUTED_VALUE"""),"Sword")</f>
        <v>Sword</v>
      </c>
      <c r="E283" s="49">
        <f>IFERROR(__xludf.DUMMYFUNCTION("""COMPUTED_VALUE"""),30.0)</f>
        <v>30</v>
      </c>
      <c r="F283" s="112">
        <f>IFERROR(__xludf.DUMMYFUNCTION("""COMPUTED_VALUE"""),10000.0)</f>
        <v>10000</v>
      </c>
      <c r="G283" s="49" t="str">
        <f>IFERROR(__xludf.DUMMYFUNCTION("""COMPUTED_VALUE"""),"DMG")</f>
        <v>DMG</v>
      </c>
      <c r="H283" s="49">
        <f>IFERROR(__xludf.DUMMYFUNCTION("""COMPUTED_VALUE"""),500.0)</f>
        <v>500</v>
      </c>
      <c r="I283" s="49"/>
      <c r="J283" s="49"/>
      <c r="K283" s="49"/>
      <c r="L283" s="49"/>
      <c r="M283" s="49"/>
      <c r="N283" s="49"/>
      <c r="O283" s="49">
        <f>IFERROR(__xludf.DUMMYFUNCTION("""COMPUTED_VALUE"""),600.0)</f>
        <v>600</v>
      </c>
      <c r="P283" s="49"/>
      <c r="Q283" s="49"/>
      <c r="R283" s="49"/>
      <c r="S283" s="49"/>
      <c r="T283" s="49"/>
      <c r="U283" s="49"/>
      <c r="V283" s="49"/>
      <c r="W283" s="49"/>
      <c r="X283" s="49"/>
      <c r="Y283" s="49"/>
      <c r="Z283" s="49"/>
      <c r="AA283" s="49"/>
      <c r="AB283" s="49"/>
      <c r="AC283" s="49"/>
      <c r="AD283" s="49"/>
      <c r="AE283" s="49"/>
      <c r="AF283" s="49"/>
      <c r="AG283" s="49" t="str">
        <f>IFERROR(__xludf.DUMMYFUNCTION("""COMPUTED_VALUE"""),"Land of Spira")</f>
        <v>Land of Spira</v>
      </c>
      <c r="AH283" s="49" t="b">
        <f>IFERROR(__xludf.DUMMYFUNCTION("""COMPUTED_VALUE"""),TRUE)</f>
        <v>1</v>
      </c>
    </row>
    <row r="284">
      <c r="A284" s="49" t="str">
        <f>IFERROR(__xludf.DUMMYFUNCTION("""COMPUTED_VALUE"""),"Hela's Death Scythe")</f>
        <v>Hela's Death Scythe</v>
      </c>
      <c r="B284" s="49" t="str">
        <f>IFERROR(__xludf.DUMMYFUNCTION("""COMPUTED_VALUE"""),"Hand")</f>
        <v>Hand</v>
      </c>
      <c r="C284" s="49"/>
      <c r="D284" s="49" t="str">
        <f>IFERROR(__xludf.DUMMYFUNCTION("""COMPUTED_VALUE"""),"Scythe")</f>
        <v>Scythe</v>
      </c>
      <c r="E284" s="49">
        <f>IFERROR(__xludf.DUMMYFUNCTION("""COMPUTED_VALUE"""),1.0)</f>
        <v>1</v>
      </c>
      <c r="F284" s="112">
        <f>IFERROR(__xludf.DUMMYFUNCTION("""COMPUTED_VALUE"""),0.0)</f>
        <v>0</v>
      </c>
      <c r="G284" s="49" t="str">
        <f>IFERROR(__xludf.DUMMYFUNCTION("""COMPUTED_VALUE"""),"DMG")</f>
        <v>DMG</v>
      </c>
      <c r="H284" s="125">
        <f>IFERROR(__xludf.DUMMYFUNCTION("""COMPUTED_VALUE"""),0.0)</f>
        <v>0</v>
      </c>
      <c r="I284" s="49"/>
      <c r="J284" s="49"/>
      <c r="K284" s="49"/>
      <c r="L284" s="49"/>
      <c r="M284" s="49"/>
      <c r="N284" s="49"/>
      <c r="O284" s="49"/>
      <c r="P284" s="125">
        <f>IFERROR(__xludf.DUMMYFUNCTION("""COMPUTED_VALUE"""),0.0)</f>
        <v>0</v>
      </c>
      <c r="Q284" s="49"/>
      <c r="R284" s="49"/>
      <c r="S284" s="49"/>
      <c r="T284" s="49"/>
      <c r="U284" s="49"/>
      <c r="V284" s="49"/>
      <c r="W284" s="49"/>
      <c r="X284" s="49"/>
      <c r="Y284" s="49"/>
      <c r="Z284" s="49"/>
      <c r="AA284" s="49"/>
      <c r="AB284" s="49"/>
      <c r="AC284" s="49"/>
      <c r="AD284" s="49"/>
      <c r="AE284" s="49"/>
      <c r="AF284" s="49"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49" t="str">
        <f>IFERROR(__xludf.DUMMYFUNCTION("""COMPUTED_VALUE"""),"Abstara")</f>
        <v>Abstara</v>
      </c>
      <c r="AH284" s="49" t="b">
        <f>IFERROR(__xludf.DUMMYFUNCTION("""COMPUTED_VALUE"""),TRUE)</f>
        <v>1</v>
      </c>
    </row>
    <row r="285">
      <c r="A285" s="49" t="str">
        <f>IFERROR(__xludf.DUMMYFUNCTION("""COMPUTED_VALUE"""),"Sword of Nature’s Love")</f>
        <v>Sword of Nature’s Love</v>
      </c>
      <c r="B285" s="49" t="str">
        <f>IFERROR(__xludf.DUMMYFUNCTION("""COMPUTED_VALUE"""),"Hand")</f>
        <v>Hand</v>
      </c>
      <c r="C285" s="49"/>
      <c r="D285" s="49" t="str">
        <f>IFERROR(__xludf.DUMMYFUNCTION("""COMPUTED_VALUE"""),"Sword")</f>
        <v>Sword</v>
      </c>
      <c r="E285" s="49">
        <f>IFERROR(__xludf.DUMMYFUNCTION("""COMPUTED_VALUE"""),160.0)</f>
        <v>160</v>
      </c>
      <c r="F285" s="112">
        <f>IFERROR(__xludf.DUMMYFUNCTION("""COMPUTED_VALUE"""),1200000.0)</f>
        <v>1200000</v>
      </c>
      <c r="G285" s="49" t="str">
        <f>IFERROR(__xludf.DUMMYFUNCTION("""COMPUTED_VALUE"""),"DMG")</f>
        <v>DMG</v>
      </c>
      <c r="H285" s="125">
        <f>IFERROR(__xludf.DUMMYFUNCTION("""COMPUTED_VALUE"""),4000.0)</f>
        <v>4000</v>
      </c>
      <c r="I285" s="49"/>
      <c r="J285" s="49"/>
      <c r="K285" s="49"/>
      <c r="L285" s="49"/>
      <c r="M285" s="49"/>
      <c r="N285" s="49"/>
      <c r="O285" s="49"/>
      <c r="P285" s="49"/>
      <c r="Q285" s="49"/>
      <c r="R285" s="49"/>
      <c r="S285" s="125">
        <f>IFERROR(__xludf.DUMMYFUNCTION("""COMPUTED_VALUE"""),4000.0)</f>
        <v>4000</v>
      </c>
      <c r="T285" s="49"/>
      <c r="U285" s="49"/>
      <c r="V285" s="49"/>
      <c r="W285" s="49"/>
      <c r="X285" s="49"/>
      <c r="Y285" s="49"/>
      <c r="Z285" s="49"/>
      <c r="AA285" s="49"/>
      <c r="AB285" s="49"/>
      <c r="AC285" s="49"/>
      <c r="AD285" s="49"/>
      <c r="AE285" s="49"/>
      <c r="AF285" s="49" t="str">
        <f>IFERROR(__xludf.DUMMYFUNCTION("""COMPUTED_VALUE"""),"++Nature's Power - any damage dealt by this weapon gives HP back to the user equal to the damage dealt.")</f>
        <v>++Nature's Power - any damage dealt by this weapon gives HP back to the user equal to the damage dealt.</v>
      </c>
      <c r="AG285" s="49" t="str">
        <f>IFERROR(__xludf.DUMMYFUNCTION("""COMPUTED_VALUE"""),"Land of Spira")</f>
        <v>Land of Spira</v>
      </c>
      <c r="AH285" s="49" t="b">
        <f>IFERROR(__xludf.DUMMYFUNCTION("""COMPUTED_VALUE"""),FALSE)</f>
        <v>0</v>
      </c>
    </row>
    <row r="286">
      <c r="A286" s="49" t="str">
        <f>IFERROR(__xludf.DUMMYFUNCTION("""COMPUTED_VALUE"""),"Sword of Shadows")</f>
        <v>Sword of Shadows</v>
      </c>
      <c r="B286" s="49" t="str">
        <f>IFERROR(__xludf.DUMMYFUNCTION("""COMPUTED_VALUE"""),"Hand")</f>
        <v>Hand</v>
      </c>
      <c r="C286" s="49"/>
      <c r="D286" s="49" t="str">
        <f>IFERROR(__xludf.DUMMYFUNCTION("""COMPUTED_VALUE"""),"Sword")</f>
        <v>Sword</v>
      </c>
      <c r="E286" s="49">
        <f>IFERROR(__xludf.DUMMYFUNCTION("""COMPUTED_VALUE"""),30.0)</f>
        <v>30</v>
      </c>
      <c r="F286" s="112">
        <f>IFERROR(__xludf.DUMMYFUNCTION("""COMPUTED_VALUE"""),30000.0)</f>
        <v>30000</v>
      </c>
      <c r="G286" s="49" t="str">
        <f>IFERROR(__xludf.DUMMYFUNCTION("""COMPUTED_VALUE"""),"DMG")</f>
        <v>DMG</v>
      </c>
      <c r="H286" s="49">
        <f>IFERROR(__xludf.DUMMYFUNCTION("""COMPUTED_VALUE"""),1000.0)</f>
        <v>1000</v>
      </c>
      <c r="I286" s="49"/>
      <c r="J286" s="49"/>
      <c r="K286" s="49"/>
      <c r="L286" s="49"/>
      <c r="M286" s="49"/>
      <c r="N286" s="49"/>
      <c r="O286" s="49">
        <f>IFERROR(__xludf.DUMMYFUNCTION("""COMPUTED_VALUE"""),500.0)</f>
        <v>500</v>
      </c>
      <c r="P286" s="49"/>
      <c r="Q286" s="49"/>
      <c r="R286" s="49"/>
      <c r="S286" s="49"/>
      <c r="T286" s="49"/>
      <c r="U286" s="49"/>
      <c r="V286" s="49"/>
      <c r="W286" s="49"/>
      <c r="X286" s="49"/>
      <c r="Y286" s="49"/>
      <c r="Z286" s="49"/>
      <c r="AA286" s="49"/>
      <c r="AB286" s="49"/>
      <c r="AC286" s="49"/>
      <c r="AD286" s="49"/>
      <c r="AE286" s="49"/>
      <c r="AF286" s="49"/>
      <c r="AG286" s="49" t="str">
        <f>IFERROR(__xludf.DUMMYFUNCTION("""COMPUTED_VALUE"""),"Land of Spira")</f>
        <v>Land of Spira</v>
      </c>
      <c r="AH286" s="49" t="b">
        <f>IFERROR(__xludf.DUMMYFUNCTION("""COMPUTED_VALUE"""),TRUE)</f>
        <v>1</v>
      </c>
    </row>
    <row r="287">
      <c r="A287" s="49" t="str">
        <f>IFERROR(__xludf.DUMMYFUNCTION("""COMPUTED_VALUE"""),"Sword of Steel")</f>
        <v>Sword of Steel</v>
      </c>
      <c r="B287" s="49" t="str">
        <f>IFERROR(__xludf.DUMMYFUNCTION("""COMPUTED_VALUE"""),"Hand")</f>
        <v>Hand</v>
      </c>
      <c r="C287" s="49"/>
      <c r="D287" s="49" t="str">
        <f>IFERROR(__xludf.DUMMYFUNCTION("""COMPUTED_VALUE"""),"Sword")</f>
        <v>Sword</v>
      </c>
      <c r="E287" s="49">
        <f>IFERROR(__xludf.DUMMYFUNCTION("""COMPUTED_VALUE"""),1.0)</f>
        <v>1</v>
      </c>
      <c r="F287" s="112">
        <f>IFERROR(__xludf.DUMMYFUNCTION("""COMPUTED_VALUE"""),0.0)</f>
        <v>0</v>
      </c>
      <c r="G287" s="49" t="str">
        <f>IFERROR(__xludf.DUMMYFUNCTION("""COMPUTED_VALUE"""),"DMG")</f>
        <v>DMG</v>
      </c>
      <c r="H287" s="49">
        <f>IFERROR(__xludf.DUMMYFUNCTION("""COMPUTED_VALUE"""),300.0)</f>
        <v>300</v>
      </c>
      <c r="I287" s="49"/>
      <c r="J287" s="49"/>
      <c r="K287" s="49"/>
      <c r="L287" s="49"/>
      <c r="M287" s="49"/>
      <c r="N287" s="49"/>
      <c r="O287" s="49"/>
      <c r="P287" s="49"/>
      <c r="Q287" s="49"/>
      <c r="R287" s="49"/>
      <c r="S287" s="49"/>
      <c r="T287" s="49"/>
      <c r="U287" s="49"/>
      <c r="V287" s="49"/>
      <c r="W287" s="49"/>
      <c r="X287" s="49"/>
      <c r="Y287" s="49"/>
      <c r="Z287" s="49"/>
      <c r="AA287" s="49"/>
      <c r="AB287" s="49"/>
      <c r="AC287" s="49"/>
      <c r="AD287" s="49"/>
      <c r="AE287" s="49"/>
      <c r="AF287" s="49"/>
      <c r="AG287" s="49" t="str">
        <f>IFERROR(__xludf.DUMMYFUNCTION("""COMPUTED_VALUE"""),"Land of Spira")</f>
        <v>Land of Spira</v>
      </c>
      <c r="AH287" s="49" t="b">
        <f>IFERROR(__xludf.DUMMYFUNCTION("""COMPUTED_VALUE"""),TRUE)</f>
        <v>1</v>
      </c>
    </row>
    <row r="288">
      <c r="A288" s="49" t="str">
        <f>IFERROR(__xludf.DUMMYFUNCTION("""COMPUTED_VALUE"""),"Sword of The Abyss")</f>
        <v>Sword of The Abyss</v>
      </c>
      <c r="B288" s="49" t="str">
        <f>IFERROR(__xludf.DUMMYFUNCTION("""COMPUTED_VALUE"""),"Hand")</f>
        <v>Hand</v>
      </c>
      <c r="C288" s="49"/>
      <c r="D288" s="49" t="str">
        <f>IFERROR(__xludf.DUMMYFUNCTION("""COMPUTED_VALUE"""),"Sword")</f>
        <v>Sword</v>
      </c>
      <c r="E288" s="49">
        <f>IFERROR(__xludf.DUMMYFUNCTION("""COMPUTED_VALUE"""),260.0)</f>
        <v>260</v>
      </c>
      <c r="F288" s="112">
        <f>IFERROR(__xludf.DUMMYFUNCTION("""COMPUTED_VALUE"""),3250000.0)</f>
        <v>3250000</v>
      </c>
      <c r="G288" s="49" t="str">
        <f>IFERROR(__xludf.DUMMYFUNCTION("""COMPUTED_VALUE"""),"DMG")</f>
        <v>DMG</v>
      </c>
      <c r="H288" s="49">
        <f>IFERROR(__xludf.DUMMYFUNCTION("""COMPUTED_VALUE"""),8000.0)</f>
        <v>8000</v>
      </c>
      <c r="I288" s="49"/>
      <c r="J288" s="49"/>
      <c r="K288" s="49"/>
      <c r="L288" s="49"/>
      <c r="M288" s="49"/>
      <c r="N288" s="49"/>
      <c r="O288" s="49">
        <f>IFERROR(__xludf.DUMMYFUNCTION("""COMPUTED_VALUE"""),5000.0)</f>
        <v>5000</v>
      </c>
      <c r="P288" s="49"/>
      <c r="Q288" s="49"/>
      <c r="R288" s="49"/>
      <c r="S288" s="49"/>
      <c r="T288" s="49"/>
      <c r="U288" s="49"/>
      <c r="V288" s="49"/>
      <c r="W288" s="49"/>
      <c r="X288" s="49"/>
      <c r="Y288" s="49"/>
      <c r="Z288" s="49"/>
      <c r="AA288" s="49"/>
      <c r="AB288" s="49"/>
      <c r="AC288" s="49"/>
      <c r="AD288" s="49"/>
      <c r="AE288" s="49"/>
      <c r="AF288" s="49" t="str">
        <f>IFERROR(__xludf.DUMMYFUNCTION("""COMPUTED_VALUE"""),"++Abyss Embodiment - dark damage is increased by X2 for the user.")</f>
        <v>++Abyss Embodiment - dark damage is increased by X2 for the user.</v>
      </c>
      <c r="AG288" s="49" t="str">
        <f>IFERROR(__xludf.DUMMYFUNCTION("""COMPUTED_VALUE"""),"Land of Spira")</f>
        <v>Land of Spira</v>
      </c>
      <c r="AH288" s="49" t="b">
        <f>IFERROR(__xludf.DUMMYFUNCTION("""COMPUTED_VALUE"""),FALSE)</f>
        <v>0</v>
      </c>
    </row>
    <row r="289">
      <c r="A289" s="49" t="str">
        <f>IFERROR(__xludf.DUMMYFUNCTION("""COMPUTED_VALUE"""),"Sword of The Ancient Fire Serpent")</f>
        <v>Sword of The Ancient Fire Serpent</v>
      </c>
      <c r="B289" s="49" t="str">
        <f>IFERROR(__xludf.DUMMYFUNCTION("""COMPUTED_VALUE"""),"Hand")</f>
        <v>Hand</v>
      </c>
      <c r="C289" s="49"/>
      <c r="D289" s="49" t="str">
        <f>IFERROR(__xludf.DUMMYFUNCTION("""COMPUTED_VALUE"""),"Sword")</f>
        <v>Sword</v>
      </c>
      <c r="E289" s="49">
        <f>IFERROR(__xludf.DUMMYFUNCTION("""COMPUTED_VALUE"""),2000.0)</f>
        <v>2000</v>
      </c>
      <c r="F289" s="112">
        <f>IFERROR(__xludf.DUMMYFUNCTION("""COMPUTED_VALUE"""),1.99E8)</f>
        <v>199000000</v>
      </c>
      <c r="G289" s="49" t="str">
        <f>IFERROR(__xludf.DUMMYFUNCTION("""COMPUTED_VALUE"""),"DMG")</f>
        <v>DMG</v>
      </c>
      <c r="H289" s="125">
        <f>IFERROR(__xludf.DUMMYFUNCTION("""COMPUTED_VALUE"""),50000.0)</f>
        <v>50000</v>
      </c>
      <c r="I289" s="125">
        <f>IFERROR(__xludf.DUMMYFUNCTION("""COMPUTED_VALUE"""),50000.0)</f>
        <v>50000</v>
      </c>
      <c r="J289" s="49"/>
      <c r="K289" s="49"/>
      <c r="L289" s="49"/>
      <c r="M289" s="49"/>
      <c r="N289" s="49"/>
      <c r="O289" s="49"/>
      <c r="P289" s="49"/>
      <c r="Q289" s="49"/>
      <c r="R289" s="49"/>
      <c r="S289" s="49"/>
      <c r="T289" s="49"/>
      <c r="U289" s="49"/>
      <c r="V289" s="49"/>
      <c r="W289" s="49"/>
      <c r="X289" s="49"/>
      <c r="Y289" s="49"/>
      <c r="Z289" s="49"/>
      <c r="AA289" s="49"/>
      <c r="AB289" s="49"/>
      <c r="AC289" s="49"/>
      <c r="AD289" s="49"/>
      <c r="AE289" s="49"/>
      <c r="AF289" s="49" t="str">
        <f>IFERROR(__xludf.DUMMYFUNCTION("""COMPUTED_VALUE"""),"++ Burn 50,000. ++Serpents Luck - +5 can be added to the users d20 rolls. +-Cannot be duplicated.")</f>
        <v>++ Burn 50,000. ++Serpents Luck - +5 can be added to the users d20 rolls. +-Cannot be duplicated.</v>
      </c>
      <c r="AG289" s="49" t="str">
        <f>IFERROR(__xludf.DUMMYFUNCTION("""COMPUTED_VALUE"""),"Land of Spira")</f>
        <v>Land of Spira</v>
      </c>
      <c r="AH289" s="49" t="b">
        <f>IFERROR(__xludf.DUMMYFUNCTION("""COMPUTED_VALUE"""),TRUE)</f>
        <v>1</v>
      </c>
    </row>
    <row r="290">
      <c r="A290" s="49" t="str">
        <f>IFERROR(__xludf.DUMMYFUNCTION("""COMPUTED_VALUE"""),"Sword of The Burning Forest")</f>
        <v>Sword of The Burning Forest</v>
      </c>
      <c r="B290" s="49" t="str">
        <f>IFERROR(__xludf.DUMMYFUNCTION("""COMPUTED_VALUE"""),"Hand")</f>
        <v>Hand</v>
      </c>
      <c r="C290" s="49" t="str">
        <f>IFERROR(__xludf.DUMMYFUNCTION("""COMPUTED_VALUE"""),"A sword forged by mekana to obliterate natural environments.")</f>
        <v>A sword forged by mekana to obliterate natural environments.</v>
      </c>
      <c r="D290" s="49" t="str">
        <f>IFERROR(__xludf.DUMMYFUNCTION("""COMPUTED_VALUE"""),"Sword")</f>
        <v>Sword</v>
      </c>
      <c r="E290" s="49">
        <f>IFERROR(__xludf.DUMMYFUNCTION("""COMPUTED_VALUE"""),600.0)</f>
        <v>600</v>
      </c>
      <c r="F290" s="112">
        <f>IFERROR(__xludf.DUMMYFUNCTION("""COMPUTED_VALUE"""),1.77E7)</f>
        <v>17700000</v>
      </c>
      <c r="G290" s="49" t="str">
        <f>IFERROR(__xludf.DUMMYFUNCTION("""COMPUTED_VALUE"""),"DMG")</f>
        <v>DMG</v>
      </c>
      <c r="H290" s="125">
        <f>IFERROR(__xludf.DUMMYFUNCTION("""COMPUTED_VALUE"""),20000.0)</f>
        <v>20000</v>
      </c>
      <c r="I290" s="125">
        <f>IFERROR(__xludf.DUMMYFUNCTION("""COMPUTED_VALUE"""),10000.0)</f>
        <v>10000</v>
      </c>
      <c r="J290" s="49"/>
      <c r="K290" s="49"/>
      <c r="L290" s="49"/>
      <c r="M290" s="49"/>
      <c r="N290" s="49"/>
      <c r="O290" s="49"/>
      <c r="P290" s="49"/>
      <c r="Q290" s="49"/>
      <c r="R290" s="49"/>
      <c r="S290" s="49"/>
      <c r="T290" s="49"/>
      <c r="U290" s="49"/>
      <c r="V290" s="49"/>
      <c r="W290" s="49"/>
      <c r="X290" s="49"/>
      <c r="Y290" s="49"/>
      <c r="Z290" s="49"/>
      <c r="AA290" s="49"/>
      <c r="AB290" s="49"/>
      <c r="AC290" s="49"/>
      <c r="AD290" s="49"/>
      <c r="AE290" s="49"/>
      <c r="AF290" s="49" t="str">
        <f>IFERROR(__xludf.DUMMYFUNCTION("""COMPUTED_VALUE"""),"++Forest Fire- Burn 10,000, x4 fire damage while in a natural environment.")</f>
        <v>++Forest Fire- Burn 10,000, x4 fire damage while in a natural environment.</v>
      </c>
      <c r="AG290" s="49" t="str">
        <f>IFERROR(__xludf.DUMMYFUNCTION("""COMPUTED_VALUE"""),"Land of Spira")</f>
        <v>Land of Spira</v>
      </c>
      <c r="AH290" s="49" t="b">
        <f>IFERROR(__xludf.DUMMYFUNCTION("""COMPUTED_VALUE"""),FALSE)</f>
        <v>0</v>
      </c>
    </row>
    <row r="291">
      <c r="A291" s="49" t="str">
        <f>IFERROR(__xludf.DUMMYFUNCTION("""COMPUTED_VALUE"""),"Sword of The Crystal Chosen")</f>
        <v>Sword of The Crystal Chosen</v>
      </c>
      <c r="B291" s="49" t="str">
        <f>IFERROR(__xludf.DUMMYFUNCTION("""COMPUTED_VALUE"""),"Hand")</f>
        <v>Hand</v>
      </c>
      <c r="C291" s="49"/>
      <c r="D291" s="49" t="str">
        <f>IFERROR(__xludf.DUMMYFUNCTION("""COMPUTED_VALUE"""),"Sword")</f>
        <v>Sword</v>
      </c>
      <c r="E291" s="49">
        <f>IFERROR(__xludf.DUMMYFUNCTION("""COMPUTED_VALUE"""),400.0)</f>
        <v>400</v>
      </c>
      <c r="F291" s="112">
        <f>IFERROR(__xludf.DUMMYFUNCTION("""COMPUTED_VALUE"""),7800000.0)</f>
        <v>7800000</v>
      </c>
      <c r="G291" s="49" t="str">
        <f>IFERROR(__xludf.DUMMYFUNCTION("""COMPUTED_VALUE"""),"DMG")</f>
        <v>DMG</v>
      </c>
      <c r="H291" s="125">
        <f>IFERROR(__xludf.DUMMYFUNCTION("""COMPUTED_VALUE"""),10000.0)</f>
        <v>10000</v>
      </c>
      <c r="I291" s="49"/>
      <c r="J291" s="49"/>
      <c r="K291" s="49"/>
      <c r="L291" s="49"/>
      <c r="M291" s="125">
        <f>IFERROR(__xludf.DUMMYFUNCTION("""COMPUTED_VALUE"""),10000.0)</f>
        <v>10000</v>
      </c>
      <c r="N291" s="49"/>
      <c r="O291" s="49"/>
      <c r="P291" s="49"/>
      <c r="Q291" s="49"/>
      <c r="R291" s="49"/>
      <c r="S291" s="49"/>
      <c r="T291" s="49"/>
      <c r="U291" s="49"/>
      <c r="V291" s="49"/>
      <c r="W291" s="49"/>
      <c r="X291" s="49"/>
      <c r="Y291" s="49"/>
      <c r="Z291" s="49"/>
      <c r="AA291" s="49"/>
      <c r="AB291" s="49"/>
      <c r="AC291" s="49"/>
      <c r="AD291" s="49"/>
      <c r="AE291" s="49"/>
      <c r="AF291" s="49"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49" t="str">
        <f>IFERROR(__xludf.DUMMYFUNCTION("""COMPUTED_VALUE"""),"Land of Spira")</f>
        <v>Land of Spira</v>
      </c>
      <c r="AH291" s="49" t="b">
        <f>IFERROR(__xludf.DUMMYFUNCTION("""COMPUTED_VALUE"""),FALSE)</f>
        <v>0</v>
      </c>
    </row>
    <row r="292">
      <c r="A292" s="49" t="str">
        <f>IFERROR(__xludf.DUMMYFUNCTION("""COMPUTED_VALUE"""),"Sword Of The Cursed Naga")</f>
        <v>Sword Of The Cursed Naga</v>
      </c>
      <c r="B292" s="49" t="str">
        <f>IFERROR(__xludf.DUMMYFUNCTION("""COMPUTED_VALUE"""),"Hand")</f>
        <v>Hand</v>
      </c>
      <c r="C292" s="49"/>
      <c r="D292" s="49" t="str">
        <f>IFERROR(__xludf.DUMMYFUNCTION("""COMPUTED_VALUE"""),"Sword")</f>
        <v>Sword</v>
      </c>
      <c r="E292" s="49">
        <f>IFERROR(__xludf.DUMMYFUNCTION("""COMPUTED_VALUE"""),200.0)</f>
        <v>200</v>
      </c>
      <c r="F292" s="112">
        <f>IFERROR(__xludf.DUMMYFUNCTION("""COMPUTED_VALUE"""),2.868E8)</f>
        <v>286800000</v>
      </c>
      <c r="G292" s="49" t="str">
        <f>IFERROR(__xludf.DUMMYFUNCTION("""COMPUTED_VALUE"""),"DMG")</f>
        <v>DMG</v>
      </c>
      <c r="H292" s="49">
        <f>IFERROR(__xludf.DUMMYFUNCTION("""COMPUTED_VALUE"""),10000.0)</f>
        <v>10000</v>
      </c>
      <c r="I292" s="49"/>
      <c r="J292" s="49"/>
      <c r="K292" s="49"/>
      <c r="L292" s="49"/>
      <c r="M292" s="125">
        <f>IFERROR(__xludf.DUMMYFUNCTION("""COMPUTED_VALUE"""),50000.0)</f>
        <v>50000</v>
      </c>
      <c r="N292" s="49"/>
      <c r="O292" s="49"/>
      <c r="P292" s="49"/>
      <c r="Q292" s="49"/>
      <c r="R292" s="49"/>
      <c r="S292" s="49"/>
      <c r="T292" s="49"/>
      <c r="U292" s="49"/>
      <c r="V292" s="49"/>
      <c r="W292" s="49"/>
      <c r="X292" s="49"/>
      <c r="Y292" s="125">
        <f>IFERROR(__xludf.DUMMYFUNCTION("""COMPUTED_VALUE"""),50000.0)</f>
        <v>50000</v>
      </c>
      <c r="Z292" s="49"/>
      <c r="AA292" s="49"/>
      <c r="AB292" s="49"/>
      <c r="AC292" s="125">
        <f>IFERROR(__xludf.DUMMYFUNCTION("""COMPUTED_VALUE"""),10000.0)</f>
        <v>10000</v>
      </c>
      <c r="AD292" s="49"/>
      <c r="AE292" s="49"/>
      <c r="AF292" s="49"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49" t="str">
        <f>IFERROR(__xludf.DUMMYFUNCTION("""COMPUTED_VALUE"""),"Land of Spira")</f>
        <v>Land of Spira</v>
      </c>
      <c r="AH292" s="49" t="b">
        <f>IFERROR(__xludf.DUMMYFUNCTION("""COMPUTED_VALUE"""),FALSE)</f>
        <v>0</v>
      </c>
    </row>
    <row r="293">
      <c r="A293" s="49" t="str">
        <f>IFERROR(__xludf.DUMMYFUNCTION("""COMPUTED_VALUE"""),"Sword Of The Dragons Blood")</f>
        <v>Sword Of The Dragons Blood</v>
      </c>
      <c r="B293" s="49" t="str">
        <f>IFERROR(__xludf.DUMMYFUNCTION("""COMPUTED_VALUE"""),"Hand")</f>
        <v>Hand</v>
      </c>
      <c r="C293" s="49"/>
      <c r="D293" s="49" t="str">
        <f>IFERROR(__xludf.DUMMYFUNCTION("""COMPUTED_VALUE"""),"Sword")</f>
        <v>Sword</v>
      </c>
      <c r="E293" s="49">
        <f>IFERROR(__xludf.DUMMYFUNCTION("""COMPUTED_VALUE"""),1500.0)</f>
        <v>1500</v>
      </c>
      <c r="F293" s="112">
        <f>IFERROR(__xludf.DUMMYFUNCTION("""COMPUTED_VALUE"""),1.1175E8)</f>
        <v>111750000</v>
      </c>
      <c r="G293" s="49" t="str">
        <f>IFERROR(__xludf.DUMMYFUNCTION("""COMPUTED_VALUE"""),"DMG")</f>
        <v>DMG</v>
      </c>
      <c r="H293" s="49">
        <f>IFERROR(__xludf.DUMMYFUNCTION("""COMPUTED_VALUE"""),50000.0)</f>
        <v>50000</v>
      </c>
      <c r="I293" s="49"/>
      <c r="J293" s="49"/>
      <c r="K293" s="49"/>
      <c r="L293" s="49"/>
      <c r="M293" s="49"/>
      <c r="N293" s="49"/>
      <c r="O293" s="49"/>
      <c r="P293" s="49"/>
      <c r="Q293" s="49"/>
      <c r="R293" s="49"/>
      <c r="S293" s="49"/>
      <c r="T293" s="49"/>
      <c r="U293" s="49"/>
      <c r="V293" s="49"/>
      <c r="W293" s="49"/>
      <c r="X293" s="49"/>
      <c r="Y293" s="49">
        <f>IFERROR(__xludf.DUMMYFUNCTION("""COMPUTED_VALUE"""),25000.0)</f>
        <v>25000</v>
      </c>
      <c r="Z293" s="49"/>
      <c r="AA293" s="49"/>
      <c r="AB293" s="49"/>
      <c r="AC293" s="49"/>
      <c r="AD293" s="49"/>
      <c r="AE293" s="49"/>
      <c r="AF293" s="49" t="str">
        <f>IFERROR(__xludf.DUMMYFUNCTION("""COMPUTED_VALUE"""),"++Burning Blood: Upon a successful hit; 5000 bleed and burn until the enemy dies.")</f>
        <v>++Burning Blood: Upon a successful hit; 5000 bleed and burn until the enemy dies.</v>
      </c>
      <c r="AG293" s="49" t="str">
        <f>IFERROR(__xludf.DUMMYFUNCTION("""COMPUTED_VALUE"""),"Land of Spira")</f>
        <v>Land of Spira</v>
      </c>
      <c r="AH293" s="49" t="b">
        <f>IFERROR(__xludf.DUMMYFUNCTION("""COMPUTED_VALUE"""),TRUE)</f>
        <v>1</v>
      </c>
    </row>
    <row r="294">
      <c r="A294" s="49" t="str">
        <f>IFERROR(__xludf.DUMMYFUNCTION("""COMPUTED_VALUE"""),"Sword of The Haunted Mansion")</f>
        <v>Sword of The Haunted Mansion</v>
      </c>
      <c r="B294" s="49" t="str">
        <f>IFERROR(__xludf.DUMMYFUNCTION("""COMPUTED_VALUE"""),"Hand")</f>
        <v>Hand</v>
      </c>
      <c r="C294" s="49" t="str">
        <f>IFERROR(__xludf.DUMMYFUNCTION("""COMPUTED_VALUE"""),"Halloween exclusive")</f>
        <v>Halloween exclusive</v>
      </c>
      <c r="D294" s="49" t="str">
        <f>IFERROR(__xludf.DUMMYFUNCTION("""COMPUTED_VALUE"""),"Sword")</f>
        <v>Sword</v>
      </c>
      <c r="E294" s="49">
        <f>IFERROR(__xludf.DUMMYFUNCTION("""COMPUTED_VALUE"""),200.0)</f>
        <v>200</v>
      </c>
      <c r="F294" s="112">
        <f>IFERROR(__xludf.DUMMYFUNCTION("""COMPUTED_VALUE"""),1.99E8)</f>
        <v>199000000</v>
      </c>
      <c r="G294" s="49" t="str">
        <f>IFERROR(__xludf.DUMMYFUNCTION("""COMPUTED_VALUE"""),"DMG")</f>
        <v>DMG</v>
      </c>
      <c r="H294" s="125">
        <f>IFERROR(__xludf.DUMMYFUNCTION("""COMPUTED_VALUE"""),20000.0)</f>
        <v>20000</v>
      </c>
      <c r="I294" s="125">
        <f>IFERROR(__xludf.DUMMYFUNCTION("""COMPUTED_VALUE"""),20000.0)</f>
        <v>20000</v>
      </c>
      <c r="J294" s="49"/>
      <c r="K294" s="49"/>
      <c r="L294" s="49"/>
      <c r="M294" s="49"/>
      <c r="N294" s="49"/>
      <c r="O294" s="125">
        <f>IFERROR(__xludf.DUMMYFUNCTION("""COMPUTED_VALUE"""),20000.0)</f>
        <v>20000</v>
      </c>
      <c r="P294" s="49"/>
      <c r="Q294" s="49"/>
      <c r="R294" s="125">
        <f>IFERROR(__xludf.DUMMYFUNCTION("""COMPUTED_VALUE"""),20000.0)</f>
        <v>20000</v>
      </c>
      <c r="S294" s="49"/>
      <c r="T294" s="49"/>
      <c r="U294" s="49"/>
      <c r="V294" s="49"/>
      <c r="W294" s="49"/>
      <c r="X294" s="49"/>
      <c r="Y294" s="49"/>
      <c r="Z294" s="49"/>
      <c r="AA294" s="49"/>
      <c r="AB294" s="49"/>
      <c r="AC294" s="125">
        <f>IFERROR(__xludf.DUMMYFUNCTION("""COMPUTED_VALUE"""),20000.0)</f>
        <v>20000</v>
      </c>
      <c r="AD294" s="49"/>
      <c r="AE294" s="49"/>
      <c r="AF294" s="49"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49" t="str">
        <f>IFERROR(__xludf.DUMMYFUNCTION("""COMPUTED_VALUE"""),"Halloween Kingdom")</f>
        <v>Halloween Kingdom</v>
      </c>
      <c r="AH294" s="49" t="b">
        <f>IFERROR(__xludf.DUMMYFUNCTION("""COMPUTED_VALUE"""),FALSE)</f>
        <v>0</v>
      </c>
    </row>
    <row r="295">
      <c r="A295" s="49" t="str">
        <f>IFERROR(__xludf.DUMMYFUNCTION("""COMPUTED_VALUE"""),"Sword Of The Honorable Samurai")</f>
        <v>Sword Of The Honorable Samurai</v>
      </c>
      <c r="B295" s="49" t="str">
        <f>IFERROR(__xludf.DUMMYFUNCTION("""COMPUTED_VALUE"""),"Hand")</f>
        <v>Hand</v>
      </c>
      <c r="C295" s="49"/>
      <c r="D295" s="49" t="str">
        <f>IFERROR(__xludf.DUMMYFUNCTION("""COMPUTED_VALUE"""),"Sword")</f>
        <v>Sword</v>
      </c>
      <c r="E295" s="49">
        <f>IFERROR(__xludf.DUMMYFUNCTION("""COMPUTED_VALUE"""),400.0)</f>
        <v>400</v>
      </c>
      <c r="F295" s="112">
        <f>IFERROR(__xludf.DUMMYFUNCTION("""COMPUTED_VALUE"""),7800000.0)</f>
        <v>7800000</v>
      </c>
      <c r="G295" s="49" t="str">
        <f>IFERROR(__xludf.DUMMYFUNCTION("""COMPUTED_VALUE"""),"DMG")</f>
        <v>DMG</v>
      </c>
      <c r="H295" s="49">
        <f>IFERROR(__xludf.DUMMYFUNCTION("""COMPUTED_VALUE"""),10000.0)</f>
        <v>10000</v>
      </c>
      <c r="I295" s="49"/>
      <c r="J295" s="49"/>
      <c r="K295" s="49"/>
      <c r="L295" s="49"/>
      <c r="M295" s="49"/>
      <c r="N295" s="49">
        <f>IFERROR(__xludf.DUMMYFUNCTION("""COMPUTED_VALUE"""),5000.0)</f>
        <v>5000</v>
      </c>
      <c r="O295" s="49"/>
      <c r="P295" s="49"/>
      <c r="Q295" s="49">
        <f>IFERROR(__xludf.DUMMYFUNCTION("""COMPUTED_VALUE"""),5000.0)</f>
        <v>5000</v>
      </c>
      <c r="R295" s="49"/>
      <c r="S295" s="49"/>
      <c r="T295" s="49"/>
      <c r="U295" s="49"/>
      <c r="V295" s="49"/>
      <c r="W295" s="49"/>
      <c r="X295" s="49"/>
      <c r="Y295" s="49"/>
      <c r="Z295" s="49"/>
      <c r="AA295" s="49"/>
      <c r="AB295" s="49"/>
      <c r="AC295" s="49"/>
      <c r="AD295" s="49"/>
      <c r="AE295" s="49"/>
      <c r="AF295" s="49"/>
      <c r="AG295" s="49" t="str">
        <f>IFERROR(__xludf.DUMMYFUNCTION("""COMPUTED_VALUE"""),"Land of Spira")</f>
        <v>Land of Spira</v>
      </c>
      <c r="AH295" s="49" t="b">
        <f>IFERROR(__xludf.DUMMYFUNCTION("""COMPUTED_VALUE"""),TRUE)</f>
        <v>1</v>
      </c>
    </row>
    <row r="296">
      <c r="A296" s="49" t="str">
        <f>IFERROR(__xludf.DUMMYFUNCTION("""COMPUTED_VALUE"""),"Sword of The Crystal King")</f>
        <v>Sword of The Crystal King</v>
      </c>
      <c r="B296" s="49" t="str">
        <f>IFERROR(__xludf.DUMMYFUNCTION("""COMPUTED_VALUE"""),"Hand")</f>
        <v>Hand</v>
      </c>
      <c r="C296" s="49"/>
      <c r="D296" s="49" t="str">
        <f>IFERROR(__xludf.DUMMYFUNCTION("""COMPUTED_VALUE"""),"Sword")</f>
        <v>Sword</v>
      </c>
      <c r="E296" s="49">
        <f>IFERROR(__xludf.DUMMYFUNCTION("""COMPUTED_VALUE"""),200.0)</f>
        <v>200</v>
      </c>
      <c r="F296" s="112">
        <f>IFERROR(__xludf.DUMMYFUNCTION("""COMPUTED_VALUE"""),4.95E7)</f>
        <v>49500000</v>
      </c>
      <c r="G296" s="49" t="str">
        <f>IFERROR(__xludf.DUMMYFUNCTION("""COMPUTED_VALUE"""),"DMG")</f>
        <v>DMG</v>
      </c>
      <c r="H296" s="49">
        <f>IFERROR(__xludf.DUMMYFUNCTION("""COMPUTED_VALUE"""),20000.0)</f>
        <v>20000</v>
      </c>
      <c r="I296" s="49"/>
      <c r="J296" s="49"/>
      <c r="K296" s="49"/>
      <c r="L296" s="49"/>
      <c r="M296" s="49">
        <f>IFERROR(__xludf.DUMMYFUNCTION("""COMPUTED_VALUE"""),20000.0)</f>
        <v>20000</v>
      </c>
      <c r="N296" s="49"/>
      <c r="O296" s="49"/>
      <c r="P296" s="49"/>
      <c r="Q296" s="49"/>
      <c r="R296" s="49"/>
      <c r="S296" s="49"/>
      <c r="T296" s="49"/>
      <c r="U296" s="49"/>
      <c r="V296" s="49"/>
      <c r="W296" s="49"/>
      <c r="X296" s="49"/>
      <c r="Y296" s="49"/>
      <c r="Z296" s="49"/>
      <c r="AA296" s="49"/>
      <c r="AB296" s="49"/>
      <c r="AC296" s="49">
        <f>IFERROR(__xludf.DUMMYFUNCTION("""COMPUTED_VALUE"""),10000.0)</f>
        <v>10000</v>
      </c>
      <c r="AD296" s="49"/>
      <c r="AE296" s="49"/>
      <c r="AF296" s="49"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49" t="str">
        <f>IFERROR(__xludf.DUMMYFUNCTION("""COMPUTED_VALUE"""),"Land of Spira")</f>
        <v>Land of Spira</v>
      </c>
      <c r="AH296" s="49" t="b">
        <f>IFERROR(__xludf.DUMMYFUNCTION("""COMPUTED_VALUE"""),FALSE)</f>
        <v>0</v>
      </c>
    </row>
    <row r="297">
      <c r="A297" s="49" t="str">
        <f>IFERROR(__xludf.DUMMYFUNCTION("""COMPUTED_VALUE"""),"Sword of The Many Heroes")</f>
        <v>Sword of The Many Heroes</v>
      </c>
      <c r="B297" s="49" t="str">
        <f>IFERROR(__xludf.DUMMYFUNCTION("""COMPUTED_VALUE"""),"Hand")</f>
        <v>Hand</v>
      </c>
      <c r="C297" s="49"/>
      <c r="D297" s="49" t="str">
        <f>IFERROR(__xludf.DUMMYFUNCTION("""COMPUTED_VALUE"""),"Sword")</f>
        <v>Sword</v>
      </c>
      <c r="E297" s="49">
        <f>IFERROR(__xludf.DUMMYFUNCTION("""COMPUTED_VALUE"""),200.0)</f>
        <v>200</v>
      </c>
      <c r="F297" s="112">
        <f>IFERROR(__xludf.DUMMYFUNCTION("""COMPUTED_VALUE"""),7.194E9)</f>
        <v>7194000000</v>
      </c>
      <c r="G297" s="49" t="str">
        <f>IFERROR(__xludf.DUMMYFUNCTION("""COMPUTED_VALUE"""),"DMG")</f>
        <v>DMG</v>
      </c>
      <c r="H297" s="125">
        <f>IFERROR(__xludf.DUMMYFUNCTION("""COMPUTED_VALUE"""),100000.0)</f>
        <v>100000</v>
      </c>
      <c r="I297" s="49"/>
      <c r="J297" s="49"/>
      <c r="K297" s="49"/>
      <c r="L297" s="49"/>
      <c r="M297" s="49"/>
      <c r="N297" s="49"/>
      <c r="O297" s="49"/>
      <c r="P297" s="49"/>
      <c r="Q297" s="49"/>
      <c r="R297" s="49"/>
      <c r="S297" s="49"/>
      <c r="T297" s="49"/>
      <c r="U297" s="49"/>
      <c r="V297" s="49"/>
      <c r="W297" s="49"/>
      <c r="X297" s="49"/>
      <c r="Y297" s="49"/>
      <c r="Z297" s="49"/>
      <c r="AA297" s="49"/>
      <c r="AB297" s="49"/>
      <c r="AC297" s="125">
        <f>IFERROR(__xludf.DUMMYFUNCTION("""COMPUTED_VALUE"""),500000.0)</f>
        <v>500000</v>
      </c>
      <c r="AD297" s="49"/>
      <c r="AE297" s="49"/>
      <c r="AF297" s="49"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49" t="str">
        <f>IFERROR(__xludf.DUMMYFUNCTION("""COMPUTED_VALUE"""),"Abstara")</f>
        <v>Abstara</v>
      </c>
      <c r="AH297" s="49" t="b">
        <f>IFERROR(__xludf.DUMMYFUNCTION("""COMPUTED_VALUE"""),FALSE)</f>
        <v>0</v>
      </c>
    </row>
    <row r="298">
      <c r="A298" s="49" t="str">
        <f>IFERROR(__xludf.DUMMYFUNCTION("""COMPUTED_VALUE"""),"Sword Of The Reaper")</f>
        <v>Sword Of The Reaper</v>
      </c>
      <c r="B298" s="49" t="str">
        <f>IFERROR(__xludf.DUMMYFUNCTION("""COMPUTED_VALUE"""),"Hand")</f>
        <v>Hand</v>
      </c>
      <c r="C298" s="49"/>
      <c r="D298" s="49" t="str">
        <f>IFERROR(__xludf.DUMMYFUNCTION("""COMPUTED_VALUE"""),"Sword")</f>
        <v>Sword</v>
      </c>
      <c r="E298" s="49">
        <f>IFERROR(__xludf.DUMMYFUNCTION("""COMPUTED_VALUE"""),200.0)</f>
        <v>200</v>
      </c>
      <c r="F298" s="112">
        <f>IFERROR(__xludf.DUMMYFUNCTION("""COMPUTED_VALUE"""),660000.0)</f>
        <v>660000</v>
      </c>
      <c r="G298" s="49" t="str">
        <f>IFERROR(__xludf.DUMMYFUNCTION("""COMPUTED_VALUE"""),"DMG")</f>
        <v>DMG</v>
      </c>
      <c r="H298" s="49">
        <f>IFERROR(__xludf.DUMMYFUNCTION("""COMPUTED_VALUE"""),5000.0)</f>
        <v>5000</v>
      </c>
      <c r="I298" s="49"/>
      <c r="J298" s="49"/>
      <c r="K298" s="49"/>
      <c r="L298" s="49"/>
      <c r="M298" s="49"/>
      <c r="N298" s="49"/>
      <c r="O298" s="49"/>
      <c r="P298" s="49"/>
      <c r="Q298" s="49"/>
      <c r="R298" s="49"/>
      <c r="S298" s="49"/>
      <c r="T298" s="49"/>
      <c r="U298" s="49"/>
      <c r="V298" s="49"/>
      <c r="W298" s="49"/>
      <c r="X298" s="49"/>
      <c r="Y298" s="49"/>
      <c r="Z298" s="49"/>
      <c r="AA298" s="49"/>
      <c r="AB298" s="49"/>
      <c r="AC298" s="49">
        <f>IFERROR(__xludf.DUMMYFUNCTION("""COMPUTED_VALUE"""),1000.0)</f>
        <v>1000</v>
      </c>
      <c r="AD298" s="49"/>
      <c r="AE298" s="49"/>
      <c r="AF298" s="49"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49" t="str">
        <f>IFERROR(__xludf.DUMMYFUNCTION("""COMPUTED_VALUE"""),"Land of Spira")</f>
        <v>Land of Spira</v>
      </c>
      <c r="AH298" s="49" t="b">
        <f>IFERROR(__xludf.DUMMYFUNCTION("""COMPUTED_VALUE"""),FALSE)</f>
        <v>0</v>
      </c>
    </row>
    <row r="299">
      <c r="A299" s="49" t="str">
        <f>IFERROR(__xludf.DUMMYFUNCTION("""COMPUTED_VALUE"""),"Sword of The Sea Serpent")</f>
        <v>Sword of The Sea Serpent</v>
      </c>
      <c r="B299" s="49" t="str">
        <f>IFERROR(__xludf.DUMMYFUNCTION("""COMPUTED_VALUE"""),"Hand")</f>
        <v>Hand</v>
      </c>
      <c r="C299" s="49"/>
      <c r="D299" s="49" t="str">
        <f>IFERROR(__xludf.DUMMYFUNCTION("""COMPUTED_VALUE"""),"Sword")</f>
        <v>Sword</v>
      </c>
      <c r="E299" s="49">
        <f>IFERROR(__xludf.DUMMYFUNCTION("""COMPUTED_VALUE"""),400.0)</f>
        <v>400</v>
      </c>
      <c r="F299" s="112">
        <f>IFERROR(__xludf.DUMMYFUNCTION("""COMPUTED_VALUE"""),7800000.0)</f>
        <v>7800000</v>
      </c>
      <c r="G299" s="49" t="str">
        <f>IFERROR(__xludf.DUMMYFUNCTION("""COMPUTED_VALUE"""),"DMG")</f>
        <v>DMG</v>
      </c>
      <c r="H299" s="125">
        <f>IFERROR(__xludf.DUMMYFUNCTION("""COMPUTED_VALUE"""),10000.0)</f>
        <v>10000</v>
      </c>
      <c r="I299" s="49"/>
      <c r="J299" s="49"/>
      <c r="K299" s="125">
        <f>IFERROR(__xludf.DUMMYFUNCTION("""COMPUTED_VALUE"""),10000.0)</f>
        <v>10000</v>
      </c>
      <c r="L299" s="49"/>
      <c r="M299" s="49"/>
      <c r="N299" s="49"/>
      <c r="O299" s="49"/>
      <c r="P299" s="49"/>
      <c r="Q299" s="49"/>
      <c r="R299" s="49"/>
      <c r="S299" s="49"/>
      <c r="T299" s="49"/>
      <c r="U299" s="49"/>
      <c r="V299" s="49"/>
      <c r="W299" s="49"/>
      <c r="X299" s="49"/>
      <c r="Y299" s="49"/>
      <c r="Z299" s="49"/>
      <c r="AA299" s="49"/>
      <c r="AB299" s="49"/>
      <c r="AC299" s="49"/>
      <c r="AD299" s="49"/>
      <c r="AE299" s="49"/>
      <c r="AF299" s="49"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49" t="str">
        <f>IFERROR(__xludf.DUMMYFUNCTION("""COMPUTED_VALUE"""),"Land of Spira")</f>
        <v>Land of Spira</v>
      </c>
      <c r="AH299" s="49" t="b">
        <f>IFERROR(__xludf.DUMMYFUNCTION("""COMPUTED_VALUE"""),FALSE)</f>
        <v>0</v>
      </c>
    </row>
    <row r="300">
      <c r="A300" s="49" t="str">
        <f>IFERROR(__xludf.DUMMYFUNCTION("""COMPUTED_VALUE"""),"Sword of the Vampire’s Lust")</f>
        <v>Sword of the Vampire’s Lust</v>
      </c>
      <c r="B300" s="49" t="str">
        <f>IFERROR(__xludf.DUMMYFUNCTION("""COMPUTED_VALUE"""),"Hand")</f>
        <v>Hand</v>
      </c>
      <c r="C300" s="49"/>
      <c r="D300" s="49" t="str">
        <f>IFERROR(__xludf.DUMMYFUNCTION("""COMPUTED_VALUE"""),"Sword")</f>
        <v>Sword</v>
      </c>
      <c r="E300" s="49">
        <f>IFERROR(__xludf.DUMMYFUNCTION("""COMPUTED_VALUE"""),800.0)</f>
        <v>800</v>
      </c>
      <c r="F300" s="112">
        <f>IFERROR(__xludf.DUMMYFUNCTION("""COMPUTED_VALUE"""),3.16E7)</f>
        <v>31600000</v>
      </c>
      <c r="G300" s="49" t="str">
        <f>IFERROR(__xludf.DUMMYFUNCTION("""COMPUTED_VALUE"""),"DMG")</f>
        <v>DMG</v>
      </c>
      <c r="H300" s="125">
        <f>IFERROR(__xludf.DUMMYFUNCTION("""COMPUTED_VALUE"""),10000.0)</f>
        <v>10000</v>
      </c>
      <c r="I300" s="125">
        <f>IFERROR(__xludf.DUMMYFUNCTION("""COMPUTED_VALUE"""),10000.0)</f>
        <v>10000</v>
      </c>
      <c r="J300" s="49"/>
      <c r="K300" s="49"/>
      <c r="L300" s="49"/>
      <c r="M300" s="49"/>
      <c r="N300" s="49"/>
      <c r="O300" s="125">
        <f>IFERROR(__xludf.DUMMYFUNCTION("""COMPUTED_VALUE"""),10000.0)</f>
        <v>10000</v>
      </c>
      <c r="P300" s="125">
        <f>IFERROR(__xludf.DUMMYFUNCTION("""COMPUTED_VALUE"""),5000.0)</f>
        <v>5000</v>
      </c>
      <c r="Q300" s="49"/>
      <c r="R300" s="125">
        <f>IFERROR(__xludf.DUMMYFUNCTION("""COMPUTED_VALUE"""),5000.0)</f>
        <v>5000</v>
      </c>
      <c r="S300" s="49"/>
      <c r="T300" s="49"/>
      <c r="U300" s="49"/>
      <c r="V300" s="49"/>
      <c r="W300" s="49"/>
      <c r="X300" s="49"/>
      <c r="Y300" s="49"/>
      <c r="Z300" s="49"/>
      <c r="AA300" s="49"/>
      <c r="AB300" s="49"/>
      <c r="AC300" s="49"/>
      <c r="AD300" s="49"/>
      <c r="AE300" s="49"/>
      <c r="AF300" s="49" t="str">
        <f>IFERROR(__xludf.DUMMYFUNCTION("""COMPUTED_VALUE"""),"++Damage dealt by this weapon gives you hp back equal to the damage you deal")</f>
        <v>++Damage dealt by this weapon gives you hp back equal to the damage you deal</v>
      </c>
      <c r="AG300" s="49" t="str">
        <f>IFERROR(__xludf.DUMMYFUNCTION("""COMPUTED_VALUE"""),"Land of Spira")</f>
        <v>Land of Spira</v>
      </c>
      <c r="AH300" s="49" t="b">
        <f>IFERROR(__xludf.DUMMYFUNCTION("""COMPUTED_VALUE"""),FALSE)</f>
        <v>0</v>
      </c>
    </row>
    <row r="301">
      <c r="A301" s="49" t="str">
        <f>IFERROR(__xludf.DUMMYFUNCTION("""COMPUTED_VALUE"""),"Sword of The Waking Waters")</f>
        <v>Sword of The Waking Waters</v>
      </c>
      <c r="B301" s="49" t="str">
        <f>IFERROR(__xludf.DUMMYFUNCTION("""COMPUTED_VALUE"""),"Hand")</f>
        <v>Hand</v>
      </c>
      <c r="C301" s="49"/>
      <c r="D301" s="49" t="str">
        <f>IFERROR(__xludf.DUMMYFUNCTION("""COMPUTED_VALUE"""),"Sword")</f>
        <v>Sword</v>
      </c>
      <c r="E301" s="49">
        <f>IFERROR(__xludf.DUMMYFUNCTION("""COMPUTED_VALUE"""),800.0)</f>
        <v>800</v>
      </c>
      <c r="F301" s="112">
        <f>IFERROR(__xludf.DUMMYFUNCTION("""COMPUTED_VALUE"""),3.16E7)</f>
        <v>31600000</v>
      </c>
      <c r="G301" s="49" t="str">
        <f>IFERROR(__xludf.DUMMYFUNCTION("""COMPUTED_VALUE"""),"DMG")</f>
        <v>DMG</v>
      </c>
      <c r="H301" s="125">
        <f>IFERROR(__xludf.DUMMYFUNCTION("""COMPUTED_VALUE"""),20000.0)</f>
        <v>20000</v>
      </c>
      <c r="I301" s="49"/>
      <c r="J301" s="49"/>
      <c r="K301" s="125">
        <f>IFERROR(__xludf.DUMMYFUNCTION("""COMPUTED_VALUE"""),20000.0)</f>
        <v>20000</v>
      </c>
      <c r="L301" s="49"/>
      <c r="M301" s="49"/>
      <c r="N301" s="49"/>
      <c r="O301" s="49"/>
      <c r="P301" s="49"/>
      <c r="Q301" s="49"/>
      <c r="R301" s="49"/>
      <c r="S301" s="49"/>
      <c r="T301" s="49"/>
      <c r="U301" s="49"/>
      <c r="V301" s="49"/>
      <c r="W301" s="49"/>
      <c r="X301" s="49"/>
      <c r="Y301" s="49"/>
      <c r="Z301" s="49"/>
      <c r="AA301" s="49"/>
      <c r="AB301" s="49"/>
      <c r="AC301" s="49"/>
      <c r="AD301" s="49"/>
      <c r="AE301" s="49"/>
      <c r="AF301" s="49"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49" t="str">
        <f>IFERROR(__xludf.DUMMYFUNCTION("""COMPUTED_VALUE"""),"Land of Spira")</f>
        <v>Land of Spira</v>
      </c>
      <c r="AH301" s="49" t="b">
        <f>IFERROR(__xludf.DUMMYFUNCTION("""COMPUTED_VALUE"""),FALSE)</f>
        <v>0</v>
      </c>
    </row>
    <row r="302">
      <c r="A302" s="49" t="str">
        <f>IFERROR(__xludf.DUMMYFUNCTION("""COMPUTED_VALUE"""),"Sword of the Wicked")</f>
        <v>Sword of the Wicked</v>
      </c>
      <c r="B302" s="49" t="str">
        <f>IFERROR(__xludf.DUMMYFUNCTION("""COMPUTED_VALUE"""),"Hand")</f>
        <v>Hand</v>
      </c>
      <c r="C302" s="49"/>
      <c r="D302" s="49" t="str">
        <f>IFERROR(__xludf.DUMMYFUNCTION("""COMPUTED_VALUE"""),"Sword")</f>
        <v>Sword</v>
      </c>
      <c r="E302" s="49">
        <f>IFERROR(__xludf.DUMMYFUNCTION("""COMPUTED_VALUE"""),50.0)</f>
        <v>50</v>
      </c>
      <c r="F302" s="112">
        <f>IFERROR(__xludf.DUMMYFUNCTION("""COMPUTED_VALUE"""),100000.0)</f>
        <v>100000</v>
      </c>
      <c r="G302" s="49" t="str">
        <f>IFERROR(__xludf.DUMMYFUNCTION("""COMPUTED_VALUE"""),"DMG")</f>
        <v>DMG</v>
      </c>
      <c r="H302" s="49">
        <f>IFERROR(__xludf.DUMMYFUNCTION("""COMPUTED_VALUE"""),700.0)</f>
        <v>700</v>
      </c>
      <c r="I302" s="49"/>
      <c r="J302" s="49"/>
      <c r="K302" s="49"/>
      <c r="L302" s="49"/>
      <c r="M302" s="49"/>
      <c r="N302" s="49"/>
      <c r="O302" s="49">
        <f>IFERROR(__xludf.DUMMYFUNCTION("""COMPUTED_VALUE"""),900.0)</f>
        <v>900</v>
      </c>
      <c r="P302" s="49"/>
      <c r="Q302" s="49"/>
      <c r="R302" s="49">
        <f>IFERROR(__xludf.DUMMYFUNCTION("""COMPUTED_VALUE"""),900.0)</f>
        <v>900</v>
      </c>
      <c r="S302" s="49"/>
      <c r="T302" s="49"/>
      <c r="U302" s="49"/>
      <c r="V302" s="49"/>
      <c r="W302" s="49"/>
      <c r="X302" s="49"/>
      <c r="Y302" s="49"/>
      <c r="Z302" s="49"/>
      <c r="AA302" s="49"/>
      <c r="AB302" s="49"/>
      <c r="AC302" s="49"/>
      <c r="AD302" s="49"/>
      <c r="AE302" s="49"/>
      <c r="AF302" s="49"/>
      <c r="AG302" s="49" t="str">
        <f>IFERROR(__xludf.DUMMYFUNCTION("""COMPUTED_VALUE"""),"Land of Spira")</f>
        <v>Land of Spira</v>
      </c>
      <c r="AH302" s="49" t="b">
        <f>IFERROR(__xludf.DUMMYFUNCTION("""COMPUTED_VALUE"""),FALSE)</f>
        <v>0</v>
      </c>
    </row>
    <row r="303">
      <c r="A303" s="49" t="str">
        <f>IFERROR(__xludf.DUMMYFUNCTION("""COMPUTED_VALUE"""),"Sword Of Tritonoch")</f>
        <v>Sword Of Tritonoch</v>
      </c>
      <c r="B303" s="49" t="str">
        <f>IFERROR(__xludf.DUMMYFUNCTION("""COMPUTED_VALUE"""),"Hand")</f>
        <v>Hand</v>
      </c>
      <c r="C303" s="49"/>
      <c r="D303" s="49" t="str">
        <f>IFERROR(__xludf.DUMMYFUNCTION("""COMPUTED_VALUE"""),"Sword")</f>
        <v>Sword</v>
      </c>
      <c r="E303" s="49">
        <f>IFERROR(__xludf.DUMMYFUNCTION("""COMPUTED_VALUE"""),800.0)</f>
        <v>800</v>
      </c>
      <c r="F303" s="112">
        <f>IFERROR(__xludf.DUMMYFUNCTION("""COMPUTED_VALUE"""),3.16E7)</f>
        <v>31600000</v>
      </c>
      <c r="G303" s="49" t="str">
        <f>IFERROR(__xludf.DUMMYFUNCTION("""COMPUTED_VALUE"""),"DMG")</f>
        <v>DMG</v>
      </c>
      <c r="H303" s="49">
        <f>IFERROR(__xludf.DUMMYFUNCTION("""COMPUTED_VALUE"""),20000.0)</f>
        <v>20000</v>
      </c>
      <c r="I303" s="49"/>
      <c r="J303" s="49"/>
      <c r="K303" s="49">
        <f>IFERROR(__xludf.DUMMYFUNCTION("""COMPUTED_VALUE"""),20000.0)</f>
        <v>20000</v>
      </c>
      <c r="L303" s="49"/>
      <c r="M303" s="49"/>
      <c r="N303" s="49"/>
      <c r="O303" s="49"/>
      <c r="P303" s="49"/>
      <c r="Q303" s="49"/>
      <c r="R303" s="49"/>
      <c r="S303" s="49"/>
      <c r="T303" s="49"/>
      <c r="U303" s="49"/>
      <c r="V303" s="49"/>
      <c r="W303" s="49"/>
      <c r="X303" s="49"/>
      <c r="Y303" s="49"/>
      <c r="Z303" s="49"/>
      <c r="AA303" s="49"/>
      <c r="AB303" s="49"/>
      <c r="AC303" s="49"/>
      <c r="AD303" s="49"/>
      <c r="AE303" s="49"/>
      <c r="AF303" s="49"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49" t="str">
        <f>IFERROR(__xludf.DUMMYFUNCTION("""COMPUTED_VALUE"""),"Land of Spira")</f>
        <v>Land of Spira</v>
      </c>
      <c r="AH303" s="49" t="b">
        <f>IFERROR(__xludf.DUMMYFUNCTION("""COMPUTED_VALUE"""),FALSE)</f>
        <v>0</v>
      </c>
    </row>
    <row r="304">
      <c r="A304" s="49" t="str">
        <f>IFERROR(__xludf.DUMMYFUNCTION("""COMPUTED_VALUE"""),"Tentacle")</f>
        <v>Tentacle</v>
      </c>
      <c r="B304" s="49" t="str">
        <f>IFERROR(__xludf.DUMMYFUNCTION("""COMPUTED_VALUE"""),"Hand")</f>
        <v>Hand</v>
      </c>
      <c r="C304" s="49"/>
      <c r="D304" s="49" t="str">
        <f>IFERROR(__xludf.DUMMYFUNCTION("""COMPUTED_VALUE"""),"Claw")</f>
        <v>Claw</v>
      </c>
      <c r="E304" s="49">
        <f>IFERROR(__xludf.DUMMYFUNCTION("""COMPUTED_VALUE"""),30.0)</f>
        <v>30</v>
      </c>
      <c r="F304" s="112">
        <f>IFERROR(__xludf.DUMMYFUNCTION("""COMPUTED_VALUE"""),30000.0)</f>
        <v>30000</v>
      </c>
      <c r="G304" s="49" t="str">
        <f>IFERROR(__xludf.DUMMYFUNCTION("""COMPUTED_VALUE"""),"DMG")</f>
        <v>DMG</v>
      </c>
      <c r="H304" s="49">
        <f>IFERROR(__xludf.DUMMYFUNCTION("""COMPUTED_VALUE"""),1000.0)</f>
        <v>1000</v>
      </c>
      <c r="I304" s="49"/>
      <c r="J304" s="49"/>
      <c r="K304" s="49">
        <f>IFERROR(__xludf.DUMMYFUNCTION("""COMPUTED_VALUE"""),500.0)</f>
        <v>500</v>
      </c>
      <c r="L304" s="49"/>
      <c r="M304" s="49"/>
      <c r="N304" s="49"/>
      <c r="O304" s="49"/>
      <c r="P304" s="49"/>
      <c r="Q304" s="49"/>
      <c r="R304" s="49"/>
      <c r="S304" s="49"/>
      <c r="T304" s="49"/>
      <c r="U304" s="49"/>
      <c r="V304" s="49"/>
      <c r="W304" s="49"/>
      <c r="X304" s="49"/>
      <c r="Y304" s="49"/>
      <c r="Z304" s="49"/>
      <c r="AA304" s="49"/>
      <c r="AB304" s="49"/>
      <c r="AC304" s="49"/>
      <c r="AD304" s="49"/>
      <c r="AE304" s="49"/>
      <c r="AF304" s="49" t="str">
        <f>IFERROR(__xludf.DUMMYFUNCTION("""COMPUTED_VALUE"""),"++10% chance to remove target from battle")</f>
        <v>++10% chance to remove target from battle</v>
      </c>
      <c r="AG304" s="49" t="str">
        <f>IFERROR(__xludf.DUMMYFUNCTION("""COMPUTED_VALUE"""),"Land of Spira")</f>
        <v>Land of Spira</v>
      </c>
      <c r="AH304" s="49" t="b">
        <f>IFERROR(__xludf.DUMMYFUNCTION("""COMPUTED_VALUE"""),TRUE)</f>
        <v>1</v>
      </c>
    </row>
    <row r="305">
      <c r="A305" s="49" t="str">
        <f>IFERROR(__xludf.DUMMYFUNCTION("""COMPUTED_VALUE"""),"The Black Hook")</f>
        <v>The Black Hook</v>
      </c>
      <c r="B305" s="49" t="str">
        <f>IFERROR(__xludf.DUMMYFUNCTION("""COMPUTED_VALUE"""),"Hand")</f>
        <v>Hand</v>
      </c>
      <c r="C305" s="49"/>
      <c r="D305" s="49" t="str">
        <f>IFERROR(__xludf.DUMMYFUNCTION("""COMPUTED_VALUE"""),"Claw")</f>
        <v>Claw</v>
      </c>
      <c r="E305" s="49">
        <f>IFERROR(__xludf.DUMMYFUNCTION("""COMPUTED_VALUE"""),2500.0)</f>
        <v>2500</v>
      </c>
      <c r="F305" s="112">
        <f>IFERROR(__xludf.DUMMYFUNCTION("""COMPUTED_VALUE"""),3.1125E8)</f>
        <v>311250000</v>
      </c>
      <c r="G305" s="49" t="str">
        <f>IFERROR(__xludf.DUMMYFUNCTION("""COMPUTED_VALUE"""),"DMG")</f>
        <v>DMG</v>
      </c>
      <c r="H305" s="125">
        <f>IFERROR(__xludf.DUMMYFUNCTION("""COMPUTED_VALUE"""),50000.0)</f>
        <v>50000</v>
      </c>
      <c r="I305" s="49"/>
      <c r="J305" s="49"/>
      <c r="K305" s="49"/>
      <c r="L305" s="49"/>
      <c r="M305" s="49"/>
      <c r="N305" s="49"/>
      <c r="O305" s="125">
        <f>IFERROR(__xludf.DUMMYFUNCTION("""COMPUTED_VALUE"""),50000.0)</f>
        <v>50000</v>
      </c>
      <c r="P305" s="49"/>
      <c r="Q305" s="49"/>
      <c r="R305" s="49"/>
      <c r="S305" s="49"/>
      <c r="T305" s="49"/>
      <c r="U305" s="49"/>
      <c r="V305" s="49"/>
      <c r="W305" s="49"/>
      <c r="X305" s="49"/>
      <c r="Y305" s="125">
        <f>IFERROR(__xludf.DUMMYFUNCTION("""COMPUTED_VALUE"""),25000.0)</f>
        <v>25000</v>
      </c>
      <c r="Z305" s="49"/>
      <c r="AA305" s="49"/>
      <c r="AB305" s="49"/>
      <c r="AC305" s="49"/>
      <c r="AD305" s="49"/>
      <c r="AE305" s="49"/>
      <c r="AF305" s="49"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49" t="str">
        <f>IFERROR(__xludf.DUMMYFUNCTION("""COMPUTED_VALUE"""),"Abstara")</f>
        <v>Abstara</v>
      </c>
      <c r="AH305" s="49" t="b">
        <f>IFERROR(__xludf.DUMMYFUNCTION("""COMPUTED_VALUE"""),TRUE)</f>
        <v>1</v>
      </c>
    </row>
    <row r="306">
      <c r="A306" s="49" t="str">
        <f>IFERROR(__xludf.DUMMYFUNCTION("""COMPUTED_VALUE"""),"The Blade of the Chosen")</f>
        <v>The Blade of the Chosen</v>
      </c>
      <c r="B306" s="49" t="str">
        <f>IFERROR(__xludf.DUMMYFUNCTION("""COMPUTED_VALUE"""),"Hand")</f>
        <v>Hand</v>
      </c>
      <c r="C306" s="49"/>
      <c r="D306" s="49" t="str">
        <f>IFERROR(__xludf.DUMMYFUNCTION("""COMPUTED_VALUE"""),"Sword")</f>
        <v>Sword</v>
      </c>
      <c r="E306" s="49">
        <f>IFERROR(__xludf.DUMMYFUNCTION("""COMPUTED_VALUE"""),1000.0)</f>
        <v>1000</v>
      </c>
      <c r="F306" s="112">
        <f>IFERROR(__xludf.DUMMYFUNCTION("""COMPUTED_VALUE"""),4.95E7)</f>
        <v>49500000</v>
      </c>
      <c r="G306" s="49" t="str">
        <f>IFERROR(__xludf.DUMMYFUNCTION("""COMPUTED_VALUE"""),"DMG")</f>
        <v>DMG</v>
      </c>
      <c r="H306" s="125">
        <f>IFERROR(__xludf.DUMMYFUNCTION("""COMPUTED_VALUE"""),10000.0)</f>
        <v>10000</v>
      </c>
      <c r="I306" s="125">
        <f>IFERROR(__xludf.DUMMYFUNCTION("""COMPUTED_VALUE"""),10000.0)</f>
        <v>10000</v>
      </c>
      <c r="J306" s="49"/>
      <c r="K306" s="49"/>
      <c r="L306" s="49"/>
      <c r="M306" s="49"/>
      <c r="N306" s="49"/>
      <c r="O306" s="49"/>
      <c r="P306" s="49"/>
      <c r="Q306" s="125">
        <f>IFERROR(__xludf.DUMMYFUNCTION("""COMPUTED_VALUE"""),10000.0)</f>
        <v>10000</v>
      </c>
      <c r="R306" s="49"/>
      <c r="S306" s="125">
        <f>IFERROR(__xludf.DUMMYFUNCTION("""COMPUTED_VALUE"""),10000.0)</f>
        <v>10000</v>
      </c>
      <c r="T306" s="49"/>
      <c r="U306" s="49"/>
      <c r="V306" s="49"/>
      <c r="W306" s="49"/>
      <c r="X306" s="49"/>
      <c r="Y306" s="125">
        <f>IFERROR(__xludf.DUMMYFUNCTION("""COMPUTED_VALUE"""),10000.0)</f>
        <v>10000</v>
      </c>
      <c r="Z306" s="49"/>
      <c r="AA306" s="49"/>
      <c r="AB306" s="49"/>
      <c r="AC306" s="49"/>
      <c r="AD306" s="49"/>
      <c r="AE306" s="49"/>
      <c r="AF306" s="49"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49" t="str">
        <f>IFERROR(__xludf.DUMMYFUNCTION("""COMPUTED_VALUE"""),"Land of Spira")</f>
        <v>Land of Spira</v>
      </c>
      <c r="AH306" s="49" t="b">
        <f>IFERROR(__xludf.DUMMYFUNCTION("""COMPUTED_VALUE"""),FALSE)</f>
        <v>0</v>
      </c>
    </row>
    <row r="307">
      <c r="A307" s="49" t="str">
        <f>IFERROR(__xludf.DUMMYFUNCTION("""COMPUTED_VALUE"""),"The Bow of the Fallen Hero")</f>
        <v>The Bow of the Fallen Hero</v>
      </c>
      <c r="B307" s="49" t="str">
        <f>IFERROR(__xludf.DUMMYFUNCTION("""COMPUTED_VALUE"""),"Hand")</f>
        <v>Hand</v>
      </c>
      <c r="C307" s="49"/>
      <c r="D307" s="49" t="str">
        <f>IFERROR(__xludf.DUMMYFUNCTION("""COMPUTED_VALUE"""),"Bow")</f>
        <v>Bow</v>
      </c>
      <c r="E307" s="49">
        <f>IFERROR(__xludf.DUMMYFUNCTION("""COMPUTED_VALUE"""),100.0)</f>
        <v>100</v>
      </c>
      <c r="F307" s="112">
        <f>IFERROR(__xludf.DUMMYFUNCTION("""COMPUTED_VALUE"""),450000.0)</f>
        <v>450000</v>
      </c>
      <c r="G307" s="49" t="str">
        <f>IFERROR(__xludf.DUMMYFUNCTION("""COMPUTED_VALUE"""),"DMG")</f>
        <v>DMG</v>
      </c>
      <c r="H307" s="49">
        <f>IFERROR(__xludf.DUMMYFUNCTION("""COMPUTED_VALUE"""),5000.0)</f>
        <v>5000</v>
      </c>
      <c r="I307" s="49"/>
      <c r="J307" s="49"/>
      <c r="K307" s="49"/>
      <c r="L307" s="49"/>
      <c r="M307" s="49"/>
      <c r="N307" s="49"/>
      <c r="O307" s="49"/>
      <c r="P307" s="49"/>
      <c r="Q307" s="49"/>
      <c r="R307" s="49"/>
      <c r="S307" s="49"/>
      <c r="T307" s="49"/>
      <c r="U307" s="49"/>
      <c r="V307" s="49"/>
      <c r="W307" s="49"/>
      <c r="X307" s="49"/>
      <c r="Y307" s="49"/>
      <c r="Z307" s="49"/>
      <c r="AA307" s="49"/>
      <c r="AB307" s="49"/>
      <c r="AC307" s="49"/>
      <c r="AD307" s="49"/>
      <c r="AE307" s="49"/>
      <c r="AF307" s="49" t="str">
        <f>IFERROR(__xludf.DUMMYFUNCTION("""COMPUTED_VALUE"""),"++Dashing Arrows - You can use up to 6 arrows when attacking with this bow. ")</f>
        <v>++Dashing Arrows - You can use up to 6 arrows when attacking with this bow. </v>
      </c>
      <c r="AG307" s="49" t="str">
        <f>IFERROR(__xludf.DUMMYFUNCTION("""COMPUTED_VALUE"""),"Land of Spira")</f>
        <v>Land of Spira</v>
      </c>
      <c r="AH307" s="49" t="b">
        <f>IFERROR(__xludf.DUMMYFUNCTION("""COMPUTED_VALUE"""),FALSE)</f>
        <v>0</v>
      </c>
    </row>
    <row r="308">
      <c r="A308" s="49" t="str">
        <f>IFERROR(__xludf.DUMMYFUNCTION("""COMPUTED_VALUE"""),"The Bow of the Haunted")</f>
        <v>The Bow of the Haunted</v>
      </c>
      <c r="B308" s="49" t="str">
        <f>IFERROR(__xludf.DUMMYFUNCTION("""COMPUTED_VALUE"""),"Hand")</f>
        <v>Hand</v>
      </c>
      <c r="C308" s="49" t="str">
        <f>IFERROR(__xludf.DUMMYFUNCTION("""COMPUTED_VALUE"""),"Halloween exclusive")</f>
        <v>Halloween exclusive</v>
      </c>
      <c r="D308" s="49" t="str">
        <f>IFERROR(__xludf.DUMMYFUNCTION("""COMPUTED_VALUE"""),"Bow")</f>
        <v>Bow</v>
      </c>
      <c r="E308" s="49">
        <f>IFERROR(__xludf.DUMMYFUNCTION("""COMPUTED_VALUE"""),620.0)</f>
        <v>620</v>
      </c>
      <c r="F308" s="112">
        <f>IFERROR(__xludf.DUMMYFUNCTION("""COMPUTED_VALUE"""),1.891E7)</f>
        <v>18910000</v>
      </c>
      <c r="G308" s="49" t="str">
        <f>IFERROR(__xludf.DUMMYFUNCTION("""COMPUTED_VALUE"""),"DMG")</f>
        <v>DMG</v>
      </c>
      <c r="H308" s="49">
        <f>IFERROR(__xludf.DUMMYFUNCTION("""COMPUTED_VALUE"""),1000.0)</f>
        <v>1000</v>
      </c>
      <c r="I308" s="125">
        <f>IFERROR(__xludf.DUMMYFUNCTION("""COMPUTED_VALUE"""),10000.0)</f>
        <v>10000</v>
      </c>
      <c r="J308" s="49"/>
      <c r="K308" s="49"/>
      <c r="L308" s="49"/>
      <c r="M308" s="49"/>
      <c r="N308" s="49"/>
      <c r="O308" s="125">
        <f>IFERROR(__xludf.DUMMYFUNCTION("""COMPUTED_VALUE"""),10000.0)</f>
        <v>10000</v>
      </c>
      <c r="P308" s="49"/>
      <c r="Q308" s="49"/>
      <c r="R308" s="125">
        <f>IFERROR(__xludf.DUMMYFUNCTION("""COMPUTED_VALUE"""),10000.0)</f>
        <v>10000</v>
      </c>
      <c r="S308" s="49"/>
      <c r="T308" s="49"/>
      <c r="U308" s="49"/>
      <c r="V308" s="49"/>
      <c r="W308" s="49"/>
      <c r="X308" s="49"/>
      <c r="Y308" s="49"/>
      <c r="Z308" s="49"/>
      <c r="AA308" s="49"/>
      <c r="AB308" s="49"/>
      <c r="AC308" s="49"/>
      <c r="AD308" s="49"/>
      <c r="AE308" s="49"/>
      <c r="AF308" s="49"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49" t="str">
        <f>IFERROR(__xludf.DUMMYFUNCTION("""COMPUTED_VALUE"""),"Halloween Kingdom")</f>
        <v>Halloween Kingdom</v>
      </c>
      <c r="AH308" s="49" t="b">
        <f>IFERROR(__xludf.DUMMYFUNCTION("""COMPUTED_VALUE"""),FALSE)</f>
        <v>0</v>
      </c>
    </row>
    <row r="309">
      <c r="A309" s="49" t="str">
        <f>IFERROR(__xludf.DUMMYFUNCTION("""COMPUTED_VALUE"""),"The Bow of the Pandarian")</f>
        <v>The Bow of the Pandarian</v>
      </c>
      <c r="B309" s="49" t="str">
        <f>IFERROR(__xludf.DUMMYFUNCTION("""COMPUTED_VALUE"""),"Hand")</f>
        <v>Hand</v>
      </c>
      <c r="C309" s="49"/>
      <c r="D309" s="49" t="str">
        <f>IFERROR(__xludf.DUMMYFUNCTION("""COMPUTED_VALUE"""),"Bow")</f>
        <v>Bow</v>
      </c>
      <c r="E309" s="49">
        <f>IFERROR(__xludf.DUMMYFUNCTION("""COMPUTED_VALUE"""),40.0)</f>
        <v>40</v>
      </c>
      <c r="F309" s="112">
        <f>IFERROR(__xludf.DUMMYFUNCTION("""COMPUTED_VALUE"""),60000.0)</f>
        <v>60000</v>
      </c>
      <c r="G309" s="49" t="str">
        <f>IFERROR(__xludf.DUMMYFUNCTION("""COMPUTED_VALUE"""),"DMG")</f>
        <v>DMG</v>
      </c>
      <c r="H309" s="49">
        <f>IFERROR(__xludf.DUMMYFUNCTION("""COMPUTED_VALUE"""),2000.0)</f>
        <v>2000</v>
      </c>
      <c r="I309" s="49"/>
      <c r="J309" s="49"/>
      <c r="K309" s="49"/>
      <c r="L309" s="49"/>
      <c r="M309" s="49"/>
      <c r="N309" s="49"/>
      <c r="O309" s="49"/>
      <c r="P309" s="49"/>
      <c r="Q309" s="49"/>
      <c r="R309" s="49"/>
      <c r="S309" s="49"/>
      <c r="T309" s="49"/>
      <c r="U309" s="49"/>
      <c r="V309" s="49"/>
      <c r="W309" s="49"/>
      <c r="X309" s="49"/>
      <c r="Y309" s="49"/>
      <c r="Z309" s="49"/>
      <c r="AA309" s="49"/>
      <c r="AB309" s="49"/>
      <c r="AC309" s="49"/>
      <c r="AD309" s="49"/>
      <c r="AE309" s="49"/>
      <c r="AF309" s="49" t="str">
        <f>IFERROR(__xludf.DUMMYFUNCTION("""COMPUTED_VALUE"""),"++Half the Arrow - Ranged Spells cost half the sp cost, Ranger Enrage - All Ranged Attacks. do double in damage. ")</f>
        <v>++Half the Arrow - Ranged Spells cost half the sp cost, Ranger Enrage - All Ranged Attacks. do double in damage. </v>
      </c>
      <c r="AG309" s="49" t="str">
        <f>IFERROR(__xludf.DUMMYFUNCTION("""COMPUTED_VALUE"""),"Land of Spira")</f>
        <v>Land of Spira</v>
      </c>
      <c r="AH309" s="49" t="b">
        <f>IFERROR(__xludf.DUMMYFUNCTION("""COMPUTED_VALUE"""),FALSE)</f>
        <v>0</v>
      </c>
    </row>
    <row r="310">
      <c r="A310" s="49" t="str">
        <f>IFERROR(__xludf.DUMMYFUNCTION("""COMPUTED_VALUE"""),"The Buster")</f>
        <v>The Buster</v>
      </c>
      <c r="B310" s="49" t="str">
        <f>IFERROR(__xludf.DUMMYFUNCTION("""COMPUTED_VALUE"""),"Hand")</f>
        <v>Hand</v>
      </c>
      <c r="C310" s="49"/>
      <c r="D310" s="49" t="str">
        <f>IFERROR(__xludf.DUMMYFUNCTION("""COMPUTED_VALUE"""),"Sword")</f>
        <v>Sword</v>
      </c>
      <c r="E310" s="49">
        <f>IFERROR(__xludf.DUMMYFUNCTION("""COMPUTED_VALUE"""),400.0)</f>
        <v>400</v>
      </c>
      <c r="F310" s="112">
        <f>IFERROR(__xludf.DUMMYFUNCTION("""COMPUTED_VALUE"""),7800000.0)</f>
        <v>7800000</v>
      </c>
      <c r="G310" s="49" t="str">
        <f>IFERROR(__xludf.DUMMYFUNCTION("""COMPUTED_VALUE"""),"DMG")</f>
        <v>DMG</v>
      </c>
      <c r="H310" s="125">
        <f>IFERROR(__xludf.DUMMYFUNCTION("""COMPUTED_VALUE"""),20000.0)</f>
        <v>20000</v>
      </c>
      <c r="I310" s="49"/>
      <c r="J310" s="49"/>
      <c r="K310" s="49"/>
      <c r="L310" s="49"/>
      <c r="M310" s="49"/>
      <c r="N310" s="49"/>
      <c r="O310" s="49"/>
      <c r="P310" s="49"/>
      <c r="Q310" s="49"/>
      <c r="R310" s="49"/>
      <c r="S310" s="49"/>
      <c r="T310" s="49"/>
      <c r="U310" s="49"/>
      <c r="V310" s="49"/>
      <c r="W310" s="49"/>
      <c r="X310" s="49"/>
      <c r="Y310" s="49"/>
      <c r="Z310" s="49"/>
      <c r="AA310" s="49"/>
      <c r="AB310" s="49"/>
      <c r="AC310" s="49"/>
      <c r="AD310" s="49"/>
      <c r="AE310" s="49"/>
      <c r="AF310" s="49"/>
      <c r="AG310" s="49" t="str">
        <f>IFERROR(__xludf.DUMMYFUNCTION("""COMPUTED_VALUE"""),"Land of Spira")</f>
        <v>Land of Spira</v>
      </c>
      <c r="AH310" s="49" t="b">
        <f>IFERROR(__xludf.DUMMYFUNCTION("""COMPUTED_VALUE"""),TRUE)</f>
        <v>1</v>
      </c>
    </row>
    <row r="311">
      <c r="A311" s="49" t="str">
        <f>IFERROR(__xludf.DUMMYFUNCTION("""COMPUTED_VALUE"""),"The Dawn Splitter")</f>
        <v>The Dawn Splitter</v>
      </c>
      <c r="B311" s="49" t="str">
        <f>IFERROR(__xludf.DUMMYFUNCTION("""COMPUTED_VALUE"""),"Hand")</f>
        <v>Hand</v>
      </c>
      <c r="C311" s="49"/>
      <c r="D311" s="49" t="str">
        <f>IFERROR(__xludf.DUMMYFUNCTION("""COMPUTED_VALUE"""),"Sword")</f>
        <v>Sword</v>
      </c>
      <c r="E311" s="49">
        <f>IFERROR(__xludf.DUMMYFUNCTION("""COMPUTED_VALUE"""),200.0)</f>
        <v>200</v>
      </c>
      <c r="F311" s="112">
        <f>IFERROR(__xludf.DUMMYFUNCTION("""COMPUTED_VALUE"""),7.98E8)</f>
        <v>798000000</v>
      </c>
      <c r="G311" s="49" t="str">
        <f>IFERROR(__xludf.DUMMYFUNCTION("""COMPUTED_VALUE"""),"DMG")</f>
        <v>DMG</v>
      </c>
      <c r="H311" s="125">
        <f>IFERROR(__xludf.DUMMYFUNCTION("""COMPUTED_VALUE"""),50000.0)</f>
        <v>50000</v>
      </c>
      <c r="I311" s="125">
        <f>IFERROR(__xludf.DUMMYFUNCTION("""COMPUTED_VALUE"""),50000.0)</f>
        <v>50000</v>
      </c>
      <c r="J311" s="49"/>
      <c r="K311" s="49"/>
      <c r="L311" s="49"/>
      <c r="M311" s="49"/>
      <c r="N311" s="49"/>
      <c r="O311" s="125">
        <f>IFERROR(__xludf.DUMMYFUNCTION("""COMPUTED_VALUE"""),50000.0)</f>
        <v>50000</v>
      </c>
      <c r="P311" s="49"/>
      <c r="Q311" s="49"/>
      <c r="R311" s="49"/>
      <c r="S311" s="49"/>
      <c r="T311" s="49"/>
      <c r="U311" s="49"/>
      <c r="V311" s="49"/>
      <c r="W311" s="49"/>
      <c r="X311" s="49"/>
      <c r="Y311" s="49"/>
      <c r="Z311" s="49"/>
      <c r="AA311" s="49"/>
      <c r="AB311" s="49"/>
      <c r="AC311" s="125">
        <f>IFERROR(__xludf.DUMMYFUNCTION("""COMPUTED_VALUE"""),50000.0)</f>
        <v>50000</v>
      </c>
      <c r="AD311" s="49"/>
      <c r="AE311" s="49"/>
      <c r="AF311" s="49" t="str">
        <f>IFERROR(__xludf.DUMMYFUNCTION("""COMPUTED_VALUE"""),"++50% Chance to put the target to sleep.")</f>
        <v>++50% Chance to put the target to sleep.</v>
      </c>
      <c r="AG311" s="49" t="str">
        <f>IFERROR(__xludf.DUMMYFUNCTION("""COMPUTED_VALUE"""),"Abstara")</f>
        <v>Abstara</v>
      </c>
      <c r="AH311" s="49" t="b">
        <f>IFERROR(__xludf.DUMMYFUNCTION("""COMPUTED_VALUE"""),FALSE)</f>
        <v>0</v>
      </c>
    </row>
    <row r="312">
      <c r="A312" s="49" t="str">
        <f>IFERROR(__xludf.DUMMYFUNCTION("""COMPUTED_VALUE"""),"The Dragon King's Crown")</f>
        <v>The Dragon King's Crown</v>
      </c>
      <c r="B312" s="49" t="str">
        <f>IFERROR(__xludf.DUMMYFUNCTION("""COMPUTED_VALUE"""),"Head")</f>
        <v>Head</v>
      </c>
      <c r="C312" s="49"/>
      <c r="D312" s="49"/>
      <c r="E312" s="49">
        <f>IFERROR(__xludf.DUMMYFUNCTION("""COMPUTED_VALUE"""),400.0)</f>
        <v>400</v>
      </c>
      <c r="F312" s="112">
        <f>IFERROR(__xludf.DUMMYFUNCTION("""COMPUTED_VALUE"""),7800000.0)</f>
        <v>7800000</v>
      </c>
      <c r="G312" s="49" t="str">
        <f>IFERROR(__xludf.DUMMYFUNCTION("""COMPUTED_VALUE"""),"DEF")</f>
        <v>DEF</v>
      </c>
      <c r="H312" s="125">
        <f>IFERROR(__xludf.DUMMYFUNCTION("""COMPUTED_VALUE"""),20000.0)</f>
        <v>20000</v>
      </c>
      <c r="I312" s="49"/>
      <c r="J312" s="49"/>
      <c r="K312" s="49"/>
      <c r="L312" s="49"/>
      <c r="M312" s="49"/>
      <c r="N312" s="49"/>
      <c r="O312" s="49"/>
      <c r="P312" s="49"/>
      <c r="Q312" s="49"/>
      <c r="R312" s="49"/>
      <c r="S312" s="49"/>
      <c r="T312" s="49"/>
      <c r="U312" s="49"/>
      <c r="V312" s="49"/>
      <c r="W312" s="49"/>
      <c r="X312" s="49"/>
      <c r="Y312" s="49"/>
      <c r="Z312" s="49"/>
      <c r="AA312" s="49"/>
      <c r="AB312" s="49"/>
      <c r="AC312" s="49"/>
      <c r="AD312" s="49"/>
      <c r="AE312" s="49"/>
      <c r="AF312" s="49" t="str">
        <f>IFERROR(__xludf.DUMMYFUNCTION("""COMPUTED_VALUE"""),"++Immunity to damage from Natural Attacks...")</f>
        <v>++Immunity to damage from Natural Attacks...</v>
      </c>
      <c r="AG312" s="49" t="str">
        <f>IFERROR(__xludf.DUMMYFUNCTION("""COMPUTED_VALUE"""),"Land of Spira")</f>
        <v>Land of Spira</v>
      </c>
      <c r="AH312" s="49" t="b">
        <f>IFERROR(__xludf.DUMMYFUNCTION("""COMPUTED_VALUE"""),FALSE)</f>
        <v>0</v>
      </c>
    </row>
    <row r="313">
      <c r="A313" s="49" t="str">
        <f>IFERROR(__xludf.DUMMYFUNCTION("""COMPUTED_VALUE"""),"The Guardian Of Death's Sword")</f>
        <v>The Guardian Of Death's Sword</v>
      </c>
      <c r="B313" s="49" t="str">
        <f>IFERROR(__xludf.DUMMYFUNCTION("""COMPUTED_VALUE"""),"Hand")</f>
        <v>Hand</v>
      </c>
      <c r="C313" s="49"/>
      <c r="D313" s="49" t="str">
        <f>IFERROR(__xludf.DUMMYFUNCTION("""COMPUTED_VALUE"""),"Sword")</f>
        <v>Sword</v>
      </c>
      <c r="E313" s="49">
        <f>IFERROR(__xludf.DUMMYFUNCTION("""COMPUTED_VALUE"""),600.0)</f>
        <v>600</v>
      </c>
      <c r="F313" s="112">
        <f>IFERROR(__xludf.DUMMYFUNCTION("""COMPUTED_VALUE"""),1.77E7)</f>
        <v>17700000</v>
      </c>
      <c r="G313" s="49" t="str">
        <f>IFERROR(__xludf.DUMMYFUNCTION("""COMPUTED_VALUE"""),"DMG")</f>
        <v>DMG</v>
      </c>
      <c r="H313" s="49">
        <f>IFERROR(__xludf.DUMMYFUNCTION("""COMPUTED_VALUE"""),15000.0)</f>
        <v>15000</v>
      </c>
      <c r="I313" s="49"/>
      <c r="J313" s="49"/>
      <c r="K313" s="49"/>
      <c r="L313" s="49"/>
      <c r="M313" s="49"/>
      <c r="N313" s="49"/>
      <c r="O313" s="49">
        <f>IFERROR(__xludf.DUMMYFUNCTION("""COMPUTED_VALUE"""),5000.0)</f>
        <v>5000</v>
      </c>
      <c r="P313" s="49">
        <f>IFERROR(__xludf.DUMMYFUNCTION("""COMPUTED_VALUE"""),5000.0)</f>
        <v>5000</v>
      </c>
      <c r="Q313" s="49"/>
      <c r="R313" s="49">
        <f>IFERROR(__xludf.DUMMYFUNCTION("""COMPUTED_VALUE"""),5000.0)</f>
        <v>5000</v>
      </c>
      <c r="S313" s="49"/>
      <c r="T313" s="49"/>
      <c r="U313" s="49"/>
      <c r="V313" s="49"/>
      <c r="W313" s="49"/>
      <c r="X313" s="49"/>
      <c r="Y313" s="49"/>
      <c r="Z313" s="49"/>
      <c r="AA313" s="49"/>
      <c r="AB313" s="49"/>
      <c r="AC313" s="49"/>
      <c r="AD313" s="49"/>
      <c r="AE313" s="49"/>
      <c r="AF313" s="49"/>
      <c r="AG313" s="49" t="str">
        <f>IFERROR(__xludf.DUMMYFUNCTION("""COMPUTED_VALUE"""),"Land of Spira")</f>
        <v>Land of Spira</v>
      </c>
      <c r="AH313" s="49" t="b">
        <f>IFERROR(__xludf.DUMMYFUNCTION("""COMPUTED_VALUE"""),TRUE)</f>
        <v>1</v>
      </c>
    </row>
    <row r="314">
      <c r="A314" s="49" t="str">
        <f>IFERROR(__xludf.DUMMYFUNCTION("""COMPUTED_VALUE"""),"The Helm of Foul Night")</f>
        <v>The Helm of Foul Night</v>
      </c>
      <c r="B314" s="49" t="str">
        <f>IFERROR(__xludf.DUMMYFUNCTION("""COMPUTED_VALUE"""),"Head")</f>
        <v>Head</v>
      </c>
      <c r="C314" s="49"/>
      <c r="D314" s="49"/>
      <c r="E314" s="49">
        <f>IFERROR(__xludf.DUMMYFUNCTION("""COMPUTED_VALUE"""),200.0)</f>
        <v>200</v>
      </c>
      <c r="F314" s="112">
        <f>IFERROR(__xludf.DUMMYFUNCTION("""COMPUTED_VALUE"""),1900000.0)</f>
        <v>1900000</v>
      </c>
      <c r="G314" s="49" t="str">
        <f>IFERROR(__xludf.DUMMYFUNCTION("""COMPUTED_VALUE"""),"DEF")</f>
        <v>DEF</v>
      </c>
      <c r="H314" s="49">
        <f>IFERROR(__xludf.DUMMYFUNCTION("""COMPUTED_VALUE"""),5000.0)</f>
        <v>5000</v>
      </c>
      <c r="I314" s="49"/>
      <c r="J314" s="49"/>
      <c r="K314" s="49"/>
      <c r="L314" s="49"/>
      <c r="M314" s="49"/>
      <c r="N314" s="49"/>
      <c r="O314" s="49"/>
      <c r="P314" s="49"/>
      <c r="Q314" s="49"/>
      <c r="R314" s="49"/>
      <c r="S314" s="49">
        <f>IFERROR(__xludf.DUMMYFUNCTION("""COMPUTED_VALUE"""),5000.0)</f>
        <v>5000</v>
      </c>
      <c r="T314" s="49"/>
      <c r="U314" s="49"/>
      <c r="V314" s="49"/>
      <c r="W314" s="49"/>
      <c r="X314" s="49"/>
      <c r="Y314" s="49"/>
      <c r="Z314" s="49"/>
      <c r="AA314" s="49"/>
      <c r="AB314" s="49"/>
      <c r="AC314" s="49"/>
      <c r="AD314" s="49"/>
      <c r="AE314" s="49"/>
      <c r="AF314" s="49" t="str">
        <f>IFERROR(__xludf.DUMMYFUNCTION("""COMPUTED_VALUE"""),"(Foul Night Set) ++X2 Nature and Poison damage. ++Poison Immunity. ")</f>
        <v>(Foul Night Set) ++X2 Nature and Poison damage. ++Poison Immunity. </v>
      </c>
      <c r="AG314" s="49" t="str">
        <f>IFERROR(__xludf.DUMMYFUNCTION("""COMPUTED_VALUE"""),"Land of Spira")</f>
        <v>Land of Spira</v>
      </c>
      <c r="AH314" s="49" t="b">
        <f>IFERROR(__xludf.DUMMYFUNCTION("""COMPUTED_VALUE"""),FALSE)</f>
        <v>0</v>
      </c>
    </row>
    <row r="315">
      <c r="A315" s="49" t="str">
        <f>IFERROR(__xludf.DUMMYFUNCTION("""COMPUTED_VALUE"""),"The Invisible Spear")</f>
        <v>The Invisible Spear</v>
      </c>
      <c r="B315" s="49" t="str">
        <f>IFERROR(__xludf.DUMMYFUNCTION("""COMPUTED_VALUE"""),"Hand")</f>
        <v>Hand</v>
      </c>
      <c r="C315" s="49"/>
      <c r="D315" s="49" t="str">
        <f>IFERROR(__xludf.DUMMYFUNCTION("""COMPUTED_VALUE"""),"Spear")</f>
        <v>Spear</v>
      </c>
      <c r="E315" s="49">
        <f>IFERROR(__xludf.DUMMYFUNCTION("""COMPUTED_VALUE"""),1.0)</f>
        <v>1</v>
      </c>
      <c r="F315" s="112">
        <f>IFERROR(__xludf.DUMMYFUNCTION("""COMPUTED_VALUE"""),0.0)</f>
        <v>0</v>
      </c>
      <c r="G315" s="49" t="str">
        <f>IFERROR(__xludf.DUMMYFUNCTION("""COMPUTED_VALUE"""),"DMG")</f>
        <v>DMG</v>
      </c>
      <c r="H315" s="49">
        <f>IFERROR(__xludf.DUMMYFUNCTION("""COMPUTED_VALUE"""),200.0)</f>
        <v>200</v>
      </c>
      <c r="I315" s="49"/>
      <c r="J315" s="49"/>
      <c r="K315" s="49"/>
      <c r="L315" s="49"/>
      <c r="M315" s="49"/>
      <c r="N315" s="49"/>
      <c r="O315" s="49"/>
      <c r="P315" s="49"/>
      <c r="Q315" s="49"/>
      <c r="R315" s="49"/>
      <c r="S315" s="49"/>
      <c r="T315" s="49"/>
      <c r="U315" s="49"/>
      <c r="V315" s="49"/>
      <c r="W315" s="49"/>
      <c r="X315" s="49"/>
      <c r="Y315" s="49"/>
      <c r="Z315" s="49"/>
      <c r="AA315" s="49"/>
      <c r="AB315" s="49"/>
      <c r="AC315" s="49"/>
      <c r="AD315" s="49"/>
      <c r="AE315" s="49"/>
      <c r="AF315" s="49" t="str">
        <f>IFERROR(__xludf.DUMMYFUNCTION("""COMPUTED_VALUE"""),"++ignores evasion")</f>
        <v>++ignores evasion</v>
      </c>
      <c r="AG315" s="49" t="str">
        <f>IFERROR(__xludf.DUMMYFUNCTION("""COMPUTED_VALUE"""),"Land of Spira")</f>
        <v>Land of Spira</v>
      </c>
      <c r="AH315" s="49" t="b">
        <f>IFERROR(__xludf.DUMMYFUNCTION("""COMPUTED_VALUE"""),FALSE)</f>
        <v>0</v>
      </c>
    </row>
    <row r="316">
      <c r="A316" s="49" t="str">
        <f>IFERROR(__xludf.DUMMYFUNCTION("""COMPUTED_VALUE"""),"The Mysterious Mirror")</f>
        <v>The Mysterious Mirror</v>
      </c>
      <c r="B316" s="49" t="str">
        <f>IFERROR(__xludf.DUMMYFUNCTION("""COMPUTED_VALUE"""),"Hand")</f>
        <v>Hand</v>
      </c>
      <c r="C316" s="49"/>
      <c r="D316" s="49" t="str">
        <f>IFERROR(__xludf.DUMMYFUNCTION("""COMPUTED_VALUE"""),"Towershield")</f>
        <v>Towershield</v>
      </c>
      <c r="E316" s="49">
        <f>IFERROR(__xludf.DUMMYFUNCTION("""COMPUTED_VALUE"""),1.0)</f>
        <v>1</v>
      </c>
      <c r="F316" s="112">
        <f>IFERROR(__xludf.DUMMYFUNCTION("""COMPUTED_VALUE"""),0.0)</f>
        <v>0</v>
      </c>
      <c r="G316" s="49"/>
      <c r="H316" s="49"/>
      <c r="I316" s="49"/>
      <c r="J316" s="49"/>
      <c r="K316" s="49"/>
      <c r="L316" s="49"/>
      <c r="M316" s="49"/>
      <c r="N316" s="49"/>
      <c r="O316" s="49"/>
      <c r="P316" s="49"/>
      <c r="Q316" s="49"/>
      <c r="R316" s="49"/>
      <c r="S316" s="49"/>
      <c r="T316" s="49"/>
      <c r="U316" s="49"/>
      <c r="V316" s="49"/>
      <c r="W316" s="49"/>
      <c r="X316" s="49"/>
      <c r="Y316" s="49"/>
      <c r="Z316" s="49"/>
      <c r="AA316" s="49"/>
      <c r="AB316" s="49"/>
      <c r="AC316" s="49"/>
      <c r="AD316" s="49"/>
      <c r="AE316" s="49"/>
      <c r="AF316" s="49"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49" t="str">
        <f>IFERROR(__xludf.DUMMYFUNCTION("""COMPUTED_VALUE"""),"Land of The Forgotten")</f>
        <v>Land of The Forgotten</v>
      </c>
      <c r="AH316" s="49" t="b">
        <f>IFERROR(__xludf.DUMMYFUNCTION("""COMPUTED_VALUE"""),FALSE)</f>
        <v>0</v>
      </c>
    </row>
    <row r="317">
      <c r="A317" s="49" t="str">
        <f>IFERROR(__xludf.DUMMYFUNCTION("""COMPUTED_VALUE"""),"The Puppet Masters Amulet")</f>
        <v>The Puppet Masters Amulet</v>
      </c>
      <c r="B317" s="49" t="str">
        <f>IFERROR(__xludf.DUMMYFUNCTION("""COMPUTED_VALUE"""),"Neck")</f>
        <v>Neck</v>
      </c>
      <c r="C317" s="49"/>
      <c r="D317" s="49"/>
      <c r="E317" s="49">
        <f>IFERROR(__xludf.DUMMYFUNCTION("""COMPUTED_VALUE"""),1.0)</f>
        <v>1</v>
      </c>
      <c r="F317" s="112">
        <f>IFERROR(__xludf.DUMMYFUNCTION("""COMPUTED_VALUE"""),0.0)</f>
        <v>0</v>
      </c>
      <c r="G317" s="49"/>
      <c r="H317" s="49"/>
      <c r="I317" s="49"/>
      <c r="J317" s="49"/>
      <c r="K317" s="49"/>
      <c r="L317" s="49"/>
      <c r="M317" s="49"/>
      <c r="N317" s="49"/>
      <c r="O317" s="49"/>
      <c r="P317" s="49"/>
      <c r="Q317" s="49"/>
      <c r="R317" s="49"/>
      <c r="S317" s="49"/>
      <c r="T317" s="49"/>
      <c r="U317" s="49"/>
      <c r="V317" s="49"/>
      <c r="W317" s="49"/>
      <c r="X317" s="49"/>
      <c r="Y317" s="49"/>
      <c r="Z317" s="49"/>
      <c r="AA317" s="49"/>
      <c r="AB317" s="49"/>
      <c r="AC317" s="49"/>
      <c r="AD317" s="49"/>
      <c r="AE317" s="49"/>
      <c r="AF317" s="49" t="str">
        <f>IFERROR(__xludf.DUMMYFUNCTION("""COMPUTED_VALUE"""),"++Immune to possession.  +-Cannot be duplicated.")</f>
        <v>++Immune to possession.  +-Cannot be duplicated.</v>
      </c>
      <c r="AG317" s="49" t="str">
        <f>IFERROR(__xludf.DUMMYFUNCTION("""COMPUTED_VALUE"""),"Land of The Forgotten")</f>
        <v>Land of The Forgotten</v>
      </c>
      <c r="AH317" s="49" t="b">
        <f>IFERROR(__xludf.DUMMYFUNCTION("""COMPUTED_VALUE"""),FALSE)</f>
        <v>0</v>
      </c>
    </row>
    <row r="318">
      <c r="A318" s="49" t="str">
        <f>IFERROR(__xludf.DUMMYFUNCTION("""COMPUTED_VALUE"""),"The Puppet Masters Cloak")</f>
        <v>The Puppet Masters Cloak</v>
      </c>
      <c r="B318" s="49" t="str">
        <f>IFERROR(__xludf.DUMMYFUNCTION("""COMPUTED_VALUE"""),"Torso")</f>
        <v>Torso</v>
      </c>
      <c r="C318" s="49"/>
      <c r="D318" s="49"/>
      <c r="E318" s="49">
        <f>IFERROR(__xludf.DUMMYFUNCTION("""COMPUTED_VALUE"""),1.0)</f>
        <v>1</v>
      </c>
      <c r="F318" s="112">
        <f>IFERROR(__xludf.DUMMYFUNCTION("""COMPUTED_VALUE"""),0.0)</f>
        <v>0</v>
      </c>
      <c r="G318" s="49"/>
      <c r="H318" s="49"/>
      <c r="I318" s="49"/>
      <c r="J318" s="49"/>
      <c r="K318" s="49"/>
      <c r="L318" s="49"/>
      <c r="M318" s="49"/>
      <c r="N318" s="49"/>
      <c r="O318" s="49"/>
      <c r="P318" s="49"/>
      <c r="Q318" s="49"/>
      <c r="R318" s="49"/>
      <c r="S318" s="49"/>
      <c r="T318" s="49"/>
      <c r="U318" s="49"/>
      <c r="V318" s="49"/>
      <c r="W318" s="49"/>
      <c r="X318" s="49"/>
      <c r="Y318" s="49"/>
      <c r="Z318" s="49"/>
      <c r="AA318" s="49"/>
      <c r="AB318" s="49"/>
      <c r="AC318" s="49"/>
      <c r="AD318" s="49"/>
      <c r="AE318" s="49"/>
      <c r="AF318" s="49" t="str">
        <f>IFERROR(__xludf.DUMMYFUNCTION("""COMPUTED_VALUE"""),"++User and allies gain immunity to chaos and dark damage while in the party. +-Cannot be duplicated")</f>
        <v>++User and allies gain immunity to chaos and dark damage while in the party. +-Cannot be duplicated</v>
      </c>
      <c r="AG318" s="49" t="str">
        <f>IFERROR(__xludf.DUMMYFUNCTION("""COMPUTED_VALUE"""),"Land of The Forgotten")</f>
        <v>Land of The Forgotten</v>
      </c>
      <c r="AH318" s="49" t="b">
        <f>IFERROR(__xludf.DUMMYFUNCTION("""COMPUTED_VALUE"""),FALSE)</f>
        <v>0</v>
      </c>
    </row>
    <row r="319">
      <c r="A319" s="49" t="str">
        <f>IFERROR(__xludf.DUMMYFUNCTION("""COMPUTED_VALUE"""),"The Puppet Masters Ring")</f>
        <v>The Puppet Masters Ring</v>
      </c>
      <c r="B319" s="49" t="str">
        <f>IFERROR(__xludf.DUMMYFUNCTION("""COMPUTED_VALUE"""),"Ring")</f>
        <v>Ring</v>
      </c>
      <c r="C319" s="49"/>
      <c r="D319" s="49"/>
      <c r="E319" s="49">
        <f>IFERROR(__xludf.DUMMYFUNCTION("""COMPUTED_VALUE"""),1.0)</f>
        <v>1</v>
      </c>
      <c r="F319" s="112">
        <f>IFERROR(__xludf.DUMMYFUNCTION("""COMPUTED_VALUE"""),0.0)</f>
        <v>0</v>
      </c>
      <c r="G319" s="49"/>
      <c r="H319" s="49"/>
      <c r="I319" s="49"/>
      <c r="J319" s="49"/>
      <c r="K319" s="49"/>
      <c r="L319" s="49"/>
      <c r="M319" s="49"/>
      <c r="N319" s="49"/>
      <c r="O319" s="49"/>
      <c r="P319" s="49"/>
      <c r="Q319" s="49"/>
      <c r="R319" s="49"/>
      <c r="S319" s="49"/>
      <c r="T319" s="49"/>
      <c r="U319" s="49"/>
      <c r="V319" s="49"/>
      <c r="W319" s="49"/>
      <c r="X319" s="49"/>
      <c r="Y319" s="49"/>
      <c r="Z319" s="49"/>
      <c r="AA319" s="49"/>
      <c r="AB319" s="49"/>
      <c r="AC319" s="49"/>
      <c r="AD319" s="49"/>
      <c r="AE319" s="49"/>
      <c r="AF319" s="49" t="str">
        <f>IFERROR(__xludf.DUMMYFUNCTION("""COMPUTED_VALUE"""),"++Take control of a target of choice. Fail/Succeed roll, (This effect counts as a possession)  +-Cannot be duplicated.")</f>
        <v>++Take control of a target of choice. Fail/Succeed roll, (This effect counts as a possession)  +-Cannot be duplicated.</v>
      </c>
      <c r="AG319" s="49" t="str">
        <f>IFERROR(__xludf.DUMMYFUNCTION("""COMPUTED_VALUE"""),"Land of The Forgotten")</f>
        <v>Land of The Forgotten</v>
      </c>
      <c r="AH319" s="49" t="b">
        <f>IFERROR(__xludf.DUMMYFUNCTION("""COMPUTED_VALUE"""),FALSE)</f>
        <v>0</v>
      </c>
    </row>
    <row r="320">
      <c r="A320" s="49" t="str">
        <f>IFERROR(__xludf.DUMMYFUNCTION("""COMPUTED_VALUE"""),"The Red Sword")</f>
        <v>The Red Sword</v>
      </c>
      <c r="B320" s="49" t="str">
        <f>IFERROR(__xludf.DUMMYFUNCTION("""COMPUTED_VALUE"""),"Hand")</f>
        <v>Hand</v>
      </c>
      <c r="C320" s="49" t="str">
        <f>IFERROR(__xludf.DUMMYFUNCTION("""COMPUTED_VALUE"""),"A Sword that was made of Vampire’s Blood")</f>
        <v>A Sword that was made of Vampire’s Blood</v>
      </c>
      <c r="D320" s="49" t="str">
        <f>IFERROR(__xludf.DUMMYFUNCTION("""COMPUTED_VALUE"""),"Sword")</f>
        <v>Sword</v>
      </c>
      <c r="E320" s="49">
        <f>IFERROR(__xludf.DUMMYFUNCTION("""COMPUTED_VALUE"""),1.0)</f>
        <v>1</v>
      </c>
      <c r="F320" s="112">
        <f>IFERROR(__xludf.DUMMYFUNCTION("""COMPUTED_VALUE"""),0.0)</f>
        <v>0</v>
      </c>
      <c r="G320" s="49" t="str">
        <f>IFERROR(__xludf.DUMMYFUNCTION("""COMPUTED_VALUE"""),"DMG")</f>
        <v>DMG</v>
      </c>
      <c r="H320" s="49">
        <f>IFERROR(__xludf.DUMMYFUNCTION("""COMPUTED_VALUE"""),300.0)</f>
        <v>300</v>
      </c>
      <c r="I320" s="49"/>
      <c r="J320" s="49"/>
      <c r="K320" s="49"/>
      <c r="L320" s="49"/>
      <c r="M320" s="49"/>
      <c r="N320" s="49"/>
      <c r="O320" s="49"/>
      <c r="P320" s="49"/>
      <c r="Q320" s="49"/>
      <c r="R320" s="49"/>
      <c r="S320" s="49"/>
      <c r="T320" s="49"/>
      <c r="U320" s="49"/>
      <c r="V320" s="49"/>
      <c r="W320" s="49"/>
      <c r="X320" s="49"/>
      <c r="Y320" s="49"/>
      <c r="Z320" s="49"/>
      <c r="AA320" s="49"/>
      <c r="AB320" s="49"/>
      <c r="AC320" s="49"/>
      <c r="AD320" s="49"/>
      <c r="AE320" s="49"/>
      <c r="AF320" s="49"/>
      <c r="AG320" s="49" t="str">
        <f>IFERROR(__xludf.DUMMYFUNCTION("""COMPUTED_VALUE"""),"Land of Spira")</f>
        <v>Land of Spira</v>
      </c>
      <c r="AH320" s="49" t="b">
        <f>IFERROR(__xludf.DUMMYFUNCTION("""COMPUTED_VALUE"""),TRUE)</f>
        <v>1</v>
      </c>
    </row>
    <row r="321">
      <c r="A321" s="49" t="str">
        <f>IFERROR(__xludf.DUMMYFUNCTION("""COMPUTED_VALUE"""),"The Servants Sword")</f>
        <v>The Servants Sword</v>
      </c>
      <c r="B321" s="49" t="str">
        <f>IFERROR(__xludf.DUMMYFUNCTION("""COMPUTED_VALUE"""),"Hand")</f>
        <v>Hand</v>
      </c>
      <c r="C321" s="49"/>
      <c r="D321" s="49" t="str">
        <f>IFERROR(__xludf.DUMMYFUNCTION("""COMPUTED_VALUE"""),"Sword")</f>
        <v>Sword</v>
      </c>
      <c r="E321" s="49">
        <f>IFERROR(__xludf.DUMMYFUNCTION("""COMPUTED_VALUE"""),600.0)</f>
        <v>600</v>
      </c>
      <c r="F321" s="112">
        <f>IFERROR(__xludf.DUMMYFUNCTION("""COMPUTED_VALUE"""),1.77E7)</f>
        <v>17700000</v>
      </c>
      <c r="G321" s="49" t="str">
        <f>IFERROR(__xludf.DUMMYFUNCTION("""COMPUTED_VALUE"""),"DMG")</f>
        <v>DMG</v>
      </c>
      <c r="H321" s="125">
        <f>IFERROR(__xludf.DUMMYFUNCTION("""COMPUTED_VALUE"""),20000.0)</f>
        <v>20000</v>
      </c>
      <c r="I321" s="49"/>
      <c r="J321" s="49"/>
      <c r="K321" s="49"/>
      <c r="L321" s="49"/>
      <c r="M321" s="49"/>
      <c r="N321" s="49"/>
      <c r="O321" s="49"/>
      <c r="P321" s="49"/>
      <c r="Q321" s="49"/>
      <c r="R321" s="125">
        <f>IFERROR(__xludf.DUMMYFUNCTION("""COMPUTED_VALUE"""),10000.0)</f>
        <v>10000</v>
      </c>
      <c r="S321" s="49"/>
      <c r="T321" s="49"/>
      <c r="U321" s="49"/>
      <c r="V321" s="49"/>
      <c r="W321" s="49"/>
      <c r="X321" s="49"/>
      <c r="Y321" s="49"/>
      <c r="Z321" s="49"/>
      <c r="AA321" s="49"/>
      <c r="AB321" s="49"/>
      <c r="AC321" s="49"/>
      <c r="AD321" s="49"/>
      <c r="AE321" s="49"/>
      <c r="AF321" s="49"/>
      <c r="AG321" s="49"/>
      <c r="AH321" s="49" t="b">
        <f>IFERROR(__xludf.DUMMYFUNCTION("""COMPUTED_VALUE"""),FALSE)</f>
        <v>0</v>
      </c>
    </row>
    <row r="322">
      <c r="A322" s="49" t="str">
        <f>IFERROR(__xludf.DUMMYFUNCTION("""COMPUTED_VALUE"""),"The Shield of Foul Night")</f>
        <v>The Shield of Foul Night</v>
      </c>
      <c r="B322" s="49" t="str">
        <f>IFERROR(__xludf.DUMMYFUNCTION("""COMPUTED_VALUE"""),"Hand")</f>
        <v>Hand</v>
      </c>
      <c r="C322" s="49"/>
      <c r="D322" s="49" t="str">
        <f>IFERROR(__xludf.DUMMYFUNCTION("""COMPUTED_VALUE"""),"Buckler")</f>
        <v>Buckler</v>
      </c>
      <c r="E322" s="49">
        <f>IFERROR(__xludf.DUMMYFUNCTION("""COMPUTED_VALUE"""),200.0)</f>
        <v>200</v>
      </c>
      <c r="F322" s="112">
        <f>IFERROR(__xludf.DUMMYFUNCTION("""COMPUTED_VALUE"""),1900000.0)</f>
        <v>1900000</v>
      </c>
      <c r="G322" s="49" t="str">
        <f>IFERROR(__xludf.DUMMYFUNCTION("""COMPUTED_VALUE"""),"DEF")</f>
        <v>DEF</v>
      </c>
      <c r="H322" s="49">
        <f>IFERROR(__xludf.DUMMYFUNCTION("""COMPUTED_VALUE"""),5000.0)</f>
        <v>5000</v>
      </c>
      <c r="I322" s="49"/>
      <c r="J322" s="49"/>
      <c r="K322" s="49"/>
      <c r="L322" s="49"/>
      <c r="M322" s="49"/>
      <c r="N322" s="49"/>
      <c r="O322" s="49"/>
      <c r="P322" s="49"/>
      <c r="Q322" s="49"/>
      <c r="R322" s="49"/>
      <c r="S322" s="49">
        <f>IFERROR(__xludf.DUMMYFUNCTION("""COMPUTED_VALUE"""),5000.0)</f>
        <v>5000</v>
      </c>
      <c r="T322" s="49"/>
      <c r="U322" s="49"/>
      <c r="V322" s="49"/>
      <c r="W322" s="49"/>
      <c r="X322" s="49"/>
      <c r="Y322" s="49"/>
      <c r="Z322" s="49"/>
      <c r="AA322" s="49"/>
      <c r="AB322" s="49"/>
      <c r="AC322" s="49"/>
      <c r="AD322" s="49"/>
      <c r="AE322" s="49"/>
      <c r="AF322" s="49" t="str">
        <f>IFERROR(__xludf.DUMMYFUNCTION("""COMPUTED_VALUE"""),"(Foul Night Set) ++Nature Immunity, Poison Immunity")</f>
        <v>(Foul Night Set) ++Nature Immunity, Poison Immunity</v>
      </c>
      <c r="AG322" s="49" t="str">
        <f>IFERROR(__xludf.DUMMYFUNCTION("""COMPUTED_VALUE"""),"Land of Spira")</f>
        <v>Land of Spira</v>
      </c>
      <c r="AH322" s="49" t="b">
        <f>IFERROR(__xludf.DUMMYFUNCTION("""COMPUTED_VALUE"""),FALSE)</f>
        <v>0</v>
      </c>
    </row>
    <row r="323">
      <c r="A323" s="49" t="str">
        <f>IFERROR(__xludf.DUMMYFUNCTION("""COMPUTED_VALUE"""),"The Staff of  Haunted Bones")</f>
        <v>The Staff of  Haunted Bones</v>
      </c>
      <c r="B323" s="49" t="str">
        <f>IFERROR(__xludf.DUMMYFUNCTION("""COMPUTED_VALUE"""),"Hand")</f>
        <v>Hand</v>
      </c>
      <c r="C323" s="49" t="str">
        <f>IFERROR(__xludf.DUMMYFUNCTION("""COMPUTED_VALUE"""),"Halloween exclusive")</f>
        <v>Halloween exclusive</v>
      </c>
      <c r="D323" s="49" t="str">
        <f>IFERROR(__xludf.DUMMYFUNCTION("""COMPUTED_VALUE"""),"Staff")</f>
        <v>Staff</v>
      </c>
      <c r="E323" s="49">
        <f>IFERROR(__xludf.DUMMYFUNCTION("""COMPUTED_VALUE"""),1.0)</f>
        <v>1</v>
      </c>
      <c r="F323" s="112">
        <f>IFERROR(__xludf.DUMMYFUNCTION("""COMPUTED_VALUE"""),0.0)</f>
        <v>0</v>
      </c>
      <c r="G323" s="49" t="str">
        <f>IFERROR(__xludf.DUMMYFUNCTION("""COMPUTED_VALUE"""),"DMG")</f>
        <v>DMG</v>
      </c>
      <c r="H323" s="49"/>
      <c r="I323" s="49"/>
      <c r="J323" s="49"/>
      <c r="K323" s="49"/>
      <c r="L323" s="49"/>
      <c r="M323" s="49"/>
      <c r="N323" s="49"/>
      <c r="O323" s="49"/>
      <c r="P323" s="49"/>
      <c r="Q323" s="49"/>
      <c r="R323" s="49"/>
      <c r="S323" s="49"/>
      <c r="T323" s="49"/>
      <c r="U323" s="49"/>
      <c r="V323" s="49"/>
      <c r="W323" s="49"/>
      <c r="X323" s="49"/>
      <c r="Y323" s="49"/>
      <c r="Z323" s="49"/>
      <c r="AA323" s="49"/>
      <c r="AB323" s="49"/>
      <c r="AC323" s="49"/>
      <c r="AD323" s="49"/>
      <c r="AE323" s="49"/>
      <c r="AF323" s="49" t="str">
        <f>IFERROR(__xludf.DUMMYFUNCTION("""COMPUTED_VALUE"""),"X2 additional Dark, Chaos, and Spirit damage.")</f>
        <v>X2 additional Dark, Chaos, and Spirit damage.</v>
      </c>
      <c r="AG323" s="49" t="str">
        <f>IFERROR(__xludf.DUMMYFUNCTION("""COMPUTED_VALUE"""),"Halloween Kingdom")</f>
        <v>Halloween Kingdom</v>
      </c>
      <c r="AH323" s="49" t="b">
        <f>IFERROR(__xludf.DUMMYFUNCTION("""COMPUTED_VALUE"""),FALSE)</f>
        <v>0</v>
      </c>
    </row>
    <row r="324">
      <c r="A324" s="49" t="str">
        <f>IFERROR(__xludf.DUMMYFUNCTION("""COMPUTED_VALUE"""),"The Staff of the Aquas")</f>
        <v>The Staff of the Aquas</v>
      </c>
      <c r="B324" s="49" t="str">
        <f>IFERROR(__xludf.DUMMYFUNCTION("""COMPUTED_VALUE"""),"Hand")</f>
        <v>Hand</v>
      </c>
      <c r="C324" s="49"/>
      <c r="D324" s="49" t="str">
        <f>IFERROR(__xludf.DUMMYFUNCTION("""COMPUTED_VALUE"""),"Staff")</f>
        <v>Staff</v>
      </c>
      <c r="E324" s="49">
        <f>IFERROR(__xludf.DUMMYFUNCTION("""COMPUTED_VALUE"""),1.0)</f>
        <v>1</v>
      </c>
      <c r="F324" s="112">
        <f>IFERROR(__xludf.DUMMYFUNCTION("""COMPUTED_VALUE"""),0.0)</f>
        <v>0</v>
      </c>
      <c r="G324" s="49" t="str">
        <f>IFERROR(__xludf.DUMMYFUNCTION("""COMPUTED_VALUE"""),"DMG")</f>
        <v>DMG</v>
      </c>
      <c r="H324" s="49"/>
      <c r="I324" s="49"/>
      <c r="J324" s="49"/>
      <c r="K324" s="49"/>
      <c r="L324" s="49"/>
      <c r="M324" s="49"/>
      <c r="N324" s="49"/>
      <c r="O324" s="49"/>
      <c r="P324" s="49"/>
      <c r="Q324" s="49"/>
      <c r="R324" s="49"/>
      <c r="S324" s="49"/>
      <c r="T324" s="49"/>
      <c r="U324" s="49"/>
      <c r="V324" s="49"/>
      <c r="W324" s="49"/>
      <c r="X324" s="49"/>
      <c r="Y324" s="49"/>
      <c r="Z324" s="49"/>
      <c r="AA324" s="49"/>
      <c r="AB324" s="49"/>
      <c r="AC324" s="49"/>
      <c r="AD324" s="49"/>
      <c r="AE324" s="49"/>
      <c r="AF324" s="49" t="str">
        <f>IFERROR(__xludf.DUMMYFUNCTION("""COMPUTED_VALUE"""),"++All Water Spells Deal x3 damage and cost half sp to use.")</f>
        <v>++All Water Spells Deal x3 damage and cost half sp to use.</v>
      </c>
      <c r="AG324" s="49" t="str">
        <f>IFERROR(__xludf.DUMMYFUNCTION("""COMPUTED_VALUE"""),"Land of Spira")</f>
        <v>Land of Spira</v>
      </c>
      <c r="AH324" s="49" t="b">
        <f>IFERROR(__xludf.DUMMYFUNCTION("""COMPUTED_VALUE"""),FALSE)</f>
        <v>0</v>
      </c>
    </row>
    <row r="325">
      <c r="A325" s="49" t="str">
        <f>IFERROR(__xludf.DUMMYFUNCTION("""COMPUTED_VALUE"""),"The Staff of The Pumpkin’s Curse")</f>
        <v>The Staff of The Pumpkin’s Curse</v>
      </c>
      <c r="B325" s="49" t="str">
        <f>IFERROR(__xludf.DUMMYFUNCTION("""COMPUTED_VALUE"""),"Hand")</f>
        <v>Hand</v>
      </c>
      <c r="C325" s="49"/>
      <c r="D325" s="49" t="str">
        <f>IFERROR(__xludf.DUMMYFUNCTION("""COMPUTED_VALUE"""),"Staff")</f>
        <v>Staff</v>
      </c>
      <c r="E325" s="49">
        <f>IFERROR(__xludf.DUMMYFUNCTION("""COMPUTED_VALUE"""),1.0)</f>
        <v>1</v>
      </c>
      <c r="F325" s="112">
        <f>IFERROR(__xludf.DUMMYFUNCTION("""COMPUTED_VALUE"""),0.0)</f>
        <v>0</v>
      </c>
      <c r="G325" s="49" t="str">
        <f>IFERROR(__xludf.DUMMYFUNCTION("""COMPUTED_VALUE"""),"DMG")</f>
        <v>DMG</v>
      </c>
      <c r="H325" s="49"/>
      <c r="I325" s="49"/>
      <c r="J325" s="49"/>
      <c r="K325" s="49"/>
      <c r="L325" s="49"/>
      <c r="M325" s="49"/>
      <c r="N325" s="49"/>
      <c r="O325" s="49"/>
      <c r="P325" s="49"/>
      <c r="Q325" s="49"/>
      <c r="R325" s="49"/>
      <c r="S325" s="49"/>
      <c r="T325" s="49"/>
      <c r="U325" s="49"/>
      <c r="V325" s="49"/>
      <c r="W325" s="49"/>
      <c r="X325" s="49"/>
      <c r="Y325" s="49"/>
      <c r="Z325" s="49"/>
      <c r="AA325" s="49"/>
      <c r="AB325" s="49"/>
      <c r="AC325" s="49"/>
      <c r="AD325" s="49"/>
      <c r="AE325" s="49"/>
      <c r="AF325" s="49" t="str">
        <f>IFERROR(__xludf.DUMMYFUNCTION("""COMPUTED_VALUE"""),"++ Select a target, Any Fire Nature and Dark damage the target deals halved, Fail/Succeed.")</f>
        <v>++ Select a target, Any Fire Nature and Dark damage the target deals halved, Fail/Succeed.</v>
      </c>
      <c r="AG325" s="49" t="str">
        <f>IFERROR(__xludf.DUMMYFUNCTION("""COMPUTED_VALUE"""),"Land of Spira")</f>
        <v>Land of Spira</v>
      </c>
      <c r="AH325" s="49" t="b">
        <f>IFERROR(__xludf.DUMMYFUNCTION("""COMPUTED_VALUE"""),FALSE)</f>
        <v>0</v>
      </c>
    </row>
    <row r="326">
      <c r="A326" s="49" t="str">
        <f>IFERROR(__xludf.DUMMYFUNCTION("""COMPUTED_VALUE"""),"The Stick of the Panda")</f>
        <v>The Stick of the Panda</v>
      </c>
      <c r="B326" s="49" t="str">
        <f>IFERROR(__xludf.DUMMYFUNCTION("""COMPUTED_VALUE"""),"Hand")</f>
        <v>Hand</v>
      </c>
      <c r="C326" s="49"/>
      <c r="D326" s="49" t="str">
        <f>IFERROR(__xludf.DUMMYFUNCTION("""COMPUTED_VALUE"""),"Club")</f>
        <v>Club</v>
      </c>
      <c r="E326" s="49">
        <f>IFERROR(__xludf.DUMMYFUNCTION("""COMPUTED_VALUE"""),400.0)</f>
        <v>400</v>
      </c>
      <c r="F326" s="112">
        <f>IFERROR(__xludf.DUMMYFUNCTION("""COMPUTED_VALUE"""),7800000.0)</f>
        <v>7800000</v>
      </c>
      <c r="G326" s="49" t="str">
        <f>IFERROR(__xludf.DUMMYFUNCTION("""COMPUTED_VALUE"""),"DMG")</f>
        <v>DMG</v>
      </c>
      <c r="H326" s="125">
        <f>IFERROR(__xludf.DUMMYFUNCTION("""COMPUTED_VALUE"""),10000.0)</f>
        <v>10000</v>
      </c>
      <c r="I326" s="49"/>
      <c r="J326" s="49"/>
      <c r="K326" s="49"/>
      <c r="L326" s="49"/>
      <c r="M326" s="49"/>
      <c r="N326" s="49"/>
      <c r="O326" s="49"/>
      <c r="P326" s="49"/>
      <c r="Q326" s="49"/>
      <c r="R326" s="49"/>
      <c r="S326" s="125">
        <f>IFERROR(__xludf.DUMMYFUNCTION("""COMPUTED_VALUE"""),10000.0)</f>
        <v>10000</v>
      </c>
      <c r="T326" s="49"/>
      <c r="U326" s="49"/>
      <c r="V326" s="49"/>
      <c r="W326" s="49"/>
      <c r="X326" s="49"/>
      <c r="Y326" s="49"/>
      <c r="Z326" s="49"/>
      <c r="AA326" s="49"/>
      <c r="AB326" s="49"/>
      <c r="AC326" s="49"/>
      <c r="AD326" s="49"/>
      <c r="AE326" s="49"/>
      <c r="AF326" s="49" t="str">
        <f>IFERROR(__xludf.DUMMYFUNCTION("""COMPUTED_VALUE"""),"++When you find an herb you get 2 of the herb found instead of 1. +-Cannot be duplicated")</f>
        <v>++When you find an herb you get 2 of the herb found instead of 1. +-Cannot be duplicated</v>
      </c>
      <c r="AG326" s="49" t="str">
        <f>IFERROR(__xludf.DUMMYFUNCTION("""COMPUTED_VALUE"""),"Land of Spira")</f>
        <v>Land of Spira</v>
      </c>
      <c r="AH326" s="49" t="b">
        <f>IFERROR(__xludf.DUMMYFUNCTION("""COMPUTED_VALUE"""),FALSE)</f>
        <v>0</v>
      </c>
    </row>
    <row r="327">
      <c r="A327" s="49" t="str">
        <f>IFERROR(__xludf.DUMMYFUNCTION("""COMPUTED_VALUE"""),"The Sword Of Death")</f>
        <v>The Sword Of Death</v>
      </c>
      <c r="B327" s="49" t="str">
        <f>IFERROR(__xludf.DUMMYFUNCTION("""COMPUTED_VALUE"""),"Hand")</f>
        <v>Hand</v>
      </c>
      <c r="C327" s="49"/>
      <c r="D327" s="49" t="str">
        <f>IFERROR(__xludf.DUMMYFUNCTION("""COMPUTED_VALUE"""),"Sword")</f>
        <v>Sword</v>
      </c>
      <c r="E327" s="49">
        <f>IFERROR(__xludf.DUMMYFUNCTION("""COMPUTED_VALUE"""),1.0)</f>
        <v>1</v>
      </c>
      <c r="F327" s="112">
        <f>IFERROR(__xludf.DUMMYFUNCTION("""COMPUTED_VALUE"""),0.0)</f>
        <v>0</v>
      </c>
      <c r="G327" s="49" t="str">
        <f>IFERROR(__xludf.DUMMYFUNCTION("""COMPUTED_VALUE"""),"DMG")</f>
        <v>DMG</v>
      </c>
      <c r="H327" s="49">
        <f>IFERROR(__xludf.DUMMYFUNCTION("""COMPUTED_VALUE"""),250.0)</f>
        <v>250</v>
      </c>
      <c r="I327" s="49"/>
      <c r="J327" s="49"/>
      <c r="K327" s="49"/>
      <c r="L327" s="49"/>
      <c r="M327" s="49"/>
      <c r="N327" s="49"/>
      <c r="O327" s="49"/>
      <c r="P327" s="49"/>
      <c r="Q327" s="49"/>
      <c r="R327" s="49"/>
      <c r="S327" s="49"/>
      <c r="T327" s="49"/>
      <c r="U327" s="49"/>
      <c r="V327" s="49"/>
      <c r="W327" s="49"/>
      <c r="X327" s="49"/>
      <c r="Y327" s="49"/>
      <c r="Z327" s="49"/>
      <c r="AA327" s="49"/>
      <c r="AB327" s="49"/>
      <c r="AC327" s="49"/>
      <c r="AD327" s="49"/>
      <c r="AE327" s="49"/>
      <c r="AF327" s="49"/>
      <c r="AG327" s="49" t="str">
        <f>IFERROR(__xludf.DUMMYFUNCTION("""COMPUTED_VALUE"""),"Land of Spira")</f>
        <v>Land of Spira</v>
      </c>
      <c r="AH327" s="49" t="b">
        <f>IFERROR(__xludf.DUMMYFUNCTION("""COMPUTED_VALUE"""),TRUE)</f>
        <v>1</v>
      </c>
    </row>
    <row r="328">
      <c r="A328" s="49" t="str">
        <f>IFERROR(__xludf.DUMMYFUNCTION("""COMPUTED_VALUE"""),"The Sword Of Easter's Gathering (Exclusive)")</f>
        <v>The Sword Of Easter's Gathering (Exclusive)</v>
      </c>
      <c r="B328" s="49" t="str">
        <f>IFERROR(__xludf.DUMMYFUNCTION("""COMPUTED_VALUE"""),"Hand")</f>
        <v>Hand</v>
      </c>
      <c r="C328" s="49"/>
      <c r="D328" s="49" t="str">
        <f>IFERROR(__xludf.DUMMYFUNCTION("""COMPUTED_VALUE"""),"Sword")</f>
        <v>Sword</v>
      </c>
      <c r="E328" s="49">
        <f>IFERROR(__xludf.DUMMYFUNCTION("""COMPUTED_VALUE"""),200.0)</f>
        <v>200</v>
      </c>
      <c r="F328" s="112">
        <f>IFERROR(__xludf.DUMMYFUNCTION("""COMPUTED_VALUE"""),7800000.0)</f>
        <v>7800000</v>
      </c>
      <c r="G328" s="49" t="str">
        <f>IFERROR(__xludf.DUMMYFUNCTION("""COMPUTED_VALUE"""),"DMG")</f>
        <v>DMG</v>
      </c>
      <c r="H328" s="49"/>
      <c r="I328" s="49"/>
      <c r="J328" s="49"/>
      <c r="K328" s="49"/>
      <c r="L328" s="49"/>
      <c r="M328" s="49"/>
      <c r="N328" s="49"/>
      <c r="O328" s="49"/>
      <c r="P328" s="49"/>
      <c r="Q328" s="49"/>
      <c r="R328" s="49"/>
      <c r="S328" s="49">
        <f>IFERROR(__xludf.DUMMYFUNCTION("""COMPUTED_VALUE"""),10000.0)</f>
        <v>10000</v>
      </c>
      <c r="T328" s="49"/>
      <c r="U328" s="49"/>
      <c r="V328" s="49"/>
      <c r="W328" s="49"/>
      <c r="X328" s="49"/>
      <c r="Y328" s="49"/>
      <c r="Z328" s="49"/>
      <c r="AA328" s="49"/>
      <c r="AB328" s="49"/>
      <c r="AC328" s="49">
        <f>IFERROR(__xludf.DUMMYFUNCTION("""COMPUTED_VALUE"""),10000.0)</f>
        <v>10000</v>
      </c>
      <c r="AD328" s="49"/>
      <c r="AE328" s="49"/>
      <c r="AF328" s="49" t="str">
        <f>IFERROR(__xludf.DUMMYFUNCTION("""COMPUTED_VALUE"""),"++Doubles all elemental damage when held, ++2 on all rolls while in battle, +-Cannot be forged +-Cannot be duplicated")</f>
        <v>++Doubles all elemental damage when held, ++2 on all rolls while in battle, +-Cannot be forged +-Cannot be duplicated</v>
      </c>
      <c r="AG328" s="49" t="str">
        <f>IFERROR(__xludf.DUMMYFUNCTION("""COMPUTED_VALUE"""),"Land of Spira")</f>
        <v>Land of Spira</v>
      </c>
      <c r="AH328" s="49" t="b">
        <f>IFERROR(__xludf.DUMMYFUNCTION("""COMPUTED_VALUE"""),FALSE)</f>
        <v>0</v>
      </c>
    </row>
    <row r="329">
      <c r="A329" s="49" t="str">
        <f>IFERROR(__xludf.DUMMYFUNCTION("""COMPUTED_VALUE"""),"The Sword of Manannán (Exclusive)")</f>
        <v>The Sword of Manannán (Exclusive)</v>
      </c>
      <c r="B329" s="49" t="str">
        <f>IFERROR(__xludf.DUMMYFUNCTION("""COMPUTED_VALUE"""),"Hand")</f>
        <v>Hand</v>
      </c>
      <c r="C329" s="49" t="str">
        <f>IFERROR(__xludf.DUMMYFUNCTION("""COMPUTED_VALUE"""),"Lugh's Sword he wielded in battle")</f>
        <v>Lugh's Sword he wielded in battle</v>
      </c>
      <c r="D329" s="49" t="str">
        <f>IFERROR(__xludf.DUMMYFUNCTION("""COMPUTED_VALUE"""),"Sword")</f>
        <v>Sword</v>
      </c>
      <c r="E329" s="49">
        <f>IFERROR(__xludf.DUMMYFUNCTION("""COMPUTED_VALUE"""),200.0)</f>
        <v>200</v>
      </c>
      <c r="F329" s="112">
        <f>IFERROR(__xludf.DUMMYFUNCTION("""COMPUTED_VALUE"""),4.485E8)</f>
        <v>448500000</v>
      </c>
      <c r="G329" s="49" t="str">
        <f>IFERROR(__xludf.DUMMYFUNCTION("""COMPUTED_VALUE"""),"DMG")</f>
        <v>DMG</v>
      </c>
      <c r="H329" s="125">
        <f>IFERROR(__xludf.DUMMYFUNCTION("""COMPUTED_VALUE"""),75000.0)</f>
        <v>75000</v>
      </c>
      <c r="I329" s="49"/>
      <c r="J329" s="49"/>
      <c r="K329" s="49"/>
      <c r="L329" s="49"/>
      <c r="M329" s="49"/>
      <c r="N329" s="49"/>
      <c r="O329" s="49"/>
      <c r="P329" s="49"/>
      <c r="Q329" s="49"/>
      <c r="R329" s="49"/>
      <c r="S329" s="49"/>
      <c r="T329" s="49"/>
      <c r="U329" s="49"/>
      <c r="V329" s="49"/>
      <c r="W329" s="49"/>
      <c r="X329" s="49"/>
      <c r="Y329" s="49"/>
      <c r="Z329" s="49"/>
      <c r="AA329" s="49"/>
      <c r="AB329" s="49"/>
      <c r="AC329" s="125">
        <f>IFERROR(__xludf.DUMMYFUNCTION("""COMPUTED_VALUE"""),75000.0)</f>
        <v>75000</v>
      </c>
      <c r="AD329" s="49"/>
      <c r="AE329" s="49"/>
      <c r="AF329" s="49" t="str">
        <f>IFERROR(__xludf.DUMMYFUNCTION("""COMPUTED_VALUE"""),"++Intimidation and Charisma stat is double while equipped")</f>
        <v>++Intimidation and Charisma stat is double while equipped</v>
      </c>
      <c r="AG329" s="49" t="str">
        <f>IFERROR(__xludf.DUMMYFUNCTION("""COMPUTED_VALUE"""),"Land of Spira")</f>
        <v>Land of Spira</v>
      </c>
      <c r="AH329" s="49" t="b">
        <f>IFERROR(__xludf.DUMMYFUNCTION("""COMPUTED_VALUE"""),TRUE)</f>
        <v>1</v>
      </c>
    </row>
    <row r="330">
      <c r="A330" s="49" t="str">
        <f>IFERROR(__xludf.DUMMYFUNCTION("""COMPUTED_VALUE"""),"The Waking Ash of the Serpent’s Pendent")</f>
        <v>The Waking Ash of the Serpent’s Pendent</v>
      </c>
      <c r="B330" s="49" t="str">
        <f>IFERROR(__xludf.DUMMYFUNCTION("""COMPUTED_VALUE"""),"Neck")</f>
        <v>Neck</v>
      </c>
      <c r="C330" s="49"/>
      <c r="D330" s="49"/>
      <c r="E330" s="49">
        <f>IFERROR(__xludf.DUMMYFUNCTION("""COMPUTED_VALUE"""),1.0)</f>
        <v>1</v>
      </c>
      <c r="F330" s="112">
        <f>IFERROR(__xludf.DUMMYFUNCTION("""COMPUTED_VALUE"""),0.0)</f>
        <v>0</v>
      </c>
      <c r="G330" s="49"/>
      <c r="H330" s="49"/>
      <c r="I330" s="49"/>
      <c r="J330" s="49"/>
      <c r="K330" s="49"/>
      <c r="L330" s="49"/>
      <c r="M330" s="49"/>
      <c r="N330" s="49"/>
      <c r="O330" s="49"/>
      <c r="P330" s="49"/>
      <c r="Q330" s="49"/>
      <c r="R330" s="49"/>
      <c r="S330" s="49"/>
      <c r="T330" s="49"/>
      <c r="U330" s="49"/>
      <c r="V330" s="49"/>
      <c r="W330" s="49"/>
      <c r="X330" s="49"/>
      <c r="Y330" s="49"/>
      <c r="Z330" s="49"/>
      <c r="AA330" s="49"/>
      <c r="AB330" s="49"/>
      <c r="AC330" s="49"/>
      <c r="AD330" s="49"/>
      <c r="AE330" s="49"/>
      <c r="AF330" s="49"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49" t="str">
        <f>IFERROR(__xludf.DUMMYFUNCTION("""COMPUTED_VALUE"""),"Abstara")</f>
        <v>Abstara</v>
      </c>
      <c r="AH330" s="49" t="b">
        <f>IFERROR(__xludf.DUMMYFUNCTION("""COMPUTED_VALUE"""),FALSE)</f>
        <v>0</v>
      </c>
    </row>
    <row r="331">
      <c r="A331" s="49" t="str">
        <f>IFERROR(__xludf.DUMMYFUNCTION("""COMPUTED_VALUE"""),"The Wand of Aquatic Beasts")</f>
        <v>The Wand of Aquatic Beasts</v>
      </c>
      <c r="B331" s="49" t="str">
        <f>IFERROR(__xludf.DUMMYFUNCTION("""COMPUTED_VALUE"""),"Hand")</f>
        <v>Hand</v>
      </c>
      <c r="C331" s="49"/>
      <c r="D331" s="49" t="str">
        <f>IFERROR(__xludf.DUMMYFUNCTION("""COMPUTED_VALUE"""),"Wand")</f>
        <v>Wand</v>
      </c>
      <c r="E331" s="49">
        <f>IFERROR(__xludf.DUMMYFUNCTION("""COMPUTED_VALUE"""),1.0)</f>
        <v>1</v>
      </c>
      <c r="F331" s="112">
        <f>IFERROR(__xludf.DUMMYFUNCTION("""COMPUTED_VALUE"""),0.0)</f>
        <v>0</v>
      </c>
      <c r="G331" s="49"/>
      <c r="H331" s="49"/>
      <c r="I331" s="49"/>
      <c r="J331" s="49"/>
      <c r="K331" s="49"/>
      <c r="L331" s="49"/>
      <c r="M331" s="49"/>
      <c r="N331" s="49"/>
      <c r="O331" s="49"/>
      <c r="P331" s="49"/>
      <c r="Q331" s="49"/>
      <c r="R331" s="49"/>
      <c r="S331" s="49"/>
      <c r="T331" s="49"/>
      <c r="U331" s="49"/>
      <c r="V331" s="49"/>
      <c r="W331" s="49"/>
      <c r="X331" s="49"/>
      <c r="Y331" s="49"/>
      <c r="Z331" s="49"/>
      <c r="AA331" s="49"/>
      <c r="AB331" s="49"/>
      <c r="AC331" s="49"/>
      <c r="AD331" s="49"/>
      <c r="AE331" s="49"/>
      <c r="AF331" s="49" t="str">
        <f>IFERROR(__xludf.DUMMYFUNCTION("""COMPUTED_VALUE"""),"++All water and storm spells are decreased by half sp.")</f>
        <v>++All water and storm spells are decreased by half sp.</v>
      </c>
      <c r="AG331" s="49" t="str">
        <f>IFERROR(__xludf.DUMMYFUNCTION("""COMPUTED_VALUE"""),"Land of Spira")</f>
        <v>Land of Spira</v>
      </c>
      <c r="AH331" s="49" t="b">
        <f>IFERROR(__xludf.DUMMYFUNCTION("""COMPUTED_VALUE"""),FALSE)</f>
        <v>0</v>
      </c>
    </row>
    <row r="332">
      <c r="A332" s="49" t="str">
        <f>IFERROR(__xludf.DUMMYFUNCTION("""COMPUTED_VALUE"""),"Titanic Two Hander")</f>
        <v>Titanic Two Hander</v>
      </c>
      <c r="B332" s="49" t="str">
        <f>IFERROR(__xludf.DUMMYFUNCTION("""COMPUTED_VALUE"""),"Hand")</f>
        <v>Hand</v>
      </c>
      <c r="C332" s="49"/>
      <c r="D332" s="49" t="str">
        <f>IFERROR(__xludf.DUMMYFUNCTION("""COMPUTED_VALUE"""),"Sword")</f>
        <v>Sword</v>
      </c>
      <c r="E332" s="49">
        <f>IFERROR(__xludf.DUMMYFUNCTION("""COMPUTED_VALUE"""),200.0)</f>
        <v>200</v>
      </c>
      <c r="F332" s="112">
        <f>IFERROR(__xludf.DUMMYFUNCTION("""COMPUTED_VALUE"""),1900000.0)</f>
        <v>1900000</v>
      </c>
      <c r="G332" s="49" t="str">
        <f>IFERROR(__xludf.DUMMYFUNCTION("""COMPUTED_VALUE"""),"DMG")</f>
        <v>DMG</v>
      </c>
      <c r="H332" s="125">
        <f>IFERROR(__xludf.DUMMYFUNCTION("""COMPUTED_VALUE"""),10000.0)</f>
        <v>10000</v>
      </c>
      <c r="I332" s="49"/>
      <c r="J332" s="49"/>
      <c r="K332" s="49"/>
      <c r="L332" s="49"/>
      <c r="M332" s="49"/>
      <c r="N332" s="49"/>
      <c r="O332" s="49"/>
      <c r="P332" s="49"/>
      <c r="Q332" s="49"/>
      <c r="R332" s="49"/>
      <c r="S332" s="49"/>
      <c r="T332" s="49"/>
      <c r="U332" s="49"/>
      <c r="V332" s="49"/>
      <c r="W332" s="49"/>
      <c r="X332" s="49"/>
      <c r="Y332" s="49"/>
      <c r="Z332" s="49"/>
      <c r="AA332" s="49"/>
      <c r="AB332" s="49"/>
      <c r="AC332" s="49"/>
      <c r="AD332" s="49"/>
      <c r="AE332" s="49"/>
      <c r="AF332" s="49"/>
      <c r="AG332" s="49" t="str">
        <f>IFERROR(__xludf.DUMMYFUNCTION("""COMPUTED_VALUE"""),"Land of Spira")</f>
        <v>Land of Spira</v>
      </c>
      <c r="AH332" s="49" t="b">
        <f>IFERROR(__xludf.DUMMYFUNCTION("""COMPUTED_VALUE"""),TRUE)</f>
        <v>1</v>
      </c>
    </row>
    <row r="333">
      <c r="A333" s="49" t="str">
        <f>IFERROR(__xludf.DUMMYFUNCTION("""COMPUTED_VALUE"""),"Top Hat")</f>
        <v>Top Hat</v>
      </c>
      <c r="B333" s="49" t="str">
        <f>IFERROR(__xludf.DUMMYFUNCTION("""COMPUTED_VALUE"""),"Head")</f>
        <v>Head</v>
      </c>
      <c r="C333" s="49" t="str">
        <f>IFERROR(__xludf.DUMMYFUNCTION("""COMPUTED_VALUE"""),"nothing like good ol abraham")</f>
        <v>nothing like good ol abraham</v>
      </c>
      <c r="D333" s="49"/>
      <c r="E333" s="49">
        <f>IFERROR(__xludf.DUMMYFUNCTION("""COMPUTED_VALUE"""),1.0)</f>
        <v>1</v>
      </c>
      <c r="F333" s="112">
        <f>IFERROR(__xludf.DUMMYFUNCTION("""COMPUTED_VALUE"""),0.0)</f>
        <v>0</v>
      </c>
      <c r="G333" s="49" t="str">
        <f>IFERROR(__xludf.DUMMYFUNCTION("""COMPUTED_VALUE"""),"DEF")</f>
        <v>DEF</v>
      </c>
      <c r="H333" s="49">
        <f>IFERROR(__xludf.DUMMYFUNCTION("""COMPUTED_VALUE"""),1.0)</f>
        <v>1</v>
      </c>
      <c r="I333" s="49"/>
      <c r="J333" s="49"/>
      <c r="K333" s="49"/>
      <c r="L333" s="49"/>
      <c r="M333" s="49"/>
      <c r="N333" s="49"/>
      <c r="O333" s="49"/>
      <c r="P333" s="49"/>
      <c r="Q333" s="49"/>
      <c r="R333" s="49"/>
      <c r="S333" s="49"/>
      <c r="T333" s="49"/>
      <c r="U333" s="49"/>
      <c r="V333" s="49"/>
      <c r="W333" s="49"/>
      <c r="X333" s="49"/>
      <c r="Y333" s="49"/>
      <c r="Z333" s="49"/>
      <c r="AA333" s="49"/>
      <c r="AB333" s="49"/>
      <c r="AC333" s="49"/>
      <c r="AD333" s="49"/>
      <c r="AE333" s="49"/>
      <c r="AF333" s="49"/>
      <c r="AG333" s="49" t="str">
        <f>IFERROR(__xludf.DUMMYFUNCTION("""COMPUTED_VALUE"""),"Land of Spira")</f>
        <v>Land of Spira</v>
      </c>
      <c r="AH333" s="49" t="b">
        <f>IFERROR(__xludf.DUMMYFUNCTION("""COMPUTED_VALUE"""),FALSE)</f>
        <v>0</v>
      </c>
    </row>
    <row r="334">
      <c r="A334" s="49" t="str">
        <f>IFERROR(__xludf.DUMMYFUNCTION("""COMPUTED_VALUE"""),"Trident")</f>
        <v>Trident</v>
      </c>
      <c r="B334" s="49" t="str">
        <f>IFERROR(__xludf.DUMMYFUNCTION("""COMPUTED_VALUE"""),"Hand")</f>
        <v>Hand</v>
      </c>
      <c r="C334" s="49"/>
      <c r="D334" s="49" t="str">
        <f>IFERROR(__xludf.DUMMYFUNCTION("""COMPUTED_VALUE"""),"Spear")</f>
        <v>Spear</v>
      </c>
      <c r="E334" s="49">
        <f>IFERROR(__xludf.DUMMYFUNCTION("""COMPUTED_VALUE"""),20.0)</f>
        <v>20</v>
      </c>
      <c r="F334" s="112">
        <f>IFERROR(__xludf.DUMMYFUNCTION("""COMPUTED_VALUE"""),1000.0)</f>
        <v>1000</v>
      </c>
      <c r="G334" s="49" t="str">
        <f>IFERROR(__xludf.DUMMYFUNCTION("""COMPUTED_VALUE"""),"DMG")</f>
        <v>DMG</v>
      </c>
      <c r="H334" s="49">
        <f>IFERROR(__xludf.DUMMYFUNCTION("""COMPUTED_VALUE"""),600.0)</f>
        <v>600</v>
      </c>
      <c r="I334" s="49"/>
      <c r="J334" s="49"/>
      <c r="K334" s="49"/>
      <c r="L334" s="49"/>
      <c r="M334" s="49"/>
      <c r="N334" s="49"/>
      <c r="O334" s="49"/>
      <c r="P334" s="49"/>
      <c r="Q334" s="49"/>
      <c r="R334" s="49"/>
      <c r="S334" s="49"/>
      <c r="T334" s="49"/>
      <c r="U334" s="49"/>
      <c r="V334" s="49"/>
      <c r="W334" s="49"/>
      <c r="X334" s="49"/>
      <c r="Y334" s="49"/>
      <c r="Z334" s="49"/>
      <c r="AA334" s="49"/>
      <c r="AB334" s="49"/>
      <c r="AC334" s="49"/>
      <c r="AD334" s="49"/>
      <c r="AE334" s="49"/>
      <c r="AF334" s="49"/>
      <c r="AG334" s="49" t="str">
        <f>IFERROR(__xludf.DUMMYFUNCTION("""COMPUTED_VALUE"""),"Land of Spira")</f>
        <v>Land of Spira</v>
      </c>
      <c r="AH334" s="49" t="b">
        <f>IFERROR(__xludf.DUMMYFUNCTION("""COMPUTED_VALUE"""),TRUE)</f>
        <v>1</v>
      </c>
    </row>
    <row r="335">
      <c r="A335" s="49" t="str">
        <f>IFERROR(__xludf.DUMMYFUNCTION("""COMPUTED_VALUE"""),"Tundra Staff")</f>
        <v>Tundra Staff</v>
      </c>
      <c r="B335" s="49" t="str">
        <f>IFERROR(__xludf.DUMMYFUNCTION("""COMPUTED_VALUE"""),"Hand")</f>
        <v>Hand</v>
      </c>
      <c r="C335" s="49"/>
      <c r="D335" s="49" t="str">
        <f>IFERROR(__xludf.DUMMYFUNCTION("""COMPUTED_VALUE"""),"Staff")</f>
        <v>Staff</v>
      </c>
      <c r="E335" s="49">
        <f>IFERROR(__xludf.DUMMYFUNCTION("""COMPUTED_VALUE"""),200.0)</f>
        <v>200</v>
      </c>
      <c r="F335" s="112">
        <f>IFERROR(__xludf.DUMMYFUNCTION("""COMPUTED_VALUE"""),1900000.0)</f>
        <v>1900000</v>
      </c>
      <c r="G335" s="49"/>
      <c r="H335" s="49"/>
      <c r="I335" s="49"/>
      <c r="J335" s="49"/>
      <c r="K335" s="49"/>
      <c r="L335" s="49"/>
      <c r="M335" s="125">
        <f>IFERROR(__xludf.DUMMYFUNCTION("""COMPUTED_VALUE"""),10000.0)</f>
        <v>10000</v>
      </c>
      <c r="N335" s="49"/>
      <c r="O335" s="49"/>
      <c r="P335" s="49"/>
      <c r="Q335" s="49"/>
      <c r="R335" s="49"/>
      <c r="S335" s="49"/>
      <c r="T335" s="49"/>
      <c r="U335" s="49"/>
      <c r="V335" s="49"/>
      <c r="W335" s="49"/>
      <c r="X335" s="49"/>
      <c r="Y335" s="49"/>
      <c r="Z335" s="49"/>
      <c r="AA335" s="49"/>
      <c r="AB335" s="49"/>
      <c r="AC335" s="49"/>
      <c r="AD335" s="49"/>
      <c r="AE335" s="49"/>
      <c r="AF335" s="49" t="str">
        <f>IFERROR(__xludf.DUMMYFUNCTION("""COMPUTED_VALUE"""),"++X2 Earth damage. +-Cannot be duplicated")</f>
        <v>++X2 Earth damage. +-Cannot be duplicated</v>
      </c>
      <c r="AG335" s="49" t="str">
        <f>IFERROR(__xludf.DUMMYFUNCTION("""COMPUTED_VALUE"""),"Land of Spira")</f>
        <v>Land of Spira</v>
      </c>
      <c r="AH335" s="49" t="b">
        <f>IFERROR(__xludf.DUMMYFUNCTION("""COMPUTED_VALUE"""),FALSE)</f>
        <v>0</v>
      </c>
    </row>
    <row r="336">
      <c r="A336" s="49" t="str">
        <f>IFERROR(__xludf.DUMMYFUNCTION("""COMPUTED_VALUE"""),"Twilight Bow")</f>
        <v>Twilight Bow</v>
      </c>
      <c r="B336" s="49" t="str">
        <f>IFERROR(__xludf.DUMMYFUNCTION("""COMPUTED_VALUE"""),"Hand")</f>
        <v>Hand</v>
      </c>
      <c r="C336" s="49"/>
      <c r="D336" s="49" t="str">
        <f>IFERROR(__xludf.DUMMYFUNCTION("""COMPUTED_VALUE"""),"Bow")</f>
        <v>Bow</v>
      </c>
      <c r="E336" s="49">
        <f>IFERROR(__xludf.DUMMYFUNCTION("""COMPUTED_VALUE"""),400.0)</f>
        <v>400</v>
      </c>
      <c r="F336" s="112">
        <f>IFERROR(__xludf.DUMMYFUNCTION("""COMPUTED_VALUE"""),7800000.0)</f>
        <v>7800000</v>
      </c>
      <c r="G336" s="49" t="str">
        <f>IFERROR(__xludf.DUMMYFUNCTION("""COMPUTED_VALUE"""),"DMG")</f>
        <v>DMG</v>
      </c>
      <c r="H336" s="125">
        <f>IFERROR(__xludf.DUMMYFUNCTION("""COMPUTED_VALUE"""),10000.0)</f>
        <v>10000</v>
      </c>
      <c r="I336" s="49"/>
      <c r="J336" s="49"/>
      <c r="K336" s="49"/>
      <c r="L336" s="49"/>
      <c r="M336" s="49"/>
      <c r="N336" s="49"/>
      <c r="O336" s="49"/>
      <c r="P336" s="49"/>
      <c r="Q336" s="49"/>
      <c r="R336" s="49"/>
      <c r="S336" s="49"/>
      <c r="T336" s="49"/>
      <c r="U336" s="49"/>
      <c r="V336" s="49"/>
      <c r="W336" s="125">
        <f>IFERROR(__xludf.DUMMYFUNCTION("""COMPUTED_VALUE"""),10000.0)</f>
        <v>10000</v>
      </c>
      <c r="X336" s="49"/>
      <c r="Y336" s="49"/>
      <c r="Z336" s="49"/>
      <c r="AA336" s="49"/>
      <c r="AB336" s="49"/>
      <c r="AC336" s="49"/>
      <c r="AD336" s="49"/>
      <c r="AE336" s="49"/>
      <c r="AF336" s="49"/>
      <c r="AG336" s="49" t="str">
        <f>IFERROR(__xludf.DUMMYFUNCTION("""COMPUTED_VALUE"""),"Land of Spira")</f>
        <v>Land of Spira</v>
      </c>
      <c r="AH336" s="49" t="b">
        <f>IFERROR(__xludf.DUMMYFUNCTION("""COMPUTED_VALUE"""),TRUE)</f>
        <v>1</v>
      </c>
    </row>
    <row r="337">
      <c r="A337" s="49" t="str">
        <f>IFERROR(__xludf.DUMMYFUNCTION("""COMPUTED_VALUE"""),"Twilight Crystal Sword of Evil's Bane")</f>
        <v>Twilight Crystal Sword of Evil's Bane</v>
      </c>
      <c r="B337" s="49" t="str">
        <f>IFERROR(__xludf.DUMMYFUNCTION("""COMPUTED_VALUE"""),"Hand")</f>
        <v>Hand</v>
      </c>
      <c r="C337" s="49" t="str">
        <f>IFERROR(__xludf.DUMMYFUNCTION("""COMPUTED_VALUE"""),"Halloween Event Exclusive Item")</f>
        <v>Halloween Event Exclusive Item</v>
      </c>
      <c r="D337" s="49" t="str">
        <f>IFERROR(__xludf.DUMMYFUNCTION("""COMPUTED_VALUE"""),"Sword")</f>
        <v>Sword</v>
      </c>
      <c r="E337" s="49">
        <f>IFERROR(__xludf.DUMMYFUNCTION("""COMPUTED_VALUE"""),200.0)</f>
        <v>200</v>
      </c>
      <c r="F337" s="112">
        <f>IFERROR(__xludf.DUMMYFUNCTION("""COMPUTED_VALUE"""),4.95E7)</f>
        <v>49500000</v>
      </c>
      <c r="G337" s="49" t="str">
        <f>IFERROR(__xludf.DUMMYFUNCTION("""COMPUTED_VALUE"""),"DMG")</f>
        <v>DMG</v>
      </c>
      <c r="H337" s="125">
        <f>IFERROR(__xludf.DUMMYFUNCTION("""COMPUTED_VALUE"""),20000.0)</f>
        <v>20000</v>
      </c>
      <c r="I337" s="49"/>
      <c r="J337" s="49"/>
      <c r="K337" s="49"/>
      <c r="L337" s="49"/>
      <c r="M337" s="49"/>
      <c r="N337" s="49"/>
      <c r="O337" s="49"/>
      <c r="P337" s="49"/>
      <c r="Q337" s="49"/>
      <c r="R337" s="49"/>
      <c r="S337" s="49"/>
      <c r="T337" s="49"/>
      <c r="U337" s="49"/>
      <c r="V337" s="49"/>
      <c r="W337" s="125">
        <f>IFERROR(__xludf.DUMMYFUNCTION("""COMPUTED_VALUE"""),20000.0)</f>
        <v>20000</v>
      </c>
      <c r="X337" s="49"/>
      <c r="Y337" s="49"/>
      <c r="Z337" s="49"/>
      <c r="AA337" s="49"/>
      <c r="AB337" s="49"/>
      <c r="AC337" s="125">
        <f>IFERROR(__xludf.DUMMYFUNCTION("""COMPUTED_VALUE"""),10000.0)</f>
        <v>10000</v>
      </c>
      <c r="AD337" s="49"/>
      <c r="AE337" s="49"/>
      <c r="AF337" s="49" t="str">
        <f>IFERROR(__xludf.DUMMYFUNCTION("""COMPUTED_VALUE"""),"++X4 Order, Light, Chaos, and Dark damage for the user and party. +-Cannot be forged +-Cannot be duplicated")</f>
        <v>++X4 Order, Light, Chaos, and Dark damage for the user and party. +-Cannot be forged +-Cannot be duplicated</v>
      </c>
      <c r="AG337" s="49" t="str">
        <f>IFERROR(__xludf.DUMMYFUNCTION("""COMPUTED_VALUE"""),"Land of Spira")</f>
        <v>Land of Spira</v>
      </c>
      <c r="AH337" s="49" t="b">
        <f>IFERROR(__xludf.DUMMYFUNCTION("""COMPUTED_VALUE"""),FALSE)</f>
        <v>0</v>
      </c>
    </row>
    <row r="338">
      <c r="A338" s="49" t="str">
        <f>IFERROR(__xludf.DUMMYFUNCTION("""COMPUTED_VALUE"""),"Twilight Sword")</f>
        <v>Twilight Sword</v>
      </c>
      <c r="B338" s="49" t="str">
        <f>IFERROR(__xludf.DUMMYFUNCTION("""COMPUTED_VALUE"""),"Hand")</f>
        <v>Hand</v>
      </c>
      <c r="C338" s="49"/>
      <c r="D338" s="49" t="str">
        <f>IFERROR(__xludf.DUMMYFUNCTION("""COMPUTED_VALUE"""),"Sword")</f>
        <v>Sword</v>
      </c>
      <c r="E338" s="49">
        <f>IFERROR(__xludf.DUMMYFUNCTION("""COMPUTED_VALUE"""),20.0)</f>
        <v>20</v>
      </c>
      <c r="F338" s="112">
        <f>IFERROR(__xludf.DUMMYFUNCTION("""COMPUTED_VALUE"""),1000.0)</f>
        <v>1000</v>
      </c>
      <c r="G338" s="49" t="str">
        <f>IFERROR(__xludf.DUMMYFUNCTION("""COMPUTED_VALUE"""),"DMG")</f>
        <v>DMG</v>
      </c>
      <c r="H338" s="49">
        <f>IFERROR(__xludf.DUMMYFUNCTION("""COMPUTED_VALUE"""),500.0)</f>
        <v>500</v>
      </c>
      <c r="I338" s="49"/>
      <c r="J338" s="49"/>
      <c r="K338" s="49"/>
      <c r="L338" s="49"/>
      <c r="M338" s="49"/>
      <c r="N338" s="49"/>
      <c r="O338" s="49"/>
      <c r="P338" s="49"/>
      <c r="Q338" s="49"/>
      <c r="R338" s="49"/>
      <c r="S338" s="49"/>
      <c r="T338" s="49"/>
      <c r="U338" s="49"/>
      <c r="V338" s="49"/>
      <c r="W338" s="49">
        <f>IFERROR(__xludf.DUMMYFUNCTION("""COMPUTED_VALUE"""),200.0)</f>
        <v>200</v>
      </c>
      <c r="X338" s="49"/>
      <c r="Y338" s="49"/>
      <c r="Z338" s="49"/>
      <c r="AA338" s="49"/>
      <c r="AB338" s="49"/>
      <c r="AC338" s="49"/>
      <c r="AD338" s="49"/>
      <c r="AE338" s="49"/>
      <c r="AF338" s="49"/>
      <c r="AG338" s="49" t="str">
        <f>IFERROR(__xludf.DUMMYFUNCTION("""COMPUTED_VALUE"""),"Land of Spira")</f>
        <v>Land of Spira</v>
      </c>
      <c r="AH338" s="49" t="b">
        <f>IFERROR(__xludf.DUMMYFUNCTION("""COMPUTED_VALUE"""),TRUE)</f>
        <v>1</v>
      </c>
    </row>
    <row r="339">
      <c r="A339" s="49" t="str">
        <f>IFERROR(__xludf.DUMMYFUNCTION("""COMPUTED_VALUE"""),"Unknown Amulet")</f>
        <v>Unknown Amulet</v>
      </c>
      <c r="B339" s="49" t="str">
        <f>IFERROR(__xludf.DUMMYFUNCTION("""COMPUTED_VALUE"""),"Neck")</f>
        <v>Neck</v>
      </c>
      <c r="C339" s="49"/>
      <c r="D339" s="49"/>
      <c r="E339" s="49">
        <f>IFERROR(__xludf.DUMMYFUNCTION("""COMPUTED_VALUE"""),1.0)</f>
        <v>1</v>
      </c>
      <c r="F339" s="112">
        <f>IFERROR(__xludf.DUMMYFUNCTION("""COMPUTED_VALUE"""),0.0)</f>
        <v>0</v>
      </c>
      <c r="G339" s="49"/>
      <c r="H339" s="49"/>
      <c r="I339" s="49"/>
      <c r="J339" s="49"/>
      <c r="K339" s="49"/>
      <c r="L339" s="49"/>
      <c r="M339" s="49"/>
      <c r="N339" s="49"/>
      <c r="O339" s="49"/>
      <c r="P339" s="49"/>
      <c r="Q339" s="49"/>
      <c r="R339" s="49"/>
      <c r="S339" s="49"/>
      <c r="T339" s="49"/>
      <c r="U339" s="49"/>
      <c r="V339" s="49"/>
      <c r="W339" s="49"/>
      <c r="X339" s="49"/>
      <c r="Y339" s="49"/>
      <c r="Z339" s="49"/>
      <c r="AA339" s="49"/>
      <c r="AB339" s="49"/>
      <c r="AC339" s="49"/>
      <c r="AD339" s="49"/>
      <c r="AE339" s="49"/>
      <c r="AF339" s="49"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49" t="str">
        <f>IFERROR(__xludf.DUMMYFUNCTION("""COMPUTED_VALUE"""),"Land of Spira")</f>
        <v>Land of Spira</v>
      </c>
      <c r="AH339" s="49" t="b">
        <f>IFERROR(__xludf.DUMMYFUNCTION("""COMPUTED_VALUE"""),FALSE)</f>
        <v>0</v>
      </c>
    </row>
    <row r="340">
      <c r="A340" s="49" t="str">
        <f>IFERROR(__xludf.DUMMYFUNCTION("""COMPUTED_VALUE"""),"Vambraces of Waking Waters")</f>
        <v>Vambraces of Waking Waters</v>
      </c>
      <c r="B340" s="49" t="str">
        <f>IFERROR(__xludf.DUMMYFUNCTION("""COMPUTED_VALUE"""),"Arms")</f>
        <v>Arms</v>
      </c>
      <c r="C340" s="49"/>
      <c r="D340" s="49"/>
      <c r="E340" s="49">
        <f>IFERROR(__xludf.DUMMYFUNCTION("""COMPUTED_VALUE"""),200.0)</f>
        <v>200</v>
      </c>
      <c r="F340" s="112">
        <f>IFERROR(__xludf.DUMMYFUNCTION("""COMPUTED_VALUE"""),1900000.0)</f>
        <v>1900000</v>
      </c>
      <c r="G340" s="49" t="str">
        <f>IFERROR(__xludf.DUMMYFUNCTION("""COMPUTED_VALUE"""),"DEF")</f>
        <v>DEF</v>
      </c>
      <c r="H340" s="49">
        <f>IFERROR(__xludf.DUMMYFUNCTION("""COMPUTED_VALUE"""),5000.0)</f>
        <v>5000</v>
      </c>
      <c r="I340" s="49"/>
      <c r="J340" s="49"/>
      <c r="K340" s="49">
        <f>IFERROR(__xludf.DUMMYFUNCTION("""COMPUTED_VALUE"""),5000.0)</f>
        <v>5000</v>
      </c>
      <c r="L340" s="49"/>
      <c r="M340" s="49"/>
      <c r="N340" s="49"/>
      <c r="O340" s="49"/>
      <c r="P340" s="49"/>
      <c r="Q340" s="49"/>
      <c r="R340" s="49"/>
      <c r="S340" s="49"/>
      <c r="T340" s="49"/>
      <c r="U340" s="49"/>
      <c r="V340" s="49"/>
      <c r="W340" s="49"/>
      <c r="X340" s="49"/>
      <c r="Y340" s="49"/>
      <c r="Z340" s="49"/>
      <c r="AA340" s="49"/>
      <c r="AB340" s="49"/>
      <c r="AC340" s="49"/>
      <c r="AD340" s="49"/>
      <c r="AE340" s="49"/>
      <c r="AF340" s="49" t="str">
        <f>IFERROR(__xludf.DUMMYFUNCTION("""COMPUTED_VALUE"""),"++X4 additional Water damage.")</f>
        <v>++X4 additional Water damage.</v>
      </c>
      <c r="AG340" s="49" t="str">
        <f>IFERROR(__xludf.DUMMYFUNCTION("""COMPUTED_VALUE"""),"Land of Spira")</f>
        <v>Land of Spira</v>
      </c>
      <c r="AH340" s="49" t="b">
        <f>IFERROR(__xludf.DUMMYFUNCTION("""COMPUTED_VALUE"""),FALSE)</f>
        <v>0</v>
      </c>
    </row>
    <row r="341">
      <c r="A341" s="49"/>
      <c r="B341" s="49"/>
      <c r="C341" s="49"/>
      <c r="D341" s="49"/>
      <c r="E341" s="49">
        <f>IFERROR(__xludf.DUMMYFUNCTION("""COMPUTED_VALUE"""),1.0)</f>
        <v>1</v>
      </c>
      <c r="F341" s="112">
        <f>IFERROR(__xludf.DUMMYFUNCTION("""COMPUTED_VALUE"""),0.0)</f>
        <v>0</v>
      </c>
      <c r="G341" s="49"/>
      <c r="H341" s="49"/>
      <c r="I341" s="49"/>
      <c r="J341" s="49"/>
      <c r="K341" s="49"/>
      <c r="L341" s="49"/>
      <c r="M341" s="49"/>
      <c r="N341" s="49"/>
      <c r="O341" s="49"/>
      <c r="P341" s="49"/>
      <c r="Q341" s="49"/>
      <c r="R341" s="49"/>
      <c r="S341" s="49"/>
      <c r="T341" s="49"/>
      <c r="U341" s="49"/>
      <c r="V341" s="49"/>
      <c r="W341" s="49"/>
      <c r="X341" s="49"/>
      <c r="Y341" s="49"/>
      <c r="Z341" s="49"/>
      <c r="AA341" s="49"/>
      <c r="AB341" s="49"/>
      <c r="AC341" s="49"/>
      <c r="AD341" s="49"/>
      <c r="AE341" s="49"/>
      <c r="AF341" s="49"/>
      <c r="AG341" s="49" t="str">
        <f>IFERROR(__xludf.DUMMYFUNCTION("""COMPUTED_VALUE"""),"Land of Spira")</f>
        <v>Land of Spira</v>
      </c>
      <c r="AH341" s="49" t="b">
        <f>IFERROR(__xludf.DUMMYFUNCTION("""COMPUTED_VALUE"""),FALSE)</f>
        <v>0</v>
      </c>
    </row>
    <row r="342">
      <c r="A342" s="49"/>
      <c r="B342" s="49"/>
      <c r="C342" s="49"/>
      <c r="D342" s="49"/>
      <c r="E342" s="49">
        <f>IFERROR(__xludf.DUMMYFUNCTION("""COMPUTED_VALUE"""),1.0)</f>
        <v>1</v>
      </c>
      <c r="F342" s="112">
        <f>IFERROR(__xludf.DUMMYFUNCTION("""COMPUTED_VALUE"""),0.0)</f>
        <v>0</v>
      </c>
      <c r="G342" s="49"/>
      <c r="H342" s="49"/>
      <c r="I342" s="49"/>
      <c r="J342" s="49"/>
      <c r="K342" s="49"/>
      <c r="L342" s="49"/>
      <c r="M342" s="49"/>
      <c r="N342" s="49"/>
      <c r="O342" s="49"/>
      <c r="P342" s="49"/>
      <c r="Q342" s="49"/>
      <c r="R342" s="49"/>
      <c r="S342" s="49"/>
      <c r="T342" s="49"/>
      <c r="U342" s="49"/>
      <c r="V342" s="49"/>
      <c r="W342" s="49"/>
      <c r="X342" s="49"/>
      <c r="Y342" s="49"/>
      <c r="Z342" s="49"/>
      <c r="AA342" s="49"/>
      <c r="AB342" s="49"/>
      <c r="AC342" s="49"/>
      <c r="AD342" s="49"/>
      <c r="AE342" s="49"/>
      <c r="AF342" s="49"/>
      <c r="AG342" s="49" t="str">
        <f>IFERROR(__xludf.DUMMYFUNCTION("""COMPUTED_VALUE"""),"Land of Spira")</f>
        <v>Land of Spira</v>
      </c>
      <c r="AH342" s="49" t="b">
        <f>IFERROR(__xludf.DUMMYFUNCTION("""COMPUTED_VALUE"""),FALSE)</f>
        <v>0</v>
      </c>
    </row>
    <row r="343">
      <c r="A343" s="49" t="str">
        <f>IFERROR(__xludf.DUMMYFUNCTION("""COMPUTED_VALUE"""),"Viking Helm")</f>
        <v>Viking Helm</v>
      </c>
      <c r="B343" s="49" t="str">
        <f>IFERROR(__xludf.DUMMYFUNCTION("""COMPUTED_VALUE"""),"Head")</f>
        <v>Head</v>
      </c>
      <c r="C343" s="49"/>
      <c r="D343" s="49"/>
      <c r="E343" s="49">
        <f>IFERROR(__xludf.DUMMYFUNCTION("""COMPUTED_VALUE"""),1.0)</f>
        <v>1</v>
      </c>
      <c r="F343" s="112">
        <f>IFERROR(__xludf.DUMMYFUNCTION("""COMPUTED_VALUE"""),0.0)</f>
        <v>0</v>
      </c>
      <c r="G343" s="49" t="str">
        <f>IFERROR(__xludf.DUMMYFUNCTION("""COMPUTED_VALUE"""),"DEF")</f>
        <v>DEF</v>
      </c>
      <c r="H343" s="49">
        <f>IFERROR(__xludf.DUMMYFUNCTION("""COMPUTED_VALUE"""),200.0)</f>
        <v>200</v>
      </c>
      <c r="I343" s="49"/>
      <c r="J343" s="49"/>
      <c r="K343" s="49"/>
      <c r="L343" s="49"/>
      <c r="M343" s="49"/>
      <c r="N343" s="49"/>
      <c r="O343" s="49"/>
      <c r="P343" s="49"/>
      <c r="Q343" s="49"/>
      <c r="R343" s="49"/>
      <c r="S343" s="49"/>
      <c r="T343" s="49"/>
      <c r="U343" s="49"/>
      <c r="V343" s="49"/>
      <c r="W343" s="49"/>
      <c r="X343" s="49"/>
      <c r="Y343" s="49"/>
      <c r="Z343" s="49"/>
      <c r="AA343" s="49"/>
      <c r="AB343" s="49"/>
      <c r="AC343" s="49"/>
      <c r="AD343" s="49"/>
      <c r="AE343" s="49"/>
      <c r="AF343" s="49" t="str">
        <f>IFERROR(__xludf.DUMMYFUNCTION("""COMPUTED_VALUE"""),"(Viking Set)")</f>
        <v>(Viking Set)</v>
      </c>
      <c r="AG343" s="49" t="str">
        <f>IFERROR(__xludf.DUMMYFUNCTION("""COMPUTED_VALUE"""),"Land of Spira")</f>
        <v>Land of Spira</v>
      </c>
      <c r="AH343" s="49" t="b">
        <f>IFERROR(__xludf.DUMMYFUNCTION("""COMPUTED_VALUE"""),TRUE)</f>
        <v>1</v>
      </c>
    </row>
    <row r="344">
      <c r="A344" s="49" t="str">
        <f>IFERROR(__xludf.DUMMYFUNCTION("""COMPUTED_VALUE"""),"Void sword")</f>
        <v>Void sword</v>
      </c>
      <c r="B344" s="49" t="str">
        <f>IFERROR(__xludf.DUMMYFUNCTION("""COMPUTED_VALUE"""),"Hand")</f>
        <v>Hand</v>
      </c>
      <c r="C344" s="49"/>
      <c r="D344" s="49" t="str">
        <f>IFERROR(__xludf.DUMMYFUNCTION("""COMPUTED_VALUE"""),"Sword")</f>
        <v>Sword</v>
      </c>
      <c r="E344" s="49">
        <f>IFERROR(__xludf.DUMMYFUNCTION("""COMPUTED_VALUE"""),200.0)</f>
        <v>200</v>
      </c>
      <c r="F344" s="112">
        <f>IFERROR(__xludf.DUMMYFUNCTION("""COMPUTED_VALUE"""),0.0)</f>
        <v>0</v>
      </c>
      <c r="G344" s="49"/>
      <c r="H344" s="49"/>
      <c r="I344" s="49"/>
      <c r="J344" s="49"/>
      <c r="K344" s="49"/>
      <c r="L344" s="49"/>
      <c r="M344" s="49"/>
      <c r="N344" s="49"/>
      <c r="O344" s="49"/>
      <c r="P344" s="49"/>
      <c r="Q344" s="49"/>
      <c r="R344" s="49"/>
      <c r="S344" s="49"/>
      <c r="T344" s="49"/>
      <c r="U344" s="49"/>
      <c r="V344" s="49"/>
      <c r="W344" s="49"/>
      <c r="X344" s="49"/>
      <c r="Y344" s="49"/>
      <c r="Z344" s="49"/>
      <c r="AA344" s="49"/>
      <c r="AB344" s="49"/>
      <c r="AC344" s="49">
        <f>IFERROR(__xludf.DUMMYFUNCTION("""COMPUTED_VALUE"""),1.0)</f>
        <v>1</v>
      </c>
      <c r="AD344" s="49"/>
      <c r="AE344" s="49"/>
      <c r="AF344" s="49"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49" t="str">
        <f>IFERROR(__xludf.DUMMYFUNCTION("""COMPUTED_VALUE"""),"Land of Spira")</f>
        <v>Land of Spira</v>
      </c>
      <c r="AH344" s="49" t="b">
        <f>IFERROR(__xludf.DUMMYFUNCTION("""COMPUTED_VALUE"""),FALSE)</f>
        <v>0</v>
      </c>
    </row>
    <row r="345">
      <c r="A345" s="49" t="str">
        <f>IFERROR(__xludf.DUMMYFUNCTION("""COMPUTED_VALUE"""),"Volcanic Sword of Destruction")</f>
        <v>Volcanic Sword of Destruction</v>
      </c>
      <c r="B345" s="49" t="str">
        <f>IFERROR(__xludf.DUMMYFUNCTION("""COMPUTED_VALUE"""),"Hand")</f>
        <v>Hand</v>
      </c>
      <c r="C345" s="49"/>
      <c r="D345" s="49" t="str">
        <f>IFERROR(__xludf.DUMMYFUNCTION("""COMPUTED_VALUE"""),"Sword")</f>
        <v>Sword</v>
      </c>
      <c r="E345" s="49">
        <f>IFERROR(__xludf.DUMMYFUNCTION("""COMPUTED_VALUE"""),200.0)</f>
        <v>200</v>
      </c>
      <c r="F345" s="112">
        <f>IFERROR(__xludf.DUMMYFUNCTION("""COMPUTED_VALUE"""),4.995E9)</f>
        <v>4995000000</v>
      </c>
      <c r="G345" s="49" t="str">
        <f>IFERROR(__xludf.DUMMYFUNCTION("""COMPUTED_VALUE"""),"DMG")</f>
        <v>DMG</v>
      </c>
      <c r="H345" s="125">
        <f>IFERROR(__xludf.DUMMYFUNCTION("""COMPUTED_VALUE"""),100000.0)</f>
        <v>100000</v>
      </c>
      <c r="I345" s="125">
        <f>IFERROR(__xludf.DUMMYFUNCTION("""COMPUTED_VALUE"""),300000.0)</f>
        <v>300000</v>
      </c>
      <c r="J345" s="49"/>
      <c r="K345" s="49"/>
      <c r="L345" s="49"/>
      <c r="M345" s="49"/>
      <c r="N345" s="49"/>
      <c r="O345" s="49"/>
      <c r="P345" s="49"/>
      <c r="Q345" s="49"/>
      <c r="R345" s="49"/>
      <c r="S345" s="49"/>
      <c r="T345" s="49"/>
      <c r="U345" s="49"/>
      <c r="V345" s="49"/>
      <c r="W345" s="49"/>
      <c r="X345" s="49"/>
      <c r="Y345" s="49"/>
      <c r="Z345" s="49"/>
      <c r="AA345" s="49"/>
      <c r="AB345" s="49"/>
      <c r="AC345" s="125">
        <f>IFERROR(__xludf.DUMMYFUNCTION("""COMPUTED_VALUE"""),100000.0)</f>
        <v>100000</v>
      </c>
      <c r="AD345" s="49"/>
      <c r="AE345" s="49"/>
      <c r="AF345" s="49"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49" t="str">
        <f>IFERROR(__xludf.DUMMYFUNCTION("""COMPUTED_VALUE"""),"Abstara")</f>
        <v>Abstara</v>
      </c>
      <c r="AH345" s="49" t="b">
        <f>IFERROR(__xludf.DUMMYFUNCTION("""COMPUTED_VALUE"""),FALSE)</f>
        <v>0</v>
      </c>
    </row>
    <row r="346">
      <c r="A346" s="49" t="str">
        <f>IFERROR(__xludf.DUMMYFUNCTION("""COMPUTED_VALUE"""),"Wand of Grey")</f>
        <v>Wand of Grey</v>
      </c>
      <c r="B346" s="49" t="str">
        <f>IFERROR(__xludf.DUMMYFUNCTION("""COMPUTED_VALUE"""),"Hand")</f>
        <v>Hand</v>
      </c>
      <c r="C346" s="49"/>
      <c r="D346" s="49" t="str">
        <f>IFERROR(__xludf.DUMMYFUNCTION("""COMPUTED_VALUE"""),"Wand")</f>
        <v>Wand</v>
      </c>
      <c r="E346" s="49">
        <f>IFERROR(__xludf.DUMMYFUNCTION("""COMPUTED_VALUE"""),1.0)</f>
        <v>1</v>
      </c>
      <c r="F346" s="112">
        <f>IFERROR(__xludf.DUMMYFUNCTION("""COMPUTED_VALUE"""),0.0)</f>
        <v>0</v>
      </c>
      <c r="G346" s="49"/>
      <c r="H346" s="49"/>
      <c r="I346" s="49"/>
      <c r="J346" s="49"/>
      <c r="K346" s="49"/>
      <c r="L346" s="49"/>
      <c r="M346" s="49"/>
      <c r="N346" s="49"/>
      <c r="O346" s="49"/>
      <c r="P346" s="49"/>
      <c r="Q346" s="49"/>
      <c r="R346" s="49"/>
      <c r="S346" s="49"/>
      <c r="T346" s="49"/>
      <c r="U346" s="49"/>
      <c r="V346" s="49"/>
      <c r="W346" s="49"/>
      <c r="X346" s="49"/>
      <c r="Y346" s="49"/>
      <c r="Z346" s="49"/>
      <c r="AA346" s="49"/>
      <c r="AB346" s="49"/>
      <c r="AC346" s="49"/>
      <c r="AD346" s="49"/>
      <c r="AE346" s="49"/>
      <c r="AF346" s="49" t="str">
        <f>IFERROR(__xludf.DUMMYFUNCTION("""COMPUTED_VALUE"""),"++X2 more damage to all spells. +-Cannot be duplicated.")</f>
        <v>++X2 more damage to all spells. +-Cannot be duplicated.</v>
      </c>
      <c r="AG346" s="49" t="str">
        <f>IFERROR(__xludf.DUMMYFUNCTION("""COMPUTED_VALUE"""),"Land of Spira")</f>
        <v>Land of Spira</v>
      </c>
      <c r="AH346" s="49" t="b">
        <f>IFERROR(__xludf.DUMMYFUNCTION("""COMPUTED_VALUE"""),FALSE)</f>
        <v>0</v>
      </c>
    </row>
    <row r="347">
      <c r="A347" s="49" t="str">
        <f>IFERROR(__xludf.DUMMYFUNCTION("""COMPUTED_VALUE"""),"Wand of Multi-Color")</f>
        <v>Wand of Multi-Color</v>
      </c>
      <c r="B347" s="49" t="str">
        <f>IFERROR(__xludf.DUMMYFUNCTION("""COMPUTED_VALUE"""),"Hand")</f>
        <v>Hand</v>
      </c>
      <c r="C347" s="49"/>
      <c r="D347" s="49" t="str">
        <f>IFERROR(__xludf.DUMMYFUNCTION("""COMPUTED_VALUE"""),"Wand")</f>
        <v>Wand</v>
      </c>
      <c r="E347" s="49">
        <f>IFERROR(__xludf.DUMMYFUNCTION("""COMPUTED_VALUE"""),1.0)</f>
        <v>1</v>
      </c>
      <c r="F347" s="112">
        <f>IFERROR(__xludf.DUMMYFUNCTION("""COMPUTED_VALUE"""),0.0)</f>
        <v>0</v>
      </c>
      <c r="G347" s="49"/>
      <c r="H347" s="49"/>
      <c r="I347" s="49"/>
      <c r="J347" s="49"/>
      <c r="K347" s="49"/>
      <c r="L347" s="49"/>
      <c r="M347" s="49"/>
      <c r="N347" s="49"/>
      <c r="O347" s="49"/>
      <c r="P347" s="49"/>
      <c r="Q347" s="49"/>
      <c r="R347" s="49"/>
      <c r="S347" s="49"/>
      <c r="T347" s="49"/>
      <c r="U347" s="49"/>
      <c r="V347" s="49"/>
      <c r="W347" s="49"/>
      <c r="X347" s="49"/>
      <c r="Y347" s="49"/>
      <c r="Z347" s="49"/>
      <c r="AA347" s="49"/>
      <c r="AB347" s="49"/>
      <c r="AC347" s="49"/>
      <c r="AD347" s="49"/>
      <c r="AE347" s="49"/>
      <c r="AF347" s="49" t="str">
        <f>IFERROR(__xludf.DUMMYFUNCTION("""COMPUTED_VALUE"""),"++All types of spells are reduced by half sp. +-Cannot be duplicated. +-Can only equip one")</f>
        <v>++All types of spells are reduced by half sp. +-Cannot be duplicated. +-Can only equip one</v>
      </c>
      <c r="AG347" s="49" t="str">
        <f>IFERROR(__xludf.DUMMYFUNCTION("""COMPUTED_VALUE"""),"Land of Spira")</f>
        <v>Land of Spira</v>
      </c>
      <c r="AH347" s="49" t="b">
        <f>IFERROR(__xludf.DUMMYFUNCTION("""COMPUTED_VALUE"""),FALSE)</f>
        <v>0</v>
      </c>
    </row>
    <row r="348">
      <c r="A348" s="49" t="str">
        <f>IFERROR(__xludf.DUMMYFUNCTION("""COMPUTED_VALUE"""),"Warlock’s Armored Chestplate")</f>
        <v>Warlock’s Armored Chestplate</v>
      </c>
      <c r="B348" s="49" t="str">
        <f>IFERROR(__xludf.DUMMYFUNCTION("""COMPUTED_VALUE"""),"Torso")</f>
        <v>Torso</v>
      </c>
      <c r="C348" s="49"/>
      <c r="D348" s="49"/>
      <c r="E348" s="49">
        <f>IFERROR(__xludf.DUMMYFUNCTION("""COMPUTED_VALUE"""),100.0)</f>
        <v>100</v>
      </c>
      <c r="F348" s="112">
        <f>IFERROR(__xludf.DUMMYFUNCTION("""COMPUTED_VALUE"""),450000.0)</f>
        <v>450000</v>
      </c>
      <c r="G348" s="49" t="str">
        <f>IFERROR(__xludf.DUMMYFUNCTION("""COMPUTED_VALUE"""),"DEF")</f>
        <v>DEF</v>
      </c>
      <c r="H348" s="125">
        <f>IFERROR(__xludf.DUMMYFUNCTION("""COMPUTED_VALUE"""),5000.0)</f>
        <v>5000</v>
      </c>
      <c r="I348" s="49"/>
      <c r="J348" s="49"/>
      <c r="K348" s="49"/>
      <c r="L348" s="49"/>
      <c r="M348" s="49"/>
      <c r="N348" s="49"/>
      <c r="O348" s="49"/>
      <c r="P348" s="49"/>
      <c r="Q348" s="49"/>
      <c r="R348" s="49"/>
      <c r="S348" s="49"/>
      <c r="T348" s="49"/>
      <c r="U348" s="49"/>
      <c r="V348" s="49"/>
      <c r="W348" s="49"/>
      <c r="X348" s="49"/>
      <c r="Y348" s="49"/>
      <c r="Z348" s="49"/>
      <c r="AA348" s="49"/>
      <c r="AB348" s="49"/>
      <c r="AC348" s="49"/>
      <c r="AD348" s="49"/>
      <c r="AE348" s="49"/>
      <c r="AF348" s="49"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49" t="str">
        <f>IFERROR(__xludf.DUMMYFUNCTION("""COMPUTED_VALUE"""),"Land of Spira")</f>
        <v>Land of Spira</v>
      </c>
      <c r="AH348" s="49" t="b">
        <f>IFERROR(__xludf.DUMMYFUNCTION("""COMPUTED_VALUE"""),FALSE)</f>
        <v>0</v>
      </c>
    </row>
    <row r="349">
      <c r="A349" s="49" t="str">
        <f>IFERROR(__xludf.DUMMYFUNCTION("""COMPUTED_VALUE"""),"Water Warhammer")</f>
        <v>Water Warhammer</v>
      </c>
      <c r="B349" s="49" t="str">
        <f>IFERROR(__xludf.DUMMYFUNCTION("""COMPUTED_VALUE"""),"Hand")</f>
        <v>Hand</v>
      </c>
      <c r="C349" s="49"/>
      <c r="D349" s="49" t="str">
        <f>IFERROR(__xludf.DUMMYFUNCTION("""COMPUTED_VALUE"""),"Club")</f>
        <v>Club</v>
      </c>
      <c r="E349" s="49">
        <f>IFERROR(__xludf.DUMMYFUNCTION("""COMPUTED_VALUE"""),200.0)</f>
        <v>200</v>
      </c>
      <c r="F349" s="112">
        <f>IFERROR(__xludf.DUMMYFUNCTION("""COMPUTED_VALUE"""),1900000.0)</f>
        <v>1900000</v>
      </c>
      <c r="G349" s="49" t="str">
        <f>IFERROR(__xludf.DUMMYFUNCTION("""COMPUTED_VALUE"""),"DMG")</f>
        <v>DMG</v>
      </c>
      <c r="H349" s="49">
        <f>IFERROR(__xludf.DUMMYFUNCTION("""COMPUTED_VALUE"""),5000.0)</f>
        <v>5000</v>
      </c>
      <c r="I349" s="49"/>
      <c r="J349" s="49"/>
      <c r="K349" s="49">
        <f>IFERROR(__xludf.DUMMYFUNCTION("""COMPUTED_VALUE"""),5000.0)</f>
        <v>5000</v>
      </c>
      <c r="L349" s="49"/>
      <c r="M349" s="49"/>
      <c r="N349" s="49"/>
      <c r="O349" s="49"/>
      <c r="P349" s="49"/>
      <c r="Q349" s="49"/>
      <c r="R349" s="49"/>
      <c r="S349" s="49"/>
      <c r="T349" s="49"/>
      <c r="U349" s="49"/>
      <c r="V349" s="49"/>
      <c r="W349" s="49"/>
      <c r="X349" s="49"/>
      <c r="Y349" s="49"/>
      <c r="Z349" s="49"/>
      <c r="AA349" s="49"/>
      <c r="AB349" s="49"/>
      <c r="AC349" s="49"/>
      <c r="AD349" s="49"/>
      <c r="AE349" s="49"/>
      <c r="AF349" s="49"/>
      <c r="AG349" s="49" t="str">
        <f>IFERROR(__xludf.DUMMYFUNCTION("""COMPUTED_VALUE"""),"Land of Spira")</f>
        <v>Land of Spira</v>
      </c>
      <c r="AH349" s="49" t="b">
        <f>IFERROR(__xludf.DUMMYFUNCTION("""COMPUTED_VALUE"""),TRUE)</f>
        <v>1</v>
      </c>
    </row>
    <row r="350">
      <c r="A350" s="49" t="str">
        <f>IFERROR(__xludf.DUMMYFUNCTION("""COMPUTED_VALUE"""),"Weaponized Bamboo Hat")</f>
        <v>Weaponized Bamboo Hat</v>
      </c>
      <c r="B350" s="49" t="str">
        <f>IFERROR(__xludf.DUMMYFUNCTION("""COMPUTED_VALUE"""),"Head")</f>
        <v>Head</v>
      </c>
      <c r="C350" s="49"/>
      <c r="D350" s="49" t="str">
        <f>IFERROR(__xludf.DUMMYFUNCTION("""COMPUTED_VALUE"""),"Knife")</f>
        <v>Knife</v>
      </c>
      <c r="E350" s="49">
        <f>IFERROR(__xludf.DUMMYFUNCTION("""COMPUTED_VALUE"""),40.0)</f>
        <v>40</v>
      </c>
      <c r="F350" s="112">
        <f>IFERROR(__xludf.DUMMYFUNCTION("""COMPUTED_VALUE"""),60000.0)</f>
        <v>60000</v>
      </c>
      <c r="G350" s="49" t="str">
        <f>IFERROR(__xludf.DUMMYFUNCTION("""COMPUTED_VALUE"""),"DEF")</f>
        <v>DEF</v>
      </c>
      <c r="H350" s="49">
        <f>IFERROR(__xludf.DUMMYFUNCTION("""COMPUTED_VALUE"""),1000.0)</f>
        <v>1000</v>
      </c>
      <c r="I350" s="49"/>
      <c r="J350" s="49"/>
      <c r="K350" s="49"/>
      <c r="L350" s="49"/>
      <c r="M350" s="49"/>
      <c r="N350" s="49"/>
      <c r="O350" s="49"/>
      <c r="P350" s="49"/>
      <c r="Q350" s="49"/>
      <c r="R350" s="49"/>
      <c r="S350" s="49">
        <f>IFERROR(__xludf.DUMMYFUNCTION("""COMPUTED_VALUE"""),1000.0)</f>
        <v>1000</v>
      </c>
      <c r="T350" s="49"/>
      <c r="U350" s="49"/>
      <c r="V350" s="49"/>
      <c r="W350" s="49"/>
      <c r="X350" s="49"/>
      <c r="Y350" s="49"/>
      <c r="Z350" s="49"/>
      <c r="AA350" s="49"/>
      <c r="AB350" s="49"/>
      <c r="AC350" s="49"/>
      <c r="AD350" s="49"/>
      <c r="AE350" s="49"/>
      <c r="AF350" s="49" t="str">
        <f>IFERROR(__xludf.DUMMYFUNCTION("""COMPUTED_VALUE"""),"++10,000 damage when thrown, this item will return to you after thrown.")</f>
        <v>++10,000 damage when thrown, this item will return to you after thrown.</v>
      </c>
      <c r="AG350" s="49" t="str">
        <f>IFERROR(__xludf.DUMMYFUNCTION("""COMPUTED_VALUE"""),"Land of Spira")</f>
        <v>Land of Spira</v>
      </c>
      <c r="AH350" s="49" t="b">
        <f>IFERROR(__xludf.DUMMYFUNCTION("""COMPUTED_VALUE"""),FALSE)</f>
        <v>0</v>
      </c>
    </row>
    <row r="351">
      <c r="A351" s="49" t="str">
        <f>IFERROR(__xludf.DUMMYFUNCTION("""COMPUTED_VALUE"""),"Wig of Temper Fire")</f>
        <v>Wig of Temper Fire</v>
      </c>
      <c r="B351" s="49" t="str">
        <f>IFERROR(__xludf.DUMMYFUNCTION("""COMPUTED_VALUE"""),"Head")</f>
        <v>Head</v>
      </c>
      <c r="C351" s="49"/>
      <c r="D351" s="49"/>
      <c r="E351" s="49">
        <f>IFERROR(__xludf.DUMMYFUNCTION("""COMPUTED_VALUE"""),1.0)</f>
        <v>1</v>
      </c>
      <c r="F351" s="112">
        <f>IFERROR(__xludf.DUMMYFUNCTION("""COMPUTED_VALUE"""),0.0)</f>
        <v>0</v>
      </c>
      <c r="G351" s="49"/>
      <c r="H351" s="49"/>
      <c r="I351" s="49"/>
      <c r="J351" s="49"/>
      <c r="K351" s="49"/>
      <c r="L351" s="49"/>
      <c r="M351" s="49"/>
      <c r="N351" s="49"/>
      <c r="O351" s="49"/>
      <c r="P351" s="49"/>
      <c r="Q351" s="49"/>
      <c r="R351" s="49"/>
      <c r="S351" s="49"/>
      <c r="T351" s="49"/>
      <c r="U351" s="49"/>
      <c r="V351" s="49"/>
      <c r="W351" s="49"/>
      <c r="X351" s="49"/>
      <c r="Y351" s="49"/>
      <c r="Z351" s="49"/>
      <c r="AA351" s="49"/>
      <c r="AB351" s="49"/>
      <c r="AC351" s="49"/>
      <c r="AD351" s="49"/>
      <c r="AE351" s="49"/>
      <c r="AF351" s="49" t="str">
        <f>IFERROR(__xludf.DUMMYFUNCTION("""COMPUTED_VALUE"""),"++reduces any fire damage to 1 +-Cannot be duplicated")</f>
        <v>++reduces any fire damage to 1 +-Cannot be duplicated</v>
      </c>
      <c r="AG351" s="49" t="str">
        <f>IFERROR(__xludf.DUMMYFUNCTION("""COMPUTED_VALUE"""),"Land of Spira")</f>
        <v>Land of Spira</v>
      </c>
      <c r="AH351" s="49" t="b">
        <f>IFERROR(__xludf.DUMMYFUNCTION("""COMPUTED_VALUE"""),FALSE)</f>
        <v>0</v>
      </c>
    </row>
    <row r="352">
      <c r="A352" s="49" t="str">
        <f>IFERROR(__xludf.DUMMYFUNCTION("""COMPUTED_VALUE"""),"Woodsman’s Hacker")</f>
        <v>Woodsman’s Hacker</v>
      </c>
      <c r="B352" s="49" t="str">
        <f>IFERROR(__xludf.DUMMYFUNCTION("""COMPUTED_VALUE"""),"Hand")</f>
        <v>Hand</v>
      </c>
      <c r="C352" s="49"/>
      <c r="D352" s="49" t="str">
        <f>IFERROR(__xludf.DUMMYFUNCTION("""COMPUTED_VALUE"""),"Axe")</f>
        <v>Axe</v>
      </c>
      <c r="E352" s="49">
        <f>IFERROR(__xludf.DUMMYFUNCTION("""COMPUTED_VALUE"""),10.0)</f>
        <v>10</v>
      </c>
      <c r="F352" s="112">
        <f>IFERROR(__xludf.DUMMYFUNCTION("""COMPUTED_VALUE"""),1000.0)</f>
        <v>1000</v>
      </c>
      <c r="G352" s="49" t="str">
        <f>IFERROR(__xludf.DUMMYFUNCTION("""COMPUTED_VALUE"""),"DMG")</f>
        <v>DMG</v>
      </c>
      <c r="H352" s="49">
        <f>IFERROR(__xludf.DUMMYFUNCTION("""COMPUTED_VALUE"""),500.0)</f>
        <v>500</v>
      </c>
      <c r="I352" s="49"/>
      <c r="J352" s="49"/>
      <c r="K352" s="49"/>
      <c r="L352" s="49"/>
      <c r="M352" s="49"/>
      <c r="N352" s="49"/>
      <c r="O352" s="49"/>
      <c r="P352" s="49"/>
      <c r="Q352" s="49"/>
      <c r="R352" s="49"/>
      <c r="S352" s="49"/>
      <c r="T352" s="49"/>
      <c r="U352" s="49"/>
      <c r="V352" s="49"/>
      <c r="W352" s="49"/>
      <c r="X352" s="49"/>
      <c r="Y352" s="49"/>
      <c r="Z352" s="49"/>
      <c r="AA352" s="49"/>
      <c r="AB352" s="49"/>
      <c r="AC352" s="49"/>
      <c r="AD352" s="49"/>
      <c r="AE352" s="49"/>
      <c r="AF352" s="49"/>
      <c r="AG352" s="49" t="str">
        <f>IFERROR(__xludf.DUMMYFUNCTION("""COMPUTED_VALUE"""),"Land of Spira")</f>
        <v>Land of Spira</v>
      </c>
      <c r="AH352" s="49" t="b">
        <f>IFERROR(__xludf.DUMMYFUNCTION("""COMPUTED_VALUE"""),TRUE)</f>
        <v>1</v>
      </c>
    </row>
    <row r="353">
      <c r="A353" s="49" t="str">
        <f>IFERROR(__xludf.DUMMYFUNCTION("""COMPUTED_VALUE"""),"World Tree Sword")</f>
        <v>World Tree Sword</v>
      </c>
      <c r="B353" s="49" t="str">
        <f>IFERROR(__xludf.DUMMYFUNCTION("""COMPUTED_VALUE"""),"Hand")</f>
        <v>Hand</v>
      </c>
      <c r="C353" s="49"/>
      <c r="D353" s="49"/>
      <c r="E353" s="49">
        <f>IFERROR(__xludf.DUMMYFUNCTION("""COMPUTED_VALUE"""),200.0)</f>
        <v>200</v>
      </c>
      <c r="F353" s="112">
        <f>IFERROR(__xludf.DUMMYFUNCTION("""COMPUTED_VALUE"""),3.196E9)</f>
        <v>3196000000</v>
      </c>
      <c r="G353" s="49" t="str">
        <f>IFERROR(__xludf.DUMMYFUNCTION("""COMPUTED_VALUE"""),"DMG")</f>
        <v>DMG</v>
      </c>
      <c r="H353" s="125">
        <f>IFERROR(__xludf.DUMMYFUNCTION("""COMPUTED_VALUE"""),100000.0)</f>
        <v>100000</v>
      </c>
      <c r="I353" s="49"/>
      <c r="J353" s="49"/>
      <c r="K353" s="49"/>
      <c r="L353" s="49"/>
      <c r="M353" s="125">
        <f>IFERROR(__xludf.DUMMYFUNCTION("""COMPUTED_VALUE"""),50000.0)</f>
        <v>50000</v>
      </c>
      <c r="N353" s="125">
        <f>IFERROR(__xludf.DUMMYFUNCTION("""COMPUTED_VALUE"""),50000.0)</f>
        <v>50000</v>
      </c>
      <c r="O353" s="49"/>
      <c r="P353" s="125">
        <f>IFERROR(__xludf.DUMMYFUNCTION("""COMPUTED_VALUE"""),50000.0)</f>
        <v>50000</v>
      </c>
      <c r="Q353" s="125">
        <f>IFERROR(__xludf.DUMMYFUNCTION("""COMPUTED_VALUE"""),50000.0)</f>
        <v>50000</v>
      </c>
      <c r="R353" s="49"/>
      <c r="S353" s="125">
        <f>IFERROR(__xludf.DUMMYFUNCTION("""COMPUTED_VALUE"""),50000.0)</f>
        <v>50000</v>
      </c>
      <c r="T353" s="49"/>
      <c r="U353" s="49"/>
      <c r="V353" s="49"/>
      <c r="W353" s="49"/>
      <c r="X353" s="49"/>
      <c r="Y353" s="49"/>
      <c r="Z353" s="49"/>
      <c r="AA353" s="49"/>
      <c r="AB353" s="49"/>
      <c r="AC353" s="125">
        <f>IFERROR(__xludf.DUMMYFUNCTION("""COMPUTED_VALUE"""),50000.0)</f>
        <v>50000</v>
      </c>
      <c r="AD353" s="49"/>
      <c r="AE353" s="49"/>
      <c r="AF353" s="49"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49" t="str">
        <f>IFERROR(__xludf.DUMMYFUNCTION("""COMPUTED_VALUE"""),"Land of Spira")</f>
        <v>Land of Spira</v>
      </c>
      <c r="AH353" s="49" t="b">
        <f>IFERROR(__xludf.DUMMYFUNCTION("""COMPUTED_VALUE"""),FALSE)</f>
        <v>0</v>
      </c>
    </row>
    <row r="354">
      <c r="A354" s="49" t="str">
        <f>IFERROR(__xludf.DUMMYFUNCTION("""COMPUTED_VALUE"""),"Tear of the Dragon Pendant")</f>
        <v>Tear of the Dragon Pendant</v>
      </c>
      <c r="B354" s="49" t="str">
        <f>IFERROR(__xludf.DUMMYFUNCTION("""COMPUTED_VALUE"""),"Neck")</f>
        <v>Neck</v>
      </c>
      <c r="C354" s="49"/>
      <c r="D354" s="49"/>
      <c r="E354" s="49">
        <f>IFERROR(__xludf.DUMMYFUNCTION("""COMPUTED_VALUE"""),1.0)</f>
        <v>1</v>
      </c>
      <c r="F354" s="112">
        <f>IFERROR(__xludf.DUMMYFUNCTION("""COMPUTED_VALUE"""),0.0)</f>
        <v>0</v>
      </c>
      <c r="G354" s="49"/>
      <c r="H354" s="49"/>
      <c r="I354" s="49"/>
      <c r="J354" s="49"/>
      <c r="K354" s="49"/>
      <c r="L354" s="49"/>
      <c r="M354" s="49"/>
      <c r="N354" s="49"/>
      <c r="O354" s="49"/>
      <c r="P354" s="49"/>
      <c r="Q354" s="49"/>
      <c r="R354" s="49"/>
      <c r="S354" s="49"/>
      <c r="T354" s="49"/>
      <c r="U354" s="49"/>
      <c r="V354" s="49"/>
      <c r="W354" s="49"/>
      <c r="X354" s="49"/>
      <c r="Y354" s="49"/>
      <c r="Z354" s="49"/>
      <c r="AA354" s="49"/>
      <c r="AB354" s="49"/>
      <c r="AC354" s="49"/>
      <c r="AD354" s="49"/>
      <c r="AE354" s="49"/>
      <c r="AF354" s="49" t="str">
        <f>IFERROR(__xludf.DUMMYFUNCTION("""COMPUTED_VALUE"""),"++Plus 5 or Minus 5 on your attack and percentage rolls, Users choice. +-Cannot be duplicated.")</f>
        <v>++Plus 5 or Minus 5 on your attack and percentage rolls, Users choice. +-Cannot be duplicated.</v>
      </c>
      <c r="AG354" s="49" t="str">
        <f>IFERROR(__xludf.DUMMYFUNCTION("""COMPUTED_VALUE"""),"Dragonscale Island")</f>
        <v>Dragonscale Island</v>
      </c>
      <c r="AH354" s="49" t="b">
        <f>IFERROR(__xludf.DUMMYFUNCTION("""COMPUTED_VALUE"""),FALSE)</f>
        <v>0</v>
      </c>
    </row>
    <row r="355">
      <c r="A355" s="49" t="str">
        <f>IFERROR(__xludf.DUMMYFUNCTION("""COMPUTED_VALUE"""),"Luck of the Dragon Pendant")</f>
        <v>Luck of the Dragon Pendant</v>
      </c>
      <c r="B355" s="49" t="str">
        <f>IFERROR(__xludf.DUMMYFUNCTION("""COMPUTED_VALUE"""),"Neck")</f>
        <v>Neck</v>
      </c>
      <c r="C355" s="49"/>
      <c r="D355" s="49"/>
      <c r="E355" s="49">
        <f>IFERROR(__xludf.DUMMYFUNCTION("""COMPUTED_VALUE"""),1.0)</f>
        <v>1</v>
      </c>
      <c r="F355" s="112">
        <f>IFERROR(__xludf.DUMMYFUNCTION("""COMPUTED_VALUE"""),0.0)</f>
        <v>0</v>
      </c>
      <c r="G355" s="49"/>
      <c r="H355" s="49"/>
      <c r="I355" s="49"/>
      <c r="J355" s="49"/>
      <c r="K355" s="49"/>
      <c r="L355" s="49"/>
      <c r="M355" s="49"/>
      <c r="N355" s="49"/>
      <c r="O355" s="49"/>
      <c r="P355" s="49"/>
      <c r="Q355" s="49"/>
      <c r="R355" s="49"/>
      <c r="S355" s="49"/>
      <c r="T355" s="49"/>
      <c r="U355" s="49"/>
      <c r="V355" s="49"/>
      <c r="W355" s="49"/>
      <c r="X355" s="49"/>
      <c r="Y355" s="49"/>
      <c r="Z355" s="49"/>
      <c r="AA355" s="49"/>
      <c r="AB355" s="49"/>
      <c r="AC355" s="49"/>
      <c r="AD355" s="49"/>
      <c r="AE355" s="49"/>
      <c r="AF355" s="49" t="str">
        <f>IFERROR(__xludf.DUMMYFUNCTION("""COMPUTED_VALUE"""),"++Plus 5 or Minus 5 on your Loot and Fail/Succeed rolls, Users choice. +-Cannot be duplicated.")</f>
        <v>++Plus 5 or Minus 5 on your Loot and Fail/Succeed rolls, Users choice. +-Cannot be duplicated.</v>
      </c>
      <c r="AG355" s="49" t="str">
        <f>IFERROR(__xludf.DUMMYFUNCTION("""COMPUTED_VALUE"""),"Dragonscale Island")</f>
        <v>Dragonscale Island</v>
      </c>
      <c r="AH355" s="49" t="b">
        <f>IFERROR(__xludf.DUMMYFUNCTION("""COMPUTED_VALUE"""),FALSE)</f>
        <v>0</v>
      </c>
    </row>
    <row r="356">
      <c r="A356" s="49" t="str">
        <f>IFERROR(__xludf.DUMMYFUNCTION("""COMPUTED_VALUE"""),"Scale of the Dragon Pendant")</f>
        <v>Scale of the Dragon Pendant</v>
      </c>
      <c r="B356" s="49" t="str">
        <f>IFERROR(__xludf.DUMMYFUNCTION("""COMPUTED_VALUE"""),"Neck")</f>
        <v>Neck</v>
      </c>
      <c r="C356" s="49"/>
      <c r="D356" s="49"/>
      <c r="E356" s="49">
        <f>IFERROR(__xludf.DUMMYFUNCTION("""COMPUTED_VALUE"""),1.0)</f>
        <v>1</v>
      </c>
      <c r="F356" s="112">
        <f>IFERROR(__xludf.DUMMYFUNCTION("""COMPUTED_VALUE"""),0.0)</f>
        <v>0</v>
      </c>
      <c r="G356" s="49"/>
      <c r="H356" s="49"/>
      <c r="I356" s="49"/>
      <c r="J356" s="49"/>
      <c r="K356" s="49"/>
      <c r="L356" s="49"/>
      <c r="M356" s="49"/>
      <c r="N356" s="49"/>
      <c r="O356" s="49"/>
      <c r="P356" s="49"/>
      <c r="Q356" s="49"/>
      <c r="R356" s="49"/>
      <c r="S356" s="49"/>
      <c r="T356" s="49"/>
      <c r="U356" s="49"/>
      <c r="V356" s="49"/>
      <c r="W356" s="49"/>
      <c r="X356" s="49"/>
      <c r="Y356" s="49"/>
      <c r="Z356" s="49"/>
      <c r="AA356" s="49"/>
      <c r="AB356" s="49"/>
      <c r="AC356" s="49"/>
      <c r="AD356" s="49"/>
      <c r="AE356" s="49"/>
      <c r="AF356" s="49" t="str">
        <f>IFERROR(__xludf.DUMMYFUNCTION("""COMPUTED_VALUE"""),"++Allows you to use a companions SP as your own if the companion is a dragon. +-Cannot be duplicated.")</f>
        <v>++Allows you to use a companions SP as your own if the companion is a dragon. +-Cannot be duplicated.</v>
      </c>
      <c r="AG356" s="49" t="str">
        <f>IFERROR(__xludf.DUMMYFUNCTION("""COMPUTED_VALUE"""),"Dragonscale Island")</f>
        <v>Dragonscale Island</v>
      </c>
      <c r="AH356" s="49" t="b">
        <f>IFERROR(__xludf.DUMMYFUNCTION("""COMPUTED_VALUE"""),FALSE)</f>
        <v>0</v>
      </c>
    </row>
    <row r="357">
      <c r="A357" s="49" t="str">
        <f>IFERROR(__xludf.DUMMYFUNCTION("""COMPUTED_VALUE"""),"Guard Pauldrons")</f>
        <v>Guard Pauldrons</v>
      </c>
      <c r="B357" s="49" t="str">
        <f>IFERROR(__xludf.DUMMYFUNCTION("""COMPUTED_VALUE"""),"Shoulders")</f>
        <v>Shoulders</v>
      </c>
      <c r="C357" s="49" t="str">
        <f>IFERROR(__xludf.DUMMYFUNCTION("""COMPUTED_VALUE"""),"Quest Item")</f>
        <v>Quest Item</v>
      </c>
      <c r="D357" s="49"/>
      <c r="E357" s="49">
        <f>IFERROR(__xludf.DUMMYFUNCTION("""COMPUTED_VALUE"""),200.0)</f>
        <v>200</v>
      </c>
      <c r="F357" s="112">
        <f>IFERROR(__xludf.DUMMYFUNCTION("""COMPUTED_VALUE"""),1.1175E8)</f>
        <v>111750000</v>
      </c>
      <c r="G357" s="49" t="str">
        <f>IFERROR(__xludf.DUMMYFUNCTION("""COMPUTED_VALUE"""),"DEF")</f>
        <v>DEF</v>
      </c>
      <c r="H357" s="125">
        <f>IFERROR(__xludf.DUMMYFUNCTION("""COMPUTED_VALUE"""),25000.0)</f>
        <v>25000</v>
      </c>
      <c r="I357" s="49"/>
      <c r="J357" s="49"/>
      <c r="K357" s="49"/>
      <c r="L357" s="49"/>
      <c r="M357" s="49"/>
      <c r="N357" s="125">
        <f>IFERROR(__xludf.DUMMYFUNCTION("""COMPUTED_VALUE"""),25000.0)</f>
        <v>25000</v>
      </c>
      <c r="O357" s="49"/>
      <c r="P357" s="49"/>
      <c r="Q357" s="49"/>
      <c r="R357" s="49"/>
      <c r="S357" s="49"/>
      <c r="T357" s="49"/>
      <c r="U357" s="49"/>
      <c r="V357" s="49"/>
      <c r="W357" s="49"/>
      <c r="X357" s="49"/>
      <c r="Y357" s="49"/>
      <c r="Z357" s="49"/>
      <c r="AA357" s="49"/>
      <c r="AB357" s="49"/>
      <c r="AC357" s="125">
        <f>IFERROR(__xludf.DUMMYFUNCTION("""COMPUTED_VALUE"""),25000.0)</f>
        <v>25000</v>
      </c>
      <c r="AD357" s="49"/>
      <c r="AE357" s="49"/>
      <c r="AF357" s="49" t="str">
        <f>IFERROR(__xludf.DUMMYFUNCTION("""COMPUTED_VALUE"""),"+-Cannot be duplicated")</f>
        <v>+-Cannot be duplicated</v>
      </c>
      <c r="AG357" s="49" t="str">
        <f>IFERROR(__xludf.DUMMYFUNCTION("""COMPUTED_VALUE"""),"Land of Spira")</f>
        <v>Land of Spira</v>
      </c>
      <c r="AH357" s="49" t="b">
        <f>IFERROR(__xludf.DUMMYFUNCTION("""COMPUTED_VALUE"""),FALSE)</f>
        <v>0</v>
      </c>
    </row>
    <row r="358">
      <c r="A358" s="49" t="str">
        <f>IFERROR(__xludf.DUMMYFUNCTION("""COMPUTED_VALUE"""),"Guard Vambraces")</f>
        <v>Guard Vambraces</v>
      </c>
      <c r="B358" s="49" t="str">
        <f>IFERROR(__xludf.DUMMYFUNCTION("""COMPUTED_VALUE"""),"Arms")</f>
        <v>Arms</v>
      </c>
      <c r="C358" s="49" t="str">
        <f>IFERROR(__xludf.DUMMYFUNCTION("""COMPUTED_VALUE"""),"Quest Item")</f>
        <v>Quest Item</v>
      </c>
      <c r="D358" s="49"/>
      <c r="E358" s="49">
        <f>IFERROR(__xludf.DUMMYFUNCTION("""COMPUTED_VALUE"""),200.0)</f>
        <v>200</v>
      </c>
      <c r="F358" s="112">
        <f>IFERROR(__xludf.DUMMYFUNCTION("""COMPUTED_VALUE"""),1.1175E8)</f>
        <v>111750000</v>
      </c>
      <c r="G358" s="49" t="str">
        <f>IFERROR(__xludf.DUMMYFUNCTION("""COMPUTED_VALUE"""),"DEF")</f>
        <v>DEF</v>
      </c>
      <c r="H358" s="125">
        <f>IFERROR(__xludf.DUMMYFUNCTION("""COMPUTED_VALUE"""),25000.0)</f>
        <v>25000</v>
      </c>
      <c r="I358" s="49"/>
      <c r="J358" s="49"/>
      <c r="K358" s="49"/>
      <c r="L358" s="49"/>
      <c r="M358" s="49"/>
      <c r="N358" s="125">
        <f>IFERROR(__xludf.DUMMYFUNCTION("""COMPUTED_VALUE"""),25000.0)</f>
        <v>25000</v>
      </c>
      <c r="O358" s="49"/>
      <c r="P358" s="49"/>
      <c r="Q358" s="49"/>
      <c r="R358" s="49"/>
      <c r="S358" s="49"/>
      <c r="T358" s="49"/>
      <c r="U358" s="49"/>
      <c r="V358" s="49"/>
      <c r="W358" s="49"/>
      <c r="X358" s="49"/>
      <c r="Y358" s="49"/>
      <c r="Z358" s="49"/>
      <c r="AA358" s="49"/>
      <c r="AB358" s="49"/>
      <c r="AC358" s="125">
        <f>IFERROR(__xludf.DUMMYFUNCTION("""COMPUTED_VALUE"""),25000.0)</f>
        <v>25000</v>
      </c>
      <c r="AD358" s="49"/>
      <c r="AE358" s="49"/>
      <c r="AF358" s="49" t="str">
        <f>IFERROR(__xludf.DUMMYFUNCTION("""COMPUTED_VALUE"""),"+-Cannot be duplicated")</f>
        <v>+-Cannot be duplicated</v>
      </c>
      <c r="AG358" s="49" t="str">
        <f>IFERROR(__xludf.DUMMYFUNCTION("""COMPUTED_VALUE"""),"Land of Spira")</f>
        <v>Land of Spira</v>
      </c>
      <c r="AH358" s="49" t="b">
        <f>IFERROR(__xludf.DUMMYFUNCTION("""COMPUTED_VALUE"""),FALSE)</f>
        <v>0</v>
      </c>
    </row>
    <row r="359">
      <c r="A359" s="49" t="str">
        <f>IFERROR(__xludf.DUMMYFUNCTION("""COMPUTED_VALUE"""),"Royal Guard Pauldrons")</f>
        <v>Royal Guard Pauldrons</v>
      </c>
      <c r="B359" s="49" t="str">
        <f>IFERROR(__xludf.DUMMYFUNCTION("""COMPUTED_VALUE"""),"Shoulders")</f>
        <v>Shoulders</v>
      </c>
      <c r="C359" s="49" t="str">
        <f>IFERROR(__xludf.DUMMYFUNCTION("""COMPUTED_VALUE"""),"Quest Item")</f>
        <v>Quest Item</v>
      </c>
      <c r="D359" s="49"/>
      <c r="E359" s="49">
        <f>IFERROR(__xludf.DUMMYFUNCTION("""COMPUTED_VALUE"""),200.0)</f>
        <v>200</v>
      </c>
      <c r="F359" s="112">
        <f>IFERROR(__xludf.DUMMYFUNCTION("""COMPUTED_VALUE"""),4.485E8)</f>
        <v>448500000</v>
      </c>
      <c r="G359" s="49" t="str">
        <f>IFERROR(__xludf.DUMMYFUNCTION("""COMPUTED_VALUE"""),"DEF")</f>
        <v>DEF</v>
      </c>
      <c r="H359" s="125">
        <f>IFERROR(__xludf.DUMMYFUNCTION("""COMPUTED_VALUE"""),50000.0)</f>
        <v>50000</v>
      </c>
      <c r="I359" s="49"/>
      <c r="J359" s="49"/>
      <c r="K359" s="49"/>
      <c r="L359" s="49"/>
      <c r="M359" s="49"/>
      <c r="N359" s="125">
        <f>IFERROR(__xludf.DUMMYFUNCTION("""COMPUTED_VALUE"""),50000.0)</f>
        <v>50000</v>
      </c>
      <c r="O359" s="49"/>
      <c r="P359" s="49"/>
      <c r="Q359" s="49"/>
      <c r="R359" s="49"/>
      <c r="S359" s="49"/>
      <c r="T359" s="49"/>
      <c r="U359" s="49"/>
      <c r="V359" s="49"/>
      <c r="W359" s="49"/>
      <c r="X359" s="49"/>
      <c r="Y359" s="49"/>
      <c r="Z359" s="49"/>
      <c r="AA359" s="49"/>
      <c r="AB359" s="49"/>
      <c r="AC359" s="125">
        <f>IFERROR(__xludf.DUMMYFUNCTION("""COMPUTED_VALUE"""),50000.0)</f>
        <v>50000</v>
      </c>
      <c r="AD359" s="49"/>
      <c r="AE359" s="49"/>
      <c r="AF359" s="49" t="str">
        <f>IFERROR(__xludf.DUMMYFUNCTION("""COMPUTED_VALUE"""),"+-Cannot be duplicated")</f>
        <v>+-Cannot be duplicated</v>
      </c>
      <c r="AG359" s="49" t="str">
        <f>IFERROR(__xludf.DUMMYFUNCTION("""COMPUTED_VALUE"""),"Land of Spira")</f>
        <v>Land of Spira</v>
      </c>
      <c r="AH359" s="49" t="b">
        <f>IFERROR(__xludf.DUMMYFUNCTION("""COMPUTED_VALUE"""),FALSE)</f>
        <v>0</v>
      </c>
    </row>
    <row r="360">
      <c r="A360" s="49" t="str">
        <f>IFERROR(__xludf.DUMMYFUNCTION("""COMPUTED_VALUE"""),"Royal Guard Vambraces")</f>
        <v>Royal Guard Vambraces</v>
      </c>
      <c r="B360" s="49" t="str">
        <f>IFERROR(__xludf.DUMMYFUNCTION("""COMPUTED_VALUE"""),"Arms")</f>
        <v>Arms</v>
      </c>
      <c r="C360" s="49" t="str">
        <f>IFERROR(__xludf.DUMMYFUNCTION("""COMPUTED_VALUE"""),"Quest Item")</f>
        <v>Quest Item</v>
      </c>
      <c r="D360" s="49"/>
      <c r="E360" s="49">
        <f>IFERROR(__xludf.DUMMYFUNCTION("""COMPUTED_VALUE"""),200.0)</f>
        <v>200</v>
      </c>
      <c r="F360" s="112">
        <f>IFERROR(__xludf.DUMMYFUNCTION("""COMPUTED_VALUE"""),4.485E8)</f>
        <v>448500000</v>
      </c>
      <c r="G360" s="49" t="str">
        <f>IFERROR(__xludf.DUMMYFUNCTION("""COMPUTED_VALUE"""),"DEF")</f>
        <v>DEF</v>
      </c>
      <c r="H360" s="125">
        <f>IFERROR(__xludf.DUMMYFUNCTION("""COMPUTED_VALUE"""),50000.0)</f>
        <v>50000</v>
      </c>
      <c r="I360" s="49"/>
      <c r="J360" s="49"/>
      <c r="K360" s="49"/>
      <c r="L360" s="49"/>
      <c r="M360" s="49"/>
      <c r="N360" s="125">
        <f>IFERROR(__xludf.DUMMYFUNCTION("""COMPUTED_VALUE"""),50000.0)</f>
        <v>50000</v>
      </c>
      <c r="O360" s="49"/>
      <c r="P360" s="49"/>
      <c r="Q360" s="49"/>
      <c r="R360" s="49"/>
      <c r="S360" s="49"/>
      <c r="T360" s="49"/>
      <c r="U360" s="49"/>
      <c r="V360" s="49"/>
      <c r="W360" s="49"/>
      <c r="X360" s="49"/>
      <c r="Y360" s="49"/>
      <c r="Z360" s="49"/>
      <c r="AA360" s="49"/>
      <c r="AB360" s="49"/>
      <c r="AC360" s="125">
        <f>IFERROR(__xludf.DUMMYFUNCTION("""COMPUTED_VALUE"""),50000.0)</f>
        <v>50000</v>
      </c>
      <c r="AD360" s="49"/>
      <c r="AE360" s="49"/>
      <c r="AF360" s="49" t="str">
        <f>IFERROR(__xludf.DUMMYFUNCTION("""COMPUTED_VALUE"""),"+-Cannot be duplicated")</f>
        <v>+-Cannot be duplicated</v>
      </c>
      <c r="AG360" s="49" t="str">
        <f>IFERROR(__xludf.DUMMYFUNCTION("""COMPUTED_VALUE"""),"Land of Spira")</f>
        <v>Land of Spira</v>
      </c>
      <c r="AH360" s="49" t="b">
        <f>IFERROR(__xludf.DUMMYFUNCTION("""COMPUTED_VALUE"""),FALSE)</f>
        <v>0</v>
      </c>
    </row>
    <row r="361">
      <c r="A361" s="49" t="str">
        <f>IFERROR(__xludf.DUMMYFUNCTION("""COMPUTED_VALUE"""),"Celestian Royal Pauldrons")</f>
        <v>Celestian Royal Pauldrons</v>
      </c>
      <c r="B361" s="49" t="str">
        <f>IFERROR(__xludf.DUMMYFUNCTION("""COMPUTED_VALUE"""),"Shoulders")</f>
        <v>Shoulders</v>
      </c>
      <c r="C361" s="49" t="str">
        <f>IFERROR(__xludf.DUMMYFUNCTION("""COMPUTED_VALUE"""),"Quest Item")</f>
        <v>Quest Item</v>
      </c>
      <c r="D361" s="49"/>
      <c r="E361" s="49">
        <f>IFERROR(__xludf.DUMMYFUNCTION("""COMPUTED_VALUE"""),200.0)</f>
        <v>200</v>
      </c>
      <c r="F361" s="112">
        <f>IFERROR(__xludf.DUMMYFUNCTION("""COMPUTED_VALUE"""),3.196E9)</f>
        <v>3196000000</v>
      </c>
      <c r="G361" s="49" t="str">
        <f>IFERROR(__xludf.DUMMYFUNCTION("""COMPUTED_VALUE"""),"DEF")</f>
        <v>DEF</v>
      </c>
      <c r="H361" s="125">
        <f>IFERROR(__xludf.DUMMYFUNCTION("""COMPUTED_VALUE"""),100000.0)</f>
        <v>100000</v>
      </c>
      <c r="I361" s="49"/>
      <c r="J361" s="49"/>
      <c r="K361" s="49"/>
      <c r="L361" s="49"/>
      <c r="M361" s="49"/>
      <c r="N361" s="125">
        <f>IFERROR(__xludf.DUMMYFUNCTION("""COMPUTED_VALUE"""),100000.0)</f>
        <v>100000</v>
      </c>
      <c r="O361" s="125">
        <f>IFERROR(__xludf.DUMMYFUNCTION("""COMPUTED_VALUE"""),100000.0)</f>
        <v>100000</v>
      </c>
      <c r="P361" s="49"/>
      <c r="Q361" s="49"/>
      <c r="R361" s="49"/>
      <c r="S361" s="49"/>
      <c r="T361" s="49"/>
      <c r="U361" s="49"/>
      <c r="V361" s="49"/>
      <c r="W361" s="49"/>
      <c r="X361" s="49"/>
      <c r="Y361" s="49"/>
      <c r="Z361" s="49"/>
      <c r="AA361" s="49"/>
      <c r="AB361" s="49"/>
      <c r="AC361" s="125">
        <f>IFERROR(__xludf.DUMMYFUNCTION("""COMPUTED_VALUE"""),100000.0)</f>
        <v>100000</v>
      </c>
      <c r="AD361" s="49"/>
      <c r="AE361" s="49"/>
      <c r="AF361" s="49" t="str">
        <f>IFERROR(__xludf.DUMMYFUNCTION("""COMPUTED_VALUE"""),"++X2 Celestial Damage. +-Cannot be duplicated.")</f>
        <v>++X2 Celestial Damage. +-Cannot be duplicated.</v>
      </c>
      <c r="AG361" s="49" t="str">
        <f>IFERROR(__xludf.DUMMYFUNCTION("""COMPUTED_VALUE"""),"Land of Spira")</f>
        <v>Land of Spira</v>
      </c>
      <c r="AH361" s="49" t="b">
        <f>IFERROR(__xludf.DUMMYFUNCTION("""COMPUTED_VALUE"""),FALSE)</f>
        <v>0</v>
      </c>
    </row>
    <row r="362">
      <c r="A362" s="49" t="str">
        <f>IFERROR(__xludf.DUMMYFUNCTION("""COMPUTED_VALUE"""),"Celestian Royal Vambraces")</f>
        <v>Celestian Royal Vambraces</v>
      </c>
      <c r="B362" s="49" t="str">
        <f>IFERROR(__xludf.DUMMYFUNCTION("""COMPUTED_VALUE"""),"Arms")</f>
        <v>Arms</v>
      </c>
      <c r="C362" s="49" t="str">
        <f>IFERROR(__xludf.DUMMYFUNCTION("""COMPUTED_VALUE"""),"Quest Item")</f>
        <v>Quest Item</v>
      </c>
      <c r="D362" s="49"/>
      <c r="E362" s="49">
        <f>IFERROR(__xludf.DUMMYFUNCTION("""COMPUTED_VALUE"""),200.0)</f>
        <v>200</v>
      </c>
      <c r="F362" s="112">
        <f>IFERROR(__xludf.DUMMYFUNCTION("""COMPUTED_VALUE"""),3.196E9)</f>
        <v>3196000000</v>
      </c>
      <c r="G362" s="49" t="str">
        <f>IFERROR(__xludf.DUMMYFUNCTION("""COMPUTED_VALUE"""),"DEF")</f>
        <v>DEF</v>
      </c>
      <c r="H362" s="125">
        <f>IFERROR(__xludf.DUMMYFUNCTION("""COMPUTED_VALUE"""),100000.0)</f>
        <v>100000</v>
      </c>
      <c r="I362" s="49"/>
      <c r="J362" s="49"/>
      <c r="K362" s="49"/>
      <c r="L362" s="49"/>
      <c r="M362" s="49"/>
      <c r="N362" s="125">
        <f>IFERROR(__xludf.DUMMYFUNCTION("""COMPUTED_VALUE"""),100000.0)</f>
        <v>100000</v>
      </c>
      <c r="O362" s="125">
        <f>IFERROR(__xludf.DUMMYFUNCTION("""COMPUTED_VALUE"""),100000.0)</f>
        <v>100000</v>
      </c>
      <c r="P362" s="49"/>
      <c r="Q362" s="49"/>
      <c r="R362" s="49"/>
      <c r="S362" s="49"/>
      <c r="T362" s="49"/>
      <c r="U362" s="49"/>
      <c r="V362" s="49"/>
      <c r="W362" s="49"/>
      <c r="X362" s="49"/>
      <c r="Y362" s="49"/>
      <c r="Z362" s="49"/>
      <c r="AA362" s="49"/>
      <c r="AB362" s="49"/>
      <c r="AC362" s="125">
        <f>IFERROR(__xludf.DUMMYFUNCTION("""COMPUTED_VALUE"""),100000.0)</f>
        <v>100000</v>
      </c>
      <c r="AD362" s="49"/>
      <c r="AE362" s="49"/>
      <c r="AF362" s="49" t="str">
        <f>IFERROR(__xludf.DUMMYFUNCTION("""COMPUTED_VALUE"""),"++X2 Celestial Damage. +-Cannot be duplicated.")</f>
        <v>++X2 Celestial Damage. +-Cannot be duplicated.</v>
      </c>
      <c r="AG362" s="49" t="str">
        <f>IFERROR(__xludf.DUMMYFUNCTION("""COMPUTED_VALUE"""),"Land of Spira")</f>
        <v>Land of Spira</v>
      </c>
      <c r="AH362" s="49" t="b">
        <f>IFERROR(__xludf.DUMMYFUNCTION("""COMPUTED_VALUE"""),FALSE)</f>
        <v>0</v>
      </c>
    </row>
    <row r="363">
      <c r="A363" s="49" t="str">
        <f>IFERROR(__xludf.DUMMYFUNCTION("""COMPUTED_VALUE"""),"Royal Guard Shield")</f>
        <v>Royal Guard Shield</v>
      </c>
      <c r="B363" s="49" t="str">
        <f>IFERROR(__xludf.DUMMYFUNCTION("""COMPUTED_VALUE"""),"Hand")</f>
        <v>Hand</v>
      </c>
      <c r="C363" s="49" t="str">
        <f>IFERROR(__xludf.DUMMYFUNCTION("""COMPUTED_VALUE"""),"Quest Item")</f>
        <v>Quest Item</v>
      </c>
      <c r="D363" s="49" t="str">
        <f>IFERROR(__xludf.DUMMYFUNCTION("""COMPUTED_VALUE"""),"Towershield")</f>
        <v>Towershield</v>
      </c>
      <c r="E363" s="49">
        <f>IFERROR(__xludf.DUMMYFUNCTION("""COMPUTED_VALUE"""),200.0)</f>
        <v>200</v>
      </c>
      <c r="F363" s="112">
        <f>IFERROR(__xludf.DUMMYFUNCTION("""COMPUTED_VALUE"""),7.98E8)</f>
        <v>798000000</v>
      </c>
      <c r="G363" s="49" t="str">
        <f>IFERROR(__xludf.DUMMYFUNCTION("""COMPUTED_VALUE"""),"DEF")</f>
        <v>DEF</v>
      </c>
      <c r="H363" s="125">
        <f>IFERROR(__xludf.DUMMYFUNCTION("""COMPUTED_VALUE"""),50000.0)</f>
        <v>50000</v>
      </c>
      <c r="I363" s="49"/>
      <c r="J363" s="49"/>
      <c r="K363" s="49"/>
      <c r="L363" s="49"/>
      <c r="M363" s="49"/>
      <c r="N363" s="125">
        <f>IFERROR(__xludf.DUMMYFUNCTION("""COMPUTED_VALUE"""),50000.0)</f>
        <v>50000</v>
      </c>
      <c r="O363" s="125">
        <f>IFERROR(__xludf.DUMMYFUNCTION("""COMPUTED_VALUE"""),50000.0)</f>
        <v>50000</v>
      </c>
      <c r="P363" s="49"/>
      <c r="Q363" s="49"/>
      <c r="R363" s="49"/>
      <c r="S363" s="49"/>
      <c r="T363" s="49"/>
      <c r="U363" s="49"/>
      <c r="V363" s="49"/>
      <c r="W363" s="49"/>
      <c r="X363" s="49"/>
      <c r="Y363" s="49"/>
      <c r="Z363" s="49"/>
      <c r="AA363" s="49"/>
      <c r="AB363" s="49"/>
      <c r="AC363" s="125">
        <f>IFERROR(__xludf.DUMMYFUNCTION("""COMPUTED_VALUE"""),50000.0)</f>
        <v>50000</v>
      </c>
      <c r="AD363" s="49"/>
      <c r="AE363" s="49"/>
      <c r="AF363" s="49" t="str">
        <f>IFERROR(__xludf.DUMMYFUNCTION("""COMPUTED_VALUE"""),"++X2 Celestial Defense. +-Cannot be duplicated.")</f>
        <v>++X2 Celestial Defense. +-Cannot be duplicated.</v>
      </c>
      <c r="AG363" s="49" t="str">
        <f>IFERROR(__xludf.DUMMYFUNCTION("""COMPUTED_VALUE"""),"Land of Spira")</f>
        <v>Land of Spira</v>
      </c>
      <c r="AH363" s="49" t="b">
        <f>IFERROR(__xludf.DUMMYFUNCTION("""COMPUTED_VALUE"""),FALSE)</f>
        <v>0</v>
      </c>
    </row>
    <row r="364">
      <c r="A364" s="49" t="str">
        <f>IFERROR(__xludf.DUMMYFUNCTION("""COMPUTED_VALUE"""),"Guard Leggings")</f>
        <v>Guard Leggings</v>
      </c>
      <c r="B364" s="49" t="str">
        <f>IFERROR(__xludf.DUMMYFUNCTION("""COMPUTED_VALUE"""),"Legs")</f>
        <v>Legs</v>
      </c>
      <c r="C364" s="49" t="str">
        <f>IFERROR(__xludf.DUMMYFUNCTION("""COMPUTED_VALUE"""),"Quest Item")</f>
        <v>Quest Item</v>
      </c>
      <c r="D364" s="49"/>
      <c r="E364" s="49">
        <f>IFERROR(__xludf.DUMMYFUNCTION("""COMPUTED_VALUE"""),200.0)</f>
        <v>200</v>
      </c>
      <c r="F364" s="112">
        <f>IFERROR(__xludf.DUMMYFUNCTION("""COMPUTED_VALUE"""),1.1175E8)</f>
        <v>111750000</v>
      </c>
      <c r="G364" s="49" t="str">
        <f>IFERROR(__xludf.DUMMYFUNCTION("""COMPUTED_VALUE"""),"DEF")</f>
        <v>DEF</v>
      </c>
      <c r="H364" s="125">
        <f>IFERROR(__xludf.DUMMYFUNCTION("""COMPUTED_VALUE"""),25000.0)</f>
        <v>25000</v>
      </c>
      <c r="I364" s="49"/>
      <c r="J364" s="49"/>
      <c r="K364" s="49"/>
      <c r="L364" s="49"/>
      <c r="M364" s="49"/>
      <c r="N364" s="125">
        <f>IFERROR(__xludf.DUMMYFUNCTION("""COMPUTED_VALUE"""),25000.0)</f>
        <v>25000</v>
      </c>
      <c r="O364" s="49"/>
      <c r="P364" s="49"/>
      <c r="Q364" s="49"/>
      <c r="R364" s="49"/>
      <c r="S364" s="49"/>
      <c r="T364" s="49"/>
      <c r="U364" s="49"/>
      <c r="V364" s="49"/>
      <c r="W364" s="49"/>
      <c r="X364" s="49"/>
      <c r="Y364" s="49"/>
      <c r="Z364" s="49"/>
      <c r="AA364" s="49"/>
      <c r="AB364" s="49"/>
      <c r="AC364" s="125">
        <f>IFERROR(__xludf.DUMMYFUNCTION("""COMPUTED_VALUE"""),25000.0)</f>
        <v>25000</v>
      </c>
      <c r="AD364" s="49"/>
      <c r="AE364" s="49"/>
      <c r="AF364" s="49" t="str">
        <f>IFERROR(__xludf.DUMMYFUNCTION("""COMPUTED_VALUE"""),"+-Cannot be duplicated")</f>
        <v>+-Cannot be duplicated</v>
      </c>
      <c r="AG364" s="49" t="str">
        <f>IFERROR(__xludf.DUMMYFUNCTION("""COMPUTED_VALUE"""),"Land of Spira")</f>
        <v>Land of Spira</v>
      </c>
      <c r="AH364" s="49" t="b">
        <f>IFERROR(__xludf.DUMMYFUNCTION("""COMPUTED_VALUE"""),FALSE)</f>
        <v>0</v>
      </c>
    </row>
    <row r="365">
      <c r="A365" s="49" t="str">
        <f>IFERROR(__xludf.DUMMYFUNCTION("""COMPUTED_VALUE"""),"Guard Boots")</f>
        <v>Guard Boots</v>
      </c>
      <c r="B365" s="49" t="str">
        <f>IFERROR(__xludf.DUMMYFUNCTION("""COMPUTED_VALUE"""),"Feet")</f>
        <v>Feet</v>
      </c>
      <c r="C365" s="49" t="str">
        <f>IFERROR(__xludf.DUMMYFUNCTION("""COMPUTED_VALUE"""),"Quest Item")</f>
        <v>Quest Item</v>
      </c>
      <c r="D365" s="49"/>
      <c r="E365" s="49">
        <f>IFERROR(__xludf.DUMMYFUNCTION("""COMPUTED_VALUE"""),200.0)</f>
        <v>200</v>
      </c>
      <c r="F365" s="112">
        <f>IFERROR(__xludf.DUMMYFUNCTION("""COMPUTED_VALUE"""),1.1175E8)</f>
        <v>111750000</v>
      </c>
      <c r="G365" s="49" t="str">
        <f>IFERROR(__xludf.DUMMYFUNCTION("""COMPUTED_VALUE"""),"DEF")</f>
        <v>DEF</v>
      </c>
      <c r="H365" s="125">
        <f>IFERROR(__xludf.DUMMYFUNCTION("""COMPUTED_VALUE"""),25000.0)</f>
        <v>25000</v>
      </c>
      <c r="I365" s="49"/>
      <c r="J365" s="49"/>
      <c r="K365" s="49"/>
      <c r="L365" s="49"/>
      <c r="M365" s="49"/>
      <c r="N365" s="125">
        <f>IFERROR(__xludf.DUMMYFUNCTION("""COMPUTED_VALUE"""),25000.0)</f>
        <v>25000</v>
      </c>
      <c r="O365" s="49"/>
      <c r="P365" s="49"/>
      <c r="Q365" s="49"/>
      <c r="R365" s="49"/>
      <c r="S365" s="49"/>
      <c r="T365" s="49"/>
      <c r="U365" s="49"/>
      <c r="V365" s="49"/>
      <c r="W365" s="49"/>
      <c r="X365" s="49"/>
      <c r="Y365" s="49"/>
      <c r="Z365" s="49"/>
      <c r="AA365" s="49"/>
      <c r="AB365" s="49"/>
      <c r="AC365" s="125">
        <f>IFERROR(__xludf.DUMMYFUNCTION("""COMPUTED_VALUE"""),25000.0)</f>
        <v>25000</v>
      </c>
      <c r="AD365" s="49"/>
      <c r="AE365" s="49"/>
      <c r="AF365" s="49" t="str">
        <f>IFERROR(__xludf.DUMMYFUNCTION("""COMPUTED_VALUE"""),"+-Cannot be duplicated")</f>
        <v>+-Cannot be duplicated</v>
      </c>
      <c r="AG365" s="49" t="str">
        <f>IFERROR(__xludf.DUMMYFUNCTION("""COMPUTED_VALUE"""),"Land of Spira")</f>
        <v>Land of Spira</v>
      </c>
      <c r="AH365" s="49" t="b">
        <f>IFERROR(__xludf.DUMMYFUNCTION("""COMPUTED_VALUE"""),FALSE)</f>
        <v>0</v>
      </c>
    </row>
    <row r="366">
      <c r="A366" s="49" t="str">
        <f>IFERROR(__xludf.DUMMYFUNCTION("""COMPUTED_VALUE"""),"Celestian Royal Boots")</f>
        <v>Celestian Royal Boots</v>
      </c>
      <c r="B366" s="49" t="str">
        <f>IFERROR(__xludf.DUMMYFUNCTION("""COMPUTED_VALUE"""),"Feet")</f>
        <v>Feet</v>
      </c>
      <c r="C366" s="49" t="str">
        <f>IFERROR(__xludf.DUMMYFUNCTION("""COMPUTED_VALUE"""),"Quest Item")</f>
        <v>Quest Item</v>
      </c>
      <c r="D366" s="49"/>
      <c r="E366" s="49">
        <f>IFERROR(__xludf.DUMMYFUNCTION("""COMPUTED_VALUE"""),200.0)</f>
        <v>200</v>
      </c>
      <c r="F366" s="112">
        <f>IFERROR(__xludf.DUMMYFUNCTION("""COMPUTED_VALUE"""),3.196E9)</f>
        <v>3196000000</v>
      </c>
      <c r="G366" s="49" t="str">
        <f>IFERROR(__xludf.DUMMYFUNCTION("""COMPUTED_VALUE"""),"DEF")</f>
        <v>DEF</v>
      </c>
      <c r="H366" s="125">
        <f>IFERROR(__xludf.DUMMYFUNCTION("""COMPUTED_VALUE"""),100000.0)</f>
        <v>100000</v>
      </c>
      <c r="I366" s="49"/>
      <c r="J366" s="49"/>
      <c r="K366" s="49"/>
      <c r="L366" s="49"/>
      <c r="M366" s="49"/>
      <c r="N366" s="125">
        <f>IFERROR(__xludf.DUMMYFUNCTION("""COMPUTED_VALUE"""),100000.0)</f>
        <v>100000</v>
      </c>
      <c r="O366" s="125">
        <f>IFERROR(__xludf.DUMMYFUNCTION("""COMPUTED_VALUE"""),100000.0)</f>
        <v>100000</v>
      </c>
      <c r="P366" s="49"/>
      <c r="Q366" s="49"/>
      <c r="R366" s="49"/>
      <c r="S366" s="49"/>
      <c r="T366" s="49"/>
      <c r="U366" s="49"/>
      <c r="V366" s="49"/>
      <c r="W366" s="49"/>
      <c r="X366" s="49"/>
      <c r="Y366" s="49"/>
      <c r="Z366" s="49"/>
      <c r="AA366" s="49"/>
      <c r="AB366" s="49"/>
      <c r="AC366" s="125">
        <f>IFERROR(__xludf.DUMMYFUNCTION("""COMPUTED_VALUE"""),100000.0)</f>
        <v>100000</v>
      </c>
      <c r="AD366" s="49"/>
      <c r="AE366" s="49"/>
      <c r="AF366" s="49" t="str">
        <f>IFERROR(__xludf.DUMMYFUNCTION("""COMPUTED_VALUE"""),"++X6 Celestial Damage. +-Cannot be duplicated.")</f>
        <v>++X6 Celestial Damage. +-Cannot be duplicated.</v>
      </c>
      <c r="AG366" s="49" t="str">
        <f>IFERROR(__xludf.DUMMYFUNCTION("""COMPUTED_VALUE"""),"Land of Spira")</f>
        <v>Land of Spira</v>
      </c>
      <c r="AH366" s="49" t="b">
        <f>IFERROR(__xludf.DUMMYFUNCTION("""COMPUTED_VALUE"""),FALSE)</f>
        <v>0</v>
      </c>
    </row>
    <row r="367">
      <c r="A367" s="49" t="str">
        <f>IFERROR(__xludf.DUMMYFUNCTION("""COMPUTED_VALUE"""),"Celestian Royal Leggings")</f>
        <v>Celestian Royal Leggings</v>
      </c>
      <c r="B367" s="49" t="str">
        <f>IFERROR(__xludf.DUMMYFUNCTION("""COMPUTED_VALUE"""),"Legs")</f>
        <v>Legs</v>
      </c>
      <c r="C367" s="49" t="str">
        <f>IFERROR(__xludf.DUMMYFUNCTION("""COMPUTED_VALUE"""),"Quest Item")</f>
        <v>Quest Item</v>
      </c>
      <c r="D367" s="49"/>
      <c r="E367" s="49">
        <f>IFERROR(__xludf.DUMMYFUNCTION("""COMPUTED_VALUE"""),200.0)</f>
        <v>200</v>
      </c>
      <c r="F367" s="112">
        <f>IFERROR(__xludf.DUMMYFUNCTION("""COMPUTED_VALUE"""),3.196E9)</f>
        <v>3196000000</v>
      </c>
      <c r="G367" s="49" t="str">
        <f>IFERROR(__xludf.DUMMYFUNCTION("""COMPUTED_VALUE"""),"DEF")</f>
        <v>DEF</v>
      </c>
      <c r="H367" s="125">
        <f>IFERROR(__xludf.DUMMYFUNCTION("""COMPUTED_VALUE"""),100000.0)</f>
        <v>100000</v>
      </c>
      <c r="I367" s="49"/>
      <c r="J367" s="49"/>
      <c r="K367" s="49"/>
      <c r="L367" s="49"/>
      <c r="M367" s="49"/>
      <c r="N367" s="125">
        <f>IFERROR(__xludf.DUMMYFUNCTION("""COMPUTED_VALUE"""),100000.0)</f>
        <v>100000</v>
      </c>
      <c r="O367" s="125">
        <f>IFERROR(__xludf.DUMMYFUNCTION("""COMPUTED_VALUE"""),100000.0)</f>
        <v>100000</v>
      </c>
      <c r="P367" s="49"/>
      <c r="Q367" s="49"/>
      <c r="R367" s="49"/>
      <c r="S367" s="49"/>
      <c r="T367" s="49"/>
      <c r="U367" s="49"/>
      <c r="V367" s="49"/>
      <c r="W367" s="49"/>
      <c r="X367" s="49"/>
      <c r="Y367" s="49"/>
      <c r="Z367" s="49"/>
      <c r="AA367" s="49"/>
      <c r="AB367" s="49"/>
      <c r="AC367" s="125">
        <f>IFERROR(__xludf.DUMMYFUNCTION("""COMPUTED_VALUE"""),100000.0)</f>
        <v>100000</v>
      </c>
      <c r="AD367" s="49"/>
      <c r="AE367" s="49"/>
      <c r="AF367" s="49" t="str">
        <f>IFERROR(__xludf.DUMMYFUNCTION("""COMPUTED_VALUE"""),"++X6 Celestial Damage. +-Cannot be duplicated.")</f>
        <v>++X6 Celestial Damage. +-Cannot be duplicated.</v>
      </c>
      <c r="AG367" s="49" t="str">
        <f>IFERROR(__xludf.DUMMYFUNCTION("""COMPUTED_VALUE"""),"Land of Spira")</f>
        <v>Land of Spira</v>
      </c>
      <c r="AH367" s="49" t="b">
        <f>IFERROR(__xludf.DUMMYFUNCTION("""COMPUTED_VALUE"""),FALSE)</f>
        <v>0</v>
      </c>
    </row>
    <row r="368">
      <c r="A368" s="49" t="str">
        <f>IFERROR(__xludf.DUMMYFUNCTION("""COMPUTED_VALUE"""),"Celestian Royal Helmet")</f>
        <v>Celestian Royal Helmet</v>
      </c>
      <c r="B368" s="49" t="str">
        <f>IFERROR(__xludf.DUMMYFUNCTION("""COMPUTED_VALUE"""),"Head")</f>
        <v>Head</v>
      </c>
      <c r="C368" s="49" t="str">
        <f>IFERROR(__xludf.DUMMYFUNCTION("""COMPUTED_VALUE"""),"Quest Item")</f>
        <v>Quest Item</v>
      </c>
      <c r="D368" s="49"/>
      <c r="E368" s="49">
        <f>IFERROR(__xludf.DUMMYFUNCTION("""COMPUTED_VALUE"""),200.0)</f>
        <v>200</v>
      </c>
      <c r="F368" s="112">
        <f>IFERROR(__xludf.DUMMYFUNCTION("""COMPUTED_VALUE"""),3.196E9)</f>
        <v>3196000000</v>
      </c>
      <c r="G368" s="49" t="str">
        <f>IFERROR(__xludf.DUMMYFUNCTION("""COMPUTED_VALUE"""),"DEF")</f>
        <v>DEF</v>
      </c>
      <c r="H368" s="125">
        <f>IFERROR(__xludf.DUMMYFUNCTION("""COMPUTED_VALUE"""),100000.0)</f>
        <v>100000</v>
      </c>
      <c r="I368" s="49"/>
      <c r="J368" s="49"/>
      <c r="K368" s="49"/>
      <c r="L368" s="49"/>
      <c r="M368" s="49"/>
      <c r="N368" s="125">
        <f>IFERROR(__xludf.DUMMYFUNCTION("""COMPUTED_VALUE"""),100000.0)</f>
        <v>100000</v>
      </c>
      <c r="O368" s="125">
        <f>IFERROR(__xludf.DUMMYFUNCTION("""COMPUTED_VALUE"""),100000.0)</f>
        <v>100000</v>
      </c>
      <c r="P368" s="49"/>
      <c r="Q368" s="49"/>
      <c r="R368" s="49"/>
      <c r="S368" s="49"/>
      <c r="T368" s="49"/>
      <c r="U368" s="49"/>
      <c r="V368" s="49"/>
      <c r="W368" s="49"/>
      <c r="X368" s="49"/>
      <c r="Y368" s="49"/>
      <c r="Z368" s="49"/>
      <c r="AA368" s="49"/>
      <c r="AB368" s="49"/>
      <c r="AC368" s="125">
        <f>IFERROR(__xludf.DUMMYFUNCTION("""COMPUTED_VALUE"""),100000.0)</f>
        <v>100000</v>
      </c>
      <c r="AD368" s="49"/>
      <c r="AE368" s="49"/>
      <c r="AF368" s="49" t="str">
        <f>IFERROR(__xludf.DUMMYFUNCTION("""COMPUTED_VALUE"""),"++X6 Celestial Damage. +-Cannot be duplicated.")</f>
        <v>++X6 Celestial Damage. +-Cannot be duplicated.</v>
      </c>
      <c r="AG368" s="49" t="str">
        <f>IFERROR(__xludf.DUMMYFUNCTION("""COMPUTED_VALUE"""),"Land of Spira")</f>
        <v>Land of Spira</v>
      </c>
      <c r="AH368" s="49" t="b">
        <f>IFERROR(__xludf.DUMMYFUNCTION("""COMPUTED_VALUE"""),FALSE)</f>
        <v>0</v>
      </c>
    </row>
    <row r="369">
      <c r="A369" s="49" t="str">
        <f>IFERROR(__xludf.DUMMYFUNCTION("""COMPUTED_VALUE"""),"Celestian Royal Chestplate")</f>
        <v>Celestian Royal Chestplate</v>
      </c>
      <c r="B369" s="49" t="str">
        <f>IFERROR(__xludf.DUMMYFUNCTION("""COMPUTED_VALUE"""),"Torso")</f>
        <v>Torso</v>
      </c>
      <c r="C369" s="49" t="str">
        <f>IFERROR(__xludf.DUMMYFUNCTION("""COMPUTED_VALUE"""),"Quest Item")</f>
        <v>Quest Item</v>
      </c>
      <c r="D369" s="49"/>
      <c r="E369" s="49">
        <f>IFERROR(__xludf.DUMMYFUNCTION("""COMPUTED_VALUE"""),200.0)</f>
        <v>200</v>
      </c>
      <c r="F369" s="112">
        <f>IFERROR(__xludf.DUMMYFUNCTION("""COMPUTED_VALUE"""),3.196E9)</f>
        <v>3196000000</v>
      </c>
      <c r="G369" s="49" t="str">
        <f>IFERROR(__xludf.DUMMYFUNCTION("""COMPUTED_VALUE"""),"DEF")</f>
        <v>DEF</v>
      </c>
      <c r="H369" s="125">
        <f>IFERROR(__xludf.DUMMYFUNCTION("""COMPUTED_VALUE"""),100000.0)</f>
        <v>100000</v>
      </c>
      <c r="I369" s="49"/>
      <c r="J369" s="49"/>
      <c r="K369" s="49"/>
      <c r="L369" s="49"/>
      <c r="M369" s="49"/>
      <c r="N369" s="125">
        <f>IFERROR(__xludf.DUMMYFUNCTION("""COMPUTED_VALUE"""),100000.0)</f>
        <v>100000</v>
      </c>
      <c r="O369" s="125">
        <f>IFERROR(__xludf.DUMMYFUNCTION("""COMPUTED_VALUE"""),100000.0)</f>
        <v>100000</v>
      </c>
      <c r="P369" s="49"/>
      <c r="Q369" s="49"/>
      <c r="R369" s="49"/>
      <c r="S369" s="49"/>
      <c r="T369" s="49"/>
      <c r="U369" s="49"/>
      <c r="V369" s="49"/>
      <c r="W369" s="49"/>
      <c r="X369" s="49"/>
      <c r="Y369" s="49"/>
      <c r="Z369" s="49"/>
      <c r="AA369" s="49"/>
      <c r="AB369" s="49"/>
      <c r="AC369" s="125">
        <f>IFERROR(__xludf.DUMMYFUNCTION("""COMPUTED_VALUE"""),100000.0)</f>
        <v>100000</v>
      </c>
      <c r="AD369" s="49"/>
      <c r="AE369" s="49"/>
      <c r="AF369" s="49" t="str">
        <f>IFERROR(__xludf.DUMMYFUNCTION("""COMPUTED_VALUE"""),"++X6 Celestial Damage. +-Cannot be duplicated.")</f>
        <v>++X6 Celestial Damage. +-Cannot be duplicated.</v>
      </c>
      <c r="AG369" s="49" t="str">
        <f>IFERROR(__xludf.DUMMYFUNCTION("""COMPUTED_VALUE"""),"Land of Spira")</f>
        <v>Land of Spira</v>
      </c>
      <c r="AH369" s="49" t="b">
        <f>IFERROR(__xludf.DUMMYFUNCTION("""COMPUTED_VALUE"""),FALSE)</f>
        <v>0</v>
      </c>
    </row>
    <row r="370">
      <c r="A370" s="49" t="str">
        <f>IFERROR(__xludf.DUMMYFUNCTION("""COMPUTED_VALUE"""),"Guard Chestplate")</f>
        <v>Guard Chestplate</v>
      </c>
      <c r="B370" s="49" t="str">
        <f>IFERROR(__xludf.DUMMYFUNCTION("""COMPUTED_VALUE"""),"Torso")</f>
        <v>Torso</v>
      </c>
      <c r="C370" s="49" t="str">
        <f>IFERROR(__xludf.DUMMYFUNCTION("""COMPUTED_VALUE"""),"Quest Item")</f>
        <v>Quest Item</v>
      </c>
      <c r="D370" s="49"/>
      <c r="E370" s="49">
        <f>IFERROR(__xludf.DUMMYFUNCTION("""COMPUTED_VALUE"""),200.0)</f>
        <v>200</v>
      </c>
      <c r="F370" s="112">
        <f>IFERROR(__xludf.DUMMYFUNCTION("""COMPUTED_VALUE"""),1.1175E8)</f>
        <v>111750000</v>
      </c>
      <c r="G370" s="49" t="str">
        <f>IFERROR(__xludf.DUMMYFUNCTION("""COMPUTED_VALUE"""),"DEF")</f>
        <v>DEF</v>
      </c>
      <c r="H370" s="125">
        <f>IFERROR(__xludf.DUMMYFUNCTION("""COMPUTED_VALUE"""),25000.0)</f>
        <v>25000</v>
      </c>
      <c r="I370" s="49"/>
      <c r="J370" s="49"/>
      <c r="K370" s="49"/>
      <c r="L370" s="49"/>
      <c r="M370" s="49"/>
      <c r="N370" s="125">
        <f>IFERROR(__xludf.DUMMYFUNCTION("""COMPUTED_VALUE"""),25000.0)</f>
        <v>25000</v>
      </c>
      <c r="O370" s="49"/>
      <c r="P370" s="49"/>
      <c r="Q370" s="49"/>
      <c r="R370" s="49"/>
      <c r="S370" s="49"/>
      <c r="T370" s="49"/>
      <c r="U370" s="49"/>
      <c r="V370" s="49"/>
      <c r="W370" s="49"/>
      <c r="X370" s="49"/>
      <c r="Y370" s="49"/>
      <c r="Z370" s="49"/>
      <c r="AA370" s="49"/>
      <c r="AB370" s="49"/>
      <c r="AC370" s="125">
        <f>IFERROR(__xludf.DUMMYFUNCTION("""COMPUTED_VALUE"""),25000.0)</f>
        <v>25000</v>
      </c>
      <c r="AD370" s="49"/>
      <c r="AE370" s="49"/>
      <c r="AF370" s="49" t="str">
        <f>IFERROR(__xludf.DUMMYFUNCTION("""COMPUTED_VALUE"""),"+-Cannot be duplicated.")</f>
        <v>+-Cannot be duplicated.</v>
      </c>
      <c r="AG370" s="49" t="str">
        <f>IFERROR(__xludf.DUMMYFUNCTION("""COMPUTED_VALUE"""),"Land of Spira")</f>
        <v>Land of Spira</v>
      </c>
      <c r="AH370" s="49" t="b">
        <f>IFERROR(__xludf.DUMMYFUNCTION("""COMPUTED_VALUE"""),FALSE)</f>
        <v>0</v>
      </c>
    </row>
    <row r="371">
      <c r="A371" s="49" t="str">
        <f>IFERROR(__xludf.DUMMYFUNCTION("""COMPUTED_VALUE"""),"Revolver")</f>
        <v>Revolver</v>
      </c>
      <c r="B371" s="49" t="str">
        <f>IFERROR(__xludf.DUMMYFUNCTION("""COMPUTED_VALUE"""),"Hand")</f>
        <v>Hand</v>
      </c>
      <c r="C371" s="49"/>
      <c r="D371" s="49" t="str">
        <f>IFERROR(__xludf.DUMMYFUNCTION("""COMPUTED_VALUE"""),"Firearm")</f>
        <v>Firearm</v>
      </c>
      <c r="E371" s="49">
        <f>IFERROR(__xludf.DUMMYFUNCTION("""COMPUTED_VALUE"""),200.0)</f>
        <v>200</v>
      </c>
      <c r="F371" s="112">
        <f>IFERROR(__xludf.DUMMYFUNCTION("""COMPUTED_VALUE"""),1900000.0)</f>
        <v>1900000</v>
      </c>
      <c r="G371" s="49" t="str">
        <f>IFERROR(__xludf.DUMMYFUNCTION("""COMPUTED_VALUE"""),"DMG")</f>
        <v>DMG</v>
      </c>
      <c r="H371" s="125">
        <f>IFERROR(__xludf.DUMMYFUNCTION("""COMPUTED_VALUE"""),5000.0)</f>
        <v>5000</v>
      </c>
      <c r="I371" s="49"/>
      <c r="J371" s="49"/>
      <c r="K371" s="49"/>
      <c r="L371" s="49"/>
      <c r="M371" s="49"/>
      <c r="N371" s="49"/>
      <c r="O371" s="49"/>
      <c r="P371" s="49"/>
      <c r="Q371" s="49"/>
      <c r="R371" s="49"/>
      <c r="S371" s="49"/>
      <c r="T371" s="49"/>
      <c r="U371" s="49"/>
      <c r="V371" s="49"/>
      <c r="W371" s="49"/>
      <c r="X371" s="49"/>
      <c r="Y371" s="49">
        <f>IFERROR(__xludf.DUMMYFUNCTION("""COMPUTED_VALUE"""),5000.0)</f>
        <v>5000</v>
      </c>
      <c r="Z371" s="49"/>
      <c r="AA371" s="49"/>
      <c r="AB371" s="49"/>
      <c r="AC371" s="49"/>
      <c r="AD371" s="49"/>
      <c r="AE371" s="49"/>
      <c r="AF371" s="49"/>
      <c r="AG371" s="49" t="str">
        <f>IFERROR(__xludf.DUMMYFUNCTION("""COMPUTED_VALUE"""),"Land of Spira")</f>
        <v>Land of Spira</v>
      </c>
      <c r="AH371" s="49" t="b">
        <f>IFERROR(__xludf.DUMMYFUNCTION("""COMPUTED_VALUE"""),FALSE)</f>
        <v>0</v>
      </c>
    </row>
    <row r="372">
      <c r="A372" s="49" t="str">
        <f>IFERROR(__xludf.DUMMYFUNCTION("""COMPUTED_VALUE"""),"Musket")</f>
        <v>Musket</v>
      </c>
      <c r="B372" s="49" t="str">
        <f>IFERROR(__xludf.DUMMYFUNCTION("""COMPUTED_VALUE"""),"Hand")</f>
        <v>Hand</v>
      </c>
      <c r="C372" s="49"/>
      <c r="D372" s="49" t="str">
        <f>IFERROR(__xludf.DUMMYFUNCTION("""COMPUTED_VALUE"""),"Firearm")</f>
        <v>Firearm</v>
      </c>
      <c r="E372" s="49">
        <f>IFERROR(__xludf.DUMMYFUNCTION("""COMPUTED_VALUE"""),400.0)</f>
        <v>400</v>
      </c>
      <c r="F372" s="112">
        <f>IFERROR(__xludf.DUMMYFUNCTION("""COMPUTED_VALUE"""),7800000.0)</f>
        <v>7800000</v>
      </c>
      <c r="G372" s="49" t="str">
        <f>IFERROR(__xludf.DUMMYFUNCTION("""COMPUTED_VALUE"""),"DMG")</f>
        <v>DMG</v>
      </c>
      <c r="H372" s="125">
        <f>IFERROR(__xludf.DUMMYFUNCTION("""COMPUTED_VALUE"""),10000.0)</f>
        <v>10000</v>
      </c>
      <c r="I372" s="49"/>
      <c r="J372" s="49"/>
      <c r="K372" s="49"/>
      <c r="L372" s="49"/>
      <c r="M372" s="49"/>
      <c r="N372" s="49"/>
      <c r="O372" s="49"/>
      <c r="P372" s="49"/>
      <c r="Q372" s="49"/>
      <c r="R372" s="49"/>
      <c r="S372" s="49"/>
      <c r="T372" s="49"/>
      <c r="U372" s="49"/>
      <c r="V372" s="49"/>
      <c r="W372" s="49"/>
      <c r="X372" s="49"/>
      <c r="Y372" s="125">
        <f>IFERROR(__xludf.DUMMYFUNCTION("""COMPUTED_VALUE"""),10000.0)</f>
        <v>10000</v>
      </c>
      <c r="Z372" s="49"/>
      <c r="AA372" s="49"/>
      <c r="AB372" s="49"/>
      <c r="AC372" s="49"/>
      <c r="AD372" s="49"/>
      <c r="AE372" s="49"/>
      <c r="AF372" s="49"/>
      <c r="AG372" s="49" t="str">
        <f>IFERROR(__xludf.DUMMYFUNCTION("""COMPUTED_VALUE"""),"Land of Spira")</f>
        <v>Land of Spira</v>
      </c>
      <c r="AH372" s="49" t="b">
        <f>IFERROR(__xludf.DUMMYFUNCTION("""COMPUTED_VALUE"""),FALSE)</f>
        <v>0</v>
      </c>
    </row>
    <row r="373">
      <c r="A373" s="49" t="str">
        <f>IFERROR(__xludf.DUMMYFUNCTION("""COMPUTED_VALUE"""),"Lazer Infused Railgun")</f>
        <v>Lazer Infused Railgun</v>
      </c>
      <c r="B373" s="49" t="str">
        <f>IFERROR(__xludf.DUMMYFUNCTION("""COMPUTED_VALUE"""),"Hand")</f>
        <v>Hand</v>
      </c>
      <c r="C373" s="49"/>
      <c r="D373" s="49" t="str">
        <f>IFERROR(__xludf.DUMMYFUNCTION("""COMPUTED_VALUE"""),"Firearm")</f>
        <v>Firearm</v>
      </c>
      <c r="E373" s="49">
        <f>IFERROR(__xludf.DUMMYFUNCTION("""COMPUTED_VALUE"""),1600.0)</f>
        <v>1600</v>
      </c>
      <c r="F373" s="112">
        <f>IFERROR(__xludf.DUMMYFUNCTION("""COMPUTED_VALUE"""),1.272E8)</f>
        <v>127200000</v>
      </c>
      <c r="G373" s="49" t="str">
        <f>IFERROR(__xludf.DUMMYFUNCTION("""COMPUTED_VALUE"""),"DMG")</f>
        <v>DMG</v>
      </c>
      <c r="H373" s="125">
        <f>IFERROR(__xludf.DUMMYFUNCTION("""COMPUTED_VALUE"""),40000.0)</f>
        <v>40000</v>
      </c>
      <c r="I373" s="49"/>
      <c r="J373" s="49"/>
      <c r="K373" s="49"/>
      <c r="L373" s="49"/>
      <c r="M373" s="49"/>
      <c r="N373" s="49"/>
      <c r="O373" s="49"/>
      <c r="P373" s="49"/>
      <c r="Q373" s="49"/>
      <c r="R373" s="49"/>
      <c r="S373" s="49"/>
      <c r="T373" s="49"/>
      <c r="U373" s="49"/>
      <c r="V373" s="49"/>
      <c r="W373" s="49"/>
      <c r="X373" s="49"/>
      <c r="Y373" s="125">
        <f>IFERROR(__xludf.DUMMYFUNCTION("""COMPUTED_VALUE"""),40000.0)</f>
        <v>40000</v>
      </c>
      <c r="Z373" s="49"/>
      <c r="AA373" s="49"/>
      <c r="AB373" s="49"/>
      <c r="AC373" s="49"/>
      <c r="AD373" s="49"/>
      <c r="AE373" s="49"/>
      <c r="AF373" s="49" t="str">
        <f>IFERROR(__xludf.DUMMYFUNCTION("""COMPUTED_VALUE"""),"++Damages all enemies, Cannot Avoid. ++Ignores defense, ++Does not need ammunition. +-Cannot be forged. ")</f>
        <v>++Damages all enemies, Cannot Avoid. ++Ignores defense, ++Does not need ammunition. +-Cannot be forged. </v>
      </c>
      <c r="AG373" s="49" t="str">
        <f>IFERROR(__xludf.DUMMYFUNCTION("""COMPUTED_VALUE"""),"Land of Spira")</f>
        <v>Land of Spira</v>
      </c>
      <c r="AH373" s="49" t="b">
        <f>IFERROR(__xludf.DUMMYFUNCTION("""COMPUTED_VALUE"""),FALSE)</f>
        <v>0</v>
      </c>
    </row>
    <row r="374">
      <c r="A374" s="49" t="str">
        <f>IFERROR(__xludf.DUMMYFUNCTION("""COMPUTED_VALUE"""),"Minigun")</f>
        <v>Minigun</v>
      </c>
      <c r="B374" s="49" t="str">
        <f>IFERROR(__xludf.DUMMYFUNCTION("""COMPUTED_VALUE"""),"Hand")</f>
        <v>Hand</v>
      </c>
      <c r="C374" s="49"/>
      <c r="D374" s="49" t="str">
        <f>IFERROR(__xludf.DUMMYFUNCTION("""COMPUTED_VALUE"""),"Firearm")</f>
        <v>Firearm</v>
      </c>
      <c r="E374" s="49">
        <f>IFERROR(__xludf.DUMMYFUNCTION("""COMPUTED_VALUE"""),1200.0)</f>
        <v>1200</v>
      </c>
      <c r="F374" s="112">
        <f>IFERROR(__xludf.DUMMYFUNCTION("""COMPUTED_VALUE"""),7.14E7)</f>
        <v>71400000</v>
      </c>
      <c r="G374" s="49" t="str">
        <f>IFERROR(__xludf.DUMMYFUNCTION("""COMPUTED_VALUE"""),"DMG")</f>
        <v>DMG</v>
      </c>
      <c r="H374" s="125">
        <f>IFERROR(__xludf.DUMMYFUNCTION("""COMPUTED_VALUE"""),30000.0)</f>
        <v>30000</v>
      </c>
      <c r="I374" s="49"/>
      <c r="J374" s="49"/>
      <c r="K374" s="49"/>
      <c r="L374" s="49"/>
      <c r="M374" s="49"/>
      <c r="N374" s="49"/>
      <c r="O374" s="49"/>
      <c r="P374" s="49"/>
      <c r="Q374" s="49"/>
      <c r="R374" s="49"/>
      <c r="S374" s="49"/>
      <c r="T374" s="49"/>
      <c r="U374" s="49"/>
      <c r="V374" s="49"/>
      <c r="W374" s="49"/>
      <c r="X374" s="49"/>
      <c r="Y374" s="125">
        <f>IFERROR(__xludf.DUMMYFUNCTION("""COMPUTED_VALUE"""),30000.0)</f>
        <v>30000</v>
      </c>
      <c r="Z374" s="49"/>
      <c r="AA374" s="49"/>
      <c r="AB374" s="49"/>
      <c r="AC374" s="49"/>
      <c r="AD374" s="49"/>
      <c r="AE374" s="49"/>
      <c r="AF374" s="49" t="str">
        <f>IFERROR(__xludf.DUMMYFUNCTION("""COMPUTED_VALUE"""),"++Damages all enemies, Cannot Avoid, Roll a d100 the turn you use this weapon to see how many bullets it shoots.")</f>
        <v>++Damages all enemies, Cannot Avoid, Roll a d100 the turn you use this weapon to see how many bullets it shoots.</v>
      </c>
      <c r="AG374" s="49" t="str">
        <f>IFERROR(__xludf.DUMMYFUNCTION("""COMPUTED_VALUE"""),"Land of Spira")</f>
        <v>Land of Spira</v>
      </c>
      <c r="AH374" s="49" t="b">
        <f>IFERROR(__xludf.DUMMYFUNCTION("""COMPUTED_VALUE"""),FALSE)</f>
        <v>0</v>
      </c>
    </row>
    <row r="375">
      <c r="A375" s="49" t="str">
        <f>IFERROR(__xludf.DUMMYFUNCTION("""COMPUTED_VALUE"""),"Seahorse’s Ring")</f>
        <v>Seahorse’s Ring</v>
      </c>
      <c r="B375" s="49" t="str">
        <f>IFERROR(__xludf.DUMMYFUNCTION("""COMPUTED_VALUE"""),"Ring")</f>
        <v>Ring</v>
      </c>
      <c r="C375" s="49"/>
      <c r="D375" s="49"/>
      <c r="E375" s="49">
        <f>IFERROR(__xludf.DUMMYFUNCTION("""COMPUTED_VALUE"""),20.0)</f>
        <v>20</v>
      </c>
      <c r="F375" s="112">
        <f>IFERROR(__xludf.DUMMYFUNCTION("""COMPUTED_VALUE"""),10000.0)</f>
        <v>10000</v>
      </c>
      <c r="G375" s="49"/>
      <c r="H375" s="49"/>
      <c r="I375" s="49"/>
      <c r="J375" s="49"/>
      <c r="K375" s="49"/>
      <c r="L375" s="49"/>
      <c r="M375" s="49"/>
      <c r="N375" s="49"/>
      <c r="O375" s="49"/>
      <c r="P375" s="49"/>
      <c r="Q375" s="49"/>
      <c r="R375" s="49"/>
      <c r="S375" s="49">
        <f>IFERROR(__xludf.DUMMYFUNCTION("""COMPUTED_VALUE"""),1000.0)</f>
        <v>1000</v>
      </c>
      <c r="T375" s="49"/>
      <c r="U375" s="49"/>
      <c r="V375" s="49"/>
      <c r="W375" s="49"/>
      <c r="X375" s="49"/>
      <c r="Y375" s="49"/>
      <c r="Z375" s="49"/>
      <c r="AA375" s="49"/>
      <c r="AB375" s="49"/>
      <c r="AC375" s="49"/>
      <c r="AD375" s="49"/>
      <c r="AE375" s="49"/>
      <c r="AF375" s="49"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49" t="str">
        <f>IFERROR(__xludf.DUMMYFUNCTION("""COMPUTED_VALUE"""),"Land of Spira")</f>
        <v>Land of Spira</v>
      </c>
      <c r="AH375" s="49" t="b">
        <f>IFERROR(__xludf.DUMMYFUNCTION("""COMPUTED_VALUE"""),FALSE)</f>
        <v>0</v>
      </c>
    </row>
    <row r="376">
      <c r="A376" s="49" t="str">
        <f>IFERROR(__xludf.DUMMYFUNCTION("""COMPUTED_VALUE"""),"Bamboo Vambraces")</f>
        <v>Bamboo Vambraces</v>
      </c>
      <c r="B376" s="49" t="str">
        <f>IFERROR(__xludf.DUMMYFUNCTION("""COMPUTED_VALUE"""),"Arms")</f>
        <v>Arms</v>
      </c>
      <c r="C376" s="49"/>
      <c r="D376" s="49"/>
      <c r="E376" s="49">
        <f>IFERROR(__xludf.DUMMYFUNCTION("""COMPUTED_VALUE"""),40.0)</f>
        <v>40</v>
      </c>
      <c r="F376" s="112">
        <f>IFERROR(__xludf.DUMMYFUNCTION("""COMPUTED_VALUE"""),60000.0)</f>
        <v>60000</v>
      </c>
      <c r="G376" s="49" t="str">
        <f>IFERROR(__xludf.DUMMYFUNCTION("""COMPUTED_VALUE"""),"DEF")</f>
        <v>DEF</v>
      </c>
      <c r="H376" s="49">
        <f>IFERROR(__xludf.DUMMYFUNCTION("""COMPUTED_VALUE"""),1000.0)</f>
        <v>1000</v>
      </c>
      <c r="I376" s="49"/>
      <c r="J376" s="49"/>
      <c r="K376" s="49"/>
      <c r="L376" s="49"/>
      <c r="M376" s="49"/>
      <c r="N376" s="49"/>
      <c r="O376" s="49"/>
      <c r="P376" s="49"/>
      <c r="Q376" s="49"/>
      <c r="R376" s="49"/>
      <c r="S376" s="49">
        <f>IFERROR(__xludf.DUMMYFUNCTION("""COMPUTED_VALUE"""),1000.0)</f>
        <v>1000</v>
      </c>
      <c r="T376" s="49"/>
      <c r="U376" s="49"/>
      <c r="V376" s="49"/>
      <c r="W376" s="49"/>
      <c r="X376" s="49"/>
      <c r="Y376" s="49"/>
      <c r="Z376" s="49"/>
      <c r="AA376" s="49"/>
      <c r="AB376" s="49"/>
      <c r="AC376" s="49"/>
      <c r="AD376" s="49"/>
      <c r="AE376" s="49"/>
      <c r="AF376" s="49"/>
      <c r="AG376" s="49" t="str">
        <f>IFERROR(__xludf.DUMMYFUNCTION("""COMPUTED_VALUE"""),"Land of Spira")</f>
        <v>Land of Spira</v>
      </c>
      <c r="AH376" s="49" t="b">
        <f>IFERROR(__xludf.DUMMYFUNCTION("""COMPUTED_VALUE"""),FALSE)</f>
        <v>0</v>
      </c>
    </row>
    <row r="377">
      <c r="A377" s="49" t="str">
        <f>IFERROR(__xludf.DUMMYFUNCTION("""COMPUTED_VALUE"""),"Bamboo Pauldrons")</f>
        <v>Bamboo Pauldrons</v>
      </c>
      <c r="B377" s="49" t="str">
        <f>IFERROR(__xludf.DUMMYFUNCTION("""COMPUTED_VALUE"""),"Shoulders")</f>
        <v>Shoulders</v>
      </c>
      <c r="C377" s="49"/>
      <c r="D377" s="49"/>
      <c r="E377" s="49">
        <f>IFERROR(__xludf.DUMMYFUNCTION("""COMPUTED_VALUE"""),40.0)</f>
        <v>40</v>
      </c>
      <c r="F377" s="112">
        <f>IFERROR(__xludf.DUMMYFUNCTION("""COMPUTED_VALUE"""),60000.0)</f>
        <v>60000</v>
      </c>
      <c r="G377" s="49" t="str">
        <f>IFERROR(__xludf.DUMMYFUNCTION("""COMPUTED_VALUE"""),"DEF")</f>
        <v>DEF</v>
      </c>
      <c r="H377" s="49">
        <f>IFERROR(__xludf.DUMMYFUNCTION("""COMPUTED_VALUE"""),1000.0)</f>
        <v>1000</v>
      </c>
      <c r="I377" s="49"/>
      <c r="J377" s="49"/>
      <c r="K377" s="49"/>
      <c r="L377" s="49"/>
      <c r="M377" s="49"/>
      <c r="N377" s="49"/>
      <c r="O377" s="49"/>
      <c r="P377" s="49"/>
      <c r="Q377" s="49"/>
      <c r="R377" s="49"/>
      <c r="S377" s="49">
        <f>IFERROR(__xludf.DUMMYFUNCTION("""COMPUTED_VALUE"""),1000.0)</f>
        <v>1000</v>
      </c>
      <c r="T377" s="49"/>
      <c r="U377" s="49"/>
      <c r="V377" s="49"/>
      <c r="W377" s="49"/>
      <c r="X377" s="49"/>
      <c r="Y377" s="49"/>
      <c r="Z377" s="49"/>
      <c r="AA377" s="49"/>
      <c r="AB377" s="49"/>
      <c r="AC377" s="49"/>
      <c r="AD377" s="49"/>
      <c r="AE377" s="49"/>
      <c r="AF377" s="49"/>
      <c r="AG377" s="49" t="str">
        <f>IFERROR(__xludf.DUMMYFUNCTION("""COMPUTED_VALUE"""),"Land of Spira")</f>
        <v>Land of Spira</v>
      </c>
      <c r="AH377" s="49" t="b">
        <f>IFERROR(__xludf.DUMMYFUNCTION("""COMPUTED_VALUE"""),FALSE)</f>
        <v>0</v>
      </c>
    </row>
    <row r="378">
      <c r="A378" s="49" t="str">
        <f>IFERROR(__xludf.DUMMYFUNCTION("""COMPUTED_VALUE"""),"Bamboo Chestplate")</f>
        <v>Bamboo Chestplate</v>
      </c>
      <c r="B378" s="49" t="str">
        <f>IFERROR(__xludf.DUMMYFUNCTION("""COMPUTED_VALUE"""),"Torso")</f>
        <v>Torso</v>
      </c>
      <c r="C378" s="49"/>
      <c r="D378" s="49"/>
      <c r="E378" s="49">
        <f>IFERROR(__xludf.DUMMYFUNCTION("""COMPUTED_VALUE"""),40.0)</f>
        <v>40</v>
      </c>
      <c r="F378" s="112">
        <f>IFERROR(__xludf.DUMMYFUNCTION("""COMPUTED_VALUE"""),60000.0)</f>
        <v>60000</v>
      </c>
      <c r="G378" s="49" t="str">
        <f>IFERROR(__xludf.DUMMYFUNCTION("""COMPUTED_VALUE"""),"DEF")</f>
        <v>DEF</v>
      </c>
      <c r="H378" s="49">
        <f>IFERROR(__xludf.DUMMYFUNCTION("""COMPUTED_VALUE"""),1000.0)</f>
        <v>1000</v>
      </c>
      <c r="I378" s="49"/>
      <c r="J378" s="49"/>
      <c r="K378" s="49"/>
      <c r="L378" s="49"/>
      <c r="M378" s="49"/>
      <c r="N378" s="49"/>
      <c r="O378" s="49"/>
      <c r="P378" s="49"/>
      <c r="Q378" s="49"/>
      <c r="R378" s="49"/>
      <c r="S378" s="49">
        <f>IFERROR(__xludf.DUMMYFUNCTION("""COMPUTED_VALUE"""),1000.0)</f>
        <v>1000</v>
      </c>
      <c r="T378" s="49"/>
      <c r="U378" s="49"/>
      <c r="V378" s="49"/>
      <c r="W378" s="49"/>
      <c r="X378" s="49"/>
      <c r="Y378" s="49"/>
      <c r="Z378" s="49"/>
      <c r="AA378" s="49"/>
      <c r="AB378" s="49"/>
      <c r="AC378" s="49"/>
      <c r="AD378" s="49"/>
      <c r="AE378" s="49"/>
      <c r="AF378" s="49"/>
      <c r="AG378" s="49" t="str">
        <f>IFERROR(__xludf.DUMMYFUNCTION("""COMPUTED_VALUE"""),"Land of Spira")</f>
        <v>Land of Spira</v>
      </c>
      <c r="AH378" s="49" t="b">
        <f>IFERROR(__xludf.DUMMYFUNCTION("""COMPUTED_VALUE"""),FALSE)</f>
        <v>0</v>
      </c>
    </row>
    <row r="379">
      <c r="A379" s="49" t="str">
        <f>IFERROR(__xludf.DUMMYFUNCTION("""COMPUTED_VALUE"""),"Bamboo Greaves")</f>
        <v>Bamboo Greaves</v>
      </c>
      <c r="B379" s="49" t="str">
        <f>IFERROR(__xludf.DUMMYFUNCTION("""COMPUTED_VALUE"""),"Legs")</f>
        <v>Legs</v>
      </c>
      <c r="C379" s="49"/>
      <c r="D379" s="49"/>
      <c r="E379" s="49">
        <f>IFERROR(__xludf.DUMMYFUNCTION("""COMPUTED_VALUE"""),40.0)</f>
        <v>40</v>
      </c>
      <c r="F379" s="112">
        <f>IFERROR(__xludf.DUMMYFUNCTION("""COMPUTED_VALUE"""),60000.0)</f>
        <v>60000</v>
      </c>
      <c r="G379" s="49" t="str">
        <f>IFERROR(__xludf.DUMMYFUNCTION("""COMPUTED_VALUE"""),"DEF")</f>
        <v>DEF</v>
      </c>
      <c r="H379" s="49">
        <f>IFERROR(__xludf.DUMMYFUNCTION("""COMPUTED_VALUE"""),1000.0)</f>
        <v>1000</v>
      </c>
      <c r="I379" s="49"/>
      <c r="J379" s="49"/>
      <c r="K379" s="49"/>
      <c r="L379" s="49"/>
      <c r="M379" s="49"/>
      <c r="N379" s="49"/>
      <c r="O379" s="49"/>
      <c r="P379" s="49"/>
      <c r="Q379" s="49"/>
      <c r="R379" s="49"/>
      <c r="S379" s="49">
        <f>IFERROR(__xludf.DUMMYFUNCTION("""COMPUTED_VALUE"""),1000.0)</f>
        <v>1000</v>
      </c>
      <c r="T379" s="49"/>
      <c r="U379" s="49"/>
      <c r="V379" s="49"/>
      <c r="W379" s="49"/>
      <c r="X379" s="49"/>
      <c r="Y379" s="49"/>
      <c r="Z379" s="49"/>
      <c r="AA379" s="49"/>
      <c r="AB379" s="49"/>
      <c r="AC379" s="49"/>
      <c r="AD379" s="49"/>
      <c r="AE379" s="49"/>
      <c r="AF379" s="49"/>
      <c r="AG379" s="49" t="str">
        <f>IFERROR(__xludf.DUMMYFUNCTION("""COMPUTED_VALUE"""),"Land of Spira")</f>
        <v>Land of Spira</v>
      </c>
      <c r="AH379" s="49" t="b">
        <f>IFERROR(__xludf.DUMMYFUNCTION("""COMPUTED_VALUE"""),FALSE)</f>
        <v>0</v>
      </c>
    </row>
    <row r="380">
      <c r="A380" s="49" t="str">
        <f>IFERROR(__xludf.DUMMYFUNCTION("""COMPUTED_VALUE"""),"Strengthened Bamboo Sword")</f>
        <v>Strengthened Bamboo Sword</v>
      </c>
      <c r="B380" s="49" t="str">
        <f>IFERROR(__xludf.DUMMYFUNCTION("""COMPUTED_VALUE"""),"Hand")</f>
        <v>Hand</v>
      </c>
      <c r="C380" s="49"/>
      <c r="D380" s="49" t="str">
        <f>IFERROR(__xludf.DUMMYFUNCTION("""COMPUTED_VALUE"""),"Sword")</f>
        <v>Sword</v>
      </c>
      <c r="E380" s="49">
        <f>IFERROR(__xludf.DUMMYFUNCTION("""COMPUTED_VALUE"""),40.0)</f>
        <v>40</v>
      </c>
      <c r="F380" s="112">
        <f>IFERROR(__xludf.DUMMYFUNCTION("""COMPUTED_VALUE"""),60000.0)</f>
        <v>60000</v>
      </c>
      <c r="G380" s="49" t="str">
        <f>IFERROR(__xludf.DUMMYFUNCTION("""COMPUTED_VALUE"""),"DMG")</f>
        <v>DMG</v>
      </c>
      <c r="H380" s="49">
        <f>IFERROR(__xludf.DUMMYFUNCTION("""COMPUTED_VALUE"""),1000.0)</f>
        <v>1000</v>
      </c>
      <c r="I380" s="49"/>
      <c r="J380" s="49"/>
      <c r="K380" s="49"/>
      <c r="L380" s="49"/>
      <c r="M380" s="49"/>
      <c r="N380" s="49"/>
      <c r="O380" s="49"/>
      <c r="P380" s="49"/>
      <c r="Q380" s="49"/>
      <c r="R380" s="49"/>
      <c r="S380" s="49">
        <f>IFERROR(__xludf.DUMMYFUNCTION("""COMPUTED_VALUE"""),1000.0)</f>
        <v>1000</v>
      </c>
      <c r="T380" s="49"/>
      <c r="U380" s="49"/>
      <c r="V380" s="49"/>
      <c r="W380" s="49"/>
      <c r="X380" s="49"/>
      <c r="Y380" s="49"/>
      <c r="Z380" s="49"/>
      <c r="AA380" s="49"/>
      <c r="AB380" s="49"/>
      <c r="AC380" s="49"/>
      <c r="AD380" s="49"/>
      <c r="AE380" s="49"/>
      <c r="AF380" s="49" t="str">
        <f>IFERROR(__xludf.DUMMYFUNCTION("""COMPUTED_VALUE"""),"++X4 damage for this weapon if the battle is in a Forest or Jungle.")</f>
        <v>++X4 damage for this weapon if the battle is in a Forest or Jungle.</v>
      </c>
      <c r="AG380" s="49" t="str">
        <f>IFERROR(__xludf.DUMMYFUNCTION("""COMPUTED_VALUE"""),"Land of Spira")</f>
        <v>Land of Spira</v>
      </c>
      <c r="AH380" s="49" t="b">
        <f>IFERROR(__xludf.DUMMYFUNCTION("""COMPUTED_VALUE"""),FALSE)</f>
        <v>0</v>
      </c>
    </row>
    <row r="381">
      <c r="A381" s="49" t="str">
        <f>IFERROR(__xludf.DUMMYFUNCTION("""COMPUTED_VALUE"""),"Bamboo Sandals")</f>
        <v>Bamboo Sandals</v>
      </c>
      <c r="B381" s="49" t="str">
        <f>IFERROR(__xludf.DUMMYFUNCTION("""COMPUTED_VALUE"""),"Feet")</f>
        <v>Feet</v>
      </c>
      <c r="C381" s="49"/>
      <c r="D381" s="49"/>
      <c r="E381" s="49">
        <f>IFERROR(__xludf.DUMMYFUNCTION("""COMPUTED_VALUE"""),40.0)</f>
        <v>40</v>
      </c>
      <c r="F381" s="112">
        <f>IFERROR(__xludf.DUMMYFUNCTION("""COMPUTED_VALUE"""),60000.0)</f>
        <v>60000</v>
      </c>
      <c r="G381" s="49" t="str">
        <f>IFERROR(__xludf.DUMMYFUNCTION("""COMPUTED_VALUE"""),"DEF")</f>
        <v>DEF</v>
      </c>
      <c r="H381" s="49">
        <f>IFERROR(__xludf.DUMMYFUNCTION("""COMPUTED_VALUE"""),1000.0)</f>
        <v>1000</v>
      </c>
      <c r="I381" s="49"/>
      <c r="J381" s="49"/>
      <c r="K381" s="49"/>
      <c r="L381" s="49"/>
      <c r="M381" s="49"/>
      <c r="N381" s="49"/>
      <c r="O381" s="49"/>
      <c r="P381" s="49"/>
      <c r="Q381" s="49"/>
      <c r="R381" s="49"/>
      <c r="S381" s="49">
        <f>IFERROR(__xludf.DUMMYFUNCTION("""COMPUTED_VALUE"""),1000.0)</f>
        <v>1000</v>
      </c>
      <c r="T381" s="49"/>
      <c r="U381" s="49"/>
      <c r="V381" s="49"/>
      <c r="W381" s="49"/>
      <c r="X381" s="49"/>
      <c r="Y381" s="49"/>
      <c r="Z381" s="49"/>
      <c r="AA381" s="49"/>
      <c r="AB381" s="49"/>
      <c r="AC381" s="49"/>
      <c r="AD381" s="49"/>
      <c r="AE381" s="49"/>
      <c r="AF381" s="49"/>
      <c r="AG381" s="49" t="str">
        <f>IFERROR(__xludf.DUMMYFUNCTION("""COMPUTED_VALUE"""),"Land of Spira")</f>
        <v>Land of Spira</v>
      </c>
      <c r="AH381" s="49" t="b">
        <f>IFERROR(__xludf.DUMMYFUNCTION("""COMPUTED_VALUE"""),FALSE)</f>
        <v>0</v>
      </c>
    </row>
    <row r="382">
      <c r="A382" s="49" t="str">
        <f>IFERROR(__xludf.DUMMYFUNCTION("""COMPUTED_VALUE"""),"Greaves of Foul Night")</f>
        <v>Greaves of Foul Night</v>
      </c>
      <c r="B382" s="49" t="str">
        <f>IFERROR(__xludf.DUMMYFUNCTION("""COMPUTED_VALUE"""),"Legs")</f>
        <v>Legs</v>
      </c>
      <c r="C382" s="49"/>
      <c r="D382" s="49"/>
      <c r="E382" s="49">
        <f>IFERROR(__xludf.DUMMYFUNCTION("""COMPUTED_VALUE"""),200.0)</f>
        <v>200</v>
      </c>
      <c r="F382" s="112">
        <f>IFERROR(__xludf.DUMMYFUNCTION("""COMPUTED_VALUE"""),1900000.0)</f>
        <v>1900000</v>
      </c>
      <c r="G382" s="49" t="str">
        <f>IFERROR(__xludf.DUMMYFUNCTION("""COMPUTED_VALUE"""),"DEF")</f>
        <v>DEF</v>
      </c>
      <c r="H382" s="49">
        <f>IFERROR(__xludf.DUMMYFUNCTION("""COMPUTED_VALUE"""),5000.0)</f>
        <v>5000</v>
      </c>
      <c r="I382" s="49"/>
      <c r="J382" s="49"/>
      <c r="K382" s="49"/>
      <c r="L382" s="49"/>
      <c r="M382" s="49"/>
      <c r="N382" s="49"/>
      <c r="O382" s="49"/>
      <c r="P382" s="49"/>
      <c r="Q382" s="49"/>
      <c r="R382" s="49"/>
      <c r="S382" s="49">
        <f>IFERROR(__xludf.DUMMYFUNCTION("""COMPUTED_VALUE"""),5000.0)</f>
        <v>5000</v>
      </c>
      <c r="T382" s="49"/>
      <c r="U382" s="49"/>
      <c r="V382" s="49"/>
      <c r="W382" s="49"/>
      <c r="X382" s="49"/>
      <c r="Y382" s="49"/>
      <c r="Z382" s="49"/>
      <c r="AA382" s="49"/>
      <c r="AB382" s="49"/>
      <c r="AC382" s="49"/>
      <c r="AD382" s="49"/>
      <c r="AE382" s="49"/>
      <c r="AF382" s="49" t="str">
        <f>IFERROR(__xludf.DUMMYFUNCTION("""COMPUTED_VALUE"""),"(Foul Night Set) ++X2 Nature and Poison damage, Poison Immunity.")</f>
        <v>(Foul Night Set) ++X2 Nature and Poison damage, Poison Immunity.</v>
      </c>
      <c r="AG382" s="49" t="str">
        <f>IFERROR(__xludf.DUMMYFUNCTION("""COMPUTED_VALUE"""),"Land of Spira")</f>
        <v>Land of Spira</v>
      </c>
      <c r="AH382" s="49" t="b">
        <f>IFERROR(__xludf.DUMMYFUNCTION("""COMPUTED_VALUE"""),FALSE)</f>
        <v>0</v>
      </c>
    </row>
    <row r="383">
      <c r="A383" s="49" t="str">
        <f>IFERROR(__xludf.DUMMYFUNCTION("""COMPUTED_VALUE"""),"Vambraces of Foul Night")</f>
        <v>Vambraces of Foul Night</v>
      </c>
      <c r="B383" s="49" t="str">
        <f>IFERROR(__xludf.DUMMYFUNCTION("""COMPUTED_VALUE"""),"Arms")</f>
        <v>Arms</v>
      </c>
      <c r="C383" s="49"/>
      <c r="D383" s="49"/>
      <c r="E383" s="49">
        <f>IFERROR(__xludf.DUMMYFUNCTION("""COMPUTED_VALUE"""),200.0)</f>
        <v>200</v>
      </c>
      <c r="F383" s="112">
        <f>IFERROR(__xludf.DUMMYFUNCTION("""COMPUTED_VALUE"""),1900000.0)</f>
        <v>1900000</v>
      </c>
      <c r="G383" s="49" t="str">
        <f>IFERROR(__xludf.DUMMYFUNCTION("""COMPUTED_VALUE"""),"DEF")</f>
        <v>DEF</v>
      </c>
      <c r="H383" s="49">
        <f>IFERROR(__xludf.DUMMYFUNCTION("""COMPUTED_VALUE"""),5000.0)</f>
        <v>5000</v>
      </c>
      <c r="I383" s="49"/>
      <c r="J383" s="49"/>
      <c r="K383" s="49"/>
      <c r="L383" s="49"/>
      <c r="M383" s="49"/>
      <c r="N383" s="49"/>
      <c r="O383" s="49">
        <f>IFERROR(__xludf.DUMMYFUNCTION("""COMPUTED_VALUE"""),5000.0)</f>
        <v>5000</v>
      </c>
      <c r="P383" s="49"/>
      <c r="Q383" s="49"/>
      <c r="R383" s="49"/>
      <c r="S383" s="49"/>
      <c r="T383" s="49"/>
      <c r="U383" s="49"/>
      <c r="V383" s="49"/>
      <c r="W383" s="49"/>
      <c r="X383" s="49"/>
      <c r="Y383" s="49"/>
      <c r="Z383" s="49"/>
      <c r="AA383" s="49"/>
      <c r="AB383" s="49"/>
      <c r="AC383" s="49"/>
      <c r="AD383" s="49"/>
      <c r="AE383" s="49"/>
      <c r="AF383" s="49" t="str">
        <f>IFERROR(__xludf.DUMMYFUNCTION("""COMPUTED_VALUE"""),"(Foul Night Set) ++X2 Dark and Poison damage, Poison Immunity.")</f>
        <v>(Foul Night Set) ++X2 Dark and Poison damage, Poison Immunity.</v>
      </c>
      <c r="AG383" s="49" t="str">
        <f>IFERROR(__xludf.DUMMYFUNCTION("""COMPUTED_VALUE"""),"Land of Spira")</f>
        <v>Land of Spira</v>
      </c>
      <c r="AH383" s="49" t="b">
        <f>IFERROR(__xludf.DUMMYFUNCTION("""COMPUTED_VALUE"""),FALSE)</f>
        <v>0</v>
      </c>
    </row>
    <row r="384">
      <c r="A384" s="49" t="str">
        <f>IFERROR(__xludf.DUMMYFUNCTION("""COMPUTED_VALUE"""),"Boots of Foul Night")</f>
        <v>Boots of Foul Night</v>
      </c>
      <c r="B384" s="49" t="str">
        <f>IFERROR(__xludf.DUMMYFUNCTION("""COMPUTED_VALUE"""),"Feet")</f>
        <v>Feet</v>
      </c>
      <c r="C384" s="49"/>
      <c r="D384" s="49"/>
      <c r="E384" s="49">
        <f>IFERROR(__xludf.DUMMYFUNCTION("""COMPUTED_VALUE"""),200.0)</f>
        <v>200</v>
      </c>
      <c r="F384" s="112">
        <f>IFERROR(__xludf.DUMMYFUNCTION("""COMPUTED_VALUE"""),1900000.0)</f>
        <v>1900000</v>
      </c>
      <c r="G384" s="49" t="str">
        <f>IFERROR(__xludf.DUMMYFUNCTION("""COMPUTED_VALUE"""),"DEF")</f>
        <v>DEF</v>
      </c>
      <c r="H384" s="49">
        <f>IFERROR(__xludf.DUMMYFUNCTION("""COMPUTED_VALUE"""),5000.0)</f>
        <v>5000</v>
      </c>
      <c r="I384" s="49"/>
      <c r="J384" s="49"/>
      <c r="K384" s="49"/>
      <c r="L384" s="49"/>
      <c r="M384" s="49"/>
      <c r="N384" s="49"/>
      <c r="O384" s="49">
        <f>IFERROR(__xludf.DUMMYFUNCTION("""COMPUTED_VALUE"""),5000.0)</f>
        <v>5000</v>
      </c>
      <c r="P384" s="49"/>
      <c r="Q384" s="49"/>
      <c r="R384" s="49"/>
      <c r="S384" s="49"/>
      <c r="T384" s="49"/>
      <c r="U384" s="49"/>
      <c r="V384" s="49"/>
      <c r="W384" s="49"/>
      <c r="X384" s="49"/>
      <c r="Y384" s="49"/>
      <c r="Z384" s="49"/>
      <c r="AA384" s="49"/>
      <c r="AB384" s="49"/>
      <c r="AC384" s="49"/>
      <c r="AD384" s="49"/>
      <c r="AE384" s="49"/>
      <c r="AF384" s="49" t="str">
        <f>IFERROR(__xludf.DUMMYFUNCTION("""COMPUTED_VALUE"""),"(Foul Night Set) ++X2 Dark and Poison damage, Poison Immunity.")</f>
        <v>(Foul Night Set) ++X2 Dark and Poison damage, Poison Immunity.</v>
      </c>
      <c r="AG384" s="49" t="str">
        <f>IFERROR(__xludf.DUMMYFUNCTION("""COMPUTED_VALUE"""),"Land of Spira")</f>
        <v>Land of Spira</v>
      </c>
      <c r="AH384" s="49" t="b">
        <f>IFERROR(__xludf.DUMMYFUNCTION("""COMPUTED_VALUE"""),FALSE)</f>
        <v>0</v>
      </c>
    </row>
    <row r="385">
      <c r="A385" s="49" t="str">
        <f>IFERROR(__xludf.DUMMYFUNCTION("""COMPUTED_VALUE"""),"Pauldrons of Foul Night")</f>
        <v>Pauldrons of Foul Night</v>
      </c>
      <c r="B385" s="49" t="str">
        <f>IFERROR(__xludf.DUMMYFUNCTION("""COMPUTED_VALUE"""),"Shoulders")</f>
        <v>Shoulders</v>
      </c>
      <c r="C385" s="49"/>
      <c r="D385" s="49"/>
      <c r="E385" s="49">
        <f>IFERROR(__xludf.DUMMYFUNCTION("""COMPUTED_VALUE"""),200.0)</f>
        <v>200</v>
      </c>
      <c r="F385" s="112">
        <f>IFERROR(__xludf.DUMMYFUNCTION("""COMPUTED_VALUE"""),1900000.0)</f>
        <v>1900000</v>
      </c>
      <c r="G385" s="49" t="str">
        <f>IFERROR(__xludf.DUMMYFUNCTION("""COMPUTED_VALUE"""),"DEF")</f>
        <v>DEF</v>
      </c>
      <c r="H385" s="49">
        <f>IFERROR(__xludf.DUMMYFUNCTION("""COMPUTED_VALUE"""),5000.0)</f>
        <v>5000</v>
      </c>
      <c r="I385" s="49"/>
      <c r="J385" s="49"/>
      <c r="K385" s="49"/>
      <c r="L385" s="49"/>
      <c r="M385" s="49"/>
      <c r="N385" s="49"/>
      <c r="O385" s="49">
        <f>IFERROR(__xludf.DUMMYFUNCTION("""COMPUTED_VALUE"""),5000.0)</f>
        <v>5000</v>
      </c>
      <c r="P385" s="49"/>
      <c r="Q385" s="49"/>
      <c r="R385" s="49"/>
      <c r="S385" s="49"/>
      <c r="T385" s="49"/>
      <c r="U385" s="49"/>
      <c r="V385" s="49"/>
      <c r="W385" s="49"/>
      <c r="X385" s="49"/>
      <c r="Y385" s="49"/>
      <c r="Z385" s="49"/>
      <c r="AA385" s="49"/>
      <c r="AB385" s="49"/>
      <c r="AC385" s="49"/>
      <c r="AD385" s="49"/>
      <c r="AE385" s="49"/>
      <c r="AF385" s="49" t="str">
        <f>IFERROR(__xludf.DUMMYFUNCTION("""COMPUTED_VALUE"""),"(Foul Night Set) ++X2 Dark and Poison damage, Poison Immunity.")</f>
        <v>(Foul Night Set) ++X2 Dark and Poison damage, Poison Immunity.</v>
      </c>
      <c r="AG385" s="49" t="str">
        <f>IFERROR(__xludf.DUMMYFUNCTION("""COMPUTED_VALUE"""),"Land of Spira")</f>
        <v>Land of Spira</v>
      </c>
      <c r="AH385" s="49" t="b">
        <f>IFERROR(__xludf.DUMMYFUNCTION("""COMPUTED_VALUE"""),FALSE)</f>
        <v>0</v>
      </c>
    </row>
    <row r="386">
      <c r="A386" s="49" t="str">
        <f>IFERROR(__xludf.DUMMYFUNCTION("""COMPUTED_VALUE"""),"Crystal Forged Pauldrons")</f>
        <v>Crystal Forged Pauldrons</v>
      </c>
      <c r="B386" s="49" t="str">
        <f>IFERROR(__xludf.DUMMYFUNCTION("""COMPUTED_VALUE"""),"Shoulders")</f>
        <v>Shoulders</v>
      </c>
      <c r="C386" s="49"/>
      <c r="D386" s="49"/>
      <c r="E386" s="49">
        <f>IFERROR(__xludf.DUMMYFUNCTION("""COMPUTED_VALUE"""),200.0)</f>
        <v>200</v>
      </c>
      <c r="F386" s="112">
        <f>IFERROR(__xludf.DUMMYFUNCTION("""COMPUTED_VALUE"""),1900000.0)</f>
        <v>1900000</v>
      </c>
      <c r="G386" s="49" t="str">
        <f>IFERROR(__xludf.DUMMYFUNCTION("""COMPUTED_VALUE"""),"DEF")</f>
        <v>DEF</v>
      </c>
      <c r="H386" s="49">
        <f>IFERROR(__xludf.DUMMYFUNCTION("""COMPUTED_VALUE"""),5000.0)</f>
        <v>5000</v>
      </c>
      <c r="I386" s="49"/>
      <c r="J386" s="49"/>
      <c r="K386" s="49"/>
      <c r="L386" s="49"/>
      <c r="M386" s="49">
        <f>IFERROR(__xludf.DUMMYFUNCTION("""COMPUTED_VALUE"""),5000.0)</f>
        <v>5000</v>
      </c>
      <c r="N386" s="49"/>
      <c r="O386" s="49"/>
      <c r="P386" s="49"/>
      <c r="Q386" s="49"/>
      <c r="R386" s="49"/>
      <c r="S386" s="49"/>
      <c r="T386" s="49"/>
      <c r="U386" s="49"/>
      <c r="V386" s="49"/>
      <c r="W386" s="49"/>
      <c r="X386" s="49"/>
      <c r="Y386" s="49"/>
      <c r="Z386" s="49"/>
      <c r="AA386" s="49"/>
      <c r="AB386" s="49"/>
      <c r="AC386" s="49"/>
      <c r="AD386" s="49"/>
      <c r="AE386" s="49"/>
      <c r="AF386" s="49" t="str">
        <f>IFERROR(__xludf.DUMMYFUNCTION("""COMPUTED_VALUE"""),"++When equipped, Gem and Crystal related weapons deal an additional X2 damage for the user.")</f>
        <v>++When equipped, Gem and Crystal related weapons deal an additional X2 damage for the user.</v>
      </c>
      <c r="AG386" s="49" t="str">
        <f>IFERROR(__xludf.DUMMYFUNCTION("""COMPUTED_VALUE"""),"Land of Spira")</f>
        <v>Land of Spira</v>
      </c>
      <c r="AH386" s="49" t="b">
        <f>IFERROR(__xludf.DUMMYFUNCTION("""COMPUTED_VALUE"""),FALSE)</f>
        <v>0</v>
      </c>
    </row>
    <row r="387">
      <c r="A387" s="49" t="str">
        <f>IFERROR(__xludf.DUMMYFUNCTION("""COMPUTED_VALUE"""),"Crystal Forged Greaves")</f>
        <v>Crystal Forged Greaves</v>
      </c>
      <c r="B387" s="49" t="str">
        <f>IFERROR(__xludf.DUMMYFUNCTION("""COMPUTED_VALUE"""),"Legs")</f>
        <v>Legs</v>
      </c>
      <c r="C387" s="49"/>
      <c r="D387" s="49"/>
      <c r="E387" s="49">
        <f>IFERROR(__xludf.DUMMYFUNCTION("""COMPUTED_VALUE"""),200.0)</f>
        <v>200</v>
      </c>
      <c r="F387" s="112">
        <f>IFERROR(__xludf.DUMMYFUNCTION("""COMPUTED_VALUE"""),1900000.0)</f>
        <v>1900000</v>
      </c>
      <c r="G387" s="49" t="str">
        <f>IFERROR(__xludf.DUMMYFUNCTION("""COMPUTED_VALUE"""),"DEF")</f>
        <v>DEF</v>
      </c>
      <c r="H387" s="49">
        <f>IFERROR(__xludf.DUMMYFUNCTION("""COMPUTED_VALUE"""),5000.0)</f>
        <v>5000</v>
      </c>
      <c r="I387" s="49"/>
      <c r="J387" s="49"/>
      <c r="K387" s="49"/>
      <c r="L387" s="49"/>
      <c r="M387" s="49">
        <f>IFERROR(__xludf.DUMMYFUNCTION("""COMPUTED_VALUE"""),5000.0)</f>
        <v>5000</v>
      </c>
      <c r="N387" s="49"/>
      <c r="O387" s="49"/>
      <c r="P387" s="49"/>
      <c r="Q387" s="49"/>
      <c r="R387" s="49"/>
      <c r="S387" s="49"/>
      <c r="T387" s="49"/>
      <c r="U387" s="49"/>
      <c r="V387" s="49"/>
      <c r="W387" s="49"/>
      <c r="X387" s="49"/>
      <c r="Y387" s="49"/>
      <c r="Z387" s="49"/>
      <c r="AA387" s="49"/>
      <c r="AB387" s="49"/>
      <c r="AC387" s="49"/>
      <c r="AD387" s="49"/>
      <c r="AE387" s="49"/>
      <c r="AF387" s="49" t="str">
        <f>IFERROR(__xludf.DUMMYFUNCTION("""COMPUTED_VALUE"""),"++When equipped, Gem and Crystal related weapons deal an additional X2 damage for the user.")</f>
        <v>++When equipped, Gem and Crystal related weapons deal an additional X2 damage for the user.</v>
      </c>
      <c r="AG387" s="49" t="str">
        <f>IFERROR(__xludf.DUMMYFUNCTION("""COMPUTED_VALUE"""),"Land of Spira")</f>
        <v>Land of Spira</v>
      </c>
      <c r="AH387" s="49" t="b">
        <f>IFERROR(__xludf.DUMMYFUNCTION("""COMPUTED_VALUE"""),FALSE)</f>
        <v>0</v>
      </c>
    </row>
    <row r="388">
      <c r="A388" s="49" t="str">
        <f>IFERROR(__xludf.DUMMYFUNCTION("""COMPUTED_VALUE"""),"Crystal Forged Boots")</f>
        <v>Crystal Forged Boots</v>
      </c>
      <c r="B388" s="49" t="str">
        <f>IFERROR(__xludf.DUMMYFUNCTION("""COMPUTED_VALUE"""),"Feet")</f>
        <v>Feet</v>
      </c>
      <c r="C388" s="49"/>
      <c r="D388" s="49"/>
      <c r="E388" s="49">
        <f>IFERROR(__xludf.DUMMYFUNCTION("""COMPUTED_VALUE"""),200.0)</f>
        <v>200</v>
      </c>
      <c r="F388" s="112">
        <f>IFERROR(__xludf.DUMMYFUNCTION("""COMPUTED_VALUE"""),1900000.0)</f>
        <v>1900000</v>
      </c>
      <c r="G388" s="49" t="str">
        <f>IFERROR(__xludf.DUMMYFUNCTION("""COMPUTED_VALUE"""),"DEF")</f>
        <v>DEF</v>
      </c>
      <c r="H388" s="49">
        <f>IFERROR(__xludf.DUMMYFUNCTION("""COMPUTED_VALUE"""),5000.0)</f>
        <v>5000</v>
      </c>
      <c r="I388" s="49"/>
      <c r="J388" s="49"/>
      <c r="K388" s="49"/>
      <c r="L388" s="49"/>
      <c r="M388" s="49">
        <f>IFERROR(__xludf.DUMMYFUNCTION("""COMPUTED_VALUE"""),5000.0)</f>
        <v>5000</v>
      </c>
      <c r="N388" s="49"/>
      <c r="O388" s="49"/>
      <c r="P388" s="49"/>
      <c r="Q388" s="49"/>
      <c r="R388" s="49"/>
      <c r="S388" s="49"/>
      <c r="T388" s="49"/>
      <c r="U388" s="49"/>
      <c r="V388" s="49"/>
      <c r="W388" s="49"/>
      <c r="X388" s="49"/>
      <c r="Y388" s="49"/>
      <c r="Z388" s="49"/>
      <c r="AA388" s="49"/>
      <c r="AB388" s="49"/>
      <c r="AC388" s="49"/>
      <c r="AD388" s="49"/>
      <c r="AE388" s="49"/>
      <c r="AF388" s="49" t="str">
        <f>IFERROR(__xludf.DUMMYFUNCTION("""COMPUTED_VALUE"""),"++When equipped, Gem and Crystal related weapons deal an additional X2 damage for the user.")</f>
        <v>++When equipped, Gem and Crystal related weapons deal an additional X2 damage for the user.</v>
      </c>
      <c r="AG388" s="49" t="str">
        <f>IFERROR(__xludf.DUMMYFUNCTION("""COMPUTED_VALUE"""),"Land of Spira")</f>
        <v>Land of Spira</v>
      </c>
      <c r="AH388" s="49" t="b">
        <f>IFERROR(__xludf.DUMMYFUNCTION("""COMPUTED_VALUE"""),FALSE)</f>
        <v>0</v>
      </c>
    </row>
    <row r="389">
      <c r="A389" s="49" t="str">
        <f>IFERROR(__xludf.DUMMYFUNCTION("""COMPUTED_VALUE"""),"Crystal Forged Vambraces")</f>
        <v>Crystal Forged Vambraces</v>
      </c>
      <c r="B389" s="49" t="str">
        <f>IFERROR(__xludf.DUMMYFUNCTION("""COMPUTED_VALUE"""),"Arms")</f>
        <v>Arms</v>
      </c>
      <c r="C389" s="49"/>
      <c r="D389" s="49"/>
      <c r="E389" s="49">
        <f>IFERROR(__xludf.DUMMYFUNCTION("""COMPUTED_VALUE"""),200.0)</f>
        <v>200</v>
      </c>
      <c r="F389" s="112">
        <f>IFERROR(__xludf.DUMMYFUNCTION("""COMPUTED_VALUE"""),1900000.0)</f>
        <v>1900000</v>
      </c>
      <c r="G389" s="49" t="str">
        <f>IFERROR(__xludf.DUMMYFUNCTION("""COMPUTED_VALUE"""),"DEF")</f>
        <v>DEF</v>
      </c>
      <c r="H389" s="49">
        <f>IFERROR(__xludf.DUMMYFUNCTION("""COMPUTED_VALUE"""),5000.0)</f>
        <v>5000</v>
      </c>
      <c r="I389" s="49"/>
      <c r="J389" s="49"/>
      <c r="K389" s="49"/>
      <c r="L389" s="49"/>
      <c r="M389" s="49">
        <f>IFERROR(__xludf.DUMMYFUNCTION("""COMPUTED_VALUE"""),5000.0)</f>
        <v>5000</v>
      </c>
      <c r="N389" s="49"/>
      <c r="O389" s="49"/>
      <c r="P389" s="49"/>
      <c r="Q389" s="49"/>
      <c r="R389" s="49"/>
      <c r="S389" s="49"/>
      <c r="T389" s="49"/>
      <c r="U389" s="49"/>
      <c r="V389" s="49"/>
      <c r="W389" s="49"/>
      <c r="X389" s="49"/>
      <c r="Y389" s="49"/>
      <c r="Z389" s="49"/>
      <c r="AA389" s="49"/>
      <c r="AB389" s="49"/>
      <c r="AC389" s="49"/>
      <c r="AD389" s="49"/>
      <c r="AE389" s="49"/>
      <c r="AF389" s="49" t="str">
        <f>IFERROR(__xludf.DUMMYFUNCTION("""COMPUTED_VALUE"""),"++When equipped, Gem and Crystal related weapons deal an additional X2 damage for the user.")</f>
        <v>++When equipped, Gem and Crystal related weapons deal an additional X2 damage for the user.</v>
      </c>
      <c r="AG389" s="49" t="str">
        <f>IFERROR(__xludf.DUMMYFUNCTION("""COMPUTED_VALUE"""),"Land of Spira")</f>
        <v>Land of Spira</v>
      </c>
      <c r="AH389" s="49" t="b">
        <f>IFERROR(__xludf.DUMMYFUNCTION("""COMPUTED_VALUE"""),FALSE)</f>
        <v>0</v>
      </c>
    </row>
    <row r="390">
      <c r="A390" s="49" t="str">
        <f>IFERROR(__xludf.DUMMYFUNCTION("""COMPUTED_VALUE"""),"Fiddle")</f>
        <v>Fiddle</v>
      </c>
      <c r="B390" s="49" t="str">
        <f>IFERROR(__xludf.DUMMYFUNCTION("""COMPUTED_VALUE"""),"Hand")</f>
        <v>Hand</v>
      </c>
      <c r="C390" s="49"/>
      <c r="D390" s="49" t="str">
        <f>IFERROR(__xludf.DUMMYFUNCTION("""COMPUTED_VALUE"""),"Instrument")</f>
        <v>Instrument</v>
      </c>
      <c r="E390" s="49">
        <f>IFERROR(__xludf.DUMMYFUNCTION("""COMPUTED_VALUE"""),40.0)</f>
        <v>40</v>
      </c>
      <c r="F390" s="112">
        <f>IFERROR(__xludf.DUMMYFUNCTION("""COMPUTED_VALUE"""),60000.0)</f>
        <v>60000</v>
      </c>
      <c r="G390" s="49" t="str">
        <f>IFERROR(__xludf.DUMMYFUNCTION("""COMPUTED_VALUE"""),"DMG")</f>
        <v>DMG</v>
      </c>
      <c r="H390" s="49">
        <f>IFERROR(__xludf.DUMMYFUNCTION("""COMPUTED_VALUE"""),2000.0)</f>
        <v>2000</v>
      </c>
      <c r="I390" s="49"/>
      <c r="J390" s="49"/>
      <c r="K390" s="49"/>
      <c r="L390" s="49"/>
      <c r="M390" s="49"/>
      <c r="N390" s="49"/>
      <c r="O390" s="49"/>
      <c r="P390" s="49"/>
      <c r="Q390" s="49"/>
      <c r="R390" s="49"/>
      <c r="S390" s="49"/>
      <c r="T390" s="49"/>
      <c r="U390" s="49"/>
      <c r="V390" s="49"/>
      <c r="W390" s="49"/>
      <c r="X390" s="49"/>
      <c r="Y390" s="49"/>
      <c r="Z390" s="49"/>
      <c r="AA390" s="49"/>
      <c r="AB390" s="49"/>
      <c r="AC390" s="49"/>
      <c r="AD390" s="49"/>
      <c r="AE390" s="49"/>
      <c r="AF390" s="49"/>
      <c r="AG390" s="49" t="str">
        <f>IFERROR(__xludf.DUMMYFUNCTION("""COMPUTED_VALUE"""),"Land of Spira")</f>
        <v>Land of Spira</v>
      </c>
      <c r="AH390" s="49" t="b">
        <f>IFERROR(__xludf.DUMMYFUNCTION("""COMPUTED_VALUE"""),FALSE)</f>
        <v>0</v>
      </c>
    </row>
    <row r="391">
      <c r="A391" s="49" t="str">
        <f>IFERROR(__xludf.DUMMYFUNCTION("""COMPUTED_VALUE"""),"WyvernTail Blade")</f>
        <v>WyvernTail Blade</v>
      </c>
      <c r="B391" s="49" t="str">
        <f>IFERROR(__xludf.DUMMYFUNCTION("""COMPUTED_VALUE"""),"Hand")</f>
        <v>Hand</v>
      </c>
      <c r="C391" s="49"/>
      <c r="D391" s="49" t="str">
        <f>IFERROR(__xludf.DUMMYFUNCTION("""COMPUTED_VALUE"""),"Sword")</f>
        <v>Sword</v>
      </c>
      <c r="E391" s="49">
        <f>IFERROR(__xludf.DUMMYFUNCTION("""COMPUTED_VALUE"""),200.0)</f>
        <v>200</v>
      </c>
      <c r="F391" s="112">
        <f>IFERROR(__xludf.DUMMYFUNCTION("""COMPUTED_VALUE"""),1900000.0)</f>
        <v>1900000</v>
      </c>
      <c r="G391" s="49" t="str">
        <f>IFERROR(__xludf.DUMMYFUNCTION("""COMPUTED_VALUE"""),"DMG")</f>
        <v>DMG</v>
      </c>
      <c r="H391" s="49">
        <f>IFERROR(__xludf.DUMMYFUNCTION("""COMPUTED_VALUE"""),5000.0)</f>
        <v>5000</v>
      </c>
      <c r="I391" s="49"/>
      <c r="J391" s="49"/>
      <c r="K391" s="49">
        <f>IFERROR(__xludf.DUMMYFUNCTION("""COMPUTED_VALUE"""),5000.0)</f>
        <v>5000</v>
      </c>
      <c r="L391" s="49"/>
      <c r="M391" s="49"/>
      <c r="N391" s="49"/>
      <c r="O391" s="49"/>
      <c r="P391" s="49"/>
      <c r="Q391" s="49"/>
      <c r="R391" s="49"/>
      <c r="S391" s="49"/>
      <c r="T391" s="49"/>
      <c r="U391" s="49"/>
      <c r="V391" s="49"/>
      <c r="W391" s="49"/>
      <c r="X391" s="49"/>
      <c r="Y391" s="49"/>
      <c r="Z391" s="49"/>
      <c r="AA391" s="49"/>
      <c r="AB391" s="49"/>
      <c r="AC391" s="49"/>
      <c r="AD391" s="49"/>
      <c r="AE391" s="49"/>
      <c r="AF391" s="49" t="str">
        <f>IFERROR(__xludf.DUMMYFUNCTION("""COMPUTED_VALUE"""),"(Wyverntail Set) ++50% Chance to freeze the target being attacked by this weapon.")</f>
        <v>(Wyverntail Set) ++50% Chance to freeze the target being attacked by this weapon.</v>
      </c>
      <c r="AG391" s="49" t="str">
        <f>IFERROR(__xludf.DUMMYFUNCTION("""COMPUTED_VALUE"""),"Dragonscale Island")</f>
        <v>Dragonscale Island</v>
      </c>
      <c r="AH391" s="49" t="b">
        <f>IFERROR(__xludf.DUMMYFUNCTION("""COMPUTED_VALUE"""),TRUE)</f>
        <v>1</v>
      </c>
    </row>
    <row r="392">
      <c r="A392" s="49" t="str">
        <f>IFERROR(__xludf.DUMMYFUNCTION("""COMPUTED_VALUE"""),"WyvernTail Helm")</f>
        <v>WyvernTail Helm</v>
      </c>
      <c r="B392" s="49" t="str">
        <f>IFERROR(__xludf.DUMMYFUNCTION("""COMPUTED_VALUE"""),"Head")</f>
        <v>Head</v>
      </c>
      <c r="C392" s="49"/>
      <c r="D392" s="49"/>
      <c r="E392" s="49">
        <f>IFERROR(__xludf.DUMMYFUNCTION("""COMPUTED_VALUE"""),200.0)</f>
        <v>200</v>
      </c>
      <c r="F392" s="112">
        <f>IFERROR(__xludf.DUMMYFUNCTION("""COMPUTED_VALUE"""),1900000.0)</f>
        <v>1900000</v>
      </c>
      <c r="G392" s="49" t="str">
        <f>IFERROR(__xludf.DUMMYFUNCTION("""COMPUTED_VALUE"""),"DEF")</f>
        <v>DEF</v>
      </c>
      <c r="H392" s="49">
        <f>IFERROR(__xludf.DUMMYFUNCTION("""COMPUTED_VALUE"""),10000.0)</f>
        <v>10000</v>
      </c>
      <c r="I392" s="49"/>
      <c r="J392" s="49"/>
      <c r="K392" s="49"/>
      <c r="L392" s="49"/>
      <c r="M392" s="49"/>
      <c r="N392" s="49"/>
      <c r="O392" s="49"/>
      <c r="P392" s="49"/>
      <c r="Q392" s="49"/>
      <c r="R392" s="49"/>
      <c r="S392" s="49"/>
      <c r="T392" s="49"/>
      <c r="U392" s="49"/>
      <c r="V392" s="49"/>
      <c r="W392" s="49"/>
      <c r="X392" s="49"/>
      <c r="Y392" s="49"/>
      <c r="Z392" s="49"/>
      <c r="AA392" s="49"/>
      <c r="AB392" s="49"/>
      <c r="AC392" s="49"/>
      <c r="AD392" s="49"/>
      <c r="AE392" s="49"/>
      <c r="AF392" s="49" t="str">
        <f>IFERROR(__xludf.DUMMYFUNCTION("""COMPUTED_VALUE"""),"(Wyverntail Set) ++Freeze Immunity")</f>
        <v>(Wyverntail Set) ++Freeze Immunity</v>
      </c>
      <c r="AG392" s="49" t="str">
        <f>IFERROR(__xludf.DUMMYFUNCTION("""COMPUTED_VALUE"""),"Dragonscale Island")</f>
        <v>Dragonscale Island</v>
      </c>
      <c r="AH392" s="49" t="b">
        <f>IFERROR(__xludf.DUMMYFUNCTION("""COMPUTED_VALUE"""),TRUE)</f>
        <v>1</v>
      </c>
    </row>
    <row r="393">
      <c r="A393" s="49" t="str">
        <f>IFERROR(__xludf.DUMMYFUNCTION("""COMPUTED_VALUE"""),"WyvernTail Pauldrons")</f>
        <v>WyvernTail Pauldrons</v>
      </c>
      <c r="B393" s="49" t="str">
        <f>IFERROR(__xludf.DUMMYFUNCTION("""COMPUTED_VALUE"""),"Shoulders")</f>
        <v>Shoulders</v>
      </c>
      <c r="C393" s="49"/>
      <c r="D393" s="49"/>
      <c r="E393" s="49">
        <f>IFERROR(__xludf.DUMMYFUNCTION("""COMPUTED_VALUE"""),200.0)</f>
        <v>200</v>
      </c>
      <c r="F393" s="112">
        <f>IFERROR(__xludf.DUMMYFUNCTION("""COMPUTED_VALUE"""),1900000.0)</f>
        <v>1900000</v>
      </c>
      <c r="G393" s="49" t="str">
        <f>IFERROR(__xludf.DUMMYFUNCTION("""COMPUTED_VALUE"""),"DEF")</f>
        <v>DEF</v>
      </c>
      <c r="H393" s="49">
        <f>IFERROR(__xludf.DUMMYFUNCTION("""COMPUTED_VALUE"""),10000.0)</f>
        <v>10000</v>
      </c>
      <c r="I393" s="49"/>
      <c r="J393" s="49"/>
      <c r="K393" s="49"/>
      <c r="L393" s="49"/>
      <c r="M393" s="49"/>
      <c r="N393" s="49"/>
      <c r="O393" s="49"/>
      <c r="P393" s="49"/>
      <c r="Q393" s="49"/>
      <c r="R393" s="49"/>
      <c r="S393" s="49"/>
      <c r="T393" s="49"/>
      <c r="U393" s="49"/>
      <c r="V393" s="49"/>
      <c r="W393" s="49"/>
      <c r="X393" s="49"/>
      <c r="Y393" s="49"/>
      <c r="Z393" s="49"/>
      <c r="AA393" s="49"/>
      <c r="AB393" s="49"/>
      <c r="AC393" s="49"/>
      <c r="AD393" s="49"/>
      <c r="AE393" s="49"/>
      <c r="AF393" s="49" t="str">
        <f>IFERROR(__xludf.DUMMYFUNCTION("""COMPUTED_VALUE"""),"(Wyverntail Set) ++Freeze Immunity")</f>
        <v>(Wyverntail Set) ++Freeze Immunity</v>
      </c>
      <c r="AG393" s="49" t="str">
        <f>IFERROR(__xludf.DUMMYFUNCTION("""COMPUTED_VALUE"""),"Dragonscale Island")</f>
        <v>Dragonscale Island</v>
      </c>
      <c r="AH393" s="49" t="b">
        <f>IFERROR(__xludf.DUMMYFUNCTION("""COMPUTED_VALUE"""),TRUE)</f>
        <v>1</v>
      </c>
    </row>
    <row r="394">
      <c r="A394" s="49" t="str">
        <f>IFERROR(__xludf.DUMMYFUNCTION("""COMPUTED_VALUE"""),"WyvernTail Chestplate")</f>
        <v>WyvernTail Chestplate</v>
      </c>
      <c r="B394" s="49" t="str">
        <f>IFERROR(__xludf.DUMMYFUNCTION("""COMPUTED_VALUE"""),"Torso")</f>
        <v>Torso</v>
      </c>
      <c r="C394" s="49"/>
      <c r="D394" s="49"/>
      <c r="E394" s="49">
        <f>IFERROR(__xludf.DUMMYFUNCTION("""COMPUTED_VALUE"""),200.0)</f>
        <v>200</v>
      </c>
      <c r="F394" s="112">
        <f>IFERROR(__xludf.DUMMYFUNCTION("""COMPUTED_VALUE"""),1900000.0)</f>
        <v>1900000</v>
      </c>
      <c r="G394" s="49" t="str">
        <f>IFERROR(__xludf.DUMMYFUNCTION("""COMPUTED_VALUE"""),"DEF")</f>
        <v>DEF</v>
      </c>
      <c r="H394" s="49">
        <f>IFERROR(__xludf.DUMMYFUNCTION("""COMPUTED_VALUE"""),10000.0)</f>
        <v>10000</v>
      </c>
      <c r="I394" s="49"/>
      <c r="J394" s="49"/>
      <c r="K394" s="49"/>
      <c r="L394" s="49"/>
      <c r="M394" s="49"/>
      <c r="N394" s="49"/>
      <c r="O394" s="49"/>
      <c r="P394" s="49"/>
      <c r="Q394" s="49"/>
      <c r="R394" s="49"/>
      <c r="S394" s="49"/>
      <c r="T394" s="49"/>
      <c r="U394" s="49"/>
      <c r="V394" s="49"/>
      <c r="W394" s="49"/>
      <c r="X394" s="49"/>
      <c r="Y394" s="49"/>
      <c r="Z394" s="49"/>
      <c r="AA394" s="49"/>
      <c r="AB394" s="49"/>
      <c r="AC394" s="49"/>
      <c r="AD394" s="49"/>
      <c r="AE394" s="49"/>
      <c r="AF394" s="49" t="str">
        <f>IFERROR(__xludf.DUMMYFUNCTION("""COMPUTED_VALUE"""),"(Wyverntail Set) ++Freeze Immunity")</f>
        <v>(Wyverntail Set) ++Freeze Immunity</v>
      </c>
      <c r="AG394" s="49" t="str">
        <f>IFERROR(__xludf.DUMMYFUNCTION("""COMPUTED_VALUE"""),"Dragonscale Island")</f>
        <v>Dragonscale Island</v>
      </c>
      <c r="AH394" s="49" t="b">
        <f>IFERROR(__xludf.DUMMYFUNCTION("""COMPUTED_VALUE"""),TRUE)</f>
        <v>1</v>
      </c>
    </row>
    <row r="395">
      <c r="A395" s="49" t="str">
        <f>IFERROR(__xludf.DUMMYFUNCTION("""COMPUTED_VALUE"""),"WyvernTail Vambraces")</f>
        <v>WyvernTail Vambraces</v>
      </c>
      <c r="B395" s="49" t="str">
        <f>IFERROR(__xludf.DUMMYFUNCTION("""COMPUTED_VALUE"""),"Arms")</f>
        <v>Arms</v>
      </c>
      <c r="C395" s="49"/>
      <c r="D395" s="49"/>
      <c r="E395" s="49">
        <f>IFERROR(__xludf.DUMMYFUNCTION("""COMPUTED_VALUE"""),200.0)</f>
        <v>200</v>
      </c>
      <c r="F395" s="112">
        <f>IFERROR(__xludf.DUMMYFUNCTION("""COMPUTED_VALUE"""),1900000.0)</f>
        <v>1900000</v>
      </c>
      <c r="G395" s="49" t="str">
        <f>IFERROR(__xludf.DUMMYFUNCTION("""COMPUTED_VALUE"""),"DEF")</f>
        <v>DEF</v>
      </c>
      <c r="H395" s="49">
        <f>IFERROR(__xludf.DUMMYFUNCTION("""COMPUTED_VALUE"""),10000.0)</f>
        <v>10000</v>
      </c>
      <c r="I395" s="49"/>
      <c r="J395" s="49"/>
      <c r="K395" s="49"/>
      <c r="L395" s="49"/>
      <c r="M395" s="49"/>
      <c r="N395" s="49"/>
      <c r="O395" s="49"/>
      <c r="P395" s="49"/>
      <c r="Q395" s="49"/>
      <c r="R395" s="49"/>
      <c r="S395" s="49"/>
      <c r="T395" s="49"/>
      <c r="U395" s="49"/>
      <c r="V395" s="49"/>
      <c r="W395" s="49"/>
      <c r="X395" s="49"/>
      <c r="Y395" s="49"/>
      <c r="Z395" s="49"/>
      <c r="AA395" s="49"/>
      <c r="AB395" s="49"/>
      <c r="AC395" s="49"/>
      <c r="AD395" s="49"/>
      <c r="AE395" s="49"/>
      <c r="AF395" s="49" t="str">
        <f>IFERROR(__xludf.DUMMYFUNCTION("""COMPUTED_VALUE"""),"(Wyverntail Set) ++Freeze Immunity")</f>
        <v>(Wyverntail Set) ++Freeze Immunity</v>
      </c>
      <c r="AG395" s="49" t="str">
        <f>IFERROR(__xludf.DUMMYFUNCTION("""COMPUTED_VALUE"""),"Dragonscale Island")</f>
        <v>Dragonscale Island</v>
      </c>
      <c r="AH395" s="49" t="b">
        <f>IFERROR(__xludf.DUMMYFUNCTION("""COMPUTED_VALUE"""),TRUE)</f>
        <v>1</v>
      </c>
    </row>
    <row r="396">
      <c r="A396" s="49" t="str">
        <f>IFERROR(__xludf.DUMMYFUNCTION("""COMPUTED_VALUE"""),"WyvernTail Greaves")</f>
        <v>WyvernTail Greaves</v>
      </c>
      <c r="B396" s="49" t="str">
        <f>IFERROR(__xludf.DUMMYFUNCTION("""COMPUTED_VALUE"""),"Legs")</f>
        <v>Legs</v>
      </c>
      <c r="C396" s="49"/>
      <c r="D396" s="49"/>
      <c r="E396" s="49">
        <f>IFERROR(__xludf.DUMMYFUNCTION("""COMPUTED_VALUE"""),200.0)</f>
        <v>200</v>
      </c>
      <c r="F396" s="112">
        <f>IFERROR(__xludf.DUMMYFUNCTION("""COMPUTED_VALUE"""),1900000.0)</f>
        <v>1900000</v>
      </c>
      <c r="G396" s="49" t="str">
        <f>IFERROR(__xludf.DUMMYFUNCTION("""COMPUTED_VALUE"""),"DEF")</f>
        <v>DEF</v>
      </c>
      <c r="H396" s="49">
        <f>IFERROR(__xludf.DUMMYFUNCTION("""COMPUTED_VALUE"""),10000.0)</f>
        <v>10000</v>
      </c>
      <c r="I396" s="49"/>
      <c r="J396" s="49"/>
      <c r="K396" s="49"/>
      <c r="L396" s="49"/>
      <c r="M396" s="49"/>
      <c r="N396" s="49"/>
      <c r="O396" s="49"/>
      <c r="P396" s="49"/>
      <c r="Q396" s="49"/>
      <c r="R396" s="49"/>
      <c r="S396" s="49"/>
      <c r="T396" s="49"/>
      <c r="U396" s="49"/>
      <c r="V396" s="49"/>
      <c r="W396" s="49"/>
      <c r="X396" s="49"/>
      <c r="Y396" s="49"/>
      <c r="Z396" s="49"/>
      <c r="AA396" s="49"/>
      <c r="AB396" s="49"/>
      <c r="AC396" s="49"/>
      <c r="AD396" s="49"/>
      <c r="AE396" s="49"/>
      <c r="AF396" s="49" t="str">
        <f>IFERROR(__xludf.DUMMYFUNCTION("""COMPUTED_VALUE"""),"(Wyverntail Set) ++Freeze Immunity")</f>
        <v>(Wyverntail Set) ++Freeze Immunity</v>
      </c>
      <c r="AG396" s="49" t="str">
        <f>IFERROR(__xludf.DUMMYFUNCTION("""COMPUTED_VALUE"""),"Dragonscale Island")</f>
        <v>Dragonscale Island</v>
      </c>
      <c r="AH396" s="49" t="b">
        <f>IFERROR(__xludf.DUMMYFUNCTION("""COMPUTED_VALUE"""),TRUE)</f>
        <v>1</v>
      </c>
    </row>
    <row r="397">
      <c r="A397" s="49" t="str">
        <f>IFERROR(__xludf.DUMMYFUNCTION("""COMPUTED_VALUE"""),"WyvernTail Boots")</f>
        <v>WyvernTail Boots</v>
      </c>
      <c r="B397" s="49" t="str">
        <f>IFERROR(__xludf.DUMMYFUNCTION("""COMPUTED_VALUE"""),"Feet")</f>
        <v>Feet</v>
      </c>
      <c r="C397" s="49"/>
      <c r="D397" s="49"/>
      <c r="E397" s="49">
        <f>IFERROR(__xludf.DUMMYFUNCTION("""COMPUTED_VALUE"""),200.0)</f>
        <v>200</v>
      </c>
      <c r="F397" s="112">
        <f>IFERROR(__xludf.DUMMYFUNCTION("""COMPUTED_VALUE"""),1900000.0)</f>
        <v>1900000</v>
      </c>
      <c r="G397" s="49" t="str">
        <f>IFERROR(__xludf.DUMMYFUNCTION("""COMPUTED_VALUE"""),"DEF")</f>
        <v>DEF</v>
      </c>
      <c r="H397" s="49">
        <f>IFERROR(__xludf.DUMMYFUNCTION("""COMPUTED_VALUE"""),10000.0)</f>
        <v>10000</v>
      </c>
      <c r="I397" s="49"/>
      <c r="J397" s="49"/>
      <c r="K397" s="49"/>
      <c r="L397" s="49"/>
      <c r="M397" s="49"/>
      <c r="N397" s="49"/>
      <c r="O397" s="49"/>
      <c r="P397" s="49"/>
      <c r="Q397" s="49"/>
      <c r="R397" s="49"/>
      <c r="S397" s="49"/>
      <c r="T397" s="49"/>
      <c r="U397" s="49"/>
      <c r="V397" s="49"/>
      <c r="W397" s="49"/>
      <c r="X397" s="49"/>
      <c r="Y397" s="49"/>
      <c r="Z397" s="49"/>
      <c r="AA397" s="49"/>
      <c r="AB397" s="49"/>
      <c r="AC397" s="49"/>
      <c r="AD397" s="49"/>
      <c r="AE397" s="49"/>
      <c r="AF397" s="49" t="str">
        <f>IFERROR(__xludf.DUMMYFUNCTION("""COMPUTED_VALUE"""),"(Wyverntail Set) ++Freeze Immunity")</f>
        <v>(Wyverntail Set) ++Freeze Immunity</v>
      </c>
      <c r="AG397" s="49" t="str">
        <f>IFERROR(__xludf.DUMMYFUNCTION("""COMPUTED_VALUE"""),"Dragonscale Island")</f>
        <v>Dragonscale Island</v>
      </c>
      <c r="AH397" s="49" t="b">
        <f>IFERROR(__xludf.DUMMYFUNCTION("""COMPUTED_VALUE"""),TRUE)</f>
        <v>1</v>
      </c>
    </row>
    <row r="398">
      <c r="A398" s="49" t="str">
        <f>IFERROR(__xludf.DUMMYFUNCTION("""COMPUTED_VALUE"""),"WyvernTail Pendent")</f>
        <v>WyvernTail Pendent</v>
      </c>
      <c r="B398" s="49" t="str">
        <f>IFERROR(__xludf.DUMMYFUNCTION("""COMPUTED_VALUE"""),"Neck")</f>
        <v>Neck</v>
      </c>
      <c r="C398" s="49"/>
      <c r="D398" s="49"/>
      <c r="E398" s="49">
        <f>IFERROR(__xludf.DUMMYFUNCTION("""COMPUTED_VALUE"""),1.0)</f>
        <v>1</v>
      </c>
      <c r="F398" s="112">
        <f>IFERROR(__xludf.DUMMYFUNCTION("""COMPUTED_VALUE"""),0.0)</f>
        <v>0</v>
      </c>
      <c r="G398" s="49"/>
      <c r="H398" s="49"/>
      <c r="I398" s="49"/>
      <c r="J398" s="49"/>
      <c r="K398" s="49"/>
      <c r="L398" s="49"/>
      <c r="M398" s="49"/>
      <c r="N398" s="49"/>
      <c r="O398" s="49"/>
      <c r="P398" s="49"/>
      <c r="Q398" s="49"/>
      <c r="R398" s="49"/>
      <c r="S398" s="49"/>
      <c r="T398" s="49"/>
      <c r="U398" s="49"/>
      <c r="V398" s="49"/>
      <c r="W398" s="49"/>
      <c r="X398" s="49"/>
      <c r="Y398" s="49"/>
      <c r="Z398" s="49"/>
      <c r="AA398" s="49"/>
      <c r="AB398" s="49"/>
      <c r="AC398" s="49"/>
      <c r="AD398" s="49"/>
      <c r="AE398" s="49"/>
      <c r="AF398" s="49" t="str">
        <f>IFERROR(__xludf.DUMMYFUNCTION("""COMPUTED_VALUE"""),"(Wyverntail Set) ++When you are attacked, the enemy that attacked you has a 25% Chance to Freeze.")</f>
        <v>(Wyverntail Set) ++When you are attacked, the enemy that attacked you has a 25% Chance to Freeze.</v>
      </c>
      <c r="AG398" s="49" t="str">
        <f>IFERROR(__xludf.DUMMYFUNCTION("""COMPUTED_VALUE"""),"Dragonscale Island")</f>
        <v>Dragonscale Island</v>
      </c>
      <c r="AH398" s="49" t="b">
        <f>IFERROR(__xludf.DUMMYFUNCTION("""COMPUTED_VALUE"""),FALSE)</f>
        <v>0</v>
      </c>
    </row>
    <row r="399">
      <c r="A399" s="49" t="str">
        <f>IFERROR(__xludf.DUMMYFUNCTION("""COMPUTED_VALUE"""),"WyvernTail Ring")</f>
        <v>WyvernTail Ring</v>
      </c>
      <c r="B399" s="49" t="str">
        <f>IFERROR(__xludf.DUMMYFUNCTION("""COMPUTED_VALUE"""),"Ring")</f>
        <v>Ring</v>
      </c>
      <c r="C399" s="49"/>
      <c r="D399" s="49"/>
      <c r="E399" s="49">
        <f>IFERROR(__xludf.DUMMYFUNCTION("""COMPUTED_VALUE"""),1.0)</f>
        <v>1</v>
      </c>
      <c r="F399" s="112">
        <f>IFERROR(__xludf.DUMMYFUNCTION("""COMPUTED_VALUE"""),0.0)</f>
        <v>0</v>
      </c>
      <c r="G399" s="49"/>
      <c r="H399" s="49"/>
      <c r="I399" s="49"/>
      <c r="J399" s="49"/>
      <c r="K399" s="49"/>
      <c r="L399" s="49"/>
      <c r="M399" s="49"/>
      <c r="N399" s="49"/>
      <c r="O399" s="49"/>
      <c r="P399" s="49"/>
      <c r="Q399" s="49"/>
      <c r="R399" s="49"/>
      <c r="S399" s="49"/>
      <c r="T399" s="49"/>
      <c r="U399" s="49"/>
      <c r="V399" s="49"/>
      <c r="W399" s="49"/>
      <c r="X399" s="49"/>
      <c r="Y399" s="49"/>
      <c r="Z399" s="49"/>
      <c r="AA399" s="49"/>
      <c r="AB399" s="49"/>
      <c r="AC399" s="49"/>
      <c r="AD399" s="49"/>
      <c r="AE399" s="49"/>
      <c r="AF399" s="49" t="str">
        <f>IFERROR(__xludf.DUMMYFUNCTION("""COMPUTED_VALUE"""),"(Wyverntail Set) ++When you are attacked, the enemy that attacked you has a 25% Chance to Freeze. ")</f>
        <v>(Wyverntail Set) ++When you are attacked, the enemy that attacked you has a 25% Chance to Freeze. </v>
      </c>
      <c r="AG399" s="49" t="str">
        <f>IFERROR(__xludf.DUMMYFUNCTION("""COMPUTED_VALUE"""),"Dragonscale Island")</f>
        <v>Dragonscale Island</v>
      </c>
      <c r="AH399" s="49" t="b">
        <f>IFERROR(__xludf.DUMMYFUNCTION("""COMPUTED_VALUE"""),FALSE)</f>
        <v>0</v>
      </c>
    </row>
    <row r="400">
      <c r="A400" s="49" t="str">
        <f>IFERROR(__xludf.DUMMYFUNCTION("""COMPUTED_VALUE"""),"Sweltering Blade")</f>
        <v>Sweltering Blade</v>
      </c>
      <c r="B400" s="49" t="str">
        <f>IFERROR(__xludf.DUMMYFUNCTION("""COMPUTED_VALUE"""),"Hand")</f>
        <v>Hand</v>
      </c>
      <c r="C400" s="49"/>
      <c r="D400" s="49" t="str">
        <f>IFERROR(__xludf.DUMMYFUNCTION("""COMPUTED_VALUE"""),"Sword")</f>
        <v>Sword</v>
      </c>
      <c r="E400" s="49">
        <f>IFERROR(__xludf.DUMMYFUNCTION("""COMPUTED_VALUE"""),400.0)</f>
        <v>400</v>
      </c>
      <c r="F400" s="112">
        <f>IFERROR(__xludf.DUMMYFUNCTION("""COMPUTED_VALUE"""),7800000.0)</f>
        <v>7800000</v>
      </c>
      <c r="G400" s="49" t="str">
        <f>IFERROR(__xludf.DUMMYFUNCTION("""COMPUTED_VALUE"""),"DMG")</f>
        <v>DMG</v>
      </c>
      <c r="H400" s="49">
        <f>IFERROR(__xludf.DUMMYFUNCTION("""COMPUTED_VALUE"""),5000.0)</f>
        <v>5000</v>
      </c>
      <c r="I400" s="49">
        <f>IFERROR(__xludf.DUMMYFUNCTION("""COMPUTED_VALUE"""),5000.0)</f>
        <v>5000</v>
      </c>
      <c r="J400" s="49"/>
      <c r="K400" s="49">
        <f>IFERROR(__xludf.DUMMYFUNCTION("""COMPUTED_VALUE"""),5000.0)</f>
        <v>5000</v>
      </c>
      <c r="L400" s="49"/>
      <c r="M400" s="49"/>
      <c r="N400" s="49"/>
      <c r="O400" s="49"/>
      <c r="P400" s="49"/>
      <c r="Q400" s="49"/>
      <c r="R400" s="49"/>
      <c r="S400" s="49">
        <f>IFERROR(__xludf.DUMMYFUNCTION("""COMPUTED_VALUE"""),5000.0)</f>
        <v>5000</v>
      </c>
      <c r="T400" s="49"/>
      <c r="U400" s="49"/>
      <c r="V400" s="49"/>
      <c r="W400" s="49"/>
      <c r="X400" s="49"/>
      <c r="Y400" s="49"/>
      <c r="Z400" s="49"/>
      <c r="AA400" s="49"/>
      <c r="AB400" s="49"/>
      <c r="AC400" s="49"/>
      <c r="AD400" s="49"/>
      <c r="AE400" s="49"/>
      <c r="AF400" s="49" t="str">
        <f>IFERROR(__xludf.DUMMYFUNCTION("""COMPUTED_VALUE"""),"(Sweltering Set) ++X2 Nature, Water, and Fire Damage.")</f>
        <v>(Sweltering Set) ++X2 Nature, Water, and Fire Damage.</v>
      </c>
      <c r="AG400" s="49" t="str">
        <f>IFERROR(__xludf.DUMMYFUNCTION("""COMPUTED_VALUE"""),"Dragonscale Island")</f>
        <v>Dragonscale Island</v>
      </c>
      <c r="AH400" s="49" t="b">
        <f>IFERROR(__xludf.DUMMYFUNCTION("""COMPUTED_VALUE"""),TRUE)</f>
        <v>1</v>
      </c>
    </row>
    <row r="401">
      <c r="A401" s="49" t="str">
        <f>IFERROR(__xludf.DUMMYFUNCTION("""COMPUTED_VALUE"""),"Sweltering Helm")</f>
        <v>Sweltering Helm</v>
      </c>
      <c r="B401" s="49" t="str">
        <f>IFERROR(__xludf.DUMMYFUNCTION("""COMPUTED_VALUE"""),"Head")</f>
        <v>Head</v>
      </c>
      <c r="C401" s="49"/>
      <c r="D401" s="49"/>
      <c r="E401" s="49">
        <f>IFERROR(__xludf.DUMMYFUNCTION("""COMPUTED_VALUE"""),400.0)</f>
        <v>400</v>
      </c>
      <c r="F401" s="112">
        <f>IFERROR(__xludf.DUMMYFUNCTION("""COMPUTED_VALUE"""),7800000.0)</f>
        <v>7800000</v>
      </c>
      <c r="G401" s="49" t="str">
        <f>IFERROR(__xludf.DUMMYFUNCTION("""COMPUTED_VALUE"""),"DEF")</f>
        <v>DEF</v>
      </c>
      <c r="H401" s="49">
        <f>IFERROR(__xludf.DUMMYFUNCTION("""COMPUTED_VALUE"""),5000.0)</f>
        <v>5000</v>
      </c>
      <c r="I401" s="49">
        <f>IFERROR(__xludf.DUMMYFUNCTION("""COMPUTED_VALUE"""),5000.0)</f>
        <v>5000</v>
      </c>
      <c r="J401" s="49"/>
      <c r="K401" s="49">
        <f>IFERROR(__xludf.DUMMYFUNCTION("""COMPUTED_VALUE"""),5000.0)</f>
        <v>5000</v>
      </c>
      <c r="L401" s="49"/>
      <c r="M401" s="49"/>
      <c r="N401" s="49"/>
      <c r="O401" s="49"/>
      <c r="P401" s="49"/>
      <c r="Q401" s="49"/>
      <c r="R401" s="49"/>
      <c r="S401" s="49">
        <f>IFERROR(__xludf.DUMMYFUNCTION("""COMPUTED_VALUE"""),5000.0)</f>
        <v>5000</v>
      </c>
      <c r="T401" s="49"/>
      <c r="U401" s="49"/>
      <c r="V401" s="49"/>
      <c r="W401" s="49"/>
      <c r="X401" s="49"/>
      <c r="Y401" s="49"/>
      <c r="Z401" s="49"/>
      <c r="AA401" s="49"/>
      <c r="AB401" s="49"/>
      <c r="AC401" s="49"/>
      <c r="AD401" s="49"/>
      <c r="AE401" s="49"/>
      <c r="AF401" s="49" t="str">
        <f>IFERROR(__xludf.DUMMYFUNCTION("""COMPUTED_VALUE"""),"(Sweltering Set) ++X2 Nature, Water, and Fire Damage.")</f>
        <v>(Sweltering Set) ++X2 Nature, Water, and Fire Damage.</v>
      </c>
      <c r="AG401" s="49" t="str">
        <f>IFERROR(__xludf.DUMMYFUNCTION("""COMPUTED_VALUE"""),"Dragonscale Island")</f>
        <v>Dragonscale Island</v>
      </c>
      <c r="AH401" s="49" t="b">
        <f>IFERROR(__xludf.DUMMYFUNCTION("""COMPUTED_VALUE"""),TRUE)</f>
        <v>1</v>
      </c>
    </row>
    <row r="402">
      <c r="A402" s="49" t="str">
        <f>IFERROR(__xludf.DUMMYFUNCTION("""COMPUTED_VALUE"""),"Sweltering Pauldrons")</f>
        <v>Sweltering Pauldrons</v>
      </c>
      <c r="B402" s="49" t="str">
        <f>IFERROR(__xludf.DUMMYFUNCTION("""COMPUTED_VALUE"""),"Shoulders")</f>
        <v>Shoulders</v>
      </c>
      <c r="C402" s="49"/>
      <c r="D402" s="49"/>
      <c r="E402" s="49">
        <f>IFERROR(__xludf.DUMMYFUNCTION("""COMPUTED_VALUE"""),400.0)</f>
        <v>400</v>
      </c>
      <c r="F402" s="112">
        <f>IFERROR(__xludf.DUMMYFUNCTION("""COMPUTED_VALUE"""),7800000.0)</f>
        <v>7800000</v>
      </c>
      <c r="G402" s="49" t="str">
        <f>IFERROR(__xludf.DUMMYFUNCTION("""COMPUTED_VALUE"""),"DEF")</f>
        <v>DEF</v>
      </c>
      <c r="H402" s="49">
        <f>IFERROR(__xludf.DUMMYFUNCTION("""COMPUTED_VALUE"""),5000.0)</f>
        <v>5000</v>
      </c>
      <c r="I402" s="49">
        <f>IFERROR(__xludf.DUMMYFUNCTION("""COMPUTED_VALUE"""),5000.0)</f>
        <v>5000</v>
      </c>
      <c r="J402" s="49"/>
      <c r="K402" s="49">
        <f>IFERROR(__xludf.DUMMYFUNCTION("""COMPUTED_VALUE"""),5000.0)</f>
        <v>5000</v>
      </c>
      <c r="L402" s="49"/>
      <c r="M402" s="49"/>
      <c r="N402" s="49"/>
      <c r="O402" s="49"/>
      <c r="P402" s="49"/>
      <c r="Q402" s="49"/>
      <c r="R402" s="49"/>
      <c r="S402" s="49">
        <f>IFERROR(__xludf.DUMMYFUNCTION("""COMPUTED_VALUE"""),5000.0)</f>
        <v>5000</v>
      </c>
      <c r="T402" s="49"/>
      <c r="U402" s="49"/>
      <c r="V402" s="49"/>
      <c r="W402" s="49"/>
      <c r="X402" s="49"/>
      <c r="Y402" s="49"/>
      <c r="Z402" s="49"/>
      <c r="AA402" s="49"/>
      <c r="AB402" s="49"/>
      <c r="AC402" s="49"/>
      <c r="AD402" s="49"/>
      <c r="AE402" s="49"/>
      <c r="AF402" s="49" t="str">
        <f>IFERROR(__xludf.DUMMYFUNCTION("""COMPUTED_VALUE"""),"(Sweltering Set) ++X2 Nature, Water, and Fire Damage.")</f>
        <v>(Sweltering Set) ++X2 Nature, Water, and Fire Damage.</v>
      </c>
      <c r="AG402" s="49" t="str">
        <f>IFERROR(__xludf.DUMMYFUNCTION("""COMPUTED_VALUE"""),"Dragonscale Island")</f>
        <v>Dragonscale Island</v>
      </c>
      <c r="AH402" s="49" t="b">
        <f>IFERROR(__xludf.DUMMYFUNCTION("""COMPUTED_VALUE"""),TRUE)</f>
        <v>1</v>
      </c>
    </row>
    <row r="403">
      <c r="A403" s="49" t="str">
        <f>IFERROR(__xludf.DUMMYFUNCTION("""COMPUTED_VALUE"""),"Sweltering Chestplate")</f>
        <v>Sweltering Chestplate</v>
      </c>
      <c r="B403" s="49" t="str">
        <f>IFERROR(__xludf.DUMMYFUNCTION("""COMPUTED_VALUE"""),"Torso")</f>
        <v>Torso</v>
      </c>
      <c r="C403" s="49"/>
      <c r="D403" s="49"/>
      <c r="E403" s="49">
        <f>IFERROR(__xludf.DUMMYFUNCTION("""COMPUTED_VALUE"""),400.0)</f>
        <v>400</v>
      </c>
      <c r="F403" s="112">
        <f>IFERROR(__xludf.DUMMYFUNCTION("""COMPUTED_VALUE"""),7800000.0)</f>
        <v>7800000</v>
      </c>
      <c r="G403" s="49" t="str">
        <f>IFERROR(__xludf.DUMMYFUNCTION("""COMPUTED_VALUE"""),"DEF")</f>
        <v>DEF</v>
      </c>
      <c r="H403" s="49">
        <f>IFERROR(__xludf.DUMMYFUNCTION("""COMPUTED_VALUE"""),5000.0)</f>
        <v>5000</v>
      </c>
      <c r="I403" s="49">
        <f>IFERROR(__xludf.DUMMYFUNCTION("""COMPUTED_VALUE"""),5000.0)</f>
        <v>5000</v>
      </c>
      <c r="J403" s="49"/>
      <c r="K403" s="49">
        <f>IFERROR(__xludf.DUMMYFUNCTION("""COMPUTED_VALUE"""),5000.0)</f>
        <v>5000</v>
      </c>
      <c r="L403" s="49"/>
      <c r="M403" s="49"/>
      <c r="N403" s="49"/>
      <c r="O403" s="49"/>
      <c r="P403" s="49"/>
      <c r="Q403" s="49"/>
      <c r="R403" s="49"/>
      <c r="S403" s="49">
        <f>IFERROR(__xludf.DUMMYFUNCTION("""COMPUTED_VALUE"""),5000.0)</f>
        <v>5000</v>
      </c>
      <c r="T403" s="49"/>
      <c r="U403" s="49"/>
      <c r="V403" s="49"/>
      <c r="W403" s="49"/>
      <c r="X403" s="49"/>
      <c r="Y403" s="49"/>
      <c r="Z403" s="49"/>
      <c r="AA403" s="49"/>
      <c r="AB403" s="49"/>
      <c r="AC403" s="49"/>
      <c r="AD403" s="49"/>
      <c r="AE403" s="49"/>
      <c r="AF403" s="49" t="str">
        <f>IFERROR(__xludf.DUMMYFUNCTION("""COMPUTED_VALUE"""),"(Sweltering Set) ++X2 Nature, Water, and Fire Damage.")</f>
        <v>(Sweltering Set) ++X2 Nature, Water, and Fire Damage.</v>
      </c>
      <c r="AG403" s="49" t="str">
        <f>IFERROR(__xludf.DUMMYFUNCTION("""COMPUTED_VALUE"""),"Dragonscale Island")</f>
        <v>Dragonscale Island</v>
      </c>
      <c r="AH403" s="49" t="b">
        <f>IFERROR(__xludf.DUMMYFUNCTION("""COMPUTED_VALUE"""),TRUE)</f>
        <v>1</v>
      </c>
    </row>
    <row r="404">
      <c r="A404" s="49" t="str">
        <f>IFERROR(__xludf.DUMMYFUNCTION("""COMPUTED_VALUE"""),"Sweltering Vambraces")</f>
        <v>Sweltering Vambraces</v>
      </c>
      <c r="B404" s="49" t="str">
        <f>IFERROR(__xludf.DUMMYFUNCTION("""COMPUTED_VALUE"""),"Arms")</f>
        <v>Arms</v>
      </c>
      <c r="C404" s="49"/>
      <c r="D404" s="49"/>
      <c r="E404" s="49">
        <f>IFERROR(__xludf.DUMMYFUNCTION("""COMPUTED_VALUE"""),400.0)</f>
        <v>400</v>
      </c>
      <c r="F404" s="112">
        <f>IFERROR(__xludf.DUMMYFUNCTION("""COMPUTED_VALUE"""),7800000.0)</f>
        <v>7800000</v>
      </c>
      <c r="G404" s="49" t="str">
        <f>IFERROR(__xludf.DUMMYFUNCTION("""COMPUTED_VALUE"""),"DEF")</f>
        <v>DEF</v>
      </c>
      <c r="H404" s="49">
        <f>IFERROR(__xludf.DUMMYFUNCTION("""COMPUTED_VALUE"""),5000.0)</f>
        <v>5000</v>
      </c>
      <c r="I404" s="49">
        <f>IFERROR(__xludf.DUMMYFUNCTION("""COMPUTED_VALUE"""),5000.0)</f>
        <v>5000</v>
      </c>
      <c r="J404" s="49"/>
      <c r="K404" s="49">
        <f>IFERROR(__xludf.DUMMYFUNCTION("""COMPUTED_VALUE"""),5000.0)</f>
        <v>5000</v>
      </c>
      <c r="L404" s="49"/>
      <c r="M404" s="49"/>
      <c r="N404" s="49"/>
      <c r="O404" s="49"/>
      <c r="P404" s="49"/>
      <c r="Q404" s="49"/>
      <c r="R404" s="49"/>
      <c r="S404" s="49">
        <f>IFERROR(__xludf.DUMMYFUNCTION("""COMPUTED_VALUE"""),5000.0)</f>
        <v>5000</v>
      </c>
      <c r="T404" s="49"/>
      <c r="U404" s="49"/>
      <c r="V404" s="49"/>
      <c r="W404" s="49"/>
      <c r="X404" s="49"/>
      <c r="Y404" s="49"/>
      <c r="Z404" s="49"/>
      <c r="AA404" s="49"/>
      <c r="AB404" s="49"/>
      <c r="AC404" s="49"/>
      <c r="AD404" s="49"/>
      <c r="AE404" s="49"/>
      <c r="AF404" s="49" t="str">
        <f>IFERROR(__xludf.DUMMYFUNCTION("""COMPUTED_VALUE"""),"(Sweltering Set) ++X2 Nature, Water, and Fire Damage.")</f>
        <v>(Sweltering Set) ++X2 Nature, Water, and Fire Damage.</v>
      </c>
      <c r="AG404" s="49" t="str">
        <f>IFERROR(__xludf.DUMMYFUNCTION("""COMPUTED_VALUE"""),"Dragonscale Island")</f>
        <v>Dragonscale Island</v>
      </c>
      <c r="AH404" s="49" t="b">
        <f>IFERROR(__xludf.DUMMYFUNCTION("""COMPUTED_VALUE"""),TRUE)</f>
        <v>1</v>
      </c>
    </row>
    <row r="405">
      <c r="A405" s="49" t="str">
        <f>IFERROR(__xludf.DUMMYFUNCTION("""COMPUTED_VALUE"""),"Sweltering Greaves")</f>
        <v>Sweltering Greaves</v>
      </c>
      <c r="B405" s="49" t="str">
        <f>IFERROR(__xludf.DUMMYFUNCTION("""COMPUTED_VALUE"""),"Legs")</f>
        <v>Legs</v>
      </c>
      <c r="C405" s="49"/>
      <c r="D405" s="49"/>
      <c r="E405" s="49">
        <f>IFERROR(__xludf.DUMMYFUNCTION("""COMPUTED_VALUE"""),400.0)</f>
        <v>400</v>
      </c>
      <c r="F405" s="112">
        <f>IFERROR(__xludf.DUMMYFUNCTION("""COMPUTED_VALUE"""),7800000.0)</f>
        <v>7800000</v>
      </c>
      <c r="G405" s="49" t="str">
        <f>IFERROR(__xludf.DUMMYFUNCTION("""COMPUTED_VALUE"""),"DEF")</f>
        <v>DEF</v>
      </c>
      <c r="H405" s="49">
        <f>IFERROR(__xludf.DUMMYFUNCTION("""COMPUTED_VALUE"""),5000.0)</f>
        <v>5000</v>
      </c>
      <c r="I405" s="49">
        <f>IFERROR(__xludf.DUMMYFUNCTION("""COMPUTED_VALUE"""),5000.0)</f>
        <v>5000</v>
      </c>
      <c r="J405" s="49"/>
      <c r="K405" s="49">
        <f>IFERROR(__xludf.DUMMYFUNCTION("""COMPUTED_VALUE"""),5000.0)</f>
        <v>5000</v>
      </c>
      <c r="L405" s="49"/>
      <c r="M405" s="49"/>
      <c r="N405" s="49"/>
      <c r="O405" s="49"/>
      <c r="P405" s="49"/>
      <c r="Q405" s="49"/>
      <c r="R405" s="49"/>
      <c r="S405" s="49">
        <f>IFERROR(__xludf.DUMMYFUNCTION("""COMPUTED_VALUE"""),5000.0)</f>
        <v>5000</v>
      </c>
      <c r="T405" s="49"/>
      <c r="U405" s="49"/>
      <c r="V405" s="49"/>
      <c r="W405" s="49"/>
      <c r="X405" s="49"/>
      <c r="Y405" s="49"/>
      <c r="Z405" s="49"/>
      <c r="AA405" s="49"/>
      <c r="AB405" s="49"/>
      <c r="AC405" s="49"/>
      <c r="AD405" s="49"/>
      <c r="AE405" s="49"/>
      <c r="AF405" s="49" t="str">
        <f>IFERROR(__xludf.DUMMYFUNCTION("""COMPUTED_VALUE"""),"(Sweltering Set) ++X2 Nature, Water, and Fire Damage.")</f>
        <v>(Sweltering Set) ++X2 Nature, Water, and Fire Damage.</v>
      </c>
      <c r="AG405" s="49" t="str">
        <f>IFERROR(__xludf.DUMMYFUNCTION("""COMPUTED_VALUE"""),"Dragonscale Island")</f>
        <v>Dragonscale Island</v>
      </c>
      <c r="AH405" s="49" t="b">
        <f>IFERROR(__xludf.DUMMYFUNCTION("""COMPUTED_VALUE"""),TRUE)</f>
        <v>1</v>
      </c>
    </row>
    <row r="406">
      <c r="A406" s="49" t="str">
        <f>IFERROR(__xludf.DUMMYFUNCTION("""COMPUTED_VALUE"""),"Sweltering Boots")</f>
        <v>Sweltering Boots</v>
      </c>
      <c r="B406" s="49" t="str">
        <f>IFERROR(__xludf.DUMMYFUNCTION("""COMPUTED_VALUE"""),"Feet")</f>
        <v>Feet</v>
      </c>
      <c r="C406" s="49"/>
      <c r="D406" s="49"/>
      <c r="E406" s="49">
        <f>IFERROR(__xludf.DUMMYFUNCTION("""COMPUTED_VALUE"""),400.0)</f>
        <v>400</v>
      </c>
      <c r="F406" s="112">
        <f>IFERROR(__xludf.DUMMYFUNCTION("""COMPUTED_VALUE"""),7800000.0)</f>
        <v>7800000</v>
      </c>
      <c r="G406" s="49" t="str">
        <f>IFERROR(__xludf.DUMMYFUNCTION("""COMPUTED_VALUE"""),"DEF")</f>
        <v>DEF</v>
      </c>
      <c r="H406" s="49">
        <f>IFERROR(__xludf.DUMMYFUNCTION("""COMPUTED_VALUE"""),5000.0)</f>
        <v>5000</v>
      </c>
      <c r="I406" s="49">
        <f>IFERROR(__xludf.DUMMYFUNCTION("""COMPUTED_VALUE"""),5000.0)</f>
        <v>5000</v>
      </c>
      <c r="J406" s="49"/>
      <c r="K406" s="49">
        <f>IFERROR(__xludf.DUMMYFUNCTION("""COMPUTED_VALUE"""),5000.0)</f>
        <v>5000</v>
      </c>
      <c r="L406" s="49"/>
      <c r="M406" s="49"/>
      <c r="N406" s="49"/>
      <c r="O406" s="49"/>
      <c r="P406" s="49"/>
      <c r="Q406" s="49"/>
      <c r="R406" s="49"/>
      <c r="S406" s="49">
        <f>IFERROR(__xludf.DUMMYFUNCTION("""COMPUTED_VALUE"""),5000.0)</f>
        <v>5000</v>
      </c>
      <c r="T406" s="49"/>
      <c r="U406" s="49"/>
      <c r="V406" s="49"/>
      <c r="W406" s="49"/>
      <c r="X406" s="49"/>
      <c r="Y406" s="49"/>
      <c r="Z406" s="49"/>
      <c r="AA406" s="49"/>
      <c r="AB406" s="49"/>
      <c r="AC406" s="49"/>
      <c r="AD406" s="49"/>
      <c r="AE406" s="49"/>
      <c r="AF406" s="49" t="str">
        <f>IFERROR(__xludf.DUMMYFUNCTION("""COMPUTED_VALUE"""),"(Sweltering Set) ++X2 Nature, Water, and Fire Damage.")</f>
        <v>(Sweltering Set) ++X2 Nature, Water, and Fire Damage.</v>
      </c>
      <c r="AG406" s="49" t="str">
        <f>IFERROR(__xludf.DUMMYFUNCTION("""COMPUTED_VALUE"""),"Dragonscale Island")</f>
        <v>Dragonscale Island</v>
      </c>
      <c r="AH406" s="49" t="b">
        <f>IFERROR(__xludf.DUMMYFUNCTION("""COMPUTED_VALUE"""),TRUE)</f>
        <v>1</v>
      </c>
    </row>
    <row r="407">
      <c r="A407" s="49" t="str">
        <f>IFERROR(__xludf.DUMMYFUNCTION("""COMPUTED_VALUE"""),"Sweltering Pendent")</f>
        <v>Sweltering Pendent</v>
      </c>
      <c r="B407" s="49" t="str">
        <f>IFERROR(__xludf.DUMMYFUNCTION("""COMPUTED_VALUE"""),"Neck")</f>
        <v>Neck</v>
      </c>
      <c r="C407" s="49"/>
      <c r="D407" s="49"/>
      <c r="E407" s="49">
        <f>IFERROR(__xludf.DUMMYFUNCTION("""COMPUTED_VALUE"""),1.0)</f>
        <v>1</v>
      </c>
      <c r="F407" s="112">
        <f>IFERROR(__xludf.DUMMYFUNCTION("""COMPUTED_VALUE"""),0.0)</f>
        <v>0</v>
      </c>
      <c r="G407" s="49"/>
      <c r="H407" s="49"/>
      <c r="I407" s="49"/>
      <c r="J407" s="49"/>
      <c r="K407" s="49"/>
      <c r="L407" s="49"/>
      <c r="M407" s="49"/>
      <c r="N407" s="49"/>
      <c r="O407" s="49"/>
      <c r="P407" s="49"/>
      <c r="Q407" s="49"/>
      <c r="R407" s="49"/>
      <c r="S407" s="49"/>
      <c r="T407" s="49"/>
      <c r="U407" s="49"/>
      <c r="V407" s="49"/>
      <c r="W407" s="49"/>
      <c r="X407" s="49"/>
      <c r="Y407" s="49"/>
      <c r="Z407" s="49"/>
      <c r="AA407" s="49"/>
      <c r="AB407" s="49"/>
      <c r="AC407" s="49"/>
      <c r="AD407" s="49"/>
      <c r="AE407" s="49"/>
      <c r="AF407" s="49" t="str">
        <f>IFERROR(__xludf.DUMMYFUNCTION("""COMPUTED_VALUE"""),"(Sweltering Set) ++Fire, Nature, and Water immunity.")</f>
        <v>(Sweltering Set) ++Fire, Nature, and Water immunity.</v>
      </c>
      <c r="AG407" s="49" t="str">
        <f>IFERROR(__xludf.DUMMYFUNCTION("""COMPUTED_VALUE"""),"Dragonscale Island")</f>
        <v>Dragonscale Island</v>
      </c>
      <c r="AH407" s="49" t="b">
        <f>IFERROR(__xludf.DUMMYFUNCTION("""COMPUTED_VALUE"""),FALSE)</f>
        <v>0</v>
      </c>
    </row>
    <row r="408">
      <c r="A408" s="49" t="str">
        <f>IFERROR(__xludf.DUMMYFUNCTION("""COMPUTED_VALUE"""),"Sweltering Ring")</f>
        <v>Sweltering Ring</v>
      </c>
      <c r="B408" s="49" t="str">
        <f>IFERROR(__xludf.DUMMYFUNCTION("""COMPUTED_VALUE"""),"Ring")</f>
        <v>Ring</v>
      </c>
      <c r="C408" s="49"/>
      <c r="D408" s="49"/>
      <c r="E408" s="49">
        <f>IFERROR(__xludf.DUMMYFUNCTION("""COMPUTED_VALUE"""),1.0)</f>
        <v>1</v>
      </c>
      <c r="F408" s="112">
        <f>IFERROR(__xludf.DUMMYFUNCTION("""COMPUTED_VALUE"""),0.0)</f>
        <v>0</v>
      </c>
      <c r="G408" s="49"/>
      <c r="H408" s="49"/>
      <c r="I408" s="49"/>
      <c r="J408" s="49"/>
      <c r="K408" s="49"/>
      <c r="L408" s="49"/>
      <c r="M408" s="49"/>
      <c r="N408" s="49"/>
      <c r="O408" s="49"/>
      <c r="P408" s="49"/>
      <c r="Q408" s="49"/>
      <c r="R408" s="49"/>
      <c r="S408" s="49"/>
      <c r="T408" s="49"/>
      <c r="U408" s="49"/>
      <c r="V408" s="49"/>
      <c r="W408" s="49"/>
      <c r="X408" s="49"/>
      <c r="Y408" s="49"/>
      <c r="Z408" s="49"/>
      <c r="AA408" s="49"/>
      <c r="AB408" s="49"/>
      <c r="AC408" s="49"/>
      <c r="AD408" s="49"/>
      <c r="AE408" s="49"/>
      <c r="AF408" s="49" t="str">
        <f>IFERROR(__xludf.DUMMYFUNCTION("""COMPUTED_VALUE"""),"(Sweltering Set) ++Fire, Nature, and Water immunity.")</f>
        <v>(Sweltering Set) ++Fire, Nature, and Water immunity.</v>
      </c>
      <c r="AG408" s="49" t="str">
        <f>IFERROR(__xludf.DUMMYFUNCTION("""COMPUTED_VALUE"""),"Dragonscale Island")</f>
        <v>Dragonscale Island</v>
      </c>
      <c r="AH408" s="49" t="b">
        <f>IFERROR(__xludf.DUMMYFUNCTION("""COMPUTED_VALUE"""),FALSE)</f>
        <v>0</v>
      </c>
    </row>
    <row r="409">
      <c r="A409" s="49" t="str">
        <f>IFERROR(__xludf.DUMMYFUNCTION("""COMPUTED_VALUE"""),"Reinforced Tortoise Shell")</f>
        <v>Reinforced Tortoise Shell</v>
      </c>
      <c r="B409" s="49" t="str">
        <f>IFERROR(__xludf.DUMMYFUNCTION("""COMPUTED_VALUE"""),"Torso")</f>
        <v>Torso</v>
      </c>
      <c r="C409" s="49"/>
      <c r="D409" s="49"/>
      <c r="E409" s="49">
        <f>IFERROR(__xludf.DUMMYFUNCTION("""COMPUTED_VALUE"""),400.0)</f>
        <v>400</v>
      </c>
      <c r="F409" s="112">
        <f>IFERROR(__xludf.DUMMYFUNCTION("""COMPUTED_VALUE"""),7800000.0)</f>
        <v>7800000</v>
      </c>
      <c r="G409" s="49" t="str">
        <f>IFERROR(__xludf.DUMMYFUNCTION("""COMPUTED_VALUE"""),"DEF")</f>
        <v>DEF</v>
      </c>
      <c r="H409" s="49">
        <f>IFERROR(__xludf.DUMMYFUNCTION("""COMPUTED_VALUE"""),10000.0)</f>
        <v>10000</v>
      </c>
      <c r="I409" s="49"/>
      <c r="J409" s="49"/>
      <c r="K409" s="49">
        <f>IFERROR(__xludf.DUMMYFUNCTION("""COMPUTED_VALUE"""),5000.0)</f>
        <v>5000</v>
      </c>
      <c r="L409" s="49"/>
      <c r="M409" s="49"/>
      <c r="N409" s="49">
        <f>IFERROR(__xludf.DUMMYFUNCTION("""COMPUTED_VALUE"""),5000.0)</f>
        <v>5000</v>
      </c>
      <c r="O409" s="49"/>
      <c r="P409" s="49"/>
      <c r="Q409" s="49"/>
      <c r="R409" s="49"/>
      <c r="S409" s="49"/>
      <c r="T409" s="49"/>
      <c r="U409" s="49"/>
      <c r="V409" s="49"/>
      <c r="W409" s="49"/>
      <c r="X409" s="49"/>
      <c r="Y409" s="49"/>
      <c r="Z409" s="49"/>
      <c r="AA409" s="49"/>
      <c r="AB409" s="49"/>
      <c r="AC409" s="49"/>
      <c r="AD409" s="49"/>
      <c r="AE409" s="49"/>
      <c r="AF409" s="49" t="str">
        <f>IFERROR(__xludf.DUMMYFUNCTION("""COMPUTED_VALUE"""),"++X2 Defense for the wearer. +-Cannot be Duplicated.")</f>
        <v>++X2 Defense for the wearer. +-Cannot be Duplicated.</v>
      </c>
      <c r="AG409" s="49" t="str">
        <f>IFERROR(__xludf.DUMMYFUNCTION("""COMPUTED_VALUE"""),"Dragonscale Island")</f>
        <v>Dragonscale Island</v>
      </c>
      <c r="AH409" s="49" t="b">
        <f>IFERROR(__xludf.DUMMYFUNCTION("""COMPUTED_VALUE"""),TRUE)</f>
        <v>1</v>
      </c>
    </row>
    <row r="410">
      <c r="A410" s="49" t="str">
        <f>IFERROR(__xludf.DUMMYFUNCTION("""COMPUTED_VALUE"""),"Tortoise Shell Shield")</f>
        <v>Tortoise Shell Shield</v>
      </c>
      <c r="B410" s="49" t="str">
        <f>IFERROR(__xludf.DUMMYFUNCTION("""COMPUTED_VALUE"""),"Hand")</f>
        <v>Hand</v>
      </c>
      <c r="C410" s="49"/>
      <c r="D410" s="49" t="str">
        <f>IFERROR(__xludf.DUMMYFUNCTION("""COMPUTED_VALUE"""),"Towershield")</f>
        <v>Towershield</v>
      </c>
      <c r="E410" s="49">
        <f>IFERROR(__xludf.DUMMYFUNCTION("""COMPUTED_VALUE"""),400.0)</f>
        <v>400</v>
      </c>
      <c r="F410" s="112">
        <f>IFERROR(__xludf.DUMMYFUNCTION("""COMPUTED_VALUE"""),7800000.0)</f>
        <v>7800000</v>
      </c>
      <c r="G410" s="49" t="str">
        <f>IFERROR(__xludf.DUMMYFUNCTION("""COMPUTED_VALUE"""),"DEF")</f>
        <v>DEF</v>
      </c>
      <c r="H410" s="49">
        <f>IFERROR(__xludf.DUMMYFUNCTION("""COMPUTED_VALUE"""),20000.0)</f>
        <v>20000</v>
      </c>
      <c r="I410" s="49"/>
      <c r="J410" s="49"/>
      <c r="K410" s="49"/>
      <c r="L410" s="49"/>
      <c r="M410" s="49"/>
      <c r="N410" s="49"/>
      <c r="O410" s="49"/>
      <c r="P410" s="49"/>
      <c r="Q410" s="49"/>
      <c r="R410" s="49"/>
      <c r="S410" s="49"/>
      <c r="T410" s="49"/>
      <c r="U410" s="49"/>
      <c r="V410" s="49"/>
      <c r="W410" s="49"/>
      <c r="X410" s="49"/>
      <c r="Y410" s="49"/>
      <c r="Z410" s="49"/>
      <c r="AA410" s="49"/>
      <c r="AB410" s="49"/>
      <c r="AC410" s="49"/>
      <c r="AD410" s="49"/>
      <c r="AE410" s="49"/>
      <c r="AF410" s="49" t="str">
        <f>IFERROR(__xludf.DUMMYFUNCTION("""COMPUTED_VALUE"""),"++X2 Defense for the wearer. +-Cannot be Duplicated.")</f>
        <v>++X2 Defense for the wearer. +-Cannot be Duplicated.</v>
      </c>
      <c r="AG410" s="49" t="str">
        <f>IFERROR(__xludf.DUMMYFUNCTION("""COMPUTED_VALUE"""),"Dragonscale Island")</f>
        <v>Dragonscale Island</v>
      </c>
      <c r="AH410" s="49" t="b">
        <f>IFERROR(__xludf.DUMMYFUNCTION("""COMPUTED_VALUE"""),TRUE)</f>
        <v>1</v>
      </c>
    </row>
    <row r="411">
      <c r="A411" s="49" t="str">
        <f>IFERROR(__xludf.DUMMYFUNCTION("""COMPUTED_VALUE"""),"Stone of the Summit")</f>
        <v>Stone of the Summit</v>
      </c>
      <c r="B411" s="49" t="str">
        <f>IFERROR(__xludf.DUMMYFUNCTION("""COMPUTED_VALUE"""),"Hand")</f>
        <v>Hand</v>
      </c>
      <c r="C411" s="49"/>
      <c r="D411" s="49"/>
      <c r="E411" s="49">
        <f>IFERROR(__xludf.DUMMYFUNCTION("""COMPUTED_VALUE"""),1.0)</f>
        <v>1</v>
      </c>
      <c r="F411" s="112">
        <f>IFERROR(__xludf.DUMMYFUNCTION("""COMPUTED_VALUE"""),0.0)</f>
        <v>0</v>
      </c>
      <c r="G411" s="49"/>
      <c r="H411" s="49"/>
      <c r="I411" s="49"/>
      <c r="J411" s="49"/>
      <c r="K411" s="49"/>
      <c r="L411" s="49"/>
      <c r="M411" s="49"/>
      <c r="N411" s="49"/>
      <c r="O411" s="49"/>
      <c r="P411" s="49"/>
      <c r="Q411" s="49"/>
      <c r="R411" s="49"/>
      <c r="S411" s="49"/>
      <c r="T411" s="49"/>
      <c r="U411" s="49"/>
      <c r="V411" s="49"/>
      <c r="W411" s="49"/>
      <c r="X411" s="49"/>
      <c r="Y411" s="49"/>
      <c r="Z411" s="49"/>
      <c r="AA411" s="49"/>
      <c r="AB411" s="49"/>
      <c r="AC411" s="49"/>
      <c r="AD411" s="49"/>
      <c r="AE411" s="49"/>
      <c r="AF411" s="49" t="str">
        <f>IFERROR(__xludf.DUMMYFUNCTION("""COMPUTED_VALUE"""),"++X2 additional damage towards weapons for the user.")</f>
        <v>++X2 additional damage towards weapons for the user.</v>
      </c>
      <c r="AG411" s="49" t="str">
        <f>IFERROR(__xludf.DUMMYFUNCTION("""COMPUTED_VALUE"""),"Dragonscale Island")</f>
        <v>Dragonscale Island</v>
      </c>
      <c r="AH411" s="49" t="b">
        <f>IFERROR(__xludf.DUMMYFUNCTION("""COMPUTED_VALUE"""),FALSE)</f>
        <v>0</v>
      </c>
    </row>
    <row r="412">
      <c r="A412" s="49" t="str">
        <f>IFERROR(__xludf.DUMMYFUNCTION("""COMPUTED_VALUE"""),"Deep Blue Pearl")</f>
        <v>Deep Blue Pearl</v>
      </c>
      <c r="B412" s="49" t="str">
        <f>IFERROR(__xludf.DUMMYFUNCTION("""COMPUTED_VALUE"""),"Hand")</f>
        <v>Hand</v>
      </c>
      <c r="C412" s="49" t="str">
        <f>IFERROR(__xludf.DUMMYFUNCTION("""COMPUTED_VALUE"""),"A rare pearl found deep within the ocean of Dragonscale Island.")</f>
        <v>A rare pearl found deep within the ocean of Dragonscale Island.</v>
      </c>
      <c r="D412" s="49"/>
      <c r="E412" s="49">
        <f>IFERROR(__xludf.DUMMYFUNCTION("""COMPUTED_VALUE"""),200.0)</f>
        <v>200</v>
      </c>
      <c r="F412" s="112">
        <f>IFERROR(__xludf.DUMMYFUNCTION("""COMPUTED_VALUE"""),1900000.0)</f>
        <v>1900000</v>
      </c>
      <c r="G412" s="49" t="str">
        <f>IFERROR(__xludf.DUMMYFUNCTION("""COMPUTED_VALUE"""),"DEF")</f>
        <v>DEF</v>
      </c>
      <c r="H412" s="125">
        <f>IFERROR(__xludf.DUMMYFUNCTION("""COMPUTED_VALUE"""),10000.0)</f>
        <v>10000</v>
      </c>
      <c r="I412" s="49"/>
      <c r="J412" s="49"/>
      <c r="K412" s="49"/>
      <c r="L412" s="49"/>
      <c r="M412" s="49"/>
      <c r="N412" s="49"/>
      <c r="O412" s="49"/>
      <c r="P412" s="49"/>
      <c r="Q412" s="49"/>
      <c r="R412" s="49"/>
      <c r="S412" s="49"/>
      <c r="T412" s="49"/>
      <c r="U412" s="49"/>
      <c r="V412" s="49"/>
      <c r="W412" s="49"/>
      <c r="X412" s="49"/>
      <c r="Y412" s="49"/>
      <c r="Z412" s="49"/>
      <c r="AA412" s="49"/>
      <c r="AB412" s="49"/>
      <c r="AC412" s="49"/>
      <c r="AD412" s="49"/>
      <c r="AE412" s="49"/>
      <c r="AF412" s="49" t="str">
        <f>IFERROR(__xludf.DUMMYFUNCTION("""COMPUTED_VALUE"""),"++Water Immunity. ++Water damage dealt by you gives you sp back equal half the damage caused.")</f>
        <v>++Water Immunity. ++Water damage dealt by you gives you sp back equal half the damage caused.</v>
      </c>
      <c r="AG412" s="49" t="str">
        <f>IFERROR(__xludf.DUMMYFUNCTION("""COMPUTED_VALUE"""),"Dragonscale Island")</f>
        <v>Dragonscale Island</v>
      </c>
      <c r="AH412" s="49" t="b">
        <f>IFERROR(__xludf.DUMMYFUNCTION("""COMPUTED_VALUE"""),FALSE)</f>
        <v>0</v>
      </c>
    </row>
    <row r="413">
      <c r="A413" s="49" t="str">
        <f>IFERROR(__xludf.DUMMYFUNCTION("""COMPUTED_VALUE"""),"Tempests Lightning Rod")</f>
        <v>Tempests Lightning Rod</v>
      </c>
      <c r="B413" s="49" t="str">
        <f>IFERROR(__xludf.DUMMYFUNCTION("""COMPUTED_VALUE"""),"Hand")</f>
        <v>Hand</v>
      </c>
      <c r="C413" s="49"/>
      <c r="D413" s="49" t="str">
        <f>IFERROR(__xludf.DUMMYFUNCTION("""COMPUTED_VALUE"""),"Spear")</f>
        <v>Spear</v>
      </c>
      <c r="E413" s="49">
        <f>IFERROR(__xludf.DUMMYFUNCTION("""COMPUTED_VALUE"""),600.0)</f>
        <v>600</v>
      </c>
      <c r="F413" s="112">
        <f>IFERROR(__xludf.DUMMYFUNCTION("""COMPUTED_VALUE"""),1.77E7)</f>
        <v>17700000</v>
      </c>
      <c r="G413" s="49" t="str">
        <f>IFERROR(__xludf.DUMMYFUNCTION("""COMPUTED_VALUE"""),"DMG")</f>
        <v>DMG</v>
      </c>
      <c r="H413" s="125">
        <f>IFERROR(__xludf.DUMMYFUNCTION("""COMPUTED_VALUE"""),10000.0)</f>
        <v>10000</v>
      </c>
      <c r="I413" s="49"/>
      <c r="J413" s="49"/>
      <c r="K413" s="125">
        <f>IFERROR(__xludf.DUMMYFUNCTION("""COMPUTED_VALUE"""),10000.0)</f>
        <v>10000</v>
      </c>
      <c r="L413" s="125">
        <f>IFERROR(__xludf.DUMMYFUNCTION("""COMPUTED_VALUE"""),10000.0)</f>
        <v>10000</v>
      </c>
      <c r="M413" s="49"/>
      <c r="N413" s="49"/>
      <c r="O413" s="49"/>
      <c r="P413" s="49"/>
      <c r="Q413" s="49"/>
      <c r="R413" s="49"/>
      <c r="S413" s="49"/>
      <c r="T413" s="49"/>
      <c r="U413" s="49"/>
      <c r="V413" s="49"/>
      <c r="W413" s="49"/>
      <c r="X413" s="49"/>
      <c r="Y413" s="49"/>
      <c r="Z413" s="49"/>
      <c r="AA413" s="49"/>
      <c r="AB413" s="49"/>
      <c r="AC413" s="49"/>
      <c r="AD413" s="49"/>
      <c r="AE413" s="49"/>
      <c r="AF413" s="49"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49" t="str">
        <f>IFERROR(__xludf.DUMMYFUNCTION("""COMPUTED_VALUE"""),"Dragonscale Island")</f>
        <v>Dragonscale Island</v>
      </c>
      <c r="AH413" s="49" t="b">
        <f>IFERROR(__xludf.DUMMYFUNCTION("""COMPUTED_VALUE"""),TRUE)</f>
        <v>1</v>
      </c>
    </row>
    <row r="414">
      <c r="A414" s="49" t="str">
        <f>IFERROR(__xludf.DUMMYFUNCTION("""COMPUTED_VALUE"""),"Sword of Mystic Vagility")</f>
        <v>Sword of Mystic Vagility</v>
      </c>
      <c r="B414" s="49" t="str">
        <f>IFERROR(__xludf.DUMMYFUNCTION("""COMPUTED_VALUE"""),"Hand")</f>
        <v>Hand</v>
      </c>
      <c r="C414" s="49"/>
      <c r="D414" s="49" t="str">
        <f>IFERROR(__xludf.DUMMYFUNCTION("""COMPUTED_VALUE"""),"Sword")</f>
        <v>Sword</v>
      </c>
      <c r="E414" s="49">
        <f>IFERROR(__xludf.DUMMYFUNCTION("""COMPUTED_VALUE"""),200.0)</f>
        <v>200</v>
      </c>
      <c r="F414" s="112">
        <f>IFERROR(__xludf.DUMMYFUNCTION("""COMPUTED_VALUE"""),1.99E8)</f>
        <v>199000000</v>
      </c>
      <c r="G414" s="49" t="str">
        <f>IFERROR(__xludf.DUMMYFUNCTION("""COMPUTED_VALUE"""),"DMG")</f>
        <v>DMG</v>
      </c>
      <c r="H414" s="125">
        <f>IFERROR(__xludf.DUMMYFUNCTION("""COMPUTED_VALUE"""),50000.0)</f>
        <v>50000</v>
      </c>
      <c r="I414" s="49"/>
      <c r="J414" s="49"/>
      <c r="K414" s="49"/>
      <c r="L414" s="49"/>
      <c r="M414" s="49"/>
      <c r="N414" s="49"/>
      <c r="O414" s="49"/>
      <c r="P414" s="49"/>
      <c r="Q414" s="49"/>
      <c r="R414" s="49"/>
      <c r="S414" s="49"/>
      <c r="T414" s="49"/>
      <c r="U414" s="49"/>
      <c r="V414" s="49"/>
      <c r="W414" s="49"/>
      <c r="X414" s="49"/>
      <c r="Y414" s="49"/>
      <c r="Z414" s="49"/>
      <c r="AA414" s="49"/>
      <c r="AB414" s="49"/>
      <c r="AC414" s="125">
        <f>IFERROR(__xludf.DUMMYFUNCTION("""COMPUTED_VALUE"""),50000.0)</f>
        <v>50000</v>
      </c>
      <c r="AD414" s="49"/>
      <c r="AE414" s="49"/>
      <c r="AF414" s="49" t="str">
        <f>IFERROR(__xludf.DUMMYFUNCTION("""COMPUTED_VALUE"""),"++5 to d20 rolls, ++2 Evasion, ++2 Mobility. +-Cannot be duplicated.")</f>
        <v>++5 to d20 rolls, ++2 Evasion, ++2 Mobility. +-Cannot be duplicated.</v>
      </c>
      <c r="AG414" s="49" t="str">
        <f>IFERROR(__xludf.DUMMYFUNCTION("""COMPUTED_VALUE"""),"Land of Spira")</f>
        <v>Land of Spira</v>
      </c>
      <c r="AH414" s="49" t="b">
        <f>IFERROR(__xludf.DUMMYFUNCTION("""COMPUTED_VALUE"""),FALSE)</f>
        <v>0</v>
      </c>
    </row>
    <row r="415">
      <c r="A415" s="49" t="str">
        <f>IFERROR(__xludf.DUMMYFUNCTION("""COMPUTED_VALUE"""),".50 Caliber Machine Gun (car)")</f>
        <v>.50 Caliber Machine Gun (car)</v>
      </c>
      <c r="B415" s="49" t="str">
        <f>IFERROR(__xludf.DUMMYFUNCTION("""COMPUTED_VALUE"""),"CarGun")</f>
        <v>CarGun</v>
      </c>
      <c r="C415" s="49"/>
      <c r="D415" s="49" t="str">
        <f>IFERROR(__xludf.DUMMYFUNCTION("""COMPUTED_VALUE"""),"Firearm")</f>
        <v>Firearm</v>
      </c>
      <c r="E415" s="49">
        <f>IFERROR(__xludf.DUMMYFUNCTION("""COMPUTED_VALUE"""),400.0)</f>
        <v>400</v>
      </c>
      <c r="F415" s="112">
        <f>IFERROR(__xludf.DUMMYFUNCTION("""COMPUTED_VALUE"""),7800000.0)</f>
        <v>7800000</v>
      </c>
      <c r="G415" s="49" t="str">
        <f>IFERROR(__xludf.DUMMYFUNCTION("""COMPUTED_VALUE"""),"DMG")</f>
        <v>DMG</v>
      </c>
      <c r="H415" s="125">
        <f>IFERROR(__xludf.DUMMYFUNCTION("""COMPUTED_VALUE"""),20000.0)</f>
        <v>20000</v>
      </c>
      <c r="I415" s="49"/>
      <c r="J415" s="49"/>
      <c r="K415" s="49"/>
      <c r="L415" s="49"/>
      <c r="M415" s="49"/>
      <c r="N415" s="49"/>
      <c r="O415" s="49"/>
      <c r="P415" s="49"/>
      <c r="Q415" s="49"/>
      <c r="R415" s="49"/>
      <c r="S415" s="49"/>
      <c r="T415" s="49"/>
      <c r="U415" s="49"/>
      <c r="V415" s="49"/>
      <c r="W415" s="49"/>
      <c r="X415" s="49"/>
      <c r="Y415" s="49"/>
      <c r="Z415" s="49"/>
      <c r="AA415" s="49"/>
      <c r="AB415" s="49"/>
      <c r="AC415" s="49"/>
      <c r="AD415" s="49"/>
      <c r="AE415" s="49"/>
      <c r="AF415" s="49"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49" t="str">
        <f>IFERROR(__xludf.DUMMYFUNCTION("""COMPUTED_VALUE"""),"Land of Spira")</f>
        <v>Land of Spira</v>
      </c>
      <c r="AH415" s="49" t="b">
        <f>IFERROR(__xludf.DUMMYFUNCTION("""COMPUTED_VALUE"""),FALSE)</f>
        <v>0</v>
      </c>
    </row>
    <row r="416">
      <c r="A416" s="49" t="str">
        <f>IFERROR(__xludf.DUMMYFUNCTION("""COMPUTED_VALUE"""),"Auto Turret")</f>
        <v>Auto Turret</v>
      </c>
      <c r="B416" s="49" t="str">
        <f>IFERROR(__xludf.DUMMYFUNCTION("""COMPUTED_VALUE"""),"CarGun")</f>
        <v>CarGun</v>
      </c>
      <c r="C416" s="49"/>
      <c r="D416" s="49" t="str">
        <f>IFERROR(__xludf.DUMMYFUNCTION("""COMPUTED_VALUE"""),"Firearm")</f>
        <v>Firearm</v>
      </c>
      <c r="E416" s="49">
        <f>IFERROR(__xludf.DUMMYFUNCTION("""COMPUTED_VALUE"""),800.0)</f>
        <v>800</v>
      </c>
      <c r="F416" s="112">
        <f>IFERROR(__xludf.DUMMYFUNCTION("""COMPUTED_VALUE"""),3.16E7)</f>
        <v>31600000</v>
      </c>
      <c r="G416" s="49" t="str">
        <f>IFERROR(__xludf.DUMMYFUNCTION("""COMPUTED_VALUE"""),"DMG")</f>
        <v>DMG</v>
      </c>
      <c r="H416" s="125">
        <f>IFERROR(__xludf.DUMMYFUNCTION("""COMPUTED_VALUE"""),40000.0)</f>
        <v>40000</v>
      </c>
      <c r="I416" s="49"/>
      <c r="J416" s="49"/>
      <c r="K416" s="49"/>
      <c r="L416" s="49"/>
      <c r="M416" s="49"/>
      <c r="N416" s="49"/>
      <c r="O416" s="49"/>
      <c r="P416" s="49"/>
      <c r="Q416" s="49"/>
      <c r="R416" s="49"/>
      <c r="S416" s="49"/>
      <c r="T416" s="49"/>
      <c r="U416" s="49"/>
      <c r="V416" s="49"/>
      <c r="W416" s="49"/>
      <c r="X416" s="49"/>
      <c r="Y416" s="49"/>
      <c r="Z416" s="49"/>
      <c r="AA416" s="49"/>
      <c r="AB416" s="49"/>
      <c r="AC416" s="49"/>
      <c r="AD416" s="49"/>
      <c r="AE416" s="49"/>
      <c r="AF416" s="49"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49" t="str">
        <f>IFERROR(__xludf.DUMMYFUNCTION("""COMPUTED_VALUE"""),"Land of Spira")</f>
        <v>Land of Spira</v>
      </c>
      <c r="AH416" s="49" t="b">
        <f>IFERROR(__xludf.DUMMYFUNCTION("""COMPUTED_VALUE"""),FALSE)</f>
        <v>0</v>
      </c>
    </row>
    <row r="417">
      <c r="A417" s="49" t="str">
        <f>IFERROR(__xludf.DUMMYFUNCTION("""COMPUTED_VALUE"""),"Lazer Infused Cannon")</f>
        <v>Lazer Infused Cannon</v>
      </c>
      <c r="B417" s="49" t="str">
        <f>IFERROR(__xludf.DUMMYFUNCTION("""COMPUTED_VALUE"""),"BoatGun")</f>
        <v>BoatGun</v>
      </c>
      <c r="C417" s="49"/>
      <c r="D417" s="49" t="str">
        <f>IFERROR(__xludf.DUMMYFUNCTION("""COMPUTED_VALUE"""),"Firearm")</f>
        <v>Firearm</v>
      </c>
      <c r="E417" s="49">
        <f>IFERROR(__xludf.DUMMYFUNCTION("""COMPUTED_VALUE"""),5000.0)</f>
        <v>5000</v>
      </c>
      <c r="F417" s="112">
        <f>IFERROR(__xludf.DUMMYFUNCTION("""COMPUTED_VALUE"""),1.2475E9)</f>
        <v>1247500000</v>
      </c>
      <c r="G417" s="49" t="str">
        <f>IFERROR(__xludf.DUMMYFUNCTION("""COMPUTED_VALUE"""),"DMG")</f>
        <v>DMG</v>
      </c>
      <c r="H417" s="49"/>
      <c r="I417" s="125">
        <f>IFERROR(__xludf.DUMMYFUNCTION("""COMPUTED_VALUE"""),250000.0)</f>
        <v>250000</v>
      </c>
      <c r="J417" s="49"/>
      <c r="K417" s="49"/>
      <c r="L417" s="49"/>
      <c r="M417" s="49"/>
      <c r="N417" s="49"/>
      <c r="O417" s="49"/>
      <c r="P417" s="49"/>
      <c r="Q417" s="49"/>
      <c r="R417" s="49"/>
      <c r="S417" s="49"/>
      <c r="T417" s="49"/>
      <c r="U417" s="49"/>
      <c r="V417" s="49"/>
      <c r="W417" s="49"/>
      <c r="X417" s="49"/>
      <c r="Y417" s="49"/>
      <c r="Z417" s="49"/>
      <c r="AA417" s="49"/>
      <c r="AB417" s="49"/>
      <c r="AC417" s="49"/>
      <c r="AD417" s="49"/>
      <c r="AE417" s="49"/>
      <c r="AF417" s="49" t="str">
        <f>IFERROR(__xludf.DUMMYFUNCTION("""COMPUTED_VALUE"""),"++Does not use Ammunition. ++Cannot avoid, ++Damages all enemies.")</f>
        <v>++Does not use Ammunition. ++Cannot avoid, ++Damages all enemies.</v>
      </c>
      <c r="AG417" s="49" t="str">
        <f>IFERROR(__xludf.DUMMYFUNCTION("""COMPUTED_VALUE"""),"Land of Spira")</f>
        <v>Land of Spira</v>
      </c>
      <c r="AH417" s="49" t="b">
        <f>IFERROR(__xludf.DUMMYFUNCTION("""COMPUTED_VALUE"""),FALSE)</f>
        <v>0</v>
      </c>
    </row>
    <row r="418">
      <c r="A418" s="49" t="str">
        <f>IFERROR(__xludf.DUMMYFUNCTION("""COMPUTED_VALUE"""),"Roof Mounted Turret")</f>
        <v>Roof Mounted Turret</v>
      </c>
      <c r="B418" s="49" t="str">
        <f>IFERROR(__xludf.DUMMYFUNCTION("""COMPUTED_VALUE"""),"CarGun")</f>
        <v>CarGun</v>
      </c>
      <c r="C418" s="49"/>
      <c r="D418" s="49" t="str">
        <f>IFERROR(__xludf.DUMMYFUNCTION("""COMPUTED_VALUE"""),"Firearm")</f>
        <v>Firearm</v>
      </c>
      <c r="E418" s="49">
        <f>IFERROR(__xludf.DUMMYFUNCTION("""COMPUTED_VALUE"""),500.0)</f>
        <v>500</v>
      </c>
      <c r="F418" s="112">
        <f>IFERROR(__xludf.DUMMYFUNCTION("""COMPUTED_VALUE"""),1.225E7)</f>
        <v>12250000</v>
      </c>
      <c r="G418" s="49" t="str">
        <f>IFERROR(__xludf.DUMMYFUNCTION("""COMPUTED_VALUE"""),"DMG")</f>
        <v>DMG</v>
      </c>
      <c r="H418" s="125">
        <f>IFERROR(__xludf.DUMMYFUNCTION("""COMPUTED_VALUE"""),25000.0)</f>
        <v>25000</v>
      </c>
      <c r="I418" s="49"/>
      <c r="J418" s="49"/>
      <c r="K418" s="49"/>
      <c r="L418" s="49"/>
      <c r="M418" s="49"/>
      <c r="N418" s="49"/>
      <c r="O418" s="49"/>
      <c r="P418" s="49"/>
      <c r="Q418" s="49"/>
      <c r="R418" s="49"/>
      <c r="S418" s="49"/>
      <c r="T418" s="49"/>
      <c r="U418" s="49"/>
      <c r="V418" s="49"/>
      <c r="W418" s="49"/>
      <c r="X418" s="49"/>
      <c r="Y418" s="49"/>
      <c r="Z418" s="49"/>
      <c r="AA418" s="49"/>
      <c r="AB418" s="49"/>
      <c r="AC418" s="49"/>
      <c r="AD418" s="49"/>
      <c r="AE418" s="49"/>
      <c r="AF418" s="49"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49" t="str">
        <f>IFERROR(__xludf.DUMMYFUNCTION("""COMPUTED_VALUE"""),"Land of Spira")</f>
        <v>Land of Spira</v>
      </c>
      <c r="AH418" s="49" t="b">
        <f>IFERROR(__xludf.DUMMYFUNCTION("""COMPUTED_VALUE"""),FALSE)</f>
        <v>0</v>
      </c>
    </row>
    <row r="419">
      <c r="A419" s="49" t="str">
        <f>IFERROR(__xludf.DUMMYFUNCTION("""COMPUTED_VALUE"""),".50 Caliber Machine Gun (boat)")</f>
        <v>.50 Caliber Machine Gun (boat)</v>
      </c>
      <c r="B419" s="49" t="str">
        <f>IFERROR(__xludf.DUMMYFUNCTION("""COMPUTED_VALUE"""),"BoatGun")</f>
        <v>BoatGun</v>
      </c>
      <c r="C419" s="49"/>
      <c r="D419" s="49" t="str">
        <f>IFERROR(__xludf.DUMMYFUNCTION("""COMPUTED_VALUE"""),"Firearm")</f>
        <v>Firearm</v>
      </c>
      <c r="E419" s="49">
        <f>IFERROR(__xludf.DUMMYFUNCTION("""COMPUTED_VALUE"""),500.0)</f>
        <v>500</v>
      </c>
      <c r="F419" s="112">
        <f>IFERROR(__xludf.DUMMYFUNCTION("""COMPUTED_VALUE"""),1.225E7)</f>
        <v>12250000</v>
      </c>
      <c r="G419" s="49" t="str">
        <f>IFERROR(__xludf.DUMMYFUNCTION("""COMPUTED_VALUE"""),"DMG")</f>
        <v>DMG</v>
      </c>
      <c r="H419" s="125">
        <f>IFERROR(__xludf.DUMMYFUNCTION("""COMPUTED_VALUE"""),25000.0)</f>
        <v>25000</v>
      </c>
      <c r="I419" s="49"/>
      <c r="J419" s="49"/>
      <c r="K419" s="49"/>
      <c r="L419" s="49"/>
      <c r="M419" s="49"/>
      <c r="N419" s="49"/>
      <c r="O419" s="49"/>
      <c r="P419" s="49"/>
      <c r="Q419" s="49"/>
      <c r="R419" s="49"/>
      <c r="S419" s="49"/>
      <c r="T419" s="49"/>
      <c r="U419" s="49"/>
      <c r="V419" s="49"/>
      <c r="W419" s="49"/>
      <c r="X419" s="49"/>
      <c r="Y419" s="49"/>
      <c r="Z419" s="49"/>
      <c r="AA419" s="49"/>
      <c r="AB419" s="49"/>
      <c r="AC419" s="49"/>
      <c r="AD419" s="49"/>
      <c r="AE419" s="49"/>
      <c r="AF419" s="49" t="str">
        <f>IFERROR(__xludf.DUMMYFUNCTION("""COMPUTED_VALUE"""),"++Roll a d500 to see how many bullets are used when you attack with this weapon. +-Uses bullets")</f>
        <v>++Roll a d500 to see how many bullets are used when you attack with this weapon. +-Uses bullets</v>
      </c>
      <c r="AG419" s="49" t="str">
        <f>IFERROR(__xludf.DUMMYFUNCTION("""COMPUTED_VALUE"""),"Land of Spira")</f>
        <v>Land of Spira</v>
      </c>
      <c r="AH419" s="49" t="b">
        <f>IFERROR(__xludf.DUMMYFUNCTION("""COMPUTED_VALUE"""),FALSE)</f>
        <v>0</v>
      </c>
    </row>
    <row r="420">
      <c r="A420" s="49" t="str">
        <f>IFERROR(__xludf.DUMMYFUNCTION("""COMPUTED_VALUE"""),"Missile Turret (car)")</f>
        <v>Missile Turret (car)</v>
      </c>
      <c r="B420" s="49" t="str">
        <f>IFERROR(__xludf.DUMMYFUNCTION("""COMPUTED_VALUE"""),"CarGun")</f>
        <v>CarGun</v>
      </c>
      <c r="C420" s="49"/>
      <c r="D420" s="49" t="str">
        <f>IFERROR(__xludf.DUMMYFUNCTION("""COMPUTED_VALUE"""),"Firearm")</f>
        <v>Firearm</v>
      </c>
      <c r="E420" s="49">
        <f>IFERROR(__xludf.DUMMYFUNCTION("""COMPUTED_VALUE"""),2000.0)</f>
        <v>2000</v>
      </c>
      <c r="F420" s="112">
        <f>IFERROR(__xludf.DUMMYFUNCTION("""COMPUTED_VALUE"""),1.99E8)</f>
        <v>199000000</v>
      </c>
      <c r="G420" s="49" t="str">
        <f>IFERROR(__xludf.DUMMYFUNCTION("""COMPUTED_VALUE"""),"DMG")</f>
        <v>DMG</v>
      </c>
      <c r="H420" s="125">
        <f>IFERROR(__xludf.DUMMYFUNCTION("""COMPUTED_VALUE"""),50000.0)</f>
        <v>50000</v>
      </c>
      <c r="I420" s="125">
        <f>IFERROR(__xludf.DUMMYFUNCTION("""COMPUTED_VALUE"""),50000.0)</f>
        <v>50000</v>
      </c>
      <c r="J420" s="49"/>
      <c r="K420" s="49"/>
      <c r="L420" s="49"/>
      <c r="M420" s="49"/>
      <c r="N420" s="49"/>
      <c r="O420" s="49"/>
      <c r="P420" s="49"/>
      <c r="Q420" s="49"/>
      <c r="R420" s="49"/>
      <c r="S420" s="49"/>
      <c r="T420" s="49"/>
      <c r="U420" s="49"/>
      <c r="V420" s="49"/>
      <c r="W420" s="49"/>
      <c r="X420" s="49"/>
      <c r="Y420" s="49"/>
      <c r="Z420" s="49"/>
      <c r="AA420" s="49"/>
      <c r="AB420" s="49"/>
      <c r="AC420" s="49"/>
      <c r="AD420" s="49"/>
      <c r="AE420" s="49"/>
      <c r="AF420" s="49" t="str">
        <f>IFERROR(__xludf.DUMMYFUNCTION("""COMPUTED_VALUE"""),"++Damages all enemies. +-Uses Missiles.")</f>
        <v>++Damages all enemies. +-Uses Missiles.</v>
      </c>
      <c r="AG420" s="49" t="str">
        <f>IFERROR(__xludf.DUMMYFUNCTION("""COMPUTED_VALUE"""),"Land of Spira")</f>
        <v>Land of Spira</v>
      </c>
      <c r="AH420" s="49" t="b">
        <f>IFERROR(__xludf.DUMMYFUNCTION("""COMPUTED_VALUE"""),FALSE)</f>
        <v>0</v>
      </c>
    </row>
    <row r="421">
      <c r="A421" s="49" t="str">
        <f>IFERROR(__xludf.DUMMYFUNCTION("""COMPUTED_VALUE"""),"Missile Turret (boat)")</f>
        <v>Missile Turret (boat)</v>
      </c>
      <c r="B421" s="49" t="str">
        <f>IFERROR(__xludf.DUMMYFUNCTION("""COMPUTED_VALUE"""),"BoatGun")</f>
        <v>BoatGun</v>
      </c>
      <c r="C421" s="49"/>
      <c r="D421" s="49" t="str">
        <f>IFERROR(__xludf.DUMMYFUNCTION("""COMPUTED_VALUE"""),"Firearm")</f>
        <v>Firearm</v>
      </c>
      <c r="E421" s="49">
        <f>IFERROR(__xludf.DUMMYFUNCTION("""COMPUTED_VALUE"""),2000.0)</f>
        <v>2000</v>
      </c>
      <c r="F421" s="112">
        <f>IFERROR(__xludf.DUMMYFUNCTION("""COMPUTED_VALUE"""),1.99E8)</f>
        <v>199000000</v>
      </c>
      <c r="G421" s="49" t="str">
        <f>IFERROR(__xludf.DUMMYFUNCTION("""COMPUTED_VALUE"""),"DMG")</f>
        <v>DMG</v>
      </c>
      <c r="H421" s="125">
        <f>IFERROR(__xludf.DUMMYFUNCTION("""COMPUTED_VALUE"""),50000.0)</f>
        <v>50000</v>
      </c>
      <c r="I421" s="125">
        <f>IFERROR(__xludf.DUMMYFUNCTION("""COMPUTED_VALUE"""),50000.0)</f>
        <v>50000</v>
      </c>
      <c r="J421" s="49"/>
      <c r="K421" s="49"/>
      <c r="L421" s="49"/>
      <c r="M421" s="49"/>
      <c r="N421" s="49"/>
      <c r="O421" s="49"/>
      <c r="P421" s="49"/>
      <c r="Q421" s="49"/>
      <c r="R421" s="49"/>
      <c r="S421" s="49"/>
      <c r="T421" s="49"/>
      <c r="U421" s="49"/>
      <c r="V421" s="49"/>
      <c r="W421" s="49"/>
      <c r="X421" s="49"/>
      <c r="Y421" s="49"/>
      <c r="Z421" s="49"/>
      <c r="AA421" s="49"/>
      <c r="AB421" s="49"/>
      <c r="AC421" s="49"/>
      <c r="AD421" s="49"/>
      <c r="AE421" s="49"/>
      <c r="AF421" s="49" t="str">
        <f>IFERROR(__xludf.DUMMYFUNCTION("""COMPUTED_VALUE"""),"++Damages all enemies. +-Uses Missiles.")</f>
        <v>++Damages all enemies. +-Uses Missiles.</v>
      </c>
      <c r="AG421" s="49" t="str">
        <f>IFERROR(__xludf.DUMMYFUNCTION("""COMPUTED_VALUE"""),"Land of Spira")</f>
        <v>Land of Spira</v>
      </c>
      <c r="AH421" s="49" t="b">
        <f>IFERROR(__xludf.DUMMYFUNCTION("""COMPUTED_VALUE"""),FALSE)</f>
        <v>0</v>
      </c>
    </row>
    <row r="422">
      <c r="A422" s="49" t="str">
        <f>IFERROR(__xludf.DUMMYFUNCTION("""COMPUTED_VALUE"""),"Royal Sword of Dragonia")</f>
        <v>Royal Sword of Dragonia</v>
      </c>
      <c r="B422" s="49" t="str">
        <f>IFERROR(__xludf.DUMMYFUNCTION("""COMPUTED_VALUE"""),"Hand")</f>
        <v>Hand</v>
      </c>
      <c r="C422" s="49"/>
      <c r="D422" s="49" t="str">
        <f>IFERROR(__xludf.DUMMYFUNCTION("""COMPUTED_VALUE"""),"Sword")</f>
        <v>Sword</v>
      </c>
      <c r="E422" s="49">
        <f>IFERROR(__xludf.DUMMYFUNCTION("""COMPUTED_VALUE"""),200.0)</f>
        <v>200</v>
      </c>
      <c r="F422" s="112">
        <f>IFERROR(__xludf.DUMMYFUNCTION("""COMPUTED_VALUE"""),7.98E8)</f>
        <v>798000000</v>
      </c>
      <c r="G422" s="49" t="str">
        <f>IFERROR(__xludf.DUMMYFUNCTION("""COMPUTED_VALUE"""),"DMG")</f>
        <v>DMG</v>
      </c>
      <c r="H422" s="125">
        <f>IFERROR(__xludf.DUMMYFUNCTION("""COMPUTED_VALUE"""),50000.0)</f>
        <v>50000</v>
      </c>
      <c r="I422" s="125">
        <f>IFERROR(__xludf.DUMMYFUNCTION("""COMPUTED_VALUE"""),50000.0)</f>
        <v>50000</v>
      </c>
      <c r="J422" s="49"/>
      <c r="K422" s="49"/>
      <c r="L422" s="49"/>
      <c r="M422" s="49"/>
      <c r="N422" s="49"/>
      <c r="O422" s="49"/>
      <c r="P422" s="49"/>
      <c r="Q422" s="125">
        <f>IFERROR(__xludf.DUMMYFUNCTION("""COMPUTED_VALUE"""),50000.0)</f>
        <v>50000</v>
      </c>
      <c r="R422" s="49"/>
      <c r="S422" s="49"/>
      <c r="T422" s="49"/>
      <c r="U422" s="49"/>
      <c r="V422" s="49"/>
      <c r="W422" s="49"/>
      <c r="X422" s="49"/>
      <c r="Y422" s="125">
        <f>IFERROR(__xludf.DUMMYFUNCTION("""COMPUTED_VALUE"""),25000.0)</f>
        <v>25000</v>
      </c>
      <c r="Z422" s="49"/>
      <c r="AA422" s="49"/>
      <c r="AB422" s="49"/>
      <c r="AC422" s="125">
        <f>IFERROR(__xludf.DUMMYFUNCTION("""COMPUTED_VALUE"""),25000.0)</f>
        <v>25000</v>
      </c>
      <c r="AD422" s="49"/>
      <c r="AE422" s="49"/>
      <c r="AF422" s="49"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49" t="str">
        <f>IFERROR(__xludf.DUMMYFUNCTION("""COMPUTED_VALUE"""),"Dragonscale Island")</f>
        <v>Dragonscale Island</v>
      </c>
      <c r="AH422" s="49" t="b">
        <f>IFERROR(__xludf.DUMMYFUNCTION("""COMPUTED_VALUE"""),FALSE)</f>
        <v>0</v>
      </c>
    </row>
    <row r="423">
      <c r="A423" s="49" t="str">
        <f>IFERROR(__xludf.DUMMYFUNCTION("""COMPUTED_VALUE"""),"Dragonian Helm")</f>
        <v>Dragonian Helm</v>
      </c>
      <c r="B423" s="49" t="str">
        <f>IFERROR(__xludf.DUMMYFUNCTION("""COMPUTED_VALUE"""),"Head")</f>
        <v>Head</v>
      </c>
      <c r="C423" s="49"/>
      <c r="D423" s="49" t="str">
        <f>IFERROR(__xludf.DUMMYFUNCTION("""COMPUTED_VALUE"""),"Sword")</f>
        <v>Sword</v>
      </c>
      <c r="E423" s="49">
        <f>IFERROR(__xludf.DUMMYFUNCTION("""COMPUTED_VALUE"""),200.0)</f>
        <v>200</v>
      </c>
      <c r="F423" s="112">
        <f>IFERROR(__xludf.DUMMYFUNCTION("""COMPUTED_VALUE"""),7.98E8)</f>
        <v>798000000</v>
      </c>
      <c r="G423" s="49" t="str">
        <f>IFERROR(__xludf.DUMMYFUNCTION("""COMPUTED_VALUE"""),"DEF")</f>
        <v>DEF</v>
      </c>
      <c r="H423" s="125">
        <f>IFERROR(__xludf.DUMMYFUNCTION("""COMPUTED_VALUE"""),50000.0)</f>
        <v>50000</v>
      </c>
      <c r="I423" s="125">
        <f>IFERROR(__xludf.DUMMYFUNCTION("""COMPUTED_VALUE"""),50000.0)</f>
        <v>50000</v>
      </c>
      <c r="J423" s="49"/>
      <c r="K423" s="49"/>
      <c r="L423" s="49"/>
      <c r="M423" s="49"/>
      <c r="N423" s="49"/>
      <c r="O423" s="49"/>
      <c r="P423" s="49"/>
      <c r="Q423" s="125">
        <f>IFERROR(__xludf.DUMMYFUNCTION("""COMPUTED_VALUE"""),50000.0)</f>
        <v>50000</v>
      </c>
      <c r="R423" s="49"/>
      <c r="S423" s="49"/>
      <c r="T423" s="49"/>
      <c r="U423" s="49"/>
      <c r="V423" s="49"/>
      <c r="W423" s="49"/>
      <c r="X423" s="49"/>
      <c r="Y423" s="125">
        <f>IFERROR(__xludf.DUMMYFUNCTION("""COMPUTED_VALUE"""),25000.0)</f>
        <v>25000</v>
      </c>
      <c r="Z423" s="49"/>
      <c r="AA423" s="49"/>
      <c r="AB423" s="49"/>
      <c r="AC423" s="125">
        <f>IFERROR(__xludf.DUMMYFUNCTION("""COMPUTED_VALUE"""),25000.0)</f>
        <v>25000</v>
      </c>
      <c r="AD423" s="49"/>
      <c r="AE423" s="49"/>
      <c r="AF423" s="49" t="str">
        <f>IFERROR(__xludf.DUMMYFUNCTION("""COMPUTED_VALUE"""),"++Dragons Armor: Damage dealt to the wearer by a dragon becomes halved. +-Cannot be forged +-Cannot be duplicated")</f>
        <v>++Dragons Armor: Damage dealt to the wearer by a dragon becomes halved. +-Cannot be forged +-Cannot be duplicated</v>
      </c>
      <c r="AG423" s="49" t="str">
        <f>IFERROR(__xludf.DUMMYFUNCTION("""COMPUTED_VALUE"""),"Dragonscale Island")</f>
        <v>Dragonscale Island</v>
      </c>
      <c r="AH423" s="49" t="b">
        <f>IFERROR(__xludf.DUMMYFUNCTION("""COMPUTED_VALUE"""),FALSE)</f>
        <v>0</v>
      </c>
    </row>
    <row r="424">
      <c r="A424" s="49" t="str">
        <f>IFERROR(__xludf.DUMMYFUNCTION("""COMPUTED_VALUE"""),"Dragonian Pauldrons")</f>
        <v>Dragonian Pauldrons</v>
      </c>
      <c r="B424" s="49" t="str">
        <f>IFERROR(__xludf.DUMMYFUNCTION("""COMPUTED_VALUE"""),"Shoulders")</f>
        <v>Shoulders</v>
      </c>
      <c r="C424" s="49"/>
      <c r="D424" s="49"/>
      <c r="E424" s="49">
        <f>IFERROR(__xludf.DUMMYFUNCTION("""COMPUTED_VALUE"""),200.0)</f>
        <v>200</v>
      </c>
      <c r="F424" s="112">
        <f>IFERROR(__xludf.DUMMYFUNCTION("""COMPUTED_VALUE"""),7.98E8)</f>
        <v>798000000</v>
      </c>
      <c r="G424" s="49" t="str">
        <f>IFERROR(__xludf.DUMMYFUNCTION("""COMPUTED_VALUE"""),"DEF")</f>
        <v>DEF</v>
      </c>
      <c r="H424" s="125">
        <f>IFERROR(__xludf.DUMMYFUNCTION("""COMPUTED_VALUE"""),50000.0)</f>
        <v>50000</v>
      </c>
      <c r="I424" s="125">
        <f>IFERROR(__xludf.DUMMYFUNCTION("""COMPUTED_VALUE"""),50000.0)</f>
        <v>50000</v>
      </c>
      <c r="J424" s="49"/>
      <c r="K424" s="49"/>
      <c r="L424" s="49"/>
      <c r="M424" s="49"/>
      <c r="N424" s="49"/>
      <c r="O424" s="49"/>
      <c r="P424" s="49"/>
      <c r="Q424" s="125">
        <f>IFERROR(__xludf.DUMMYFUNCTION("""COMPUTED_VALUE"""),50000.0)</f>
        <v>50000</v>
      </c>
      <c r="R424" s="49"/>
      <c r="S424" s="49"/>
      <c r="T424" s="49"/>
      <c r="U424" s="49"/>
      <c r="V424" s="49"/>
      <c r="W424" s="49"/>
      <c r="X424" s="49"/>
      <c r="Y424" s="125">
        <f>IFERROR(__xludf.DUMMYFUNCTION("""COMPUTED_VALUE"""),25000.0)</f>
        <v>25000</v>
      </c>
      <c r="Z424" s="49"/>
      <c r="AA424" s="49"/>
      <c r="AB424" s="49"/>
      <c r="AC424" s="125">
        <f>IFERROR(__xludf.DUMMYFUNCTION("""COMPUTED_VALUE"""),25000.0)</f>
        <v>25000</v>
      </c>
      <c r="AD424" s="49"/>
      <c r="AE424" s="49"/>
      <c r="AF424" s="49" t="str">
        <f>IFERROR(__xludf.DUMMYFUNCTION("""COMPUTED_VALUE"""),"++Dragons Armor: Damage dealt to the wearer by a dragon becomes halved. +-Cannot be forged +-Cannot be duplicated")</f>
        <v>++Dragons Armor: Damage dealt to the wearer by a dragon becomes halved. +-Cannot be forged +-Cannot be duplicated</v>
      </c>
      <c r="AG424" s="49" t="str">
        <f>IFERROR(__xludf.DUMMYFUNCTION("""COMPUTED_VALUE"""),"Dragonscale Island")</f>
        <v>Dragonscale Island</v>
      </c>
      <c r="AH424" s="49" t="b">
        <f>IFERROR(__xludf.DUMMYFUNCTION("""COMPUTED_VALUE"""),FALSE)</f>
        <v>0</v>
      </c>
    </row>
    <row r="425">
      <c r="A425" s="49" t="str">
        <f>IFERROR(__xludf.DUMMYFUNCTION("""COMPUTED_VALUE"""),"Dragonian Chestplate")</f>
        <v>Dragonian Chestplate</v>
      </c>
      <c r="B425" s="49" t="str">
        <f>IFERROR(__xludf.DUMMYFUNCTION("""COMPUTED_VALUE"""),"Torso")</f>
        <v>Torso</v>
      </c>
      <c r="C425" s="49"/>
      <c r="D425" s="49"/>
      <c r="E425" s="49">
        <f>IFERROR(__xludf.DUMMYFUNCTION("""COMPUTED_VALUE"""),200.0)</f>
        <v>200</v>
      </c>
      <c r="F425" s="112">
        <f>IFERROR(__xludf.DUMMYFUNCTION("""COMPUTED_VALUE"""),7.98E8)</f>
        <v>798000000</v>
      </c>
      <c r="G425" s="49" t="str">
        <f>IFERROR(__xludf.DUMMYFUNCTION("""COMPUTED_VALUE"""),"DEF")</f>
        <v>DEF</v>
      </c>
      <c r="H425" s="125">
        <f>IFERROR(__xludf.DUMMYFUNCTION("""COMPUTED_VALUE"""),50000.0)</f>
        <v>50000</v>
      </c>
      <c r="I425" s="125">
        <f>IFERROR(__xludf.DUMMYFUNCTION("""COMPUTED_VALUE"""),50000.0)</f>
        <v>50000</v>
      </c>
      <c r="J425" s="49"/>
      <c r="K425" s="49"/>
      <c r="L425" s="49"/>
      <c r="M425" s="49"/>
      <c r="N425" s="49"/>
      <c r="O425" s="49"/>
      <c r="P425" s="49"/>
      <c r="Q425" s="125">
        <f>IFERROR(__xludf.DUMMYFUNCTION("""COMPUTED_VALUE"""),50000.0)</f>
        <v>50000</v>
      </c>
      <c r="R425" s="49"/>
      <c r="S425" s="49"/>
      <c r="T425" s="49"/>
      <c r="U425" s="49"/>
      <c r="V425" s="49"/>
      <c r="W425" s="49"/>
      <c r="X425" s="49"/>
      <c r="Y425" s="125">
        <f>IFERROR(__xludf.DUMMYFUNCTION("""COMPUTED_VALUE"""),25000.0)</f>
        <v>25000</v>
      </c>
      <c r="Z425" s="49"/>
      <c r="AA425" s="49"/>
      <c r="AB425" s="49"/>
      <c r="AC425" s="125">
        <f>IFERROR(__xludf.DUMMYFUNCTION("""COMPUTED_VALUE"""),25000.0)</f>
        <v>25000</v>
      </c>
      <c r="AD425" s="49"/>
      <c r="AE425" s="49"/>
      <c r="AF425" s="49" t="str">
        <f>IFERROR(__xludf.DUMMYFUNCTION("""COMPUTED_VALUE"""),"++Dragons Armor: Damage dealt to the wearer by a dragon becomes halved. +-Cannot be forged +-Cannot be duplicated")</f>
        <v>++Dragons Armor: Damage dealt to the wearer by a dragon becomes halved. +-Cannot be forged +-Cannot be duplicated</v>
      </c>
      <c r="AG425" s="49" t="str">
        <f>IFERROR(__xludf.DUMMYFUNCTION("""COMPUTED_VALUE"""),"Dragonscale Island")</f>
        <v>Dragonscale Island</v>
      </c>
      <c r="AH425" s="49" t="b">
        <f>IFERROR(__xludf.DUMMYFUNCTION("""COMPUTED_VALUE"""),FALSE)</f>
        <v>0</v>
      </c>
    </row>
    <row r="426">
      <c r="A426" s="49" t="str">
        <f>IFERROR(__xludf.DUMMYFUNCTION("""COMPUTED_VALUE"""),"Dragonian Vambraces")</f>
        <v>Dragonian Vambraces</v>
      </c>
      <c r="B426" s="49" t="str">
        <f>IFERROR(__xludf.DUMMYFUNCTION("""COMPUTED_VALUE"""),"Arms")</f>
        <v>Arms</v>
      </c>
      <c r="C426" s="49"/>
      <c r="D426" s="49"/>
      <c r="E426" s="49">
        <f>IFERROR(__xludf.DUMMYFUNCTION("""COMPUTED_VALUE"""),200.0)</f>
        <v>200</v>
      </c>
      <c r="F426" s="112">
        <f>IFERROR(__xludf.DUMMYFUNCTION("""COMPUTED_VALUE"""),7.98E8)</f>
        <v>798000000</v>
      </c>
      <c r="G426" s="49" t="str">
        <f>IFERROR(__xludf.DUMMYFUNCTION("""COMPUTED_VALUE"""),"DEF")</f>
        <v>DEF</v>
      </c>
      <c r="H426" s="125">
        <f>IFERROR(__xludf.DUMMYFUNCTION("""COMPUTED_VALUE"""),50000.0)</f>
        <v>50000</v>
      </c>
      <c r="I426" s="125">
        <f>IFERROR(__xludf.DUMMYFUNCTION("""COMPUTED_VALUE"""),50000.0)</f>
        <v>50000</v>
      </c>
      <c r="J426" s="49"/>
      <c r="K426" s="49"/>
      <c r="L426" s="49"/>
      <c r="M426" s="49"/>
      <c r="N426" s="49"/>
      <c r="O426" s="49"/>
      <c r="P426" s="49"/>
      <c r="Q426" s="125">
        <f>IFERROR(__xludf.DUMMYFUNCTION("""COMPUTED_VALUE"""),50000.0)</f>
        <v>50000</v>
      </c>
      <c r="R426" s="49"/>
      <c r="S426" s="49"/>
      <c r="T426" s="49"/>
      <c r="U426" s="49"/>
      <c r="V426" s="49"/>
      <c r="W426" s="49"/>
      <c r="X426" s="49"/>
      <c r="Y426" s="125">
        <f>IFERROR(__xludf.DUMMYFUNCTION("""COMPUTED_VALUE"""),25000.0)</f>
        <v>25000</v>
      </c>
      <c r="Z426" s="49"/>
      <c r="AA426" s="49"/>
      <c r="AB426" s="49"/>
      <c r="AC426" s="125">
        <f>IFERROR(__xludf.DUMMYFUNCTION("""COMPUTED_VALUE"""),25000.0)</f>
        <v>25000</v>
      </c>
      <c r="AD426" s="49"/>
      <c r="AE426" s="49"/>
      <c r="AF426" s="49" t="str">
        <f>IFERROR(__xludf.DUMMYFUNCTION("""COMPUTED_VALUE"""),"++Dragons Armor: Damage dealt to the wearer by a dragon becomes halved. +-Cannot be forged +-Cannot be duplicated")</f>
        <v>++Dragons Armor: Damage dealt to the wearer by a dragon becomes halved. +-Cannot be forged +-Cannot be duplicated</v>
      </c>
      <c r="AG426" s="49" t="str">
        <f>IFERROR(__xludf.DUMMYFUNCTION("""COMPUTED_VALUE"""),"Dragonscale Island")</f>
        <v>Dragonscale Island</v>
      </c>
      <c r="AH426" s="49" t="b">
        <f>IFERROR(__xludf.DUMMYFUNCTION("""COMPUTED_VALUE"""),FALSE)</f>
        <v>0</v>
      </c>
    </row>
    <row r="427">
      <c r="A427" s="49" t="str">
        <f>IFERROR(__xludf.DUMMYFUNCTION("""COMPUTED_VALUE"""),"Dragonian Greaves")</f>
        <v>Dragonian Greaves</v>
      </c>
      <c r="B427" s="49" t="str">
        <f>IFERROR(__xludf.DUMMYFUNCTION("""COMPUTED_VALUE"""),"Legs")</f>
        <v>Legs</v>
      </c>
      <c r="C427" s="49"/>
      <c r="D427" s="49"/>
      <c r="E427" s="49">
        <f>IFERROR(__xludf.DUMMYFUNCTION("""COMPUTED_VALUE"""),200.0)</f>
        <v>200</v>
      </c>
      <c r="F427" s="112">
        <f>IFERROR(__xludf.DUMMYFUNCTION("""COMPUTED_VALUE"""),7.98E8)</f>
        <v>798000000</v>
      </c>
      <c r="G427" s="49" t="str">
        <f>IFERROR(__xludf.DUMMYFUNCTION("""COMPUTED_VALUE"""),"DEF")</f>
        <v>DEF</v>
      </c>
      <c r="H427" s="125">
        <f>IFERROR(__xludf.DUMMYFUNCTION("""COMPUTED_VALUE"""),50000.0)</f>
        <v>50000</v>
      </c>
      <c r="I427" s="125">
        <f>IFERROR(__xludf.DUMMYFUNCTION("""COMPUTED_VALUE"""),50000.0)</f>
        <v>50000</v>
      </c>
      <c r="J427" s="49"/>
      <c r="K427" s="49"/>
      <c r="L427" s="49"/>
      <c r="M427" s="49"/>
      <c r="N427" s="49"/>
      <c r="O427" s="49"/>
      <c r="P427" s="49"/>
      <c r="Q427" s="125">
        <f>IFERROR(__xludf.DUMMYFUNCTION("""COMPUTED_VALUE"""),50000.0)</f>
        <v>50000</v>
      </c>
      <c r="R427" s="49"/>
      <c r="S427" s="49"/>
      <c r="T427" s="49"/>
      <c r="U427" s="49"/>
      <c r="V427" s="49"/>
      <c r="W427" s="49"/>
      <c r="X427" s="49"/>
      <c r="Y427" s="125">
        <f>IFERROR(__xludf.DUMMYFUNCTION("""COMPUTED_VALUE"""),25000.0)</f>
        <v>25000</v>
      </c>
      <c r="Z427" s="49"/>
      <c r="AA427" s="49"/>
      <c r="AB427" s="49"/>
      <c r="AC427" s="125">
        <f>IFERROR(__xludf.DUMMYFUNCTION("""COMPUTED_VALUE"""),25000.0)</f>
        <v>25000</v>
      </c>
      <c r="AD427" s="49"/>
      <c r="AE427" s="49"/>
      <c r="AF427" s="49" t="str">
        <f>IFERROR(__xludf.DUMMYFUNCTION("""COMPUTED_VALUE"""),"++Dragons Armor: Damage dealt to the wearer by a dragon becomes halved. +-Cannot be forged +-Cannot be duplicated")</f>
        <v>++Dragons Armor: Damage dealt to the wearer by a dragon becomes halved. +-Cannot be forged +-Cannot be duplicated</v>
      </c>
      <c r="AG427" s="49" t="str">
        <f>IFERROR(__xludf.DUMMYFUNCTION("""COMPUTED_VALUE"""),"Dragonscale Island")</f>
        <v>Dragonscale Island</v>
      </c>
      <c r="AH427" s="49" t="b">
        <f>IFERROR(__xludf.DUMMYFUNCTION("""COMPUTED_VALUE"""),FALSE)</f>
        <v>0</v>
      </c>
    </row>
    <row r="428">
      <c r="A428" s="49" t="str">
        <f>IFERROR(__xludf.DUMMYFUNCTION("""COMPUTED_VALUE"""),"Dragonian Boots")</f>
        <v>Dragonian Boots</v>
      </c>
      <c r="B428" s="49" t="str">
        <f>IFERROR(__xludf.DUMMYFUNCTION("""COMPUTED_VALUE"""),"Feet")</f>
        <v>Feet</v>
      </c>
      <c r="C428" s="49"/>
      <c r="D428" s="49"/>
      <c r="E428" s="49">
        <f>IFERROR(__xludf.DUMMYFUNCTION("""COMPUTED_VALUE"""),200.0)</f>
        <v>200</v>
      </c>
      <c r="F428" s="112">
        <f>IFERROR(__xludf.DUMMYFUNCTION("""COMPUTED_VALUE"""),7.98E8)</f>
        <v>798000000</v>
      </c>
      <c r="G428" s="49" t="str">
        <f>IFERROR(__xludf.DUMMYFUNCTION("""COMPUTED_VALUE"""),"DEF")</f>
        <v>DEF</v>
      </c>
      <c r="H428" s="125">
        <f>IFERROR(__xludf.DUMMYFUNCTION("""COMPUTED_VALUE"""),50000.0)</f>
        <v>50000</v>
      </c>
      <c r="I428" s="125">
        <f>IFERROR(__xludf.DUMMYFUNCTION("""COMPUTED_VALUE"""),50000.0)</f>
        <v>50000</v>
      </c>
      <c r="J428" s="49"/>
      <c r="K428" s="49"/>
      <c r="L428" s="49"/>
      <c r="M428" s="49"/>
      <c r="N428" s="49"/>
      <c r="O428" s="49"/>
      <c r="P428" s="49"/>
      <c r="Q428" s="125">
        <f>IFERROR(__xludf.DUMMYFUNCTION("""COMPUTED_VALUE"""),50000.0)</f>
        <v>50000</v>
      </c>
      <c r="R428" s="49"/>
      <c r="S428" s="49"/>
      <c r="T428" s="49"/>
      <c r="U428" s="49"/>
      <c r="V428" s="49"/>
      <c r="W428" s="49"/>
      <c r="X428" s="49"/>
      <c r="Y428" s="125">
        <f>IFERROR(__xludf.DUMMYFUNCTION("""COMPUTED_VALUE"""),25000.0)</f>
        <v>25000</v>
      </c>
      <c r="Z428" s="49"/>
      <c r="AA428" s="49"/>
      <c r="AB428" s="49"/>
      <c r="AC428" s="125">
        <f>IFERROR(__xludf.DUMMYFUNCTION("""COMPUTED_VALUE"""),25000.0)</f>
        <v>25000</v>
      </c>
      <c r="AD428" s="49"/>
      <c r="AE428" s="49"/>
      <c r="AF428" s="49" t="str">
        <f>IFERROR(__xludf.DUMMYFUNCTION("""COMPUTED_VALUE"""),"++Dragons Armor: Damage dealt to the wearer by a dragon becomes halved. +-Cannot be forged +-Cannot be duplicated")</f>
        <v>++Dragons Armor: Damage dealt to the wearer by a dragon becomes halved. +-Cannot be forged +-Cannot be duplicated</v>
      </c>
      <c r="AG428" s="49" t="str">
        <f>IFERROR(__xludf.DUMMYFUNCTION("""COMPUTED_VALUE"""),"Dragonscale Island")</f>
        <v>Dragonscale Island</v>
      </c>
      <c r="AH428" s="49" t="b">
        <f>IFERROR(__xludf.DUMMYFUNCTION("""COMPUTED_VALUE"""),FALSE)</f>
        <v>0</v>
      </c>
    </row>
    <row r="429">
      <c r="A429" s="49" t="str">
        <f>IFERROR(__xludf.DUMMYFUNCTION("""COMPUTED_VALUE"""),"Dragonian Pendent")</f>
        <v>Dragonian Pendent</v>
      </c>
      <c r="B429" s="49" t="str">
        <f>IFERROR(__xludf.DUMMYFUNCTION("""COMPUTED_VALUE"""),"Neck")</f>
        <v>Neck</v>
      </c>
      <c r="C429" s="49"/>
      <c r="D429" s="49"/>
      <c r="E429" s="49">
        <f>IFERROR(__xludf.DUMMYFUNCTION("""COMPUTED_VALUE"""),200.0)</f>
        <v>200</v>
      </c>
      <c r="F429" s="112">
        <f>IFERROR(__xludf.DUMMYFUNCTION("""COMPUTED_VALUE"""),4350000.0)</f>
        <v>4350000</v>
      </c>
      <c r="G429" s="49" t="str">
        <f>IFERROR(__xludf.DUMMYFUNCTION("""COMPUTED_VALUE"""),"DEF")</f>
        <v>DEF</v>
      </c>
      <c r="H429" s="49"/>
      <c r="I429" s="49"/>
      <c r="J429" s="49"/>
      <c r="K429" s="49"/>
      <c r="L429" s="49"/>
      <c r="M429" s="49"/>
      <c r="N429" s="49"/>
      <c r="O429" s="49"/>
      <c r="P429" s="49"/>
      <c r="Q429" s="49"/>
      <c r="R429" s="49"/>
      <c r="S429" s="49"/>
      <c r="T429" s="49"/>
      <c r="U429" s="49"/>
      <c r="V429" s="49"/>
      <c r="W429" s="49"/>
      <c r="X429" s="49"/>
      <c r="Y429" s="49"/>
      <c r="Z429" s="49"/>
      <c r="AA429" s="49"/>
      <c r="AB429" s="49"/>
      <c r="AC429" s="125">
        <f>IFERROR(__xludf.DUMMYFUNCTION("""COMPUTED_VALUE"""),15000.0)</f>
        <v>15000</v>
      </c>
      <c r="AD429" s="49"/>
      <c r="AE429" s="49"/>
      <c r="AF429" s="49"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49" t="str">
        <f>IFERROR(__xludf.DUMMYFUNCTION("""COMPUTED_VALUE"""),"Dragonscale Island")</f>
        <v>Dragonscale Island</v>
      </c>
      <c r="AH429" s="49" t="b">
        <f>IFERROR(__xludf.DUMMYFUNCTION("""COMPUTED_VALUE"""),FALSE)</f>
        <v>0</v>
      </c>
    </row>
    <row r="430">
      <c r="A430" s="49" t="str">
        <f>IFERROR(__xludf.DUMMYFUNCTION("""COMPUTED_VALUE"""),"Dragonian Ring")</f>
        <v>Dragonian Ring</v>
      </c>
      <c r="B430" s="49" t="str">
        <f>IFERROR(__xludf.DUMMYFUNCTION("""COMPUTED_VALUE"""),"Ring")</f>
        <v>Ring</v>
      </c>
      <c r="C430" s="49"/>
      <c r="D430" s="49"/>
      <c r="E430" s="49">
        <f>IFERROR(__xludf.DUMMYFUNCTION("""COMPUTED_VALUE"""),200.0)</f>
        <v>200</v>
      </c>
      <c r="F430" s="112">
        <f>IFERROR(__xludf.DUMMYFUNCTION("""COMPUTED_VALUE"""),4350000.0)</f>
        <v>4350000</v>
      </c>
      <c r="G430" s="49" t="str">
        <f>IFERROR(__xludf.DUMMYFUNCTION("""COMPUTED_VALUE"""),"DEF")</f>
        <v>DEF</v>
      </c>
      <c r="H430" s="49"/>
      <c r="I430" s="49"/>
      <c r="J430" s="49"/>
      <c r="K430" s="49"/>
      <c r="L430" s="49"/>
      <c r="M430" s="49"/>
      <c r="N430" s="49"/>
      <c r="O430" s="49"/>
      <c r="P430" s="49"/>
      <c r="Q430" s="49"/>
      <c r="R430" s="49"/>
      <c r="S430" s="49"/>
      <c r="T430" s="49"/>
      <c r="U430" s="49"/>
      <c r="V430" s="49"/>
      <c r="W430" s="49"/>
      <c r="X430" s="49"/>
      <c r="Y430" s="49"/>
      <c r="Z430" s="49"/>
      <c r="AA430" s="49"/>
      <c r="AB430" s="49"/>
      <c r="AC430" s="125">
        <f>IFERROR(__xludf.DUMMYFUNCTION("""COMPUTED_VALUE"""),15000.0)</f>
        <v>15000</v>
      </c>
      <c r="AD430" s="49"/>
      <c r="AE430" s="49"/>
      <c r="AF430" s="49"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49" t="str">
        <f>IFERROR(__xludf.DUMMYFUNCTION("""COMPUTED_VALUE"""),"Dragonscale Island")</f>
        <v>Dragonscale Island</v>
      </c>
      <c r="AH430" s="49" t="b">
        <f>IFERROR(__xludf.DUMMYFUNCTION("""COMPUTED_VALUE"""),FALSE)</f>
        <v>0</v>
      </c>
    </row>
    <row r="431">
      <c r="A431" s="49" t="str">
        <f>IFERROR(__xludf.DUMMYFUNCTION("""COMPUTED_VALUE"""),"Fishing Pole of Luck and Power")</f>
        <v>Fishing Pole of Luck and Power</v>
      </c>
      <c r="B431" s="49" t="str">
        <f>IFERROR(__xludf.DUMMYFUNCTION("""COMPUTED_VALUE"""),"Hand")</f>
        <v>Hand</v>
      </c>
      <c r="C431" s="49"/>
      <c r="D431" s="49" t="str">
        <f>IFERROR(__xludf.DUMMYFUNCTION("""COMPUTED_VALUE"""),"Club")</f>
        <v>Club</v>
      </c>
      <c r="E431" s="49">
        <f>IFERROR(__xludf.DUMMYFUNCTION("""COMPUTED_VALUE"""),1600.0)</f>
        <v>1600</v>
      </c>
      <c r="F431" s="112">
        <f>IFERROR(__xludf.DUMMYFUNCTION("""COMPUTED_VALUE"""),1.272E8)</f>
        <v>127200000</v>
      </c>
      <c r="G431" s="49" t="str">
        <f>IFERROR(__xludf.DUMMYFUNCTION("""COMPUTED_VALUE"""),"DMG")</f>
        <v>DMG</v>
      </c>
      <c r="H431" s="125">
        <f>IFERROR(__xludf.DUMMYFUNCTION("""COMPUTED_VALUE"""),20000.0)</f>
        <v>20000</v>
      </c>
      <c r="I431" s="125">
        <f>IFERROR(__xludf.DUMMYFUNCTION("""COMPUTED_VALUE"""),20000.0)</f>
        <v>20000</v>
      </c>
      <c r="J431" s="49"/>
      <c r="K431" s="125">
        <f>IFERROR(__xludf.DUMMYFUNCTION("""COMPUTED_VALUE"""),20000.0)</f>
        <v>20000</v>
      </c>
      <c r="L431" s="125">
        <f>IFERROR(__xludf.DUMMYFUNCTION("""COMPUTED_VALUE"""),20000.0)</f>
        <v>20000</v>
      </c>
      <c r="M431" s="49"/>
      <c r="N431" s="49"/>
      <c r="O431" s="49"/>
      <c r="P431" s="49"/>
      <c r="Q431" s="49"/>
      <c r="R431" s="49"/>
      <c r="S431" s="49"/>
      <c r="T431" s="49"/>
      <c r="U431" s="49"/>
      <c r="V431" s="49"/>
      <c r="W431" s="49"/>
      <c r="X431" s="49"/>
      <c r="Y431" s="49"/>
      <c r="Z431" s="49"/>
      <c r="AA431" s="49"/>
      <c r="AB431" s="49"/>
      <c r="AC431" s="49"/>
      <c r="AD431" s="49"/>
      <c r="AE431" s="49"/>
      <c r="AF431" s="49"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49" t="str">
        <f>IFERROR(__xludf.DUMMYFUNCTION("""COMPUTED_VALUE"""),"Land of Spira")</f>
        <v>Land of Spira</v>
      </c>
      <c r="AH431" s="49" t="b">
        <f>IFERROR(__xludf.DUMMYFUNCTION("""COMPUTED_VALUE"""),FALSE)</f>
        <v>0</v>
      </c>
    </row>
    <row r="432">
      <c r="A432" s="49" t="str">
        <f>IFERROR(__xludf.DUMMYFUNCTION("""COMPUTED_VALUE"""),"Ancient Oni Pauldrons")</f>
        <v>Ancient Oni Pauldrons</v>
      </c>
      <c r="B432" s="49" t="str">
        <f>IFERROR(__xludf.DUMMYFUNCTION("""COMPUTED_VALUE"""),"Shoulders")</f>
        <v>Shoulders</v>
      </c>
      <c r="C432" s="49" t="str">
        <f>IFERROR(__xludf.DUMMYFUNCTION("""COMPUTED_VALUE"""),"An ancient relic to Zhenmay")</f>
        <v>An ancient relic to Zhenmay</v>
      </c>
      <c r="D432" s="49"/>
      <c r="E432" s="49">
        <f>IFERROR(__xludf.DUMMYFUNCTION("""COMPUTED_VALUE"""),200.0)</f>
        <v>200</v>
      </c>
      <c r="F432" s="112">
        <f>IFERROR(__xludf.DUMMYFUNCTION("""COMPUTED_VALUE"""),5.104E8)</f>
        <v>510400000</v>
      </c>
      <c r="G432" s="49" t="str">
        <f>IFERROR(__xludf.DUMMYFUNCTION("""COMPUTED_VALUE"""),"DEF")</f>
        <v>DEF</v>
      </c>
      <c r="H432" s="125">
        <f>IFERROR(__xludf.DUMMYFUNCTION("""COMPUTED_VALUE"""),10000.0)</f>
        <v>10000</v>
      </c>
      <c r="I432" s="125">
        <f>IFERROR(__xludf.DUMMYFUNCTION("""COMPUTED_VALUE"""),10000.0)</f>
        <v>10000</v>
      </c>
      <c r="J432" s="125">
        <f>IFERROR(__xludf.DUMMYFUNCTION("""COMPUTED_VALUE"""),10000.0)</f>
        <v>10000</v>
      </c>
      <c r="K432" s="125">
        <f>IFERROR(__xludf.DUMMYFUNCTION("""COMPUTED_VALUE"""),10000.0)</f>
        <v>10000</v>
      </c>
      <c r="L432" s="125">
        <f>IFERROR(__xludf.DUMMYFUNCTION("""COMPUTED_VALUE"""),10000.0)</f>
        <v>10000</v>
      </c>
      <c r="M432" s="125">
        <f>IFERROR(__xludf.DUMMYFUNCTION("""COMPUTED_VALUE"""),10000.0)</f>
        <v>10000</v>
      </c>
      <c r="N432" s="125">
        <f>IFERROR(__xludf.DUMMYFUNCTION("""COMPUTED_VALUE"""),10000.0)</f>
        <v>10000</v>
      </c>
      <c r="O432" s="125">
        <f>IFERROR(__xludf.DUMMYFUNCTION("""COMPUTED_VALUE"""),10000.0)</f>
        <v>10000</v>
      </c>
      <c r="P432" s="125">
        <f>IFERROR(__xludf.DUMMYFUNCTION("""COMPUTED_VALUE"""),10000.0)</f>
        <v>10000</v>
      </c>
      <c r="Q432" s="125">
        <f>IFERROR(__xludf.DUMMYFUNCTION("""COMPUTED_VALUE"""),10000.0)</f>
        <v>10000</v>
      </c>
      <c r="R432" s="125">
        <f>IFERROR(__xludf.DUMMYFUNCTION("""COMPUTED_VALUE"""),10000.0)</f>
        <v>10000</v>
      </c>
      <c r="S432" s="125">
        <f>IFERROR(__xludf.DUMMYFUNCTION("""COMPUTED_VALUE"""),10000.0)</f>
        <v>10000</v>
      </c>
      <c r="T432" s="49"/>
      <c r="U432" s="49"/>
      <c r="V432" s="49"/>
      <c r="W432" s="49"/>
      <c r="X432" s="125">
        <f>IFERROR(__xludf.DUMMYFUNCTION("""COMPUTED_VALUE"""),10000.0)</f>
        <v>10000</v>
      </c>
      <c r="Y432" s="125">
        <f>IFERROR(__xludf.DUMMYFUNCTION("""COMPUTED_VALUE"""),10000.0)</f>
        <v>10000</v>
      </c>
      <c r="Z432" s="49"/>
      <c r="AA432" s="49"/>
      <c r="AB432" s="125">
        <f>IFERROR(__xludf.DUMMYFUNCTION("""COMPUTED_VALUE"""),10000.0)</f>
        <v>10000</v>
      </c>
      <c r="AC432" s="125">
        <f>IFERROR(__xludf.DUMMYFUNCTION("""COMPUTED_VALUE"""),10000.0)</f>
        <v>10000</v>
      </c>
      <c r="AD432" s="49"/>
      <c r="AE432" s="49"/>
      <c r="AF432" s="49" t="str">
        <f>IFERROR(__xludf.DUMMYFUNCTION("""COMPUTED_VALUE"""),"++X2 damage for all elements. +-Only Samurai's, Monks, and Ninjas can equip. +-Cannot be forged +-Cannot be duplicated")</f>
        <v>++X2 damage for all elements. +-Only Samurai's, Monks, and Ninjas can equip. +-Cannot be forged +-Cannot be duplicated</v>
      </c>
      <c r="AG432" s="49" t="str">
        <f>IFERROR(__xludf.DUMMYFUNCTION("""COMPUTED_VALUE"""),"Land of Spira")</f>
        <v>Land of Spira</v>
      </c>
      <c r="AH432" s="49" t="b">
        <f>IFERROR(__xludf.DUMMYFUNCTION("""COMPUTED_VALUE"""),FALSE)</f>
        <v>0</v>
      </c>
    </row>
    <row r="433">
      <c r="A433" s="49" t="str">
        <f>IFERROR(__xludf.DUMMYFUNCTION("""COMPUTED_VALUE"""),"Ancient Oni Vambraces")</f>
        <v>Ancient Oni Vambraces</v>
      </c>
      <c r="B433" s="49" t="str">
        <f>IFERROR(__xludf.DUMMYFUNCTION("""COMPUTED_VALUE"""),"Arms")</f>
        <v>Arms</v>
      </c>
      <c r="C433" s="49" t="str">
        <f>IFERROR(__xludf.DUMMYFUNCTION("""COMPUTED_VALUE"""),"An ancient relic to Zhenmay")</f>
        <v>An ancient relic to Zhenmay</v>
      </c>
      <c r="D433" s="49"/>
      <c r="E433" s="49">
        <f>IFERROR(__xludf.DUMMYFUNCTION("""COMPUTED_VALUE"""),200.0)</f>
        <v>200</v>
      </c>
      <c r="F433" s="112">
        <f>IFERROR(__xludf.DUMMYFUNCTION("""COMPUTED_VALUE"""),5.104E8)</f>
        <v>510400000</v>
      </c>
      <c r="G433" s="49" t="str">
        <f>IFERROR(__xludf.DUMMYFUNCTION("""COMPUTED_VALUE"""),"DEF")</f>
        <v>DEF</v>
      </c>
      <c r="H433" s="125">
        <f>IFERROR(__xludf.DUMMYFUNCTION("""COMPUTED_VALUE"""),10000.0)</f>
        <v>10000</v>
      </c>
      <c r="I433" s="125">
        <f>IFERROR(__xludf.DUMMYFUNCTION("""COMPUTED_VALUE"""),10000.0)</f>
        <v>10000</v>
      </c>
      <c r="J433" s="125">
        <f>IFERROR(__xludf.DUMMYFUNCTION("""COMPUTED_VALUE"""),10000.0)</f>
        <v>10000</v>
      </c>
      <c r="K433" s="125">
        <f>IFERROR(__xludf.DUMMYFUNCTION("""COMPUTED_VALUE"""),10000.0)</f>
        <v>10000</v>
      </c>
      <c r="L433" s="125">
        <f>IFERROR(__xludf.DUMMYFUNCTION("""COMPUTED_VALUE"""),10000.0)</f>
        <v>10000</v>
      </c>
      <c r="M433" s="125">
        <f>IFERROR(__xludf.DUMMYFUNCTION("""COMPUTED_VALUE"""),10000.0)</f>
        <v>10000</v>
      </c>
      <c r="N433" s="125">
        <f>IFERROR(__xludf.DUMMYFUNCTION("""COMPUTED_VALUE"""),10000.0)</f>
        <v>10000</v>
      </c>
      <c r="O433" s="125">
        <f>IFERROR(__xludf.DUMMYFUNCTION("""COMPUTED_VALUE"""),10000.0)</f>
        <v>10000</v>
      </c>
      <c r="P433" s="125">
        <f>IFERROR(__xludf.DUMMYFUNCTION("""COMPUTED_VALUE"""),10000.0)</f>
        <v>10000</v>
      </c>
      <c r="Q433" s="125">
        <f>IFERROR(__xludf.DUMMYFUNCTION("""COMPUTED_VALUE"""),10000.0)</f>
        <v>10000</v>
      </c>
      <c r="R433" s="125">
        <f>IFERROR(__xludf.DUMMYFUNCTION("""COMPUTED_VALUE"""),10000.0)</f>
        <v>10000</v>
      </c>
      <c r="S433" s="125">
        <f>IFERROR(__xludf.DUMMYFUNCTION("""COMPUTED_VALUE"""),10000.0)</f>
        <v>10000</v>
      </c>
      <c r="T433" s="49"/>
      <c r="U433" s="49"/>
      <c r="V433" s="49"/>
      <c r="W433" s="49"/>
      <c r="X433" s="125">
        <f>IFERROR(__xludf.DUMMYFUNCTION("""COMPUTED_VALUE"""),10000.0)</f>
        <v>10000</v>
      </c>
      <c r="Y433" s="125">
        <f>IFERROR(__xludf.DUMMYFUNCTION("""COMPUTED_VALUE"""),10000.0)</f>
        <v>10000</v>
      </c>
      <c r="Z433" s="49"/>
      <c r="AA433" s="49"/>
      <c r="AB433" s="125">
        <f>IFERROR(__xludf.DUMMYFUNCTION("""COMPUTED_VALUE"""),10000.0)</f>
        <v>10000</v>
      </c>
      <c r="AC433" s="125">
        <f>IFERROR(__xludf.DUMMYFUNCTION("""COMPUTED_VALUE"""),10000.0)</f>
        <v>10000</v>
      </c>
      <c r="AD433" s="49"/>
      <c r="AE433" s="49"/>
      <c r="AF433" s="49"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49" t="str">
        <f>IFERROR(__xludf.DUMMYFUNCTION("""COMPUTED_VALUE"""),"Land of Spira")</f>
        <v>Land of Spira</v>
      </c>
      <c r="AH433" s="49" t="b">
        <f>IFERROR(__xludf.DUMMYFUNCTION("""COMPUTED_VALUE"""),FALSE)</f>
        <v>0</v>
      </c>
    </row>
    <row r="434">
      <c r="A434" s="49" t="str">
        <f>IFERROR(__xludf.DUMMYFUNCTION("""COMPUTED_VALUE"""),"Ancient Oni Greaves")</f>
        <v>Ancient Oni Greaves</v>
      </c>
      <c r="B434" s="49" t="str">
        <f>IFERROR(__xludf.DUMMYFUNCTION("""COMPUTED_VALUE"""),"Legs")</f>
        <v>Legs</v>
      </c>
      <c r="C434" s="49" t="str">
        <f>IFERROR(__xludf.DUMMYFUNCTION("""COMPUTED_VALUE"""),"An ancient relic to Zhenmay")</f>
        <v>An ancient relic to Zhenmay</v>
      </c>
      <c r="D434" s="49"/>
      <c r="E434" s="49">
        <f>IFERROR(__xludf.DUMMYFUNCTION("""COMPUTED_VALUE"""),200.0)</f>
        <v>200</v>
      </c>
      <c r="F434" s="112">
        <f>IFERROR(__xludf.DUMMYFUNCTION("""COMPUTED_VALUE"""),5.104E8)</f>
        <v>510400000</v>
      </c>
      <c r="G434" s="49" t="str">
        <f>IFERROR(__xludf.DUMMYFUNCTION("""COMPUTED_VALUE"""),"DEF")</f>
        <v>DEF</v>
      </c>
      <c r="H434" s="125">
        <f>IFERROR(__xludf.DUMMYFUNCTION("""COMPUTED_VALUE"""),10000.0)</f>
        <v>10000</v>
      </c>
      <c r="I434" s="125">
        <f>IFERROR(__xludf.DUMMYFUNCTION("""COMPUTED_VALUE"""),10000.0)</f>
        <v>10000</v>
      </c>
      <c r="J434" s="125">
        <f>IFERROR(__xludf.DUMMYFUNCTION("""COMPUTED_VALUE"""),10000.0)</f>
        <v>10000</v>
      </c>
      <c r="K434" s="125">
        <f>IFERROR(__xludf.DUMMYFUNCTION("""COMPUTED_VALUE"""),10000.0)</f>
        <v>10000</v>
      </c>
      <c r="L434" s="125">
        <f>IFERROR(__xludf.DUMMYFUNCTION("""COMPUTED_VALUE"""),10000.0)</f>
        <v>10000</v>
      </c>
      <c r="M434" s="125">
        <f>IFERROR(__xludf.DUMMYFUNCTION("""COMPUTED_VALUE"""),10000.0)</f>
        <v>10000</v>
      </c>
      <c r="N434" s="125">
        <f>IFERROR(__xludf.DUMMYFUNCTION("""COMPUTED_VALUE"""),10000.0)</f>
        <v>10000</v>
      </c>
      <c r="O434" s="125">
        <f>IFERROR(__xludf.DUMMYFUNCTION("""COMPUTED_VALUE"""),10000.0)</f>
        <v>10000</v>
      </c>
      <c r="P434" s="125">
        <f>IFERROR(__xludf.DUMMYFUNCTION("""COMPUTED_VALUE"""),10000.0)</f>
        <v>10000</v>
      </c>
      <c r="Q434" s="125">
        <f>IFERROR(__xludf.DUMMYFUNCTION("""COMPUTED_VALUE"""),10000.0)</f>
        <v>10000</v>
      </c>
      <c r="R434" s="125">
        <f>IFERROR(__xludf.DUMMYFUNCTION("""COMPUTED_VALUE"""),10000.0)</f>
        <v>10000</v>
      </c>
      <c r="S434" s="125">
        <f>IFERROR(__xludf.DUMMYFUNCTION("""COMPUTED_VALUE"""),10000.0)</f>
        <v>10000</v>
      </c>
      <c r="T434" s="49"/>
      <c r="U434" s="49"/>
      <c r="V434" s="49"/>
      <c r="W434" s="49"/>
      <c r="X434" s="125">
        <f>IFERROR(__xludf.DUMMYFUNCTION("""COMPUTED_VALUE"""),10000.0)</f>
        <v>10000</v>
      </c>
      <c r="Y434" s="125">
        <f>IFERROR(__xludf.DUMMYFUNCTION("""COMPUTED_VALUE"""),10000.0)</f>
        <v>10000</v>
      </c>
      <c r="Z434" s="49"/>
      <c r="AA434" s="49"/>
      <c r="AB434" s="125">
        <f>IFERROR(__xludf.DUMMYFUNCTION("""COMPUTED_VALUE"""),10000.0)</f>
        <v>10000</v>
      </c>
      <c r="AC434" s="125">
        <f>IFERROR(__xludf.DUMMYFUNCTION("""COMPUTED_VALUE"""),10000.0)</f>
        <v>10000</v>
      </c>
      <c r="AD434" s="49"/>
      <c r="AE434" s="49"/>
      <c r="AF434" s="49"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49" t="str">
        <f>IFERROR(__xludf.DUMMYFUNCTION("""COMPUTED_VALUE"""),"Land of Spira")</f>
        <v>Land of Spira</v>
      </c>
      <c r="AH434" s="49" t="b">
        <f>IFERROR(__xludf.DUMMYFUNCTION("""COMPUTED_VALUE"""),FALSE)</f>
        <v>0</v>
      </c>
    </row>
    <row r="435">
      <c r="A435" s="49" t="str">
        <f>IFERROR(__xludf.DUMMYFUNCTION("""COMPUTED_VALUE"""),"Ancient Oni Boots")</f>
        <v>Ancient Oni Boots</v>
      </c>
      <c r="B435" s="49" t="str">
        <f>IFERROR(__xludf.DUMMYFUNCTION("""COMPUTED_VALUE"""),"Feet")</f>
        <v>Feet</v>
      </c>
      <c r="C435" s="49" t="str">
        <f>IFERROR(__xludf.DUMMYFUNCTION("""COMPUTED_VALUE"""),"An ancient relic to Zhenmay")</f>
        <v>An ancient relic to Zhenmay</v>
      </c>
      <c r="D435" s="49"/>
      <c r="E435" s="49">
        <f>IFERROR(__xludf.DUMMYFUNCTION("""COMPUTED_VALUE"""),200.0)</f>
        <v>200</v>
      </c>
      <c r="F435" s="112">
        <f>IFERROR(__xludf.DUMMYFUNCTION("""COMPUTED_VALUE"""),5.104E8)</f>
        <v>510400000</v>
      </c>
      <c r="G435" s="49" t="str">
        <f>IFERROR(__xludf.DUMMYFUNCTION("""COMPUTED_VALUE"""),"DEF")</f>
        <v>DEF</v>
      </c>
      <c r="H435" s="125">
        <f>IFERROR(__xludf.DUMMYFUNCTION("""COMPUTED_VALUE"""),10000.0)</f>
        <v>10000</v>
      </c>
      <c r="I435" s="125">
        <f>IFERROR(__xludf.DUMMYFUNCTION("""COMPUTED_VALUE"""),10000.0)</f>
        <v>10000</v>
      </c>
      <c r="J435" s="125">
        <f>IFERROR(__xludf.DUMMYFUNCTION("""COMPUTED_VALUE"""),10000.0)</f>
        <v>10000</v>
      </c>
      <c r="K435" s="125">
        <f>IFERROR(__xludf.DUMMYFUNCTION("""COMPUTED_VALUE"""),10000.0)</f>
        <v>10000</v>
      </c>
      <c r="L435" s="125">
        <f>IFERROR(__xludf.DUMMYFUNCTION("""COMPUTED_VALUE"""),10000.0)</f>
        <v>10000</v>
      </c>
      <c r="M435" s="125">
        <f>IFERROR(__xludf.DUMMYFUNCTION("""COMPUTED_VALUE"""),10000.0)</f>
        <v>10000</v>
      </c>
      <c r="N435" s="125">
        <f>IFERROR(__xludf.DUMMYFUNCTION("""COMPUTED_VALUE"""),10000.0)</f>
        <v>10000</v>
      </c>
      <c r="O435" s="125">
        <f>IFERROR(__xludf.DUMMYFUNCTION("""COMPUTED_VALUE"""),10000.0)</f>
        <v>10000</v>
      </c>
      <c r="P435" s="125">
        <f>IFERROR(__xludf.DUMMYFUNCTION("""COMPUTED_VALUE"""),10000.0)</f>
        <v>10000</v>
      </c>
      <c r="Q435" s="125">
        <f>IFERROR(__xludf.DUMMYFUNCTION("""COMPUTED_VALUE"""),10000.0)</f>
        <v>10000</v>
      </c>
      <c r="R435" s="125">
        <f>IFERROR(__xludf.DUMMYFUNCTION("""COMPUTED_VALUE"""),10000.0)</f>
        <v>10000</v>
      </c>
      <c r="S435" s="125">
        <f>IFERROR(__xludf.DUMMYFUNCTION("""COMPUTED_VALUE"""),10000.0)</f>
        <v>10000</v>
      </c>
      <c r="T435" s="49"/>
      <c r="U435" s="49"/>
      <c r="V435" s="49"/>
      <c r="W435" s="49"/>
      <c r="X435" s="125">
        <f>IFERROR(__xludf.DUMMYFUNCTION("""COMPUTED_VALUE"""),10000.0)</f>
        <v>10000</v>
      </c>
      <c r="Y435" s="125">
        <f>IFERROR(__xludf.DUMMYFUNCTION("""COMPUTED_VALUE"""),10000.0)</f>
        <v>10000</v>
      </c>
      <c r="Z435" s="49"/>
      <c r="AA435" s="49"/>
      <c r="AB435" s="125">
        <f>IFERROR(__xludf.DUMMYFUNCTION("""COMPUTED_VALUE"""),10000.0)</f>
        <v>10000</v>
      </c>
      <c r="AC435" s="125">
        <f>IFERROR(__xludf.DUMMYFUNCTION("""COMPUTED_VALUE"""),10000.0)</f>
        <v>10000</v>
      </c>
      <c r="AD435" s="49"/>
      <c r="AE435" s="49"/>
      <c r="AF435" s="49"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49" t="str">
        <f>IFERROR(__xludf.DUMMYFUNCTION("""COMPUTED_VALUE"""),"Land of Spira")</f>
        <v>Land of Spira</v>
      </c>
      <c r="AH435" s="49" t="b">
        <f>IFERROR(__xludf.DUMMYFUNCTION("""COMPUTED_VALUE"""),FALSE)</f>
        <v>0</v>
      </c>
    </row>
    <row r="436">
      <c r="A436" s="49" t="str">
        <f>IFERROR(__xludf.DUMMYFUNCTION("""COMPUTED_VALUE"""),"Ancient Oni Katana")</f>
        <v>Ancient Oni Katana</v>
      </c>
      <c r="B436" s="49" t="str">
        <f>IFERROR(__xludf.DUMMYFUNCTION("""COMPUTED_VALUE"""),"Hand")</f>
        <v>Hand</v>
      </c>
      <c r="C436" s="49" t="str">
        <f>IFERROR(__xludf.DUMMYFUNCTION("""COMPUTED_VALUE"""),"An ancient relic to Zhenmay")</f>
        <v>An ancient relic to Zhenmay</v>
      </c>
      <c r="D436" s="49" t="str">
        <f>IFERROR(__xludf.DUMMYFUNCTION("""COMPUTED_VALUE"""),"Sword")</f>
        <v>Sword</v>
      </c>
      <c r="E436" s="49">
        <f>IFERROR(__xludf.DUMMYFUNCTION("""COMPUTED_VALUE"""),200.0)</f>
        <v>200</v>
      </c>
      <c r="F436" s="112">
        <f>IFERROR(__xludf.DUMMYFUNCTION("""COMPUTED_VALUE"""),5.104E8)</f>
        <v>510400000</v>
      </c>
      <c r="G436" s="49" t="str">
        <f>IFERROR(__xludf.DUMMYFUNCTION("""COMPUTED_VALUE"""),"DMG")</f>
        <v>DMG</v>
      </c>
      <c r="H436" s="125">
        <f>IFERROR(__xludf.DUMMYFUNCTION("""COMPUTED_VALUE"""),10000.0)</f>
        <v>10000</v>
      </c>
      <c r="I436" s="125">
        <f>IFERROR(__xludf.DUMMYFUNCTION("""COMPUTED_VALUE"""),10000.0)</f>
        <v>10000</v>
      </c>
      <c r="J436" s="125">
        <f>IFERROR(__xludf.DUMMYFUNCTION("""COMPUTED_VALUE"""),10000.0)</f>
        <v>10000</v>
      </c>
      <c r="K436" s="125">
        <f>IFERROR(__xludf.DUMMYFUNCTION("""COMPUTED_VALUE"""),10000.0)</f>
        <v>10000</v>
      </c>
      <c r="L436" s="125">
        <f>IFERROR(__xludf.DUMMYFUNCTION("""COMPUTED_VALUE"""),10000.0)</f>
        <v>10000</v>
      </c>
      <c r="M436" s="125">
        <f>IFERROR(__xludf.DUMMYFUNCTION("""COMPUTED_VALUE"""),10000.0)</f>
        <v>10000</v>
      </c>
      <c r="N436" s="125">
        <f>IFERROR(__xludf.DUMMYFUNCTION("""COMPUTED_VALUE"""),10000.0)</f>
        <v>10000</v>
      </c>
      <c r="O436" s="125">
        <f>IFERROR(__xludf.DUMMYFUNCTION("""COMPUTED_VALUE"""),10000.0)</f>
        <v>10000</v>
      </c>
      <c r="P436" s="125">
        <f>IFERROR(__xludf.DUMMYFUNCTION("""COMPUTED_VALUE"""),10000.0)</f>
        <v>10000</v>
      </c>
      <c r="Q436" s="125">
        <f>IFERROR(__xludf.DUMMYFUNCTION("""COMPUTED_VALUE"""),10000.0)</f>
        <v>10000</v>
      </c>
      <c r="R436" s="125">
        <f>IFERROR(__xludf.DUMMYFUNCTION("""COMPUTED_VALUE"""),10000.0)</f>
        <v>10000</v>
      </c>
      <c r="S436" s="125">
        <f>IFERROR(__xludf.DUMMYFUNCTION("""COMPUTED_VALUE"""),10000.0)</f>
        <v>10000</v>
      </c>
      <c r="T436" s="49"/>
      <c r="U436" s="49"/>
      <c r="V436" s="49"/>
      <c r="W436" s="49"/>
      <c r="X436" s="125">
        <f>IFERROR(__xludf.DUMMYFUNCTION("""COMPUTED_VALUE"""),10000.0)</f>
        <v>10000</v>
      </c>
      <c r="Y436" s="125">
        <f>IFERROR(__xludf.DUMMYFUNCTION("""COMPUTED_VALUE"""),10000.0)</f>
        <v>10000</v>
      </c>
      <c r="Z436" s="49"/>
      <c r="AA436" s="49"/>
      <c r="AB436" s="125">
        <f>IFERROR(__xludf.DUMMYFUNCTION("""COMPUTED_VALUE"""),10000.0)</f>
        <v>10000</v>
      </c>
      <c r="AC436" s="125">
        <f>IFERROR(__xludf.DUMMYFUNCTION("""COMPUTED_VALUE"""),10000.0)</f>
        <v>10000</v>
      </c>
      <c r="AD436" s="49"/>
      <c r="AE436" s="49"/>
      <c r="AF436" s="49"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49" t="str">
        <f>IFERROR(__xludf.DUMMYFUNCTION("""COMPUTED_VALUE"""),"Land of Spira")</f>
        <v>Land of Spira</v>
      </c>
      <c r="AH436" s="49" t="b">
        <f>IFERROR(__xludf.DUMMYFUNCTION("""COMPUTED_VALUE"""),FALSE)</f>
        <v>0</v>
      </c>
    </row>
    <row r="437">
      <c r="A437" s="49" t="str">
        <f>IFERROR(__xludf.DUMMYFUNCTION("""COMPUTED_VALUE"""),"The Grand Staff of Evil Flames")</f>
        <v>The Grand Staff of Evil Flames</v>
      </c>
      <c r="B437" s="49" t="str">
        <f>IFERROR(__xludf.DUMMYFUNCTION("""COMPUTED_VALUE"""),"Hand")</f>
        <v>Hand</v>
      </c>
      <c r="C437" s="49"/>
      <c r="D437" s="49" t="str">
        <f>IFERROR(__xludf.DUMMYFUNCTION("""COMPUTED_VALUE"""),"Staff")</f>
        <v>Staff</v>
      </c>
      <c r="E437" s="49">
        <f>IFERROR(__xludf.DUMMYFUNCTION("""COMPUTED_VALUE"""),1200.0)</f>
        <v>1200</v>
      </c>
      <c r="F437" s="112">
        <f>IFERROR(__xludf.DUMMYFUNCTION("""COMPUTED_VALUE"""),7.14E7)</f>
        <v>71400000</v>
      </c>
      <c r="G437" s="49" t="str">
        <f>IFERROR(__xludf.DUMMYFUNCTION("""COMPUTED_VALUE"""),"DMG")</f>
        <v>DMG</v>
      </c>
      <c r="H437" s="49"/>
      <c r="I437" s="125">
        <f>IFERROR(__xludf.DUMMYFUNCTION("""COMPUTED_VALUE"""),20000.0)</f>
        <v>20000</v>
      </c>
      <c r="J437" s="49"/>
      <c r="K437" s="49"/>
      <c r="L437" s="49"/>
      <c r="M437" s="49"/>
      <c r="N437" s="49"/>
      <c r="O437" s="125">
        <f>IFERROR(__xludf.DUMMYFUNCTION("""COMPUTED_VALUE"""),20000.0)</f>
        <v>20000</v>
      </c>
      <c r="P437" s="49"/>
      <c r="Q437" s="49"/>
      <c r="R437" s="125">
        <f>IFERROR(__xludf.DUMMYFUNCTION("""COMPUTED_VALUE"""),20000.0)</f>
        <v>20000</v>
      </c>
      <c r="S437" s="49"/>
      <c r="T437" s="49"/>
      <c r="U437" s="49"/>
      <c r="V437" s="49"/>
      <c r="W437" s="49"/>
      <c r="X437" s="49"/>
      <c r="Y437" s="49"/>
      <c r="Z437" s="49"/>
      <c r="AA437" s="49"/>
      <c r="AB437" s="49"/>
      <c r="AC437" s="49"/>
      <c r="AD437" s="49"/>
      <c r="AE437" s="49"/>
      <c r="AF437" s="49" t="str">
        <f>IFERROR(__xludf.DUMMYFUNCTION("""COMPUTED_VALUE"""),"++X4 additional Dark, Fire, and Chaos damage for the user while equipped. +-Cannot be duplicated")</f>
        <v>++X4 additional Dark, Fire, and Chaos damage for the user while equipped. +-Cannot be duplicated</v>
      </c>
      <c r="AG437" s="49" t="str">
        <f>IFERROR(__xludf.DUMMYFUNCTION("""COMPUTED_VALUE"""),"Abstara")</f>
        <v>Abstara</v>
      </c>
      <c r="AH437" s="49" t="b">
        <f>IFERROR(__xludf.DUMMYFUNCTION("""COMPUTED_VALUE"""),TRUE)</f>
        <v>1</v>
      </c>
    </row>
    <row r="438">
      <c r="A438" s="49" t="str">
        <f>IFERROR(__xludf.DUMMYFUNCTION("""COMPUTED_VALUE"""),"Soul Sword of The Endless Realm")</f>
        <v>Soul Sword of The Endless Realm</v>
      </c>
      <c r="B438" s="49" t="str">
        <f>IFERROR(__xludf.DUMMYFUNCTION("""COMPUTED_VALUE"""),"Hand")</f>
        <v>Hand</v>
      </c>
      <c r="C438" s="49"/>
      <c r="D438" s="49" t="str">
        <f>IFERROR(__xludf.DUMMYFUNCTION("""COMPUTED_VALUE"""),"Sword")</f>
        <v>Sword</v>
      </c>
      <c r="E438" s="49">
        <f>IFERROR(__xludf.DUMMYFUNCTION("""COMPUTED_VALUE"""),200.0)</f>
        <v>200</v>
      </c>
      <c r="F438" s="112">
        <f>IFERROR(__xludf.DUMMYFUNCTION("""COMPUTED_VALUE"""),4.0455E9)</f>
        <v>4045500000</v>
      </c>
      <c r="G438" s="49" t="str">
        <f>IFERROR(__xludf.DUMMYFUNCTION("""COMPUTED_VALUE"""),"DMG")</f>
        <v>DMG</v>
      </c>
      <c r="H438" s="125">
        <f>IFERROR(__xludf.DUMMYFUNCTION("""COMPUTED_VALUE"""),150000.0)</f>
        <v>150000</v>
      </c>
      <c r="I438" s="49"/>
      <c r="J438" s="49"/>
      <c r="K438" s="49"/>
      <c r="L438" s="49"/>
      <c r="M438" s="49"/>
      <c r="N438" s="49"/>
      <c r="O438" s="125">
        <f>IFERROR(__xludf.DUMMYFUNCTION("""COMPUTED_VALUE"""),150000.0)</f>
        <v>150000</v>
      </c>
      <c r="P438" s="49"/>
      <c r="Q438" s="49"/>
      <c r="R438" s="49"/>
      <c r="S438" s="49"/>
      <c r="T438" s="49"/>
      <c r="U438" s="49"/>
      <c r="V438" s="49"/>
      <c r="W438" s="49"/>
      <c r="X438" s="49"/>
      <c r="Y438" s="49"/>
      <c r="Z438" s="49"/>
      <c r="AA438" s="49"/>
      <c r="AB438" s="49"/>
      <c r="AC438" s="125">
        <f>IFERROR(__xludf.DUMMYFUNCTION("""COMPUTED_VALUE"""),150000.0)</f>
        <v>150000</v>
      </c>
      <c r="AD438" s="49"/>
      <c r="AE438" s="49"/>
      <c r="AF438" s="49"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49" t="str">
        <f>IFERROR(__xludf.DUMMYFUNCTION("""COMPUTED_VALUE"""),"Abstara")</f>
        <v>Abstara</v>
      </c>
      <c r="AH438" s="49" t="b">
        <f>IFERROR(__xludf.DUMMYFUNCTION("""COMPUTED_VALUE"""),TRUE)</f>
        <v>1</v>
      </c>
    </row>
    <row r="439">
      <c r="A439" s="49" t="str">
        <f>IFERROR(__xludf.DUMMYFUNCTION("""COMPUTED_VALUE"""),"Rat King's Crown")</f>
        <v>Rat King's Crown</v>
      </c>
      <c r="B439" s="49" t="str">
        <f>IFERROR(__xludf.DUMMYFUNCTION("""COMPUTED_VALUE"""),"Head")</f>
        <v>Head</v>
      </c>
      <c r="C439" s="49"/>
      <c r="D439" s="49"/>
      <c r="E439" s="49">
        <f>IFERROR(__xludf.DUMMYFUNCTION("""COMPUTED_VALUE"""),1000.0)</f>
        <v>1000</v>
      </c>
      <c r="F439" s="112">
        <f>IFERROR(__xludf.DUMMYFUNCTION("""COMPUTED_VALUE"""),4.95E7)</f>
        <v>49500000</v>
      </c>
      <c r="G439" s="49" t="str">
        <f>IFERROR(__xludf.DUMMYFUNCTION("""COMPUTED_VALUE"""),"DEF")</f>
        <v>DEF</v>
      </c>
      <c r="H439" s="125">
        <f>IFERROR(__xludf.DUMMYFUNCTION("""COMPUTED_VALUE"""),50000.0)</f>
        <v>50000</v>
      </c>
      <c r="I439" s="49"/>
      <c r="J439" s="49"/>
      <c r="K439" s="49"/>
      <c r="L439" s="49"/>
      <c r="M439" s="49"/>
      <c r="N439" s="49"/>
      <c r="O439" s="49"/>
      <c r="P439" s="49"/>
      <c r="Q439" s="49"/>
      <c r="R439" s="49"/>
      <c r="S439" s="49"/>
      <c r="T439" s="49"/>
      <c r="U439" s="49"/>
      <c r="V439" s="49"/>
      <c r="W439" s="49"/>
      <c r="X439" s="49"/>
      <c r="Y439" s="49"/>
      <c r="Z439" s="49"/>
      <c r="AA439" s="49"/>
      <c r="AB439" s="49"/>
      <c r="AC439" s="49"/>
      <c r="AD439" s="49"/>
      <c r="AE439" s="49"/>
      <c r="AF439" s="49"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49" t="str">
        <f>IFERROR(__xludf.DUMMYFUNCTION("""COMPUTED_VALUE"""),"Abstara")</f>
        <v>Abstara</v>
      </c>
      <c r="AH439" s="49" t="b">
        <f>IFERROR(__xludf.DUMMYFUNCTION("""COMPUTED_VALUE"""),FALSE)</f>
        <v>0</v>
      </c>
    </row>
    <row r="440">
      <c r="A440" s="49" t="str">
        <f>IFERROR(__xludf.DUMMYFUNCTION("""COMPUTED_VALUE"""),"Vermouth's Crown of Tides")</f>
        <v>Vermouth's Crown of Tides</v>
      </c>
      <c r="B440" s="49" t="str">
        <f>IFERROR(__xludf.DUMMYFUNCTION("""COMPUTED_VALUE"""),"Head")</f>
        <v>Head</v>
      </c>
      <c r="C440" s="49"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49"/>
      <c r="E440" s="49">
        <f>IFERROR(__xludf.DUMMYFUNCTION("""COMPUTED_VALUE"""),700.0)</f>
        <v>700</v>
      </c>
      <c r="F440" s="112">
        <f>IFERROR(__xludf.DUMMYFUNCTION("""COMPUTED_VALUE"""),2.415E7)</f>
        <v>24150000</v>
      </c>
      <c r="G440" s="49" t="str">
        <f>IFERROR(__xludf.DUMMYFUNCTION("""COMPUTED_VALUE"""),"DEF")</f>
        <v>DEF</v>
      </c>
      <c r="H440" s="125">
        <f>IFERROR(__xludf.DUMMYFUNCTION("""COMPUTED_VALUE"""),25000.0)</f>
        <v>25000</v>
      </c>
      <c r="I440" s="49"/>
      <c r="J440" s="49"/>
      <c r="K440" s="125">
        <f>IFERROR(__xludf.DUMMYFUNCTION("""COMPUTED_VALUE"""),10000.0)</f>
        <v>10000</v>
      </c>
      <c r="L440" s="49"/>
      <c r="M440" s="49"/>
      <c r="N440" s="49"/>
      <c r="O440" s="49"/>
      <c r="P440" s="49"/>
      <c r="Q440" s="49"/>
      <c r="R440" s="49"/>
      <c r="S440" s="49"/>
      <c r="T440" s="49"/>
      <c r="U440" s="49"/>
      <c r="V440" s="49"/>
      <c r="W440" s="49"/>
      <c r="X440" s="49"/>
      <c r="Y440" s="49"/>
      <c r="Z440" s="49"/>
      <c r="AA440" s="49"/>
      <c r="AB440" s="49"/>
      <c r="AC440" s="49"/>
      <c r="AD440" s="49"/>
      <c r="AE440" s="49"/>
      <c r="AF440" s="49" t="str">
        <f>IFERROR(__xludf.DUMMYFUNCTION("""COMPUTED_VALUE"""),"++Immunity to Water damage. ++X2 Additional Water damage for the user.")</f>
        <v>++Immunity to Water damage. ++X2 Additional Water damage for the user.</v>
      </c>
      <c r="AG440" s="49" t="str">
        <f>IFERROR(__xludf.DUMMYFUNCTION("""COMPUTED_VALUE"""),"Land of Spira")</f>
        <v>Land of Spira</v>
      </c>
      <c r="AH440" s="49" t="b">
        <f>IFERROR(__xludf.DUMMYFUNCTION("""COMPUTED_VALUE"""),FALSE)</f>
        <v>0</v>
      </c>
    </row>
    <row r="441">
      <c r="A441" s="49" t="str">
        <f>IFERROR(__xludf.DUMMYFUNCTION("""COMPUTED_VALUE"""),"ChronoMech Enigma")</f>
        <v>ChronoMech Enigma</v>
      </c>
      <c r="B441" s="49" t="str">
        <f>IFERROR(__xludf.DUMMYFUNCTION("""COMPUTED_VALUE"""),"Hand")</f>
        <v>Hand</v>
      </c>
      <c r="C441" s="49" t="str">
        <f>IFERROR(__xludf.DUMMYFUNCTION("""COMPUTED_VALUE"""),"A clockwork device that grants unique abilities.")</f>
        <v>A clockwork device that grants unique abilities.</v>
      </c>
      <c r="D441" s="49"/>
      <c r="E441" s="49">
        <f>IFERROR(__xludf.DUMMYFUNCTION("""COMPUTED_VALUE"""),200.0)</f>
        <v>200</v>
      </c>
      <c r="F441" s="112">
        <f>IFERROR(__xludf.DUMMYFUNCTION("""COMPUTED_VALUE"""),1900000.0)</f>
        <v>1900000</v>
      </c>
      <c r="G441" s="49" t="str">
        <f>IFERROR(__xludf.DUMMYFUNCTION("""COMPUTED_VALUE"""),"DEF")</f>
        <v>DEF</v>
      </c>
      <c r="H441" s="125">
        <f>IFERROR(__xludf.DUMMYFUNCTION("""COMPUTED_VALUE"""),10000.0)</f>
        <v>10000</v>
      </c>
      <c r="I441" s="49"/>
      <c r="J441" s="49"/>
      <c r="K441" s="49"/>
      <c r="L441" s="49"/>
      <c r="M441" s="49"/>
      <c r="N441" s="49"/>
      <c r="O441" s="49"/>
      <c r="P441" s="49"/>
      <c r="Q441" s="49"/>
      <c r="R441" s="49"/>
      <c r="S441" s="49"/>
      <c r="T441" s="49"/>
      <c r="U441" s="49"/>
      <c r="V441" s="49"/>
      <c r="W441" s="49"/>
      <c r="X441" s="49"/>
      <c r="Y441" s="49"/>
      <c r="Z441" s="49"/>
      <c r="AA441" s="49"/>
      <c r="AB441" s="49"/>
      <c r="AC441" s="49"/>
      <c r="AD441" s="49"/>
      <c r="AE441" s="49"/>
      <c r="AF441" s="49"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49" t="str">
        <f>IFERROR(__xludf.DUMMYFUNCTION("""COMPUTED_VALUE"""),"Land of Spira")</f>
        <v>Land of Spira</v>
      </c>
      <c r="AH441" s="49" t="b">
        <f>IFERROR(__xludf.DUMMYFUNCTION("""COMPUTED_VALUE"""),FALSE)</f>
        <v>0</v>
      </c>
    </row>
    <row r="442">
      <c r="A442" s="49" t="str">
        <f>IFERROR(__xludf.DUMMYFUNCTION("""COMPUTED_VALUE"""),"Royal Sword of The Halloween Kingdom")</f>
        <v>Royal Sword of The Halloween Kingdom</v>
      </c>
      <c r="B442" s="49" t="str">
        <f>IFERROR(__xludf.DUMMYFUNCTION("""COMPUTED_VALUE"""),"Hand")</f>
        <v>Hand</v>
      </c>
      <c r="C442" s="49" t="str">
        <f>IFERROR(__xludf.DUMMYFUNCTION("""COMPUTED_VALUE"""),"Halloween Exclusive")</f>
        <v>Halloween Exclusive</v>
      </c>
      <c r="D442" s="49" t="str">
        <f>IFERROR(__xludf.DUMMYFUNCTION("""COMPUTED_VALUE"""),"Sword")</f>
        <v>Sword</v>
      </c>
      <c r="E442" s="49">
        <f>IFERROR(__xludf.DUMMYFUNCTION("""COMPUTED_VALUE"""),200.0)</f>
        <v>200</v>
      </c>
      <c r="F442" s="112">
        <f>IFERROR(__xludf.DUMMYFUNCTION("""COMPUTED_VALUE"""),1.0557E9)</f>
        <v>1055700000</v>
      </c>
      <c r="G442" s="49" t="str">
        <f>IFERROR(__xludf.DUMMYFUNCTION("""COMPUTED_VALUE"""),"DMG")</f>
        <v>DMG</v>
      </c>
      <c r="H442" s="125">
        <f>IFERROR(__xludf.DUMMYFUNCTION("""COMPUTED_VALUE"""),50000.0)</f>
        <v>50000</v>
      </c>
      <c r="I442" s="125">
        <f>IFERROR(__xludf.DUMMYFUNCTION("""COMPUTED_VALUE"""),20000.0)</f>
        <v>20000</v>
      </c>
      <c r="J442" s="49"/>
      <c r="K442" s="49"/>
      <c r="L442" s="49"/>
      <c r="M442" s="49"/>
      <c r="N442" s="49"/>
      <c r="O442" s="125">
        <f>IFERROR(__xludf.DUMMYFUNCTION("""COMPUTED_VALUE"""),20000.0)</f>
        <v>20000</v>
      </c>
      <c r="P442" s="125">
        <f>IFERROR(__xludf.DUMMYFUNCTION("""COMPUTED_VALUE"""),20000.0)</f>
        <v>20000</v>
      </c>
      <c r="Q442" s="49"/>
      <c r="R442" s="125">
        <f>IFERROR(__xludf.DUMMYFUNCTION("""COMPUTED_VALUE"""),20000.0)</f>
        <v>20000</v>
      </c>
      <c r="S442" s="49"/>
      <c r="T442" s="49"/>
      <c r="U442" s="49"/>
      <c r="V442" s="125">
        <f>IFERROR(__xludf.DUMMYFUNCTION("""COMPUTED_VALUE"""),20000.0)</f>
        <v>20000</v>
      </c>
      <c r="W442" s="125">
        <f>IFERROR(__xludf.DUMMYFUNCTION("""COMPUTED_VALUE"""),20000.0)</f>
        <v>20000</v>
      </c>
      <c r="X442" s="125">
        <f>IFERROR(__xludf.DUMMYFUNCTION("""COMPUTED_VALUE"""),20000.0)</f>
        <v>20000</v>
      </c>
      <c r="Y442" s="125">
        <f>IFERROR(__xludf.DUMMYFUNCTION("""COMPUTED_VALUE"""),20000.0)</f>
        <v>20000</v>
      </c>
      <c r="Z442" s="49"/>
      <c r="AA442" s="49"/>
      <c r="AB442" s="49"/>
      <c r="AC442" s="125">
        <f>IFERROR(__xludf.DUMMYFUNCTION("""COMPUTED_VALUE"""),20000.0)</f>
        <v>20000</v>
      </c>
      <c r="AD442" s="49"/>
      <c r="AE442" s="49"/>
      <c r="AF442" s="49"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49" t="str">
        <f>IFERROR(__xludf.DUMMYFUNCTION("""COMPUTED_VALUE"""),"Halloween Kingdom")</f>
        <v>Halloween Kingdom</v>
      </c>
      <c r="AH442" s="49" t="b">
        <f>IFERROR(__xludf.DUMMYFUNCTION("""COMPUTED_VALUE"""),FALSE)</f>
        <v>0</v>
      </c>
    </row>
    <row r="443">
      <c r="A443" s="49" t="str">
        <f>IFERROR(__xludf.DUMMYFUNCTION("""COMPUTED_VALUE"""),"Royal Shield of The Halloween Kingdom")</f>
        <v>Royal Shield of The Halloween Kingdom</v>
      </c>
      <c r="B443" s="49" t="str">
        <f>IFERROR(__xludf.DUMMYFUNCTION("""COMPUTED_VALUE"""),"Hand")</f>
        <v>Hand</v>
      </c>
      <c r="C443" s="49" t="str">
        <f>IFERROR(__xludf.DUMMYFUNCTION("""COMPUTED_VALUE"""),"Halloween Exclusive")</f>
        <v>Halloween Exclusive</v>
      </c>
      <c r="D443" s="49" t="str">
        <f>IFERROR(__xludf.DUMMYFUNCTION("""COMPUTED_VALUE"""),"Towershield")</f>
        <v>Towershield</v>
      </c>
      <c r="E443" s="49">
        <f>IFERROR(__xludf.DUMMYFUNCTION("""COMPUTED_VALUE"""),200.0)</f>
        <v>200</v>
      </c>
      <c r="F443" s="112">
        <f>IFERROR(__xludf.DUMMYFUNCTION("""COMPUTED_VALUE"""),1.0557E9)</f>
        <v>1055700000</v>
      </c>
      <c r="G443" s="49" t="str">
        <f>IFERROR(__xludf.DUMMYFUNCTION("""COMPUTED_VALUE"""),"DEF")</f>
        <v>DEF</v>
      </c>
      <c r="H443" s="125">
        <f>IFERROR(__xludf.DUMMYFUNCTION("""COMPUTED_VALUE"""),50000.0)</f>
        <v>50000</v>
      </c>
      <c r="I443" s="125">
        <f>IFERROR(__xludf.DUMMYFUNCTION("""COMPUTED_VALUE"""),20000.0)</f>
        <v>20000</v>
      </c>
      <c r="J443" s="49"/>
      <c r="K443" s="49"/>
      <c r="L443" s="49"/>
      <c r="M443" s="49"/>
      <c r="N443" s="49"/>
      <c r="O443" s="125">
        <f>IFERROR(__xludf.DUMMYFUNCTION("""COMPUTED_VALUE"""),20000.0)</f>
        <v>20000</v>
      </c>
      <c r="P443" s="125">
        <f>IFERROR(__xludf.DUMMYFUNCTION("""COMPUTED_VALUE"""),20000.0)</f>
        <v>20000</v>
      </c>
      <c r="Q443" s="49"/>
      <c r="R443" s="125">
        <f>IFERROR(__xludf.DUMMYFUNCTION("""COMPUTED_VALUE"""),20000.0)</f>
        <v>20000</v>
      </c>
      <c r="S443" s="49"/>
      <c r="T443" s="49"/>
      <c r="U443" s="49"/>
      <c r="V443" s="125">
        <f>IFERROR(__xludf.DUMMYFUNCTION("""COMPUTED_VALUE"""),20000.0)</f>
        <v>20000</v>
      </c>
      <c r="W443" s="125">
        <f>IFERROR(__xludf.DUMMYFUNCTION("""COMPUTED_VALUE"""),20000.0)</f>
        <v>20000</v>
      </c>
      <c r="X443" s="125">
        <f>IFERROR(__xludf.DUMMYFUNCTION("""COMPUTED_VALUE"""),20000.0)</f>
        <v>20000</v>
      </c>
      <c r="Y443" s="125">
        <f>IFERROR(__xludf.DUMMYFUNCTION("""COMPUTED_VALUE"""),20000.0)</f>
        <v>20000</v>
      </c>
      <c r="Z443" s="49"/>
      <c r="AA443" s="49"/>
      <c r="AB443" s="49"/>
      <c r="AC443" s="125">
        <f>IFERROR(__xludf.DUMMYFUNCTION("""COMPUTED_VALUE"""),20000.0)</f>
        <v>20000</v>
      </c>
      <c r="AD443" s="49"/>
      <c r="AE443" s="49"/>
      <c r="AF443" s="49"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49" t="str">
        <f>IFERROR(__xludf.DUMMYFUNCTION("""COMPUTED_VALUE"""),"Halloween Kingdom")</f>
        <v>Halloween Kingdom</v>
      </c>
      <c r="AH443" s="49" t="b">
        <f>IFERROR(__xludf.DUMMYFUNCTION("""COMPUTED_VALUE"""),FALSE)</f>
        <v>0</v>
      </c>
    </row>
    <row r="444">
      <c r="A444" s="49" t="str">
        <f>IFERROR(__xludf.DUMMYFUNCTION("""COMPUTED_VALUE"""),"Sacred Flaming Pearl")</f>
        <v>Sacred Flaming Pearl</v>
      </c>
      <c r="B444" s="49" t="str">
        <f>IFERROR(__xludf.DUMMYFUNCTION("""COMPUTED_VALUE"""),"Hand")</f>
        <v>Hand</v>
      </c>
      <c r="C444" s="49" t="str">
        <f>IFERROR(__xludf.DUMMYFUNCTION("""COMPUTED_VALUE"""),"Quest item.")</f>
        <v>Quest item.</v>
      </c>
      <c r="D444" s="49"/>
      <c r="E444" s="49">
        <f>IFERROR(__xludf.DUMMYFUNCTION("""COMPUTED_VALUE"""),1.0)</f>
        <v>1</v>
      </c>
      <c r="F444" s="112">
        <f>IFERROR(__xludf.DUMMYFUNCTION("""COMPUTED_VALUE"""),0.0)</f>
        <v>0</v>
      </c>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c r="AE444" s="49"/>
      <c r="AF444" s="49" t="str">
        <f>IFERROR(__xludf.DUMMYFUNCTION("""COMPUTED_VALUE"""),"++X4 additional fire damage for the user. +-Cannot be duplicated.")</f>
        <v>++X4 additional fire damage for the user. +-Cannot be duplicated.</v>
      </c>
      <c r="AG444" s="49" t="str">
        <f>IFERROR(__xludf.DUMMYFUNCTION("""COMPUTED_VALUE"""),"Abstara")</f>
        <v>Abstara</v>
      </c>
      <c r="AH444" s="49" t="b">
        <f>IFERROR(__xludf.DUMMYFUNCTION("""COMPUTED_VALUE"""),FALSE)</f>
        <v>0</v>
      </c>
    </row>
    <row r="445">
      <c r="A445" s="49" t="str">
        <f>IFERROR(__xludf.DUMMYFUNCTION("""COMPUTED_VALUE"""),"DragonScale Royal Helm")</f>
        <v>DragonScale Royal Helm</v>
      </c>
      <c r="B445" s="49" t="str">
        <f>IFERROR(__xludf.DUMMYFUNCTION("""COMPUTED_VALUE"""),"Head")</f>
        <v>Head</v>
      </c>
      <c r="C445" s="49"/>
      <c r="D445" s="49"/>
      <c r="E445" s="49">
        <f>IFERROR(__xludf.DUMMYFUNCTION("""COMPUTED_VALUE"""),200.0)</f>
        <v>200</v>
      </c>
      <c r="F445" s="112">
        <f>IFERROR(__xludf.DUMMYFUNCTION("""COMPUTED_VALUE"""),9.73E7)</f>
        <v>97300000</v>
      </c>
      <c r="G445" s="49" t="str">
        <f>IFERROR(__xludf.DUMMYFUNCTION("""COMPUTED_VALUE"""),"DEF")</f>
        <v>DEF</v>
      </c>
      <c r="H445" s="125">
        <f>IFERROR(__xludf.DUMMYFUNCTION("""COMPUTED_VALUE"""),40000.0)</f>
        <v>40000</v>
      </c>
      <c r="I445" s="49"/>
      <c r="J445" s="49"/>
      <c r="K445" s="49"/>
      <c r="L445" s="49"/>
      <c r="M445" s="49"/>
      <c r="N445" s="49"/>
      <c r="O445" s="49">
        <f>IFERROR(__xludf.DUMMYFUNCTION("""COMPUTED_VALUE"""),10000.0)</f>
        <v>10000</v>
      </c>
      <c r="P445" s="49"/>
      <c r="Q445" s="49"/>
      <c r="R445" s="49">
        <f>IFERROR(__xludf.DUMMYFUNCTION("""COMPUTED_VALUE"""),10000.0)</f>
        <v>10000</v>
      </c>
      <c r="S445" s="49"/>
      <c r="T445" s="49"/>
      <c r="U445" s="49"/>
      <c r="V445" s="49"/>
      <c r="W445" s="49"/>
      <c r="X445" s="49"/>
      <c r="Y445" s="49"/>
      <c r="Z445" s="49"/>
      <c r="AA445" s="49"/>
      <c r="AB445" s="49"/>
      <c r="AC445" s="49">
        <f>IFERROR(__xludf.DUMMYFUNCTION("""COMPUTED_VALUE"""),10000.0)</f>
        <v>10000</v>
      </c>
      <c r="AD445" s="49"/>
      <c r="AE445" s="49"/>
      <c r="AF445" s="49" t="str">
        <f>IFERROR(__xludf.DUMMYFUNCTION("""COMPUTED_VALUE"""),"++X2 Defense for the Wearer. ++Light Embodiment - When Equipped deal X2 Order and Light DMG ")</f>
        <v>++X2 Defense for the Wearer. ++Light Embodiment - When Equipped deal X2 Order and Light DMG </v>
      </c>
      <c r="AG445" s="49" t="str">
        <f>IFERROR(__xludf.DUMMYFUNCTION("""COMPUTED_VALUE"""),"Dragonscale Island")</f>
        <v>Dragonscale Island</v>
      </c>
      <c r="AH445" s="49" t="b">
        <f>IFERROR(__xludf.DUMMYFUNCTION("""COMPUTED_VALUE"""),TRUE)</f>
        <v>1</v>
      </c>
    </row>
    <row r="446">
      <c r="A446" s="49" t="str">
        <f>IFERROR(__xludf.DUMMYFUNCTION("""COMPUTED_VALUE"""),"DragonScale Royal Chestplate")</f>
        <v>DragonScale Royal Chestplate</v>
      </c>
      <c r="B446" s="49" t="str">
        <f>IFERROR(__xludf.DUMMYFUNCTION("""COMPUTED_VALUE"""),"Torso")</f>
        <v>Torso</v>
      </c>
      <c r="C446" s="49"/>
      <c r="D446" s="49"/>
      <c r="E446" s="49">
        <f>IFERROR(__xludf.DUMMYFUNCTION("""COMPUTED_VALUE"""),200.0)</f>
        <v>200</v>
      </c>
      <c r="F446" s="112">
        <f>IFERROR(__xludf.DUMMYFUNCTION("""COMPUTED_VALUE"""),5.995E7)</f>
        <v>59950000</v>
      </c>
      <c r="G446" s="49" t="str">
        <f>IFERROR(__xludf.DUMMYFUNCTION("""COMPUTED_VALUE"""),"DEF")</f>
        <v>DEF</v>
      </c>
      <c r="H446" s="125">
        <f>IFERROR(__xludf.DUMMYFUNCTION("""COMPUTED_VALUE"""),20000.0)</f>
        <v>20000</v>
      </c>
      <c r="I446" s="49"/>
      <c r="J446" s="49"/>
      <c r="K446" s="49">
        <f>IFERROR(__xludf.DUMMYFUNCTION("""COMPUTED_VALUE"""),5000.0)</f>
        <v>5000</v>
      </c>
      <c r="L446" s="49"/>
      <c r="M446" s="49"/>
      <c r="N446" s="49"/>
      <c r="O446" s="49">
        <f>IFERROR(__xludf.DUMMYFUNCTION("""COMPUTED_VALUE"""),10000.0)</f>
        <v>10000</v>
      </c>
      <c r="P446" s="49"/>
      <c r="Q446" s="49"/>
      <c r="R446" s="49">
        <f>IFERROR(__xludf.DUMMYFUNCTION("""COMPUTED_VALUE"""),10000.0)</f>
        <v>10000</v>
      </c>
      <c r="S446" s="49"/>
      <c r="T446" s="49"/>
      <c r="U446" s="49"/>
      <c r="V446" s="49"/>
      <c r="W446" s="49"/>
      <c r="X446" s="49"/>
      <c r="Y446" s="49"/>
      <c r="Z446" s="49"/>
      <c r="AA446" s="49"/>
      <c r="AB446" s="49"/>
      <c r="AC446" s="49">
        <f>IFERROR(__xludf.DUMMYFUNCTION("""COMPUTED_VALUE"""),10000.0)</f>
        <v>10000</v>
      </c>
      <c r="AD446" s="49"/>
      <c r="AE446" s="49"/>
      <c r="AF446" s="49" t="str">
        <f>IFERROR(__xludf.DUMMYFUNCTION("""COMPUTED_VALUE"""),"++X4 Defense for the Wearer. ++Light Embodiment II - When Equipped deal X4 Order and Light DMG ")</f>
        <v>++X4 Defense for the Wearer. ++Light Embodiment II - When Equipped deal X4 Order and Light DMG </v>
      </c>
      <c r="AG446" s="49" t="str">
        <f>IFERROR(__xludf.DUMMYFUNCTION("""COMPUTED_VALUE"""),"Dragonscale Island")</f>
        <v>Dragonscale Island</v>
      </c>
      <c r="AH446" s="49" t="b">
        <f>IFERROR(__xludf.DUMMYFUNCTION("""COMPUTED_VALUE"""),TRUE)</f>
        <v>1</v>
      </c>
    </row>
    <row r="447">
      <c r="A447" s="49" t="str">
        <f>IFERROR(__xludf.DUMMYFUNCTION("""COMPUTED_VALUE"""),"DragonScale Royal Vambraces")</f>
        <v>DragonScale Royal Vambraces</v>
      </c>
      <c r="B447" s="49" t="str">
        <f>IFERROR(__xludf.DUMMYFUNCTION("""COMPUTED_VALUE"""),"Arms")</f>
        <v>Arms</v>
      </c>
      <c r="C447" s="49"/>
      <c r="D447" s="49"/>
      <c r="E447" s="49">
        <f>IFERROR(__xludf.DUMMYFUNCTION("""COMPUTED_VALUE"""),200.0)</f>
        <v>200</v>
      </c>
      <c r="F447" s="112">
        <f>IFERROR(__xludf.DUMMYFUNCTION("""COMPUTED_VALUE"""),3.16E7)</f>
        <v>31600000</v>
      </c>
      <c r="G447" s="49" t="str">
        <f>IFERROR(__xludf.DUMMYFUNCTION("""COMPUTED_VALUE"""),"DEF")</f>
        <v>DEF</v>
      </c>
      <c r="H447" s="125">
        <f>IFERROR(__xludf.DUMMYFUNCTION("""COMPUTED_VALUE"""),10000.0)</f>
        <v>10000</v>
      </c>
      <c r="I447" s="49"/>
      <c r="J447" s="49"/>
      <c r="K447" s="49"/>
      <c r="L447" s="49"/>
      <c r="M447" s="49"/>
      <c r="N447" s="49"/>
      <c r="O447" s="49">
        <f>IFERROR(__xludf.DUMMYFUNCTION("""COMPUTED_VALUE"""),10000.0)</f>
        <v>10000</v>
      </c>
      <c r="P447" s="49"/>
      <c r="Q447" s="49"/>
      <c r="R447" s="49">
        <f>IFERROR(__xludf.DUMMYFUNCTION("""COMPUTED_VALUE"""),10000.0)</f>
        <v>10000</v>
      </c>
      <c r="S447" s="49"/>
      <c r="T447" s="49"/>
      <c r="U447" s="49"/>
      <c r="V447" s="49"/>
      <c r="W447" s="49"/>
      <c r="X447" s="49"/>
      <c r="Y447" s="49"/>
      <c r="Z447" s="49"/>
      <c r="AA447" s="49"/>
      <c r="AB447" s="49"/>
      <c r="AC447" s="49">
        <f>IFERROR(__xludf.DUMMYFUNCTION("""COMPUTED_VALUE"""),10000.0)</f>
        <v>10000</v>
      </c>
      <c r="AD447" s="49"/>
      <c r="AE447" s="49"/>
      <c r="AF447" s="49" t="str">
        <f>IFERROR(__xludf.DUMMYFUNCTION("""COMPUTED_VALUE"""),"++X2 Defense for the Wearer. ++Light Embodiment - When Equipped deal X2 Order and Light DMG ")</f>
        <v>++X2 Defense for the Wearer. ++Light Embodiment - When Equipped deal X2 Order and Light DMG </v>
      </c>
      <c r="AG447" s="49" t="str">
        <f>IFERROR(__xludf.DUMMYFUNCTION("""COMPUTED_VALUE"""),"Dragonscale Island")</f>
        <v>Dragonscale Island</v>
      </c>
      <c r="AH447" s="49" t="b">
        <f>IFERROR(__xludf.DUMMYFUNCTION("""COMPUTED_VALUE"""),TRUE)</f>
        <v>1</v>
      </c>
    </row>
    <row r="448">
      <c r="A448" s="49" t="str">
        <f>IFERROR(__xludf.DUMMYFUNCTION("""COMPUTED_VALUE"""),"DragonScale Royal Greaves")</f>
        <v>DragonScale Royal Greaves</v>
      </c>
      <c r="B448" s="49" t="str">
        <f>IFERROR(__xludf.DUMMYFUNCTION("""COMPUTED_VALUE"""),"Legs")</f>
        <v>Legs</v>
      </c>
      <c r="C448" s="49"/>
      <c r="D448" s="49"/>
      <c r="E448" s="49">
        <f>IFERROR(__xludf.DUMMYFUNCTION("""COMPUTED_VALUE"""),200.0)</f>
        <v>200</v>
      </c>
      <c r="F448" s="112">
        <f>IFERROR(__xludf.DUMMYFUNCTION("""COMPUTED_VALUE"""),3.16E7)</f>
        <v>31600000</v>
      </c>
      <c r="G448" s="49" t="str">
        <f>IFERROR(__xludf.DUMMYFUNCTION("""COMPUTED_VALUE"""),"DEF")</f>
        <v>DEF</v>
      </c>
      <c r="H448" s="125">
        <f>IFERROR(__xludf.DUMMYFUNCTION("""COMPUTED_VALUE"""),10000.0)</f>
        <v>10000</v>
      </c>
      <c r="I448" s="49"/>
      <c r="J448" s="49"/>
      <c r="K448" s="49"/>
      <c r="L448" s="49"/>
      <c r="M448" s="49"/>
      <c r="N448" s="49"/>
      <c r="O448" s="49">
        <f>IFERROR(__xludf.DUMMYFUNCTION("""COMPUTED_VALUE"""),10000.0)</f>
        <v>10000</v>
      </c>
      <c r="P448" s="49"/>
      <c r="Q448" s="49"/>
      <c r="R448" s="49">
        <f>IFERROR(__xludf.DUMMYFUNCTION("""COMPUTED_VALUE"""),10000.0)</f>
        <v>10000</v>
      </c>
      <c r="S448" s="49"/>
      <c r="T448" s="49"/>
      <c r="U448" s="49"/>
      <c r="V448" s="49"/>
      <c r="W448" s="49"/>
      <c r="X448" s="49"/>
      <c r="Y448" s="49"/>
      <c r="Z448" s="49"/>
      <c r="AA448" s="49"/>
      <c r="AB448" s="49"/>
      <c r="AC448" s="49">
        <f>IFERROR(__xludf.DUMMYFUNCTION("""COMPUTED_VALUE"""),10000.0)</f>
        <v>10000</v>
      </c>
      <c r="AD448" s="49"/>
      <c r="AE448" s="49"/>
      <c r="AF448" s="49" t="str">
        <f>IFERROR(__xludf.DUMMYFUNCTION("""COMPUTED_VALUE"""),"++X2 Defense for the Wearer. ++Light Embodiment - When Equipped deal X2 Order and Light DMG ")</f>
        <v>++X2 Defense for the Wearer. ++Light Embodiment - When Equipped deal X2 Order and Light DMG </v>
      </c>
      <c r="AG448" s="49" t="str">
        <f>IFERROR(__xludf.DUMMYFUNCTION("""COMPUTED_VALUE"""),"Dragonscale Island")</f>
        <v>Dragonscale Island</v>
      </c>
      <c r="AH448" s="49" t="b">
        <f>IFERROR(__xludf.DUMMYFUNCTION("""COMPUTED_VALUE"""),TRUE)</f>
        <v>1</v>
      </c>
    </row>
    <row r="449">
      <c r="A449" s="49" t="str">
        <f>IFERROR(__xludf.DUMMYFUNCTION("""COMPUTED_VALUE"""),"DragonScale Royal Shield")</f>
        <v>DragonScale Royal Shield</v>
      </c>
      <c r="B449" s="49" t="str">
        <f>IFERROR(__xludf.DUMMYFUNCTION("""COMPUTED_VALUE"""),"Hand")</f>
        <v>Hand</v>
      </c>
      <c r="C449" s="49"/>
      <c r="D449" s="49" t="str">
        <f>IFERROR(__xludf.DUMMYFUNCTION("""COMPUTED_VALUE"""),"Towershield")</f>
        <v>Towershield</v>
      </c>
      <c r="E449" s="49">
        <f>IFERROR(__xludf.DUMMYFUNCTION("""COMPUTED_VALUE"""),200.0)</f>
        <v>200</v>
      </c>
      <c r="F449" s="112">
        <f>IFERROR(__xludf.DUMMYFUNCTION("""COMPUTED_VALUE"""),2.1945E8)</f>
        <v>219450000</v>
      </c>
      <c r="G449" s="49" t="str">
        <f>IFERROR(__xludf.DUMMYFUNCTION("""COMPUTED_VALUE"""),"DEF")</f>
        <v>DEF</v>
      </c>
      <c r="H449" s="125">
        <f>IFERROR(__xludf.DUMMYFUNCTION("""COMPUTED_VALUE"""),55000.0)</f>
        <v>55000</v>
      </c>
      <c r="I449" s="49"/>
      <c r="J449" s="49"/>
      <c r="K449" s="49"/>
      <c r="L449" s="49"/>
      <c r="M449" s="49"/>
      <c r="N449" s="49"/>
      <c r="O449" s="49">
        <f>IFERROR(__xludf.DUMMYFUNCTION("""COMPUTED_VALUE"""),20000.0)</f>
        <v>20000</v>
      </c>
      <c r="P449" s="49"/>
      <c r="Q449" s="49"/>
      <c r="R449" s="49">
        <f>IFERROR(__xludf.DUMMYFUNCTION("""COMPUTED_VALUE"""),20000.0)</f>
        <v>20000</v>
      </c>
      <c r="S449" s="49"/>
      <c r="T449" s="49"/>
      <c r="U449" s="49"/>
      <c r="V449" s="49"/>
      <c r="W449" s="49"/>
      <c r="X449" s="49"/>
      <c r="Y449" s="49"/>
      <c r="Z449" s="49"/>
      <c r="AA449" s="49"/>
      <c r="AB449" s="49"/>
      <c r="AC449" s="49">
        <f>IFERROR(__xludf.DUMMYFUNCTION("""COMPUTED_VALUE"""),10000.0)</f>
        <v>10000</v>
      </c>
      <c r="AD449" s="49"/>
      <c r="AE449" s="49"/>
      <c r="AF449" s="49" t="str">
        <f>IFERROR(__xludf.DUMMYFUNCTION("""COMPUTED_VALUE"""),"++X2 Defense for the Wearer. ++Light Embodiment - When Equipped deal X2 Order and Light DMG ")</f>
        <v>++X2 Defense for the Wearer. ++Light Embodiment - When Equipped deal X2 Order and Light DMG </v>
      </c>
      <c r="AG449" s="49" t="str">
        <f>IFERROR(__xludf.DUMMYFUNCTION("""COMPUTED_VALUE"""),"Dragonscale Island")</f>
        <v>Dragonscale Island</v>
      </c>
      <c r="AH449" s="49" t="b">
        <f>IFERROR(__xludf.DUMMYFUNCTION("""COMPUTED_VALUE"""),TRUE)</f>
        <v>1</v>
      </c>
    </row>
    <row r="450">
      <c r="A450" s="49" t="str">
        <f>IFERROR(__xludf.DUMMYFUNCTION("""COMPUTED_VALUE"""),"DragonScale Royal Boots")</f>
        <v>DragonScale Royal Boots</v>
      </c>
      <c r="B450" s="49" t="str">
        <f>IFERROR(__xludf.DUMMYFUNCTION("""COMPUTED_VALUE"""),"Feet")</f>
        <v>Feet</v>
      </c>
      <c r="C450" s="49"/>
      <c r="D450" s="49"/>
      <c r="E450" s="49">
        <f>IFERROR(__xludf.DUMMYFUNCTION("""COMPUTED_VALUE"""),200.0)</f>
        <v>200</v>
      </c>
      <c r="F450" s="112">
        <f>IFERROR(__xludf.DUMMYFUNCTION("""COMPUTED_VALUE"""),5.356E7)</f>
        <v>53560000</v>
      </c>
      <c r="G450" s="49" t="str">
        <f>IFERROR(__xludf.DUMMYFUNCTION("""COMPUTED_VALUE"""),"DEF")</f>
        <v>DEF</v>
      </c>
      <c r="H450" s="125">
        <f>IFERROR(__xludf.DUMMYFUNCTION("""COMPUTED_VALUE"""),22000.0)</f>
        <v>22000</v>
      </c>
      <c r="I450" s="49"/>
      <c r="J450" s="49"/>
      <c r="K450" s="49"/>
      <c r="L450" s="49"/>
      <c r="M450" s="49"/>
      <c r="N450" s="49"/>
      <c r="O450" s="49">
        <f>IFERROR(__xludf.DUMMYFUNCTION("""COMPUTED_VALUE"""),10000.0)</f>
        <v>10000</v>
      </c>
      <c r="P450" s="49"/>
      <c r="Q450" s="49"/>
      <c r="R450" s="49">
        <f>IFERROR(__xludf.DUMMYFUNCTION("""COMPUTED_VALUE"""),10000.0)</f>
        <v>10000</v>
      </c>
      <c r="S450" s="49"/>
      <c r="T450" s="49"/>
      <c r="U450" s="49"/>
      <c r="V450" s="49"/>
      <c r="W450" s="49"/>
      <c r="X450" s="49"/>
      <c r="Y450" s="49"/>
      <c r="Z450" s="49"/>
      <c r="AA450" s="49"/>
      <c r="AB450" s="49"/>
      <c r="AC450" s="49">
        <f>IFERROR(__xludf.DUMMYFUNCTION("""COMPUTED_VALUE"""),10000.0)</f>
        <v>10000</v>
      </c>
      <c r="AD450" s="49"/>
      <c r="AE450" s="49"/>
      <c r="AF450" s="49" t="str">
        <f>IFERROR(__xludf.DUMMYFUNCTION("""COMPUTED_VALUE"""),"++X2 Defense for the Wearer. ++Light Embodiment - When Equipped deal X2 Order and Light DMG ")</f>
        <v>++X2 Defense for the Wearer. ++Light Embodiment - When Equipped deal X2 Order and Light DMG </v>
      </c>
      <c r="AG450" s="49" t="str">
        <f>IFERROR(__xludf.DUMMYFUNCTION("""COMPUTED_VALUE"""),"Dragonscale Island")</f>
        <v>Dragonscale Island</v>
      </c>
      <c r="AH450" s="49" t="b">
        <f>IFERROR(__xludf.DUMMYFUNCTION("""COMPUTED_VALUE"""),TRUE)</f>
        <v>1</v>
      </c>
    </row>
    <row r="451">
      <c r="A451" s="49" t="str">
        <f>IFERROR(__xludf.DUMMYFUNCTION("""COMPUTED_VALUE"""),"DragonScale Royal Pauldrons")</f>
        <v>DragonScale Royal Pauldrons</v>
      </c>
      <c r="B451" s="49" t="str">
        <f>IFERROR(__xludf.DUMMYFUNCTION("""COMPUTED_VALUE"""),"Shoulders")</f>
        <v>Shoulders</v>
      </c>
      <c r="C451" s="49"/>
      <c r="D451" s="49"/>
      <c r="E451" s="49">
        <f>IFERROR(__xludf.DUMMYFUNCTION("""COMPUTED_VALUE"""),200.0)</f>
        <v>200</v>
      </c>
      <c r="F451" s="112">
        <f>IFERROR(__xludf.DUMMYFUNCTION("""COMPUTED_VALUE"""),4.95E7)</f>
        <v>49500000</v>
      </c>
      <c r="G451" s="49" t="str">
        <f>IFERROR(__xludf.DUMMYFUNCTION("""COMPUTED_VALUE"""),"DEF")</f>
        <v>DEF</v>
      </c>
      <c r="H451" s="125">
        <f>IFERROR(__xludf.DUMMYFUNCTION("""COMPUTED_VALUE"""),20000.0)</f>
        <v>20000</v>
      </c>
      <c r="I451" s="49"/>
      <c r="J451" s="49"/>
      <c r="K451" s="49"/>
      <c r="L451" s="49"/>
      <c r="M451" s="49"/>
      <c r="N451" s="49"/>
      <c r="O451" s="49">
        <f>IFERROR(__xludf.DUMMYFUNCTION("""COMPUTED_VALUE"""),10000.0)</f>
        <v>10000</v>
      </c>
      <c r="P451" s="49"/>
      <c r="Q451" s="49"/>
      <c r="R451" s="49">
        <f>IFERROR(__xludf.DUMMYFUNCTION("""COMPUTED_VALUE"""),10000.0)</f>
        <v>10000</v>
      </c>
      <c r="S451" s="49"/>
      <c r="T451" s="49"/>
      <c r="U451" s="49"/>
      <c r="V451" s="49"/>
      <c r="W451" s="49"/>
      <c r="X451" s="49"/>
      <c r="Y451" s="49"/>
      <c r="Z451" s="49"/>
      <c r="AA451" s="49"/>
      <c r="AB451" s="49"/>
      <c r="AC451" s="49">
        <f>IFERROR(__xludf.DUMMYFUNCTION("""COMPUTED_VALUE"""),10000.0)</f>
        <v>10000</v>
      </c>
      <c r="AD451" s="49"/>
      <c r="AE451" s="49"/>
      <c r="AF451" s="49" t="str">
        <f>IFERROR(__xludf.DUMMYFUNCTION("""COMPUTED_VALUE"""),"++X2 Defense for the Wearer. ++Light Embodiment - When Equipped deal X2 Order and Light DMG ")</f>
        <v>++X2 Defense for the Wearer. ++Light Embodiment - When Equipped deal X2 Order and Light DMG </v>
      </c>
      <c r="AG451" s="49" t="str">
        <f>IFERROR(__xludf.DUMMYFUNCTION("""COMPUTED_VALUE"""),"Dragonscale Island")</f>
        <v>Dragonscale Island</v>
      </c>
      <c r="AH451" s="49" t="b">
        <f>IFERROR(__xludf.DUMMYFUNCTION("""COMPUTED_VALUE"""),TRUE)</f>
        <v>1</v>
      </c>
    </row>
    <row r="452">
      <c r="A452" s="49" t="str">
        <f>IFERROR(__xludf.DUMMYFUNCTION("""COMPUTED_VALUE"""),"BLADE! OF! JUSTICE!!!!")</f>
        <v>BLADE! OF! JUSTICE!!!!</v>
      </c>
      <c r="B452" s="49" t="str">
        <f>IFERROR(__xludf.DUMMYFUNCTION("""COMPUTED_VALUE"""),"Hand")</f>
        <v>Hand</v>
      </c>
      <c r="C452" s="49"/>
      <c r="D452" s="49" t="str">
        <f>IFERROR(__xludf.DUMMYFUNCTION("""COMPUTED_VALUE"""),"Sword")</f>
        <v>Sword</v>
      </c>
      <c r="E452" s="49">
        <f>IFERROR(__xludf.DUMMYFUNCTION("""COMPUTED_VALUE"""),200.0)</f>
        <v>200</v>
      </c>
      <c r="F452" s="112">
        <f>IFERROR(__xludf.DUMMYFUNCTION("""COMPUTED_VALUE"""),3.367E8)</f>
        <v>336700000</v>
      </c>
      <c r="G452" s="49" t="str">
        <f>IFERROR(__xludf.DUMMYFUNCTION("""COMPUTED_VALUE"""),"DMG")</f>
        <v>DMG</v>
      </c>
      <c r="H452" s="125">
        <f>IFERROR(__xludf.DUMMYFUNCTION("""COMPUTED_VALUE"""),100000.0)</f>
        <v>100000</v>
      </c>
      <c r="I452" s="49"/>
      <c r="J452" s="49"/>
      <c r="K452" s="49"/>
      <c r="L452" s="49"/>
      <c r="M452" s="49"/>
      <c r="N452" s="49">
        <f>IFERROR(__xludf.DUMMYFUNCTION("""COMPUTED_VALUE"""),10000.0)</f>
        <v>10000</v>
      </c>
      <c r="O452" s="49"/>
      <c r="P452" s="49"/>
      <c r="Q452" s="125">
        <f>IFERROR(__xludf.DUMMYFUNCTION("""COMPUTED_VALUE"""),10000.0)</f>
        <v>10000</v>
      </c>
      <c r="R452" s="49"/>
      <c r="S452" s="49"/>
      <c r="T452" s="49"/>
      <c r="U452" s="49"/>
      <c r="V452" s="49"/>
      <c r="W452" s="49"/>
      <c r="X452" s="49"/>
      <c r="Y452" s="49"/>
      <c r="Z452" s="49"/>
      <c r="AA452" s="49"/>
      <c r="AB452" s="49"/>
      <c r="AC452" s="49">
        <f>IFERROR(__xludf.DUMMYFUNCTION("""COMPUTED_VALUE"""),10000.0)</f>
        <v>10000</v>
      </c>
      <c r="AD452" s="49"/>
      <c r="AE452" s="49"/>
      <c r="AF452" s="49"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49" t="str">
        <f>IFERROR(__xludf.DUMMYFUNCTION("""COMPUTED_VALUE"""),"Dragonscale Island")</f>
        <v>Dragonscale Island</v>
      </c>
      <c r="AH452" s="49" t="b">
        <f>IFERROR(__xludf.DUMMYFUNCTION("""COMPUTED_VALUE"""),TRUE)</f>
        <v>1</v>
      </c>
    </row>
    <row r="453">
      <c r="A453" s="49" t="str">
        <f>IFERROR(__xludf.DUMMYFUNCTION("""COMPUTED_VALUE"""),"Abstara Royal Helm")</f>
        <v>Abstara Royal Helm</v>
      </c>
      <c r="B453" s="49" t="str">
        <f>IFERROR(__xludf.DUMMYFUNCTION("""COMPUTED_VALUE"""),"Head")</f>
        <v>Head</v>
      </c>
      <c r="C453" s="49"/>
      <c r="D453" s="49"/>
      <c r="E453" s="49">
        <f>IFERROR(__xludf.DUMMYFUNCTION("""COMPUTED_VALUE"""),200.0)</f>
        <v>200</v>
      </c>
      <c r="F453" s="112">
        <f>IFERROR(__xludf.DUMMYFUNCTION("""COMPUTED_VALUE"""),1.99E8)</f>
        <v>199000000</v>
      </c>
      <c r="G453" s="49" t="str">
        <f>IFERROR(__xludf.DUMMYFUNCTION("""COMPUTED_VALUE"""),"DEF")</f>
        <v>DEF</v>
      </c>
      <c r="H453" s="125">
        <f>IFERROR(__xludf.DUMMYFUNCTION("""COMPUTED_VALUE"""),50000.0)</f>
        <v>50000</v>
      </c>
      <c r="I453" s="49"/>
      <c r="J453" s="49"/>
      <c r="K453" s="49"/>
      <c r="L453" s="49"/>
      <c r="M453" s="49"/>
      <c r="N453" s="49"/>
      <c r="O453" s="49"/>
      <c r="P453" s="49"/>
      <c r="Q453" s="49"/>
      <c r="R453" s="49"/>
      <c r="S453" s="49"/>
      <c r="T453" s="49"/>
      <c r="U453" s="49"/>
      <c r="V453" s="49"/>
      <c r="W453" s="49"/>
      <c r="X453" s="49"/>
      <c r="Y453" s="49"/>
      <c r="Z453" s="49"/>
      <c r="AA453" s="49"/>
      <c r="AB453" s="49"/>
      <c r="AC453" s="125">
        <f>IFERROR(__xludf.DUMMYFUNCTION("""COMPUTED_VALUE"""),50000.0)</f>
        <v>50000</v>
      </c>
      <c r="AD453" s="49"/>
      <c r="AE453" s="49"/>
      <c r="AF453" s="49" t="str">
        <f>IFERROR(__xludf.DUMMYFUNCTION("""COMPUTED_VALUE"""),"++X4 Defense for the Wearer. ++Underworldly Embodiment - When Equipped deal X4 Dark, Chaos, Fire, and Celestial DMG ")</f>
        <v>++X4 Defense for the Wearer. ++Underworldly Embodiment - When Equipped deal X4 Dark, Chaos, Fire, and Celestial DMG </v>
      </c>
      <c r="AG453" s="49" t="str">
        <f>IFERROR(__xludf.DUMMYFUNCTION("""COMPUTED_VALUE"""),"Abstara")</f>
        <v>Abstara</v>
      </c>
      <c r="AH453" s="49" t="b">
        <f>IFERROR(__xludf.DUMMYFUNCTION("""COMPUTED_VALUE"""),TRUE)</f>
        <v>1</v>
      </c>
    </row>
    <row r="454">
      <c r="A454" s="49" t="str">
        <f>IFERROR(__xludf.DUMMYFUNCTION("""COMPUTED_VALUE"""),"Abstara Royal Chestplate")</f>
        <v>Abstara Royal Chestplate</v>
      </c>
      <c r="B454" s="49" t="str">
        <f>IFERROR(__xludf.DUMMYFUNCTION("""COMPUTED_VALUE"""),"Torso")</f>
        <v>Torso</v>
      </c>
      <c r="C454" s="49"/>
      <c r="D454" s="49"/>
      <c r="E454" s="49">
        <f>IFERROR(__xludf.DUMMYFUNCTION("""COMPUTED_VALUE"""),200.0)</f>
        <v>200</v>
      </c>
      <c r="F454" s="112">
        <f>IFERROR(__xludf.DUMMYFUNCTION("""COMPUTED_VALUE"""),1.99E8)</f>
        <v>199000000</v>
      </c>
      <c r="G454" s="49" t="str">
        <f>IFERROR(__xludf.DUMMYFUNCTION("""COMPUTED_VALUE"""),"DEF")</f>
        <v>DEF</v>
      </c>
      <c r="H454" s="125">
        <f>IFERROR(__xludf.DUMMYFUNCTION("""COMPUTED_VALUE"""),50000.0)</f>
        <v>50000</v>
      </c>
      <c r="I454" s="49"/>
      <c r="J454" s="49"/>
      <c r="K454" s="49"/>
      <c r="L454" s="49"/>
      <c r="M454" s="49"/>
      <c r="N454" s="49"/>
      <c r="O454" s="49"/>
      <c r="P454" s="49"/>
      <c r="Q454" s="49"/>
      <c r="R454" s="49"/>
      <c r="S454" s="49"/>
      <c r="T454" s="49"/>
      <c r="U454" s="49"/>
      <c r="V454" s="49"/>
      <c r="W454" s="49"/>
      <c r="X454" s="49"/>
      <c r="Y454" s="49"/>
      <c r="Z454" s="49"/>
      <c r="AA454" s="49"/>
      <c r="AB454" s="49"/>
      <c r="AC454" s="125">
        <f>IFERROR(__xludf.DUMMYFUNCTION("""COMPUTED_VALUE"""),50000.0)</f>
        <v>50000</v>
      </c>
      <c r="AD454" s="49"/>
      <c r="AE454" s="49"/>
      <c r="AF454" s="49" t="str">
        <f>IFERROR(__xludf.DUMMYFUNCTION("""COMPUTED_VALUE"""),"++X4 Defense for the Wearer. ++Underworldly Embodiment - When Equipped deal X4 Dark, Chaos, Fire, and Celestial DMG ")</f>
        <v>++X4 Defense for the Wearer. ++Underworldly Embodiment - When Equipped deal X4 Dark, Chaos, Fire, and Celestial DMG </v>
      </c>
      <c r="AG454" s="49" t="str">
        <f>IFERROR(__xludf.DUMMYFUNCTION("""COMPUTED_VALUE"""),"Abstara")</f>
        <v>Abstara</v>
      </c>
      <c r="AH454" s="49" t="b">
        <f>IFERROR(__xludf.DUMMYFUNCTION("""COMPUTED_VALUE"""),TRUE)</f>
        <v>1</v>
      </c>
    </row>
    <row r="455">
      <c r="A455" s="49" t="str">
        <f>IFERROR(__xludf.DUMMYFUNCTION("""COMPUTED_VALUE"""),"Abstara Royal Vambraces")</f>
        <v>Abstara Royal Vambraces</v>
      </c>
      <c r="B455" s="49" t="str">
        <f>IFERROR(__xludf.DUMMYFUNCTION("""COMPUTED_VALUE"""),"Arms")</f>
        <v>Arms</v>
      </c>
      <c r="C455" s="49"/>
      <c r="D455" s="49"/>
      <c r="E455" s="49">
        <f>IFERROR(__xludf.DUMMYFUNCTION("""COMPUTED_VALUE"""),200.0)</f>
        <v>200</v>
      </c>
      <c r="F455" s="112">
        <f>IFERROR(__xludf.DUMMYFUNCTION("""COMPUTED_VALUE"""),1.99E8)</f>
        <v>199000000</v>
      </c>
      <c r="G455" s="49" t="str">
        <f>IFERROR(__xludf.DUMMYFUNCTION("""COMPUTED_VALUE"""),"DEF")</f>
        <v>DEF</v>
      </c>
      <c r="H455" s="125">
        <f>IFERROR(__xludf.DUMMYFUNCTION("""COMPUTED_VALUE"""),50000.0)</f>
        <v>50000</v>
      </c>
      <c r="I455" s="49"/>
      <c r="J455" s="49"/>
      <c r="K455" s="49"/>
      <c r="L455" s="49"/>
      <c r="M455" s="49"/>
      <c r="N455" s="49"/>
      <c r="O455" s="49"/>
      <c r="P455" s="49"/>
      <c r="Q455" s="49"/>
      <c r="R455" s="49"/>
      <c r="S455" s="49"/>
      <c r="T455" s="49"/>
      <c r="U455" s="49"/>
      <c r="V455" s="49"/>
      <c r="W455" s="49"/>
      <c r="X455" s="49"/>
      <c r="Y455" s="49"/>
      <c r="Z455" s="49"/>
      <c r="AA455" s="49"/>
      <c r="AB455" s="49"/>
      <c r="AC455" s="125">
        <f>IFERROR(__xludf.DUMMYFUNCTION("""COMPUTED_VALUE"""),50000.0)</f>
        <v>50000</v>
      </c>
      <c r="AD455" s="49"/>
      <c r="AE455" s="49"/>
      <c r="AF455" s="49" t="str">
        <f>IFERROR(__xludf.DUMMYFUNCTION("""COMPUTED_VALUE"""),"++X4 Defense for the Wearer. ++Underworldly Embodiment - When Equipped deal X4 Dark, Chaos, Fire, and Celestial DMG ")</f>
        <v>++X4 Defense for the Wearer. ++Underworldly Embodiment - When Equipped deal X4 Dark, Chaos, Fire, and Celestial DMG </v>
      </c>
      <c r="AG455" s="49" t="str">
        <f>IFERROR(__xludf.DUMMYFUNCTION("""COMPUTED_VALUE"""),"Abstara")</f>
        <v>Abstara</v>
      </c>
      <c r="AH455" s="49" t="b">
        <f>IFERROR(__xludf.DUMMYFUNCTION("""COMPUTED_VALUE"""),TRUE)</f>
        <v>1</v>
      </c>
    </row>
    <row r="456">
      <c r="A456" s="49" t="str">
        <f>IFERROR(__xludf.DUMMYFUNCTION("""COMPUTED_VALUE"""),"Abstara Royal Greaves")</f>
        <v>Abstara Royal Greaves</v>
      </c>
      <c r="B456" s="49" t="str">
        <f>IFERROR(__xludf.DUMMYFUNCTION("""COMPUTED_VALUE"""),"Legs")</f>
        <v>Legs</v>
      </c>
      <c r="C456" s="49"/>
      <c r="D456" s="49"/>
      <c r="E456" s="49">
        <f>IFERROR(__xludf.DUMMYFUNCTION("""COMPUTED_VALUE"""),200.0)</f>
        <v>200</v>
      </c>
      <c r="F456" s="112">
        <f>IFERROR(__xludf.DUMMYFUNCTION("""COMPUTED_VALUE"""),1.99E8)</f>
        <v>199000000</v>
      </c>
      <c r="G456" s="49" t="str">
        <f>IFERROR(__xludf.DUMMYFUNCTION("""COMPUTED_VALUE"""),"DEF")</f>
        <v>DEF</v>
      </c>
      <c r="H456" s="125">
        <f>IFERROR(__xludf.DUMMYFUNCTION("""COMPUTED_VALUE"""),50000.0)</f>
        <v>50000</v>
      </c>
      <c r="I456" s="49"/>
      <c r="J456" s="49"/>
      <c r="K456" s="49"/>
      <c r="L456" s="49"/>
      <c r="M456" s="49"/>
      <c r="N456" s="49"/>
      <c r="O456" s="49"/>
      <c r="P456" s="49"/>
      <c r="Q456" s="49"/>
      <c r="R456" s="49"/>
      <c r="S456" s="49"/>
      <c r="T456" s="49"/>
      <c r="U456" s="49"/>
      <c r="V456" s="49"/>
      <c r="W456" s="49"/>
      <c r="X456" s="49"/>
      <c r="Y456" s="49"/>
      <c r="Z456" s="49"/>
      <c r="AA456" s="49"/>
      <c r="AB456" s="49"/>
      <c r="AC456" s="125">
        <f>IFERROR(__xludf.DUMMYFUNCTION("""COMPUTED_VALUE"""),50000.0)</f>
        <v>50000</v>
      </c>
      <c r="AD456" s="49"/>
      <c r="AE456" s="49"/>
      <c r="AF456" s="49" t="str">
        <f>IFERROR(__xludf.DUMMYFUNCTION("""COMPUTED_VALUE"""),"++X4 Defense for the Wearer. ++Underworldly Embodiment - When Equipped deal X4 Dark, Chaos, Fire, and Celestial DMG ")</f>
        <v>++X4 Defense for the Wearer. ++Underworldly Embodiment - When Equipped deal X4 Dark, Chaos, Fire, and Celestial DMG </v>
      </c>
      <c r="AG456" s="49" t="str">
        <f>IFERROR(__xludf.DUMMYFUNCTION("""COMPUTED_VALUE"""),"Abstara")</f>
        <v>Abstara</v>
      </c>
      <c r="AH456" s="49" t="b">
        <f>IFERROR(__xludf.DUMMYFUNCTION("""COMPUTED_VALUE"""),TRUE)</f>
        <v>1</v>
      </c>
    </row>
    <row r="457">
      <c r="A457" s="49" t="str">
        <f>IFERROR(__xludf.DUMMYFUNCTION("""COMPUTED_VALUE"""),"Abstara Royal Shield")</f>
        <v>Abstara Royal Shield</v>
      </c>
      <c r="B457" s="49" t="str">
        <f>IFERROR(__xludf.DUMMYFUNCTION("""COMPUTED_VALUE"""),"Hand")</f>
        <v>Hand</v>
      </c>
      <c r="C457" s="49"/>
      <c r="D457" s="49" t="str">
        <f>IFERROR(__xludf.DUMMYFUNCTION("""COMPUTED_VALUE"""),"Towershield")</f>
        <v>Towershield</v>
      </c>
      <c r="E457" s="49">
        <f>IFERROR(__xludf.DUMMYFUNCTION("""COMPUTED_VALUE"""),200.0)</f>
        <v>200</v>
      </c>
      <c r="F457" s="112">
        <f>IFERROR(__xludf.DUMMYFUNCTION("""COMPUTED_VALUE"""),1.99E8)</f>
        <v>199000000</v>
      </c>
      <c r="G457" s="49" t="str">
        <f>IFERROR(__xludf.DUMMYFUNCTION("""COMPUTED_VALUE"""),"DEF")</f>
        <v>DEF</v>
      </c>
      <c r="H457" s="125">
        <f>IFERROR(__xludf.DUMMYFUNCTION("""COMPUTED_VALUE"""),50000.0)</f>
        <v>50000</v>
      </c>
      <c r="I457" s="49"/>
      <c r="J457" s="49"/>
      <c r="K457" s="49"/>
      <c r="L457" s="49"/>
      <c r="M457" s="49"/>
      <c r="N457" s="49"/>
      <c r="O457" s="49"/>
      <c r="P457" s="49"/>
      <c r="Q457" s="49"/>
      <c r="R457" s="49"/>
      <c r="S457" s="49"/>
      <c r="T457" s="49"/>
      <c r="U457" s="49"/>
      <c r="V457" s="49"/>
      <c r="W457" s="49"/>
      <c r="X457" s="49"/>
      <c r="Y457" s="49"/>
      <c r="Z457" s="49"/>
      <c r="AA457" s="49"/>
      <c r="AB457" s="49"/>
      <c r="AC457" s="125">
        <f>IFERROR(__xludf.DUMMYFUNCTION("""COMPUTED_VALUE"""),50000.0)</f>
        <v>50000</v>
      </c>
      <c r="AD457" s="49"/>
      <c r="AE457" s="49"/>
      <c r="AF457" s="49" t="str">
        <f>IFERROR(__xludf.DUMMYFUNCTION("""COMPUTED_VALUE"""),"++X4 Defense for the Wearer. ++Underworldly Embodiment - When Equipped deal X4 Dark, Chaos, Fire, and Celestial DMG ")</f>
        <v>++X4 Defense for the Wearer. ++Underworldly Embodiment - When Equipped deal X4 Dark, Chaos, Fire, and Celestial DMG </v>
      </c>
      <c r="AG457" s="49" t="str">
        <f>IFERROR(__xludf.DUMMYFUNCTION("""COMPUTED_VALUE"""),"Abstara")</f>
        <v>Abstara</v>
      </c>
      <c r="AH457" s="49" t="b">
        <f>IFERROR(__xludf.DUMMYFUNCTION("""COMPUTED_VALUE"""),TRUE)</f>
        <v>1</v>
      </c>
    </row>
    <row r="458">
      <c r="A458" s="49" t="str">
        <f>IFERROR(__xludf.DUMMYFUNCTION("""COMPUTED_VALUE"""),"Abstara Royal Boots")</f>
        <v>Abstara Royal Boots</v>
      </c>
      <c r="B458" s="49" t="str">
        <f>IFERROR(__xludf.DUMMYFUNCTION("""COMPUTED_VALUE"""),"Feet")</f>
        <v>Feet</v>
      </c>
      <c r="C458" s="49"/>
      <c r="D458" s="49"/>
      <c r="E458" s="49">
        <f>IFERROR(__xludf.DUMMYFUNCTION("""COMPUTED_VALUE"""),200.0)</f>
        <v>200</v>
      </c>
      <c r="F458" s="112">
        <f>IFERROR(__xludf.DUMMYFUNCTION("""COMPUTED_VALUE"""),1.99E8)</f>
        <v>199000000</v>
      </c>
      <c r="G458" s="49" t="str">
        <f>IFERROR(__xludf.DUMMYFUNCTION("""COMPUTED_VALUE"""),"DEF")</f>
        <v>DEF</v>
      </c>
      <c r="H458" s="125">
        <f>IFERROR(__xludf.DUMMYFUNCTION("""COMPUTED_VALUE"""),50000.0)</f>
        <v>50000</v>
      </c>
      <c r="I458" s="49"/>
      <c r="J458" s="49"/>
      <c r="K458" s="49"/>
      <c r="L458" s="49"/>
      <c r="M458" s="49"/>
      <c r="N458" s="49"/>
      <c r="O458" s="49"/>
      <c r="P458" s="49"/>
      <c r="Q458" s="49"/>
      <c r="R458" s="49"/>
      <c r="S458" s="49"/>
      <c r="T458" s="49"/>
      <c r="U458" s="49"/>
      <c r="V458" s="49"/>
      <c r="W458" s="49"/>
      <c r="X458" s="49"/>
      <c r="Y458" s="49"/>
      <c r="Z458" s="49"/>
      <c r="AA458" s="49"/>
      <c r="AB458" s="49"/>
      <c r="AC458" s="125">
        <f>IFERROR(__xludf.DUMMYFUNCTION("""COMPUTED_VALUE"""),50000.0)</f>
        <v>50000</v>
      </c>
      <c r="AD458" s="49"/>
      <c r="AE458" s="49"/>
      <c r="AF458" s="49" t="str">
        <f>IFERROR(__xludf.DUMMYFUNCTION("""COMPUTED_VALUE"""),"++X4 Defense for the Wearer. ++Underworldly Embodiment - When Equipped deal X4 Dark, Chaos, Fire, and Celestial DMG ")</f>
        <v>++X4 Defense for the Wearer. ++Underworldly Embodiment - When Equipped deal X4 Dark, Chaos, Fire, and Celestial DMG </v>
      </c>
      <c r="AG458" s="49" t="str">
        <f>IFERROR(__xludf.DUMMYFUNCTION("""COMPUTED_VALUE"""),"Abstara")</f>
        <v>Abstara</v>
      </c>
      <c r="AH458" s="49" t="b">
        <f>IFERROR(__xludf.DUMMYFUNCTION("""COMPUTED_VALUE"""),TRUE)</f>
        <v>1</v>
      </c>
    </row>
    <row r="459">
      <c r="A459" s="49" t="str">
        <f>IFERROR(__xludf.DUMMYFUNCTION("""COMPUTED_VALUE"""),"Abstara Royal Pauldrons")</f>
        <v>Abstara Royal Pauldrons</v>
      </c>
      <c r="B459" s="49" t="str">
        <f>IFERROR(__xludf.DUMMYFUNCTION("""COMPUTED_VALUE"""),"Shoulders")</f>
        <v>Shoulders</v>
      </c>
      <c r="C459" s="49"/>
      <c r="D459" s="49"/>
      <c r="E459" s="49">
        <f>IFERROR(__xludf.DUMMYFUNCTION("""COMPUTED_VALUE"""),200.0)</f>
        <v>200</v>
      </c>
      <c r="F459" s="112">
        <f>IFERROR(__xludf.DUMMYFUNCTION("""COMPUTED_VALUE"""),1.99E8)</f>
        <v>199000000</v>
      </c>
      <c r="G459" s="49" t="str">
        <f>IFERROR(__xludf.DUMMYFUNCTION("""COMPUTED_VALUE"""),"DEF")</f>
        <v>DEF</v>
      </c>
      <c r="H459" s="125">
        <f>IFERROR(__xludf.DUMMYFUNCTION("""COMPUTED_VALUE"""),50000.0)</f>
        <v>50000</v>
      </c>
      <c r="I459" s="49"/>
      <c r="J459" s="49"/>
      <c r="K459" s="49"/>
      <c r="L459" s="49"/>
      <c r="M459" s="49"/>
      <c r="N459" s="49"/>
      <c r="O459" s="49"/>
      <c r="P459" s="49"/>
      <c r="Q459" s="49"/>
      <c r="R459" s="49"/>
      <c r="S459" s="49"/>
      <c r="T459" s="49"/>
      <c r="U459" s="49"/>
      <c r="V459" s="49"/>
      <c r="W459" s="49"/>
      <c r="X459" s="49"/>
      <c r="Y459" s="49"/>
      <c r="Z459" s="49"/>
      <c r="AA459" s="49"/>
      <c r="AB459" s="49"/>
      <c r="AC459" s="125">
        <f>IFERROR(__xludf.DUMMYFUNCTION("""COMPUTED_VALUE"""),50000.0)</f>
        <v>50000</v>
      </c>
      <c r="AD459" s="49"/>
      <c r="AE459" s="49"/>
      <c r="AF459" s="49" t="str">
        <f>IFERROR(__xludf.DUMMYFUNCTION("""COMPUTED_VALUE"""),"++X4 Defense for the Wearer. ++Underworldly Embodiment - When Equipped deal X4 Dark, Chaos, Fire, and Celestial DMG ")</f>
        <v>++X4 Defense for the Wearer. ++Underworldly Embodiment - When Equipped deal X4 Dark, Chaos, Fire, and Celestial DMG </v>
      </c>
      <c r="AG459" s="49" t="str">
        <f>IFERROR(__xludf.DUMMYFUNCTION("""COMPUTED_VALUE"""),"Abstara")</f>
        <v>Abstara</v>
      </c>
      <c r="AH459" s="49" t="b">
        <f>IFERROR(__xludf.DUMMYFUNCTION("""COMPUTED_VALUE"""),TRUE)</f>
        <v>1</v>
      </c>
    </row>
    <row r="460">
      <c r="A460" s="49" t="str">
        <f>IFERROR(__xludf.DUMMYFUNCTION("""COMPUTED_VALUE"""),"Feathered Hat of Roguish ""Justice""")</f>
        <v>Feathered Hat of Roguish "Justice"</v>
      </c>
      <c r="B460" s="49" t="str">
        <f>IFERROR(__xludf.DUMMYFUNCTION("""COMPUTED_VALUE"""),"Head")</f>
        <v>Head</v>
      </c>
      <c r="C460" s="49" t="str">
        <f>IFERROR(__xludf.DUMMYFUNCTION("""COMPUTED_VALUE"""),"Quest Item")</f>
        <v>Quest Item</v>
      </c>
      <c r="D460" s="49"/>
      <c r="E460" s="49">
        <f>IFERROR(__xludf.DUMMYFUNCTION("""COMPUTED_VALUE"""),200.0)</f>
        <v>200</v>
      </c>
      <c r="F460" s="112">
        <f>IFERROR(__xludf.DUMMYFUNCTION("""COMPUTED_VALUE"""),3.16E7)</f>
        <v>31600000</v>
      </c>
      <c r="G460" s="49" t="str">
        <f>IFERROR(__xludf.DUMMYFUNCTION("""COMPUTED_VALUE"""),"DEF")</f>
        <v>DEF</v>
      </c>
      <c r="H460" s="125">
        <f>IFERROR(__xludf.DUMMYFUNCTION("""COMPUTED_VALUE"""),10000.0)</f>
        <v>10000</v>
      </c>
      <c r="I460" s="49"/>
      <c r="J460" s="49"/>
      <c r="K460" s="49"/>
      <c r="L460" s="49"/>
      <c r="M460" s="49"/>
      <c r="N460" s="49">
        <f>IFERROR(__xludf.DUMMYFUNCTION("""COMPUTED_VALUE"""),10000.0)</f>
        <v>10000</v>
      </c>
      <c r="O460" s="49"/>
      <c r="P460" s="49"/>
      <c r="Q460" s="125">
        <f>IFERROR(__xludf.DUMMYFUNCTION("""COMPUTED_VALUE"""),10000.0)</f>
        <v>10000</v>
      </c>
      <c r="R460" s="49"/>
      <c r="S460" s="49"/>
      <c r="T460" s="49"/>
      <c r="U460" s="49"/>
      <c r="V460" s="49"/>
      <c r="W460" s="49"/>
      <c r="X460" s="49"/>
      <c r="Y460" s="49"/>
      <c r="Z460" s="49"/>
      <c r="AA460" s="49"/>
      <c r="AB460" s="49"/>
      <c r="AC460" s="49">
        <f>IFERROR(__xludf.DUMMYFUNCTION("""COMPUTED_VALUE"""),10000.0)</f>
        <v>10000</v>
      </c>
      <c r="AD460" s="49"/>
      <c r="AE460" s="49"/>
      <c r="AF460" s="49"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49" t="str">
        <f>IFERROR(__xludf.DUMMYFUNCTION("""COMPUTED_VALUE"""),"Land of Spira")</f>
        <v>Land of Spira</v>
      </c>
      <c r="AH460" s="49" t="b">
        <f>IFERROR(__xludf.DUMMYFUNCTION("""COMPUTED_VALUE"""),FALSE)</f>
        <v>0</v>
      </c>
    </row>
    <row r="461">
      <c r="A461" s="49" t="str">
        <f>IFERROR(__xludf.DUMMYFUNCTION("""COMPUTED_VALUE"""),"Cape of Misdeed")</f>
        <v>Cape of Misdeed</v>
      </c>
      <c r="B461" s="49" t="str">
        <f>IFERROR(__xludf.DUMMYFUNCTION("""COMPUTED_VALUE"""),"Shoulders")</f>
        <v>Shoulders</v>
      </c>
      <c r="C461" s="49" t="str">
        <f>IFERROR(__xludf.DUMMYFUNCTION("""COMPUTED_VALUE"""),"Quest Item")</f>
        <v>Quest Item</v>
      </c>
      <c r="D461" s="49"/>
      <c r="E461" s="49">
        <f>IFERROR(__xludf.DUMMYFUNCTION("""COMPUTED_VALUE"""),200.0)</f>
        <v>200</v>
      </c>
      <c r="F461" s="112">
        <f>IFERROR(__xludf.DUMMYFUNCTION("""COMPUTED_VALUE"""),9460000.0)</f>
        <v>9460000</v>
      </c>
      <c r="G461" s="49" t="str">
        <f>IFERROR(__xludf.DUMMYFUNCTION("""COMPUTED_VALUE"""),"DEF")</f>
        <v>DEF</v>
      </c>
      <c r="H461" s="125">
        <f>IFERROR(__xludf.DUMMYFUNCTION("""COMPUTED_VALUE"""),1000.0)</f>
        <v>1000</v>
      </c>
      <c r="I461" s="49"/>
      <c r="J461" s="49"/>
      <c r="K461" s="49"/>
      <c r="L461" s="49"/>
      <c r="M461" s="49"/>
      <c r="N461" s="49">
        <f>IFERROR(__xludf.DUMMYFUNCTION("""COMPUTED_VALUE"""),10000.0)</f>
        <v>10000</v>
      </c>
      <c r="O461" s="49"/>
      <c r="P461" s="49"/>
      <c r="Q461" s="125">
        <f>IFERROR(__xludf.DUMMYFUNCTION("""COMPUTED_VALUE"""),10000.0)</f>
        <v>10000</v>
      </c>
      <c r="R461" s="49"/>
      <c r="S461" s="49"/>
      <c r="T461" s="49"/>
      <c r="U461" s="49"/>
      <c r="V461" s="49"/>
      <c r="W461" s="49"/>
      <c r="X461" s="49"/>
      <c r="Y461" s="49"/>
      <c r="Z461" s="49"/>
      <c r="AA461" s="49"/>
      <c r="AB461" s="49"/>
      <c r="AC461" s="49">
        <f>IFERROR(__xludf.DUMMYFUNCTION("""COMPUTED_VALUE"""),1000.0)</f>
        <v>1000</v>
      </c>
      <c r="AD461" s="49"/>
      <c r="AE461" s="49"/>
      <c r="AF461" s="49"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49" t="str">
        <f>IFERROR(__xludf.DUMMYFUNCTION("""COMPUTED_VALUE"""),"Land of Spira")</f>
        <v>Land of Spira</v>
      </c>
      <c r="AH461" s="49" t="b">
        <f>IFERROR(__xludf.DUMMYFUNCTION("""COMPUTED_VALUE"""),FALSE)</f>
        <v>0</v>
      </c>
    </row>
    <row r="462">
      <c r="A462" s="49" t="str">
        <f>IFERROR(__xludf.DUMMYFUNCTION("""COMPUTED_VALUE"""),"Doublet of Debauchery")</f>
        <v>Doublet of Debauchery</v>
      </c>
      <c r="B462" s="49" t="str">
        <f>IFERROR(__xludf.DUMMYFUNCTION("""COMPUTED_VALUE"""),"Torso")</f>
        <v>Torso</v>
      </c>
      <c r="C462" s="49" t="str">
        <f>IFERROR(__xludf.DUMMYFUNCTION("""COMPUTED_VALUE"""),"Quest Item")</f>
        <v>Quest Item</v>
      </c>
      <c r="D462" s="49"/>
      <c r="E462" s="49">
        <f>IFERROR(__xludf.DUMMYFUNCTION("""COMPUTED_VALUE"""),200.0)</f>
        <v>200</v>
      </c>
      <c r="F462" s="112">
        <f>IFERROR(__xludf.DUMMYFUNCTION("""COMPUTED_VALUE"""),9.73E7)</f>
        <v>97300000</v>
      </c>
      <c r="G462" s="49" t="str">
        <f>IFERROR(__xludf.DUMMYFUNCTION("""COMPUTED_VALUE"""),"DEF")</f>
        <v>DEF</v>
      </c>
      <c r="H462" s="125">
        <f>IFERROR(__xludf.DUMMYFUNCTION("""COMPUTED_VALUE"""),20000.0)</f>
        <v>20000</v>
      </c>
      <c r="I462" s="49"/>
      <c r="J462" s="49"/>
      <c r="K462" s="49"/>
      <c r="L462" s="49"/>
      <c r="M462" s="49"/>
      <c r="N462" s="49">
        <f>IFERROR(__xludf.DUMMYFUNCTION("""COMPUTED_VALUE"""),20000.0)</f>
        <v>20000</v>
      </c>
      <c r="O462" s="49"/>
      <c r="P462" s="49"/>
      <c r="Q462" s="125">
        <f>IFERROR(__xludf.DUMMYFUNCTION("""COMPUTED_VALUE"""),20000.0)</f>
        <v>20000</v>
      </c>
      <c r="R462" s="49"/>
      <c r="S462" s="49"/>
      <c r="T462" s="49"/>
      <c r="U462" s="49"/>
      <c r="V462" s="49"/>
      <c r="W462" s="49"/>
      <c r="X462" s="49"/>
      <c r="Y462" s="49"/>
      <c r="Z462" s="49"/>
      <c r="AA462" s="49"/>
      <c r="AB462" s="49"/>
      <c r="AC462" s="49">
        <f>IFERROR(__xludf.DUMMYFUNCTION("""COMPUTED_VALUE"""),10000.0)</f>
        <v>10000</v>
      </c>
      <c r="AD462" s="49"/>
      <c r="AE462" s="49"/>
      <c r="AF462" s="49"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49" t="str">
        <f>IFERROR(__xludf.DUMMYFUNCTION("""COMPUTED_VALUE"""),"Land of Spira")</f>
        <v>Land of Spira</v>
      </c>
      <c r="AH462" s="49" t="b">
        <f>IFERROR(__xludf.DUMMYFUNCTION("""COMPUTED_VALUE"""),FALSE)</f>
        <v>0</v>
      </c>
    </row>
    <row r="463">
      <c r="A463" s="49" t="str">
        <f>IFERROR(__xludf.DUMMYFUNCTION("""COMPUTED_VALUE"""),"Leather Boots of Softstep")</f>
        <v>Leather Boots of Softstep</v>
      </c>
      <c r="B463" s="49" t="str">
        <f>IFERROR(__xludf.DUMMYFUNCTION("""COMPUTED_VALUE"""),"Feet")</f>
        <v>Feet</v>
      </c>
      <c r="C463" s="49" t="str">
        <f>IFERROR(__xludf.DUMMYFUNCTION("""COMPUTED_VALUE"""),"Quest Item")</f>
        <v>Quest Item</v>
      </c>
      <c r="D463" s="49"/>
      <c r="E463" s="49">
        <f>IFERROR(__xludf.DUMMYFUNCTION("""COMPUTED_VALUE"""),200.0)</f>
        <v>200</v>
      </c>
      <c r="F463" s="112">
        <f>IFERROR(__xludf.DUMMYFUNCTION("""COMPUTED_VALUE"""),3.16E7)</f>
        <v>31600000</v>
      </c>
      <c r="G463" s="49" t="str">
        <f>IFERROR(__xludf.DUMMYFUNCTION("""COMPUTED_VALUE"""),"DEF")</f>
        <v>DEF</v>
      </c>
      <c r="H463" s="125">
        <f>IFERROR(__xludf.DUMMYFUNCTION("""COMPUTED_VALUE"""),10000.0)</f>
        <v>10000</v>
      </c>
      <c r="I463" s="49"/>
      <c r="J463" s="49"/>
      <c r="K463" s="49"/>
      <c r="L463" s="49"/>
      <c r="M463" s="49"/>
      <c r="N463" s="49">
        <f>IFERROR(__xludf.DUMMYFUNCTION("""COMPUTED_VALUE"""),10000.0)</f>
        <v>10000</v>
      </c>
      <c r="O463" s="49"/>
      <c r="P463" s="49"/>
      <c r="Q463" s="125">
        <f>IFERROR(__xludf.DUMMYFUNCTION("""COMPUTED_VALUE"""),10000.0)</f>
        <v>10000</v>
      </c>
      <c r="R463" s="49"/>
      <c r="S463" s="49"/>
      <c r="T463" s="49"/>
      <c r="U463" s="49"/>
      <c r="V463" s="49"/>
      <c r="W463" s="49"/>
      <c r="X463" s="49"/>
      <c r="Y463" s="49"/>
      <c r="Z463" s="49"/>
      <c r="AA463" s="49"/>
      <c r="AB463" s="49"/>
      <c r="AC463" s="49">
        <f>IFERROR(__xludf.DUMMYFUNCTION("""COMPUTED_VALUE"""),10000.0)</f>
        <v>10000</v>
      </c>
      <c r="AD463" s="49"/>
      <c r="AE463" s="49"/>
      <c r="AF463" s="49"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49" t="str">
        <f>IFERROR(__xludf.DUMMYFUNCTION("""COMPUTED_VALUE"""),"Land of Spira")</f>
        <v>Land of Spira</v>
      </c>
      <c r="AH463" s="49" t="b">
        <f>IFERROR(__xludf.DUMMYFUNCTION("""COMPUTED_VALUE"""),FALSE)</f>
        <v>0</v>
      </c>
    </row>
    <row r="464">
      <c r="A464" s="49" t="str">
        <f>IFERROR(__xludf.DUMMYFUNCTION("""COMPUTED_VALUE"""),"Tights of Fabulous Thievery")</f>
        <v>Tights of Fabulous Thievery</v>
      </c>
      <c r="B464" s="49" t="str">
        <f>IFERROR(__xludf.DUMMYFUNCTION("""COMPUTED_VALUE"""),"Legs")</f>
        <v>Legs</v>
      </c>
      <c r="C464" s="49" t="str">
        <f>IFERROR(__xludf.DUMMYFUNCTION("""COMPUTED_VALUE"""),"Quest Item")</f>
        <v>Quest Item</v>
      </c>
      <c r="D464" s="49"/>
      <c r="E464" s="49">
        <f>IFERROR(__xludf.DUMMYFUNCTION("""COMPUTED_VALUE"""),200.0)</f>
        <v>200</v>
      </c>
      <c r="F464" s="112">
        <f>IFERROR(__xludf.DUMMYFUNCTION("""COMPUTED_VALUE"""),3.16E7)</f>
        <v>31600000</v>
      </c>
      <c r="G464" s="49" t="str">
        <f>IFERROR(__xludf.DUMMYFUNCTION("""COMPUTED_VALUE"""),"DEF")</f>
        <v>DEF</v>
      </c>
      <c r="H464" s="125">
        <f>IFERROR(__xludf.DUMMYFUNCTION("""COMPUTED_VALUE"""),10000.0)</f>
        <v>10000</v>
      </c>
      <c r="I464" s="49"/>
      <c r="J464" s="49"/>
      <c r="K464" s="49"/>
      <c r="L464" s="49"/>
      <c r="M464" s="49"/>
      <c r="N464" s="49">
        <f>IFERROR(__xludf.DUMMYFUNCTION("""COMPUTED_VALUE"""),10000.0)</f>
        <v>10000</v>
      </c>
      <c r="O464" s="49"/>
      <c r="P464" s="49"/>
      <c r="Q464" s="125">
        <f>IFERROR(__xludf.DUMMYFUNCTION("""COMPUTED_VALUE"""),10000.0)</f>
        <v>10000</v>
      </c>
      <c r="R464" s="49"/>
      <c r="S464" s="49"/>
      <c r="T464" s="49"/>
      <c r="U464" s="49"/>
      <c r="V464" s="49"/>
      <c r="W464" s="49"/>
      <c r="X464" s="49"/>
      <c r="Y464" s="49"/>
      <c r="Z464" s="49"/>
      <c r="AA464" s="49"/>
      <c r="AB464" s="49"/>
      <c r="AC464" s="49">
        <f>IFERROR(__xludf.DUMMYFUNCTION("""COMPUTED_VALUE"""),10000.0)</f>
        <v>10000</v>
      </c>
      <c r="AD464" s="49"/>
      <c r="AE464" s="49"/>
      <c r="AF464" s="49"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49" t="str">
        <f>IFERROR(__xludf.DUMMYFUNCTION("""COMPUTED_VALUE"""),"Land of Spira")</f>
        <v>Land of Spira</v>
      </c>
      <c r="AH464" s="49" t="b">
        <f>IFERROR(__xludf.DUMMYFUNCTION("""COMPUTED_VALUE"""),FALSE)</f>
        <v>0</v>
      </c>
    </row>
    <row r="465">
      <c r="A465" s="49" t="str">
        <f>IFERROR(__xludf.DUMMYFUNCTION("""COMPUTED_VALUE"""),"Fingerless Glove of Anonymity")</f>
        <v>Fingerless Glove of Anonymity</v>
      </c>
      <c r="B465" s="49" t="str">
        <f>IFERROR(__xludf.DUMMYFUNCTION("""COMPUTED_VALUE"""),"Hand")</f>
        <v>Hand</v>
      </c>
      <c r="C465" s="49" t="str">
        <f>IFERROR(__xludf.DUMMYFUNCTION("""COMPUTED_VALUE"""),"Quest Item")</f>
        <v>Quest Item</v>
      </c>
      <c r="D465" s="49" t="str">
        <f>IFERROR(__xludf.DUMMYFUNCTION("""COMPUTED_VALUE"""),"Claw")</f>
        <v>Claw</v>
      </c>
      <c r="E465" s="49">
        <f>IFERROR(__xludf.DUMMYFUNCTION("""COMPUTED_VALUE"""),200.0)</f>
        <v>200</v>
      </c>
      <c r="F465" s="112">
        <f>IFERROR(__xludf.DUMMYFUNCTION("""COMPUTED_VALUE"""),3.16E7)</f>
        <v>31600000</v>
      </c>
      <c r="G465" s="49" t="str">
        <f>IFERROR(__xludf.DUMMYFUNCTION("""COMPUTED_VALUE"""),"DMG")</f>
        <v>DMG</v>
      </c>
      <c r="H465" s="125">
        <f>IFERROR(__xludf.DUMMYFUNCTION("""COMPUTED_VALUE"""),10000.0)</f>
        <v>10000</v>
      </c>
      <c r="I465" s="49"/>
      <c r="J465" s="49"/>
      <c r="K465" s="49"/>
      <c r="L465" s="49"/>
      <c r="M465" s="49"/>
      <c r="N465" s="49">
        <f>IFERROR(__xludf.DUMMYFUNCTION("""COMPUTED_VALUE"""),10000.0)</f>
        <v>10000</v>
      </c>
      <c r="O465" s="49"/>
      <c r="P465" s="49"/>
      <c r="Q465" s="125">
        <f>IFERROR(__xludf.DUMMYFUNCTION("""COMPUTED_VALUE"""),10000.0)</f>
        <v>10000</v>
      </c>
      <c r="R465" s="49"/>
      <c r="S465" s="49"/>
      <c r="T465" s="49"/>
      <c r="U465" s="49"/>
      <c r="V465" s="49"/>
      <c r="W465" s="49"/>
      <c r="X465" s="49"/>
      <c r="Y465" s="49"/>
      <c r="Z465" s="49"/>
      <c r="AA465" s="49"/>
      <c r="AB465" s="49"/>
      <c r="AC465" s="49">
        <f>IFERROR(__xludf.DUMMYFUNCTION("""COMPUTED_VALUE"""),10000.0)</f>
        <v>10000</v>
      </c>
      <c r="AD465" s="49"/>
      <c r="AE465" s="49"/>
      <c r="AF465" s="49"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49" t="str">
        <f>IFERROR(__xludf.DUMMYFUNCTION("""COMPUTED_VALUE"""),"Land of Spira")</f>
        <v>Land of Spira</v>
      </c>
      <c r="AH465" s="49" t="b">
        <f>IFERROR(__xludf.DUMMYFUNCTION("""COMPUTED_VALUE"""),FALSE)</f>
        <v>0</v>
      </c>
    </row>
    <row r="466">
      <c r="A466" s="49" t="str">
        <f>IFERROR(__xludf.DUMMYFUNCTION("""COMPUTED_VALUE"""),"Bracers of Dastardly Deflection")</f>
        <v>Bracers of Dastardly Deflection</v>
      </c>
      <c r="B466" s="49" t="str">
        <f>IFERROR(__xludf.DUMMYFUNCTION("""COMPUTED_VALUE"""),"Arms")</f>
        <v>Arms</v>
      </c>
      <c r="C466" s="49" t="str">
        <f>IFERROR(__xludf.DUMMYFUNCTION("""COMPUTED_VALUE"""),"Quest Item")</f>
        <v>Quest Item</v>
      </c>
      <c r="D466" s="49"/>
      <c r="E466" s="49">
        <f>IFERROR(__xludf.DUMMYFUNCTION("""COMPUTED_VALUE"""),200.0)</f>
        <v>200</v>
      </c>
      <c r="F466" s="112">
        <f>IFERROR(__xludf.DUMMYFUNCTION("""COMPUTED_VALUE"""),3.16E7)</f>
        <v>31600000</v>
      </c>
      <c r="G466" s="49" t="str">
        <f>IFERROR(__xludf.DUMMYFUNCTION("""COMPUTED_VALUE"""),"DEF")</f>
        <v>DEF</v>
      </c>
      <c r="H466" s="125">
        <f>IFERROR(__xludf.DUMMYFUNCTION("""COMPUTED_VALUE"""),10000.0)</f>
        <v>10000</v>
      </c>
      <c r="I466" s="49"/>
      <c r="J466" s="49"/>
      <c r="K466" s="49"/>
      <c r="L466" s="49"/>
      <c r="M466" s="49"/>
      <c r="N466" s="49">
        <f>IFERROR(__xludf.DUMMYFUNCTION("""COMPUTED_VALUE"""),10000.0)</f>
        <v>10000</v>
      </c>
      <c r="O466" s="49"/>
      <c r="P466" s="49"/>
      <c r="Q466" s="125">
        <f>IFERROR(__xludf.DUMMYFUNCTION("""COMPUTED_VALUE"""),10000.0)</f>
        <v>10000</v>
      </c>
      <c r="R466" s="49"/>
      <c r="S466" s="49"/>
      <c r="T466" s="49"/>
      <c r="U466" s="49"/>
      <c r="V466" s="49"/>
      <c r="W466" s="49"/>
      <c r="X466" s="49"/>
      <c r="Y466" s="49"/>
      <c r="Z466" s="49"/>
      <c r="AA466" s="49"/>
      <c r="AB466" s="49"/>
      <c r="AC466" s="49">
        <f>IFERROR(__xludf.DUMMYFUNCTION("""COMPUTED_VALUE"""),10000.0)</f>
        <v>10000</v>
      </c>
      <c r="AD466" s="49"/>
      <c r="AE466" s="49"/>
      <c r="AF466" s="49"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49" t="str">
        <f>IFERROR(__xludf.DUMMYFUNCTION("""COMPUTED_VALUE"""),"Land of Spira")</f>
        <v>Land of Spira</v>
      </c>
      <c r="AH466" s="49" t="b">
        <f>IFERROR(__xludf.DUMMYFUNCTION("""COMPUTED_VALUE"""),FALSE)</f>
        <v>0</v>
      </c>
    </row>
    <row r="467">
      <c r="A467" s="49" t="str">
        <f>IFERROR(__xludf.DUMMYFUNCTION("""COMPUTED_VALUE"""),"Amulet of the Goddess of Theft")</f>
        <v>Amulet of the Goddess of Theft</v>
      </c>
      <c r="B467" s="49" t="str">
        <f>IFERROR(__xludf.DUMMYFUNCTION("""COMPUTED_VALUE"""),"Neck")</f>
        <v>Neck</v>
      </c>
      <c r="C467" s="49" t="str">
        <f>IFERROR(__xludf.DUMMYFUNCTION("""COMPUTED_VALUE"""),"Quest Item")</f>
        <v>Quest Item</v>
      </c>
      <c r="D467" s="49"/>
      <c r="E467" s="49">
        <f>IFERROR(__xludf.DUMMYFUNCTION("""COMPUTED_VALUE"""),1.0)</f>
        <v>1</v>
      </c>
      <c r="F467" s="112">
        <f>IFERROR(__xludf.DUMMYFUNCTION("""COMPUTED_VALUE"""),0.0)</f>
        <v>0</v>
      </c>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c r="AE467" s="49"/>
      <c r="AF467" s="49"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49" t="str">
        <f>IFERROR(__xludf.DUMMYFUNCTION("""COMPUTED_VALUE"""),"Land of Spira")</f>
        <v>Land of Spira</v>
      </c>
      <c r="AH467" s="49" t="b">
        <f>IFERROR(__xludf.DUMMYFUNCTION("""COMPUTED_VALUE"""),FALSE)</f>
        <v>0</v>
      </c>
    </row>
    <row r="468">
      <c r="A468" s="49" t="str">
        <f>IFERROR(__xludf.DUMMYFUNCTION("""COMPUTED_VALUE"""),"Flute of The Majestic Forest")</f>
        <v>Flute of The Majestic Forest</v>
      </c>
      <c r="B468" s="49" t="str">
        <f>IFERROR(__xludf.DUMMYFUNCTION("""COMPUTED_VALUE"""),"Hand")</f>
        <v>Hand</v>
      </c>
      <c r="C468" s="49"/>
      <c r="D468" s="49" t="str">
        <f>IFERROR(__xludf.DUMMYFUNCTION("""COMPUTED_VALUE"""),"Instrument")</f>
        <v>Instrument</v>
      </c>
      <c r="E468" s="49">
        <f>IFERROR(__xludf.DUMMYFUNCTION("""COMPUTED_VALUE"""),300.0)</f>
        <v>300</v>
      </c>
      <c r="F468" s="112">
        <f>IFERROR(__xludf.DUMMYFUNCTION("""COMPUTED_VALUE"""),4350000.0)</f>
        <v>4350000</v>
      </c>
      <c r="G468" s="49" t="str">
        <f>IFERROR(__xludf.DUMMYFUNCTION("""COMPUTED_VALUE"""),"DMG")</f>
        <v>DMG</v>
      </c>
      <c r="H468" s="125">
        <f>IFERROR(__xludf.DUMMYFUNCTION("""COMPUTED_VALUE"""),5000.0)</f>
        <v>5000</v>
      </c>
      <c r="I468" s="49"/>
      <c r="J468" s="49"/>
      <c r="K468" s="49"/>
      <c r="L468" s="49"/>
      <c r="M468" s="49"/>
      <c r="N468" s="49"/>
      <c r="O468" s="49"/>
      <c r="P468" s="49"/>
      <c r="Q468" s="49"/>
      <c r="R468" s="49"/>
      <c r="S468" s="49">
        <f>IFERROR(__xludf.DUMMYFUNCTION("""COMPUTED_VALUE"""),5000.0)</f>
        <v>5000</v>
      </c>
      <c r="T468" s="49"/>
      <c r="U468" s="49"/>
      <c r="V468" s="49"/>
      <c r="W468" s="49"/>
      <c r="X468" s="49"/>
      <c r="Y468" s="49"/>
      <c r="Z468" s="49"/>
      <c r="AA468" s="49"/>
      <c r="AB468" s="49"/>
      <c r="AC468" s="49"/>
      <c r="AD468" s="49"/>
      <c r="AE468" s="49">
        <f>IFERROR(__xludf.DUMMYFUNCTION("""COMPUTED_VALUE"""),5000.0)</f>
        <v>5000</v>
      </c>
      <c r="AF468" s="49"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49" t="str">
        <f>IFERROR(__xludf.DUMMYFUNCTION("""COMPUTED_VALUE"""),"Land of Spira")</f>
        <v>Land of Spira</v>
      </c>
      <c r="AH468" s="49" t="b">
        <f>IFERROR(__xludf.DUMMYFUNCTION("""COMPUTED_VALUE"""),FALSE)</f>
        <v>0</v>
      </c>
    </row>
    <row r="469">
      <c r="A469" s="49" t="str">
        <f>IFERROR(__xludf.DUMMYFUNCTION("""COMPUTED_VALUE"""),"Heatmore Tribal Drums")</f>
        <v>Heatmore Tribal Drums</v>
      </c>
      <c r="B469" s="49" t="str">
        <f>IFERROR(__xludf.DUMMYFUNCTION("""COMPUTED_VALUE"""),"Hand")</f>
        <v>Hand</v>
      </c>
      <c r="C469" s="49"/>
      <c r="D469" s="49" t="str">
        <f>IFERROR(__xludf.DUMMYFUNCTION("""COMPUTED_VALUE"""),"Instrument")</f>
        <v>Instrument</v>
      </c>
      <c r="E469" s="49">
        <f>IFERROR(__xludf.DUMMYFUNCTION("""COMPUTED_VALUE"""),600.0)</f>
        <v>600</v>
      </c>
      <c r="F469" s="112">
        <f>IFERROR(__xludf.DUMMYFUNCTION("""COMPUTED_VALUE"""),1.77E7)</f>
        <v>17700000</v>
      </c>
      <c r="G469" s="49" t="str">
        <f>IFERROR(__xludf.DUMMYFUNCTION("""COMPUTED_VALUE"""),"DMG")</f>
        <v>DMG</v>
      </c>
      <c r="H469" s="125">
        <f>IFERROR(__xludf.DUMMYFUNCTION("""COMPUTED_VALUE"""),10000.0)</f>
        <v>10000</v>
      </c>
      <c r="I469" s="125">
        <f>IFERROR(__xludf.DUMMYFUNCTION("""COMPUTED_VALUE"""),10000.0)</f>
        <v>10000</v>
      </c>
      <c r="J469" s="49"/>
      <c r="K469" s="49"/>
      <c r="L469" s="49"/>
      <c r="M469" s="49"/>
      <c r="N469" s="49"/>
      <c r="O469" s="49"/>
      <c r="P469" s="49"/>
      <c r="Q469" s="49"/>
      <c r="R469" s="49"/>
      <c r="S469" s="49"/>
      <c r="T469" s="49"/>
      <c r="U469" s="49"/>
      <c r="V469" s="49"/>
      <c r="W469" s="49"/>
      <c r="X469" s="49"/>
      <c r="Y469" s="49"/>
      <c r="Z469" s="49"/>
      <c r="AA469" s="49"/>
      <c r="AB469" s="49"/>
      <c r="AC469" s="49"/>
      <c r="AD469" s="49"/>
      <c r="AE469" s="125">
        <f>IFERROR(__xludf.DUMMYFUNCTION("""COMPUTED_VALUE"""),10000.0)</f>
        <v>10000</v>
      </c>
      <c r="AF469" s="49"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49" t="str">
        <f>IFERROR(__xludf.DUMMYFUNCTION("""COMPUTED_VALUE"""),"Land of Spira")</f>
        <v>Land of Spira</v>
      </c>
      <c r="AH469" s="49" t="b">
        <f>IFERROR(__xludf.DUMMYFUNCTION("""COMPUTED_VALUE"""),FALSE)</f>
        <v>0</v>
      </c>
    </row>
    <row r="470">
      <c r="A470" s="49" t="str">
        <f>IFERROR(__xludf.DUMMYFUNCTION("""COMPUTED_VALUE"""),"Heatmore Tribal Maracas")</f>
        <v>Heatmore Tribal Maracas</v>
      </c>
      <c r="B470" s="49" t="str">
        <f>IFERROR(__xludf.DUMMYFUNCTION("""COMPUTED_VALUE"""),"Hand")</f>
        <v>Hand</v>
      </c>
      <c r="C470" s="49"/>
      <c r="D470" s="49" t="str">
        <f>IFERROR(__xludf.DUMMYFUNCTION("""COMPUTED_VALUE"""),"Instrument")</f>
        <v>Instrument</v>
      </c>
      <c r="E470" s="49">
        <f>IFERROR(__xludf.DUMMYFUNCTION("""COMPUTED_VALUE"""),900.0)</f>
        <v>900</v>
      </c>
      <c r="F470" s="112">
        <f>IFERROR(__xludf.DUMMYFUNCTION("""COMPUTED_VALUE"""),4.005E7)</f>
        <v>40050000</v>
      </c>
      <c r="G470" s="49" t="str">
        <f>IFERROR(__xludf.DUMMYFUNCTION("""COMPUTED_VALUE"""),"DMG")</f>
        <v>DMG</v>
      </c>
      <c r="H470" s="125">
        <f>IFERROR(__xludf.DUMMYFUNCTION("""COMPUTED_VALUE"""),15000.0)</f>
        <v>15000</v>
      </c>
      <c r="I470" s="125">
        <f>IFERROR(__xludf.DUMMYFUNCTION("""COMPUTED_VALUE"""),15000.0)</f>
        <v>15000</v>
      </c>
      <c r="J470" s="49"/>
      <c r="K470" s="49"/>
      <c r="L470" s="49"/>
      <c r="M470" s="49"/>
      <c r="N470" s="49"/>
      <c r="O470" s="49"/>
      <c r="P470" s="49"/>
      <c r="Q470" s="49"/>
      <c r="R470" s="49"/>
      <c r="S470" s="49"/>
      <c r="T470" s="49"/>
      <c r="U470" s="49"/>
      <c r="V470" s="49"/>
      <c r="W470" s="49"/>
      <c r="X470" s="49"/>
      <c r="Y470" s="49"/>
      <c r="Z470" s="49"/>
      <c r="AA470" s="49"/>
      <c r="AB470" s="49"/>
      <c r="AC470" s="49"/>
      <c r="AD470" s="49"/>
      <c r="AE470" s="125">
        <f>IFERROR(__xludf.DUMMYFUNCTION("""COMPUTED_VALUE"""),15000.0)</f>
        <v>15000</v>
      </c>
      <c r="AF470" s="49" t="str">
        <f>IFERROR(__xludf.DUMMYFUNCTION("""COMPUTED_VALUE"""),"++X4 additional Fire and Acoustic damage while equipped. +-Cannot be duplicated. +-Only Bards can equip.")</f>
        <v>++X4 additional Fire and Acoustic damage while equipped. +-Cannot be duplicated. +-Only Bards can equip.</v>
      </c>
      <c r="AG470" s="49" t="str">
        <f>IFERROR(__xludf.DUMMYFUNCTION("""COMPUTED_VALUE"""),"Land of Spira")</f>
        <v>Land of Spira</v>
      </c>
      <c r="AH470" s="49" t="b">
        <f>IFERROR(__xludf.DUMMYFUNCTION("""COMPUTED_VALUE"""),FALSE)</f>
        <v>0</v>
      </c>
    </row>
    <row r="471">
      <c r="A471" s="49" t="str">
        <f>IFERROR(__xludf.DUMMYFUNCTION("""COMPUTED_VALUE"""),"Mask of Creeping Darkness")</f>
        <v>Mask of Creeping Darkness</v>
      </c>
      <c r="B471" s="49" t="str">
        <f>IFERROR(__xludf.DUMMYFUNCTION("""COMPUTED_VALUE"""),"Head")</f>
        <v>Head</v>
      </c>
      <c r="C471" s="49" t="str">
        <f>IFERROR(__xludf.DUMMYFUNCTION("""COMPUTED_VALUE"""),"Quest Item")</f>
        <v>Quest Item</v>
      </c>
      <c r="D471" s="49"/>
      <c r="E471" s="49">
        <f>IFERROR(__xludf.DUMMYFUNCTION("""COMPUTED_VALUE"""),200.0)</f>
        <v>200</v>
      </c>
      <c r="F471" s="112">
        <f>IFERROR(__xludf.DUMMYFUNCTION("""COMPUTED_VALUE"""),1.7955E8)</f>
        <v>179550000</v>
      </c>
      <c r="G471" s="49" t="str">
        <f>IFERROR(__xludf.DUMMYFUNCTION("""COMPUTED_VALUE"""),"DEF")</f>
        <v>DEF</v>
      </c>
      <c r="H471" s="125">
        <f>IFERROR(__xludf.DUMMYFUNCTION("""COMPUTED_VALUE"""),25000.0)</f>
        <v>25000</v>
      </c>
      <c r="I471" s="49"/>
      <c r="J471" s="49"/>
      <c r="K471" s="49"/>
      <c r="L471" s="49"/>
      <c r="M471" s="49"/>
      <c r="N471" s="49">
        <f>IFERROR(__xludf.DUMMYFUNCTION("""COMPUTED_VALUE"""),25000.0)</f>
        <v>25000</v>
      </c>
      <c r="O471" s="49"/>
      <c r="P471" s="49"/>
      <c r="Q471" s="125">
        <f>IFERROR(__xludf.DUMMYFUNCTION("""COMPUTED_VALUE"""),25000.0)</f>
        <v>25000</v>
      </c>
      <c r="R471" s="49"/>
      <c r="S471" s="49"/>
      <c r="T471" s="49"/>
      <c r="U471" s="49"/>
      <c r="V471" s="49"/>
      <c r="W471" s="49"/>
      <c r="X471" s="49"/>
      <c r="Y471" s="49"/>
      <c r="Z471" s="49"/>
      <c r="AA471" s="49"/>
      <c r="AB471" s="49"/>
      <c r="AC471" s="49">
        <f>IFERROR(__xludf.DUMMYFUNCTION("""COMPUTED_VALUE"""),20000.0)</f>
        <v>20000</v>
      </c>
      <c r="AD471" s="49"/>
      <c r="AE471" s="49"/>
      <c r="AF471" s="49" t="str">
        <f>IFERROR(__xludf.DUMMYFUNCTION("""COMPUTED_VALUE"""),"++X2 Damage whilst invulnerable breaking invulnerability upon being used. +-Cannot be Duplicated. +-Ninja Only")</f>
        <v>++X2 Damage whilst invulnerable breaking invulnerability upon being used. +-Cannot be Duplicated. +-Ninja Only</v>
      </c>
      <c r="AG471" s="49" t="str">
        <f>IFERROR(__xludf.DUMMYFUNCTION("""COMPUTED_VALUE"""),"Dragonscale Island")</f>
        <v>Dragonscale Island</v>
      </c>
      <c r="AH471" s="49" t="b">
        <f>IFERROR(__xludf.DUMMYFUNCTION("""COMPUTED_VALUE"""),FALSE)</f>
        <v>0</v>
      </c>
    </row>
    <row r="472">
      <c r="A472" s="49" t="str">
        <f>IFERROR(__xludf.DUMMYFUNCTION("""COMPUTED_VALUE"""),"Chest of Evershifting Darkness")</f>
        <v>Chest of Evershifting Darkness</v>
      </c>
      <c r="B472" s="49" t="str">
        <f>IFERROR(__xludf.DUMMYFUNCTION("""COMPUTED_VALUE"""),"Torso")</f>
        <v>Torso</v>
      </c>
      <c r="C472" s="49" t="str">
        <f>IFERROR(__xludf.DUMMYFUNCTION("""COMPUTED_VALUE"""),"Quest Item")</f>
        <v>Quest Item</v>
      </c>
      <c r="D472" s="49"/>
      <c r="E472" s="49">
        <f>IFERROR(__xludf.DUMMYFUNCTION("""COMPUTED_VALUE"""),200.0)</f>
        <v>200</v>
      </c>
      <c r="F472" s="112">
        <f>IFERROR(__xludf.DUMMYFUNCTION("""COMPUTED_VALUE"""),2.1945E8)</f>
        <v>219450000</v>
      </c>
      <c r="G472" s="49" t="str">
        <f>IFERROR(__xludf.DUMMYFUNCTION("""COMPUTED_VALUE"""),"DEF")</f>
        <v>DEF</v>
      </c>
      <c r="H472" s="125">
        <f>IFERROR(__xludf.DUMMYFUNCTION("""COMPUTED_VALUE"""),25000.0)</f>
        <v>25000</v>
      </c>
      <c r="I472" s="49"/>
      <c r="J472" s="49"/>
      <c r="K472" s="49"/>
      <c r="L472" s="49"/>
      <c r="M472" s="49"/>
      <c r="N472" s="49">
        <f>IFERROR(__xludf.DUMMYFUNCTION("""COMPUTED_VALUE"""),25000.0)</f>
        <v>25000</v>
      </c>
      <c r="O472" s="49"/>
      <c r="P472" s="49"/>
      <c r="Q472" s="125">
        <f>IFERROR(__xludf.DUMMYFUNCTION("""COMPUTED_VALUE"""),25000.0)</f>
        <v>25000</v>
      </c>
      <c r="R472" s="49"/>
      <c r="S472" s="49"/>
      <c r="T472" s="49"/>
      <c r="U472" s="49"/>
      <c r="V472" s="49"/>
      <c r="W472" s="49"/>
      <c r="X472" s="49"/>
      <c r="Y472" s="49"/>
      <c r="Z472" s="49"/>
      <c r="AA472" s="49"/>
      <c r="AB472" s="49"/>
      <c r="AC472" s="49">
        <f>IFERROR(__xludf.DUMMYFUNCTION("""COMPUTED_VALUE"""),30000.0)</f>
        <v>30000</v>
      </c>
      <c r="AD472" s="49"/>
      <c r="AE472" s="49"/>
      <c r="AF472" s="49"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49" t="str">
        <f>IFERROR(__xludf.DUMMYFUNCTION("""COMPUTED_VALUE"""),"Dragonscale Island")</f>
        <v>Dragonscale Island</v>
      </c>
      <c r="AH472" s="49" t="b">
        <f>IFERROR(__xludf.DUMMYFUNCTION("""COMPUTED_VALUE"""),FALSE)</f>
        <v>0</v>
      </c>
    </row>
    <row r="473">
      <c r="A473" s="49" t="str">
        <f>IFERROR(__xludf.DUMMYFUNCTION("""COMPUTED_VALUE"""),"Leather Boots of EDGINESS")</f>
        <v>Leather Boots of EDGINESS</v>
      </c>
      <c r="B473" s="49" t="str">
        <f>IFERROR(__xludf.DUMMYFUNCTION("""COMPUTED_VALUE"""),"Feet")</f>
        <v>Feet</v>
      </c>
      <c r="C473" s="49" t="str">
        <f>IFERROR(__xludf.DUMMYFUNCTION("""COMPUTED_VALUE"""),"Quest Item")</f>
        <v>Quest Item</v>
      </c>
      <c r="D473" s="49"/>
      <c r="E473" s="49">
        <f>IFERROR(__xludf.DUMMYFUNCTION("""COMPUTED_VALUE"""),200.0)</f>
        <v>200</v>
      </c>
      <c r="F473" s="112">
        <f>IFERROR(__xludf.DUMMYFUNCTION("""COMPUTED_VALUE"""),1.7955E8)</f>
        <v>179550000</v>
      </c>
      <c r="G473" s="49" t="str">
        <f>IFERROR(__xludf.DUMMYFUNCTION("""COMPUTED_VALUE"""),"DEF")</f>
        <v>DEF</v>
      </c>
      <c r="H473" s="125">
        <f>IFERROR(__xludf.DUMMYFUNCTION("""COMPUTED_VALUE"""),25000.0)</f>
        <v>25000</v>
      </c>
      <c r="I473" s="49"/>
      <c r="J473" s="49"/>
      <c r="K473" s="49"/>
      <c r="L473" s="49"/>
      <c r="M473" s="49"/>
      <c r="N473" s="49">
        <f>IFERROR(__xludf.DUMMYFUNCTION("""COMPUTED_VALUE"""),25000.0)</f>
        <v>25000</v>
      </c>
      <c r="O473" s="49"/>
      <c r="P473" s="49"/>
      <c r="Q473" s="125">
        <f>IFERROR(__xludf.DUMMYFUNCTION("""COMPUTED_VALUE"""),25000.0)</f>
        <v>25000</v>
      </c>
      <c r="R473" s="49"/>
      <c r="S473" s="49"/>
      <c r="T473" s="49"/>
      <c r="U473" s="49"/>
      <c r="V473" s="49"/>
      <c r="W473" s="49"/>
      <c r="X473" s="49"/>
      <c r="Y473" s="49"/>
      <c r="Z473" s="49"/>
      <c r="AA473" s="49"/>
      <c r="AB473" s="49"/>
      <c r="AC473" s="49">
        <f>IFERROR(__xludf.DUMMYFUNCTION("""COMPUTED_VALUE"""),20000.0)</f>
        <v>20000</v>
      </c>
      <c r="AD473" s="49"/>
      <c r="AE473" s="49"/>
      <c r="AF473" s="49"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49" t="str">
        <f>IFERROR(__xludf.DUMMYFUNCTION("""COMPUTED_VALUE"""),"Dragonscale Island")</f>
        <v>Dragonscale Island</v>
      </c>
      <c r="AH473" s="49" t="b">
        <f>IFERROR(__xludf.DUMMYFUNCTION("""COMPUTED_VALUE"""),FALSE)</f>
        <v>0</v>
      </c>
    </row>
    <row r="474">
      <c r="A474" s="49" t="str">
        <f>IFERROR(__xludf.DUMMYFUNCTION("""COMPUTED_VALUE"""),"Silken Gloves of Dexterity")</f>
        <v>Silken Gloves of Dexterity</v>
      </c>
      <c r="B474" s="49" t="str">
        <f>IFERROR(__xludf.DUMMYFUNCTION("""COMPUTED_VALUE"""),"Arms")</f>
        <v>Arms</v>
      </c>
      <c r="C474" s="49" t="str">
        <f>IFERROR(__xludf.DUMMYFUNCTION("""COMPUTED_VALUE"""),"Quest Item")</f>
        <v>Quest Item</v>
      </c>
      <c r="D474" s="49"/>
      <c r="E474" s="49">
        <f>IFERROR(__xludf.DUMMYFUNCTION("""COMPUTED_VALUE"""),200.0)</f>
        <v>200</v>
      </c>
      <c r="F474" s="112">
        <f>IFERROR(__xludf.DUMMYFUNCTION("""COMPUTED_VALUE"""),1.7955E8)</f>
        <v>179550000</v>
      </c>
      <c r="G474" s="49" t="str">
        <f>IFERROR(__xludf.DUMMYFUNCTION("""COMPUTED_VALUE"""),"DEF")</f>
        <v>DEF</v>
      </c>
      <c r="H474" s="125">
        <f>IFERROR(__xludf.DUMMYFUNCTION("""COMPUTED_VALUE"""),25000.0)</f>
        <v>25000</v>
      </c>
      <c r="I474" s="49"/>
      <c r="J474" s="49"/>
      <c r="K474" s="49"/>
      <c r="L474" s="49"/>
      <c r="M474" s="49"/>
      <c r="N474" s="49">
        <f>IFERROR(__xludf.DUMMYFUNCTION("""COMPUTED_VALUE"""),25000.0)</f>
        <v>25000</v>
      </c>
      <c r="O474" s="49"/>
      <c r="P474" s="49"/>
      <c r="Q474" s="125">
        <f>IFERROR(__xludf.DUMMYFUNCTION("""COMPUTED_VALUE"""),25000.0)</f>
        <v>25000</v>
      </c>
      <c r="R474" s="49"/>
      <c r="S474" s="49"/>
      <c r="T474" s="49"/>
      <c r="U474" s="49"/>
      <c r="V474" s="49"/>
      <c r="W474" s="49"/>
      <c r="X474" s="49"/>
      <c r="Y474" s="49"/>
      <c r="Z474" s="49"/>
      <c r="AA474" s="49"/>
      <c r="AB474" s="49"/>
      <c r="AC474" s="49">
        <f>IFERROR(__xludf.DUMMYFUNCTION("""COMPUTED_VALUE"""),20000.0)</f>
        <v>20000</v>
      </c>
      <c r="AD474" s="49"/>
      <c r="AE474" s="49"/>
      <c r="AF474" s="49"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49" t="str">
        <f>IFERROR(__xludf.DUMMYFUNCTION("""COMPUTED_VALUE"""),"Dragonscale Island")</f>
        <v>Dragonscale Island</v>
      </c>
      <c r="AH474" s="49" t="b">
        <f>IFERROR(__xludf.DUMMYFUNCTION("""COMPUTED_VALUE"""),FALSE)</f>
        <v>0</v>
      </c>
    </row>
    <row r="475">
      <c r="A475" s="49" t="str">
        <f>IFERROR(__xludf.DUMMYFUNCTION("""COMPUTED_VALUE"""),"Leggings of Swift Death")</f>
        <v>Leggings of Swift Death</v>
      </c>
      <c r="B475" s="49" t="str">
        <f>IFERROR(__xludf.DUMMYFUNCTION("""COMPUTED_VALUE"""),"Legs")</f>
        <v>Legs</v>
      </c>
      <c r="C475" s="49" t="str">
        <f>IFERROR(__xludf.DUMMYFUNCTION("""COMPUTED_VALUE"""),"Quest Item")</f>
        <v>Quest Item</v>
      </c>
      <c r="D475" s="49"/>
      <c r="E475" s="49">
        <f>IFERROR(__xludf.DUMMYFUNCTION("""COMPUTED_VALUE"""),200.0)</f>
        <v>200</v>
      </c>
      <c r="F475" s="112">
        <f>IFERROR(__xludf.DUMMYFUNCTION("""COMPUTED_VALUE"""),1.7955E8)</f>
        <v>179550000</v>
      </c>
      <c r="G475" s="49" t="str">
        <f>IFERROR(__xludf.DUMMYFUNCTION("""COMPUTED_VALUE"""),"DEF")</f>
        <v>DEF</v>
      </c>
      <c r="H475" s="125">
        <f>IFERROR(__xludf.DUMMYFUNCTION("""COMPUTED_VALUE"""),25000.0)</f>
        <v>25000</v>
      </c>
      <c r="I475" s="49"/>
      <c r="J475" s="49"/>
      <c r="K475" s="49"/>
      <c r="L475" s="49"/>
      <c r="M475" s="49"/>
      <c r="N475" s="49">
        <f>IFERROR(__xludf.DUMMYFUNCTION("""COMPUTED_VALUE"""),25000.0)</f>
        <v>25000</v>
      </c>
      <c r="O475" s="49"/>
      <c r="P475" s="49"/>
      <c r="Q475" s="125">
        <f>IFERROR(__xludf.DUMMYFUNCTION("""COMPUTED_VALUE"""),25000.0)</f>
        <v>25000</v>
      </c>
      <c r="R475" s="49"/>
      <c r="S475" s="49"/>
      <c r="T475" s="49"/>
      <c r="U475" s="49"/>
      <c r="V475" s="49"/>
      <c r="W475" s="49"/>
      <c r="X475" s="49"/>
      <c r="Y475" s="49"/>
      <c r="Z475" s="49"/>
      <c r="AA475" s="49"/>
      <c r="AB475" s="49"/>
      <c r="AC475" s="49">
        <f>IFERROR(__xludf.DUMMYFUNCTION("""COMPUTED_VALUE"""),20000.0)</f>
        <v>20000</v>
      </c>
      <c r="AD475" s="49"/>
      <c r="AE475" s="49"/>
      <c r="AF475" s="49"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49" t="str">
        <f>IFERROR(__xludf.DUMMYFUNCTION("""COMPUTED_VALUE"""),"Dragonscale Island")</f>
        <v>Dragonscale Island</v>
      </c>
      <c r="AH475" s="49" t="b">
        <f>IFERROR(__xludf.DUMMYFUNCTION("""COMPUTED_VALUE"""),FALSE)</f>
        <v>0</v>
      </c>
    </row>
    <row r="476">
      <c r="A476" s="49" t="str">
        <f>IFERROR(__xludf.DUMMYFUNCTION("""COMPUTED_VALUE"""),"Cape of Illusion")</f>
        <v>Cape of Illusion</v>
      </c>
      <c r="B476" s="49" t="str">
        <f>IFERROR(__xludf.DUMMYFUNCTION("""COMPUTED_VALUE"""),"Shoulders")</f>
        <v>Shoulders</v>
      </c>
      <c r="C476" s="49" t="str">
        <f>IFERROR(__xludf.DUMMYFUNCTION("""COMPUTED_VALUE"""),"Quest Item")</f>
        <v>Quest Item</v>
      </c>
      <c r="D476" s="49"/>
      <c r="E476" s="49">
        <f>IFERROR(__xludf.DUMMYFUNCTION("""COMPUTED_VALUE"""),200.0)</f>
        <v>200</v>
      </c>
      <c r="F476" s="112">
        <f>IFERROR(__xludf.DUMMYFUNCTION("""COMPUTED_VALUE"""),1.7955E8)</f>
        <v>179550000</v>
      </c>
      <c r="G476" s="49" t="str">
        <f>IFERROR(__xludf.DUMMYFUNCTION("""COMPUTED_VALUE"""),"DEF")</f>
        <v>DEF</v>
      </c>
      <c r="H476" s="125">
        <f>IFERROR(__xludf.DUMMYFUNCTION("""COMPUTED_VALUE"""),25000.0)</f>
        <v>25000</v>
      </c>
      <c r="I476" s="49"/>
      <c r="J476" s="49"/>
      <c r="K476" s="49"/>
      <c r="L476" s="49"/>
      <c r="M476" s="49"/>
      <c r="N476" s="49">
        <f>IFERROR(__xludf.DUMMYFUNCTION("""COMPUTED_VALUE"""),25000.0)</f>
        <v>25000</v>
      </c>
      <c r="O476" s="49"/>
      <c r="P476" s="49"/>
      <c r="Q476" s="125">
        <f>IFERROR(__xludf.DUMMYFUNCTION("""COMPUTED_VALUE"""),25000.0)</f>
        <v>25000</v>
      </c>
      <c r="R476" s="49"/>
      <c r="S476" s="49"/>
      <c r="T476" s="49"/>
      <c r="U476" s="49"/>
      <c r="V476" s="49"/>
      <c r="W476" s="49"/>
      <c r="X476" s="49"/>
      <c r="Y476" s="49"/>
      <c r="Z476" s="49"/>
      <c r="AA476" s="49"/>
      <c r="AB476" s="49"/>
      <c r="AC476" s="49">
        <f>IFERROR(__xludf.DUMMYFUNCTION("""COMPUTED_VALUE"""),20000.0)</f>
        <v>20000</v>
      </c>
      <c r="AD476" s="49"/>
      <c r="AE476" s="49"/>
      <c r="AF476" s="49"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49" t="str">
        <f>IFERROR(__xludf.DUMMYFUNCTION("""COMPUTED_VALUE"""),"Dragonscale Island")</f>
        <v>Dragonscale Island</v>
      </c>
      <c r="AH476" s="49" t="b">
        <f>IFERROR(__xludf.DUMMYFUNCTION("""COMPUTED_VALUE"""),FALSE)</f>
        <v>0</v>
      </c>
    </row>
    <row r="477">
      <c r="A477" s="49" t="str">
        <f>IFERROR(__xludf.DUMMYFUNCTION("""COMPUTED_VALUE"""),"Assassin's Kiss")</f>
        <v>Assassin's Kiss</v>
      </c>
      <c r="B477" s="49" t="str">
        <f>IFERROR(__xludf.DUMMYFUNCTION("""COMPUTED_VALUE"""),"Hand")</f>
        <v>Hand</v>
      </c>
      <c r="C477" s="49" t="str">
        <f>IFERROR(__xludf.DUMMYFUNCTION("""COMPUTED_VALUE"""),"Quest Item")</f>
        <v>Quest Item</v>
      </c>
      <c r="D477" s="49" t="str">
        <f>IFERROR(__xludf.DUMMYFUNCTION("""COMPUTED_VALUE"""),"Knife")</f>
        <v>Knife</v>
      </c>
      <c r="E477" s="49">
        <f>IFERROR(__xludf.DUMMYFUNCTION("""COMPUTED_VALUE"""),200.0)</f>
        <v>200</v>
      </c>
      <c r="F477" s="112">
        <f>IFERROR(__xludf.DUMMYFUNCTION("""COMPUTED_VALUE"""),2.409E8)</f>
        <v>240900000</v>
      </c>
      <c r="G477" s="49" t="str">
        <f>IFERROR(__xludf.DUMMYFUNCTION("""COMPUTED_VALUE"""),"DMG")</f>
        <v>DMG</v>
      </c>
      <c r="H477" s="125">
        <f>IFERROR(__xludf.DUMMYFUNCTION("""COMPUTED_VALUE"""),50000.0)</f>
        <v>50000</v>
      </c>
      <c r="I477" s="49"/>
      <c r="J477" s="49"/>
      <c r="K477" s="49"/>
      <c r="L477" s="49"/>
      <c r="M477" s="49"/>
      <c r="N477" s="49"/>
      <c r="O477" s="49">
        <f>IFERROR(__xludf.DUMMYFUNCTION("""COMPUTED_VALUE"""),25000.0)</f>
        <v>25000</v>
      </c>
      <c r="P477" s="49"/>
      <c r="Q477" s="49"/>
      <c r="R477" s="49">
        <f>IFERROR(__xludf.DUMMYFUNCTION("""COMPUTED_VALUE"""),25000.0)</f>
        <v>25000</v>
      </c>
      <c r="S477" s="49"/>
      <c r="T477" s="49"/>
      <c r="U477" s="49"/>
      <c r="V477" s="49"/>
      <c r="W477" s="49"/>
      <c r="X477" s="49"/>
      <c r="Y477" s="49"/>
      <c r="Z477" s="49"/>
      <c r="AA477" s="49"/>
      <c r="AB477" s="49"/>
      <c r="AC477" s="49">
        <f>IFERROR(__xludf.DUMMYFUNCTION("""COMPUTED_VALUE"""),10000.0)</f>
        <v>10000</v>
      </c>
      <c r="AD477" s="49"/>
      <c r="AE477" s="49"/>
      <c r="AF477" s="49"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49" t="str">
        <f>IFERROR(__xludf.DUMMYFUNCTION("""COMPUTED_VALUE"""),"Dragonscale Island")</f>
        <v>Dragonscale Island</v>
      </c>
      <c r="AH477" s="49" t="b">
        <f>IFERROR(__xludf.DUMMYFUNCTION("""COMPUTED_VALUE"""),FALSE)</f>
        <v>0</v>
      </c>
    </row>
    <row r="478">
      <c r="A478" s="49" t="str">
        <f>IFERROR(__xludf.DUMMYFUNCTION("""COMPUTED_VALUE"""),"Night's Edge")</f>
        <v>Night's Edge</v>
      </c>
      <c r="B478" s="49" t="str">
        <f>IFERROR(__xludf.DUMMYFUNCTION("""COMPUTED_VALUE"""),"Hand")</f>
        <v>Hand</v>
      </c>
      <c r="C478" s="49" t="str">
        <f>IFERROR(__xludf.DUMMYFUNCTION("""COMPUTED_VALUE"""),"Quest Item")</f>
        <v>Quest Item</v>
      </c>
      <c r="D478" s="49" t="str">
        <f>IFERROR(__xludf.DUMMYFUNCTION("""COMPUTED_VALUE"""),"Knife")</f>
        <v>Knife</v>
      </c>
      <c r="E478" s="49">
        <f>IFERROR(__xludf.DUMMYFUNCTION("""COMPUTED_VALUE"""),200.0)</f>
        <v>200</v>
      </c>
      <c r="F478" s="112">
        <f>IFERROR(__xludf.DUMMYFUNCTION("""COMPUTED_VALUE"""),2.409E8)</f>
        <v>240900000</v>
      </c>
      <c r="G478" s="49" t="str">
        <f>IFERROR(__xludf.DUMMYFUNCTION("""COMPUTED_VALUE"""),"DMG")</f>
        <v>DMG</v>
      </c>
      <c r="H478" s="125">
        <f>IFERROR(__xludf.DUMMYFUNCTION("""COMPUTED_VALUE"""),50000.0)</f>
        <v>50000</v>
      </c>
      <c r="I478" s="49"/>
      <c r="J478" s="49"/>
      <c r="K478" s="49"/>
      <c r="L478" s="49"/>
      <c r="M478" s="49"/>
      <c r="N478" s="49"/>
      <c r="O478" s="125">
        <f>IFERROR(__xludf.DUMMYFUNCTION("""COMPUTED_VALUE"""),25000.0)</f>
        <v>25000</v>
      </c>
      <c r="P478" s="49"/>
      <c r="Q478" s="49"/>
      <c r="R478" s="49">
        <f>IFERROR(__xludf.DUMMYFUNCTION("""COMPUTED_VALUE"""),25000.0)</f>
        <v>25000</v>
      </c>
      <c r="S478" s="49"/>
      <c r="T478" s="49"/>
      <c r="U478" s="49"/>
      <c r="V478" s="49"/>
      <c r="W478" s="49"/>
      <c r="X478" s="49"/>
      <c r="Y478" s="49"/>
      <c r="Z478" s="49"/>
      <c r="AA478" s="49"/>
      <c r="AB478" s="49"/>
      <c r="AC478" s="49">
        <f>IFERROR(__xludf.DUMMYFUNCTION("""COMPUTED_VALUE"""),10000.0)</f>
        <v>10000</v>
      </c>
      <c r="AD478" s="49"/>
      <c r="AE478" s="49"/>
      <c r="AF478" s="49"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49" t="str">
        <f>IFERROR(__xludf.DUMMYFUNCTION("""COMPUTED_VALUE"""),"Dragonscale Island")</f>
        <v>Dragonscale Island</v>
      </c>
      <c r="AH478" s="49" t="b">
        <f>IFERROR(__xludf.DUMMYFUNCTION("""COMPUTED_VALUE"""),FALSE)</f>
        <v>0</v>
      </c>
    </row>
    <row r="479">
      <c r="A479" s="49" t="str">
        <f>IFERROR(__xludf.DUMMYFUNCTION("""COMPUTED_VALUE"""),"Ancient Draconian Deity Necklace")</f>
        <v>Ancient Draconian Deity Necklace</v>
      </c>
      <c r="B479" s="49" t="str">
        <f>IFERROR(__xludf.DUMMYFUNCTION("""COMPUTED_VALUE"""),"Neck")</f>
        <v>Neck</v>
      </c>
      <c r="C479" s="49"/>
      <c r="D479" s="49"/>
      <c r="E479" s="49">
        <f>IFERROR(__xludf.DUMMYFUNCTION("""COMPUTED_VALUE"""),1.0)</f>
        <v>1</v>
      </c>
      <c r="F479" s="112">
        <f>IFERROR(__xludf.DUMMYFUNCTION("""COMPUTED_VALUE"""),0.0)</f>
        <v>0</v>
      </c>
      <c r="G479" s="49" t="str">
        <f>IFERROR(__xludf.DUMMYFUNCTION("""COMPUTED_VALUE"""),"DMG")</f>
        <v>DMG</v>
      </c>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c r="AE479" s="49"/>
      <c r="AF479" s="49" t="str">
        <f>IFERROR(__xludf.DUMMYFUNCTION("""COMPUTED_VALUE"""),"++5 to all d20 rolls, +-Cannot be duplicated.")</f>
        <v>++5 to all d20 rolls, +-Cannot be duplicated.</v>
      </c>
      <c r="AG479" s="49" t="str">
        <f>IFERROR(__xludf.DUMMYFUNCTION("""COMPUTED_VALUE"""),"Dragonscale Island")</f>
        <v>Dragonscale Island</v>
      </c>
      <c r="AH479" s="49" t="b">
        <f>IFERROR(__xludf.DUMMYFUNCTION("""COMPUTED_VALUE"""),FALSE)</f>
        <v>0</v>
      </c>
    </row>
    <row r="480">
      <c r="A480" s="49" t="str">
        <f>IFERROR(__xludf.DUMMYFUNCTION("""COMPUTED_VALUE"""),"Gungnir")</f>
        <v>Gungnir</v>
      </c>
      <c r="B480" s="49" t="str">
        <f>IFERROR(__xludf.DUMMYFUNCTION("""COMPUTED_VALUE"""),"Hand")</f>
        <v>Hand</v>
      </c>
      <c r="C480" s="49"/>
      <c r="D480" s="49" t="str">
        <f>IFERROR(__xludf.DUMMYFUNCTION("""COMPUTED_VALUE"""),"Spear")</f>
        <v>Spear</v>
      </c>
      <c r="E480" s="49">
        <f>IFERROR(__xludf.DUMMYFUNCTION("""COMPUTED_VALUE"""),1.0)</f>
        <v>1</v>
      </c>
      <c r="F480" s="112">
        <f>IFERROR(__xludf.DUMMYFUNCTION("""COMPUTED_VALUE"""),0.0)</f>
        <v>0</v>
      </c>
      <c r="G480" s="49" t="str">
        <f>IFERROR(__xludf.DUMMYFUNCTION("""COMPUTED_VALUE"""),"DMG")</f>
        <v>DMG</v>
      </c>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c r="AE480" s="49"/>
      <c r="AF480" s="49"/>
      <c r="AG480" s="49" t="str">
        <f>IFERROR(__xludf.DUMMYFUNCTION("""COMPUTED_VALUE"""),"Abstara")</f>
        <v>Abstara</v>
      </c>
      <c r="AH480" s="49" t="b">
        <f>IFERROR(__xludf.DUMMYFUNCTION("""COMPUTED_VALUE"""),FALSE)</f>
        <v>0</v>
      </c>
    </row>
    <row r="481">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c r="AE481" s="49"/>
      <c r="AF481" s="49"/>
      <c r="AG481" s="49"/>
      <c r="AH481" s="49" t="b">
        <f>IFERROR(__xludf.DUMMYFUNCTION("""COMPUTED_VALUE"""),FALSE)</f>
        <v>0</v>
      </c>
    </row>
    <row r="482">
      <c r="A482" s="49" t="str">
        <f>IFERROR(__xludf.DUMMYFUNCTION("""COMPUTED_VALUE"""),"Gaia's Rock Hammer")</f>
        <v>Gaia's Rock Hammer</v>
      </c>
      <c r="B482" s="49" t="str">
        <f>IFERROR(__xludf.DUMMYFUNCTION("""COMPUTED_VALUE"""),"Hand")</f>
        <v>Hand</v>
      </c>
      <c r="C482" s="49" t="str">
        <f>IFERROR(__xludf.DUMMYFUNCTION("""COMPUTED_VALUE"""),"Quest Item")</f>
        <v>Quest Item</v>
      </c>
      <c r="D482" s="49" t="str">
        <f>IFERROR(__xludf.DUMMYFUNCTION("""COMPUTED_VALUE"""),"Club")</f>
        <v>Club</v>
      </c>
      <c r="E482" s="49">
        <f>IFERROR(__xludf.DUMMYFUNCTION("""COMPUTED_VALUE"""),200.0)</f>
        <v>200</v>
      </c>
      <c r="F482" s="112">
        <f>IFERROR(__xludf.DUMMYFUNCTION("""COMPUTED_VALUE"""),5.4285E8)</f>
        <v>542850000</v>
      </c>
      <c r="G482" s="49" t="str">
        <f>IFERROR(__xludf.DUMMYFUNCTION("""COMPUTED_VALUE"""),"DMG")</f>
        <v>DMG</v>
      </c>
      <c r="H482" s="125">
        <f>IFERROR(__xludf.DUMMYFUNCTION("""COMPUTED_VALUE"""),25000.0)</f>
        <v>25000</v>
      </c>
      <c r="I482" s="49"/>
      <c r="J482" s="49"/>
      <c r="K482" s="49"/>
      <c r="L482" s="49"/>
      <c r="M482" s="125">
        <f>IFERROR(__xludf.DUMMYFUNCTION("""COMPUTED_VALUE"""),100000.0)</f>
        <v>100000</v>
      </c>
      <c r="N482" s="49"/>
      <c r="O482" s="49"/>
      <c r="P482" s="49"/>
      <c r="Q482" s="49"/>
      <c r="R482" s="49"/>
      <c r="S482" s="125">
        <f>IFERROR(__xludf.DUMMYFUNCTION("""COMPUTED_VALUE"""),15000.0)</f>
        <v>15000</v>
      </c>
      <c r="T482" s="49"/>
      <c r="U482" s="49"/>
      <c r="V482" s="49"/>
      <c r="W482" s="49"/>
      <c r="X482" s="49"/>
      <c r="Y482" s="49"/>
      <c r="Z482" s="49"/>
      <c r="AA482" s="49"/>
      <c r="AB482" s="49"/>
      <c r="AC482" s="125">
        <f>IFERROR(__xludf.DUMMYFUNCTION("""COMPUTED_VALUE"""),25000.0)</f>
        <v>25000</v>
      </c>
      <c r="AD482" s="49"/>
      <c r="AE482" s="49"/>
      <c r="AF482" s="49"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49" t="str">
        <f>IFERROR(__xludf.DUMMYFUNCTION("""COMPUTED_VALUE"""),"Land of Spira")</f>
        <v>Land of Spira</v>
      </c>
      <c r="AH482" s="49" t="b">
        <f>IFERROR(__xludf.DUMMYFUNCTION("""COMPUTED_VALUE"""),FALSE)</f>
        <v>0</v>
      </c>
    </row>
    <row r="483">
      <c r="A483" s="49" t="str">
        <f>IFERROR(__xludf.DUMMYFUNCTION("""COMPUTED_VALUE"""),"Bahamut's Claw")</f>
        <v>Bahamut's Claw</v>
      </c>
      <c r="B483" s="49" t="str">
        <f>IFERROR(__xludf.DUMMYFUNCTION("""COMPUTED_VALUE"""),"Hand")</f>
        <v>Hand</v>
      </c>
      <c r="C483" s="49" t="str">
        <f>IFERROR(__xludf.DUMMYFUNCTION("""COMPUTED_VALUE"""),"Mob Exclusive")</f>
        <v>Mob Exclusive</v>
      </c>
      <c r="D483" s="49" t="str">
        <f>IFERROR(__xludf.DUMMYFUNCTION("""COMPUTED_VALUE"""),"Claw")</f>
        <v>Claw</v>
      </c>
      <c r="E483" s="49">
        <f>IFERROR(__xludf.DUMMYFUNCTION("""COMPUTED_VALUE"""),200.0)</f>
        <v>200</v>
      </c>
      <c r="F483" s="112">
        <f>IFERROR(__xludf.DUMMYFUNCTION("""COMPUTED_VALUE"""),1.12425E10)</f>
        <v>11242500000</v>
      </c>
      <c r="G483" s="49" t="str">
        <f>IFERROR(__xludf.DUMMYFUNCTION("""COMPUTED_VALUE"""),"DMG")</f>
        <v>DMG</v>
      </c>
      <c r="H483" s="125">
        <f>IFERROR(__xludf.DUMMYFUNCTION("""COMPUTED_VALUE"""),250000.0)</f>
        <v>250000</v>
      </c>
      <c r="I483" s="49"/>
      <c r="J483" s="49"/>
      <c r="K483" s="49"/>
      <c r="L483" s="49"/>
      <c r="M483" s="49"/>
      <c r="N483" s="49"/>
      <c r="O483" s="49"/>
      <c r="P483" s="49"/>
      <c r="Q483" s="49"/>
      <c r="R483" s="49"/>
      <c r="S483" s="49"/>
      <c r="T483" s="49"/>
      <c r="U483" s="49"/>
      <c r="V483" s="49"/>
      <c r="W483" s="49"/>
      <c r="X483" s="49"/>
      <c r="Y483" s="49"/>
      <c r="Z483" s="125">
        <f>IFERROR(__xludf.DUMMYFUNCTION("""COMPUTED_VALUE"""),250000.0)</f>
        <v>250000</v>
      </c>
      <c r="AA483" s="49"/>
      <c r="AB483" s="49"/>
      <c r="AC483" s="125">
        <f>IFERROR(__xludf.DUMMYFUNCTION("""COMPUTED_VALUE"""),250000.0)</f>
        <v>250000</v>
      </c>
      <c r="AD483" s="49"/>
      <c r="AE483" s="49"/>
      <c r="AF483" s="49"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49" t="str">
        <f>IFERROR(__xludf.DUMMYFUNCTION("""COMPUTED_VALUE"""),"Tantalus - The Void")</f>
        <v>Tantalus - The Void</v>
      </c>
      <c r="AH483" s="49" t="b">
        <f>IFERROR(__xludf.DUMMYFUNCTION("""COMPUTED_VALUE"""),FALSE)</f>
        <v>0</v>
      </c>
    </row>
    <row r="484">
      <c r="A484" s="49" t="str">
        <f>IFERROR(__xludf.DUMMYFUNCTION("""COMPUTED_VALUE"""),"Chronos' Staff of Time")</f>
        <v>Chronos' Staff of Time</v>
      </c>
      <c r="B484" s="49" t="str">
        <f>IFERROR(__xludf.DUMMYFUNCTION("""COMPUTED_VALUE"""),"Hand")</f>
        <v>Hand</v>
      </c>
      <c r="C484" s="49"/>
      <c r="D484" s="49" t="str">
        <f>IFERROR(__xludf.DUMMYFUNCTION("""COMPUTED_VALUE"""),"Staff")</f>
        <v>Staff</v>
      </c>
      <c r="E484" s="49">
        <f>IFERROR(__xludf.DUMMYFUNCTION("""COMPUTED_VALUE"""),1.0)</f>
        <v>1</v>
      </c>
      <c r="F484" s="112">
        <f>IFERROR(__xludf.DUMMYFUNCTION("""COMPUTED_VALUE"""),0.0)</f>
        <v>0</v>
      </c>
      <c r="G484" s="49" t="str">
        <f>IFERROR(__xludf.DUMMYFUNCTION("""COMPUTED_VALUE"""),"DMG")</f>
        <v>DMG</v>
      </c>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c r="AE484" s="49"/>
      <c r="AF484" s="49"/>
      <c r="AG484" s="49" t="str">
        <f>IFERROR(__xludf.DUMMYFUNCTION("""COMPUTED_VALUE"""),"Solreach")</f>
        <v>Solreach</v>
      </c>
      <c r="AH484" s="49" t="b">
        <f>IFERROR(__xludf.DUMMYFUNCTION("""COMPUTED_VALUE"""),FALSE)</f>
        <v>0</v>
      </c>
    </row>
    <row r="485">
      <c r="A485" s="49" t="str">
        <f>IFERROR(__xludf.DUMMYFUNCTION("""COMPUTED_VALUE"""),"Scimitar")</f>
        <v>Scimitar</v>
      </c>
      <c r="B485" s="49" t="str">
        <f>IFERROR(__xludf.DUMMYFUNCTION("""COMPUTED_VALUE"""),"Hand")</f>
        <v>Hand</v>
      </c>
      <c r="C485" s="49"/>
      <c r="D485" s="49" t="str">
        <f>IFERROR(__xludf.DUMMYFUNCTION("""COMPUTED_VALUE"""),"Sword")</f>
        <v>Sword</v>
      </c>
      <c r="E485" s="49">
        <f>IFERROR(__xludf.DUMMYFUNCTION("""COMPUTED_VALUE"""),300.0)</f>
        <v>300</v>
      </c>
      <c r="F485" s="112">
        <f>IFERROR(__xludf.DUMMYFUNCTION("""COMPUTED_VALUE"""),4350000.0)</f>
        <v>4350000</v>
      </c>
      <c r="G485" s="49" t="str">
        <f>IFERROR(__xludf.DUMMYFUNCTION("""COMPUTED_VALUE"""),"DMG")</f>
        <v>DMG</v>
      </c>
      <c r="H485" s="125">
        <f>IFERROR(__xludf.DUMMYFUNCTION("""COMPUTED_VALUE"""),10000.0)</f>
        <v>10000</v>
      </c>
      <c r="I485" s="125">
        <f>IFERROR(__xludf.DUMMYFUNCTION("""COMPUTED_VALUE"""),5000.0)</f>
        <v>5000</v>
      </c>
      <c r="J485" s="49"/>
      <c r="K485" s="49"/>
      <c r="L485" s="49"/>
      <c r="M485" s="49"/>
      <c r="N485" s="49"/>
      <c r="O485" s="49"/>
      <c r="P485" s="49"/>
      <c r="Q485" s="49"/>
      <c r="R485" s="49"/>
      <c r="S485" s="49"/>
      <c r="T485" s="49"/>
      <c r="U485" s="49"/>
      <c r="V485" s="49"/>
      <c r="W485" s="49"/>
      <c r="X485" s="49"/>
      <c r="Y485" s="49"/>
      <c r="Z485" s="49"/>
      <c r="AA485" s="49"/>
      <c r="AB485" s="49"/>
      <c r="AC485" s="49"/>
      <c r="AD485" s="49"/>
      <c r="AE485" s="49"/>
      <c r="AF485" s="49"/>
      <c r="AG485" s="49" t="str">
        <f>IFERROR(__xludf.DUMMYFUNCTION("""COMPUTED_VALUE"""),"Land of Spira")</f>
        <v>Land of Spira</v>
      </c>
      <c r="AH485" s="49" t="b">
        <f>IFERROR(__xludf.DUMMYFUNCTION("""COMPUTED_VALUE"""),FALSE)</f>
        <v>0</v>
      </c>
    </row>
    <row r="486">
      <c r="A486" s="49" t="str">
        <f>IFERROR(__xludf.DUMMYFUNCTION("""COMPUTED_VALUE"""),"Gaia's Helmet of Earthen Fortitude")</f>
        <v>Gaia's Helmet of Earthen Fortitude</v>
      </c>
      <c r="B486" s="49" t="str">
        <f>IFERROR(__xludf.DUMMYFUNCTION("""COMPUTED_VALUE"""),"Head")</f>
        <v>Head</v>
      </c>
      <c r="C486" s="49" t="str">
        <f>IFERROR(__xludf.DUMMYFUNCTION("""COMPUTED_VALUE"""),"Mob Exclusive")</f>
        <v>Mob Exclusive</v>
      </c>
      <c r="D486" s="49"/>
      <c r="E486" s="49">
        <f>IFERROR(__xludf.DUMMYFUNCTION("""COMPUTED_VALUE"""),200.0)</f>
        <v>200</v>
      </c>
      <c r="F486" s="112">
        <f>IFERROR(__xludf.DUMMYFUNCTION("""COMPUTED_VALUE"""),3.6315E8)</f>
        <v>363150000</v>
      </c>
      <c r="G486" s="49" t="str">
        <f>IFERROR(__xludf.DUMMYFUNCTION("""COMPUTED_VALUE"""),"DEF")</f>
        <v>DEF</v>
      </c>
      <c r="H486" s="125">
        <f>IFERROR(__xludf.DUMMYFUNCTION("""COMPUTED_VALUE"""),50000.0)</f>
        <v>50000</v>
      </c>
      <c r="I486" s="125">
        <f>IFERROR(__xludf.DUMMYFUNCTION("""COMPUTED_VALUE"""),35000.0)</f>
        <v>35000</v>
      </c>
      <c r="J486" s="49"/>
      <c r="K486" s="49"/>
      <c r="L486" s="49"/>
      <c r="M486" s="49"/>
      <c r="N486" s="49"/>
      <c r="O486" s="49"/>
      <c r="P486" s="49"/>
      <c r="Q486" s="49"/>
      <c r="R486" s="49"/>
      <c r="S486" s="49"/>
      <c r="T486" s="49"/>
      <c r="U486" s="49"/>
      <c r="V486" s="49"/>
      <c r="W486" s="49"/>
      <c r="X486" s="49"/>
      <c r="Y486" s="49"/>
      <c r="Z486" s="49"/>
      <c r="AA486" s="49"/>
      <c r="AB486" s="49"/>
      <c r="AC486" s="125">
        <f>IFERROR(__xludf.DUMMYFUNCTION("""COMPUTED_VALUE"""),50000.0)</f>
        <v>50000</v>
      </c>
      <c r="AD486" s="49"/>
      <c r="AE486" s="49"/>
      <c r="AF486" s="49" t="str">
        <f>IFERROR(__xludf.DUMMYFUNCTION("""COMPUTED_VALUE"""),"++X2 Earth Damage for self. ++X2 Defense for self. ++Godly Authority: 50% chance to possess one enemy once per battle.")</f>
        <v>++X2 Earth Damage for self. ++X2 Defense for self. ++Godly Authority: 50% chance to possess one enemy once per battle.</v>
      </c>
      <c r="AG486" s="49" t="str">
        <f>IFERROR(__xludf.DUMMYFUNCTION("""COMPUTED_VALUE"""),"Land of Spira")</f>
        <v>Land of Spira</v>
      </c>
      <c r="AH486" s="49" t="b">
        <f>IFERROR(__xludf.DUMMYFUNCTION("""COMPUTED_VALUE"""),FALSE)</f>
        <v>0</v>
      </c>
    </row>
    <row r="487">
      <c r="A487" s="49" t="str">
        <f>IFERROR(__xludf.DUMMYFUNCTION("""COMPUTED_VALUE"""),"Gaia's Pendant")</f>
        <v>Gaia's Pendant</v>
      </c>
      <c r="B487" s="49" t="str">
        <f>IFERROR(__xludf.DUMMYFUNCTION("""COMPUTED_VALUE"""),"Neck")</f>
        <v>Neck</v>
      </c>
      <c r="C487" s="49" t="str">
        <f>IFERROR(__xludf.DUMMYFUNCTION("""COMPUTED_VALUE"""),"Mob Exclusive")</f>
        <v>Mob Exclusive</v>
      </c>
      <c r="D487" s="49"/>
      <c r="E487" s="49">
        <f>IFERROR(__xludf.DUMMYFUNCTION("""COMPUTED_VALUE"""),1.0)</f>
        <v>1</v>
      </c>
      <c r="F487" s="112">
        <f>IFERROR(__xludf.DUMMYFUNCTION("""COMPUTED_VALUE"""),0.0)</f>
        <v>0</v>
      </c>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c r="AE487" s="49"/>
      <c r="AF487" s="49" t="str">
        <f>IFERROR(__xludf.DUMMYFUNCTION("""COMPUTED_VALUE"""),"++Revives entire party upon death of the wearer. +-one use per battle")</f>
        <v>++Revives entire party upon death of the wearer. +-one use per battle</v>
      </c>
      <c r="AG487" s="49" t="str">
        <f>IFERROR(__xludf.DUMMYFUNCTION("""COMPUTED_VALUE"""),"Land of Spira")</f>
        <v>Land of Spira</v>
      </c>
      <c r="AH487" s="49" t="b">
        <f>IFERROR(__xludf.DUMMYFUNCTION("""COMPUTED_VALUE"""),FALSE)</f>
        <v>0</v>
      </c>
    </row>
    <row r="488">
      <c r="A488" s="49" t="str">
        <f>IFERROR(__xludf.DUMMYFUNCTION("""COMPUTED_VALUE"""),"Gaia's Sandals of Earthen Fortitude")</f>
        <v>Gaia's Sandals of Earthen Fortitude</v>
      </c>
      <c r="B488" s="49" t="str">
        <f>IFERROR(__xludf.DUMMYFUNCTION("""COMPUTED_VALUE"""),"Feet")</f>
        <v>Feet</v>
      </c>
      <c r="C488" s="49" t="str">
        <f>IFERROR(__xludf.DUMMYFUNCTION("""COMPUTED_VALUE"""),"Mob Exclusive")</f>
        <v>Mob Exclusive</v>
      </c>
      <c r="D488" s="49"/>
      <c r="E488" s="49">
        <f>IFERROR(__xludf.DUMMYFUNCTION("""COMPUTED_VALUE"""),200.0)</f>
        <v>200</v>
      </c>
      <c r="F488" s="112">
        <f>IFERROR(__xludf.DUMMYFUNCTION("""COMPUTED_VALUE"""),3.6315E8)</f>
        <v>363150000</v>
      </c>
      <c r="G488" s="49" t="str">
        <f>IFERROR(__xludf.DUMMYFUNCTION("""COMPUTED_VALUE"""),"DEF")</f>
        <v>DEF</v>
      </c>
      <c r="H488" s="125">
        <f>IFERROR(__xludf.DUMMYFUNCTION("""COMPUTED_VALUE"""),50000.0)</f>
        <v>50000</v>
      </c>
      <c r="I488" s="125">
        <f>IFERROR(__xludf.DUMMYFUNCTION("""COMPUTED_VALUE"""),35000.0)</f>
        <v>35000</v>
      </c>
      <c r="J488" s="49"/>
      <c r="K488" s="49"/>
      <c r="L488" s="49"/>
      <c r="M488" s="49"/>
      <c r="N488" s="49"/>
      <c r="O488" s="49"/>
      <c r="P488" s="49"/>
      <c r="Q488" s="49"/>
      <c r="R488" s="49"/>
      <c r="S488" s="49"/>
      <c r="T488" s="49"/>
      <c r="U488" s="49"/>
      <c r="V488" s="49"/>
      <c r="W488" s="49"/>
      <c r="X488" s="49"/>
      <c r="Y488" s="49"/>
      <c r="Z488" s="49"/>
      <c r="AA488" s="49"/>
      <c r="AB488" s="49"/>
      <c r="AC488" s="125">
        <f>IFERROR(__xludf.DUMMYFUNCTION("""COMPUTED_VALUE"""),50000.0)</f>
        <v>50000</v>
      </c>
      <c r="AD488" s="49"/>
      <c r="AE488" s="49"/>
      <c r="AF488" s="49" t="str">
        <f>IFERROR(__xludf.DUMMYFUNCTION("""COMPUTED_VALUE"""),"++X2 Earth Damage for self. ++X2 Defense for self")</f>
        <v>++X2 Earth Damage for self. ++X2 Defense for self</v>
      </c>
      <c r="AG488" s="49" t="str">
        <f>IFERROR(__xludf.DUMMYFUNCTION("""COMPUTED_VALUE"""),"Land of Spira")</f>
        <v>Land of Spira</v>
      </c>
      <c r="AH488" s="49" t="b">
        <f>IFERROR(__xludf.DUMMYFUNCTION("""COMPUTED_VALUE"""),FALSE)</f>
        <v>0</v>
      </c>
    </row>
    <row r="489">
      <c r="A489" s="49" t="str">
        <f>IFERROR(__xludf.DUMMYFUNCTION("""COMPUTED_VALUE"""),"Gaia's Gloves")</f>
        <v>Gaia's Gloves</v>
      </c>
      <c r="B489" s="49" t="str">
        <f>IFERROR(__xludf.DUMMYFUNCTION("""COMPUTED_VALUE"""),"Arms")</f>
        <v>Arms</v>
      </c>
      <c r="C489" s="49" t="str">
        <f>IFERROR(__xludf.DUMMYFUNCTION("""COMPUTED_VALUE"""),"Mob Exclusive")</f>
        <v>Mob Exclusive</v>
      </c>
      <c r="D489" s="49"/>
      <c r="E489" s="49">
        <f>IFERROR(__xludf.DUMMYFUNCTION("""COMPUTED_VALUE"""),200.0)</f>
        <v>200</v>
      </c>
      <c r="F489" s="112">
        <f>IFERROR(__xludf.DUMMYFUNCTION("""COMPUTED_VALUE"""),3.6315E8)</f>
        <v>363150000</v>
      </c>
      <c r="G489" s="49" t="str">
        <f>IFERROR(__xludf.DUMMYFUNCTION("""COMPUTED_VALUE"""),"DEF")</f>
        <v>DEF</v>
      </c>
      <c r="H489" s="125">
        <f>IFERROR(__xludf.DUMMYFUNCTION("""COMPUTED_VALUE"""),50000.0)</f>
        <v>50000</v>
      </c>
      <c r="I489" s="125">
        <f>IFERROR(__xludf.DUMMYFUNCTION("""COMPUTED_VALUE"""),35000.0)</f>
        <v>35000</v>
      </c>
      <c r="J489" s="49"/>
      <c r="K489" s="49"/>
      <c r="L489" s="49"/>
      <c r="M489" s="49"/>
      <c r="N489" s="49"/>
      <c r="O489" s="49"/>
      <c r="P489" s="49"/>
      <c r="Q489" s="49"/>
      <c r="R489" s="49"/>
      <c r="S489" s="49"/>
      <c r="T489" s="49"/>
      <c r="U489" s="49"/>
      <c r="V489" s="49"/>
      <c r="W489" s="49"/>
      <c r="X489" s="49"/>
      <c r="Y489" s="49"/>
      <c r="Z489" s="49"/>
      <c r="AA489" s="49"/>
      <c r="AB489" s="49"/>
      <c r="AC489" s="125">
        <f>IFERROR(__xludf.DUMMYFUNCTION("""COMPUTED_VALUE"""),50000.0)</f>
        <v>50000</v>
      </c>
      <c r="AD489" s="49"/>
      <c r="AE489" s="49"/>
      <c r="AF489" s="49" t="str">
        <f>IFERROR(__xludf.DUMMYFUNCTION("""COMPUTED_VALUE"""),"++X2 Earth Damage for self. ++X2 Defense for self")</f>
        <v>++X2 Earth Damage for self. ++X2 Defense for self</v>
      </c>
      <c r="AG489" s="49" t="str">
        <f>IFERROR(__xludf.DUMMYFUNCTION("""COMPUTED_VALUE"""),"Land of Spira")</f>
        <v>Land of Spira</v>
      </c>
      <c r="AH489" s="49" t="b">
        <f>IFERROR(__xludf.DUMMYFUNCTION("""COMPUTED_VALUE"""),FALSE)</f>
        <v>0</v>
      </c>
    </row>
    <row r="490">
      <c r="A490" s="49" t="str">
        <f>IFERROR(__xludf.DUMMYFUNCTION("""COMPUTED_VALUE"""),"Gaia's Gaiters")</f>
        <v>Gaia's Gaiters</v>
      </c>
      <c r="B490" s="49" t="str">
        <f>IFERROR(__xludf.DUMMYFUNCTION("""COMPUTED_VALUE"""),"Legs")</f>
        <v>Legs</v>
      </c>
      <c r="C490" s="49" t="str">
        <f>IFERROR(__xludf.DUMMYFUNCTION("""COMPUTED_VALUE"""),"Mob Exclusive")</f>
        <v>Mob Exclusive</v>
      </c>
      <c r="D490" s="49"/>
      <c r="E490" s="49">
        <f>IFERROR(__xludf.DUMMYFUNCTION("""COMPUTED_VALUE"""),200.0)</f>
        <v>200</v>
      </c>
      <c r="F490" s="112">
        <f>IFERROR(__xludf.DUMMYFUNCTION("""COMPUTED_VALUE"""),3.6315E8)</f>
        <v>363150000</v>
      </c>
      <c r="G490" s="49" t="str">
        <f>IFERROR(__xludf.DUMMYFUNCTION("""COMPUTED_VALUE"""),"DEF")</f>
        <v>DEF</v>
      </c>
      <c r="H490" s="125">
        <f>IFERROR(__xludf.DUMMYFUNCTION("""COMPUTED_VALUE"""),50000.0)</f>
        <v>50000</v>
      </c>
      <c r="I490" s="125">
        <f>IFERROR(__xludf.DUMMYFUNCTION("""COMPUTED_VALUE"""),35000.0)</f>
        <v>35000</v>
      </c>
      <c r="J490" s="49"/>
      <c r="K490" s="49"/>
      <c r="L490" s="49"/>
      <c r="M490" s="49"/>
      <c r="N490" s="49"/>
      <c r="O490" s="49"/>
      <c r="P490" s="49"/>
      <c r="Q490" s="49"/>
      <c r="R490" s="49"/>
      <c r="S490" s="49"/>
      <c r="T490" s="49"/>
      <c r="U490" s="49"/>
      <c r="V490" s="49"/>
      <c r="W490" s="49"/>
      <c r="X490" s="49"/>
      <c r="Y490" s="49"/>
      <c r="Z490" s="49"/>
      <c r="AA490" s="49"/>
      <c r="AB490" s="49"/>
      <c r="AC490" s="125">
        <f>IFERROR(__xludf.DUMMYFUNCTION("""COMPUTED_VALUE"""),50000.0)</f>
        <v>50000</v>
      </c>
      <c r="AD490" s="49"/>
      <c r="AE490" s="49"/>
      <c r="AF490" s="49" t="str">
        <f>IFERROR(__xludf.DUMMYFUNCTION("""COMPUTED_VALUE"""),"++X2 Earth Damage for self. ++X2 Defense for self")</f>
        <v>++X2 Earth Damage for self. ++X2 Defense for self</v>
      </c>
      <c r="AG490" s="49" t="str">
        <f>IFERROR(__xludf.DUMMYFUNCTION("""COMPUTED_VALUE"""),"Land of Spira")</f>
        <v>Land of Spira</v>
      </c>
      <c r="AH490" s="49" t="b">
        <f>IFERROR(__xludf.DUMMYFUNCTION("""COMPUTED_VALUE"""),FALSE)</f>
        <v>0</v>
      </c>
    </row>
    <row r="491">
      <c r="A491" s="49" t="str">
        <f>IFERROR(__xludf.DUMMYFUNCTION("""COMPUTED_VALUE"""),"Gaia's Pauldrons")</f>
        <v>Gaia's Pauldrons</v>
      </c>
      <c r="B491" s="49" t="str">
        <f>IFERROR(__xludf.DUMMYFUNCTION("""COMPUTED_VALUE"""),"Shoulders")</f>
        <v>Shoulders</v>
      </c>
      <c r="C491" s="49" t="str">
        <f>IFERROR(__xludf.DUMMYFUNCTION("""COMPUTED_VALUE"""),"Mob Exclusive")</f>
        <v>Mob Exclusive</v>
      </c>
      <c r="D491" s="49"/>
      <c r="E491" s="49">
        <f>IFERROR(__xludf.DUMMYFUNCTION("""COMPUTED_VALUE"""),200.0)</f>
        <v>200</v>
      </c>
      <c r="F491" s="112">
        <f>IFERROR(__xludf.DUMMYFUNCTION("""COMPUTED_VALUE"""),3.6315E8)</f>
        <v>363150000</v>
      </c>
      <c r="G491" s="49" t="str">
        <f>IFERROR(__xludf.DUMMYFUNCTION("""COMPUTED_VALUE"""),"DEF")</f>
        <v>DEF</v>
      </c>
      <c r="H491" s="125">
        <f>IFERROR(__xludf.DUMMYFUNCTION("""COMPUTED_VALUE"""),50000.0)</f>
        <v>50000</v>
      </c>
      <c r="I491" s="125">
        <f>IFERROR(__xludf.DUMMYFUNCTION("""COMPUTED_VALUE"""),35000.0)</f>
        <v>35000</v>
      </c>
      <c r="J491" s="49"/>
      <c r="K491" s="49"/>
      <c r="L491" s="49"/>
      <c r="M491" s="49"/>
      <c r="N491" s="49"/>
      <c r="O491" s="49"/>
      <c r="P491" s="49"/>
      <c r="Q491" s="49"/>
      <c r="R491" s="49"/>
      <c r="S491" s="49"/>
      <c r="T491" s="49"/>
      <c r="U491" s="49"/>
      <c r="V491" s="49"/>
      <c r="W491" s="49"/>
      <c r="X491" s="49"/>
      <c r="Y491" s="49"/>
      <c r="Z491" s="49"/>
      <c r="AA491" s="49"/>
      <c r="AB491" s="49"/>
      <c r="AC491" s="125">
        <f>IFERROR(__xludf.DUMMYFUNCTION("""COMPUTED_VALUE"""),50000.0)</f>
        <v>50000</v>
      </c>
      <c r="AD491" s="49"/>
      <c r="AE491" s="49"/>
      <c r="AF491" s="49" t="str">
        <f>IFERROR(__xludf.DUMMYFUNCTION("""COMPUTED_VALUE"""),"++X2 Earth Damage for self. ++X2 Defense for self")</f>
        <v>++X2 Earth Damage for self. ++X2 Defense for self</v>
      </c>
      <c r="AG491" s="49" t="str">
        <f>IFERROR(__xludf.DUMMYFUNCTION("""COMPUTED_VALUE"""),"Land of Spira")</f>
        <v>Land of Spira</v>
      </c>
      <c r="AH491" s="49" t="b">
        <f>IFERROR(__xludf.DUMMYFUNCTION("""COMPUTED_VALUE"""),FALSE)</f>
        <v>0</v>
      </c>
    </row>
    <row r="492">
      <c r="A492" s="49" t="str">
        <f>IFERROR(__xludf.DUMMYFUNCTION("""COMPUTED_VALUE"""),"Gaia's Chestpiece")</f>
        <v>Gaia's Chestpiece</v>
      </c>
      <c r="B492" s="49" t="str">
        <f>IFERROR(__xludf.DUMMYFUNCTION("""COMPUTED_VALUE"""),"Torso")</f>
        <v>Torso</v>
      </c>
      <c r="C492" s="49" t="str">
        <f>IFERROR(__xludf.DUMMYFUNCTION("""COMPUTED_VALUE"""),"Mob Exclusive")</f>
        <v>Mob Exclusive</v>
      </c>
      <c r="D492" s="49"/>
      <c r="E492" s="49">
        <f>IFERROR(__xludf.DUMMYFUNCTION("""COMPUTED_VALUE"""),200.0)</f>
        <v>200</v>
      </c>
      <c r="F492" s="112">
        <f>IFERROR(__xludf.DUMMYFUNCTION("""COMPUTED_VALUE"""),1.4553E9)</f>
        <v>1455300000</v>
      </c>
      <c r="G492" s="49" t="str">
        <f>IFERROR(__xludf.DUMMYFUNCTION("""COMPUTED_VALUE"""),"DEF")</f>
        <v>DEF</v>
      </c>
      <c r="H492" s="125">
        <f>IFERROR(__xludf.DUMMYFUNCTION("""COMPUTED_VALUE"""),100000.0)</f>
        <v>100000</v>
      </c>
      <c r="I492" s="125">
        <f>IFERROR(__xludf.DUMMYFUNCTION("""COMPUTED_VALUE"""),70000.0)</f>
        <v>70000</v>
      </c>
      <c r="J492" s="49"/>
      <c r="K492" s="49"/>
      <c r="L492" s="49"/>
      <c r="M492" s="49"/>
      <c r="N492" s="49"/>
      <c r="O492" s="49"/>
      <c r="P492" s="49"/>
      <c r="Q492" s="49"/>
      <c r="R492" s="49"/>
      <c r="S492" s="49"/>
      <c r="T492" s="49"/>
      <c r="U492" s="49"/>
      <c r="V492" s="49"/>
      <c r="W492" s="49"/>
      <c r="X492" s="49"/>
      <c r="Y492" s="49"/>
      <c r="Z492" s="49"/>
      <c r="AA492" s="49"/>
      <c r="AB492" s="49"/>
      <c r="AC492" s="125">
        <f>IFERROR(__xludf.DUMMYFUNCTION("""COMPUTED_VALUE"""),100000.0)</f>
        <v>100000</v>
      </c>
      <c r="AD492" s="49"/>
      <c r="AE492" s="49"/>
      <c r="AF492" s="49" t="str">
        <f>IFERROR(__xludf.DUMMYFUNCTION("""COMPUTED_VALUE"""),"++X2 Earth Damage for self. ++X2 Defense for self")</f>
        <v>++X2 Earth Damage for self. ++X2 Defense for self</v>
      </c>
      <c r="AG492" s="49" t="str">
        <f>IFERROR(__xludf.DUMMYFUNCTION("""COMPUTED_VALUE"""),"Land of Spira")</f>
        <v>Land of Spira</v>
      </c>
      <c r="AH492" s="49" t="b">
        <f>IFERROR(__xludf.DUMMYFUNCTION("""COMPUTED_VALUE"""),FALSE)</f>
        <v>0</v>
      </c>
    </row>
    <row r="493">
      <c r="A493" s="49" t="str">
        <f>IFERROR(__xludf.DUMMYFUNCTION("""COMPUTED_VALUE"""),"Gaia's Ring")</f>
        <v>Gaia's Ring</v>
      </c>
      <c r="B493" s="49" t="str">
        <f>IFERROR(__xludf.DUMMYFUNCTION("""COMPUTED_VALUE"""),"Ring")</f>
        <v>Ring</v>
      </c>
      <c r="C493" s="49" t="str">
        <f>IFERROR(__xludf.DUMMYFUNCTION("""COMPUTED_VALUE"""),"Mob Exclusive")</f>
        <v>Mob Exclusive</v>
      </c>
      <c r="D493" s="49"/>
      <c r="E493" s="49">
        <f>IFERROR(__xludf.DUMMYFUNCTION("""COMPUTED_VALUE"""),1.0)</f>
        <v>1</v>
      </c>
      <c r="F493" s="112">
        <f>IFERROR(__xludf.DUMMYFUNCTION("""COMPUTED_VALUE"""),0.0)</f>
        <v>0</v>
      </c>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c r="AE493" s="49"/>
      <c r="AF493" s="49" t="str">
        <f>IFERROR(__xludf.DUMMYFUNCTION("""COMPUTED_VALUE"""),"++X4 defense for self and allies, 50 sp")</f>
        <v>++X4 defense for self and allies, 50 sp</v>
      </c>
      <c r="AG493" s="49" t="str">
        <f>IFERROR(__xludf.DUMMYFUNCTION("""COMPUTED_VALUE"""),"Land of Spira")</f>
        <v>Land of Spira</v>
      </c>
      <c r="AH493" s="49" t="b">
        <f>IFERROR(__xludf.DUMMYFUNCTION("""COMPUTED_VALUE"""),FALSE)</f>
        <v>0</v>
      </c>
    </row>
    <row r="494">
      <c r="A494" s="49" t="str">
        <f>IFERROR(__xludf.DUMMYFUNCTION("""COMPUTED_VALUE"""),"Paladin of Gaia's Bucket helm of Tenacity")</f>
        <v>Paladin of Gaia's Bucket helm of Tenacity</v>
      </c>
      <c r="B494" s="49" t="str">
        <f>IFERROR(__xludf.DUMMYFUNCTION("""COMPUTED_VALUE"""),"Head")</f>
        <v>Head</v>
      </c>
      <c r="C494" s="49" t="str">
        <f>IFERROR(__xludf.DUMMYFUNCTION("""COMPUTED_VALUE"""),"Quest Item")</f>
        <v>Quest Item</v>
      </c>
      <c r="D494" s="49"/>
      <c r="E494" s="49">
        <f>IFERROR(__xludf.DUMMYFUNCTION("""COMPUTED_VALUE"""),200.0)</f>
        <v>200</v>
      </c>
      <c r="F494" s="112">
        <f>IFERROR(__xludf.DUMMYFUNCTION("""COMPUTED_VALUE"""),1.272E8)</f>
        <v>127200000</v>
      </c>
      <c r="G494" s="49" t="str">
        <f>IFERROR(__xludf.DUMMYFUNCTION("""COMPUTED_VALUE"""),"DEF")</f>
        <v>DEF</v>
      </c>
      <c r="H494" s="125">
        <f>IFERROR(__xludf.DUMMYFUNCTION("""COMPUTED_VALUE"""),20000.0)</f>
        <v>20000</v>
      </c>
      <c r="I494" s="125">
        <f>IFERROR(__xludf.DUMMYFUNCTION("""COMPUTED_VALUE"""),5000.0)</f>
        <v>5000</v>
      </c>
      <c r="J494" s="49"/>
      <c r="K494" s="49"/>
      <c r="L494" s="49"/>
      <c r="M494" s="125">
        <f>IFERROR(__xludf.DUMMYFUNCTION("""COMPUTED_VALUE"""),35000.0)</f>
        <v>35000</v>
      </c>
      <c r="N494" s="49"/>
      <c r="O494" s="49"/>
      <c r="P494" s="49"/>
      <c r="Q494" s="49"/>
      <c r="R494" s="49"/>
      <c r="S494" s="49"/>
      <c r="T494" s="49"/>
      <c r="U494" s="49"/>
      <c r="V494" s="49"/>
      <c r="W494" s="49"/>
      <c r="X494" s="49"/>
      <c r="Y494" s="49"/>
      <c r="Z494" s="49"/>
      <c r="AA494" s="49"/>
      <c r="AB494" s="49"/>
      <c r="AC494" s="125">
        <f>IFERROR(__xludf.DUMMYFUNCTION("""COMPUTED_VALUE"""),20000.0)</f>
        <v>20000</v>
      </c>
      <c r="AD494" s="49"/>
      <c r="AE494" s="49"/>
      <c r="AF494" s="49"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49" t="str">
        <f>IFERROR(__xludf.DUMMYFUNCTION("""COMPUTED_VALUE"""),"Land of Spira")</f>
        <v>Land of Spira</v>
      </c>
      <c r="AH494" s="49" t="b">
        <f>IFERROR(__xludf.DUMMYFUNCTION("""COMPUTED_VALUE"""),FALSE)</f>
        <v>0</v>
      </c>
    </row>
    <row r="495">
      <c r="A495" s="49" t="str">
        <f>IFERROR(__xludf.DUMMYFUNCTION("""COMPUTED_VALUE"""),"Paladin of Gaia's Stone Pauldrons")</f>
        <v>Paladin of Gaia's Stone Pauldrons</v>
      </c>
      <c r="B495" s="49" t="str">
        <f>IFERROR(__xludf.DUMMYFUNCTION("""COMPUTED_VALUE"""),"Shoulders")</f>
        <v>Shoulders</v>
      </c>
      <c r="C495" s="49" t="str">
        <f>IFERROR(__xludf.DUMMYFUNCTION("""COMPUTED_VALUE"""),"Quest Item")</f>
        <v>Quest Item</v>
      </c>
      <c r="D495" s="49"/>
      <c r="E495" s="49">
        <f>IFERROR(__xludf.DUMMYFUNCTION("""COMPUTED_VALUE"""),200.0)</f>
        <v>200</v>
      </c>
      <c r="F495" s="112">
        <f>IFERROR(__xludf.DUMMYFUNCTION("""COMPUTED_VALUE"""),1.272E8)</f>
        <v>127200000</v>
      </c>
      <c r="G495" s="49" t="str">
        <f>IFERROR(__xludf.DUMMYFUNCTION("""COMPUTED_VALUE"""),"DEF")</f>
        <v>DEF</v>
      </c>
      <c r="H495" s="125">
        <f>IFERROR(__xludf.DUMMYFUNCTION("""COMPUTED_VALUE"""),20000.0)</f>
        <v>20000</v>
      </c>
      <c r="I495" s="125">
        <f>IFERROR(__xludf.DUMMYFUNCTION("""COMPUTED_VALUE"""),5000.0)</f>
        <v>5000</v>
      </c>
      <c r="J495" s="49"/>
      <c r="K495" s="49"/>
      <c r="L495" s="49"/>
      <c r="M495" s="125">
        <f>IFERROR(__xludf.DUMMYFUNCTION("""COMPUTED_VALUE"""),35000.0)</f>
        <v>35000</v>
      </c>
      <c r="N495" s="49"/>
      <c r="O495" s="49"/>
      <c r="P495" s="49"/>
      <c r="Q495" s="49"/>
      <c r="R495" s="49"/>
      <c r="S495" s="49"/>
      <c r="T495" s="49"/>
      <c r="U495" s="49"/>
      <c r="V495" s="49"/>
      <c r="W495" s="49"/>
      <c r="X495" s="49"/>
      <c r="Y495" s="49"/>
      <c r="Z495" s="49"/>
      <c r="AA495" s="49"/>
      <c r="AB495" s="49"/>
      <c r="AC495" s="125">
        <f>IFERROR(__xludf.DUMMYFUNCTION("""COMPUTED_VALUE"""),20000.0)</f>
        <v>20000</v>
      </c>
      <c r="AD495" s="49"/>
      <c r="AE495" s="49"/>
      <c r="AF495" s="49" t="str">
        <f>IFERROR(__xludf.DUMMYFUNCTION("""COMPUTED_VALUE"""),"++Blessing of Stone I: 2X Earth Damage +-(Paladin or Knight Class Only)")</f>
        <v>++Blessing of Stone I: 2X Earth Damage +-(Paladin or Knight Class Only)</v>
      </c>
      <c r="AG495" s="49" t="str">
        <f>IFERROR(__xludf.DUMMYFUNCTION("""COMPUTED_VALUE"""),"Land of Spira")</f>
        <v>Land of Spira</v>
      </c>
      <c r="AH495" s="49" t="b">
        <f>IFERROR(__xludf.DUMMYFUNCTION("""COMPUTED_VALUE"""),FALSE)</f>
        <v>0</v>
      </c>
    </row>
    <row r="496">
      <c r="A496" s="49" t="str">
        <f>IFERROR(__xludf.DUMMYFUNCTION("""COMPUTED_VALUE"""),"Paladin of Gaia's Emblazoned Chestpiece")</f>
        <v>Paladin of Gaia's Emblazoned Chestpiece</v>
      </c>
      <c r="B496" s="49" t="str">
        <f>IFERROR(__xludf.DUMMYFUNCTION("""COMPUTED_VALUE"""),"Torso")</f>
        <v>Torso</v>
      </c>
      <c r="C496" s="49" t="str">
        <f>IFERROR(__xludf.DUMMYFUNCTION("""COMPUTED_VALUE"""),"Quest Item")</f>
        <v>Quest Item</v>
      </c>
      <c r="D496" s="49"/>
      <c r="E496" s="49">
        <f>IFERROR(__xludf.DUMMYFUNCTION("""COMPUTED_VALUE"""),200.0)</f>
        <v>200</v>
      </c>
      <c r="F496" s="112">
        <f>IFERROR(__xludf.DUMMYFUNCTION("""COMPUTED_VALUE"""),7.201E8)</f>
        <v>720100000</v>
      </c>
      <c r="G496" s="49" t="str">
        <f>IFERROR(__xludf.DUMMYFUNCTION("""COMPUTED_VALUE"""),"DEF")</f>
        <v>DEF</v>
      </c>
      <c r="H496" s="125">
        <f>IFERROR(__xludf.DUMMYFUNCTION("""COMPUTED_VALUE"""),50000.0)</f>
        <v>50000</v>
      </c>
      <c r="I496" s="125">
        <f>IFERROR(__xludf.DUMMYFUNCTION("""COMPUTED_VALUE"""),20000.0)</f>
        <v>20000</v>
      </c>
      <c r="J496" s="49"/>
      <c r="K496" s="49"/>
      <c r="L496" s="49"/>
      <c r="M496" s="125">
        <f>IFERROR(__xludf.DUMMYFUNCTION("""COMPUTED_VALUE"""),70000.0)</f>
        <v>70000</v>
      </c>
      <c r="N496" s="49"/>
      <c r="O496" s="49"/>
      <c r="P496" s="49"/>
      <c r="Q496" s="49"/>
      <c r="R496" s="49"/>
      <c r="S496" s="49"/>
      <c r="T496" s="49"/>
      <c r="U496" s="49"/>
      <c r="V496" s="49"/>
      <c r="W496" s="49"/>
      <c r="X496" s="49"/>
      <c r="Y496" s="49"/>
      <c r="Z496" s="49"/>
      <c r="AA496" s="49"/>
      <c r="AB496" s="49"/>
      <c r="AC496" s="125">
        <f>IFERROR(__xludf.DUMMYFUNCTION("""COMPUTED_VALUE"""),50000.0)</f>
        <v>50000</v>
      </c>
      <c r="AD496" s="49"/>
      <c r="AE496" s="49"/>
      <c r="AF496" s="49" t="str">
        <f>IFERROR(__xludf.DUMMYFUNCTION("""COMPUTED_VALUE"""),"++X2 defense for self and allies +-Paladin or Knight Class Only +-Can only equip one")</f>
        <v>++X2 defense for self and allies +-Paladin or Knight Class Only +-Can only equip one</v>
      </c>
      <c r="AG496" s="49" t="str">
        <f>IFERROR(__xludf.DUMMYFUNCTION("""COMPUTED_VALUE"""),"Land of Spira")</f>
        <v>Land of Spira</v>
      </c>
      <c r="AH496" s="49" t="b">
        <f>IFERROR(__xludf.DUMMYFUNCTION("""COMPUTED_VALUE"""),FALSE)</f>
        <v>0</v>
      </c>
    </row>
    <row r="497">
      <c r="A497" s="49" t="str">
        <f>IFERROR(__xludf.DUMMYFUNCTION("""COMPUTED_VALUE"""),"Paladin of Gaia's Vambraces")</f>
        <v>Paladin of Gaia's Vambraces</v>
      </c>
      <c r="B497" s="49" t="str">
        <f>IFERROR(__xludf.DUMMYFUNCTION("""COMPUTED_VALUE"""),"Arms")</f>
        <v>Arms</v>
      </c>
      <c r="C497" s="49" t="str">
        <f>IFERROR(__xludf.DUMMYFUNCTION("""COMPUTED_VALUE"""),"Quest Item")</f>
        <v>Quest Item</v>
      </c>
      <c r="D497" s="49"/>
      <c r="E497" s="49">
        <f>IFERROR(__xludf.DUMMYFUNCTION("""COMPUTED_VALUE"""),200.0)</f>
        <v>200</v>
      </c>
      <c r="F497" s="112">
        <f>IFERROR(__xludf.DUMMYFUNCTION("""COMPUTED_VALUE"""),1.272E8)</f>
        <v>127200000</v>
      </c>
      <c r="G497" s="49" t="str">
        <f>IFERROR(__xludf.DUMMYFUNCTION("""COMPUTED_VALUE"""),"DEF")</f>
        <v>DEF</v>
      </c>
      <c r="H497" s="125">
        <f>IFERROR(__xludf.DUMMYFUNCTION("""COMPUTED_VALUE"""),20000.0)</f>
        <v>20000</v>
      </c>
      <c r="I497" s="125">
        <f>IFERROR(__xludf.DUMMYFUNCTION("""COMPUTED_VALUE"""),5000.0)</f>
        <v>5000</v>
      </c>
      <c r="J497" s="49"/>
      <c r="K497" s="49"/>
      <c r="L497" s="49"/>
      <c r="M497" s="125">
        <f>IFERROR(__xludf.DUMMYFUNCTION("""COMPUTED_VALUE"""),35000.0)</f>
        <v>35000</v>
      </c>
      <c r="N497" s="49"/>
      <c r="O497" s="49"/>
      <c r="P497" s="49"/>
      <c r="Q497" s="49"/>
      <c r="R497" s="49"/>
      <c r="S497" s="49"/>
      <c r="T497" s="49"/>
      <c r="U497" s="49"/>
      <c r="V497" s="49"/>
      <c r="W497" s="49"/>
      <c r="X497" s="49"/>
      <c r="Y497" s="49"/>
      <c r="Z497" s="49"/>
      <c r="AA497" s="49"/>
      <c r="AB497" s="49"/>
      <c r="AC497" s="125">
        <f>IFERROR(__xludf.DUMMYFUNCTION("""COMPUTED_VALUE"""),20000.0)</f>
        <v>20000</v>
      </c>
      <c r="AD497" s="49"/>
      <c r="AE497" s="49"/>
      <c r="AF497" s="49" t="str">
        <f>IFERROR(__xludf.DUMMYFUNCTION("""COMPUTED_VALUE"""),"++X2 defense for self and allies +-Paladin or Knight Class Only +-Can only equip one")</f>
        <v>++X2 defense for self and allies +-Paladin or Knight Class Only +-Can only equip one</v>
      </c>
      <c r="AG497" s="49" t="str">
        <f>IFERROR(__xludf.DUMMYFUNCTION("""COMPUTED_VALUE"""),"Land of Spira")</f>
        <v>Land of Spira</v>
      </c>
      <c r="AH497" s="49" t="b">
        <f>IFERROR(__xludf.DUMMYFUNCTION("""COMPUTED_VALUE"""),FALSE)</f>
        <v>0</v>
      </c>
    </row>
    <row r="498">
      <c r="A498" s="49" t="str">
        <f>IFERROR(__xludf.DUMMYFUNCTION("""COMPUTED_VALUE"""),"Paladin of Gaia's Plate Chausses")</f>
        <v>Paladin of Gaia's Plate Chausses</v>
      </c>
      <c r="B498" s="49" t="str">
        <f>IFERROR(__xludf.DUMMYFUNCTION("""COMPUTED_VALUE"""),"Legs")</f>
        <v>Legs</v>
      </c>
      <c r="C498" s="49" t="str">
        <f>IFERROR(__xludf.DUMMYFUNCTION("""COMPUTED_VALUE"""),"Quest Item")</f>
        <v>Quest Item</v>
      </c>
      <c r="D498" s="49"/>
      <c r="E498" s="49">
        <f>IFERROR(__xludf.DUMMYFUNCTION("""COMPUTED_VALUE"""),200.0)</f>
        <v>200</v>
      </c>
      <c r="F498" s="112">
        <f>IFERROR(__xludf.DUMMYFUNCTION("""COMPUTED_VALUE"""),1.272E8)</f>
        <v>127200000</v>
      </c>
      <c r="G498" s="49" t="str">
        <f>IFERROR(__xludf.DUMMYFUNCTION("""COMPUTED_VALUE"""),"DEF")</f>
        <v>DEF</v>
      </c>
      <c r="H498" s="125">
        <f>IFERROR(__xludf.DUMMYFUNCTION("""COMPUTED_VALUE"""),20000.0)</f>
        <v>20000</v>
      </c>
      <c r="I498" s="125">
        <f>IFERROR(__xludf.DUMMYFUNCTION("""COMPUTED_VALUE"""),5000.0)</f>
        <v>5000</v>
      </c>
      <c r="J498" s="49"/>
      <c r="K498" s="49"/>
      <c r="L498" s="49"/>
      <c r="M498" s="125">
        <f>IFERROR(__xludf.DUMMYFUNCTION("""COMPUTED_VALUE"""),35000.0)</f>
        <v>35000</v>
      </c>
      <c r="N498" s="49"/>
      <c r="O498" s="49"/>
      <c r="P498" s="49"/>
      <c r="Q498" s="49"/>
      <c r="R498" s="49"/>
      <c r="S498" s="49"/>
      <c r="T498" s="49"/>
      <c r="U498" s="49"/>
      <c r="V498" s="49"/>
      <c r="W498" s="49"/>
      <c r="X498" s="49"/>
      <c r="Y498" s="49"/>
      <c r="Z498" s="49"/>
      <c r="AA498" s="49"/>
      <c r="AB498" s="49"/>
      <c r="AC498" s="125">
        <f>IFERROR(__xludf.DUMMYFUNCTION("""COMPUTED_VALUE"""),20000.0)</f>
        <v>20000</v>
      </c>
      <c r="AD498" s="49"/>
      <c r="AE498" s="49"/>
      <c r="AF498" s="49" t="str">
        <f>IFERROR(__xludf.DUMMYFUNCTION("""COMPUTED_VALUE"""),"++Blessing of Stone I: 2X Earth Damage +-Paladin or Knight Class Only +-Can only equip one")</f>
        <v>++Blessing of Stone I: 2X Earth Damage +-Paladin or Knight Class Only +-Can only equip one</v>
      </c>
      <c r="AG498" s="49" t="str">
        <f>IFERROR(__xludf.DUMMYFUNCTION("""COMPUTED_VALUE"""),"Land of Spira")</f>
        <v>Land of Spira</v>
      </c>
      <c r="AH498" s="49" t="b">
        <f>IFERROR(__xludf.DUMMYFUNCTION("""COMPUTED_VALUE"""),FALSE)</f>
        <v>0</v>
      </c>
    </row>
    <row r="499">
      <c r="A499" s="49" t="str">
        <f>IFERROR(__xludf.DUMMYFUNCTION("""COMPUTED_VALUE"""),"Paladin of Gaia's Sabatons")</f>
        <v>Paladin of Gaia's Sabatons</v>
      </c>
      <c r="B499" s="49" t="str">
        <f>IFERROR(__xludf.DUMMYFUNCTION("""COMPUTED_VALUE"""),"Feet")</f>
        <v>Feet</v>
      </c>
      <c r="C499" s="49" t="str">
        <f>IFERROR(__xludf.DUMMYFUNCTION("""COMPUTED_VALUE"""),"Quest Item")</f>
        <v>Quest Item</v>
      </c>
      <c r="D499" s="49"/>
      <c r="E499" s="49">
        <f>IFERROR(__xludf.DUMMYFUNCTION("""COMPUTED_VALUE"""),200.0)</f>
        <v>200</v>
      </c>
      <c r="F499" s="112">
        <f>IFERROR(__xludf.DUMMYFUNCTION("""COMPUTED_VALUE"""),1.272E8)</f>
        <v>127200000</v>
      </c>
      <c r="G499" s="49" t="str">
        <f>IFERROR(__xludf.DUMMYFUNCTION("""COMPUTED_VALUE"""),"DEF")</f>
        <v>DEF</v>
      </c>
      <c r="H499" s="125">
        <f>IFERROR(__xludf.DUMMYFUNCTION("""COMPUTED_VALUE"""),20000.0)</f>
        <v>20000</v>
      </c>
      <c r="I499" s="125">
        <f>IFERROR(__xludf.DUMMYFUNCTION("""COMPUTED_VALUE"""),5000.0)</f>
        <v>5000</v>
      </c>
      <c r="J499" s="49"/>
      <c r="K499" s="49"/>
      <c r="L499" s="49"/>
      <c r="M499" s="125">
        <f>IFERROR(__xludf.DUMMYFUNCTION("""COMPUTED_VALUE"""),35000.0)</f>
        <v>35000</v>
      </c>
      <c r="N499" s="49"/>
      <c r="O499" s="49"/>
      <c r="P499" s="49"/>
      <c r="Q499" s="49"/>
      <c r="R499" s="49"/>
      <c r="S499" s="49"/>
      <c r="T499" s="49"/>
      <c r="U499" s="49"/>
      <c r="V499" s="49"/>
      <c r="W499" s="49"/>
      <c r="X499" s="49"/>
      <c r="Y499" s="49"/>
      <c r="Z499" s="49"/>
      <c r="AA499" s="49"/>
      <c r="AB499" s="49"/>
      <c r="AC499" s="125">
        <f>IFERROR(__xludf.DUMMYFUNCTION("""COMPUTED_VALUE"""),20000.0)</f>
        <v>20000</v>
      </c>
      <c r="AD499" s="49"/>
      <c r="AE499" s="49"/>
      <c r="AF499" s="49" t="str">
        <f>IFERROR(__xludf.DUMMYFUNCTION("""COMPUTED_VALUE"""),"++Blessing of Stone I: 2X Earth Damage +-Paladin or Knight Class Only +-Can only equip one")</f>
        <v>++Blessing of Stone I: 2X Earth Damage +-Paladin or Knight Class Only +-Can only equip one</v>
      </c>
      <c r="AG499" s="49" t="str">
        <f>IFERROR(__xludf.DUMMYFUNCTION("""COMPUTED_VALUE"""),"Land of Spira")</f>
        <v>Land of Spira</v>
      </c>
      <c r="AH499" s="49" t="b">
        <f>IFERROR(__xludf.DUMMYFUNCTION("""COMPUTED_VALUE"""),FALSE)</f>
        <v>0</v>
      </c>
    </row>
    <row r="500">
      <c r="A500" s="49" t="str">
        <f>IFERROR(__xludf.DUMMYFUNCTION("""COMPUTED_VALUE"""),"Paladin of Gaia's Ruby Ring")</f>
        <v>Paladin of Gaia's Ruby Ring</v>
      </c>
      <c r="B500" s="49" t="str">
        <f>IFERROR(__xludf.DUMMYFUNCTION("""COMPUTED_VALUE"""),"Ring")</f>
        <v>Ring</v>
      </c>
      <c r="C500" s="49" t="str">
        <f>IFERROR(__xludf.DUMMYFUNCTION("""COMPUTED_VALUE"""),"Quest Item")</f>
        <v>Quest Item</v>
      </c>
      <c r="D500" s="49"/>
      <c r="E500" s="49">
        <f>IFERROR(__xludf.DUMMYFUNCTION("""COMPUTED_VALUE"""),1.0)</f>
        <v>1</v>
      </c>
      <c r="F500" s="112">
        <f>IFERROR(__xludf.DUMMYFUNCTION("""COMPUTED_VALUE"""),0.0)</f>
        <v>0</v>
      </c>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c r="AE500" s="49"/>
      <c r="AF500" s="49"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49" t="str">
        <f>IFERROR(__xludf.DUMMYFUNCTION("""COMPUTED_VALUE"""),"Land of Spira")</f>
        <v>Land of Spira</v>
      </c>
      <c r="AH500" s="49" t="b">
        <f>IFERROR(__xludf.DUMMYFUNCTION("""COMPUTED_VALUE"""),FALSE)</f>
        <v>0</v>
      </c>
    </row>
    <row r="501">
      <c r="A501" s="49" t="str">
        <f>IFERROR(__xludf.DUMMYFUNCTION("""COMPUTED_VALUE"""),"Paladin of Gaia's Emerald Pendant")</f>
        <v>Paladin of Gaia's Emerald Pendant</v>
      </c>
      <c r="B501" s="49" t="str">
        <f>IFERROR(__xludf.DUMMYFUNCTION("""COMPUTED_VALUE"""),"Neck")</f>
        <v>Neck</v>
      </c>
      <c r="C501" s="49" t="str">
        <f>IFERROR(__xludf.DUMMYFUNCTION("""COMPUTED_VALUE"""),"Quest Item")</f>
        <v>Quest Item</v>
      </c>
      <c r="D501" s="49"/>
      <c r="E501" s="49">
        <f>IFERROR(__xludf.DUMMYFUNCTION("""COMPUTED_VALUE"""),1.0)</f>
        <v>1</v>
      </c>
      <c r="F501" s="112">
        <f>IFERROR(__xludf.DUMMYFUNCTION("""COMPUTED_VALUE"""),0.0)</f>
        <v>0</v>
      </c>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c r="AE501" s="49"/>
      <c r="AF501" s="49"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49" t="str">
        <f>IFERROR(__xludf.DUMMYFUNCTION("""COMPUTED_VALUE"""),"Land of Spira")</f>
        <v>Land of Spira</v>
      </c>
      <c r="AH501" s="49" t="b">
        <f>IFERROR(__xludf.DUMMYFUNCTION("""COMPUTED_VALUE"""),FALSE)</f>
        <v>0</v>
      </c>
    </row>
    <row r="502">
      <c r="A502" s="49" t="str">
        <f>IFERROR(__xludf.DUMMYFUNCTION("""COMPUTED_VALUE"""),"The Blacksmith's Forged Battleaxe ")</f>
        <v>The Blacksmith's Forged Battleaxe </v>
      </c>
      <c r="B502" s="49" t="str">
        <f>IFERROR(__xludf.DUMMYFUNCTION("""COMPUTED_VALUE"""),"Hand")</f>
        <v>Hand</v>
      </c>
      <c r="C502" s="49" t="str">
        <f>IFERROR(__xludf.DUMMYFUNCTION("""COMPUTED_VALUE"""),"Mob Exclusive")</f>
        <v>Mob Exclusive</v>
      </c>
      <c r="D502" s="49" t="str">
        <f>IFERROR(__xludf.DUMMYFUNCTION("""COMPUTED_VALUE"""),"Axe")</f>
        <v>Axe</v>
      </c>
      <c r="E502" s="49">
        <f>IFERROR(__xludf.DUMMYFUNCTION("""COMPUTED_VALUE"""),200.0)</f>
        <v>200</v>
      </c>
      <c r="F502" s="112">
        <f>IFERROR(__xludf.DUMMYFUNCTION("""COMPUTED_VALUE"""),1.2475E9)</f>
        <v>1247500000</v>
      </c>
      <c r="G502" s="49" t="str">
        <f>IFERROR(__xludf.DUMMYFUNCTION("""COMPUTED_VALUE"""),"DMG")</f>
        <v>DMG</v>
      </c>
      <c r="H502" s="125">
        <f>IFERROR(__xludf.DUMMYFUNCTION("""COMPUTED_VALUE"""),100000.0)</f>
        <v>100000</v>
      </c>
      <c r="I502" s="125">
        <f>IFERROR(__xludf.DUMMYFUNCTION("""COMPUTED_VALUE"""),100000.0)</f>
        <v>100000</v>
      </c>
      <c r="J502" s="49"/>
      <c r="K502" s="49"/>
      <c r="L502" s="49"/>
      <c r="M502" s="49"/>
      <c r="N502" s="49"/>
      <c r="O502" s="49"/>
      <c r="P502" s="49"/>
      <c r="Q502" s="49"/>
      <c r="R502" s="49"/>
      <c r="S502" s="49"/>
      <c r="T502" s="49"/>
      <c r="U502" s="49"/>
      <c r="V502" s="49"/>
      <c r="W502" s="49"/>
      <c r="X502" s="49"/>
      <c r="Y502" s="49"/>
      <c r="Z502" s="49"/>
      <c r="AA502" s="49"/>
      <c r="AB502" s="49"/>
      <c r="AC502" s="125">
        <f>IFERROR(__xludf.DUMMYFUNCTION("""COMPUTED_VALUE"""),50000.0)</f>
        <v>50000</v>
      </c>
      <c r="AD502" s="49"/>
      <c r="AE502" s="49"/>
      <c r="AF502" s="49"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49" t="str">
        <f>IFERROR(__xludf.DUMMYFUNCTION("""COMPUTED_VALUE"""),"Land of Spira")</f>
        <v>Land of Spira</v>
      </c>
      <c r="AH502" s="49" t="b">
        <f>IFERROR(__xludf.DUMMYFUNCTION("""COMPUTED_VALUE"""),FALSE)</f>
        <v>0</v>
      </c>
    </row>
    <row r="503">
      <c r="A503" s="49" t="str">
        <f>IFERROR(__xludf.DUMMYFUNCTION("""COMPUTED_VALUE"""),"The Blacksmith's Forged Sword")</f>
        <v>The Blacksmith's Forged Sword</v>
      </c>
      <c r="B503" s="49" t="str">
        <f>IFERROR(__xludf.DUMMYFUNCTION("""COMPUTED_VALUE"""),"Hand")</f>
        <v>Hand</v>
      </c>
      <c r="C503" s="49" t="str">
        <f>IFERROR(__xludf.DUMMYFUNCTION("""COMPUTED_VALUE"""),"Mob Exclusive")</f>
        <v>Mob Exclusive</v>
      </c>
      <c r="D503" s="49" t="str">
        <f>IFERROR(__xludf.DUMMYFUNCTION("""COMPUTED_VALUE"""),"Sword")</f>
        <v>Sword</v>
      </c>
      <c r="E503" s="49">
        <f>IFERROR(__xludf.DUMMYFUNCTION("""COMPUTED_VALUE"""),200.0)</f>
        <v>200</v>
      </c>
      <c r="F503" s="112">
        <f>IFERROR(__xludf.DUMMYFUNCTION("""COMPUTED_VALUE"""),1.2475E9)</f>
        <v>1247500000</v>
      </c>
      <c r="G503" s="49" t="str">
        <f>IFERROR(__xludf.DUMMYFUNCTION("""COMPUTED_VALUE"""),"DMG")</f>
        <v>DMG</v>
      </c>
      <c r="H503" s="125">
        <f>IFERROR(__xludf.DUMMYFUNCTION("""COMPUTED_VALUE"""),100000.0)</f>
        <v>100000</v>
      </c>
      <c r="I503" s="125">
        <f>IFERROR(__xludf.DUMMYFUNCTION("""COMPUTED_VALUE"""),100000.0)</f>
        <v>100000</v>
      </c>
      <c r="J503" s="49"/>
      <c r="K503" s="49"/>
      <c r="L503" s="49"/>
      <c r="M503" s="49"/>
      <c r="N503" s="49"/>
      <c r="O503" s="49"/>
      <c r="P503" s="49"/>
      <c r="Q503" s="49"/>
      <c r="R503" s="49"/>
      <c r="S503" s="49"/>
      <c r="T503" s="49"/>
      <c r="U503" s="49"/>
      <c r="V503" s="49"/>
      <c r="W503" s="49"/>
      <c r="X503" s="49"/>
      <c r="Y503" s="49"/>
      <c r="Z503" s="49"/>
      <c r="AA503" s="49"/>
      <c r="AB503" s="49"/>
      <c r="AC503" s="125">
        <f>IFERROR(__xludf.DUMMYFUNCTION("""COMPUTED_VALUE"""),50000.0)</f>
        <v>50000</v>
      </c>
      <c r="AD503" s="49"/>
      <c r="AE503" s="49"/>
      <c r="AF503" s="49"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49" t="str">
        <f>IFERROR(__xludf.DUMMYFUNCTION("""COMPUTED_VALUE"""),"Land of Spira")</f>
        <v>Land of Spira</v>
      </c>
      <c r="AH503" s="49" t="b">
        <f>IFERROR(__xludf.DUMMYFUNCTION("""COMPUTED_VALUE"""),FALSE)</f>
        <v>0</v>
      </c>
    </row>
    <row r="504">
      <c r="A504" s="49" t="str">
        <f>IFERROR(__xludf.DUMMYFUNCTION("""COMPUTED_VALUE"""),"The Blacksmith's Forged Helmet")</f>
        <v>The Blacksmith's Forged Helmet</v>
      </c>
      <c r="B504" s="49" t="str">
        <f>IFERROR(__xludf.DUMMYFUNCTION("""COMPUTED_VALUE"""),"Head")</f>
        <v>Head</v>
      </c>
      <c r="C504" s="49" t="str">
        <f>IFERROR(__xludf.DUMMYFUNCTION("""COMPUTED_VALUE"""),"Mob Exclusive")</f>
        <v>Mob Exclusive</v>
      </c>
      <c r="D504" s="49"/>
      <c r="E504" s="49">
        <f>IFERROR(__xludf.DUMMYFUNCTION("""COMPUTED_VALUE"""),4000.0)</f>
        <v>4000</v>
      </c>
      <c r="F504" s="112">
        <f>IFERROR(__xludf.DUMMYFUNCTION("""COMPUTED_VALUE"""),7.98E8)</f>
        <v>798000000</v>
      </c>
      <c r="G504" s="49" t="str">
        <f>IFERROR(__xludf.DUMMYFUNCTION("""COMPUTED_VALUE"""),"DEF")</f>
        <v>DEF</v>
      </c>
      <c r="H504" s="125">
        <f>IFERROR(__xludf.DUMMYFUNCTION("""COMPUTED_VALUE"""),200000.0)</f>
        <v>200000</v>
      </c>
      <c r="I504" s="49"/>
      <c r="J504" s="49"/>
      <c r="K504" s="49"/>
      <c r="L504" s="49"/>
      <c r="M504" s="49"/>
      <c r="N504" s="49"/>
      <c r="O504" s="49"/>
      <c r="P504" s="49"/>
      <c r="Q504" s="49"/>
      <c r="R504" s="49"/>
      <c r="S504" s="49"/>
      <c r="T504" s="49"/>
      <c r="U504" s="49"/>
      <c r="V504" s="49"/>
      <c r="W504" s="49"/>
      <c r="X504" s="49"/>
      <c r="Y504" s="49"/>
      <c r="Z504" s="49"/>
      <c r="AA504" s="49"/>
      <c r="AB504" s="49"/>
      <c r="AC504" s="49"/>
      <c r="AD504" s="49"/>
      <c r="AE504" s="49"/>
      <c r="AF504" s="49"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49" t="str">
        <f>IFERROR(__xludf.DUMMYFUNCTION("""COMPUTED_VALUE"""),"Land of Spira")</f>
        <v>Land of Spira</v>
      </c>
      <c r="AH504" s="49" t="b">
        <f>IFERROR(__xludf.DUMMYFUNCTION("""COMPUTED_VALUE"""),FALSE)</f>
        <v>0</v>
      </c>
    </row>
    <row r="505">
      <c r="A505" s="49" t="str">
        <f>IFERROR(__xludf.DUMMYFUNCTION("""COMPUTED_VALUE"""),"The Blacksmith's Forged Pauldrons")</f>
        <v>The Blacksmith's Forged Pauldrons</v>
      </c>
      <c r="B505" s="49" t="str">
        <f>IFERROR(__xludf.DUMMYFUNCTION("""COMPUTED_VALUE"""),"Shoulders")</f>
        <v>Shoulders</v>
      </c>
      <c r="C505" s="49" t="str">
        <f>IFERROR(__xludf.DUMMYFUNCTION("""COMPUTED_VALUE"""),"Mob Exclusive")</f>
        <v>Mob Exclusive</v>
      </c>
      <c r="D505" s="49"/>
      <c r="E505" s="49">
        <f>IFERROR(__xludf.DUMMYFUNCTION("""COMPUTED_VALUE"""),4000.0)</f>
        <v>4000</v>
      </c>
      <c r="F505" s="112">
        <f>IFERROR(__xludf.DUMMYFUNCTION("""COMPUTED_VALUE"""),7.98E8)</f>
        <v>798000000</v>
      </c>
      <c r="G505" s="49" t="str">
        <f>IFERROR(__xludf.DUMMYFUNCTION("""COMPUTED_VALUE"""),"DEF")</f>
        <v>DEF</v>
      </c>
      <c r="H505" s="125">
        <f>IFERROR(__xludf.DUMMYFUNCTION("""COMPUTED_VALUE"""),200000.0)</f>
        <v>200000</v>
      </c>
      <c r="I505" s="49"/>
      <c r="J505" s="49"/>
      <c r="K505" s="49"/>
      <c r="L505" s="49"/>
      <c r="M505" s="49"/>
      <c r="N505" s="49"/>
      <c r="O505" s="49"/>
      <c r="P505" s="49"/>
      <c r="Q505" s="49"/>
      <c r="R505" s="49"/>
      <c r="S505" s="49"/>
      <c r="T505" s="49"/>
      <c r="U505" s="49"/>
      <c r="V505" s="49"/>
      <c r="W505" s="49"/>
      <c r="X505" s="49"/>
      <c r="Y505" s="49"/>
      <c r="Z505" s="49"/>
      <c r="AA505" s="49"/>
      <c r="AB505" s="49"/>
      <c r="AC505" s="49"/>
      <c r="AD505" s="49"/>
      <c r="AE505" s="49"/>
      <c r="AF505" s="49"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49" t="str">
        <f>IFERROR(__xludf.DUMMYFUNCTION("""COMPUTED_VALUE"""),"Land of Spira")</f>
        <v>Land of Spira</v>
      </c>
      <c r="AH505" s="49" t="b">
        <f>IFERROR(__xludf.DUMMYFUNCTION("""COMPUTED_VALUE"""),FALSE)</f>
        <v>0</v>
      </c>
    </row>
    <row r="506">
      <c r="A506" s="49" t="str">
        <f>IFERROR(__xludf.DUMMYFUNCTION("""COMPUTED_VALUE"""),"The Blacksmith's Forged Vambraces")</f>
        <v>The Blacksmith's Forged Vambraces</v>
      </c>
      <c r="B506" s="49" t="str">
        <f>IFERROR(__xludf.DUMMYFUNCTION("""COMPUTED_VALUE"""),"Arms")</f>
        <v>Arms</v>
      </c>
      <c r="C506" s="49" t="str">
        <f>IFERROR(__xludf.DUMMYFUNCTION("""COMPUTED_VALUE"""),"Mob Exclusive")</f>
        <v>Mob Exclusive</v>
      </c>
      <c r="D506" s="49"/>
      <c r="E506" s="49">
        <f>IFERROR(__xludf.DUMMYFUNCTION("""COMPUTED_VALUE"""),4000.0)</f>
        <v>4000</v>
      </c>
      <c r="F506" s="112">
        <f>IFERROR(__xludf.DUMMYFUNCTION("""COMPUTED_VALUE"""),7.98E8)</f>
        <v>798000000</v>
      </c>
      <c r="G506" s="49" t="str">
        <f>IFERROR(__xludf.DUMMYFUNCTION("""COMPUTED_VALUE"""),"DEF")</f>
        <v>DEF</v>
      </c>
      <c r="H506" s="125">
        <f>IFERROR(__xludf.DUMMYFUNCTION("""COMPUTED_VALUE"""),200000.0)</f>
        <v>200000</v>
      </c>
      <c r="I506" s="49"/>
      <c r="J506" s="49"/>
      <c r="K506" s="49"/>
      <c r="L506" s="49"/>
      <c r="M506" s="49"/>
      <c r="N506" s="49"/>
      <c r="O506" s="49"/>
      <c r="P506" s="49"/>
      <c r="Q506" s="49"/>
      <c r="R506" s="49"/>
      <c r="S506" s="49"/>
      <c r="T506" s="49"/>
      <c r="U506" s="49"/>
      <c r="V506" s="49"/>
      <c r="W506" s="49"/>
      <c r="X506" s="49"/>
      <c r="Y506" s="49"/>
      <c r="Z506" s="49"/>
      <c r="AA506" s="49"/>
      <c r="AB506" s="49"/>
      <c r="AC506" s="49"/>
      <c r="AD506" s="49"/>
      <c r="AE506" s="49"/>
      <c r="AF506" s="49"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49" t="str">
        <f>IFERROR(__xludf.DUMMYFUNCTION("""COMPUTED_VALUE"""),"Land of Spira")</f>
        <v>Land of Spira</v>
      </c>
      <c r="AH506" s="49" t="b">
        <f>IFERROR(__xludf.DUMMYFUNCTION("""COMPUTED_VALUE"""),FALSE)</f>
        <v>0</v>
      </c>
    </row>
    <row r="507">
      <c r="A507" s="49" t="str">
        <f>IFERROR(__xludf.DUMMYFUNCTION("""COMPUTED_VALUE"""),"The Blacksmith's Forged Greaves")</f>
        <v>The Blacksmith's Forged Greaves</v>
      </c>
      <c r="B507" s="49" t="str">
        <f>IFERROR(__xludf.DUMMYFUNCTION("""COMPUTED_VALUE"""),"Legs")</f>
        <v>Legs</v>
      </c>
      <c r="C507" s="49" t="str">
        <f>IFERROR(__xludf.DUMMYFUNCTION("""COMPUTED_VALUE"""),"Mob Exclusive")</f>
        <v>Mob Exclusive</v>
      </c>
      <c r="D507" s="49"/>
      <c r="E507" s="49">
        <f>IFERROR(__xludf.DUMMYFUNCTION("""COMPUTED_VALUE"""),4000.0)</f>
        <v>4000</v>
      </c>
      <c r="F507" s="112">
        <f>IFERROR(__xludf.DUMMYFUNCTION("""COMPUTED_VALUE"""),7.98E8)</f>
        <v>798000000</v>
      </c>
      <c r="G507" s="49" t="str">
        <f>IFERROR(__xludf.DUMMYFUNCTION("""COMPUTED_VALUE"""),"DEF")</f>
        <v>DEF</v>
      </c>
      <c r="H507" s="125">
        <f>IFERROR(__xludf.DUMMYFUNCTION("""COMPUTED_VALUE"""),200000.0)</f>
        <v>200000</v>
      </c>
      <c r="I507" s="49"/>
      <c r="J507" s="49"/>
      <c r="K507" s="49"/>
      <c r="L507" s="49"/>
      <c r="M507" s="49"/>
      <c r="N507" s="49"/>
      <c r="O507" s="49"/>
      <c r="P507" s="49"/>
      <c r="Q507" s="49"/>
      <c r="R507" s="49"/>
      <c r="S507" s="49"/>
      <c r="T507" s="49"/>
      <c r="U507" s="49"/>
      <c r="V507" s="49"/>
      <c r="W507" s="49"/>
      <c r="X507" s="49"/>
      <c r="Y507" s="49"/>
      <c r="Z507" s="49"/>
      <c r="AA507" s="49"/>
      <c r="AB507" s="49"/>
      <c r="AC507" s="49"/>
      <c r="AD507" s="49"/>
      <c r="AE507" s="49"/>
      <c r="AF507" s="49"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49" t="str">
        <f>IFERROR(__xludf.DUMMYFUNCTION("""COMPUTED_VALUE"""),"Land of Spira")</f>
        <v>Land of Spira</v>
      </c>
      <c r="AH507" s="49" t="b">
        <f>IFERROR(__xludf.DUMMYFUNCTION("""COMPUTED_VALUE"""),FALSE)</f>
        <v>0</v>
      </c>
    </row>
    <row r="508">
      <c r="A508" s="49" t="str">
        <f>IFERROR(__xludf.DUMMYFUNCTION("""COMPUTED_VALUE"""),"The Blacksmith's Forged Sabatons")</f>
        <v>The Blacksmith's Forged Sabatons</v>
      </c>
      <c r="B508" s="49" t="str">
        <f>IFERROR(__xludf.DUMMYFUNCTION("""COMPUTED_VALUE"""),"Feet")</f>
        <v>Feet</v>
      </c>
      <c r="C508" s="49" t="str">
        <f>IFERROR(__xludf.DUMMYFUNCTION("""COMPUTED_VALUE"""),"Mob Exclusive")</f>
        <v>Mob Exclusive</v>
      </c>
      <c r="D508" s="49"/>
      <c r="E508" s="49">
        <f>IFERROR(__xludf.DUMMYFUNCTION("""COMPUTED_VALUE"""),4000.0)</f>
        <v>4000</v>
      </c>
      <c r="F508" s="112">
        <f>IFERROR(__xludf.DUMMYFUNCTION("""COMPUTED_VALUE"""),7.98E8)</f>
        <v>798000000</v>
      </c>
      <c r="G508" s="49" t="str">
        <f>IFERROR(__xludf.DUMMYFUNCTION("""COMPUTED_VALUE"""),"DEF")</f>
        <v>DEF</v>
      </c>
      <c r="H508" s="125">
        <f>IFERROR(__xludf.DUMMYFUNCTION("""COMPUTED_VALUE"""),200000.0)</f>
        <v>200000</v>
      </c>
      <c r="I508" s="49"/>
      <c r="J508" s="49"/>
      <c r="K508" s="49"/>
      <c r="L508" s="49"/>
      <c r="M508" s="49"/>
      <c r="N508" s="49"/>
      <c r="O508" s="49"/>
      <c r="P508" s="49"/>
      <c r="Q508" s="49"/>
      <c r="R508" s="49"/>
      <c r="S508" s="49"/>
      <c r="T508" s="49"/>
      <c r="U508" s="49"/>
      <c r="V508" s="49"/>
      <c r="W508" s="49"/>
      <c r="X508" s="49"/>
      <c r="Y508" s="49"/>
      <c r="Z508" s="49"/>
      <c r="AA508" s="49"/>
      <c r="AB508" s="49"/>
      <c r="AC508" s="49"/>
      <c r="AD508" s="49"/>
      <c r="AE508" s="49"/>
      <c r="AF508" s="49"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49" t="str">
        <f>IFERROR(__xludf.DUMMYFUNCTION("""COMPUTED_VALUE"""),"Land of Spira")</f>
        <v>Land of Spira</v>
      </c>
      <c r="AH508" s="49" t="b">
        <f>IFERROR(__xludf.DUMMYFUNCTION("""COMPUTED_VALUE"""),FALSE)</f>
        <v>0</v>
      </c>
    </row>
    <row r="509">
      <c r="A509" s="49" t="str">
        <f>IFERROR(__xludf.DUMMYFUNCTION("""COMPUTED_VALUE"""),"The Blacksmith's Forged Cuirasses")</f>
        <v>The Blacksmith's Forged Cuirasses</v>
      </c>
      <c r="B509" s="49" t="str">
        <f>IFERROR(__xludf.DUMMYFUNCTION("""COMPUTED_VALUE"""),"Torso")</f>
        <v>Torso</v>
      </c>
      <c r="C509" s="49" t="str">
        <f>IFERROR(__xludf.DUMMYFUNCTION("""COMPUTED_VALUE"""),"Mob Exclusive")</f>
        <v>Mob Exclusive</v>
      </c>
      <c r="D509" s="49"/>
      <c r="E509" s="49">
        <f>IFERROR(__xludf.DUMMYFUNCTION("""COMPUTED_VALUE"""),4000.0)</f>
        <v>4000</v>
      </c>
      <c r="F509" s="112">
        <f>IFERROR(__xludf.DUMMYFUNCTION("""COMPUTED_VALUE"""),7.98E8)</f>
        <v>798000000</v>
      </c>
      <c r="G509" s="49" t="str">
        <f>IFERROR(__xludf.DUMMYFUNCTION("""COMPUTED_VALUE"""),"DEF")</f>
        <v>DEF</v>
      </c>
      <c r="H509" s="125">
        <f>IFERROR(__xludf.DUMMYFUNCTION("""COMPUTED_VALUE"""),200000.0)</f>
        <v>200000</v>
      </c>
      <c r="I509" s="49"/>
      <c r="J509" s="49"/>
      <c r="K509" s="49"/>
      <c r="L509" s="49"/>
      <c r="M509" s="49"/>
      <c r="N509" s="49"/>
      <c r="O509" s="49"/>
      <c r="P509" s="49"/>
      <c r="Q509" s="49"/>
      <c r="R509" s="49"/>
      <c r="S509" s="49"/>
      <c r="T509" s="49"/>
      <c r="U509" s="49"/>
      <c r="V509" s="49"/>
      <c r="W509" s="49"/>
      <c r="X509" s="49"/>
      <c r="Y509" s="49"/>
      <c r="Z509" s="49"/>
      <c r="AA509" s="49"/>
      <c r="AB509" s="49"/>
      <c r="AC509" s="49"/>
      <c r="AD509" s="49"/>
      <c r="AE509" s="49"/>
      <c r="AF509" s="49"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49" t="str">
        <f>IFERROR(__xludf.DUMMYFUNCTION("""COMPUTED_VALUE"""),"Land of Spira")</f>
        <v>Land of Spira</v>
      </c>
      <c r="AH509" s="49" t="b">
        <f>IFERROR(__xludf.DUMMYFUNCTION("""COMPUTED_VALUE"""),FALSE)</f>
        <v>0</v>
      </c>
    </row>
    <row r="510">
      <c r="A510" s="49" t="str">
        <f>IFERROR(__xludf.DUMMYFUNCTION("""COMPUTED_VALUE"""),"The Blacksmith's Forged Ring")</f>
        <v>The Blacksmith's Forged Ring</v>
      </c>
      <c r="B510" s="49" t="str">
        <f>IFERROR(__xludf.DUMMYFUNCTION("""COMPUTED_VALUE"""),"Ring")</f>
        <v>Ring</v>
      </c>
      <c r="C510" s="49" t="str">
        <f>IFERROR(__xludf.DUMMYFUNCTION("""COMPUTED_VALUE"""),"Mob Exclusive")</f>
        <v>Mob Exclusive</v>
      </c>
      <c r="D510" s="49"/>
      <c r="E510" s="49">
        <f>IFERROR(__xludf.DUMMYFUNCTION("""COMPUTED_VALUE"""),1.0)</f>
        <v>1</v>
      </c>
      <c r="F510" s="112">
        <f>IFERROR(__xludf.DUMMYFUNCTION("""COMPUTED_VALUE"""),0.0)</f>
        <v>0</v>
      </c>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c r="AE510" s="49"/>
      <c r="AF510" s="49"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49" t="str">
        <f>IFERROR(__xludf.DUMMYFUNCTION("""COMPUTED_VALUE"""),"Land of Spira")</f>
        <v>Land of Spira</v>
      </c>
      <c r="AH510" s="49" t="b">
        <f>IFERROR(__xludf.DUMMYFUNCTION("""COMPUTED_VALUE"""),FALSE)</f>
        <v>0</v>
      </c>
    </row>
    <row r="511">
      <c r="A511" s="49" t="str">
        <f>IFERROR(__xludf.DUMMYFUNCTION("""COMPUTED_VALUE"""),"The Blacksmith's Forged Pendant")</f>
        <v>The Blacksmith's Forged Pendant</v>
      </c>
      <c r="B511" s="49" t="str">
        <f>IFERROR(__xludf.DUMMYFUNCTION("""COMPUTED_VALUE"""),"Neck")</f>
        <v>Neck</v>
      </c>
      <c r="C511" s="49" t="str">
        <f>IFERROR(__xludf.DUMMYFUNCTION("""COMPUTED_VALUE"""),"Mob Exclusive")</f>
        <v>Mob Exclusive</v>
      </c>
      <c r="D511" s="49"/>
      <c r="E511" s="49">
        <f>IFERROR(__xludf.DUMMYFUNCTION("""COMPUTED_VALUE"""),1.0)</f>
        <v>1</v>
      </c>
      <c r="F511" s="112">
        <f>IFERROR(__xludf.DUMMYFUNCTION("""COMPUTED_VALUE"""),0.0)</f>
        <v>0</v>
      </c>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c r="AE511" s="49"/>
      <c r="AF511" s="49"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49" t="str">
        <f>IFERROR(__xludf.DUMMYFUNCTION("""COMPUTED_VALUE"""),"Land of Spira")</f>
        <v>Land of Spira</v>
      </c>
      <c r="AH511" s="49" t="b">
        <f>IFERROR(__xludf.DUMMYFUNCTION("""COMPUTED_VALUE"""),FALSE)</f>
        <v>0</v>
      </c>
    </row>
    <row r="512">
      <c r="A512" s="49" t="str">
        <f>IFERROR(__xludf.DUMMYFUNCTION("""COMPUTED_VALUE"""),"The Blacksmith's Ring of Green Hatred")</f>
        <v>The Blacksmith's Ring of Green Hatred</v>
      </c>
      <c r="B512" s="49" t="str">
        <f>IFERROR(__xludf.DUMMYFUNCTION("""COMPUTED_VALUE"""),"Ring")</f>
        <v>Ring</v>
      </c>
      <c r="C512" s="49" t="str">
        <f>IFERROR(__xludf.DUMMYFUNCTION("""COMPUTED_VALUE"""),"Mob Exclusive")</f>
        <v>Mob Exclusive</v>
      </c>
      <c r="D512" s="49"/>
      <c r="E512" s="49">
        <f>IFERROR(__xludf.DUMMYFUNCTION("""COMPUTED_VALUE"""),1.0)</f>
        <v>1</v>
      </c>
      <c r="F512" s="112">
        <f>IFERROR(__xludf.DUMMYFUNCTION("""COMPUTED_VALUE"""),0.0)</f>
        <v>0</v>
      </c>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c r="AE512" s="49"/>
      <c r="AF512" s="49" t="str">
        <f>IFERROR(__xludf.DUMMYFUNCTION("""COMPUTED_VALUE"""),"(Hephaestus' Set) ++All attacks deal X10 damage against any enemies with the starting town of Forest View.")</f>
        <v>(Hephaestus' Set) ++All attacks deal X10 damage against any enemies with the starting town of Forest View.</v>
      </c>
      <c r="AG512" s="49" t="str">
        <f>IFERROR(__xludf.DUMMYFUNCTION("""COMPUTED_VALUE"""),"Land of Spira")</f>
        <v>Land of Spira</v>
      </c>
      <c r="AH512" s="49" t="b">
        <f>IFERROR(__xludf.DUMMYFUNCTION("""COMPUTED_VALUE"""),FALSE)</f>
        <v>0</v>
      </c>
    </row>
    <row r="513">
      <c r="A513" s="49" t="str">
        <f>IFERROR(__xludf.DUMMYFUNCTION("""COMPUTED_VALUE"""),"Ring o' Strength and Fire")</f>
        <v>Ring o' Strength and Fire</v>
      </c>
      <c r="B513" s="49" t="str">
        <f>IFERROR(__xludf.DUMMYFUNCTION("""COMPUTED_VALUE"""),"Ring")</f>
        <v>Ring</v>
      </c>
      <c r="C513" s="49"/>
      <c r="D513" s="49"/>
      <c r="E513" s="49">
        <f>IFERROR(__xludf.DUMMYFUNCTION("""COMPUTED_VALUE"""),1.0)</f>
        <v>1</v>
      </c>
      <c r="F513" s="112">
        <f>IFERROR(__xludf.DUMMYFUNCTION("""COMPUTED_VALUE"""),0.0)</f>
        <v>0</v>
      </c>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c r="AE513" s="49"/>
      <c r="AF513" s="49" t="str">
        <f>IFERROR(__xludf.DUMMYFUNCTION("""COMPUTED_VALUE"""),"++Grants immunity to fire. ++Grants X2 damage. +-Can only equip one +-Cannot be duplicated")</f>
        <v>++Grants immunity to fire. ++Grants X2 damage. +-Can only equip one +-Cannot be duplicated</v>
      </c>
      <c r="AG513" s="49" t="str">
        <f>IFERROR(__xludf.DUMMYFUNCTION("""COMPUTED_VALUE"""),"Land of Spira")</f>
        <v>Land of Spira</v>
      </c>
      <c r="AH513" s="49" t="b">
        <f>IFERROR(__xludf.DUMMYFUNCTION("""COMPUTED_VALUE"""),FALSE)</f>
        <v>0</v>
      </c>
    </row>
    <row r="514">
      <c r="A514" s="49" t="str">
        <f>IFERROR(__xludf.DUMMYFUNCTION("""COMPUTED_VALUE"""),"Ring o' Fortitude and Earth")</f>
        <v>Ring o' Fortitude and Earth</v>
      </c>
      <c r="B514" s="49" t="str">
        <f>IFERROR(__xludf.DUMMYFUNCTION("""COMPUTED_VALUE"""),"Ring")</f>
        <v>Ring</v>
      </c>
      <c r="C514" s="49"/>
      <c r="D514" s="49"/>
      <c r="E514" s="49">
        <f>IFERROR(__xludf.DUMMYFUNCTION("""COMPUTED_VALUE"""),1.0)</f>
        <v>1</v>
      </c>
      <c r="F514" s="112">
        <f>IFERROR(__xludf.DUMMYFUNCTION("""COMPUTED_VALUE"""),0.0)</f>
        <v>0</v>
      </c>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c r="AE514" s="49"/>
      <c r="AF514" s="49" t="str">
        <f>IFERROR(__xludf.DUMMYFUNCTION("""COMPUTED_VALUE"""),"++Grants immunity to Earth. ++Grants X2 Defense. +-Can only equip one +-Cannot be duplicated")</f>
        <v>++Grants immunity to Earth. ++Grants X2 Defense. +-Can only equip one +-Cannot be duplicated</v>
      </c>
      <c r="AG514" s="49" t="str">
        <f>IFERROR(__xludf.DUMMYFUNCTION("""COMPUTED_VALUE"""),"Land of Spira")</f>
        <v>Land of Spira</v>
      </c>
      <c r="AH514" s="49" t="b">
        <f>IFERROR(__xludf.DUMMYFUNCTION("""COMPUTED_VALUE"""),FALSE)</f>
        <v>0</v>
      </c>
    </row>
    <row r="515">
      <c r="A515" s="49" t="str">
        <f>IFERROR(__xludf.DUMMYFUNCTION("""COMPUTED_VALUE"""),"Ring o' Agility and Water")</f>
        <v>Ring o' Agility and Water</v>
      </c>
      <c r="B515" s="49" t="str">
        <f>IFERROR(__xludf.DUMMYFUNCTION("""COMPUTED_VALUE"""),"Ring")</f>
        <v>Ring</v>
      </c>
      <c r="C515" s="49"/>
      <c r="D515" s="49"/>
      <c r="E515" s="49">
        <f>IFERROR(__xludf.DUMMYFUNCTION("""COMPUTED_VALUE"""),1.0)</f>
        <v>1</v>
      </c>
      <c r="F515" s="112">
        <f>IFERROR(__xludf.DUMMYFUNCTION("""COMPUTED_VALUE"""),0.0)</f>
        <v>0</v>
      </c>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c r="AE515" s="49"/>
      <c r="AF515" s="49" t="str">
        <f>IFERROR(__xludf.DUMMYFUNCTION("""COMPUTED_VALUE"""),"++Grants Immunity to Water. ++Grants +5 to evasion. +-Can only equip one +-Cannot be duplicated")</f>
        <v>++Grants Immunity to Water. ++Grants +5 to evasion. +-Can only equip one +-Cannot be duplicated</v>
      </c>
      <c r="AG515" s="49" t="str">
        <f>IFERROR(__xludf.DUMMYFUNCTION("""COMPUTED_VALUE"""),"Land of Spira")</f>
        <v>Land of Spira</v>
      </c>
      <c r="AH515" s="49" t="b">
        <f>IFERROR(__xludf.DUMMYFUNCTION("""COMPUTED_VALUE"""),FALSE)</f>
        <v>0</v>
      </c>
    </row>
    <row r="516">
      <c r="A516" s="49" t="str">
        <f>IFERROR(__xludf.DUMMYFUNCTION("""COMPUTED_VALUE"""),"Ring o' Power and Delta")</f>
        <v>Ring o' Power and Delta</v>
      </c>
      <c r="B516" s="49" t="str">
        <f>IFERROR(__xludf.DUMMYFUNCTION("""COMPUTED_VALUE"""),"Ring")</f>
        <v>Ring</v>
      </c>
      <c r="C516" s="49"/>
      <c r="D516" s="49"/>
      <c r="E516" s="49">
        <f>IFERROR(__xludf.DUMMYFUNCTION("""COMPUTED_VALUE"""),1.0)</f>
        <v>1</v>
      </c>
      <c r="F516" s="112">
        <f>IFERROR(__xludf.DUMMYFUNCTION("""COMPUTED_VALUE"""),0.0)</f>
        <v>0</v>
      </c>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c r="AE516" s="49"/>
      <c r="AF516" s="49" t="str">
        <f>IFERROR(__xludf.DUMMYFUNCTION("""COMPUTED_VALUE"""),"++Grants X4 Delta damage. ++Take Half delta damage. +-Can only equip one +-Cannot be duplicated")</f>
        <v>++Grants X4 Delta damage. ++Take Half delta damage. +-Can only equip one +-Cannot be duplicated</v>
      </c>
      <c r="AG516" s="49" t="str">
        <f>IFERROR(__xludf.DUMMYFUNCTION("""COMPUTED_VALUE"""),"Land of Spira")</f>
        <v>Land of Spira</v>
      </c>
      <c r="AH516" s="49" t="b">
        <f>IFERROR(__xludf.DUMMYFUNCTION("""COMPUTED_VALUE"""),FALSE)</f>
        <v>0</v>
      </c>
    </row>
    <row r="517">
      <c r="A517" s="49" t="str">
        <f>IFERROR(__xludf.DUMMYFUNCTION("""COMPUTED_VALUE"""),"Ring o' Courage and Order")</f>
        <v>Ring o' Courage and Order</v>
      </c>
      <c r="B517" s="49" t="str">
        <f>IFERROR(__xludf.DUMMYFUNCTION("""COMPUTED_VALUE"""),"Ring")</f>
        <v>Ring</v>
      </c>
      <c r="C517" s="49"/>
      <c r="D517" s="49"/>
      <c r="E517" s="49">
        <f>IFERROR(__xludf.DUMMYFUNCTION("""COMPUTED_VALUE"""),1.0)</f>
        <v>1</v>
      </c>
      <c r="F517" s="112">
        <f>IFERROR(__xludf.DUMMYFUNCTION("""COMPUTED_VALUE"""),0.0)</f>
        <v>0</v>
      </c>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c r="AE517" s="49"/>
      <c r="AF517" s="49" t="str">
        <f>IFERROR(__xludf.DUMMYFUNCTION("""COMPUTED_VALUE"""),"++Grants Immunity to Order. ++Enemies halve their rolls when fleeing. +-Can only equip one +-Cannot be duplicated")</f>
        <v>++Grants Immunity to Order. ++Enemies halve their rolls when fleeing. +-Can only equip one +-Cannot be duplicated</v>
      </c>
      <c r="AG517" s="49" t="str">
        <f>IFERROR(__xludf.DUMMYFUNCTION("""COMPUTED_VALUE"""),"Land of Spira")</f>
        <v>Land of Spira</v>
      </c>
      <c r="AH517" s="49" t="b">
        <f>IFERROR(__xludf.DUMMYFUNCTION("""COMPUTED_VALUE"""),FALSE)</f>
        <v>0</v>
      </c>
    </row>
    <row r="518">
      <c r="A518" s="49" t="str">
        <f>IFERROR(__xludf.DUMMYFUNCTION("""COMPUTED_VALUE"""),"Ring o' Resilience and Physicality")</f>
        <v>Ring o' Resilience and Physicality</v>
      </c>
      <c r="B518" s="49" t="str">
        <f>IFERROR(__xludf.DUMMYFUNCTION("""COMPUTED_VALUE"""),"Ring")</f>
        <v>Ring</v>
      </c>
      <c r="C518" s="49"/>
      <c r="D518" s="49"/>
      <c r="E518" s="49">
        <f>IFERROR(__xludf.DUMMYFUNCTION("""COMPUTED_VALUE"""),1.0)</f>
        <v>1</v>
      </c>
      <c r="F518" s="112">
        <f>IFERROR(__xludf.DUMMYFUNCTION("""COMPUTED_VALUE"""),0.0)</f>
        <v>0</v>
      </c>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c r="AE518" s="49"/>
      <c r="AF518" s="49" t="str">
        <f>IFERROR(__xludf.DUMMYFUNCTION("""COMPUTED_VALUE"""),"++Grants Immunity to Natural attacks. ++Grants +5 Mobility. +-Can only equip one +-Cannot be duplicated")</f>
        <v>++Grants Immunity to Natural attacks. ++Grants +5 Mobility. +-Can only equip one +-Cannot be duplicated</v>
      </c>
      <c r="AG518" s="49" t="str">
        <f>IFERROR(__xludf.DUMMYFUNCTION("""COMPUTED_VALUE"""),"Land of Spira")</f>
        <v>Land of Spira</v>
      </c>
      <c r="AH518" s="49" t="b">
        <f>IFERROR(__xludf.DUMMYFUNCTION("""COMPUTED_VALUE"""),FALSE)</f>
        <v>0</v>
      </c>
    </row>
    <row r="519">
      <c r="A519" s="49" t="str">
        <f>IFERROR(__xludf.DUMMYFUNCTION("""COMPUTED_VALUE"""),"Ring o' Insanity and Chaos")</f>
        <v>Ring o' Insanity and Chaos</v>
      </c>
      <c r="B519" s="49" t="str">
        <f>IFERROR(__xludf.DUMMYFUNCTION("""COMPUTED_VALUE"""),"Ring")</f>
        <v>Ring</v>
      </c>
      <c r="C519" s="49"/>
      <c r="D519" s="49"/>
      <c r="E519" s="49">
        <f>IFERROR(__xludf.DUMMYFUNCTION("""COMPUTED_VALUE"""),1.0)</f>
        <v>1</v>
      </c>
      <c r="F519" s="112">
        <f>IFERROR(__xludf.DUMMYFUNCTION("""COMPUTED_VALUE"""),0.0)</f>
        <v>0</v>
      </c>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c r="AE519" s="49"/>
      <c r="AF519" s="49" t="str">
        <f>IFERROR(__xludf.DUMMYFUNCTION("""COMPUTED_VALUE"""),"++Grants Immunity to Chaos. +5 to Intimidation. +-Can only equip one +-Cannot be duplicated")</f>
        <v>++Grants Immunity to Chaos. +5 to Intimidation. +-Can only equip one +-Cannot be duplicated</v>
      </c>
      <c r="AG519" s="49" t="str">
        <f>IFERROR(__xludf.DUMMYFUNCTION("""COMPUTED_VALUE"""),"Land of Spira")</f>
        <v>Land of Spira</v>
      </c>
      <c r="AH519" s="49" t="b">
        <f>IFERROR(__xludf.DUMMYFUNCTION("""COMPUTED_VALUE"""),FALSE)</f>
        <v>0</v>
      </c>
    </row>
    <row r="520">
      <c r="A520" s="49" t="str">
        <f>IFERROR(__xludf.DUMMYFUNCTION("""COMPUTED_VALUE"""),"Ring o' Debonair and Light")</f>
        <v>Ring o' Debonair and Light</v>
      </c>
      <c r="B520" s="49" t="str">
        <f>IFERROR(__xludf.DUMMYFUNCTION("""COMPUTED_VALUE"""),"Ring")</f>
        <v>Ring</v>
      </c>
      <c r="C520" s="49"/>
      <c r="D520" s="49"/>
      <c r="E520" s="49">
        <f>IFERROR(__xludf.DUMMYFUNCTION("""COMPUTED_VALUE"""),1.0)</f>
        <v>1</v>
      </c>
      <c r="F520" s="112">
        <f>IFERROR(__xludf.DUMMYFUNCTION("""COMPUTED_VALUE"""),0.0)</f>
        <v>0</v>
      </c>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c r="AE520" s="49"/>
      <c r="AF520" s="49" t="str">
        <f>IFERROR(__xludf.DUMMYFUNCTION("""COMPUTED_VALUE"""),"++Grants Immunity to Light. +5 to Charisma. +-Can only equip one +-Cannot be duplicated")</f>
        <v>++Grants Immunity to Light. +5 to Charisma. +-Can only equip one +-Cannot be duplicated</v>
      </c>
      <c r="AG520" s="49" t="str">
        <f>IFERROR(__xludf.DUMMYFUNCTION("""COMPUTED_VALUE"""),"Land of Spira")</f>
        <v>Land of Spira</v>
      </c>
      <c r="AH520" s="49" t="b">
        <f>IFERROR(__xludf.DUMMYFUNCTION("""COMPUTED_VALUE"""),FALSE)</f>
        <v>0</v>
      </c>
    </row>
    <row r="521">
      <c r="A521" s="49" t="str">
        <f>IFERROR(__xludf.DUMMYFUNCTION("""COMPUTED_VALUE"""),"Ring o' Spite and Blood")</f>
        <v>Ring o' Spite and Blood</v>
      </c>
      <c r="B521" s="49" t="str">
        <f>IFERROR(__xludf.DUMMYFUNCTION("""COMPUTED_VALUE"""),"Ring")</f>
        <v>Ring</v>
      </c>
      <c r="C521" s="49"/>
      <c r="D521" s="49"/>
      <c r="E521" s="49">
        <f>IFERROR(__xludf.DUMMYFUNCTION("""COMPUTED_VALUE"""),1.0)</f>
        <v>1</v>
      </c>
      <c r="F521" s="112">
        <f>IFERROR(__xludf.DUMMYFUNCTION("""COMPUTED_VALUE"""),0.0)</f>
        <v>0</v>
      </c>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c r="AE521" s="49"/>
      <c r="AF521" s="49"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49" t="str">
        <f>IFERROR(__xludf.DUMMYFUNCTION("""COMPUTED_VALUE"""),"Land of Spira")</f>
        <v>Land of Spira</v>
      </c>
      <c r="AH521" s="49" t="b">
        <f>IFERROR(__xludf.DUMMYFUNCTION("""COMPUTED_VALUE"""),FALSE)</f>
        <v>0</v>
      </c>
    </row>
    <row r="522">
      <c r="A522" s="49" t="str">
        <f>IFERROR(__xludf.DUMMYFUNCTION("""COMPUTED_VALUE"""),"Ring o' Neurodivergence and Spirit")</f>
        <v>Ring o' Neurodivergence and Spirit</v>
      </c>
      <c r="B522" s="49" t="str">
        <f>IFERROR(__xludf.DUMMYFUNCTION("""COMPUTED_VALUE"""),"Ring")</f>
        <v>Ring</v>
      </c>
      <c r="C522" s="49"/>
      <c r="D522" s="49"/>
      <c r="E522" s="49">
        <f>IFERROR(__xludf.DUMMYFUNCTION("""COMPUTED_VALUE"""),1.0)</f>
        <v>1</v>
      </c>
      <c r="F522" s="112">
        <f>IFERROR(__xludf.DUMMYFUNCTION("""COMPUTED_VALUE"""),0.0)</f>
        <v>0</v>
      </c>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c r="AE522" s="49"/>
      <c r="AF522" s="49"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49" t="str">
        <f>IFERROR(__xludf.DUMMYFUNCTION("""COMPUTED_VALUE"""),"Land of Spira")</f>
        <v>Land of Spira</v>
      </c>
      <c r="AH522" s="49" t="b">
        <f>IFERROR(__xludf.DUMMYFUNCTION("""COMPUTED_VALUE"""),FALSE)</f>
        <v>0</v>
      </c>
    </row>
    <row r="523">
      <c r="A523" s="49" t="str">
        <f>IFERROR(__xludf.DUMMYFUNCTION("""COMPUTED_VALUE"""),"Ring o' Impassivity and Storm")</f>
        <v>Ring o' Impassivity and Storm</v>
      </c>
      <c r="B523" s="49" t="str">
        <f>IFERROR(__xludf.DUMMYFUNCTION("""COMPUTED_VALUE"""),"Ring")</f>
        <v>Ring</v>
      </c>
      <c r="C523" s="49"/>
      <c r="D523" s="49"/>
      <c r="E523" s="49">
        <f>IFERROR(__xludf.DUMMYFUNCTION("""COMPUTED_VALUE"""),1.0)</f>
        <v>1</v>
      </c>
      <c r="F523" s="112">
        <f>IFERROR(__xludf.DUMMYFUNCTION("""COMPUTED_VALUE"""),0.0)</f>
        <v>0</v>
      </c>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c r="AE523" s="49"/>
      <c r="AF523" s="49"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49" t="str">
        <f>IFERROR(__xludf.DUMMYFUNCTION("""COMPUTED_VALUE"""),"Land of Spira")</f>
        <v>Land of Spira</v>
      </c>
      <c r="AH523" s="49" t="b">
        <f>IFERROR(__xludf.DUMMYFUNCTION("""COMPUTED_VALUE"""),FALSE)</f>
        <v>0</v>
      </c>
    </row>
    <row r="524">
      <c r="A524" s="49" t="str">
        <f>IFERROR(__xludf.DUMMYFUNCTION("""COMPUTED_VALUE"""),"Ring o' Rigidity and Stasis")</f>
        <v>Ring o' Rigidity and Stasis</v>
      </c>
      <c r="B524" s="49" t="str">
        <f>IFERROR(__xludf.DUMMYFUNCTION("""COMPUTED_VALUE"""),"Ring")</f>
        <v>Ring</v>
      </c>
      <c r="C524" s="49"/>
      <c r="D524" s="49"/>
      <c r="E524" s="49">
        <f>IFERROR(__xludf.DUMMYFUNCTION("""COMPUTED_VALUE"""),1.0)</f>
        <v>1</v>
      </c>
      <c r="F524" s="112">
        <f>IFERROR(__xludf.DUMMYFUNCTION("""COMPUTED_VALUE"""),0.0)</f>
        <v>0</v>
      </c>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c r="AE524" s="49"/>
      <c r="AF524" s="49"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49" t="str">
        <f>IFERROR(__xludf.DUMMYFUNCTION("""COMPUTED_VALUE"""),"Land of Spira")</f>
        <v>Land of Spira</v>
      </c>
      <c r="AH524" s="49" t="b">
        <f>IFERROR(__xludf.DUMMYFUNCTION("""COMPUTED_VALUE"""),FALSE)</f>
        <v>0</v>
      </c>
    </row>
    <row r="525">
      <c r="A525" s="49" t="str">
        <f>IFERROR(__xludf.DUMMYFUNCTION("""COMPUTED_VALUE"""),"Ring o' Loyalty and Celestial")</f>
        <v>Ring o' Loyalty and Celestial</v>
      </c>
      <c r="B525" s="49" t="str">
        <f>IFERROR(__xludf.DUMMYFUNCTION("""COMPUTED_VALUE"""),"Ring")</f>
        <v>Ring</v>
      </c>
      <c r="C525" s="49"/>
      <c r="D525" s="49"/>
      <c r="E525" s="49">
        <f>IFERROR(__xludf.DUMMYFUNCTION("""COMPUTED_VALUE"""),1.0)</f>
        <v>1</v>
      </c>
      <c r="F525" s="112">
        <f>IFERROR(__xludf.DUMMYFUNCTION("""COMPUTED_VALUE"""),0.0)</f>
        <v>0</v>
      </c>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c r="AE525" s="49"/>
      <c r="AF525" s="49" t="str">
        <f>IFERROR(__xludf.DUMMYFUNCTION("""COMPUTED_VALUE"""),"++Grants X6 Celestial damage. Take half damage from celestial. +-Can only equip one +-Cannot be duplicated")</f>
        <v>++Grants X6 Celestial damage. Take half damage from celestial. +-Can only equip one +-Cannot be duplicated</v>
      </c>
      <c r="AG525" s="49" t="str">
        <f>IFERROR(__xludf.DUMMYFUNCTION("""COMPUTED_VALUE"""),"Land of Spira")</f>
        <v>Land of Spira</v>
      </c>
      <c r="AH525" s="49" t="b">
        <f>IFERROR(__xludf.DUMMYFUNCTION("""COMPUTED_VALUE"""),FALSE)</f>
        <v>0</v>
      </c>
    </row>
    <row r="526">
      <c r="A526" s="49" t="str">
        <f>IFERROR(__xludf.DUMMYFUNCTION("""COMPUTED_VALUE"""),"Ring o' Arrogance and Twilight")</f>
        <v>Ring o' Arrogance and Twilight</v>
      </c>
      <c r="B526" s="49" t="str">
        <f>IFERROR(__xludf.DUMMYFUNCTION("""COMPUTED_VALUE"""),"Ring")</f>
        <v>Ring</v>
      </c>
      <c r="C526" s="49"/>
      <c r="D526" s="49"/>
      <c r="E526" s="49">
        <f>IFERROR(__xludf.DUMMYFUNCTION("""COMPUTED_VALUE"""),1.0)</f>
        <v>1</v>
      </c>
      <c r="F526" s="112">
        <f>IFERROR(__xludf.DUMMYFUNCTION("""COMPUTED_VALUE"""),0.0)</f>
        <v>0</v>
      </c>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c r="AE526" s="49"/>
      <c r="AF526" s="49"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49" t="str">
        <f>IFERROR(__xludf.DUMMYFUNCTION("""COMPUTED_VALUE"""),"Land of Spira")</f>
        <v>Land of Spira</v>
      </c>
      <c r="AH526" s="49" t="b">
        <f>IFERROR(__xludf.DUMMYFUNCTION("""COMPUTED_VALUE"""),FALSE)</f>
        <v>0</v>
      </c>
    </row>
    <row r="527">
      <c r="A527" s="49" t="str">
        <f>IFERROR(__xludf.DUMMYFUNCTION("""COMPUTED_VALUE"""),"Ring o' Grace and Astral")</f>
        <v>Ring o' Grace and Astral</v>
      </c>
      <c r="B527" s="49" t="str">
        <f>IFERROR(__xludf.DUMMYFUNCTION("""COMPUTED_VALUE"""),"Ring")</f>
        <v>Ring</v>
      </c>
      <c r="C527" s="49"/>
      <c r="D527" s="49"/>
      <c r="E527" s="49">
        <f>IFERROR(__xludf.DUMMYFUNCTION("""COMPUTED_VALUE"""),1.0)</f>
        <v>1</v>
      </c>
      <c r="F527" s="112">
        <f>IFERROR(__xludf.DUMMYFUNCTION("""COMPUTED_VALUE"""),0.0)</f>
        <v>0</v>
      </c>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c r="AE527" s="49"/>
      <c r="AF527" s="49"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49" t="str">
        <f>IFERROR(__xludf.DUMMYFUNCTION("""COMPUTED_VALUE"""),"Land of Spira")</f>
        <v>Land of Spira</v>
      </c>
      <c r="AH527" s="49" t="b">
        <f>IFERROR(__xludf.DUMMYFUNCTION("""COMPUTED_VALUE"""),FALSE)</f>
        <v>0</v>
      </c>
    </row>
    <row r="528">
      <c r="A528" s="49" t="str">
        <f>IFERROR(__xludf.DUMMYFUNCTION("""COMPUTED_VALUE"""),"Ring o' Villainy and Voodoo")</f>
        <v>Ring o' Villainy and Voodoo</v>
      </c>
      <c r="B528" s="49" t="str">
        <f>IFERROR(__xludf.DUMMYFUNCTION("""COMPUTED_VALUE"""),"Ring")</f>
        <v>Ring</v>
      </c>
      <c r="C528" s="49"/>
      <c r="D528" s="49"/>
      <c r="E528" s="49">
        <f>IFERROR(__xludf.DUMMYFUNCTION("""COMPUTED_VALUE"""),1.0)</f>
        <v>1</v>
      </c>
      <c r="F528" s="112">
        <f>IFERROR(__xludf.DUMMYFUNCTION("""COMPUTED_VALUE"""),0.0)</f>
        <v>0</v>
      </c>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c r="AE528" s="49"/>
      <c r="AF528" s="49"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49" t="str">
        <f>IFERROR(__xludf.DUMMYFUNCTION("""COMPUTED_VALUE"""),"Land of Spira")</f>
        <v>Land of Spira</v>
      </c>
      <c r="AH528" s="49" t="b">
        <f>IFERROR(__xludf.DUMMYFUNCTION("""COMPUTED_VALUE"""),FALSE)</f>
        <v>0</v>
      </c>
    </row>
    <row r="529">
      <c r="A529" s="49" t="str">
        <f>IFERROR(__xludf.DUMMYFUNCTION("""COMPUTED_VALUE"""),"The Bow of The Verdant Forest")</f>
        <v>The Bow of The Verdant Forest</v>
      </c>
      <c r="B529" s="49" t="str">
        <f>IFERROR(__xludf.DUMMYFUNCTION("""COMPUTED_VALUE"""),"Hand")</f>
        <v>Hand</v>
      </c>
      <c r="C529" s="49" t="str">
        <f>IFERROR(__xludf.DUMMYFUNCTION("""COMPUTED_VALUE"""),"Quest Item")</f>
        <v>Quest Item</v>
      </c>
      <c r="D529" s="49"/>
      <c r="E529" s="49">
        <f>IFERROR(__xludf.DUMMYFUNCTION("""COMPUTED_VALUE"""),200.0)</f>
        <v>200</v>
      </c>
      <c r="F529" s="112">
        <f>IFERROR(__xludf.DUMMYFUNCTION("""COMPUTED_VALUE"""),8.385E7)</f>
        <v>83850000</v>
      </c>
      <c r="G529" s="49" t="str">
        <f>IFERROR(__xludf.DUMMYFUNCTION("""COMPUTED_VALUE"""),"DMG")</f>
        <v>DMG</v>
      </c>
      <c r="H529" s="125">
        <f>IFERROR(__xludf.DUMMYFUNCTION("""COMPUTED_VALUE"""),20000.0)</f>
        <v>20000</v>
      </c>
      <c r="I529" s="49"/>
      <c r="J529" s="49"/>
      <c r="K529" s="49"/>
      <c r="L529" s="49"/>
      <c r="M529" s="49"/>
      <c r="N529" s="49"/>
      <c r="O529" s="49"/>
      <c r="P529" s="49"/>
      <c r="Q529" s="49"/>
      <c r="R529" s="125">
        <f>IFERROR(__xludf.DUMMYFUNCTION("""COMPUTED_VALUE"""),20000.0)</f>
        <v>20000</v>
      </c>
      <c r="S529" s="125">
        <f>IFERROR(__xludf.DUMMYFUNCTION("""COMPUTED_VALUE"""),20000.0)</f>
        <v>20000</v>
      </c>
      <c r="T529" s="49"/>
      <c r="U529" s="49"/>
      <c r="V529" s="49"/>
      <c r="W529" s="49"/>
      <c r="X529" s="49"/>
      <c r="Y529" s="49"/>
      <c r="Z529" s="49"/>
      <c r="AA529" s="49"/>
      <c r="AB529" s="49"/>
      <c r="AC529" s="49">
        <f>IFERROR(__xludf.DUMMYFUNCTION("""COMPUTED_VALUE"""),5000.0)</f>
        <v>5000</v>
      </c>
      <c r="AD529" s="49"/>
      <c r="AE529" s="49"/>
      <c r="AF529" s="49"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49" t="str">
        <f>IFERROR(__xludf.DUMMYFUNCTION("""COMPUTED_VALUE"""),"Land of Spira")</f>
        <v>Land of Spira</v>
      </c>
      <c r="AH529" s="49" t="b">
        <f>IFERROR(__xludf.DUMMYFUNCTION("""COMPUTED_VALUE"""),FALSE)</f>
        <v>0</v>
      </c>
    </row>
    <row r="530">
      <c r="A530" s="49" t="str">
        <f>IFERROR(__xludf.DUMMYFUNCTION("""COMPUTED_VALUE"""),"Enchanted Wooden Buckler of The Verdant Forest")</f>
        <v>Enchanted Wooden Buckler of The Verdant Forest</v>
      </c>
      <c r="B530" s="49" t="str">
        <f>IFERROR(__xludf.DUMMYFUNCTION("""COMPUTED_VALUE"""),"Hand")</f>
        <v>Hand</v>
      </c>
      <c r="C530" s="49" t="str">
        <f>IFERROR(__xludf.DUMMYFUNCTION("""COMPUTED_VALUE"""),"Quest Item")</f>
        <v>Quest Item</v>
      </c>
      <c r="D530" s="49"/>
      <c r="E530" s="49">
        <f>IFERROR(__xludf.DUMMYFUNCTION("""COMPUTED_VALUE"""),200.0)</f>
        <v>200</v>
      </c>
      <c r="F530" s="112">
        <f>IFERROR(__xludf.DUMMYFUNCTION("""COMPUTED_VALUE"""),3.1125E8)</f>
        <v>311250000</v>
      </c>
      <c r="G530" s="49" t="str">
        <f>IFERROR(__xludf.DUMMYFUNCTION("""COMPUTED_VALUE"""),"DEF")</f>
        <v>DEF</v>
      </c>
      <c r="H530" s="125">
        <f>IFERROR(__xludf.DUMMYFUNCTION("""COMPUTED_VALUE"""),50000.0)</f>
        <v>50000</v>
      </c>
      <c r="I530" s="49"/>
      <c r="J530" s="49"/>
      <c r="K530" s="125">
        <f>IFERROR(__xludf.DUMMYFUNCTION("""COMPUTED_VALUE"""),25000.0)</f>
        <v>25000</v>
      </c>
      <c r="L530" s="49"/>
      <c r="M530" s="49"/>
      <c r="N530" s="49"/>
      <c r="O530" s="49"/>
      <c r="P530" s="49"/>
      <c r="Q530" s="125">
        <f>IFERROR(__xludf.DUMMYFUNCTION("""COMPUTED_VALUE"""),25000.0)</f>
        <v>25000</v>
      </c>
      <c r="R530" s="49"/>
      <c r="S530" s="49"/>
      <c r="T530" s="49"/>
      <c r="U530" s="49"/>
      <c r="V530" s="49"/>
      <c r="W530" s="49"/>
      <c r="X530" s="49"/>
      <c r="Y530" s="49"/>
      <c r="Z530" s="49"/>
      <c r="AA530" s="49"/>
      <c r="AB530" s="49"/>
      <c r="AC530" s="125">
        <f>IFERROR(__xludf.DUMMYFUNCTION("""COMPUTED_VALUE"""),25000.0)</f>
        <v>25000</v>
      </c>
      <c r="AD530" s="49"/>
      <c r="AE530" s="49"/>
      <c r="AF530" s="49"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49" t="str">
        <f>IFERROR(__xludf.DUMMYFUNCTION("""COMPUTED_VALUE"""),"Land of Spira")</f>
        <v>Land of Spira</v>
      </c>
      <c r="AH530" s="49" t="b">
        <f>IFERROR(__xludf.DUMMYFUNCTION("""COMPUTED_VALUE"""),FALSE)</f>
        <v>0</v>
      </c>
    </row>
    <row r="531">
      <c r="A531" s="49" t="str">
        <f>IFERROR(__xludf.DUMMYFUNCTION("""COMPUTED_VALUE"""),"Cowl of the Eagle's Sight")</f>
        <v>Cowl of the Eagle's Sight</v>
      </c>
      <c r="B531" s="49" t="str">
        <f>IFERROR(__xludf.DUMMYFUNCTION("""COMPUTED_VALUE"""),"Head")</f>
        <v>Head</v>
      </c>
      <c r="C531" s="49" t="str">
        <f>IFERROR(__xludf.DUMMYFUNCTION("""COMPUTED_VALUE"""),"Quest Item")</f>
        <v>Quest Item</v>
      </c>
      <c r="D531" s="49"/>
      <c r="E531" s="49">
        <f>IFERROR(__xludf.DUMMYFUNCTION("""COMPUTED_VALUE"""),200.0)</f>
        <v>200</v>
      </c>
      <c r="F531" s="112">
        <f>IFERROR(__xludf.DUMMYFUNCTION("""COMPUTED_VALUE"""),4.95E7)</f>
        <v>49500000</v>
      </c>
      <c r="G531" s="49" t="str">
        <f>IFERROR(__xludf.DUMMYFUNCTION("""COMPUTED_VALUE"""),"DEF")</f>
        <v>DEF</v>
      </c>
      <c r="H531" s="125">
        <f>IFERROR(__xludf.DUMMYFUNCTION("""COMPUTED_VALUE"""),20000.0)</f>
        <v>20000</v>
      </c>
      <c r="I531" s="49"/>
      <c r="J531" s="49"/>
      <c r="K531" s="125">
        <f>IFERROR(__xludf.DUMMYFUNCTION("""COMPUTED_VALUE"""),10000.0)</f>
        <v>10000</v>
      </c>
      <c r="L531" s="49"/>
      <c r="M531" s="49"/>
      <c r="N531" s="49"/>
      <c r="O531" s="49"/>
      <c r="P531" s="49"/>
      <c r="Q531" s="125">
        <f>IFERROR(__xludf.DUMMYFUNCTION("""COMPUTED_VALUE"""),10000.0)</f>
        <v>10000</v>
      </c>
      <c r="R531" s="49"/>
      <c r="S531" s="49"/>
      <c r="T531" s="49"/>
      <c r="U531" s="49"/>
      <c r="V531" s="49"/>
      <c r="W531" s="49"/>
      <c r="X531" s="49"/>
      <c r="Y531" s="49"/>
      <c r="Z531" s="49"/>
      <c r="AA531" s="49"/>
      <c r="AB531" s="49"/>
      <c r="AC531" s="125">
        <f>IFERROR(__xludf.DUMMYFUNCTION("""COMPUTED_VALUE"""),10000.0)</f>
        <v>10000</v>
      </c>
      <c r="AD531" s="49"/>
      <c r="AE531" s="49"/>
      <c r="AF531" s="49"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49" t="str">
        <f>IFERROR(__xludf.DUMMYFUNCTION("""COMPUTED_VALUE"""),"Land of Spira")</f>
        <v>Land of Spira</v>
      </c>
      <c r="AH531" s="49" t="b">
        <f>IFERROR(__xludf.DUMMYFUNCTION("""COMPUTED_VALUE"""),FALSE)</f>
        <v>0</v>
      </c>
    </row>
    <row r="532">
      <c r="A532" s="49" t="str">
        <f>IFERROR(__xludf.DUMMYFUNCTION("""COMPUTED_VALUE"""),"Ailettes of the Forest's Splendor")</f>
        <v>Ailettes of the Forest's Splendor</v>
      </c>
      <c r="B532" s="49" t="str">
        <f>IFERROR(__xludf.DUMMYFUNCTION("""COMPUTED_VALUE"""),"Shoulders")</f>
        <v>Shoulders</v>
      </c>
      <c r="C532" s="49" t="str">
        <f>IFERROR(__xludf.DUMMYFUNCTION("""COMPUTED_VALUE"""),"Quest Item")</f>
        <v>Quest Item</v>
      </c>
      <c r="D532" s="49"/>
      <c r="E532" s="49">
        <f>IFERROR(__xludf.DUMMYFUNCTION("""COMPUTED_VALUE"""),200.0)</f>
        <v>200</v>
      </c>
      <c r="F532" s="112">
        <f>IFERROR(__xludf.DUMMYFUNCTION("""COMPUTED_VALUE"""),4.95E7)</f>
        <v>49500000</v>
      </c>
      <c r="G532" s="49" t="str">
        <f>IFERROR(__xludf.DUMMYFUNCTION("""COMPUTED_VALUE"""),"DEF")</f>
        <v>DEF</v>
      </c>
      <c r="H532" s="125">
        <f>IFERROR(__xludf.DUMMYFUNCTION("""COMPUTED_VALUE"""),20000.0)</f>
        <v>20000</v>
      </c>
      <c r="I532" s="49"/>
      <c r="J532" s="49"/>
      <c r="K532" s="125">
        <f>IFERROR(__xludf.DUMMYFUNCTION("""COMPUTED_VALUE"""),10000.0)</f>
        <v>10000</v>
      </c>
      <c r="L532" s="49"/>
      <c r="M532" s="49"/>
      <c r="N532" s="49"/>
      <c r="O532" s="49"/>
      <c r="P532" s="49"/>
      <c r="Q532" s="125">
        <f>IFERROR(__xludf.DUMMYFUNCTION("""COMPUTED_VALUE"""),10000.0)</f>
        <v>10000</v>
      </c>
      <c r="R532" s="49"/>
      <c r="S532" s="49"/>
      <c r="T532" s="49"/>
      <c r="U532" s="49"/>
      <c r="V532" s="49"/>
      <c r="W532" s="49"/>
      <c r="X532" s="49"/>
      <c r="Y532" s="49"/>
      <c r="Z532" s="49"/>
      <c r="AA532" s="49"/>
      <c r="AB532" s="49"/>
      <c r="AC532" s="125">
        <f>IFERROR(__xludf.DUMMYFUNCTION("""COMPUTED_VALUE"""),10000.0)</f>
        <v>10000</v>
      </c>
      <c r="AD532" s="49"/>
      <c r="AE532" s="49"/>
      <c r="AF532" s="49"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49" t="str">
        <f>IFERROR(__xludf.DUMMYFUNCTION("""COMPUTED_VALUE"""),"Land of Spira")</f>
        <v>Land of Spira</v>
      </c>
      <c r="AH532" s="49" t="b">
        <f>IFERROR(__xludf.DUMMYFUNCTION("""COMPUTED_VALUE"""),FALSE)</f>
        <v>0</v>
      </c>
    </row>
    <row r="533">
      <c r="A533" s="49" t="str">
        <f>IFERROR(__xludf.DUMMYFUNCTION("""COMPUTED_VALUE"""),"Bracer of Trueshot")</f>
        <v>Bracer of Trueshot</v>
      </c>
      <c r="B533" s="49" t="str">
        <f>IFERROR(__xludf.DUMMYFUNCTION("""COMPUTED_VALUE"""),"Arms")</f>
        <v>Arms</v>
      </c>
      <c r="C533" s="49" t="str">
        <f>IFERROR(__xludf.DUMMYFUNCTION("""COMPUTED_VALUE"""),"Quest Item")</f>
        <v>Quest Item</v>
      </c>
      <c r="D533" s="49"/>
      <c r="E533" s="49">
        <f>IFERROR(__xludf.DUMMYFUNCTION("""COMPUTED_VALUE"""),200.0)</f>
        <v>200</v>
      </c>
      <c r="F533" s="112">
        <f>IFERROR(__xludf.DUMMYFUNCTION("""COMPUTED_VALUE"""),4.95E7)</f>
        <v>49500000</v>
      </c>
      <c r="G533" s="49" t="str">
        <f>IFERROR(__xludf.DUMMYFUNCTION("""COMPUTED_VALUE"""),"DEF")</f>
        <v>DEF</v>
      </c>
      <c r="H533" s="125">
        <f>IFERROR(__xludf.DUMMYFUNCTION("""COMPUTED_VALUE"""),20000.0)</f>
        <v>20000</v>
      </c>
      <c r="I533" s="49"/>
      <c r="J533" s="49"/>
      <c r="K533" s="125">
        <f>IFERROR(__xludf.DUMMYFUNCTION("""COMPUTED_VALUE"""),10000.0)</f>
        <v>10000</v>
      </c>
      <c r="L533" s="49"/>
      <c r="M533" s="49"/>
      <c r="N533" s="49"/>
      <c r="O533" s="49"/>
      <c r="P533" s="49"/>
      <c r="Q533" s="125">
        <f>IFERROR(__xludf.DUMMYFUNCTION("""COMPUTED_VALUE"""),10000.0)</f>
        <v>10000</v>
      </c>
      <c r="R533" s="49"/>
      <c r="S533" s="49"/>
      <c r="T533" s="49"/>
      <c r="U533" s="49"/>
      <c r="V533" s="49"/>
      <c r="W533" s="49"/>
      <c r="X533" s="49"/>
      <c r="Y533" s="49"/>
      <c r="Z533" s="49"/>
      <c r="AA533" s="49"/>
      <c r="AB533" s="49"/>
      <c r="AC533" s="125">
        <f>IFERROR(__xludf.DUMMYFUNCTION("""COMPUTED_VALUE"""),10000.0)</f>
        <v>10000</v>
      </c>
      <c r="AD533" s="49"/>
      <c r="AE533" s="49"/>
      <c r="AF533" s="49"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49" t="str">
        <f>IFERROR(__xludf.DUMMYFUNCTION("""COMPUTED_VALUE"""),"Land of Spira")</f>
        <v>Land of Spira</v>
      </c>
      <c r="AH533" s="49" t="b">
        <f>IFERROR(__xludf.DUMMYFUNCTION("""COMPUTED_VALUE"""),FALSE)</f>
        <v>0</v>
      </c>
    </row>
    <row r="534">
      <c r="A534" s="49" t="str">
        <f>IFERROR(__xludf.DUMMYFUNCTION("""COMPUTED_VALUE"""),"Leather Cuirass of Barkskin")</f>
        <v>Leather Cuirass of Barkskin</v>
      </c>
      <c r="B534" s="49" t="str">
        <f>IFERROR(__xludf.DUMMYFUNCTION("""COMPUTED_VALUE"""),"Torso")</f>
        <v>Torso</v>
      </c>
      <c r="C534" s="49" t="str">
        <f>IFERROR(__xludf.DUMMYFUNCTION("""COMPUTED_VALUE"""),"Quest Item")</f>
        <v>Quest Item</v>
      </c>
      <c r="D534" s="49"/>
      <c r="E534" s="49">
        <f>IFERROR(__xludf.DUMMYFUNCTION("""COMPUTED_VALUE"""),200.0)</f>
        <v>200</v>
      </c>
      <c r="F534" s="112">
        <f>IFERROR(__xludf.DUMMYFUNCTION("""COMPUTED_VALUE"""),1.1175E8)</f>
        <v>111750000</v>
      </c>
      <c r="G534" s="49" t="str">
        <f>IFERROR(__xludf.DUMMYFUNCTION("""COMPUTED_VALUE"""),"DEF")</f>
        <v>DEF</v>
      </c>
      <c r="H534" s="125">
        <f>IFERROR(__xludf.DUMMYFUNCTION("""COMPUTED_VALUE"""),30000.0)</f>
        <v>30000</v>
      </c>
      <c r="I534" s="49"/>
      <c r="J534" s="49"/>
      <c r="K534" s="125">
        <f>IFERROR(__xludf.DUMMYFUNCTION("""COMPUTED_VALUE"""),15000.0)</f>
        <v>15000</v>
      </c>
      <c r="L534" s="49"/>
      <c r="M534" s="49"/>
      <c r="N534" s="49"/>
      <c r="O534" s="49"/>
      <c r="P534" s="49"/>
      <c r="Q534" s="125">
        <f>IFERROR(__xludf.DUMMYFUNCTION("""COMPUTED_VALUE"""),15000.0)</f>
        <v>15000</v>
      </c>
      <c r="R534" s="49"/>
      <c r="S534" s="49"/>
      <c r="T534" s="49"/>
      <c r="U534" s="49"/>
      <c r="V534" s="49"/>
      <c r="W534" s="49"/>
      <c r="X534" s="49"/>
      <c r="Y534" s="49"/>
      <c r="Z534" s="49"/>
      <c r="AA534" s="49"/>
      <c r="AB534" s="49"/>
      <c r="AC534" s="125">
        <f>IFERROR(__xludf.DUMMYFUNCTION("""COMPUTED_VALUE"""),15000.0)</f>
        <v>15000</v>
      </c>
      <c r="AD534" s="49"/>
      <c r="AE534" s="49"/>
      <c r="AF534" s="49"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49" t="str">
        <f>IFERROR(__xludf.DUMMYFUNCTION("""COMPUTED_VALUE"""),"Land of Spira")</f>
        <v>Land of Spira</v>
      </c>
      <c r="AH534" s="49" t="b">
        <f>IFERROR(__xludf.DUMMYFUNCTION("""COMPUTED_VALUE"""),FALSE)</f>
        <v>0</v>
      </c>
    </row>
    <row r="535">
      <c r="A535" s="49" t="str">
        <f>IFERROR(__xludf.DUMMYFUNCTION("""COMPUTED_VALUE"""),"Greaves of The Verdant Forest")</f>
        <v>Greaves of The Verdant Forest</v>
      </c>
      <c r="B535" s="49" t="str">
        <f>IFERROR(__xludf.DUMMYFUNCTION("""COMPUTED_VALUE"""),"Legs")</f>
        <v>Legs</v>
      </c>
      <c r="C535" s="49" t="str">
        <f>IFERROR(__xludf.DUMMYFUNCTION("""COMPUTED_VALUE"""),"Quest Item")</f>
        <v>Quest Item</v>
      </c>
      <c r="D535" s="49"/>
      <c r="E535" s="49">
        <f>IFERROR(__xludf.DUMMYFUNCTION("""COMPUTED_VALUE"""),200.0)</f>
        <v>200</v>
      </c>
      <c r="F535" s="112">
        <f>IFERROR(__xludf.DUMMYFUNCTION("""COMPUTED_VALUE"""),4.95E7)</f>
        <v>49500000</v>
      </c>
      <c r="G535" s="49" t="str">
        <f>IFERROR(__xludf.DUMMYFUNCTION("""COMPUTED_VALUE"""),"DEF")</f>
        <v>DEF</v>
      </c>
      <c r="H535" s="125">
        <f>IFERROR(__xludf.DUMMYFUNCTION("""COMPUTED_VALUE"""),20000.0)</f>
        <v>20000</v>
      </c>
      <c r="I535" s="49"/>
      <c r="J535" s="49"/>
      <c r="K535" s="125">
        <f>IFERROR(__xludf.DUMMYFUNCTION("""COMPUTED_VALUE"""),10000.0)</f>
        <v>10000</v>
      </c>
      <c r="L535" s="49"/>
      <c r="M535" s="49"/>
      <c r="N535" s="49"/>
      <c r="O535" s="49"/>
      <c r="P535" s="49"/>
      <c r="Q535" s="125">
        <f>IFERROR(__xludf.DUMMYFUNCTION("""COMPUTED_VALUE"""),10000.0)</f>
        <v>10000</v>
      </c>
      <c r="R535" s="49"/>
      <c r="S535" s="49"/>
      <c r="T535" s="49"/>
      <c r="U535" s="49"/>
      <c r="V535" s="49"/>
      <c r="W535" s="49"/>
      <c r="X535" s="49"/>
      <c r="Y535" s="49"/>
      <c r="Z535" s="49"/>
      <c r="AA535" s="49"/>
      <c r="AB535" s="49"/>
      <c r="AC535" s="125">
        <f>IFERROR(__xludf.DUMMYFUNCTION("""COMPUTED_VALUE"""),10000.0)</f>
        <v>10000</v>
      </c>
      <c r="AD535" s="49"/>
      <c r="AE535" s="49"/>
      <c r="AF535" s="49"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49" t="str">
        <f>IFERROR(__xludf.DUMMYFUNCTION("""COMPUTED_VALUE"""),"Land of Spira")</f>
        <v>Land of Spira</v>
      </c>
      <c r="AH535" s="49" t="b">
        <f>IFERROR(__xludf.DUMMYFUNCTION("""COMPUTED_VALUE"""),FALSE)</f>
        <v>0</v>
      </c>
    </row>
    <row r="536">
      <c r="A536" s="49" t="str">
        <f>IFERROR(__xludf.DUMMYFUNCTION("""COMPUTED_VALUE"""),"Boots of The Verdant Forest")</f>
        <v>Boots of The Verdant Forest</v>
      </c>
      <c r="B536" s="49" t="str">
        <f>IFERROR(__xludf.DUMMYFUNCTION("""COMPUTED_VALUE"""),"Feet")</f>
        <v>Feet</v>
      </c>
      <c r="C536" s="49" t="str">
        <f>IFERROR(__xludf.DUMMYFUNCTION("""COMPUTED_VALUE"""),"Quest Item")</f>
        <v>Quest Item</v>
      </c>
      <c r="D536" s="49"/>
      <c r="E536" s="49">
        <f>IFERROR(__xludf.DUMMYFUNCTION("""COMPUTED_VALUE"""),200.0)</f>
        <v>200</v>
      </c>
      <c r="F536" s="112">
        <f>IFERROR(__xludf.DUMMYFUNCTION("""COMPUTED_VALUE"""),4.95E7)</f>
        <v>49500000</v>
      </c>
      <c r="G536" s="49" t="str">
        <f>IFERROR(__xludf.DUMMYFUNCTION("""COMPUTED_VALUE"""),"DEF")</f>
        <v>DEF</v>
      </c>
      <c r="H536" s="125">
        <f>IFERROR(__xludf.DUMMYFUNCTION("""COMPUTED_VALUE"""),20000.0)</f>
        <v>20000</v>
      </c>
      <c r="I536" s="49"/>
      <c r="J536" s="49"/>
      <c r="K536" s="125">
        <f>IFERROR(__xludf.DUMMYFUNCTION("""COMPUTED_VALUE"""),10000.0)</f>
        <v>10000</v>
      </c>
      <c r="L536" s="49"/>
      <c r="M536" s="49"/>
      <c r="N536" s="49"/>
      <c r="O536" s="49"/>
      <c r="P536" s="49"/>
      <c r="Q536" s="125">
        <f>IFERROR(__xludf.DUMMYFUNCTION("""COMPUTED_VALUE"""),10000.0)</f>
        <v>10000</v>
      </c>
      <c r="R536" s="49"/>
      <c r="S536" s="49"/>
      <c r="T536" s="49"/>
      <c r="U536" s="49"/>
      <c r="V536" s="49"/>
      <c r="W536" s="49"/>
      <c r="X536" s="49"/>
      <c r="Y536" s="49"/>
      <c r="Z536" s="49"/>
      <c r="AA536" s="49"/>
      <c r="AB536" s="49"/>
      <c r="AC536" s="125">
        <f>IFERROR(__xludf.DUMMYFUNCTION("""COMPUTED_VALUE"""),10000.0)</f>
        <v>10000</v>
      </c>
      <c r="AD536" s="49"/>
      <c r="AE536" s="49"/>
      <c r="AF536" s="49"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49" t="str">
        <f>IFERROR(__xludf.DUMMYFUNCTION("""COMPUTED_VALUE"""),"Land of Spira")</f>
        <v>Land of Spira</v>
      </c>
      <c r="AH536" s="49" t="b">
        <f>IFERROR(__xludf.DUMMYFUNCTION("""COMPUTED_VALUE"""),FALSE)</f>
        <v>0</v>
      </c>
    </row>
    <row r="537">
      <c r="A537" s="49" t="str">
        <f>IFERROR(__xludf.DUMMYFUNCTION("""COMPUTED_VALUE"""),"Emerald Ring of The Forest")</f>
        <v>Emerald Ring of The Forest</v>
      </c>
      <c r="B537" s="49" t="str">
        <f>IFERROR(__xludf.DUMMYFUNCTION("""COMPUTED_VALUE"""),"Ring")</f>
        <v>Ring</v>
      </c>
      <c r="C537" s="49" t="str">
        <f>IFERROR(__xludf.DUMMYFUNCTION("""COMPUTED_VALUE"""),"Quest Item")</f>
        <v>Quest Item</v>
      </c>
      <c r="D537" s="49"/>
      <c r="E537" s="49">
        <f>IFERROR(__xludf.DUMMYFUNCTION("""COMPUTED_VALUE"""),1.0)</f>
        <v>1</v>
      </c>
      <c r="F537" s="112">
        <f>IFERROR(__xludf.DUMMYFUNCTION("""COMPUTED_VALUE"""),0.0)</f>
        <v>0</v>
      </c>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c r="AE537" s="49"/>
      <c r="AF537" s="49"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49" t="str">
        <f>IFERROR(__xludf.DUMMYFUNCTION("""COMPUTED_VALUE"""),"Land of Spira")</f>
        <v>Land of Spira</v>
      </c>
      <c r="AH537" s="49" t="b">
        <f>IFERROR(__xludf.DUMMYFUNCTION("""COMPUTED_VALUE"""),FALSE)</f>
        <v>0</v>
      </c>
    </row>
    <row r="538">
      <c r="A538" s="49" t="str">
        <f>IFERROR(__xludf.DUMMYFUNCTION("""COMPUTED_VALUE"""),"Emerald Amulet of The Forest")</f>
        <v>Emerald Amulet of The Forest</v>
      </c>
      <c r="B538" s="49" t="str">
        <f>IFERROR(__xludf.DUMMYFUNCTION("""COMPUTED_VALUE"""),"Neck")</f>
        <v>Neck</v>
      </c>
      <c r="C538" s="49" t="str">
        <f>IFERROR(__xludf.DUMMYFUNCTION("""COMPUTED_VALUE"""),"Quest Item")</f>
        <v>Quest Item</v>
      </c>
      <c r="D538" s="49"/>
      <c r="E538" s="49">
        <f>IFERROR(__xludf.DUMMYFUNCTION("""COMPUTED_VALUE"""),1.0)</f>
        <v>1</v>
      </c>
      <c r="F538" s="112">
        <f>IFERROR(__xludf.DUMMYFUNCTION("""COMPUTED_VALUE"""),0.0)</f>
        <v>0</v>
      </c>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c r="AE538" s="49"/>
      <c r="AF538" s="49"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49" t="str">
        <f>IFERROR(__xludf.DUMMYFUNCTION("""COMPUTED_VALUE"""),"Land of Spira")</f>
        <v>Land of Spira</v>
      </c>
      <c r="AH538" s="49" t="b">
        <f>IFERROR(__xludf.DUMMYFUNCTION("""COMPUTED_VALUE"""),FALSE)</f>
        <v>0</v>
      </c>
    </row>
    <row r="539">
      <c r="A539" s="49" t="str">
        <f>IFERROR(__xludf.DUMMYFUNCTION("""COMPUTED_VALUE"""),"Artemis' Crown of The Forest")</f>
        <v>Artemis' Crown of The Forest</v>
      </c>
      <c r="B539" s="49" t="str">
        <f>IFERROR(__xludf.DUMMYFUNCTION("""COMPUTED_VALUE"""),"Head")</f>
        <v>Head</v>
      </c>
      <c r="C539" s="49" t="str">
        <f>IFERROR(__xludf.DUMMYFUNCTION("""COMPUTED_VALUE"""),"Mob Exclusive. The crown that was gifted to Aranyani upon her ascension to godhood")</f>
        <v>Mob Exclusive. The crown that was gifted to Aranyani upon her ascension to godhood</v>
      </c>
      <c r="D539" s="49"/>
      <c r="E539" s="49">
        <f>IFERROR(__xludf.DUMMYFUNCTION("""COMPUTED_VALUE"""),2000.0)</f>
        <v>2000</v>
      </c>
      <c r="F539" s="112">
        <f>IFERROR(__xludf.DUMMYFUNCTION("""COMPUTED_VALUE"""),1.99E8)</f>
        <v>199000000</v>
      </c>
      <c r="G539" s="49" t="str">
        <f>IFERROR(__xludf.DUMMYFUNCTION("""COMPUTED_VALUE"""),"DEF")</f>
        <v>DEF</v>
      </c>
      <c r="H539" s="125">
        <f>IFERROR(__xludf.DUMMYFUNCTION("""COMPUTED_VALUE"""),50000.0)</f>
        <v>50000</v>
      </c>
      <c r="I539" s="49"/>
      <c r="J539" s="49"/>
      <c r="K539" s="125">
        <f>IFERROR(__xludf.DUMMYFUNCTION("""COMPUTED_VALUE"""),25000.0)</f>
        <v>25000</v>
      </c>
      <c r="L539" s="49"/>
      <c r="M539" s="49"/>
      <c r="N539" s="49"/>
      <c r="O539" s="49"/>
      <c r="P539" s="49"/>
      <c r="Q539" s="125">
        <f>IFERROR(__xludf.DUMMYFUNCTION("""COMPUTED_VALUE"""),25000.0)</f>
        <v>25000</v>
      </c>
      <c r="R539" s="49"/>
      <c r="S539" s="49"/>
      <c r="T539" s="49"/>
      <c r="U539" s="49"/>
      <c r="V539" s="49"/>
      <c r="W539" s="49"/>
      <c r="X539" s="49"/>
      <c r="Y539" s="49"/>
      <c r="Z539" s="49"/>
      <c r="AA539" s="49"/>
      <c r="AB539" s="49"/>
      <c r="AC539" s="49"/>
      <c r="AD539" s="49"/>
      <c r="AE539" s="49"/>
      <c r="AF539" s="49"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49" t="str">
        <f>IFERROR(__xludf.DUMMYFUNCTION("""COMPUTED_VALUE"""),"Land of Spira")</f>
        <v>Land of Spira</v>
      </c>
      <c r="AH539" s="49" t="b">
        <f>IFERROR(__xludf.DUMMYFUNCTION("""COMPUTED_VALUE"""),FALSE)</f>
        <v>0</v>
      </c>
    </row>
    <row r="540">
      <c r="A540" s="49" t="str">
        <f>IFERROR(__xludf.DUMMYFUNCTION("""COMPUTED_VALUE"""),"Artemis' Bow of Divine Wrath")</f>
        <v>Artemis' Bow of Divine Wrath</v>
      </c>
      <c r="B540" s="49" t="str">
        <f>IFERROR(__xludf.DUMMYFUNCTION("""COMPUTED_VALUE"""),"Hand")</f>
        <v>Hand</v>
      </c>
      <c r="C540" s="49" t="str">
        <f>IFERROR(__xludf.DUMMYFUNCTION("""COMPUTED_VALUE"""),"Mob Exclusive.")</f>
        <v>Mob Exclusive.</v>
      </c>
      <c r="D540" s="49" t="str">
        <f>IFERROR(__xludf.DUMMYFUNCTION("""COMPUTED_VALUE"""),"Bow")</f>
        <v>Bow</v>
      </c>
      <c r="E540" s="49">
        <f>IFERROR(__xludf.DUMMYFUNCTION("""COMPUTED_VALUE"""),12000.0)</f>
        <v>12000</v>
      </c>
      <c r="F540" s="112">
        <f>IFERROR(__xludf.DUMMYFUNCTION("""COMPUTED_VALUE"""),7.194E9)</f>
        <v>7194000000</v>
      </c>
      <c r="G540" s="49" t="str">
        <f>IFERROR(__xludf.DUMMYFUNCTION("""COMPUTED_VALUE"""),"DMG")</f>
        <v>DMG</v>
      </c>
      <c r="H540" s="125">
        <f>IFERROR(__xludf.DUMMYFUNCTION("""COMPUTED_VALUE"""),200000.0)</f>
        <v>200000</v>
      </c>
      <c r="I540" s="49"/>
      <c r="J540" s="49"/>
      <c r="K540" s="49"/>
      <c r="L540" s="49"/>
      <c r="M540" s="49"/>
      <c r="N540" s="49"/>
      <c r="O540" s="49"/>
      <c r="P540" s="49"/>
      <c r="Q540" s="49"/>
      <c r="R540" s="125">
        <f>IFERROR(__xludf.DUMMYFUNCTION("""COMPUTED_VALUE"""),200000.0)</f>
        <v>200000</v>
      </c>
      <c r="S540" s="125">
        <f>IFERROR(__xludf.DUMMYFUNCTION("""COMPUTED_VALUE"""),200000.0)</f>
        <v>200000</v>
      </c>
      <c r="T540" s="49"/>
      <c r="U540" s="49"/>
      <c r="V540" s="49"/>
      <c r="W540" s="49"/>
      <c r="X540" s="49"/>
      <c r="Y540" s="49"/>
      <c r="Z540" s="49"/>
      <c r="AA540" s="49"/>
      <c r="AB540" s="49"/>
      <c r="AC540" s="49"/>
      <c r="AD540" s="49"/>
      <c r="AE540" s="49"/>
      <c r="AF540" s="49"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49" t="str">
        <f>IFERROR(__xludf.DUMMYFUNCTION("""COMPUTED_VALUE"""),"Land of Spira")</f>
        <v>Land of Spira</v>
      </c>
      <c r="AH540" s="49" t="b">
        <f>IFERROR(__xludf.DUMMYFUNCTION("""COMPUTED_VALUE"""),FALSE)</f>
        <v>0</v>
      </c>
    </row>
    <row r="541">
      <c r="A541" s="49" t="str">
        <f>IFERROR(__xludf.DUMMYFUNCTION("""COMPUTED_VALUE"""),"Artemis' Shield of Divine Grace")</f>
        <v>Artemis' Shield of Divine Grace</v>
      </c>
      <c r="B541" s="49" t="str">
        <f>IFERROR(__xludf.DUMMYFUNCTION("""COMPUTED_VALUE"""),"Hand")</f>
        <v>Hand</v>
      </c>
      <c r="C541" s="49" t="str">
        <f>IFERROR(__xludf.DUMMYFUNCTION("""COMPUTED_VALUE"""),"Mob Exclusive")</f>
        <v>Mob Exclusive</v>
      </c>
      <c r="D541" s="49" t="str">
        <f>IFERROR(__xludf.DUMMYFUNCTION("""COMPUTED_VALUE"""),"Buckler")</f>
        <v>Buckler</v>
      </c>
      <c r="E541" s="49">
        <f>IFERROR(__xludf.DUMMYFUNCTION("""COMPUTED_VALUE"""),6000.0)</f>
        <v>6000</v>
      </c>
      <c r="F541" s="112">
        <f>IFERROR(__xludf.DUMMYFUNCTION("""COMPUTED_VALUE"""),1.797E9)</f>
        <v>1797000000</v>
      </c>
      <c r="G541" s="49" t="str">
        <f>IFERROR(__xludf.DUMMYFUNCTION("""COMPUTED_VALUE"""),"DEF")</f>
        <v>DEF</v>
      </c>
      <c r="H541" s="125">
        <f>IFERROR(__xludf.DUMMYFUNCTION("""COMPUTED_VALUE"""),150000.0)</f>
        <v>150000</v>
      </c>
      <c r="I541" s="49"/>
      <c r="J541" s="49"/>
      <c r="K541" s="125">
        <f>IFERROR(__xludf.DUMMYFUNCTION("""COMPUTED_VALUE"""),75000.0)</f>
        <v>75000</v>
      </c>
      <c r="L541" s="49"/>
      <c r="M541" s="49"/>
      <c r="N541" s="49"/>
      <c r="O541" s="49"/>
      <c r="P541" s="49"/>
      <c r="Q541" s="125">
        <f>IFERROR(__xludf.DUMMYFUNCTION("""COMPUTED_VALUE"""),75000.0)</f>
        <v>75000</v>
      </c>
      <c r="R541" s="49"/>
      <c r="S541" s="49"/>
      <c r="T541" s="49"/>
      <c r="U541" s="49"/>
      <c r="V541" s="49"/>
      <c r="W541" s="49"/>
      <c r="X541" s="49"/>
      <c r="Y541" s="49"/>
      <c r="Z541" s="49"/>
      <c r="AA541" s="49"/>
      <c r="AB541" s="49"/>
      <c r="AC541" s="49"/>
      <c r="AD541" s="49"/>
      <c r="AE541" s="49"/>
      <c r="AF541" s="49"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49" t="str">
        <f>IFERROR(__xludf.DUMMYFUNCTION("""COMPUTED_VALUE"""),"Land of Spira")</f>
        <v>Land of Spira</v>
      </c>
      <c r="AH541" s="49" t="b">
        <f>IFERROR(__xludf.DUMMYFUNCTION("""COMPUTED_VALUE"""),FALSE)</f>
        <v>0</v>
      </c>
    </row>
    <row r="542">
      <c r="A542" s="49" t="str">
        <f>IFERROR(__xludf.DUMMYFUNCTION("""COMPUTED_VALUE"""),"Artemis' Divine Quiver")</f>
        <v>Artemis' Divine Quiver</v>
      </c>
      <c r="B542" s="49" t="str">
        <f>IFERROR(__xludf.DUMMYFUNCTION("""COMPUTED_VALUE"""),"Shoulders")</f>
        <v>Shoulders</v>
      </c>
      <c r="C542" s="49" t="str">
        <f>IFERROR(__xludf.DUMMYFUNCTION("""COMPUTED_VALUE"""),"Mob Exclusive")</f>
        <v>Mob Exclusive</v>
      </c>
      <c r="D542" s="49"/>
      <c r="E542" s="49">
        <f>IFERROR(__xludf.DUMMYFUNCTION("""COMPUTED_VALUE"""),1.0)</f>
        <v>1</v>
      </c>
      <c r="F542" s="112">
        <f>IFERROR(__xludf.DUMMYFUNCTION("""COMPUTED_VALUE"""),0.0)</f>
        <v>0</v>
      </c>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c r="AE542" s="49"/>
      <c r="AF542" s="49"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49" t="str">
        <f>IFERROR(__xludf.DUMMYFUNCTION("""COMPUTED_VALUE"""),"Land of Spira")</f>
        <v>Land of Spira</v>
      </c>
      <c r="AH542" s="49" t="b">
        <f>IFERROR(__xludf.DUMMYFUNCTION("""COMPUTED_VALUE"""),FALSE)</f>
        <v>0</v>
      </c>
    </row>
    <row r="543">
      <c r="A543" s="49" t="str">
        <f>IFERROR(__xludf.DUMMYFUNCTION("""COMPUTED_VALUE"""),"Artemis' Toga of Divine Beauty")</f>
        <v>Artemis' Toga of Divine Beauty</v>
      </c>
      <c r="B543" s="49" t="str">
        <f>IFERROR(__xludf.DUMMYFUNCTION("""COMPUTED_VALUE"""),"Torso")</f>
        <v>Torso</v>
      </c>
      <c r="C543" s="49" t="str">
        <f>IFERROR(__xludf.DUMMYFUNCTION("""COMPUTED_VALUE"""),"Mob Exclusive")</f>
        <v>Mob Exclusive</v>
      </c>
      <c r="D543" s="49"/>
      <c r="E543" s="49">
        <f>IFERROR(__xludf.DUMMYFUNCTION("""COMPUTED_VALUE"""),4000.0)</f>
        <v>4000</v>
      </c>
      <c r="F543" s="112">
        <f>IFERROR(__xludf.DUMMYFUNCTION("""COMPUTED_VALUE"""),7.98E8)</f>
        <v>798000000</v>
      </c>
      <c r="G543" s="49" t="str">
        <f>IFERROR(__xludf.DUMMYFUNCTION("""COMPUTED_VALUE"""),"DEF")</f>
        <v>DEF</v>
      </c>
      <c r="H543" s="125">
        <f>IFERROR(__xludf.DUMMYFUNCTION("""COMPUTED_VALUE"""),100000.0)</f>
        <v>100000</v>
      </c>
      <c r="I543" s="49"/>
      <c r="J543" s="49"/>
      <c r="K543" s="125">
        <f>IFERROR(__xludf.DUMMYFUNCTION("""COMPUTED_VALUE"""),50000.0)</f>
        <v>50000</v>
      </c>
      <c r="L543" s="49"/>
      <c r="M543" s="49"/>
      <c r="N543" s="49"/>
      <c r="O543" s="49"/>
      <c r="P543" s="49"/>
      <c r="Q543" s="125">
        <f>IFERROR(__xludf.DUMMYFUNCTION("""COMPUTED_VALUE"""),50000.0)</f>
        <v>50000</v>
      </c>
      <c r="R543" s="49"/>
      <c r="S543" s="49"/>
      <c r="T543" s="49"/>
      <c r="U543" s="49"/>
      <c r="V543" s="49"/>
      <c r="W543" s="49"/>
      <c r="X543" s="49"/>
      <c r="Y543" s="49"/>
      <c r="Z543" s="49"/>
      <c r="AA543" s="49"/>
      <c r="AB543" s="49"/>
      <c r="AC543" s="49"/>
      <c r="AD543" s="49"/>
      <c r="AE543" s="49"/>
      <c r="AF543" s="49"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49" t="str">
        <f>IFERROR(__xludf.DUMMYFUNCTION("""COMPUTED_VALUE"""),"Land of Spira")</f>
        <v>Land of Spira</v>
      </c>
      <c r="AH543" s="49" t="b">
        <f>IFERROR(__xludf.DUMMYFUNCTION("""COMPUTED_VALUE"""),FALSE)</f>
        <v>0</v>
      </c>
    </row>
    <row r="544">
      <c r="A544" s="49" t="str">
        <f>IFERROR(__xludf.DUMMYFUNCTION("""COMPUTED_VALUE"""),"Artemis' Bracer of The Archer Goddess")</f>
        <v>Artemis' Bracer of The Archer Goddess</v>
      </c>
      <c r="B544" s="49" t="str">
        <f>IFERROR(__xludf.DUMMYFUNCTION("""COMPUTED_VALUE"""),"Arms")</f>
        <v>Arms</v>
      </c>
      <c r="C544" s="49" t="str">
        <f>IFERROR(__xludf.DUMMYFUNCTION("""COMPUTED_VALUE"""),"Mob Exclusive")</f>
        <v>Mob Exclusive</v>
      </c>
      <c r="D544" s="49"/>
      <c r="E544" s="49">
        <f>IFERROR(__xludf.DUMMYFUNCTION("""COMPUTED_VALUE"""),2000.0)</f>
        <v>2000</v>
      </c>
      <c r="F544" s="112">
        <f>IFERROR(__xludf.DUMMYFUNCTION("""COMPUTED_VALUE"""),1.99E8)</f>
        <v>199000000</v>
      </c>
      <c r="G544" s="49" t="str">
        <f>IFERROR(__xludf.DUMMYFUNCTION("""COMPUTED_VALUE"""),"DEF")</f>
        <v>DEF</v>
      </c>
      <c r="H544" s="125">
        <f>IFERROR(__xludf.DUMMYFUNCTION("""COMPUTED_VALUE"""),50000.0)</f>
        <v>50000</v>
      </c>
      <c r="I544" s="49"/>
      <c r="J544" s="49"/>
      <c r="K544" s="125">
        <f>IFERROR(__xludf.DUMMYFUNCTION("""COMPUTED_VALUE"""),25000.0)</f>
        <v>25000</v>
      </c>
      <c r="L544" s="49"/>
      <c r="M544" s="49"/>
      <c r="N544" s="49"/>
      <c r="O544" s="49"/>
      <c r="P544" s="49"/>
      <c r="Q544" s="125">
        <f>IFERROR(__xludf.DUMMYFUNCTION("""COMPUTED_VALUE"""),25000.0)</f>
        <v>25000</v>
      </c>
      <c r="R544" s="49"/>
      <c r="S544" s="49"/>
      <c r="T544" s="49"/>
      <c r="U544" s="49"/>
      <c r="V544" s="49"/>
      <c r="W544" s="49"/>
      <c r="X544" s="49"/>
      <c r="Y544" s="49"/>
      <c r="Z544" s="49"/>
      <c r="AA544" s="49"/>
      <c r="AB544" s="49"/>
      <c r="AC544" s="49"/>
      <c r="AD544" s="49"/>
      <c r="AE544" s="49"/>
      <c r="AF544" s="49"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49" t="str">
        <f>IFERROR(__xludf.DUMMYFUNCTION("""COMPUTED_VALUE"""),"Land of Spira")</f>
        <v>Land of Spira</v>
      </c>
      <c r="AH544" s="49" t="b">
        <f>IFERROR(__xludf.DUMMYFUNCTION("""COMPUTED_VALUE"""),FALSE)</f>
        <v>0</v>
      </c>
    </row>
    <row r="545">
      <c r="A545" s="49" t="str">
        <f>IFERROR(__xludf.DUMMYFUNCTION("""COMPUTED_VALUE"""),"Artemis' Leggings of Divine Agility")</f>
        <v>Artemis' Leggings of Divine Agility</v>
      </c>
      <c r="B545" s="49" t="str">
        <f>IFERROR(__xludf.DUMMYFUNCTION("""COMPUTED_VALUE"""),"Legs")</f>
        <v>Legs</v>
      </c>
      <c r="C545" s="49" t="str">
        <f>IFERROR(__xludf.DUMMYFUNCTION("""COMPUTED_VALUE"""),"Mob Exclusive")</f>
        <v>Mob Exclusive</v>
      </c>
      <c r="D545" s="49"/>
      <c r="E545" s="49">
        <f>IFERROR(__xludf.DUMMYFUNCTION("""COMPUTED_VALUE"""),2000.0)</f>
        <v>2000</v>
      </c>
      <c r="F545" s="112">
        <f>IFERROR(__xludf.DUMMYFUNCTION("""COMPUTED_VALUE"""),1.99E8)</f>
        <v>199000000</v>
      </c>
      <c r="G545" s="49" t="str">
        <f>IFERROR(__xludf.DUMMYFUNCTION("""COMPUTED_VALUE"""),"DEF")</f>
        <v>DEF</v>
      </c>
      <c r="H545" s="125">
        <f>IFERROR(__xludf.DUMMYFUNCTION("""COMPUTED_VALUE"""),50000.0)</f>
        <v>50000</v>
      </c>
      <c r="I545" s="49"/>
      <c r="J545" s="49"/>
      <c r="K545" s="125">
        <f>IFERROR(__xludf.DUMMYFUNCTION("""COMPUTED_VALUE"""),25000.0)</f>
        <v>25000</v>
      </c>
      <c r="L545" s="49"/>
      <c r="M545" s="49"/>
      <c r="N545" s="49"/>
      <c r="O545" s="49"/>
      <c r="P545" s="49"/>
      <c r="Q545" s="125">
        <f>IFERROR(__xludf.DUMMYFUNCTION("""COMPUTED_VALUE"""),25000.0)</f>
        <v>25000</v>
      </c>
      <c r="R545" s="49"/>
      <c r="S545" s="49"/>
      <c r="T545" s="49"/>
      <c r="U545" s="49"/>
      <c r="V545" s="49"/>
      <c r="W545" s="49"/>
      <c r="X545" s="49"/>
      <c r="Y545" s="49"/>
      <c r="Z545" s="49"/>
      <c r="AA545" s="49"/>
      <c r="AB545" s="49"/>
      <c r="AC545" s="49"/>
      <c r="AD545" s="49"/>
      <c r="AE545" s="49"/>
      <c r="AF545" s="49" t="str">
        <f>IFERROR(__xludf.DUMMYFUNCTION("""COMPUTED_VALUE"""),"++Blessing of The Greens II: X4 Nature Damage +-can only be equipped by Artemis")</f>
        <v>++Blessing of The Greens II: X4 Nature Damage +-can only be equipped by Artemis</v>
      </c>
      <c r="AG545" s="49" t="str">
        <f>IFERROR(__xludf.DUMMYFUNCTION("""COMPUTED_VALUE"""),"Land of Spira")</f>
        <v>Land of Spira</v>
      </c>
      <c r="AH545" s="49" t="b">
        <f>IFERROR(__xludf.DUMMYFUNCTION("""COMPUTED_VALUE"""),FALSE)</f>
        <v>0</v>
      </c>
    </row>
    <row r="546">
      <c r="A546" s="49" t="str">
        <f>IFERROR(__xludf.DUMMYFUNCTION("""COMPUTED_VALUE"""),"Artemis' Sandals of Divine Speed")</f>
        <v>Artemis' Sandals of Divine Speed</v>
      </c>
      <c r="B546" s="49" t="str">
        <f>IFERROR(__xludf.DUMMYFUNCTION("""COMPUTED_VALUE"""),"Feet")</f>
        <v>Feet</v>
      </c>
      <c r="C546" s="49" t="str">
        <f>IFERROR(__xludf.DUMMYFUNCTION("""COMPUTED_VALUE"""),"Mob Exclusive")</f>
        <v>Mob Exclusive</v>
      </c>
      <c r="D546" s="49"/>
      <c r="E546" s="49">
        <f>IFERROR(__xludf.DUMMYFUNCTION("""COMPUTED_VALUE"""),2000.0)</f>
        <v>2000</v>
      </c>
      <c r="F546" s="112">
        <f>IFERROR(__xludf.DUMMYFUNCTION("""COMPUTED_VALUE"""),1.99E8)</f>
        <v>199000000</v>
      </c>
      <c r="G546" s="49" t="str">
        <f>IFERROR(__xludf.DUMMYFUNCTION("""COMPUTED_VALUE"""),"DEF")</f>
        <v>DEF</v>
      </c>
      <c r="H546" s="125">
        <f>IFERROR(__xludf.DUMMYFUNCTION("""COMPUTED_VALUE"""),50000.0)</f>
        <v>50000</v>
      </c>
      <c r="I546" s="49"/>
      <c r="J546" s="49"/>
      <c r="K546" s="125">
        <f>IFERROR(__xludf.DUMMYFUNCTION("""COMPUTED_VALUE"""),25000.0)</f>
        <v>25000</v>
      </c>
      <c r="L546" s="49"/>
      <c r="M546" s="49"/>
      <c r="N546" s="49"/>
      <c r="O546" s="49"/>
      <c r="P546" s="49"/>
      <c r="Q546" s="125">
        <f>IFERROR(__xludf.DUMMYFUNCTION("""COMPUTED_VALUE"""),25000.0)</f>
        <v>25000</v>
      </c>
      <c r="R546" s="49"/>
      <c r="S546" s="49"/>
      <c r="T546" s="49"/>
      <c r="U546" s="49"/>
      <c r="V546" s="49"/>
      <c r="W546" s="49"/>
      <c r="X546" s="49"/>
      <c r="Y546" s="49"/>
      <c r="Z546" s="49"/>
      <c r="AA546" s="49"/>
      <c r="AB546" s="49"/>
      <c r="AC546" s="49"/>
      <c r="AD546" s="49"/>
      <c r="AE546" s="49"/>
      <c r="AF546" s="49" t="str">
        <f>IFERROR(__xludf.DUMMYFUNCTION("""COMPUTED_VALUE"""),"++Blessing of Speed: when affected by haste you gain an extra action. +-can only be equipped by Artemis.")</f>
        <v>++Blessing of Speed: when affected by haste you gain an extra action. +-can only be equipped by Artemis.</v>
      </c>
      <c r="AG546" s="49" t="str">
        <f>IFERROR(__xludf.DUMMYFUNCTION("""COMPUTED_VALUE"""),"Land of Spira")</f>
        <v>Land of Spira</v>
      </c>
      <c r="AH546" s="49" t="b">
        <f>IFERROR(__xludf.DUMMYFUNCTION("""COMPUTED_VALUE"""),FALSE)</f>
        <v>0</v>
      </c>
    </row>
    <row r="547">
      <c r="A547" s="49" t="str">
        <f>IFERROR(__xludf.DUMMYFUNCTION("""COMPUTED_VALUE"""),"Artemis' Ring")</f>
        <v>Artemis' Ring</v>
      </c>
      <c r="B547" s="49" t="str">
        <f>IFERROR(__xludf.DUMMYFUNCTION("""COMPUTED_VALUE"""),"Ring")</f>
        <v>Ring</v>
      </c>
      <c r="C547" s="49" t="str">
        <f>IFERROR(__xludf.DUMMYFUNCTION("""COMPUTED_VALUE"""),"Mob Exclusive")</f>
        <v>Mob Exclusive</v>
      </c>
      <c r="D547" s="49"/>
      <c r="E547" s="49">
        <f>IFERROR(__xludf.DUMMYFUNCTION("""COMPUTED_VALUE"""),1.0)</f>
        <v>1</v>
      </c>
      <c r="F547" s="112">
        <f>IFERROR(__xludf.DUMMYFUNCTION("""COMPUTED_VALUE"""),0.0)</f>
        <v>0</v>
      </c>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c r="AE547" s="49"/>
      <c r="AF547" s="49" t="str">
        <f>IFERROR(__xludf.DUMMYFUNCTION("""COMPUTED_VALUE"""),"++10% chance to revive after dying once. +-can only be equipped by Artemis.")</f>
        <v>++10% chance to revive after dying once. +-can only be equipped by Artemis.</v>
      </c>
      <c r="AG547" s="49" t="str">
        <f>IFERROR(__xludf.DUMMYFUNCTION("""COMPUTED_VALUE"""),"Land of Spira")</f>
        <v>Land of Spira</v>
      </c>
      <c r="AH547" s="49" t="b">
        <f>IFERROR(__xludf.DUMMYFUNCTION("""COMPUTED_VALUE"""),FALSE)</f>
        <v>0</v>
      </c>
    </row>
    <row r="548">
      <c r="A548" s="49" t="str">
        <f>IFERROR(__xludf.DUMMYFUNCTION("""COMPUTED_VALUE"""),"Artemis' Fang Necklace")</f>
        <v>Artemis' Fang Necklace</v>
      </c>
      <c r="B548" s="49" t="str">
        <f>IFERROR(__xludf.DUMMYFUNCTION("""COMPUTED_VALUE"""),"Neck")</f>
        <v>Neck</v>
      </c>
      <c r="C548" s="49" t="str">
        <f>IFERROR(__xludf.DUMMYFUNCTION("""COMPUTED_VALUE"""),"Mob Exclusive")</f>
        <v>Mob Exclusive</v>
      </c>
      <c r="D548" s="49"/>
      <c r="E548" s="49">
        <f>IFERROR(__xludf.DUMMYFUNCTION("""COMPUTED_VALUE"""),1.0)</f>
        <v>1</v>
      </c>
      <c r="F548" s="112">
        <f>IFERROR(__xludf.DUMMYFUNCTION("""COMPUTED_VALUE"""),0.0)</f>
        <v>0</v>
      </c>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c r="AE548" s="49"/>
      <c r="AF548" s="49"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49" t="str">
        <f>IFERROR(__xludf.DUMMYFUNCTION("""COMPUTED_VALUE"""),"Land of Spira")</f>
        <v>Land of Spira</v>
      </c>
      <c r="AH548" s="49" t="b">
        <f>IFERROR(__xludf.DUMMYFUNCTION("""COMPUTED_VALUE"""),FALSE)</f>
        <v>0</v>
      </c>
    </row>
    <row r="549">
      <c r="A549" s="49" t="str">
        <f>IFERROR(__xludf.DUMMYFUNCTION("""COMPUTED_VALUE"""),"Forged Paladin's Helm")</f>
        <v>Forged Paladin's Helm</v>
      </c>
      <c r="B549" s="49" t="str">
        <f>IFERROR(__xludf.DUMMYFUNCTION("""COMPUTED_VALUE"""),"Head")</f>
        <v>Head</v>
      </c>
      <c r="C549" s="49" t="str">
        <f>IFERROR(__xludf.DUMMYFUNCTION("""COMPUTED_VALUE"""),"Quest Item")</f>
        <v>Quest Item</v>
      </c>
      <c r="D549" s="49"/>
      <c r="E549" s="49">
        <f>IFERROR(__xludf.DUMMYFUNCTION("""COMPUTED_VALUE"""),200.0)</f>
        <v>200</v>
      </c>
      <c r="F549" s="112">
        <f>IFERROR(__xludf.DUMMYFUNCTION("""COMPUTED_VALUE"""),1.1175E8)</f>
        <v>111750000</v>
      </c>
      <c r="G549" s="49" t="str">
        <f>IFERROR(__xludf.DUMMYFUNCTION("""COMPUTED_VALUE"""),"DEF")</f>
        <v>DEF</v>
      </c>
      <c r="H549" s="125">
        <f>IFERROR(__xludf.DUMMYFUNCTION("""COMPUTED_VALUE"""),25000.0)</f>
        <v>25000</v>
      </c>
      <c r="I549" s="125">
        <f>IFERROR(__xludf.DUMMYFUNCTION("""COMPUTED_VALUE"""),10000.0)</f>
        <v>10000</v>
      </c>
      <c r="J549" s="49"/>
      <c r="K549" s="125">
        <f>IFERROR(__xludf.DUMMYFUNCTION("""COMPUTED_VALUE"""),5000.0)</f>
        <v>5000</v>
      </c>
      <c r="L549" s="49"/>
      <c r="M549" s="49"/>
      <c r="N549" s="49"/>
      <c r="O549" s="49"/>
      <c r="P549" s="49"/>
      <c r="Q549" s="49"/>
      <c r="R549" s="49"/>
      <c r="S549" s="125">
        <f>IFERROR(__xludf.DUMMYFUNCTION("""COMPUTED_VALUE"""),25000.0)</f>
        <v>25000</v>
      </c>
      <c r="T549" s="49"/>
      <c r="U549" s="49"/>
      <c r="V549" s="49"/>
      <c r="W549" s="49"/>
      <c r="X549" s="49"/>
      <c r="Y549" s="49"/>
      <c r="Z549" s="49"/>
      <c r="AA549" s="49"/>
      <c r="AB549" s="49"/>
      <c r="AC549" s="125">
        <f>IFERROR(__xludf.DUMMYFUNCTION("""COMPUTED_VALUE"""),10000.0)</f>
        <v>10000</v>
      </c>
      <c r="AD549" s="49"/>
      <c r="AE549" s="49"/>
      <c r="AF549" s="49"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49" t="str">
        <f>IFERROR(__xludf.DUMMYFUNCTION("""COMPUTED_VALUE"""),"Land of Spira")</f>
        <v>Land of Spira</v>
      </c>
      <c r="AH549" s="49" t="b">
        <f>IFERROR(__xludf.DUMMYFUNCTION("""COMPUTED_VALUE"""),FALSE)</f>
        <v>0</v>
      </c>
    </row>
    <row r="550">
      <c r="A550" s="49" t="str">
        <f>IFERROR(__xludf.DUMMYFUNCTION("""COMPUTED_VALUE"""),"Forged Paladin's Pauldrons")</f>
        <v>Forged Paladin's Pauldrons</v>
      </c>
      <c r="B550" s="49" t="str">
        <f>IFERROR(__xludf.DUMMYFUNCTION("""COMPUTED_VALUE"""),"Shoulders")</f>
        <v>Shoulders</v>
      </c>
      <c r="C550" s="49" t="str">
        <f>IFERROR(__xludf.DUMMYFUNCTION("""COMPUTED_VALUE"""),"Quest Item")</f>
        <v>Quest Item</v>
      </c>
      <c r="D550" s="49"/>
      <c r="E550" s="49">
        <f>IFERROR(__xludf.DUMMYFUNCTION("""COMPUTED_VALUE"""),200.0)</f>
        <v>200</v>
      </c>
      <c r="F550" s="112">
        <f>IFERROR(__xludf.DUMMYFUNCTION("""COMPUTED_VALUE"""),1.1175E8)</f>
        <v>111750000</v>
      </c>
      <c r="G550" s="49" t="str">
        <f>IFERROR(__xludf.DUMMYFUNCTION("""COMPUTED_VALUE"""),"DEF")</f>
        <v>DEF</v>
      </c>
      <c r="H550" s="125">
        <f>IFERROR(__xludf.DUMMYFUNCTION("""COMPUTED_VALUE"""),25000.0)</f>
        <v>25000</v>
      </c>
      <c r="I550" s="125">
        <f>IFERROR(__xludf.DUMMYFUNCTION("""COMPUTED_VALUE"""),10000.0)</f>
        <v>10000</v>
      </c>
      <c r="J550" s="49"/>
      <c r="K550" s="125">
        <f>IFERROR(__xludf.DUMMYFUNCTION("""COMPUTED_VALUE"""),5000.0)</f>
        <v>5000</v>
      </c>
      <c r="L550" s="49"/>
      <c r="M550" s="49"/>
      <c r="N550" s="49"/>
      <c r="O550" s="49"/>
      <c r="P550" s="49"/>
      <c r="Q550" s="49"/>
      <c r="R550" s="49"/>
      <c r="S550" s="125">
        <f>IFERROR(__xludf.DUMMYFUNCTION("""COMPUTED_VALUE"""),25000.0)</f>
        <v>25000</v>
      </c>
      <c r="T550" s="49"/>
      <c r="U550" s="49"/>
      <c r="V550" s="49"/>
      <c r="W550" s="49"/>
      <c r="X550" s="49"/>
      <c r="Y550" s="49"/>
      <c r="Z550" s="49"/>
      <c r="AA550" s="49"/>
      <c r="AB550" s="49"/>
      <c r="AC550" s="125">
        <f>IFERROR(__xludf.DUMMYFUNCTION("""COMPUTED_VALUE"""),10000.0)</f>
        <v>10000</v>
      </c>
      <c r="AD550" s="49"/>
      <c r="AE550" s="49"/>
      <c r="AF550" s="49"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49" t="str">
        <f>IFERROR(__xludf.DUMMYFUNCTION("""COMPUTED_VALUE"""),"Land of Spira")</f>
        <v>Land of Spira</v>
      </c>
      <c r="AH550" s="49" t="b">
        <f>IFERROR(__xludf.DUMMYFUNCTION("""COMPUTED_VALUE"""),FALSE)</f>
        <v>0</v>
      </c>
    </row>
    <row r="551">
      <c r="A551" s="49" t="str">
        <f>IFERROR(__xludf.DUMMYFUNCTION("""COMPUTED_VALUE"""),"Forged Paladin's Plate")</f>
        <v>Forged Paladin's Plate</v>
      </c>
      <c r="B551" s="49" t="str">
        <f>IFERROR(__xludf.DUMMYFUNCTION("""COMPUTED_VALUE"""),"Torso")</f>
        <v>Torso</v>
      </c>
      <c r="C551" s="49" t="str">
        <f>IFERROR(__xludf.DUMMYFUNCTION("""COMPUTED_VALUE"""),"Quest Item")</f>
        <v>Quest Item</v>
      </c>
      <c r="D551" s="49"/>
      <c r="E551" s="49">
        <f>IFERROR(__xludf.DUMMYFUNCTION("""COMPUTED_VALUE"""),200.0)</f>
        <v>200</v>
      </c>
      <c r="F551" s="112">
        <f>IFERROR(__xludf.DUMMYFUNCTION("""COMPUTED_VALUE"""),1.99E8)</f>
        <v>199000000</v>
      </c>
      <c r="G551" s="49" t="str">
        <f>IFERROR(__xludf.DUMMYFUNCTION("""COMPUTED_VALUE"""),"DEF")</f>
        <v>DEF</v>
      </c>
      <c r="H551" s="125">
        <f>IFERROR(__xludf.DUMMYFUNCTION("""COMPUTED_VALUE"""),35000.0)</f>
        <v>35000</v>
      </c>
      <c r="I551" s="125">
        <f>IFERROR(__xludf.DUMMYFUNCTION("""COMPUTED_VALUE"""),15000.0)</f>
        <v>15000</v>
      </c>
      <c r="J551" s="49"/>
      <c r="K551" s="125">
        <f>IFERROR(__xludf.DUMMYFUNCTION("""COMPUTED_VALUE"""),5000.0)</f>
        <v>5000</v>
      </c>
      <c r="L551" s="49"/>
      <c r="M551" s="49"/>
      <c r="N551" s="49"/>
      <c r="O551" s="49"/>
      <c r="P551" s="49"/>
      <c r="Q551" s="49"/>
      <c r="R551" s="49"/>
      <c r="S551" s="125">
        <f>IFERROR(__xludf.DUMMYFUNCTION("""COMPUTED_VALUE"""),30000.0)</f>
        <v>30000</v>
      </c>
      <c r="T551" s="49"/>
      <c r="U551" s="49"/>
      <c r="V551" s="49"/>
      <c r="W551" s="49"/>
      <c r="X551" s="49"/>
      <c r="Y551" s="49"/>
      <c r="Z551" s="49"/>
      <c r="AA551" s="49"/>
      <c r="AB551" s="49"/>
      <c r="AC551" s="125">
        <f>IFERROR(__xludf.DUMMYFUNCTION("""COMPUTED_VALUE"""),15000.0)</f>
        <v>15000</v>
      </c>
      <c r="AD551" s="49"/>
      <c r="AE551" s="49"/>
      <c r="AF551" s="49" t="str">
        <f>IFERROR(__xludf.DUMMYFUNCTION("""COMPUTED_VALUE"""),"++X4 Fire damage. ++fire immunity +-Forged Paladin Class Only.")</f>
        <v>++X4 Fire damage. ++fire immunity +-Forged Paladin Class Only.</v>
      </c>
      <c r="AG551" s="49" t="str">
        <f>IFERROR(__xludf.DUMMYFUNCTION("""COMPUTED_VALUE"""),"Land of Spira")</f>
        <v>Land of Spira</v>
      </c>
      <c r="AH551" s="49" t="b">
        <f>IFERROR(__xludf.DUMMYFUNCTION("""COMPUTED_VALUE"""),FALSE)</f>
        <v>0</v>
      </c>
    </row>
    <row r="552">
      <c r="A552" s="49" t="str">
        <f>IFERROR(__xludf.DUMMYFUNCTION("""COMPUTED_VALUE"""),"Forged Paladin's Vambraces")</f>
        <v>Forged Paladin's Vambraces</v>
      </c>
      <c r="B552" s="49" t="str">
        <f>IFERROR(__xludf.DUMMYFUNCTION("""COMPUTED_VALUE"""),"Arms")</f>
        <v>Arms</v>
      </c>
      <c r="C552" s="49" t="str">
        <f>IFERROR(__xludf.DUMMYFUNCTION("""COMPUTED_VALUE"""),"Quest Item")</f>
        <v>Quest Item</v>
      </c>
      <c r="D552" s="49"/>
      <c r="E552" s="49">
        <f>IFERROR(__xludf.DUMMYFUNCTION("""COMPUTED_VALUE"""),200.0)</f>
        <v>200</v>
      </c>
      <c r="F552" s="112">
        <f>IFERROR(__xludf.DUMMYFUNCTION("""COMPUTED_VALUE"""),1.1175E8)</f>
        <v>111750000</v>
      </c>
      <c r="G552" s="49" t="str">
        <f>IFERROR(__xludf.DUMMYFUNCTION("""COMPUTED_VALUE"""),"DEF")</f>
        <v>DEF</v>
      </c>
      <c r="H552" s="125">
        <f>IFERROR(__xludf.DUMMYFUNCTION("""COMPUTED_VALUE"""),25000.0)</f>
        <v>25000</v>
      </c>
      <c r="I552" s="125">
        <f>IFERROR(__xludf.DUMMYFUNCTION("""COMPUTED_VALUE"""),10000.0)</f>
        <v>10000</v>
      </c>
      <c r="J552" s="49"/>
      <c r="K552" s="125">
        <f>IFERROR(__xludf.DUMMYFUNCTION("""COMPUTED_VALUE"""),5000.0)</f>
        <v>5000</v>
      </c>
      <c r="L552" s="49"/>
      <c r="M552" s="49"/>
      <c r="N552" s="49"/>
      <c r="O552" s="49"/>
      <c r="P552" s="49"/>
      <c r="Q552" s="49"/>
      <c r="R552" s="49"/>
      <c r="S552" s="125">
        <f>IFERROR(__xludf.DUMMYFUNCTION("""COMPUTED_VALUE"""),25000.0)</f>
        <v>25000</v>
      </c>
      <c r="T552" s="49"/>
      <c r="U552" s="49"/>
      <c r="V552" s="49"/>
      <c r="W552" s="49"/>
      <c r="X552" s="49"/>
      <c r="Y552" s="49"/>
      <c r="Z552" s="49"/>
      <c r="AA552" s="49"/>
      <c r="AB552" s="49"/>
      <c r="AC552" s="125">
        <f>IFERROR(__xludf.DUMMYFUNCTION("""COMPUTED_VALUE"""),10000.0)</f>
        <v>10000</v>
      </c>
      <c r="AD552" s="49"/>
      <c r="AE552" s="49"/>
      <c r="AF552" s="49"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49" t="str">
        <f>IFERROR(__xludf.DUMMYFUNCTION("""COMPUTED_VALUE"""),"Land of Spira")</f>
        <v>Land of Spira</v>
      </c>
      <c r="AH552" s="49" t="b">
        <f>IFERROR(__xludf.DUMMYFUNCTION("""COMPUTED_VALUE"""),FALSE)</f>
        <v>0</v>
      </c>
    </row>
    <row r="553">
      <c r="A553" s="49" t="str">
        <f>IFERROR(__xludf.DUMMYFUNCTION("""COMPUTED_VALUE"""),"Forged Firearm")</f>
        <v>Forged Firearm</v>
      </c>
      <c r="B553" s="49" t="str">
        <f>IFERROR(__xludf.DUMMYFUNCTION("""COMPUTED_VALUE"""),"Hand")</f>
        <v>Hand</v>
      </c>
      <c r="C553" s="49" t="str">
        <f>IFERROR(__xludf.DUMMYFUNCTION("""COMPUTED_VALUE"""),"Quest Item")</f>
        <v>Quest Item</v>
      </c>
      <c r="D553" s="49" t="str">
        <f>IFERROR(__xludf.DUMMYFUNCTION("""COMPUTED_VALUE"""),"Firearm")</f>
        <v>Firearm</v>
      </c>
      <c r="E553" s="49">
        <f>IFERROR(__xludf.DUMMYFUNCTION("""COMPUTED_VALUE"""),200.0)</f>
        <v>200</v>
      </c>
      <c r="F553" s="112">
        <f>IFERROR(__xludf.DUMMYFUNCTION("""COMPUTED_VALUE"""),1.99E8)</f>
        <v>199000000</v>
      </c>
      <c r="G553" s="49" t="str">
        <f>IFERROR(__xludf.DUMMYFUNCTION("""COMPUTED_VALUE"""),"DMG")</f>
        <v>DMG</v>
      </c>
      <c r="H553" s="125">
        <f>IFERROR(__xludf.DUMMYFUNCTION("""COMPUTED_VALUE"""),50000.0)</f>
        <v>50000</v>
      </c>
      <c r="I553" s="125">
        <f>IFERROR(__xludf.DUMMYFUNCTION("""COMPUTED_VALUE"""),25000.0)</f>
        <v>25000</v>
      </c>
      <c r="J553" s="49"/>
      <c r="K553" s="49"/>
      <c r="L553" s="49"/>
      <c r="M553" s="49"/>
      <c r="N553" s="49"/>
      <c r="O553" s="49"/>
      <c r="P553" s="49"/>
      <c r="Q553" s="49"/>
      <c r="R553" s="49"/>
      <c r="S553" s="49"/>
      <c r="T553" s="49"/>
      <c r="U553" s="49"/>
      <c r="V553" s="49"/>
      <c r="W553" s="49"/>
      <c r="X553" s="49"/>
      <c r="Y553" s="49"/>
      <c r="Z553" s="49"/>
      <c r="AA553" s="49"/>
      <c r="AB553" s="49"/>
      <c r="AC553" s="125">
        <f>IFERROR(__xludf.DUMMYFUNCTION("""COMPUTED_VALUE"""),25000.0)</f>
        <v>25000</v>
      </c>
      <c r="AD553" s="49"/>
      <c r="AE553" s="49"/>
      <c r="AF553" s="49"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49" t="str">
        <f>IFERROR(__xludf.DUMMYFUNCTION("""COMPUTED_VALUE"""),"Land of Spira")</f>
        <v>Land of Spira</v>
      </c>
      <c r="AH553" s="49" t="b">
        <f>IFERROR(__xludf.DUMMYFUNCTION("""COMPUTED_VALUE"""),FALSE)</f>
        <v>0</v>
      </c>
    </row>
    <row r="554">
      <c r="A554" s="49" t="str">
        <f>IFERROR(__xludf.DUMMYFUNCTION("""COMPUTED_VALUE"""),"Forged Towershield")</f>
        <v>Forged Towershield</v>
      </c>
      <c r="B554" s="49" t="str">
        <f>IFERROR(__xludf.DUMMYFUNCTION("""COMPUTED_VALUE"""),"Hand")</f>
        <v>Hand</v>
      </c>
      <c r="C554" s="49" t="str">
        <f>IFERROR(__xludf.DUMMYFUNCTION("""COMPUTED_VALUE"""),"Quest Item")</f>
        <v>Quest Item</v>
      </c>
      <c r="D554" s="49" t="str">
        <f>IFERROR(__xludf.DUMMYFUNCTION("""COMPUTED_VALUE"""),"Towershield")</f>
        <v>Towershield</v>
      </c>
      <c r="E554" s="49">
        <f>IFERROR(__xludf.DUMMYFUNCTION("""COMPUTED_VALUE"""),200.0)</f>
        <v>200</v>
      </c>
      <c r="F554" s="112">
        <f>IFERROR(__xludf.DUMMYFUNCTION("""COMPUTED_VALUE"""),5.4285E8)</f>
        <v>542850000</v>
      </c>
      <c r="G554" s="49" t="str">
        <f>IFERROR(__xludf.DUMMYFUNCTION("""COMPUTED_VALUE"""),"DEF")</f>
        <v>DEF</v>
      </c>
      <c r="H554" s="125">
        <f>IFERROR(__xludf.DUMMYFUNCTION("""COMPUTED_VALUE"""),50000.0)</f>
        <v>50000</v>
      </c>
      <c r="I554" s="125">
        <f>IFERROR(__xludf.DUMMYFUNCTION("""COMPUTED_VALUE"""),25000.0)</f>
        <v>25000</v>
      </c>
      <c r="J554" s="49"/>
      <c r="K554" s="125">
        <f>IFERROR(__xludf.DUMMYFUNCTION("""COMPUTED_VALUE"""),15000.0)</f>
        <v>15000</v>
      </c>
      <c r="L554" s="49"/>
      <c r="M554" s="49"/>
      <c r="N554" s="49"/>
      <c r="O554" s="49"/>
      <c r="P554" s="49"/>
      <c r="Q554" s="49"/>
      <c r="R554" s="49"/>
      <c r="S554" s="125">
        <f>IFERROR(__xludf.DUMMYFUNCTION("""COMPUTED_VALUE"""),50000.0)</f>
        <v>50000</v>
      </c>
      <c r="T554" s="49"/>
      <c r="U554" s="49"/>
      <c r="V554" s="49"/>
      <c r="W554" s="49"/>
      <c r="X554" s="49"/>
      <c r="Y554" s="49"/>
      <c r="Z554" s="49"/>
      <c r="AA554" s="49"/>
      <c r="AB554" s="49"/>
      <c r="AC554" s="125">
        <f>IFERROR(__xludf.DUMMYFUNCTION("""COMPUTED_VALUE"""),25000.0)</f>
        <v>25000</v>
      </c>
      <c r="AD554" s="49"/>
      <c r="AE554" s="49"/>
      <c r="AF554" s="49" t="str">
        <f>IFERROR(__xludf.DUMMYFUNCTION("""COMPUTED_VALUE"""),"++X2 defense. ++When equipped with the rest of the Forged Paladin gear gain X6 defense. +-Forged Paladin Class Only.")</f>
        <v>++X2 defense. ++When equipped with the rest of the Forged Paladin gear gain X6 defense. +-Forged Paladin Class Only.</v>
      </c>
      <c r="AG554" s="49" t="str">
        <f>IFERROR(__xludf.DUMMYFUNCTION("""COMPUTED_VALUE"""),"Land of Spira")</f>
        <v>Land of Spira</v>
      </c>
      <c r="AH554" s="49" t="b">
        <f>IFERROR(__xludf.DUMMYFUNCTION("""COMPUTED_VALUE"""),FALSE)</f>
        <v>0</v>
      </c>
    </row>
    <row r="555">
      <c r="A555" s="49" t="str">
        <f>IFERROR(__xludf.DUMMYFUNCTION("""COMPUTED_VALUE"""),"Forged Leg guard")</f>
        <v>Forged Leg guard</v>
      </c>
      <c r="B555" s="49" t="str">
        <f>IFERROR(__xludf.DUMMYFUNCTION("""COMPUTED_VALUE"""),"Legs")</f>
        <v>Legs</v>
      </c>
      <c r="C555" s="49" t="str">
        <f>IFERROR(__xludf.DUMMYFUNCTION("""COMPUTED_VALUE"""),"Quest Item")</f>
        <v>Quest Item</v>
      </c>
      <c r="D555" s="49"/>
      <c r="E555" s="49">
        <f>IFERROR(__xludf.DUMMYFUNCTION("""COMPUTED_VALUE"""),200.0)</f>
        <v>200</v>
      </c>
      <c r="F555" s="112">
        <f>IFERROR(__xludf.DUMMYFUNCTION("""COMPUTED_VALUE"""),1.1175E8)</f>
        <v>111750000</v>
      </c>
      <c r="G555" s="49" t="str">
        <f>IFERROR(__xludf.DUMMYFUNCTION("""COMPUTED_VALUE"""),"DEF")</f>
        <v>DEF</v>
      </c>
      <c r="H555" s="125">
        <f>IFERROR(__xludf.DUMMYFUNCTION("""COMPUTED_VALUE"""),25000.0)</f>
        <v>25000</v>
      </c>
      <c r="I555" s="125">
        <f>IFERROR(__xludf.DUMMYFUNCTION("""COMPUTED_VALUE"""),10000.0)</f>
        <v>10000</v>
      </c>
      <c r="J555" s="49"/>
      <c r="K555" s="125">
        <f>IFERROR(__xludf.DUMMYFUNCTION("""COMPUTED_VALUE"""),5000.0)</f>
        <v>5000</v>
      </c>
      <c r="L555" s="49"/>
      <c r="M555" s="49"/>
      <c r="N555" s="49"/>
      <c r="O555" s="49"/>
      <c r="P555" s="49"/>
      <c r="Q555" s="49"/>
      <c r="R555" s="49"/>
      <c r="S555" s="125">
        <f>IFERROR(__xludf.DUMMYFUNCTION("""COMPUTED_VALUE"""),25000.0)</f>
        <v>25000</v>
      </c>
      <c r="T555" s="49"/>
      <c r="U555" s="49"/>
      <c r="V555" s="49"/>
      <c r="W555" s="49"/>
      <c r="X555" s="49"/>
      <c r="Y555" s="49"/>
      <c r="Z555" s="49"/>
      <c r="AA555" s="49"/>
      <c r="AB555" s="49"/>
      <c r="AC555" s="125">
        <f>IFERROR(__xludf.DUMMYFUNCTION("""COMPUTED_VALUE"""),10000.0)</f>
        <v>10000</v>
      </c>
      <c r="AD555" s="49"/>
      <c r="AE555" s="49"/>
      <c r="AF555" s="49" t="str">
        <f>IFERROR(__xludf.DUMMYFUNCTION("""COMPUTED_VALUE"""),"++When affected by Burn, Heal by the damage instead. +-Forged Paladin Class Only.")</f>
        <v>++When affected by Burn, Heal by the damage instead. +-Forged Paladin Class Only.</v>
      </c>
      <c r="AG555" s="49" t="str">
        <f>IFERROR(__xludf.DUMMYFUNCTION("""COMPUTED_VALUE"""),"Land of Spira")</f>
        <v>Land of Spira</v>
      </c>
      <c r="AH555" s="49" t="b">
        <f>IFERROR(__xludf.DUMMYFUNCTION("""COMPUTED_VALUE"""),FALSE)</f>
        <v>0</v>
      </c>
    </row>
    <row r="556">
      <c r="A556" s="49" t="str">
        <f>IFERROR(__xludf.DUMMYFUNCTION("""COMPUTED_VALUE"""),"Forged Sabatons")</f>
        <v>Forged Sabatons</v>
      </c>
      <c r="B556" s="49" t="str">
        <f>IFERROR(__xludf.DUMMYFUNCTION("""COMPUTED_VALUE"""),"Feet")</f>
        <v>Feet</v>
      </c>
      <c r="C556" s="49" t="str">
        <f>IFERROR(__xludf.DUMMYFUNCTION("""COMPUTED_VALUE"""),"Quest Item")</f>
        <v>Quest Item</v>
      </c>
      <c r="D556" s="49"/>
      <c r="E556" s="49">
        <f>IFERROR(__xludf.DUMMYFUNCTION("""COMPUTED_VALUE"""),200.0)</f>
        <v>200</v>
      </c>
      <c r="F556" s="112">
        <f>IFERROR(__xludf.DUMMYFUNCTION("""COMPUTED_VALUE"""),1.1175E8)</f>
        <v>111750000</v>
      </c>
      <c r="G556" s="49" t="str">
        <f>IFERROR(__xludf.DUMMYFUNCTION("""COMPUTED_VALUE"""),"DEF")</f>
        <v>DEF</v>
      </c>
      <c r="H556" s="125">
        <f>IFERROR(__xludf.DUMMYFUNCTION("""COMPUTED_VALUE"""),25000.0)</f>
        <v>25000</v>
      </c>
      <c r="I556" s="125">
        <f>IFERROR(__xludf.DUMMYFUNCTION("""COMPUTED_VALUE"""),10000.0)</f>
        <v>10000</v>
      </c>
      <c r="J556" s="49"/>
      <c r="K556" s="125">
        <f>IFERROR(__xludf.DUMMYFUNCTION("""COMPUTED_VALUE"""),5000.0)</f>
        <v>5000</v>
      </c>
      <c r="L556" s="49"/>
      <c r="M556" s="49"/>
      <c r="N556" s="49"/>
      <c r="O556" s="49"/>
      <c r="P556" s="49"/>
      <c r="Q556" s="49"/>
      <c r="R556" s="49"/>
      <c r="S556" s="125">
        <f>IFERROR(__xludf.DUMMYFUNCTION("""COMPUTED_VALUE"""),25000.0)</f>
        <v>25000</v>
      </c>
      <c r="T556" s="49"/>
      <c r="U556" s="49"/>
      <c r="V556" s="49"/>
      <c r="W556" s="49"/>
      <c r="X556" s="49"/>
      <c r="Y556" s="49"/>
      <c r="Z556" s="49"/>
      <c r="AA556" s="49"/>
      <c r="AB556" s="49"/>
      <c r="AC556" s="125">
        <f>IFERROR(__xludf.DUMMYFUNCTION("""COMPUTED_VALUE"""),10000.0)</f>
        <v>10000</v>
      </c>
      <c r="AD556" s="49"/>
      <c r="AE556" s="49"/>
      <c r="AF556" s="49" t="str">
        <f>IFERROR(__xludf.DUMMYFUNCTION("""COMPUTED_VALUE"""),"++When attacking with a fire spell add ++5 to roll. +-Forged Paladin Class Only.")</f>
        <v>++When attacking with a fire spell add ++5 to roll. +-Forged Paladin Class Only.</v>
      </c>
      <c r="AG556" s="49" t="str">
        <f>IFERROR(__xludf.DUMMYFUNCTION("""COMPUTED_VALUE"""),"Land of Spira")</f>
        <v>Land of Spira</v>
      </c>
      <c r="AH556" s="49" t="b">
        <f>IFERROR(__xludf.DUMMYFUNCTION("""COMPUTED_VALUE"""),FALSE)</f>
        <v>0</v>
      </c>
    </row>
    <row r="557">
      <c r="A557" s="49" t="str">
        <f>IFERROR(__xludf.DUMMYFUNCTION("""COMPUTED_VALUE"""),"Scrap Ring")</f>
        <v>Scrap Ring</v>
      </c>
      <c r="B557" s="49" t="str">
        <f>IFERROR(__xludf.DUMMYFUNCTION("""COMPUTED_VALUE"""),"Ring")</f>
        <v>Ring</v>
      </c>
      <c r="C557" s="49" t="str">
        <f>IFERROR(__xludf.DUMMYFUNCTION("""COMPUTED_VALUE"""),"Quest Item")</f>
        <v>Quest Item</v>
      </c>
      <c r="D557" s="49"/>
      <c r="E557" s="49">
        <f>IFERROR(__xludf.DUMMYFUNCTION("""COMPUTED_VALUE"""),1.0)</f>
        <v>1</v>
      </c>
      <c r="F557" s="112">
        <f>IFERROR(__xludf.DUMMYFUNCTION("""COMPUTED_VALUE"""),0.0)</f>
        <v>0</v>
      </c>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c r="AE557" s="49"/>
      <c r="AF557" s="49" t="str">
        <f>IFERROR(__xludf.DUMMYFUNCTION("""COMPUTED_VALUE"""),"++When you attack an enemy with a firearm, inflict Marked 3. +-Forged Paladin Class Only.")</f>
        <v>++When you attack an enemy with a firearm, inflict Marked 3. +-Forged Paladin Class Only.</v>
      </c>
      <c r="AG557" s="49" t="str">
        <f>IFERROR(__xludf.DUMMYFUNCTION("""COMPUTED_VALUE"""),"Land of Spira")</f>
        <v>Land of Spira</v>
      </c>
      <c r="AH557" s="49" t="b">
        <f>IFERROR(__xludf.DUMMYFUNCTION("""COMPUTED_VALUE"""),FALSE)</f>
        <v>0</v>
      </c>
    </row>
    <row r="558">
      <c r="A558" s="49" t="str">
        <f>IFERROR(__xludf.DUMMYFUNCTION("""COMPUTED_VALUE"""),"Scrap Gorget")</f>
        <v>Scrap Gorget</v>
      </c>
      <c r="B558" s="49" t="str">
        <f>IFERROR(__xludf.DUMMYFUNCTION("""COMPUTED_VALUE"""),"Neck")</f>
        <v>Neck</v>
      </c>
      <c r="C558" s="49" t="str">
        <f>IFERROR(__xludf.DUMMYFUNCTION("""COMPUTED_VALUE"""),"Quest Item")</f>
        <v>Quest Item</v>
      </c>
      <c r="D558" s="49"/>
      <c r="E558" s="49">
        <f>IFERROR(__xludf.DUMMYFUNCTION("""COMPUTED_VALUE"""),1.0)</f>
        <v>1</v>
      </c>
      <c r="F558" s="112">
        <f>IFERROR(__xludf.DUMMYFUNCTION("""COMPUTED_VALUE"""),0.0)</f>
        <v>0</v>
      </c>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c r="AE558" s="49"/>
      <c r="AF558" s="49"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49" t="str">
        <f>IFERROR(__xludf.DUMMYFUNCTION("""COMPUTED_VALUE"""),"Land of Spira")</f>
        <v>Land of Spira</v>
      </c>
      <c r="AH558" s="49" t="b">
        <f>IFERROR(__xludf.DUMMYFUNCTION("""COMPUTED_VALUE"""),FALSE)</f>
        <v>0</v>
      </c>
    </row>
    <row r="559">
      <c r="A559" s="49" t="str">
        <f>IFERROR(__xludf.DUMMYFUNCTION("""COMPUTED_VALUE"""),"Minstrel's Cap")</f>
        <v>Minstrel's Cap</v>
      </c>
      <c r="B559" s="49" t="str">
        <f>IFERROR(__xludf.DUMMYFUNCTION("""COMPUTED_VALUE"""),"Head")</f>
        <v>Head</v>
      </c>
      <c r="C559" s="49" t="str">
        <f>IFERROR(__xludf.DUMMYFUNCTION("""COMPUTED_VALUE"""),"Quest Item")</f>
        <v>Quest Item</v>
      </c>
      <c r="D559" s="49"/>
      <c r="E559" s="49">
        <f>IFERROR(__xludf.DUMMYFUNCTION("""COMPUTED_VALUE"""),400.0)</f>
        <v>400</v>
      </c>
      <c r="F559" s="112">
        <f>IFERROR(__xludf.DUMMYFUNCTION("""COMPUTED_VALUE"""),7800000.0)</f>
        <v>7800000</v>
      </c>
      <c r="G559" s="49" t="str">
        <f>IFERROR(__xludf.DUMMYFUNCTION("""COMPUTED_VALUE"""),"DEF")</f>
        <v>DEF</v>
      </c>
      <c r="H559" s="125">
        <f>IFERROR(__xludf.DUMMYFUNCTION("""COMPUTED_VALUE"""),20000.0)</f>
        <v>20000</v>
      </c>
      <c r="I559" s="49"/>
      <c r="J559" s="49"/>
      <c r="K559" s="49"/>
      <c r="L559" s="49"/>
      <c r="M559" s="49"/>
      <c r="N559" s="49"/>
      <c r="O559" s="49"/>
      <c r="P559" s="49"/>
      <c r="Q559" s="49"/>
      <c r="R559" s="49"/>
      <c r="S559" s="49"/>
      <c r="T559" s="49"/>
      <c r="U559" s="49"/>
      <c r="V559" s="49"/>
      <c r="W559" s="49"/>
      <c r="X559" s="49"/>
      <c r="Y559" s="49"/>
      <c r="Z559" s="49"/>
      <c r="AA559" s="49"/>
      <c r="AB559" s="49"/>
      <c r="AC559" s="49"/>
      <c r="AD559" s="49"/>
      <c r="AE559" s="49"/>
      <c r="AF559" s="49"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49" t="str">
        <f>IFERROR(__xludf.DUMMYFUNCTION("""COMPUTED_VALUE"""),"Solreach")</f>
        <v>Solreach</v>
      </c>
      <c r="AH559" s="49" t="b">
        <f>IFERROR(__xludf.DUMMYFUNCTION("""COMPUTED_VALUE"""),TRUE)</f>
        <v>1</v>
      </c>
    </row>
    <row r="560">
      <c r="A560" s="49" t="str">
        <f>IFERROR(__xludf.DUMMYFUNCTION("""COMPUTED_VALUE"""),"Minstrel's Cape")</f>
        <v>Minstrel's Cape</v>
      </c>
      <c r="B560" s="49" t="str">
        <f>IFERROR(__xludf.DUMMYFUNCTION("""COMPUTED_VALUE"""),"Shoulders")</f>
        <v>Shoulders</v>
      </c>
      <c r="C560" s="49" t="str">
        <f>IFERROR(__xludf.DUMMYFUNCTION("""COMPUTED_VALUE"""),"Quest Item")</f>
        <v>Quest Item</v>
      </c>
      <c r="D560" s="49"/>
      <c r="E560" s="49">
        <f>IFERROR(__xludf.DUMMYFUNCTION("""COMPUTED_VALUE"""),400.0)</f>
        <v>400</v>
      </c>
      <c r="F560" s="112">
        <f>IFERROR(__xludf.DUMMYFUNCTION("""COMPUTED_VALUE"""),7800000.0)</f>
        <v>7800000</v>
      </c>
      <c r="G560" s="49" t="str">
        <f>IFERROR(__xludf.DUMMYFUNCTION("""COMPUTED_VALUE"""),"DEF")</f>
        <v>DEF</v>
      </c>
      <c r="H560" s="125">
        <f>IFERROR(__xludf.DUMMYFUNCTION("""COMPUTED_VALUE"""),20000.0)</f>
        <v>20000</v>
      </c>
      <c r="I560" s="49"/>
      <c r="J560" s="49"/>
      <c r="K560" s="49"/>
      <c r="L560" s="49"/>
      <c r="M560" s="49"/>
      <c r="N560" s="49"/>
      <c r="O560" s="49"/>
      <c r="P560" s="49"/>
      <c r="Q560" s="49"/>
      <c r="R560" s="49"/>
      <c r="S560" s="49"/>
      <c r="T560" s="49"/>
      <c r="U560" s="49"/>
      <c r="V560" s="49"/>
      <c r="W560" s="49"/>
      <c r="X560" s="49"/>
      <c r="Y560" s="49"/>
      <c r="Z560" s="49"/>
      <c r="AA560" s="49"/>
      <c r="AB560" s="49"/>
      <c r="AC560" s="49"/>
      <c r="AD560" s="49"/>
      <c r="AE560" s="49"/>
      <c r="AF560" s="49"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49" t="str">
        <f>IFERROR(__xludf.DUMMYFUNCTION("""COMPUTED_VALUE"""),"Solreach")</f>
        <v>Solreach</v>
      </c>
      <c r="AH560" s="49" t="b">
        <f>IFERROR(__xludf.DUMMYFUNCTION("""COMPUTED_VALUE"""),TRUE)</f>
        <v>1</v>
      </c>
    </row>
    <row r="561">
      <c r="A561" s="49" t="str">
        <f>IFERROR(__xludf.DUMMYFUNCTION("""COMPUTED_VALUE"""),"Minstrel's Doublet")</f>
        <v>Minstrel's Doublet</v>
      </c>
      <c r="B561" s="49" t="str">
        <f>IFERROR(__xludf.DUMMYFUNCTION("""COMPUTED_VALUE"""),"Torso")</f>
        <v>Torso</v>
      </c>
      <c r="C561" s="49" t="str">
        <f>IFERROR(__xludf.DUMMYFUNCTION("""COMPUTED_VALUE"""),"Quest Item")</f>
        <v>Quest Item</v>
      </c>
      <c r="D561" s="49"/>
      <c r="E561" s="49">
        <f>IFERROR(__xludf.DUMMYFUNCTION("""COMPUTED_VALUE"""),800.0)</f>
        <v>800</v>
      </c>
      <c r="F561" s="112">
        <f>IFERROR(__xludf.DUMMYFUNCTION("""COMPUTED_VALUE"""),3.16E7)</f>
        <v>31600000</v>
      </c>
      <c r="G561" s="49" t="str">
        <f>IFERROR(__xludf.DUMMYFUNCTION("""COMPUTED_VALUE"""),"DEF")</f>
        <v>DEF</v>
      </c>
      <c r="H561" s="125">
        <f>IFERROR(__xludf.DUMMYFUNCTION("""COMPUTED_VALUE"""),40000.0)</f>
        <v>40000</v>
      </c>
      <c r="I561" s="49"/>
      <c r="J561" s="49"/>
      <c r="K561" s="49"/>
      <c r="L561" s="49"/>
      <c r="M561" s="49"/>
      <c r="N561" s="49"/>
      <c r="O561" s="49"/>
      <c r="P561" s="49"/>
      <c r="Q561" s="49"/>
      <c r="R561" s="49"/>
      <c r="S561" s="49"/>
      <c r="T561" s="49"/>
      <c r="U561" s="49"/>
      <c r="V561" s="49"/>
      <c r="W561" s="49"/>
      <c r="X561" s="49"/>
      <c r="Y561" s="49"/>
      <c r="Z561" s="49"/>
      <c r="AA561" s="49"/>
      <c r="AB561" s="49"/>
      <c r="AC561" s="49"/>
      <c r="AD561" s="49"/>
      <c r="AE561" s="49"/>
      <c r="AF561" s="49"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49" t="str">
        <f>IFERROR(__xludf.DUMMYFUNCTION("""COMPUTED_VALUE"""),"Solreach")</f>
        <v>Solreach</v>
      </c>
      <c r="AH561" s="49" t="b">
        <f>IFERROR(__xludf.DUMMYFUNCTION("""COMPUTED_VALUE"""),TRUE)</f>
        <v>1</v>
      </c>
    </row>
    <row r="562">
      <c r="A562" s="49" t="str">
        <f>IFERROR(__xludf.DUMMYFUNCTION("""COMPUTED_VALUE"""),"Minstrel's Cuffs")</f>
        <v>Minstrel's Cuffs</v>
      </c>
      <c r="B562" s="49" t="str">
        <f>IFERROR(__xludf.DUMMYFUNCTION("""COMPUTED_VALUE"""),"Arms")</f>
        <v>Arms</v>
      </c>
      <c r="C562" s="49" t="str">
        <f>IFERROR(__xludf.DUMMYFUNCTION("""COMPUTED_VALUE"""),"Quest Item")</f>
        <v>Quest Item</v>
      </c>
      <c r="D562" s="49"/>
      <c r="E562" s="49">
        <f>IFERROR(__xludf.DUMMYFUNCTION("""COMPUTED_VALUE"""),400.0)</f>
        <v>400</v>
      </c>
      <c r="F562" s="112">
        <f>IFERROR(__xludf.DUMMYFUNCTION("""COMPUTED_VALUE"""),7800000.0)</f>
        <v>7800000</v>
      </c>
      <c r="G562" s="49" t="str">
        <f>IFERROR(__xludf.DUMMYFUNCTION("""COMPUTED_VALUE"""),"DEF")</f>
        <v>DEF</v>
      </c>
      <c r="H562" s="125">
        <f>IFERROR(__xludf.DUMMYFUNCTION("""COMPUTED_VALUE"""),20000.0)</f>
        <v>20000</v>
      </c>
      <c r="I562" s="49"/>
      <c r="J562" s="49"/>
      <c r="K562" s="49"/>
      <c r="L562" s="49"/>
      <c r="M562" s="49"/>
      <c r="N562" s="49"/>
      <c r="O562" s="49"/>
      <c r="P562" s="49"/>
      <c r="Q562" s="49"/>
      <c r="R562" s="49"/>
      <c r="S562" s="49"/>
      <c r="T562" s="49"/>
      <c r="U562" s="49"/>
      <c r="V562" s="49"/>
      <c r="W562" s="49"/>
      <c r="X562" s="49"/>
      <c r="Y562" s="49"/>
      <c r="Z562" s="49"/>
      <c r="AA562" s="49"/>
      <c r="AB562" s="49"/>
      <c r="AC562" s="49"/>
      <c r="AD562" s="49"/>
      <c r="AE562" s="49"/>
      <c r="AF562" s="49"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49" t="str">
        <f>IFERROR(__xludf.DUMMYFUNCTION("""COMPUTED_VALUE"""),"Solreach")</f>
        <v>Solreach</v>
      </c>
      <c r="AH562" s="49" t="b">
        <f>IFERROR(__xludf.DUMMYFUNCTION("""COMPUTED_VALUE"""),TRUE)</f>
        <v>1</v>
      </c>
    </row>
    <row r="563">
      <c r="A563" s="49" t="str">
        <f>IFERROR(__xludf.DUMMYFUNCTION("""COMPUTED_VALUE"""),"Heavenly Lute")</f>
        <v>Heavenly Lute</v>
      </c>
      <c r="B563" s="49" t="str">
        <f>IFERROR(__xludf.DUMMYFUNCTION("""COMPUTED_VALUE"""),"Hand")</f>
        <v>Hand</v>
      </c>
      <c r="C563" s="49" t="str">
        <f>IFERROR(__xludf.DUMMYFUNCTION("""COMPUTED_VALUE"""),"Quest Item")</f>
        <v>Quest Item</v>
      </c>
      <c r="D563" s="49" t="str">
        <f>IFERROR(__xludf.DUMMYFUNCTION("""COMPUTED_VALUE"""),"Instrument")</f>
        <v>Instrument</v>
      </c>
      <c r="E563" s="49">
        <f>IFERROR(__xludf.DUMMYFUNCTION("""COMPUTED_VALUE"""),900.0)</f>
        <v>900</v>
      </c>
      <c r="F563" s="112">
        <f>IFERROR(__xludf.DUMMYFUNCTION("""COMPUTED_VALUE"""),4.005E7)</f>
        <v>40050000</v>
      </c>
      <c r="G563" s="49" t="str">
        <f>IFERROR(__xludf.DUMMYFUNCTION("""COMPUTED_VALUE"""),"DMG")</f>
        <v>DMG</v>
      </c>
      <c r="H563" s="125">
        <f>IFERROR(__xludf.DUMMYFUNCTION("""COMPUTED_VALUE"""),20000.0)</f>
        <v>20000</v>
      </c>
      <c r="I563" s="49"/>
      <c r="J563" s="49"/>
      <c r="K563" s="49"/>
      <c r="L563" s="49"/>
      <c r="M563" s="49"/>
      <c r="N563" s="49"/>
      <c r="O563" s="49"/>
      <c r="P563" s="49"/>
      <c r="Q563" s="49"/>
      <c r="R563" s="49"/>
      <c r="S563" s="49"/>
      <c r="T563" s="49"/>
      <c r="U563" s="49"/>
      <c r="V563" s="49"/>
      <c r="W563" s="49"/>
      <c r="X563" s="49"/>
      <c r="Y563" s="49"/>
      <c r="Z563" s="49"/>
      <c r="AA563" s="49"/>
      <c r="AB563" s="49"/>
      <c r="AC563" s="49"/>
      <c r="AD563" s="49"/>
      <c r="AE563" s="125">
        <f>IFERROR(__xludf.DUMMYFUNCTION("""COMPUTED_VALUE"""),25000.0)</f>
        <v>25000</v>
      </c>
      <c r="AF563" s="49"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49" t="str">
        <f>IFERROR(__xludf.DUMMYFUNCTION("""COMPUTED_VALUE"""),"Solreach")</f>
        <v>Solreach</v>
      </c>
      <c r="AH563" s="49" t="b">
        <f>IFERROR(__xludf.DUMMYFUNCTION("""COMPUTED_VALUE"""),TRUE)</f>
        <v>1</v>
      </c>
    </row>
    <row r="564">
      <c r="A564" s="49" t="str">
        <f>IFERROR(__xludf.DUMMYFUNCTION("""COMPUTED_VALUE"""),"Wine Stained Buckler With Portable Alcoholism")</f>
        <v>Wine Stained Buckler With Portable Alcoholism</v>
      </c>
      <c r="B564" s="49" t="str">
        <f>IFERROR(__xludf.DUMMYFUNCTION("""COMPUTED_VALUE"""),"Hand")</f>
        <v>Hand</v>
      </c>
      <c r="C564" s="49" t="str">
        <f>IFERROR(__xludf.DUMMYFUNCTION("""COMPUTED_VALUE"""),"Quest Item")</f>
        <v>Quest Item</v>
      </c>
      <c r="D564" s="49" t="str">
        <f>IFERROR(__xludf.DUMMYFUNCTION("""COMPUTED_VALUE"""),"Buckler")</f>
        <v>Buckler</v>
      </c>
      <c r="E564" s="49">
        <f>IFERROR(__xludf.DUMMYFUNCTION("""COMPUTED_VALUE"""),1500.0)</f>
        <v>1500</v>
      </c>
      <c r="F564" s="112">
        <f>IFERROR(__xludf.DUMMYFUNCTION("""COMPUTED_VALUE"""),1.1175E8)</f>
        <v>111750000</v>
      </c>
      <c r="G564" s="49" t="str">
        <f>IFERROR(__xludf.DUMMYFUNCTION("""COMPUTED_VALUE"""),"DEF")</f>
        <v>DEF</v>
      </c>
      <c r="H564" s="125">
        <f>IFERROR(__xludf.DUMMYFUNCTION("""COMPUTED_VALUE"""),50000.0)</f>
        <v>50000</v>
      </c>
      <c r="I564" s="49"/>
      <c r="J564" s="49"/>
      <c r="K564" s="49"/>
      <c r="L564" s="49"/>
      <c r="M564" s="49"/>
      <c r="N564" s="49"/>
      <c r="O564" s="49"/>
      <c r="P564" s="49"/>
      <c r="Q564" s="49"/>
      <c r="R564" s="49"/>
      <c r="S564" s="49"/>
      <c r="T564" s="49"/>
      <c r="U564" s="49"/>
      <c r="V564" s="49"/>
      <c r="W564" s="49"/>
      <c r="X564" s="49"/>
      <c r="Y564" s="49"/>
      <c r="Z564" s="49"/>
      <c r="AA564" s="49"/>
      <c r="AB564" s="49"/>
      <c r="AC564" s="49"/>
      <c r="AD564" s="49"/>
      <c r="AE564" s="125">
        <f>IFERROR(__xludf.DUMMYFUNCTION("""COMPUTED_VALUE"""),25000.0)</f>
        <v>25000</v>
      </c>
      <c r="AF564" s="49"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49" t="str">
        <f>IFERROR(__xludf.DUMMYFUNCTION("""COMPUTED_VALUE"""),"Solreach")</f>
        <v>Solreach</v>
      </c>
      <c r="AH564" s="49" t="b">
        <f>IFERROR(__xludf.DUMMYFUNCTION("""COMPUTED_VALUE"""),TRUE)</f>
        <v>1</v>
      </c>
    </row>
    <row r="565">
      <c r="A565" s="49" t="str">
        <f>IFERROR(__xludf.DUMMYFUNCTION("""COMPUTED_VALUE"""),"Minstrel's Tights")</f>
        <v>Minstrel's Tights</v>
      </c>
      <c r="B565" s="49" t="str">
        <f>IFERROR(__xludf.DUMMYFUNCTION("""COMPUTED_VALUE"""),"Legs")</f>
        <v>Legs</v>
      </c>
      <c r="C565" s="49" t="str">
        <f>IFERROR(__xludf.DUMMYFUNCTION("""COMPUTED_VALUE"""),"Quest Item")</f>
        <v>Quest Item</v>
      </c>
      <c r="D565" s="49"/>
      <c r="E565" s="49">
        <f>IFERROR(__xludf.DUMMYFUNCTION("""COMPUTED_VALUE"""),400.0)</f>
        <v>400</v>
      </c>
      <c r="F565" s="112">
        <f>IFERROR(__xludf.DUMMYFUNCTION("""COMPUTED_VALUE"""),7800000.0)</f>
        <v>7800000</v>
      </c>
      <c r="G565" s="49" t="str">
        <f>IFERROR(__xludf.DUMMYFUNCTION("""COMPUTED_VALUE"""),"DEF")</f>
        <v>DEF</v>
      </c>
      <c r="H565" s="125">
        <f>IFERROR(__xludf.DUMMYFUNCTION("""COMPUTED_VALUE"""),20000.0)</f>
        <v>20000</v>
      </c>
      <c r="I565" s="49"/>
      <c r="J565" s="49"/>
      <c r="K565" s="49"/>
      <c r="L565" s="49"/>
      <c r="M565" s="49"/>
      <c r="N565" s="49"/>
      <c r="O565" s="49"/>
      <c r="P565" s="49"/>
      <c r="Q565" s="49"/>
      <c r="R565" s="49"/>
      <c r="S565" s="49"/>
      <c r="T565" s="49"/>
      <c r="U565" s="49"/>
      <c r="V565" s="49"/>
      <c r="W565" s="49"/>
      <c r="X565" s="49"/>
      <c r="Y565" s="49"/>
      <c r="Z565" s="49"/>
      <c r="AA565" s="49"/>
      <c r="AB565" s="49"/>
      <c r="AC565" s="49"/>
      <c r="AD565" s="49"/>
      <c r="AE565" s="49"/>
      <c r="AF565" s="49" t="str">
        <f>IFERROR(__xludf.DUMMYFUNCTION("""COMPUTED_VALUE"""),"++20,000 ACC and ATK. ++X2 Acoustic Damage +-Paladin of The Party and Bard Class only.")</f>
        <v>++20,000 ACC and ATK. ++X2 Acoustic Damage +-Paladin of The Party and Bard Class only.</v>
      </c>
      <c r="AG565" s="49" t="str">
        <f>IFERROR(__xludf.DUMMYFUNCTION("""COMPUTED_VALUE"""),"Solreach")</f>
        <v>Solreach</v>
      </c>
      <c r="AH565" s="49" t="b">
        <f>IFERROR(__xludf.DUMMYFUNCTION("""COMPUTED_VALUE"""),TRUE)</f>
        <v>1</v>
      </c>
    </row>
    <row r="566">
      <c r="A566" s="49" t="str">
        <f>IFERROR(__xludf.DUMMYFUNCTION("""COMPUTED_VALUE"""),"Minstrel's Boots")</f>
        <v>Minstrel's Boots</v>
      </c>
      <c r="B566" s="49" t="str">
        <f>IFERROR(__xludf.DUMMYFUNCTION("""COMPUTED_VALUE"""),"Feet")</f>
        <v>Feet</v>
      </c>
      <c r="C566" s="49" t="str">
        <f>IFERROR(__xludf.DUMMYFUNCTION("""COMPUTED_VALUE"""),"Quest Item")</f>
        <v>Quest Item</v>
      </c>
      <c r="D566" s="49"/>
      <c r="E566" s="49">
        <f>IFERROR(__xludf.DUMMYFUNCTION("""COMPUTED_VALUE"""),400.0)</f>
        <v>400</v>
      </c>
      <c r="F566" s="112">
        <f>IFERROR(__xludf.DUMMYFUNCTION("""COMPUTED_VALUE"""),7800000.0)</f>
        <v>7800000</v>
      </c>
      <c r="G566" s="49" t="str">
        <f>IFERROR(__xludf.DUMMYFUNCTION("""COMPUTED_VALUE"""),"DEF")</f>
        <v>DEF</v>
      </c>
      <c r="H566" s="125">
        <f>IFERROR(__xludf.DUMMYFUNCTION("""COMPUTED_VALUE"""),20000.0)</f>
        <v>20000</v>
      </c>
      <c r="I566" s="49"/>
      <c r="J566" s="49"/>
      <c r="K566" s="49"/>
      <c r="L566" s="49"/>
      <c r="M566" s="49"/>
      <c r="N566" s="49"/>
      <c r="O566" s="49"/>
      <c r="P566" s="49"/>
      <c r="Q566" s="49"/>
      <c r="R566" s="49"/>
      <c r="S566" s="49"/>
      <c r="T566" s="49"/>
      <c r="U566" s="49"/>
      <c r="V566" s="49"/>
      <c r="W566" s="49"/>
      <c r="X566" s="49"/>
      <c r="Y566" s="49"/>
      <c r="Z566" s="49"/>
      <c r="AA566" s="49"/>
      <c r="AB566" s="49"/>
      <c r="AC566" s="49"/>
      <c r="AD566" s="49"/>
      <c r="AE566" s="49"/>
      <c r="AF566" s="49"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49" t="str">
        <f>IFERROR(__xludf.DUMMYFUNCTION("""COMPUTED_VALUE"""),"Solreach")</f>
        <v>Solreach</v>
      </c>
      <c r="AH566" s="49" t="b">
        <f>IFERROR(__xludf.DUMMYFUNCTION("""COMPUTED_VALUE"""),TRUE)</f>
        <v>1</v>
      </c>
    </row>
    <row r="567">
      <c r="A567" s="49" t="str">
        <f>IFERROR(__xludf.DUMMYFUNCTION("""COMPUTED_VALUE"""),"Brass Ring of Blackout Drunkenness")</f>
        <v>Brass Ring of Blackout Drunkenness</v>
      </c>
      <c r="B567" s="49" t="str">
        <f>IFERROR(__xludf.DUMMYFUNCTION("""COMPUTED_VALUE"""),"Ring")</f>
        <v>Ring</v>
      </c>
      <c r="C567" s="49" t="str">
        <f>IFERROR(__xludf.DUMMYFUNCTION("""COMPUTED_VALUE"""),"Quest Item")</f>
        <v>Quest Item</v>
      </c>
      <c r="D567" s="49"/>
      <c r="E567" s="49">
        <f>IFERROR(__xludf.DUMMYFUNCTION("""COMPUTED_VALUE"""),1.0)</f>
        <v>1</v>
      </c>
      <c r="F567" s="112">
        <f>IFERROR(__xludf.DUMMYFUNCTION("""COMPUTED_VALUE"""),0.0)</f>
        <v>0</v>
      </c>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c r="AE567" s="49"/>
      <c r="AF567" s="49"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49" t="str">
        <f>IFERROR(__xludf.DUMMYFUNCTION("""COMPUTED_VALUE"""),"Solreach")</f>
        <v>Solreach</v>
      </c>
      <c r="AH567" s="49" t="b">
        <f>IFERROR(__xludf.DUMMYFUNCTION("""COMPUTED_VALUE"""),FALSE)</f>
        <v>0</v>
      </c>
    </row>
    <row r="568">
      <c r="A568" s="49" t="str">
        <f>IFERROR(__xludf.DUMMYFUNCTION("""COMPUTED_VALUE"""),"Wreath of The Party's Fervor")</f>
        <v>Wreath of The Party's Fervor</v>
      </c>
      <c r="B568" s="49" t="str">
        <f>IFERROR(__xludf.DUMMYFUNCTION("""COMPUTED_VALUE"""),"Neck")</f>
        <v>Neck</v>
      </c>
      <c r="C568" s="49" t="str">
        <f>IFERROR(__xludf.DUMMYFUNCTION("""COMPUTED_VALUE"""),"Quest Item")</f>
        <v>Quest Item</v>
      </c>
      <c r="D568" s="49"/>
      <c r="E568" s="49">
        <f>IFERROR(__xludf.DUMMYFUNCTION("""COMPUTED_VALUE"""),1.0)</f>
        <v>1</v>
      </c>
      <c r="F568" s="112">
        <f>IFERROR(__xludf.DUMMYFUNCTION("""COMPUTED_VALUE"""),0.0)</f>
        <v>0</v>
      </c>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c r="AE568" s="49"/>
      <c r="AF568" s="49"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49" t="str">
        <f>IFERROR(__xludf.DUMMYFUNCTION("""COMPUTED_VALUE"""),"Solreach")</f>
        <v>Solreach</v>
      </c>
      <c r="AH568" s="49" t="b">
        <f>IFERROR(__xludf.DUMMYFUNCTION("""COMPUTED_VALUE"""),FALSE)</f>
        <v>0</v>
      </c>
    </row>
    <row r="569">
      <c r="A569" s="49" t="str">
        <f>IFERROR(__xludf.DUMMYFUNCTION("""COMPUTED_VALUE"""),"Pauldrons of Tritonoch")</f>
        <v>Pauldrons of Tritonoch</v>
      </c>
      <c r="B569" s="49" t="str">
        <f>IFERROR(__xludf.DUMMYFUNCTION("""COMPUTED_VALUE"""),"Shoulders")</f>
        <v>Shoulders</v>
      </c>
      <c r="C569" s="49"/>
      <c r="D569" s="49"/>
      <c r="E569" s="49">
        <f>IFERROR(__xludf.DUMMYFUNCTION("""COMPUTED_VALUE"""),800.0)</f>
        <v>800</v>
      </c>
      <c r="F569" s="112">
        <f>IFERROR(__xludf.DUMMYFUNCTION("""COMPUTED_VALUE"""),3.16E7)</f>
        <v>31600000</v>
      </c>
      <c r="G569" s="49" t="str">
        <f>IFERROR(__xludf.DUMMYFUNCTION("""COMPUTED_VALUE"""),"DEF")</f>
        <v>DEF</v>
      </c>
      <c r="H569" s="125">
        <f>IFERROR(__xludf.DUMMYFUNCTION("""COMPUTED_VALUE"""),20000.0)</f>
        <v>20000</v>
      </c>
      <c r="I569" s="49"/>
      <c r="J569" s="49"/>
      <c r="K569" s="49">
        <f>IFERROR(__xludf.DUMMYFUNCTION("""COMPUTED_VALUE"""),20000.0)</f>
        <v>20000</v>
      </c>
      <c r="L569" s="49"/>
      <c r="M569" s="49"/>
      <c r="N569" s="49"/>
      <c r="O569" s="49"/>
      <c r="P569" s="49"/>
      <c r="Q569" s="49"/>
      <c r="R569" s="49"/>
      <c r="S569" s="49"/>
      <c r="T569" s="49"/>
      <c r="U569" s="49"/>
      <c r="V569" s="49"/>
      <c r="W569" s="49"/>
      <c r="X569" s="49"/>
      <c r="Y569" s="49"/>
      <c r="Z569" s="49"/>
      <c r="AA569" s="49"/>
      <c r="AB569" s="49"/>
      <c r="AC569" s="49"/>
      <c r="AD569" s="49"/>
      <c r="AE569" s="49"/>
      <c r="AF569" s="49" t="str">
        <f>IFERROR(__xludf.DUMMYFUNCTION("""COMPUTED_VALUE"""),"++Waves of Entitlement - x5 additional Water damage")</f>
        <v>++Waves of Entitlement - x5 additional Water damage</v>
      </c>
      <c r="AG569" s="49" t="str">
        <f>IFERROR(__xludf.DUMMYFUNCTION("""COMPUTED_VALUE"""),"Land of Spira")</f>
        <v>Land of Spira</v>
      </c>
      <c r="AH569" s="49" t="b">
        <f>IFERROR(__xludf.DUMMYFUNCTION("""COMPUTED_VALUE"""),FALSE)</f>
        <v>0</v>
      </c>
    </row>
    <row r="570">
      <c r="A570" s="49" t="str">
        <f>IFERROR(__xludf.DUMMYFUNCTION("""COMPUTED_VALUE"""),"Chestplate of Tritonoch")</f>
        <v>Chestplate of Tritonoch</v>
      </c>
      <c r="B570" s="49" t="str">
        <f>IFERROR(__xludf.DUMMYFUNCTION("""COMPUTED_VALUE"""),"Torso")</f>
        <v>Torso</v>
      </c>
      <c r="C570" s="49"/>
      <c r="D570" s="49"/>
      <c r="E570" s="49">
        <f>IFERROR(__xludf.DUMMYFUNCTION("""COMPUTED_VALUE"""),800.0)</f>
        <v>800</v>
      </c>
      <c r="F570" s="112">
        <f>IFERROR(__xludf.DUMMYFUNCTION("""COMPUTED_VALUE"""),3.16E7)</f>
        <v>31600000</v>
      </c>
      <c r="G570" s="49" t="str">
        <f>IFERROR(__xludf.DUMMYFUNCTION("""COMPUTED_VALUE"""),"DEF")</f>
        <v>DEF</v>
      </c>
      <c r="H570" s="125">
        <f>IFERROR(__xludf.DUMMYFUNCTION("""COMPUTED_VALUE"""),20000.0)</f>
        <v>20000</v>
      </c>
      <c r="I570" s="49"/>
      <c r="J570" s="49"/>
      <c r="K570" s="49">
        <f>IFERROR(__xludf.DUMMYFUNCTION("""COMPUTED_VALUE"""),20000.0)</f>
        <v>20000</v>
      </c>
      <c r="L570" s="49"/>
      <c r="M570" s="49"/>
      <c r="N570" s="49"/>
      <c r="O570" s="49"/>
      <c r="P570" s="49"/>
      <c r="Q570" s="49"/>
      <c r="R570" s="49"/>
      <c r="S570" s="49"/>
      <c r="T570" s="49"/>
      <c r="U570" s="49"/>
      <c r="V570" s="49"/>
      <c r="W570" s="49"/>
      <c r="X570" s="49"/>
      <c r="Y570" s="49"/>
      <c r="Z570" s="49"/>
      <c r="AA570" s="49"/>
      <c r="AB570" s="49"/>
      <c r="AC570" s="49"/>
      <c r="AD570" s="49"/>
      <c r="AE570" s="49"/>
      <c r="AF570" s="49" t="str">
        <f>IFERROR(__xludf.DUMMYFUNCTION("""COMPUTED_VALUE"""),"++Waves of Entitlement - x5 additional Water damage")</f>
        <v>++Waves of Entitlement - x5 additional Water damage</v>
      </c>
      <c r="AG570" s="49" t="str">
        <f>IFERROR(__xludf.DUMMYFUNCTION("""COMPUTED_VALUE"""),"Land of Spira")</f>
        <v>Land of Spira</v>
      </c>
      <c r="AH570" s="49" t="b">
        <f>IFERROR(__xludf.DUMMYFUNCTION("""COMPUTED_VALUE"""),FALSE)</f>
        <v>0</v>
      </c>
    </row>
    <row r="571">
      <c r="A571" s="49" t="str">
        <f>IFERROR(__xludf.DUMMYFUNCTION("""COMPUTED_VALUE"""),"Vambraces of Tritonoch")</f>
        <v>Vambraces of Tritonoch</v>
      </c>
      <c r="B571" s="49" t="str">
        <f>IFERROR(__xludf.DUMMYFUNCTION("""COMPUTED_VALUE"""),"Arms")</f>
        <v>Arms</v>
      </c>
      <c r="C571" s="49"/>
      <c r="D571" s="49"/>
      <c r="E571" s="49">
        <f>IFERROR(__xludf.DUMMYFUNCTION("""COMPUTED_VALUE"""),800.0)</f>
        <v>800</v>
      </c>
      <c r="F571" s="112">
        <f>IFERROR(__xludf.DUMMYFUNCTION("""COMPUTED_VALUE"""),3.16E7)</f>
        <v>31600000</v>
      </c>
      <c r="G571" s="49" t="str">
        <f>IFERROR(__xludf.DUMMYFUNCTION("""COMPUTED_VALUE"""),"DEF")</f>
        <v>DEF</v>
      </c>
      <c r="H571" s="125">
        <f>IFERROR(__xludf.DUMMYFUNCTION("""COMPUTED_VALUE"""),20000.0)</f>
        <v>20000</v>
      </c>
      <c r="I571" s="49"/>
      <c r="J571" s="49"/>
      <c r="K571" s="49">
        <f>IFERROR(__xludf.DUMMYFUNCTION("""COMPUTED_VALUE"""),20000.0)</f>
        <v>20000</v>
      </c>
      <c r="L571" s="49"/>
      <c r="M571" s="49"/>
      <c r="N571" s="49"/>
      <c r="O571" s="49"/>
      <c r="P571" s="49"/>
      <c r="Q571" s="49"/>
      <c r="R571" s="49"/>
      <c r="S571" s="49"/>
      <c r="T571" s="49"/>
      <c r="U571" s="49"/>
      <c r="V571" s="49"/>
      <c r="W571" s="49"/>
      <c r="X571" s="49"/>
      <c r="Y571" s="49"/>
      <c r="Z571" s="49"/>
      <c r="AA571" s="49"/>
      <c r="AB571" s="49"/>
      <c r="AC571" s="49"/>
      <c r="AD571" s="49"/>
      <c r="AE571" s="49"/>
      <c r="AF571" s="49" t="str">
        <f>IFERROR(__xludf.DUMMYFUNCTION("""COMPUTED_VALUE"""),"++Waves of Entitlement - x5 additional Water damage")</f>
        <v>++Waves of Entitlement - x5 additional Water damage</v>
      </c>
      <c r="AG571" s="49" t="str">
        <f>IFERROR(__xludf.DUMMYFUNCTION("""COMPUTED_VALUE"""),"Land of Spira")</f>
        <v>Land of Spira</v>
      </c>
      <c r="AH571" s="49" t="b">
        <f>IFERROR(__xludf.DUMMYFUNCTION("""COMPUTED_VALUE"""),FALSE)</f>
        <v>0</v>
      </c>
    </row>
    <row r="572">
      <c r="A572" s="49" t="str">
        <f>IFERROR(__xludf.DUMMYFUNCTION("""COMPUTED_VALUE"""),"Trident of Tritonoch")</f>
        <v>Trident of Tritonoch</v>
      </c>
      <c r="B572" s="49" t="str">
        <f>IFERROR(__xludf.DUMMYFUNCTION("""COMPUTED_VALUE"""),"Hand")</f>
        <v>Hand</v>
      </c>
      <c r="C572" s="49"/>
      <c r="D572" s="49" t="str">
        <f>IFERROR(__xludf.DUMMYFUNCTION("""COMPUTED_VALUE"""),"Spear")</f>
        <v>Spear</v>
      </c>
      <c r="E572" s="49">
        <f>IFERROR(__xludf.DUMMYFUNCTION("""COMPUTED_VALUE"""),200.0)</f>
        <v>200</v>
      </c>
      <c r="F572" s="112">
        <f>IFERROR(__xludf.DUMMYFUNCTION("""COMPUTED_VALUE"""),7.14E7)</f>
        <v>71400000</v>
      </c>
      <c r="G572" s="49" t="str">
        <f>IFERROR(__xludf.DUMMYFUNCTION("""COMPUTED_VALUE"""),"DMG")</f>
        <v>DMG</v>
      </c>
      <c r="H572" s="125">
        <f>IFERROR(__xludf.DUMMYFUNCTION("""COMPUTED_VALUE"""),20000.0)</f>
        <v>20000</v>
      </c>
      <c r="I572" s="49"/>
      <c r="J572" s="49"/>
      <c r="K572" s="49">
        <f>IFERROR(__xludf.DUMMYFUNCTION("""COMPUTED_VALUE"""),20000.0)</f>
        <v>20000</v>
      </c>
      <c r="L572" s="49"/>
      <c r="M572" s="49"/>
      <c r="N572" s="49"/>
      <c r="O572" s="49"/>
      <c r="P572" s="49"/>
      <c r="Q572" s="49"/>
      <c r="R572" s="49"/>
      <c r="S572" s="49"/>
      <c r="T572" s="49"/>
      <c r="U572" s="49"/>
      <c r="V572" s="49"/>
      <c r="W572" s="49"/>
      <c r="X572" s="49"/>
      <c r="Y572" s="49"/>
      <c r="Z572" s="49"/>
      <c r="AA572" s="49"/>
      <c r="AB572" s="49"/>
      <c r="AC572" s="49">
        <f>IFERROR(__xludf.DUMMYFUNCTION("""COMPUTED_VALUE"""),20000.0)</f>
        <v>20000</v>
      </c>
      <c r="AD572" s="49"/>
      <c r="AE572" s="49"/>
      <c r="AF572" s="49"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49" t="str">
        <f>IFERROR(__xludf.DUMMYFUNCTION("""COMPUTED_VALUE"""),"Land of Spira")</f>
        <v>Land of Spira</v>
      </c>
      <c r="AH572" s="49" t="b">
        <f>IFERROR(__xludf.DUMMYFUNCTION("""COMPUTED_VALUE"""),FALSE)</f>
        <v>0</v>
      </c>
    </row>
    <row r="573">
      <c r="A573" s="49" t="str">
        <f>IFERROR(__xludf.DUMMYFUNCTION("""COMPUTED_VALUE"""),"Boots of Tritonoch")</f>
        <v>Boots of Tritonoch</v>
      </c>
      <c r="B573" s="49" t="str">
        <f>IFERROR(__xludf.DUMMYFUNCTION("""COMPUTED_VALUE"""),"Feet")</f>
        <v>Feet</v>
      </c>
      <c r="C573" s="49"/>
      <c r="D573" s="49"/>
      <c r="E573" s="49">
        <f>IFERROR(__xludf.DUMMYFUNCTION("""COMPUTED_VALUE"""),800.0)</f>
        <v>800</v>
      </c>
      <c r="F573" s="112">
        <f>IFERROR(__xludf.DUMMYFUNCTION("""COMPUTED_VALUE"""),3.16E7)</f>
        <v>31600000</v>
      </c>
      <c r="G573" s="49" t="str">
        <f>IFERROR(__xludf.DUMMYFUNCTION("""COMPUTED_VALUE"""),"DEF")</f>
        <v>DEF</v>
      </c>
      <c r="H573" s="125">
        <f>IFERROR(__xludf.DUMMYFUNCTION("""COMPUTED_VALUE"""),20000.0)</f>
        <v>20000</v>
      </c>
      <c r="I573" s="49"/>
      <c r="J573" s="49"/>
      <c r="K573" s="49">
        <f>IFERROR(__xludf.DUMMYFUNCTION("""COMPUTED_VALUE"""),20000.0)</f>
        <v>20000</v>
      </c>
      <c r="L573" s="49"/>
      <c r="M573" s="49"/>
      <c r="N573" s="49"/>
      <c r="O573" s="49"/>
      <c r="P573" s="49"/>
      <c r="Q573" s="49"/>
      <c r="R573" s="49"/>
      <c r="S573" s="49"/>
      <c r="T573" s="49"/>
      <c r="U573" s="49"/>
      <c r="V573" s="49"/>
      <c r="W573" s="49"/>
      <c r="X573" s="49"/>
      <c r="Y573" s="49"/>
      <c r="Z573" s="49"/>
      <c r="AA573" s="49"/>
      <c r="AB573" s="49"/>
      <c r="AC573" s="49"/>
      <c r="AD573" s="49"/>
      <c r="AE573" s="49"/>
      <c r="AF573" s="49" t="str">
        <f>IFERROR(__xludf.DUMMYFUNCTION("""COMPUTED_VALUE"""),"++Waves of Entitlement - x5 additional Water damage")</f>
        <v>++Waves of Entitlement - x5 additional Water damage</v>
      </c>
      <c r="AG573" s="49" t="str">
        <f>IFERROR(__xludf.DUMMYFUNCTION("""COMPUTED_VALUE"""),"Land of Spira")</f>
        <v>Land of Spira</v>
      </c>
      <c r="AH573" s="49" t="b">
        <f>IFERROR(__xludf.DUMMYFUNCTION("""COMPUTED_VALUE"""),FALSE)</f>
        <v>0</v>
      </c>
    </row>
    <row r="574">
      <c r="A574" s="49" t="str">
        <f>IFERROR(__xludf.DUMMYFUNCTION("""COMPUTED_VALUE"""),"Steel Bandit Dagger")</f>
        <v>Steel Bandit Dagger</v>
      </c>
      <c r="B574" s="49" t="str">
        <f>IFERROR(__xludf.DUMMYFUNCTION("""COMPUTED_VALUE"""),"Hand")</f>
        <v>Hand</v>
      </c>
      <c r="C574" s="49"/>
      <c r="D574" s="49" t="str">
        <f>IFERROR(__xludf.DUMMYFUNCTION("""COMPUTED_VALUE"""),"Knife")</f>
        <v>Knife</v>
      </c>
      <c r="E574" s="49">
        <f>IFERROR(__xludf.DUMMYFUNCTION("""COMPUTED_VALUE"""),1000.0)</f>
        <v>1000</v>
      </c>
      <c r="F574" s="112">
        <f>IFERROR(__xludf.DUMMYFUNCTION("""COMPUTED_VALUE"""),4.95E7)</f>
        <v>49500000</v>
      </c>
      <c r="G574" s="49" t="str">
        <f>IFERROR(__xludf.DUMMYFUNCTION("""COMPUTED_VALUE"""),"DMG")</f>
        <v>DMG</v>
      </c>
      <c r="H574" s="125">
        <f>IFERROR(__xludf.DUMMYFUNCTION("""COMPUTED_VALUE"""),50000.0)</f>
        <v>50000</v>
      </c>
      <c r="I574" s="49"/>
      <c r="J574" s="49"/>
      <c r="K574" s="49"/>
      <c r="L574" s="49"/>
      <c r="M574" s="49"/>
      <c r="N574" s="49"/>
      <c r="O574" s="49"/>
      <c r="P574" s="49"/>
      <c r="Q574" s="49"/>
      <c r="R574" s="49"/>
      <c r="S574" s="49"/>
      <c r="T574" s="49"/>
      <c r="U574" s="49"/>
      <c r="V574" s="49"/>
      <c r="W574" s="49"/>
      <c r="X574" s="49"/>
      <c r="Y574" s="49"/>
      <c r="Z574" s="49"/>
      <c r="AA574" s="49"/>
      <c r="AB574" s="49"/>
      <c r="AC574" s="49"/>
      <c r="AD574" s="49"/>
      <c r="AE574" s="49"/>
      <c r="AF574" s="49" t="str">
        <f>IFERROR(__xludf.DUMMYFUNCTION("""COMPUTED_VALUE"""),"++10% chance to steal gilders upon hitting an enemy guilders stolen are equivalent to 1,000*d20")</f>
        <v>++10% chance to steal gilders upon hitting an enemy guilders stolen are equivalent to 1,000*d20</v>
      </c>
      <c r="AG574" s="49" t="str">
        <f>IFERROR(__xludf.DUMMYFUNCTION("""COMPUTED_VALUE"""),"Land of Spira")</f>
        <v>Land of Spira</v>
      </c>
      <c r="AH574" s="49" t="b">
        <f>IFERROR(__xludf.DUMMYFUNCTION("""COMPUTED_VALUE"""),FALSE)</f>
        <v>0</v>
      </c>
    </row>
    <row r="575">
      <c r="A575" s="49" t="str">
        <f>IFERROR(__xludf.DUMMYFUNCTION("""COMPUTED_VALUE"""),"Bandit Hide Helm")</f>
        <v>Bandit Hide Helm</v>
      </c>
      <c r="B575" s="49" t="str">
        <f>IFERROR(__xludf.DUMMYFUNCTION("""COMPUTED_VALUE"""),"Head")</f>
        <v>Head</v>
      </c>
      <c r="C575" s="49"/>
      <c r="D575" s="49"/>
      <c r="E575" s="49">
        <f>IFERROR(__xludf.DUMMYFUNCTION("""COMPUTED_VALUE"""),1000.0)</f>
        <v>1000</v>
      </c>
      <c r="F575" s="112">
        <f>IFERROR(__xludf.DUMMYFUNCTION("""COMPUTED_VALUE"""),4.95E7)</f>
        <v>49500000</v>
      </c>
      <c r="G575" s="49" t="str">
        <f>IFERROR(__xludf.DUMMYFUNCTION("""COMPUTED_VALUE"""),"DEF")</f>
        <v>DEF</v>
      </c>
      <c r="H575" s="125">
        <f>IFERROR(__xludf.DUMMYFUNCTION("""COMPUTED_VALUE"""),50000.0)</f>
        <v>50000</v>
      </c>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c r="AF575" s="49"/>
      <c r="AG575" s="49" t="str">
        <f>IFERROR(__xludf.DUMMYFUNCTION("""COMPUTED_VALUE"""),"Land of Spira")</f>
        <v>Land of Spira</v>
      </c>
      <c r="AH575" s="49" t="b">
        <f>IFERROR(__xludf.DUMMYFUNCTION("""COMPUTED_VALUE"""),FALSE)</f>
        <v>0</v>
      </c>
    </row>
    <row r="576">
      <c r="A576" s="49" t="str">
        <f>IFERROR(__xludf.DUMMYFUNCTION("""COMPUTED_VALUE"""),"Bandit Hide Padding")</f>
        <v>Bandit Hide Padding</v>
      </c>
      <c r="B576" s="49" t="str">
        <f>IFERROR(__xludf.DUMMYFUNCTION("""COMPUTED_VALUE"""),"Shoulders")</f>
        <v>Shoulders</v>
      </c>
      <c r="C576" s="49"/>
      <c r="D576" s="49"/>
      <c r="E576" s="49">
        <f>IFERROR(__xludf.DUMMYFUNCTION("""COMPUTED_VALUE"""),1000.0)</f>
        <v>1000</v>
      </c>
      <c r="F576" s="112">
        <f>IFERROR(__xludf.DUMMYFUNCTION("""COMPUTED_VALUE"""),4.95E7)</f>
        <v>49500000</v>
      </c>
      <c r="G576" s="49" t="str">
        <f>IFERROR(__xludf.DUMMYFUNCTION("""COMPUTED_VALUE"""),"DEF")</f>
        <v>DEF</v>
      </c>
      <c r="H576" s="125">
        <f>IFERROR(__xludf.DUMMYFUNCTION("""COMPUTED_VALUE"""),50000.0)</f>
        <v>50000</v>
      </c>
      <c r="I576" s="49"/>
      <c r="J576" s="49"/>
      <c r="K576" s="49"/>
      <c r="L576" s="49"/>
      <c r="M576" s="49"/>
      <c r="N576" s="49"/>
      <c r="O576" s="49"/>
      <c r="P576" s="49"/>
      <c r="Q576" s="49"/>
      <c r="R576" s="49"/>
      <c r="S576" s="49"/>
      <c r="T576" s="49"/>
      <c r="U576" s="49"/>
      <c r="V576" s="49"/>
      <c r="W576" s="49"/>
      <c r="X576" s="49"/>
      <c r="Y576" s="49"/>
      <c r="Z576" s="49"/>
      <c r="AA576" s="49"/>
      <c r="AB576" s="49"/>
      <c r="AC576" s="49"/>
      <c r="AD576" s="49"/>
      <c r="AE576" s="49"/>
      <c r="AF576" s="49"/>
      <c r="AG576" s="49" t="str">
        <f>IFERROR(__xludf.DUMMYFUNCTION("""COMPUTED_VALUE"""),"Land of Spira")</f>
        <v>Land of Spira</v>
      </c>
      <c r="AH576" s="49" t="b">
        <f>IFERROR(__xludf.DUMMYFUNCTION("""COMPUTED_VALUE"""),FALSE)</f>
        <v>0</v>
      </c>
    </row>
    <row r="577">
      <c r="A577" s="49" t="str">
        <f>IFERROR(__xludf.DUMMYFUNCTION("""COMPUTED_VALUE"""),"Bandit Hide Chestplate")</f>
        <v>Bandit Hide Chestplate</v>
      </c>
      <c r="B577" s="49" t="str">
        <f>IFERROR(__xludf.DUMMYFUNCTION("""COMPUTED_VALUE"""),"Torso")</f>
        <v>Torso</v>
      </c>
      <c r="C577" s="49"/>
      <c r="D577" s="49"/>
      <c r="E577" s="49">
        <f>IFERROR(__xludf.DUMMYFUNCTION("""COMPUTED_VALUE"""),1000.0)</f>
        <v>1000</v>
      </c>
      <c r="F577" s="112">
        <f>IFERROR(__xludf.DUMMYFUNCTION("""COMPUTED_VALUE"""),4.95E7)</f>
        <v>49500000</v>
      </c>
      <c r="G577" s="49" t="str">
        <f>IFERROR(__xludf.DUMMYFUNCTION("""COMPUTED_VALUE"""),"DEF")</f>
        <v>DEF</v>
      </c>
      <c r="H577" s="125">
        <f>IFERROR(__xludf.DUMMYFUNCTION("""COMPUTED_VALUE"""),50000.0)</f>
        <v>50000</v>
      </c>
      <c r="I577" s="49"/>
      <c r="J577" s="49"/>
      <c r="K577" s="49"/>
      <c r="L577" s="49"/>
      <c r="M577" s="49"/>
      <c r="N577" s="49"/>
      <c r="O577" s="49"/>
      <c r="P577" s="49"/>
      <c r="Q577" s="49"/>
      <c r="R577" s="49"/>
      <c r="S577" s="49"/>
      <c r="T577" s="49"/>
      <c r="U577" s="49"/>
      <c r="V577" s="49"/>
      <c r="W577" s="49"/>
      <c r="X577" s="49"/>
      <c r="Y577" s="49"/>
      <c r="Z577" s="49"/>
      <c r="AA577" s="49"/>
      <c r="AB577" s="49"/>
      <c r="AC577" s="49"/>
      <c r="AD577" s="49"/>
      <c r="AE577" s="49"/>
      <c r="AF577" s="49" t="str">
        <f>IFERROR(__xludf.DUMMYFUNCTION("""COMPUTED_VALUE"""),"++X2 damage with Knives")</f>
        <v>++X2 damage with Knives</v>
      </c>
      <c r="AG577" s="49" t="str">
        <f>IFERROR(__xludf.DUMMYFUNCTION("""COMPUTED_VALUE"""),"Land of Spira")</f>
        <v>Land of Spira</v>
      </c>
      <c r="AH577" s="49" t="b">
        <f>IFERROR(__xludf.DUMMYFUNCTION("""COMPUTED_VALUE"""),FALSE)</f>
        <v>0</v>
      </c>
    </row>
    <row r="578">
      <c r="A578" s="49" t="str">
        <f>IFERROR(__xludf.DUMMYFUNCTION("""COMPUTED_VALUE"""),"Bandit Hide Vambraces")</f>
        <v>Bandit Hide Vambraces</v>
      </c>
      <c r="B578" s="49" t="str">
        <f>IFERROR(__xludf.DUMMYFUNCTION("""COMPUTED_VALUE"""),"Arms")</f>
        <v>Arms</v>
      </c>
      <c r="C578" s="49"/>
      <c r="D578" s="49"/>
      <c r="E578" s="49">
        <f>IFERROR(__xludf.DUMMYFUNCTION("""COMPUTED_VALUE"""),1000.0)</f>
        <v>1000</v>
      </c>
      <c r="F578" s="112">
        <f>IFERROR(__xludf.DUMMYFUNCTION("""COMPUTED_VALUE"""),4.95E7)</f>
        <v>49500000</v>
      </c>
      <c r="G578" s="49" t="str">
        <f>IFERROR(__xludf.DUMMYFUNCTION("""COMPUTED_VALUE"""),"DEF")</f>
        <v>DEF</v>
      </c>
      <c r="H578" s="125">
        <f>IFERROR(__xludf.DUMMYFUNCTION("""COMPUTED_VALUE"""),50000.0)</f>
        <v>50000</v>
      </c>
      <c r="I578" s="49"/>
      <c r="J578" s="49"/>
      <c r="K578" s="49"/>
      <c r="L578" s="49"/>
      <c r="M578" s="49"/>
      <c r="N578" s="49"/>
      <c r="O578" s="49"/>
      <c r="P578" s="49"/>
      <c r="Q578" s="49"/>
      <c r="R578" s="49"/>
      <c r="S578" s="49"/>
      <c r="T578" s="49"/>
      <c r="U578" s="49"/>
      <c r="V578" s="49"/>
      <c r="W578" s="49"/>
      <c r="X578" s="49"/>
      <c r="Y578" s="49"/>
      <c r="Z578" s="49"/>
      <c r="AA578" s="49"/>
      <c r="AB578" s="49"/>
      <c r="AC578" s="49"/>
      <c r="AD578" s="49"/>
      <c r="AE578" s="49"/>
      <c r="AF578" s="49"/>
      <c r="AG578" s="49" t="str">
        <f>IFERROR(__xludf.DUMMYFUNCTION("""COMPUTED_VALUE"""),"Land of Spira")</f>
        <v>Land of Spira</v>
      </c>
      <c r="AH578" s="49" t="b">
        <f>IFERROR(__xludf.DUMMYFUNCTION("""COMPUTED_VALUE"""),FALSE)</f>
        <v>0</v>
      </c>
    </row>
    <row r="579">
      <c r="A579" s="49" t="str">
        <f>IFERROR(__xludf.DUMMYFUNCTION("""COMPUTED_VALUE"""),"Bandit Hide Greaves")</f>
        <v>Bandit Hide Greaves</v>
      </c>
      <c r="B579" s="49" t="str">
        <f>IFERROR(__xludf.DUMMYFUNCTION("""COMPUTED_VALUE"""),"Legs")</f>
        <v>Legs</v>
      </c>
      <c r="C579" s="49"/>
      <c r="D579" s="49"/>
      <c r="E579" s="49">
        <f>IFERROR(__xludf.DUMMYFUNCTION("""COMPUTED_VALUE"""),1000.0)</f>
        <v>1000</v>
      </c>
      <c r="F579" s="112">
        <f>IFERROR(__xludf.DUMMYFUNCTION("""COMPUTED_VALUE"""),4.95E7)</f>
        <v>49500000</v>
      </c>
      <c r="G579" s="49" t="str">
        <f>IFERROR(__xludf.DUMMYFUNCTION("""COMPUTED_VALUE"""),"DEF")</f>
        <v>DEF</v>
      </c>
      <c r="H579" s="125">
        <f>IFERROR(__xludf.DUMMYFUNCTION("""COMPUTED_VALUE"""),50000.0)</f>
        <v>50000</v>
      </c>
      <c r="I579" s="49"/>
      <c r="J579" s="49"/>
      <c r="K579" s="49"/>
      <c r="L579" s="49"/>
      <c r="M579" s="49"/>
      <c r="N579" s="49"/>
      <c r="O579" s="49"/>
      <c r="P579" s="49"/>
      <c r="Q579" s="49"/>
      <c r="R579" s="49"/>
      <c r="S579" s="49"/>
      <c r="T579" s="49"/>
      <c r="U579" s="49"/>
      <c r="V579" s="49"/>
      <c r="W579" s="49"/>
      <c r="X579" s="49"/>
      <c r="Y579" s="49"/>
      <c r="Z579" s="49"/>
      <c r="AA579" s="49"/>
      <c r="AB579" s="49"/>
      <c r="AC579" s="49"/>
      <c r="AD579" s="49"/>
      <c r="AE579" s="49"/>
      <c r="AF579" s="49"/>
      <c r="AG579" s="49" t="str">
        <f>IFERROR(__xludf.DUMMYFUNCTION("""COMPUTED_VALUE"""),"Land of Spira")</f>
        <v>Land of Spira</v>
      </c>
      <c r="AH579" s="49" t="b">
        <f>IFERROR(__xludf.DUMMYFUNCTION("""COMPUTED_VALUE"""),FALSE)</f>
        <v>0</v>
      </c>
    </row>
    <row r="580">
      <c r="A580" s="49" t="str">
        <f>IFERROR(__xludf.DUMMYFUNCTION("""COMPUTED_VALUE"""),"Bandit Hide Boots")</f>
        <v>Bandit Hide Boots</v>
      </c>
      <c r="B580" s="49" t="str">
        <f>IFERROR(__xludf.DUMMYFUNCTION("""COMPUTED_VALUE"""),"Feet")</f>
        <v>Feet</v>
      </c>
      <c r="C580" s="49"/>
      <c r="D580" s="49"/>
      <c r="E580" s="49">
        <f>IFERROR(__xludf.DUMMYFUNCTION("""COMPUTED_VALUE"""),1000.0)</f>
        <v>1000</v>
      </c>
      <c r="F580" s="112">
        <f>IFERROR(__xludf.DUMMYFUNCTION("""COMPUTED_VALUE"""),4.95E7)</f>
        <v>49500000</v>
      </c>
      <c r="G580" s="49" t="str">
        <f>IFERROR(__xludf.DUMMYFUNCTION("""COMPUTED_VALUE"""),"DEF")</f>
        <v>DEF</v>
      </c>
      <c r="H580" s="125">
        <f>IFERROR(__xludf.DUMMYFUNCTION("""COMPUTED_VALUE"""),50000.0)</f>
        <v>50000</v>
      </c>
      <c r="I580" s="49"/>
      <c r="J580" s="49"/>
      <c r="K580" s="49"/>
      <c r="L580" s="49"/>
      <c r="M580" s="49"/>
      <c r="N580" s="49"/>
      <c r="O580" s="49"/>
      <c r="P580" s="49"/>
      <c r="Q580" s="49"/>
      <c r="R580" s="49"/>
      <c r="S580" s="49"/>
      <c r="T580" s="49"/>
      <c r="U580" s="49"/>
      <c r="V580" s="49"/>
      <c r="W580" s="49"/>
      <c r="X580" s="49"/>
      <c r="Y580" s="49"/>
      <c r="Z580" s="49"/>
      <c r="AA580" s="49"/>
      <c r="AB580" s="49"/>
      <c r="AC580" s="49"/>
      <c r="AD580" s="49"/>
      <c r="AE580" s="49"/>
      <c r="AF580" s="49" t="str">
        <f>IFERROR(__xludf.DUMMYFUNCTION("""COMPUTED_VALUE""")," ++5 to all confiscate, pickpocket, or take rolls")</f>
        <v> ++5 to all confiscate, pickpocket, or take rolls</v>
      </c>
      <c r="AG580" s="49" t="str">
        <f>IFERROR(__xludf.DUMMYFUNCTION("""COMPUTED_VALUE"""),"Land of Spira")</f>
        <v>Land of Spira</v>
      </c>
      <c r="AH580" s="49" t="b">
        <f>IFERROR(__xludf.DUMMYFUNCTION("""COMPUTED_VALUE"""),FALSE)</f>
        <v>0</v>
      </c>
    </row>
    <row r="581">
      <c r="A581" s="49" t="str">
        <f>IFERROR(__xludf.DUMMYFUNCTION("""COMPUTED_VALUE"""),"Nunchucks")</f>
        <v>Nunchucks</v>
      </c>
      <c r="B581" s="49" t="str">
        <f>IFERROR(__xludf.DUMMYFUNCTION("""COMPUTED_VALUE"""),"Hand")</f>
        <v>Hand</v>
      </c>
      <c r="C581" s="49"/>
      <c r="D581" s="49" t="str">
        <f>IFERROR(__xludf.DUMMYFUNCTION("""COMPUTED_VALUE"""),"Club")</f>
        <v>Club</v>
      </c>
      <c r="E581" s="49">
        <f>IFERROR(__xludf.DUMMYFUNCTION("""COMPUTED_VALUE"""),3000.0)</f>
        <v>3000</v>
      </c>
      <c r="F581" s="112">
        <f>IFERROR(__xludf.DUMMYFUNCTION("""COMPUTED_VALUE"""),4.485E8)</f>
        <v>448500000</v>
      </c>
      <c r="G581" s="49" t="str">
        <f>IFERROR(__xludf.DUMMYFUNCTION("""COMPUTED_VALUE"""),"DMG")</f>
        <v>DMG</v>
      </c>
      <c r="H581" s="125">
        <f>IFERROR(__xludf.DUMMYFUNCTION("""COMPUTED_VALUE"""),150000.0)</f>
        <v>150000</v>
      </c>
      <c r="I581" s="49"/>
      <c r="J581" s="49"/>
      <c r="K581" s="49"/>
      <c r="L581" s="49"/>
      <c r="M581" s="49"/>
      <c r="N581" s="49"/>
      <c r="O581" s="49"/>
      <c r="P581" s="49"/>
      <c r="Q581" s="49"/>
      <c r="R581" s="49"/>
      <c r="S581" s="49"/>
      <c r="T581" s="49"/>
      <c r="U581" s="49"/>
      <c r="V581" s="49"/>
      <c r="W581" s="49"/>
      <c r="X581" s="49"/>
      <c r="Y581" s="49"/>
      <c r="Z581" s="49"/>
      <c r="AA581" s="49"/>
      <c r="AB581" s="49"/>
      <c r="AC581" s="49"/>
      <c r="AD581" s="49"/>
      <c r="AE581" s="49"/>
      <c r="AF581" s="49" t="str">
        <f>IFERROR(__xludf.DUMMYFUNCTION("""COMPUTED_VALUE"""),"++10% chance to disarm your enemy when hitting them")</f>
        <v>++10% chance to disarm your enemy when hitting them</v>
      </c>
      <c r="AG581" s="49" t="str">
        <f>IFERROR(__xludf.DUMMYFUNCTION("""COMPUTED_VALUE"""),"Dragonscale Island")</f>
        <v>Dragonscale Island</v>
      </c>
      <c r="AH581" s="49" t="b">
        <f>IFERROR(__xludf.DUMMYFUNCTION("""COMPUTED_VALUE"""),FALSE)</f>
        <v>0</v>
      </c>
    </row>
    <row r="582">
      <c r="A582" s="49" t="str">
        <f>IFERROR(__xludf.DUMMYFUNCTION("""COMPUTED_VALUE"""),"Shuriken (Enhanced)")</f>
        <v>Shuriken (Enhanced)</v>
      </c>
      <c r="B582" s="49" t="str">
        <f>IFERROR(__xludf.DUMMYFUNCTION("""COMPUTED_VALUE"""),"Hand")</f>
        <v>Hand</v>
      </c>
      <c r="C582" s="49" t="str">
        <f>IFERROR(__xludf.DUMMYFUNCTION("""COMPUTED_VALUE"""),"the tantamount Ninja weapon, requires a level of dexterity you probably don't possess")</f>
        <v>the tantamount Ninja weapon, requires a level of dexterity you probably don't possess</v>
      </c>
      <c r="D582" s="49" t="str">
        <f>IFERROR(__xludf.DUMMYFUNCTION("""COMPUTED_VALUE"""),"Boomerang")</f>
        <v>Boomerang</v>
      </c>
      <c r="E582" s="49">
        <f>IFERROR(__xludf.DUMMYFUNCTION("""COMPUTED_VALUE"""),1500.0)</f>
        <v>1500</v>
      </c>
      <c r="F582" s="112">
        <f>IFERROR(__xludf.DUMMYFUNCTION("""COMPUTED_VALUE"""),1.1175E8)</f>
        <v>111750000</v>
      </c>
      <c r="G582" s="49" t="str">
        <f>IFERROR(__xludf.DUMMYFUNCTION("""COMPUTED_VALUE"""),"DMG")</f>
        <v>DMG</v>
      </c>
      <c r="H582" s="125">
        <f>IFERROR(__xludf.DUMMYFUNCTION("""COMPUTED_VALUE"""),50000.0)</f>
        <v>50000</v>
      </c>
      <c r="I582" s="49"/>
      <c r="J582" s="49"/>
      <c r="K582" s="49"/>
      <c r="L582" s="49"/>
      <c r="M582" s="49"/>
      <c r="N582" s="49"/>
      <c r="O582" s="49"/>
      <c r="P582" s="49"/>
      <c r="Q582" s="49"/>
      <c r="R582" s="49"/>
      <c r="S582" s="49"/>
      <c r="T582" s="49"/>
      <c r="U582" s="49"/>
      <c r="V582" s="49"/>
      <c r="W582" s="49"/>
      <c r="X582" s="49"/>
      <c r="Y582" s="49">
        <f>IFERROR(__xludf.DUMMYFUNCTION("""COMPUTED_VALUE"""),25000.0)</f>
        <v>25000</v>
      </c>
      <c r="Z582" s="49"/>
      <c r="AA582" s="49"/>
      <c r="AB582" s="49"/>
      <c r="AC582" s="49"/>
      <c r="AD582" s="49"/>
      <c r="AE582" s="49"/>
      <c r="AF582" s="49" t="str">
        <f>IFERROR(__xludf.DUMMYFUNCTION("""COMPUTED_VALUE"""),"++Returns when thrown, can throw up to 4 in one attack (roll 1d4 to determine)")</f>
        <v>++Returns when thrown, can throw up to 4 in one attack (roll 1d4 to determine)</v>
      </c>
      <c r="AG582" s="49" t="str">
        <f>IFERROR(__xludf.DUMMYFUNCTION("""COMPUTED_VALUE"""),"Dragonscale Island")</f>
        <v>Dragonscale Island</v>
      </c>
      <c r="AH582" s="49" t="b">
        <f>IFERROR(__xludf.DUMMYFUNCTION("""COMPUTED_VALUE"""),FALSE)</f>
        <v>0</v>
      </c>
    </row>
    <row r="583">
      <c r="A583" s="49" t="str">
        <f>IFERROR(__xludf.DUMMYFUNCTION("""COMPUTED_VALUE"""),"Poison Dart Gun")</f>
        <v>Poison Dart Gun</v>
      </c>
      <c r="B583" s="49" t="str">
        <f>IFERROR(__xludf.DUMMYFUNCTION("""COMPUTED_VALUE"""),"Hand")</f>
        <v>Hand</v>
      </c>
      <c r="C583" s="49"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49" t="str">
        <f>IFERROR(__xludf.DUMMYFUNCTION("""COMPUTED_VALUE"""),"Firearm")</f>
        <v>Firearm</v>
      </c>
      <c r="E583" s="49">
        <f>IFERROR(__xludf.DUMMYFUNCTION("""COMPUTED_VALUE"""),2000.0)</f>
        <v>2000</v>
      </c>
      <c r="F583" s="112">
        <f>IFERROR(__xludf.DUMMYFUNCTION("""COMPUTED_VALUE"""),1.99E8)</f>
        <v>199000000</v>
      </c>
      <c r="G583" s="49" t="str">
        <f>IFERROR(__xludf.DUMMYFUNCTION("""COMPUTED_VALUE"""),"DMG")</f>
        <v>DMG</v>
      </c>
      <c r="H583" s="125">
        <f>IFERROR(__xludf.DUMMYFUNCTION("""COMPUTED_VALUE"""),75000.0)</f>
        <v>75000</v>
      </c>
      <c r="I583" s="49"/>
      <c r="J583" s="49"/>
      <c r="K583" s="49"/>
      <c r="L583" s="49"/>
      <c r="M583" s="49"/>
      <c r="N583" s="49"/>
      <c r="O583" s="49"/>
      <c r="P583" s="49"/>
      <c r="Q583" s="49"/>
      <c r="R583" s="49"/>
      <c r="S583" s="49"/>
      <c r="T583" s="49"/>
      <c r="U583" s="49"/>
      <c r="V583" s="49"/>
      <c r="W583" s="49"/>
      <c r="X583" s="125">
        <f>IFERROR(__xludf.DUMMYFUNCTION("""COMPUTED_VALUE"""),25000.0)</f>
        <v>25000</v>
      </c>
      <c r="Y583" s="49"/>
      <c r="Z583" s="49"/>
      <c r="AA583" s="49"/>
      <c r="AB583" s="49"/>
      <c r="AC583" s="49"/>
      <c r="AD583" s="49"/>
      <c r="AE583" s="49"/>
      <c r="AF583" s="49" t="str">
        <f>IFERROR(__xludf.DUMMYFUNCTION("""COMPUTED_VALUE"""),"++Inflicts Poison 2500 for 2 rounds. ++Uses darts as ammo")</f>
        <v>++Inflicts Poison 2500 for 2 rounds. ++Uses darts as ammo</v>
      </c>
      <c r="AG583" s="49" t="str">
        <f>IFERROR(__xludf.DUMMYFUNCTION("""COMPUTED_VALUE"""),"Dragonscale Island")</f>
        <v>Dragonscale Island</v>
      </c>
      <c r="AH583" s="49" t="b">
        <f>IFERROR(__xludf.DUMMYFUNCTION("""COMPUTED_VALUE"""),FALSE)</f>
        <v>0</v>
      </c>
    </row>
    <row r="584">
      <c r="A584" s="49" t="str">
        <f>IFERROR(__xludf.DUMMYFUNCTION("""COMPUTED_VALUE"""),"Poison Tipped Needle")</f>
        <v>Poison Tipped Needle</v>
      </c>
      <c r="B584" s="49" t="str">
        <f>IFERROR(__xludf.DUMMYFUNCTION("""COMPUTED_VALUE"""),"Hand")</f>
        <v>Hand</v>
      </c>
      <c r="C584" s="49" t="str">
        <f>IFERROR(__xludf.DUMMYFUNCTION("""COMPUTED_VALUE"""),"A needle dipped in master Wushang's thousand poisons or some other Wuxia novel esque bullshit")</f>
        <v>A needle dipped in master Wushang's thousand poisons or some other Wuxia novel esque bullshit</v>
      </c>
      <c r="D584" s="49" t="str">
        <f>IFERROR(__xludf.DUMMYFUNCTION("""COMPUTED_VALUE"""),"Knife")</f>
        <v>Knife</v>
      </c>
      <c r="E584" s="49">
        <f>IFERROR(__xludf.DUMMYFUNCTION("""COMPUTED_VALUE"""),2000.0)</f>
        <v>2000</v>
      </c>
      <c r="F584" s="112">
        <f>IFERROR(__xludf.DUMMYFUNCTION("""COMPUTED_VALUE"""),1.99E8)</f>
        <v>199000000</v>
      </c>
      <c r="G584" s="49" t="str">
        <f>IFERROR(__xludf.DUMMYFUNCTION("""COMPUTED_VALUE"""),"DMG")</f>
        <v>DMG</v>
      </c>
      <c r="H584" s="125">
        <f>IFERROR(__xludf.DUMMYFUNCTION("""COMPUTED_VALUE"""),75000.0)</f>
        <v>75000</v>
      </c>
      <c r="I584" s="49"/>
      <c r="J584" s="49"/>
      <c r="K584" s="49"/>
      <c r="L584" s="49"/>
      <c r="M584" s="49"/>
      <c r="N584" s="49"/>
      <c r="O584" s="49"/>
      <c r="P584" s="49"/>
      <c r="Q584" s="49"/>
      <c r="R584" s="49"/>
      <c r="S584" s="49"/>
      <c r="T584" s="49"/>
      <c r="U584" s="49"/>
      <c r="V584" s="49"/>
      <c r="W584" s="49"/>
      <c r="X584" s="125">
        <f>IFERROR(__xludf.DUMMYFUNCTION("""COMPUTED_VALUE"""),25000.0)</f>
        <v>25000</v>
      </c>
      <c r="Y584" s="49"/>
      <c r="Z584" s="49"/>
      <c r="AA584" s="49"/>
      <c r="AB584" s="49"/>
      <c r="AC584" s="49"/>
      <c r="AD584" s="49"/>
      <c r="AE584" s="49"/>
      <c r="AF584" s="49" t="str">
        <f>IFERROR(__xludf.DUMMYFUNCTION("""COMPUTED_VALUE"""),"++When rolling a Natural 19 or 20 deals X3 Damage. ++Inflicts Poison 100")</f>
        <v>++When rolling a Natural 19 or 20 deals X3 Damage. ++Inflicts Poison 100</v>
      </c>
      <c r="AG584" s="49" t="str">
        <f>IFERROR(__xludf.DUMMYFUNCTION("""COMPUTED_VALUE"""),"Dragonscale Island")</f>
        <v>Dragonscale Island</v>
      </c>
      <c r="AH584" s="49" t="b">
        <f>IFERROR(__xludf.DUMMYFUNCTION("""COMPUTED_VALUE"""),FALSE)</f>
        <v>0</v>
      </c>
    </row>
    <row r="585">
      <c r="A585" s="49" t="str">
        <f>IFERROR(__xludf.DUMMYFUNCTION("""COMPUTED_VALUE"""),"Katana (Enhanced)")</f>
        <v>Katana (Enhanced)</v>
      </c>
      <c r="B585" s="49" t="str">
        <f>IFERROR(__xludf.DUMMYFUNCTION("""COMPUTED_VALUE"""),"Hand")</f>
        <v>Hand</v>
      </c>
      <c r="C585" s="49" t="str">
        <f>IFERROR(__xludf.DUMMYFUNCTION("""COMPUTED_VALUE"""),"The sword of weebs and actual samurai alike, surprisingly yes, weebs do exist in Spira")</f>
        <v>The sword of weebs and actual samurai alike, surprisingly yes, weebs do exist in Spira</v>
      </c>
      <c r="D585" s="49" t="str">
        <f>IFERROR(__xludf.DUMMYFUNCTION("""COMPUTED_VALUE"""),"Sword")</f>
        <v>Sword</v>
      </c>
      <c r="E585" s="49">
        <f>IFERROR(__xludf.DUMMYFUNCTION("""COMPUTED_VALUE"""),2500.0)</f>
        <v>2500</v>
      </c>
      <c r="F585" s="112">
        <f>IFERROR(__xludf.DUMMYFUNCTION("""COMPUTED_VALUE"""),3.1125E8)</f>
        <v>311250000</v>
      </c>
      <c r="G585" s="49" t="str">
        <f>IFERROR(__xludf.DUMMYFUNCTION("""COMPUTED_VALUE"""),"DMG")</f>
        <v>DMG</v>
      </c>
      <c r="H585" s="125">
        <f>IFERROR(__xludf.DUMMYFUNCTION("""COMPUTED_VALUE"""),125000.0)</f>
        <v>125000</v>
      </c>
      <c r="I585" s="49"/>
      <c r="J585" s="49"/>
      <c r="K585" s="49"/>
      <c r="L585" s="49"/>
      <c r="M585" s="49"/>
      <c r="N585" s="49"/>
      <c r="O585" s="49"/>
      <c r="P585" s="49"/>
      <c r="Q585" s="49"/>
      <c r="R585" s="49"/>
      <c r="S585" s="49"/>
      <c r="T585" s="49"/>
      <c r="U585" s="49"/>
      <c r="V585" s="49"/>
      <c r="W585" s="49"/>
      <c r="X585" s="49"/>
      <c r="Y585" s="49"/>
      <c r="Z585" s="49"/>
      <c r="AA585" s="49"/>
      <c r="AB585" s="49"/>
      <c r="AC585" s="49"/>
      <c r="AD585" s="49"/>
      <c r="AE585" s="49"/>
      <c r="AF585" s="49" t="str">
        <f>IFERROR(__xludf.DUMMYFUNCTION("""COMPUTED_VALUE"""),"++Triples the chance for the sword ability to activate, +-Cannot be Forged")</f>
        <v>++Triples the chance for the sword ability to activate, +-Cannot be Forged</v>
      </c>
      <c r="AG585" s="49" t="str">
        <f>IFERROR(__xludf.DUMMYFUNCTION("""COMPUTED_VALUE"""),"Dragonscale Island")</f>
        <v>Dragonscale Island</v>
      </c>
      <c r="AH585" s="49" t="b">
        <f>IFERROR(__xludf.DUMMYFUNCTION("""COMPUTED_VALUE"""),FALSE)</f>
        <v>0</v>
      </c>
    </row>
    <row r="586">
      <c r="A586" s="49" t="str">
        <f>IFERROR(__xludf.DUMMYFUNCTION("""COMPUTED_VALUE"""),"Ninja Initiate's Cowl")</f>
        <v>Ninja Initiate's Cowl</v>
      </c>
      <c r="B586" s="49" t="str">
        <f>IFERROR(__xludf.DUMMYFUNCTION("""COMPUTED_VALUE"""),"Head")</f>
        <v>Head</v>
      </c>
      <c r="C586" s="49" t="str">
        <f>IFERROR(__xludf.DUMMYFUNCTION("""COMPUTED_VALUE"""),"Armor given to newbie Ninja's who have yet to choose a master")</f>
        <v>Armor given to newbie Ninja's who have yet to choose a master</v>
      </c>
      <c r="D586" s="49"/>
      <c r="E586" s="49">
        <f>IFERROR(__xludf.DUMMYFUNCTION("""COMPUTED_VALUE"""),2500.0)</f>
        <v>2500</v>
      </c>
      <c r="F586" s="112">
        <f>IFERROR(__xludf.DUMMYFUNCTION("""COMPUTED_VALUE"""),3.1125E8)</f>
        <v>311250000</v>
      </c>
      <c r="G586" s="49" t="str">
        <f>IFERROR(__xludf.DUMMYFUNCTION("""COMPUTED_VALUE"""),"DEF")</f>
        <v>DEF</v>
      </c>
      <c r="H586" s="125">
        <f>IFERROR(__xludf.DUMMYFUNCTION("""COMPUTED_VALUE"""),125000.0)</f>
        <v>125000</v>
      </c>
      <c r="I586" s="49"/>
      <c r="J586" s="49"/>
      <c r="K586" s="49"/>
      <c r="L586" s="49"/>
      <c r="M586" s="49"/>
      <c r="N586" s="49"/>
      <c r="O586" s="49"/>
      <c r="P586" s="49"/>
      <c r="Q586" s="49"/>
      <c r="R586" s="49"/>
      <c r="S586" s="49"/>
      <c r="T586" s="49"/>
      <c r="U586" s="49"/>
      <c r="V586" s="49"/>
      <c r="W586" s="49"/>
      <c r="X586" s="49"/>
      <c r="Y586" s="49"/>
      <c r="Z586" s="49"/>
      <c r="AA586" s="49"/>
      <c r="AB586" s="49"/>
      <c r="AC586" s="49"/>
      <c r="AD586" s="49"/>
      <c r="AE586" s="49"/>
      <c r="AF586" s="49" t="str">
        <f>IFERROR(__xludf.DUMMYFUNCTION("""COMPUTED_VALUE"""),"++X2 damage with Knives")</f>
        <v>++X2 damage with Knives</v>
      </c>
      <c r="AG586" s="49" t="str">
        <f>IFERROR(__xludf.DUMMYFUNCTION("""COMPUTED_VALUE"""),"Dragonscale Island")</f>
        <v>Dragonscale Island</v>
      </c>
      <c r="AH586" s="49" t="b">
        <f>IFERROR(__xludf.DUMMYFUNCTION("""COMPUTED_VALUE"""),FALSE)</f>
        <v>0</v>
      </c>
    </row>
    <row r="587">
      <c r="A587" s="49" t="str">
        <f>IFERROR(__xludf.DUMMYFUNCTION("""COMPUTED_VALUE"""),"Ninja Initiate's Cape")</f>
        <v>Ninja Initiate's Cape</v>
      </c>
      <c r="B587" s="49" t="str">
        <f>IFERROR(__xludf.DUMMYFUNCTION("""COMPUTED_VALUE"""),"Shoulders")</f>
        <v>Shoulders</v>
      </c>
      <c r="C587" s="49" t="str">
        <f>IFERROR(__xludf.DUMMYFUNCTION("""COMPUTED_VALUE"""),"Armor given to newbie Ninja's who have yet to choose a master")</f>
        <v>Armor given to newbie Ninja's who have yet to choose a master</v>
      </c>
      <c r="D587" s="49"/>
      <c r="E587" s="49">
        <f>IFERROR(__xludf.DUMMYFUNCTION("""COMPUTED_VALUE"""),2500.0)</f>
        <v>2500</v>
      </c>
      <c r="F587" s="112">
        <f>IFERROR(__xludf.DUMMYFUNCTION("""COMPUTED_VALUE"""),3.1125E8)</f>
        <v>311250000</v>
      </c>
      <c r="G587" s="49" t="str">
        <f>IFERROR(__xludf.DUMMYFUNCTION("""COMPUTED_VALUE"""),"DEF")</f>
        <v>DEF</v>
      </c>
      <c r="H587" s="125">
        <f>IFERROR(__xludf.DUMMYFUNCTION("""COMPUTED_VALUE"""),125000.0)</f>
        <v>125000</v>
      </c>
      <c r="I587" s="49"/>
      <c r="J587" s="49"/>
      <c r="K587" s="49"/>
      <c r="L587" s="49"/>
      <c r="M587" s="49"/>
      <c r="N587" s="49"/>
      <c r="O587" s="49"/>
      <c r="P587" s="49"/>
      <c r="Q587" s="49"/>
      <c r="R587" s="49"/>
      <c r="S587" s="49"/>
      <c r="T587" s="49"/>
      <c r="U587" s="49"/>
      <c r="V587" s="49"/>
      <c r="W587" s="49"/>
      <c r="X587" s="49"/>
      <c r="Y587" s="49"/>
      <c r="Z587" s="49"/>
      <c r="AA587" s="49"/>
      <c r="AB587" s="49"/>
      <c r="AC587" s="49"/>
      <c r="AD587" s="49"/>
      <c r="AE587" s="49"/>
      <c r="AF587" s="49" t="str">
        <f>IFERROR(__xludf.DUMMYFUNCTION("""COMPUTED_VALUE"""),"++X2 damage with Knives")</f>
        <v>++X2 damage with Knives</v>
      </c>
      <c r="AG587" s="49" t="str">
        <f>IFERROR(__xludf.DUMMYFUNCTION("""COMPUTED_VALUE"""),"Dragonscale Island")</f>
        <v>Dragonscale Island</v>
      </c>
      <c r="AH587" s="49" t="b">
        <f>IFERROR(__xludf.DUMMYFUNCTION("""COMPUTED_VALUE"""),FALSE)</f>
        <v>0</v>
      </c>
    </row>
    <row r="588">
      <c r="A588" s="49" t="str">
        <f>IFERROR(__xludf.DUMMYFUNCTION("""COMPUTED_VALUE"""),"Ninja Initiate's Vest")</f>
        <v>Ninja Initiate's Vest</v>
      </c>
      <c r="B588" s="49" t="str">
        <f>IFERROR(__xludf.DUMMYFUNCTION("""COMPUTED_VALUE"""),"Torso")</f>
        <v>Torso</v>
      </c>
      <c r="C588" s="49" t="str">
        <f>IFERROR(__xludf.DUMMYFUNCTION("""COMPUTED_VALUE"""),"Armor given to newbie Ninja's who have yet to choose a master")</f>
        <v>Armor given to newbie Ninja's who have yet to choose a master</v>
      </c>
      <c r="D588" s="49"/>
      <c r="E588" s="49">
        <f>IFERROR(__xludf.DUMMYFUNCTION("""COMPUTED_VALUE"""),2500.0)</f>
        <v>2500</v>
      </c>
      <c r="F588" s="112">
        <f>IFERROR(__xludf.DUMMYFUNCTION("""COMPUTED_VALUE"""),3.1125E8)</f>
        <v>311250000</v>
      </c>
      <c r="G588" s="49" t="str">
        <f>IFERROR(__xludf.DUMMYFUNCTION("""COMPUTED_VALUE"""),"DEF")</f>
        <v>DEF</v>
      </c>
      <c r="H588" s="125">
        <f>IFERROR(__xludf.DUMMYFUNCTION("""COMPUTED_VALUE"""),125000.0)</f>
        <v>125000</v>
      </c>
      <c r="I588" s="49"/>
      <c r="J588" s="49"/>
      <c r="K588" s="49"/>
      <c r="L588" s="49"/>
      <c r="M588" s="49"/>
      <c r="N588" s="49"/>
      <c r="O588" s="49"/>
      <c r="P588" s="49"/>
      <c r="Q588" s="49"/>
      <c r="R588" s="49"/>
      <c r="S588" s="49"/>
      <c r="T588" s="49"/>
      <c r="U588" s="49"/>
      <c r="V588" s="49"/>
      <c r="W588" s="49"/>
      <c r="X588" s="49"/>
      <c r="Y588" s="49"/>
      <c r="Z588" s="49"/>
      <c r="AA588" s="49"/>
      <c r="AB588" s="49"/>
      <c r="AC588" s="49"/>
      <c r="AD588" s="49"/>
      <c r="AE588" s="49"/>
      <c r="AF588" s="49" t="str">
        <f>IFERROR(__xludf.DUMMYFUNCTION("""COMPUTED_VALUE"""),"++X2 damage with Knives")</f>
        <v>++X2 damage with Knives</v>
      </c>
      <c r="AG588" s="49" t="str">
        <f>IFERROR(__xludf.DUMMYFUNCTION("""COMPUTED_VALUE"""),"Dragonscale Island")</f>
        <v>Dragonscale Island</v>
      </c>
      <c r="AH588" s="49" t="b">
        <f>IFERROR(__xludf.DUMMYFUNCTION("""COMPUTED_VALUE"""),FALSE)</f>
        <v>0</v>
      </c>
    </row>
    <row r="589">
      <c r="A589" s="49" t="str">
        <f>IFERROR(__xludf.DUMMYFUNCTION("""COMPUTED_VALUE"""),"Ninja Initiate's Gloves")</f>
        <v>Ninja Initiate's Gloves</v>
      </c>
      <c r="B589" s="49" t="str">
        <f>IFERROR(__xludf.DUMMYFUNCTION("""COMPUTED_VALUE"""),"Arms")</f>
        <v>Arms</v>
      </c>
      <c r="C589" s="49" t="str">
        <f>IFERROR(__xludf.DUMMYFUNCTION("""COMPUTED_VALUE"""),"Armor given to newbie Ninja's who have yet to choose a master")</f>
        <v>Armor given to newbie Ninja's who have yet to choose a master</v>
      </c>
      <c r="D589" s="49"/>
      <c r="E589" s="49">
        <f>IFERROR(__xludf.DUMMYFUNCTION("""COMPUTED_VALUE"""),2500.0)</f>
        <v>2500</v>
      </c>
      <c r="F589" s="112">
        <f>IFERROR(__xludf.DUMMYFUNCTION("""COMPUTED_VALUE"""),3.1125E8)</f>
        <v>311250000</v>
      </c>
      <c r="G589" s="49" t="str">
        <f>IFERROR(__xludf.DUMMYFUNCTION("""COMPUTED_VALUE"""),"DEF")</f>
        <v>DEF</v>
      </c>
      <c r="H589" s="125">
        <f>IFERROR(__xludf.DUMMYFUNCTION("""COMPUTED_VALUE"""),125000.0)</f>
        <v>125000</v>
      </c>
      <c r="I589" s="49"/>
      <c r="J589" s="49"/>
      <c r="K589" s="49"/>
      <c r="L589" s="49"/>
      <c r="M589" s="49"/>
      <c r="N589" s="49"/>
      <c r="O589" s="49"/>
      <c r="P589" s="49"/>
      <c r="Q589" s="49"/>
      <c r="R589" s="49"/>
      <c r="S589" s="49"/>
      <c r="T589" s="49"/>
      <c r="U589" s="49"/>
      <c r="V589" s="49"/>
      <c r="W589" s="49"/>
      <c r="X589" s="49"/>
      <c r="Y589" s="49"/>
      <c r="Z589" s="49"/>
      <c r="AA589" s="49"/>
      <c r="AB589" s="49"/>
      <c r="AC589" s="49"/>
      <c r="AD589" s="49"/>
      <c r="AE589" s="49"/>
      <c r="AF589" s="49" t="str">
        <f>IFERROR(__xludf.DUMMYFUNCTION("""COMPUTED_VALUE"""),"++X2 damage with Knives")</f>
        <v>++X2 damage with Knives</v>
      </c>
      <c r="AG589" s="49" t="str">
        <f>IFERROR(__xludf.DUMMYFUNCTION("""COMPUTED_VALUE"""),"Dragonscale Island")</f>
        <v>Dragonscale Island</v>
      </c>
      <c r="AH589" s="49" t="b">
        <f>IFERROR(__xludf.DUMMYFUNCTION("""COMPUTED_VALUE"""),FALSE)</f>
        <v>0</v>
      </c>
    </row>
    <row r="590">
      <c r="A590" s="49" t="str">
        <f>IFERROR(__xludf.DUMMYFUNCTION("""COMPUTED_VALUE"""),"Ninja Initiate's Sarouel")</f>
        <v>Ninja Initiate's Sarouel</v>
      </c>
      <c r="B590" s="49" t="str">
        <f>IFERROR(__xludf.DUMMYFUNCTION("""COMPUTED_VALUE"""),"Legs")</f>
        <v>Legs</v>
      </c>
      <c r="C590" s="49" t="str">
        <f>IFERROR(__xludf.DUMMYFUNCTION("""COMPUTED_VALUE"""),"Armor given to newbie Ninja's who have yet to choose a master")</f>
        <v>Armor given to newbie Ninja's who have yet to choose a master</v>
      </c>
      <c r="D590" s="49"/>
      <c r="E590" s="49">
        <f>IFERROR(__xludf.DUMMYFUNCTION("""COMPUTED_VALUE"""),2500.0)</f>
        <v>2500</v>
      </c>
      <c r="F590" s="112">
        <f>IFERROR(__xludf.DUMMYFUNCTION("""COMPUTED_VALUE"""),3.1125E8)</f>
        <v>311250000</v>
      </c>
      <c r="G590" s="49" t="str">
        <f>IFERROR(__xludf.DUMMYFUNCTION("""COMPUTED_VALUE"""),"DEF")</f>
        <v>DEF</v>
      </c>
      <c r="H590" s="125">
        <f>IFERROR(__xludf.DUMMYFUNCTION("""COMPUTED_VALUE"""),125000.0)</f>
        <v>125000</v>
      </c>
      <c r="I590" s="49"/>
      <c r="J590" s="49"/>
      <c r="K590" s="49"/>
      <c r="L590" s="49"/>
      <c r="M590" s="49"/>
      <c r="N590" s="49"/>
      <c r="O590" s="49"/>
      <c r="P590" s="49"/>
      <c r="Q590" s="49"/>
      <c r="R590" s="49"/>
      <c r="S590" s="49"/>
      <c r="T590" s="49"/>
      <c r="U590" s="49"/>
      <c r="V590" s="49"/>
      <c r="W590" s="49"/>
      <c r="X590" s="49"/>
      <c r="Y590" s="49"/>
      <c r="Z590" s="49"/>
      <c r="AA590" s="49"/>
      <c r="AB590" s="49"/>
      <c r="AC590" s="49"/>
      <c r="AD590" s="49"/>
      <c r="AE590" s="49"/>
      <c r="AF590" s="49" t="str">
        <f>IFERROR(__xludf.DUMMYFUNCTION("""COMPUTED_VALUE"""),"++X2 damage with Knives")</f>
        <v>++X2 damage with Knives</v>
      </c>
      <c r="AG590" s="49" t="str">
        <f>IFERROR(__xludf.DUMMYFUNCTION("""COMPUTED_VALUE"""),"Dragonscale Island")</f>
        <v>Dragonscale Island</v>
      </c>
      <c r="AH590" s="49" t="b">
        <f>IFERROR(__xludf.DUMMYFUNCTION("""COMPUTED_VALUE"""),FALSE)</f>
        <v>0</v>
      </c>
    </row>
    <row r="591">
      <c r="A591" s="49" t="str">
        <f>IFERROR(__xludf.DUMMYFUNCTION("""COMPUTED_VALUE"""),"Ninja Initiate's Sandals")</f>
        <v>Ninja Initiate's Sandals</v>
      </c>
      <c r="B591" s="49" t="str">
        <f>IFERROR(__xludf.DUMMYFUNCTION("""COMPUTED_VALUE"""),"Feet")</f>
        <v>Feet</v>
      </c>
      <c r="C591" s="49" t="str">
        <f>IFERROR(__xludf.DUMMYFUNCTION("""COMPUTED_VALUE"""),"Armor given to newbie Ninja's who have yet to choose a master")</f>
        <v>Armor given to newbie Ninja's who have yet to choose a master</v>
      </c>
      <c r="D591" s="49"/>
      <c r="E591" s="49">
        <f>IFERROR(__xludf.DUMMYFUNCTION("""COMPUTED_VALUE"""),2500.0)</f>
        <v>2500</v>
      </c>
      <c r="F591" s="112">
        <f>IFERROR(__xludf.DUMMYFUNCTION("""COMPUTED_VALUE"""),3.1125E8)</f>
        <v>311250000</v>
      </c>
      <c r="G591" s="49" t="str">
        <f>IFERROR(__xludf.DUMMYFUNCTION("""COMPUTED_VALUE"""),"DEF")</f>
        <v>DEF</v>
      </c>
      <c r="H591" s="125">
        <f>IFERROR(__xludf.DUMMYFUNCTION("""COMPUTED_VALUE"""),125000.0)</f>
        <v>125000</v>
      </c>
      <c r="I591" s="49"/>
      <c r="J591" s="49"/>
      <c r="K591" s="49"/>
      <c r="L591" s="49"/>
      <c r="M591" s="49"/>
      <c r="N591" s="49"/>
      <c r="O591" s="49"/>
      <c r="P591" s="49"/>
      <c r="Q591" s="49"/>
      <c r="R591" s="49"/>
      <c r="S591" s="49"/>
      <c r="T591" s="49"/>
      <c r="U591" s="49"/>
      <c r="V591" s="49"/>
      <c r="W591" s="49"/>
      <c r="X591" s="49"/>
      <c r="Y591" s="49"/>
      <c r="Z591" s="49"/>
      <c r="AA591" s="49"/>
      <c r="AB591" s="49"/>
      <c r="AC591" s="49"/>
      <c r="AD591" s="49"/>
      <c r="AE591" s="49"/>
      <c r="AF591" s="49" t="str">
        <f>IFERROR(__xludf.DUMMYFUNCTION("""COMPUTED_VALUE"""),"++X2 damage with Knives")</f>
        <v>++X2 damage with Knives</v>
      </c>
      <c r="AG591" s="49" t="str">
        <f>IFERROR(__xludf.DUMMYFUNCTION("""COMPUTED_VALUE"""),"Dragonscale Island")</f>
        <v>Dragonscale Island</v>
      </c>
      <c r="AH591" s="49" t="b">
        <f>IFERROR(__xludf.DUMMYFUNCTION("""COMPUTED_VALUE"""),FALSE)</f>
        <v>0</v>
      </c>
    </row>
    <row r="592">
      <c r="A592" s="49" t="str">
        <f>IFERROR(__xludf.DUMMYFUNCTION("""COMPUTED_VALUE"""),"Sai")</f>
        <v>Sai</v>
      </c>
      <c r="B592" s="49" t="str">
        <f>IFERROR(__xludf.DUMMYFUNCTION("""COMPUTED_VALUE"""),"Hand")</f>
        <v>Hand</v>
      </c>
      <c r="C592" s="49" t="str">
        <f>IFERROR(__xludf.DUMMYFUNCTION("""COMPUTED_VALUE"""),"A weapon designed for redirecting an enemies blade and then striking for their vitals")</f>
        <v>A weapon designed for redirecting an enemies blade and then striking for their vitals</v>
      </c>
      <c r="D592" s="49" t="str">
        <f>IFERROR(__xludf.DUMMYFUNCTION("""COMPUTED_VALUE"""),"Knife")</f>
        <v>Knife</v>
      </c>
      <c r="E592" s="49">
        <f>IFERROR(__xludf.DUMMYFUNCTION("""COMPUTED_VALUE"""),2500.0)</f>
        <v>2500</v>
      </c>
      <c r="F592" s="112">
        <f>IFERROR(__xludf.DUMMYFUNCTION("""COMPUTED_VALUE"""),3.1125E8)</f>
        <v>311250000</v>
      </c>
      <c r="G592" s="49" t="str">
        <f>IFERROR(__xludf.DUMMYFUNCTION("""COMPUTED_VALUE"""),"DEF")</f>
        <v>DEF</v>
      </c>
      <c r="H592" s="125">
        <f>IFERROR(__xludf.DUMMYFUNCTION("""COMPUTED_VALUE"""),125000.0)</f>
        <v>125000</v>
      </c>
      <c r="I592" s="49"/>
      <c r="J592" s="49"/>
      <c r="K592" s="49"/>
      <c r="L592" s="49"/>
      <c r="M592" s="49"/>
      <c r="N592" s="49"/>
      <c r="O592" s="49"/>
      <c r="P592" s="49"/>
      <c r="Q592" s="49"/>
      <c r="R592" s="49"/>
      <c r="S592" s="49"/>
      <c r="T592" s="49"/>
      <c r="U592" s="49"/>
      <c r="V592" s="49"/>
      <c r="W592" s="49"/>
      <c r="X592" s="49"/>
      <c r="Y592" s="49"/>
      <c r="Z592" s="49"/>
      <c r="AA592" s="49"/>
      <c r="AB592" s="49"/>
      <c r="AC592" s="49"/>
      <c r="AD592" s="49"/>
      <c r="AE592" s="49"/>
      <c r="AF592" s="49"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49" t="str">
        <f>IFERROR(__xludf.DUMMYFUNCTION("""COMPUTED_VALUE"""),"Dragonscale Island")</f>
        <v>Dragonscale Island</v>
      </c>
      <c r="AH592" s="49" t="b">
        <f>IFERROR(__xludf.DUMMYFUNCTION("""COMPUTED_VALUE"""),FALSE)</f>
        <v>0</v>
      </c>
    </row>
    <row r="593">
      <c r="A593" s="49" t="str">
        <f>IFERROR(__xludf.DUMMYFUNCTION("""COMPUTED_VALUE"""),"Poison Master's Mask")</f>
        <v>Poison Master's Mask</v>
      </c>
      <c r="B593" s="49" t="str">
        <f>IFERROR(__xludf.DUMMYFUNCTION("""COMPUTED_VALUE"""),"Head")</f>
        <v>Head</v>
      </c>
      <c r="C593" s="49"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49"/>
      <c r="E593" s="49">
        <f>IFERROR(__xludf.DUMMYFUNCTION("""COMPUTED_VALUE"""),2500.0)</f>
        <v>2500</v>
      </c>
      <c r="F593" s="112">
        <f>IFERROR(__xludf.DUMMYFUNCTION("""COMPUTED_VALUE"""),3.1125E8)</f>
        <v>311250000</v>
      </c>
      <c r="G593" s="49" t="str">
        <f>IFERROR(__xludf.DUMMYFUNCTION("""COMPUTED_VALUE"""),"DEF")</f>
        <v>DEF</v>
      </c>
      <c r="H593" s="125">
        <f>IFERROR(__xludf.DUMMYFUNCTION("""COMPUTED_VALUE"""),125000.0)</f>
        <v>125000</v>
      </c>
      <c r="I593" s="49"/>
      <c r="J593" s="49"/>
      <c r="K593" s="49"/>
      <c r="L593" s="49"/>
      <c r="M593" s="49"/>
      <c r="N593" s="49"/>
      <c r="O593" s="49"/>
      <c r="P593" s="49"/>
      <c r="Q593" s="49"/>
      <c r="R593" s="49"/>
      <c r="S593" s="49"/>
      <c r="T593" s="49"/>
      <c r="U593" s="49"/>
      <c r="V593" s="49"/>
      <c r="W593" s="49"/>
      <c r="X593" s="49"/>
      <c r="Y593" s="49"/>
      <c r="Z593" s="49"/>
      <c r="AA593" s="49"/>
      <c r="AB593" s="49"/>
      <c r="AC593" s="49"/>
      <c r="AD593" s="49"/>
      <c r="AE593" s="49"/>
      <c r="AF593" s="49" t="str">
        <f>IFERROR(__xludf.DUMMYFUNCTION("""COMPUTED_VALUE"""),"++X2 Poison damage")</f>
        <v>++X2 Poison damage</v>
      </c>
      <c r="AG593" s="49" t="str">
        <f>IFERROR(__xludf.DUMMYFUNCTION("""COMPUTED_VALUE"""),"Dragonscale Island")</f>
        <v>Dragonscale Island</v>
      </c>
      <c r="AH593" s="49" t="b">
        <f>IFERROR(__xludf.DUMMYFUNCTION("""COMPUTED_VALUE"""),FALSE)</f>
        <v>0</v>
      </c>
    </row>
    <row r="594">
      <c r="A594" s="49" t="str">
        <f>IFERROR(__xludf.DUMMYFUNCTION("""COMPUTED_VALUE"""),"Poison Master's Cape")</f>
        <v>Poison Master's Cape</v>
      </c>
      <c r="B594" s="49" t="str">
        <f>IFERROR(__xludf.DUMMYFUNCTION("""COMPUTED_VALUE"""),"Shoulders")</f>
        <v>Shoulders</v>
      </c>
      <c r="C594" s="49"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49"/>
      <c r="E594" s="49">
        <f>IFERROR(__xludf.DUMMYFUNCTION("""COMPUTED_VALUE"""),2500.0)</f>
        <v>2500</v>
      </c>
      <c r="F594" s="112">
        <f>IFERROR(__xludf.DUMMYFUNCTION("""COMPUTED_VALUE"""),3.1125E8)</f>
        <v>311250000</v>
      </c>
      <c r="G594" s="49" t="str">
        <f>IFERROR(__xludf.DUMMYFUNCTION("""COMPUTED_VALUE"""),"DEF")</f>
        <v>DEF</v>
      </c>
      <c r="H594" s="125">
        <f>IFERROR(__xludf.DUMMYFUNCTION("""COMPUTED_VALUE"""),125000.0)</f>
        <v>125000</v>
      </c>
      <c r="I594" s="49"/>
      <c r="J594" s="49"/>
      <c r="K594" s="49"/>
      <c r="L594" s="49"/>
      <c r="M594" s="49"/>
      <c r="N594" s="49"/>
      <c r="O594" s="49"/>
      <c r="P594" s="49"/>
      <c r="Q594" s="49"/>
      <c r="R594" s="49"/>
      <c r="S594" s="49"/>
      <c r="T594" s="49"/>
      <c r="U594" s="49"/>
      <c r="V594" s="49"/>
      <c r="W594" s="49"/>
      <c r="X594" s="49"/>
      <c r="Y594" s="49"/>
      <c r="Z594" s="49"/>
      <c r="AA594" s="49"/>
      <c r="AB594" s="49"/>
      <c r="AC594" s="49"/>
      <c r="AD594" s="49"/>
      <c r="AE594" s="49"/>
      <c r="AF594" s="49" t="str">
        <f>IFERROR(__xludf.DUMMYFUNCTION("""COMPUTED_VALUE"""),"++X2 Poison damage")</f>
        <v>++X2 Poison damage</v>
      </c>
      <c r="AG594" s="49" t="str">
        <f>IFERROR(__xludf.DUMMYFUNCTION("""COMPUTED_VALUE"""),"Dragonscale Island")</f>
        <v>Dragonscale Island</v>
      </c>
      <c r="AH594" s="49" t="b">
        <f>IFERROR(__xludf.DUMMYFUNCTION("""COMPUTED_VALUE"""),FALSE)</f>
        <v>0</v>
      </c>
    </row>
    <row r="595">
      <c r="A595" s="49" t="str">
        <f>IFERROR(__xludf.DUMMYFUNCTION("""COMPUTED_VALUE"""),"Poison Master's Robe")</f>
        <v>Poison Master's Robe</v>
      </c>
      <c r="B595" s="49" t="str">
        <f>IFERROR(__xludf.DUMMYFUNCTION("""COMPUTED_VALUE"""),"Torso")</f>
        <v>Torso</v>
      </c>
      <c r="C595" s="49"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49"/>
      <c r="E595" s="49">
        <f>IFERROR(__xludf.DUMMYFUNCTION("""COMPUTED_VALUE"""),2500.0)</f>
        <v>2500</v>
      </c>
      <c r="F595" s="112">
        <f>IFERROR(__xludf.DUMMYFUNCTION("""COMPUTED_VALUE"""),3.1125E8)</f>
        <v>311250000</v>
      </c>
      <c r="G595" s="49" t="str">
        <f>IFERROR(__xludf.DUMMYFUNCTION("""COMPUTED_VALUE"""),"DEF")</f>
        <v>DEF</v>
      </c>
      <c r="H595" s="125">
        <f>IFERROR(__xludf.DUMMYFUNCTION("""COMPUTED_VALUE"""),125000.0)</f>
        <v>125000</v>
      </c>
      <c r="I595" s="49"/>
      <c r="J595" s="49"/>
      <c r="K595" s="49"/>
      <c r="L595" s="49"/>
      <c r="M595" s="49"/>
      <c r="N595" s="49"/>
      <c r="O595" s="49"/>
      <c r="P595" s="49"/>
      <c r="Q595" s="49"/>
      <c r="R595" s="49"/>
      <c r="S595" s="49"/>
      <c r="T595" s="49"/>
      <c r="U595" s="49"/>
      <c r="V595" s="49"/>
      <c r="W595" s="49"/>
      <c r="X595" s="49"/>
      <c r="Y595" s="49"/>
      <c r="Z595" s="49"/>
      <c r="AA595" s="49"/>
      <c r="AB595" s="49"/>
      <c r="AC595" s="49"/>
      <c r="AD595" s="49"/>
      <c r="AE595" s="49"/>
      <c r="AF595" s="49"/>
      <c r="AG595" s="49" t="str">
        <f>IFERROR(__xludf.DUMMYFUNCTION("""COMPUTED_VALUE"""),"Dragonscale Island")</f>
        <v>Dragonscale Island</v>
      </c>
      <c r="AH595" s="49" t="b">
        <f>IFERROR(__xludf.DUMMYFUNCTION("""COMPUTED_VALUE"""),FALSE)</f>
        <v>0</v>
      </c>
    </row>
    <row r="596">
      <c r="A596" s="49" t="str">
        <f>IFERROR(__xludf.DUMMYFUNCTION("""COMPUTED_VALUE"""),"Poison Master's Heavy Duty Gloves")</f>
        <v>Poison Master's Heavy Duty Gloves</v>
      </c>
      <c r="B596" s="49" t="str">
        <f>IFERROR(__xludf.DUMMYFUNCTION("""COMPUTED_VALUE"""),"Arms")</f>
        <v>Arms</v>
      </c>
      <c r="C596" s="49"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49"/>
      <c r="E596" s="49">
        <f>IFERROR(__xludf.DUMMYFUNCTION("""COMPUTED_VALUE"""),2500.0)</f>
        <v>2500</v>
      </c>
      <c r="F596" s="112">
        <f>IFERROR(__xludf.DUMMYFUNCTION("""COMPUTED_VALUE"""),3.1125E8)</f>
        <v>311250000</v>
      </c>
      <c r="G596" s="49" t="str">
        <f>IFERROR(__xludf.DUMMYFUNCTION("""COMPUTED_VALUE"""),"DEF")</f>
        <v>DEF</v>
      </c>
      <c r="H596" s="125">
        <f>IFERROR(__xludf.DUMMYFUNCTION("""COMPUTED_VALUE"""),125000.0)</f>
        <v>125000</v>
      </c>
      <c r="I596" s="49"/>
      <c r="J596" s="49"/>
      <c r="K596" s="49"/>
      <c r="L596" s="49"/>
      <c r="M596" s="49"/>
      <c r="N596" s="49"/>
      <c r="O596" s="49"/>
      <c r="P596" s="49"/>
      <c r="Q596" s="49"/>
      <c r="R596" s="49"/>
      <c r="S596" s="49"/>
      <c r="T596" s="49"/>
      <c r="U596" s="49"/>
      <c r="V596" s="49"/>
      <c r="W596" s="49"/>
      <c r="X596" s="49"/>
      <c r="Y596" s="49"/>
      <c r="Z596" s="49"/>
      <c r="AA596" s="49"/>
      <c r="AB596" s="49"/>
      <c r="AC596" s="49"/>
      <c r="AD596" s="49"/>
      <c r="AE596" s="49"/>
      <c r="AF596" s="49" t="str">
        <f>IFERROR(__xludf.DUMMYFUNCTION("""COMPUTED_VALUE"""),"++Poison Immunity")</f>
        <v>++Poison Immunity</v>
      </c>
      <c r="AG596" s="49" t="str">
        <f>IFERROR(__xludf.DUMMYFUNCTION("""COMPUTED_VALUE"""),"Dragonscale Island")</f>
        <v>Dragonscale Island</v>
      </c>
      <c r="AH596" s="49" t="b">
        <f>IFERROR(__xludf.DUMMYFUNCTION("""COMPUTED_VALUE"""),FALSE)</f>
        <v>0</v>
      </c>
    </row>
    <row r="597">
      <c r="A597" s="49" t="str">
        <f>IFERROR(__xludf.DUMMYFUNCTION("""COMPUTED_VALUE"""),"Poison Master's Sarouel")</f>
        <v>Poison Master's Sarouel</v>
      </c>
      <c r="B597" s="49" t="str">
        <f>IFERROR(__xludf.DUMMYFUNCTION("""COMPUTED_VALUE"""),"Legs")</f>
        <v>Legs</v>
      </c>
      <c r="C597" s="49"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49"/>
      <c r="E597" s="49">
        <f>IFERROR(__xludf.DUMMYFUNCTION("""COMPUTED_VALUE"""),2500.0)</f>
        <v>2500</v>
      </c>
      <c r="F597" s="112">
        <f>IFERROR(__xludf.DUMMYFUNCTION("""COMPUTED_VALUE"""),3.1125E8)</f>
        <v>311250000</v>
      </c>
      <c r="G597" s="49" t="str">
        <f>IFERROR(__xludf.DUMMYFUNCTION("""COMPUTED_VALUE"""),"DEF")</f>
        <v>DEF</v>
      </c>
      <c r="H597" s="125">
        <f>IFERROR(__xludf.DUMMYFUNCTION("""COMPUTED_VALUE"""),125000.0)</f>
        <v>125000</v>
      </c>
      <c r="I597" s="49"/>
      <c r="J597" s="49"/>
      <c r="K597" s="49"/>
      <c r="L597" s="49"/>
      <c r="M597" s="49"/>
      <c r="N597" s="49"/>
      <c r="O597" s="49"/>
      <c r="P597" s="49"/>
      <c r="Q597" s="49"/>
      <c r="R597" s="49"/>
      <c r="S597" s="49"/>
      <c r="T597" s="49"/>
      <c r="U597" s="49"/>
      <c r="V597" s="49"/>
      <c r="W597" s="49"/>
      <c r="X597" s="49"/>
      <c r="Y597" s="49"/>
      <c r="Z597" s="49"/>
      <c r="AA597" s="49"/>
      <c r="AB597" s="49"/>
      <c r="AC597" s="49"/>
      <c r="AD597" s="49"/>
      <c r="AE597" s="49"/>
      <c r="AF597" s="49"/>
      <c r="AG597" s="49" t="str">
        <f>IFERROR(__xludf.DUMMYFUNCTION("""COMPUTED_VALUE"""),"Dragonscale Island")</f>
        <v>Dragonscale Island</v>
      </c>
      <c r="AH597" s="49" t="b">
        <f>IFERROR(__xludf.DUMMYFUNCTION("""COMPUTED_VALUE"""),FALSE)</f>
        <v>0</v>
      </c>
    </row>
    <row r="598">
      <c r="A598" s="49" t="str">
        <f>IFERROR(__xludf.DUMMYFUNCTION("""COMPUTED_VALUE"""),"Poison Master's Boots")</f>
        <v>Poison Master's Boots</v>
      </c>
      <c r="B598" s="49" t="str">
        <f>IFERROR(__xludf.DUMMYFUNCTION("""COMPUTED_VALUE"""),"Feet")</f>
        <v>Feet</v>
      </c>
      <c r="C598" s="49"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49"/>
      <c r="E598" s="49">
        <f>IFERROR(__xludf.DUMMYFUNCTION("""COMPUTED_VALUE"""),2500.0)</f>
        <v>2500</v>
      </c>
      <c r="F598" s="112">
        <f>IFERROR(__xludf.DUMMYFUNCTION("""COMPUTED_VALUE"""),3.1125E8)</f>
        <v>311250000</v>
      </c>
      <c r="G598" s="49" t="str">
        <f>IFERROR(__xludf.DUMMYFUNCTION("""COMPUTED_VALUE"""),"DEF")</f>
        <v>DEF</v>
      </c>
      <c r="H598" s="125">
        <f>IFERROR(__xludf.DUMMYFUNCTION("""COMPUTED_VALUE"""),125000.0)</f>
        <v>125000</v>
      </c>
      <c r="I598" s="49"/>
      <c r="J598" s="49"/>
      <c r="K598" s="49"/>
      <c r="L598" s="49"/>
      <c r="M598" s="49"/>
      <c r="N598" s="49"/>
      <c r="O598" s="49"/>
      <c r="P598" s="49"/>
      <c r="Q598" s="49"/>
      <c r="R598" s="49"/>
      <c r="S598" s="49"/>
      <c r="T598" s="49"/>
      <c r="U598" s="49"/>
      <c r="V598" s="49"/>
      <c r="W598" s="49"/>
      <c r="X598" s="49"/>
      <c r="Y598" s="49"/>
      <c r="Z598" s="49"/>
      <c r="AA598" s="49"/>
      <c r="AB598" s="49"/>
      <c r="AC598" s="49"/>
      <c r="AD598" s="49"/>
      <c r="AE598" s="49"/>
      <c r="AF598" s="49" t="str">
        <f>IFERROR(__xludf.DUMMYFUNCTION("""COMPUTED_VALUE"""),"++When an enemy is Poisoned gain Haste 3")</f>
        <v>++When an enemy is Poisoned gain Haste 3</v>
      </c>
      <c r="AG598" s="49" t="str">
        <f>IFERROR(__xludf.DUMMYFUNCTION("""COMPUTED_VALUE"""),"Dragonscale Island")</f>
        <v>Dragonscale Island</v>
      </c>
      <c r="AH598" s="49" t="b">
        <f>IFERROR(__xludf.DUMMYFUNCTION("""COMPUTED_VALUE"""),FALSE)</f>
        <v>0</v>
      </c>
    </row>
    <row r="599">
      <c r="A599" s="49" t="str">
        <f>IFERROR(__xludf.DUMMYFUNCTION("""COMPUTED_VALUE"""),"Ambusher's Cowl")</f>
        <v>Ambusher's Cowl</v>
      </c>
      <c r="B599" s="49" t="str">
        <f>IFERROR(__xludf.DUMMYFUNCTION("""COMPUTED_VALUE"""),"Head")</f>
        <v>Head</v>
      </c>
      <c r="C599" s="49" t="str">
        <f>IFERROR(__xludf.DUMMYFUNCTION("""COMPUTED_VALUE"""),"The armor of intermediate ninja's who have decided to pursue the art of the ambush to the extreme")</f>
        <v>The armor of intermediate ninja's who have decided to pursue the art of the ambush to the extreme</v>
      </c>
      <c r="D599" s="49"/>
      <c r="E599" s="49">
        <f>IFERROR(__xludf.DUMMYFUNCTION("""COMPUTED_VALUE"""),2500.0)</f>
        <v>2500</v>
      </c>
      <c r="F599" s="112">
        <f>IFERROR(__xludf.DUMMYFUNCTION("""COMPUTED_VALUE"""),3.1125E8)</f>
        <v>311250000</v>
      </c>
      <c r="G599" s="49" t="str">
        <f>IFERROR(__xludf.DUMMYFUNCTION("""COMPUTED_VALUE"""),"DEF")</f>
        <v>DEF</v>
      </c>
      <c r="H599" s="125">
        <f>IFERROR(__xludf.DUMMYFUNCTION("""COMPUTED_VALUE"""),125000.0)</f>
        <v>125000</v>
      </c>
      <c r="I599" s="49"/>
      <c r="J599" s="49"/>
      <c r="K599" s="49"/>
      <c r="L599" s="49"/>
      <c r="M599" s="49"/>
      <c r="N599" s="49"/>
      <c r="O599" s="49"/>
      <c r="P599" s="49"/>
      <c r="Q599" s="49"/>
      <c r="R599" s="49"/>
      <c r="S599" s="49"/>
      <c r="T599" s="49"/>
      <c r="U599" s="49"/>
      <c r="V599" s="49"/>
      <c r="W599" s="49"/>
      <c r="X599" s="49"/>
      <c r="Y599" s="49"/>
      <c r="Z599" s="49"/>
      <c r="AA599" s="49"/>
      <c r="AB599" s="49"/>
      <c r="AC599" s="49"/>
      <c r="AD599" s="49"/>
      <c r="AE599" s="49"/>
      <c r="AF599" s="49" t="str">
        <f>IFERROR(__xludf.DUMMYFUNCTION("""COMPUTED_VALUE"""),"++Conceal is Guaranteed to cast if the last action you took was a weapon attack")</f>
        <v>++Conceal is Guaranteed to cast if the last action you took was a weapon attack</v>
      </c>
      <c r="AG599" s="49" t="str">
        <f>IFERROR(__xludf.DUMMYFUNCTION("""COMPUTED_VALUE"""),"Dragonscale Island")</f>
        <v>Dragonscale Island</v>
      </c>
      <c r="AH599" s="49" t="b">
        <f>IFERROR(__xludf.DUMMYFUNCTION("""COMPUTED_VALUE"""),FALSE)</f>
        <v>0</v>
      </c>
    </row>
    <row r="600">
      <c r="A600" s="49" t="str">
        <f>IFERROR(__xludf.DUMMYFUNCTION("""COMPUTED_VALUE"""),"Ambusher's Cape")</f>
        <v>Ambusher's Cape</v>
      </c>
      <c r="B600" s="49" t="str">
        <f>IFERROR(__xludf.DUMMYFUNCTION("""COMPUTED_VALUE"""),"Shoulders")</f>
        <v>Shoulders</v>
      </c>
      <c r="C600" s="49" t="str">
        <f>IFERROR(__xludf.DUMMYFUNCTION("""COMPUTED_VALUE"""),"The armor of intermediate ninja's who have decided to pursue the art of the ambush to the extreme")</f>
        <v>The armor of intermediate ninja's who have decided to pursue the art of the ambush to the extreme</v>
      </c>
      <c r="D600" s="49"/>
      <c r="E600" s="49">
        <f>IFERROR(__xludf.DUMMYFUNCTION("""COMPUTED_VALUE"""),2500.0)</f>
        <v>2500</v>
      </c>
      <c r="F600" s="112">
        <f>IFERROR(__xludf.DUMMYFUNCTION("""COMPUTED_VALUE"""),3.1125E8)</f>
        <v>311250000</v>
      </c>
      <c r="G600" s="49" t="str">
        <f>IFERROR(__xludf.DUMMYFUNCTION("""COMPUTED_VALUE"""),"DEF")</f>
        <v>DEF</v>
      </c>
      <c r="H600" s="125">
        <f>IFERROR(__xludf.DUMMYFUNCTION("""COMPUTED_VALUE"""),125000.0)</f>
        <v>125000</v>
      </c>
      <c r="I600" s="49"/>
      <c r="J600" s="49"/>
      <c r="K600" s="49"/>
      <c r="L600" s="49"/>
      <c r="M600" s="49"/>
      <c r="N600" s="49"/>
      <c r="O600" s="49"/>
      <c r="P600" s="49"/>
      <c r="Q600" s="49"/>
      <c r="R600" s="49"/>
      <c r="S600" s="49"/>
      <c r="T600" s="49"/>
      <c r="U600" s="49"/>
      <c r="V600" s="49"/>
      <c r="W600" s="49"/>
      <c r="X600" s="49"/>
      <c r="Y600" s="49"/>
      <c r="Z600" s="49"/>
      <c r="AA600" s="49"/>
      <c r="AB600" s="49"/>
      <c r="AC600" s="49"/>
      <c r="AD600" s="49"/>
      <c r="AE600" s="49"/>
      <c r="AF600" s="49" t="str">
        <f>IFERROR(__xludf.DUMMYFUNCTION("""COMPUTED_VALUE"""),"++Conceal: upon entering combat you are invulnerable for 1 round or until you attack")</f>
        <v>++Conceal: upon entering combat you are invulnerable for 1 round or until you attack</v>
      </c>
      <c r="AG600" s="49" t="str">
        <f>IFERROR(__xludf.DUMMYFUNCTION("""COMPUTED_VALUE"""),"Dragonscale Island")</f>
        <v>Dragonscale Island</v>
      </c>
      <c r="AH600" s="49" t="b">
        <f>IFERROR(__xludf.DUMMYFUNCTION("""COMPUTED_VALUE"""),FALSE)</f>
        <v>0</v>
      </c>
    </row>
    <row r="601">
      <c r="A601" s="49" t="str">
        <f>IFERROR(__xludf.DUMMYFUNCTION("""COMPUTED_VALUE"""),"Ambusher's Vest")</f>
        <v>Ambusher's Vest</v>
      </c>
      <c r="B601" s="49" t="str">
        <f>IFERROR(__xludf.DUMMYFUNCTION("""COMPUTED_VALUE"""),"Torso")</f>
        <v>Torso</v>
      </c>
      <c r="C601" s="49" t="str">
        <f>IFERROR(__xludf.DUMMYFUNCTION("""COMPUTED_VALUE"""),"The armor of intermediate ninja's who have decided to pursue the art of the ambush to the extreme")</f>
        <v>The armor of intermediate ninja's who have decided to pursue the art of the ambush to the extreme</v>
      </c>
      <c r="D601" s="49"/>
      <c r="E601" s="49">
        <f>IFERROR(__xludf.DUMMYFUNCTION("""COMPUTED_VALUE"""),2500.0)</f>
        <v>2500</v>
      </c>
      <c r="F601" s="112">
        <f>IFERROR(__xludf.DUMMYFUNCTION("""COMPUTED_VALUE"""),3.1125E8)</f>
        <v>311250000</v>
      </c>
      <c r="G601" s="49" t="str">
        <f>IFERROR(__xludf.DUMMYFUNCTION("""COMPUTED_VALUE"""),"DEF")</f>
        <v>DEF</v>
      </c>
      <c r="H601" s="125">
        <f>IFERROR(__xludf.DUMMYFUNCTION("""COMPUTED_VALUE"""),125000.0)</f>
        <v>125000</v>
      </c>
      <c r="I601" s="49"/>
      <c r="J601" s="49"/>
      <c r="K601" s="49"/>
      <c r="L601" s="49"/>
      <c r="M601" s="49"/>
      <c r="N601" s="49"/>
      <c r="O601" s="49"/>
      <c r="P601" s="49"/>
      <c r="Q601" s="49"/>
      <c r="R601" s="49"/>
      <c r="S601" s="49"/>
      <c r="T601" s="49"/>
      <c r="U601" s="49"/>
      <c r="V601" s="49"/>
      <c r="W601" s="49"/>
      <c r="X601" s="49"/>
      <c r="Y601" s="49"/>
      <c r="Z601" s="49"/>
      <c r="AA601" s="49"/>
      <c r="AB601" s="49"/>
      <c r="AC601" s="49"/>
      <c r="AD601" s="49"/>
      <c r="AE601" s="49"/>
      <c r="AF601" s="49" t="str">
        <f>IFERROR(__xludf.DUMMYFUNCTION("""COMPUTED_VALUE"""),"++When breaking concealment deal X2 damage")</f>
        <v>++When breaking concealment deal X2 damage</v>
      </c>
      <c r="AG601" s="49" t="str">
        <f>IFERROR(__xludf.DUMMYFUNCTION("""COMPUTED_VALUE"""),"Dragonscale Island")</f>
        <v>Dragonscale Island</v>
      </c>
      <c r="AH601" s="49" t="b">
        <f>IFERROR(__xludf.DUMMYFUNCTION("""COMPUTED_VALUE"""),FALSE)</f>
        <v>0</v>
      </c>
    </row>
    <row r="602">
      <c r="A602" s="49" t="str">
        <f>IFERROR(__xludf.DUMMYFUNCTION("""COMPUTED_VALUE"""),"Ambusher's Gloves")</f>
        <v>Ambusher's Gloves</v>
      </c>
      <c r="B602" s="49" t="str">
        <f>IFERROR(__xludf.DUMMYFUNCTION("""COMPUTED_VALUE"""),"Arms")</f>
        <v>Arms</v>
      </c>
      <c r="C602" s="49" t="str">
        <f>IFERROR(__xludf.DUMMYFUNCTION("""COMPUTED_VALUE"""),"The armor of intermediate ninja's who have decided to pursue the art of the ambush to the extreme")</f>
        <v>The armor of intermediate ninja's who have decided to pursue the art of the ambush to the extreme</v>
      </c>
      <c r="D602" s="49"/>
      <c r="E602" s="49">
        <f>IFERROR(__xludf.DUMMYFUNCTION("""COMPUTED_VALUE"""),2500.0)</f>
        <v>2500</v>
      </c>
      <c r="F602" s="112">
        <f>IFERROR(__xludf.DUMMYFUNCTION("""COMPUTED_VALUE"""),3.1125E8)</f>
        <v>311250000</v>
      </c>
      <c r="G602" s="49" t="str">
        <f>IFERROR(__xludf.DUMMYFUNCTION("""COMPUTED_VALUE"""),"DEF")</f>
        <v>DEF</v>
      </c>
      <c r="H602" s="125">
        <f>IFERROR(__xludf.DUMMYFUNCTION("""COMPUTED_VALUE"""),125000.0)</f>
        <v>125000</v>
      </c>
      <c r="I602" s="49"/>
      <c r="J602" s="49"/>
      <c r="K602" s="49"/>
      <c r="L602" s="49"/>
      <c r="M602" s="49"/>
      <c r="N602" s="49"/>
      <c r="O602" s="49"/>
      <c r="P602" s="49"/>
      <c r="Q602" s="49"/>
      <c r="R602" s="49"/>
      <c r="S602" s="49"/>
      <c r="T602" s="49"/>
      <c r="U602" s="49"/>
      <c r="V602" s="49"/>
      <c r="W602" s="49"/>
      <c r="X602" s="49"/>
      <c r="Y602" s="49"/>
      <c r="Z602" s="49"/>
      <c r="AA602" s="49"/>
      <c r="AB602" s="49"/>
      <c r="AC602" s="49"/>
      <c r="AD602" s="49"/>
      <c r="AE602" s="49"/>
      <c r="AF602" s="49" t="str">
        <f>IFERROR(__xludf.DUMMYFUNCTION("""COMPUTED_VALUE"""),"++X2 damage with knives, ++Knife ability is 3 times as likely to activate. +-Cannot be forged +-Cannot be duplicated")</f>
        <v>++X2 damage with knives, ++Knife ability is 3 times as likely to activate. +-Cannot be forged +-Cannot be duplicated</v>
      </c>
      <c r="AG602" s="49" t="str">
        <f>IFERROR(__xludf.DUMMYFUNCTION("""COMPUTED_VALUE"""),"Dragonscale Island")</f>
        <v>Dragonscale Island</v>
      </c>
      <c r="AH602" s="49" t="b">
        <f>IFERROR(__xludf.DUMMYFUNCTION("""COMPUTED_VALUE"""),FALSE)</f>
        <v>0</v>
      </c>
    </row>
    <row r="603">
      <c r="A603" s="49" t="str">
        <f>IFERROR(__xludf.DUMMYFUNCTION("""COMPUTED_VALUE"""),"Ambusher's Sarouel")</f>
        <v>Ambusher's Sarouel</v>
      </c>
      <c r="B603" s="49" t="str">
        <f>IFERROR(__xludf.DUMMYFUNCTION("""COMPUTED_VALUE"""),"Legs")</f>
        <v>Legs</v>
      </c>
      <c r="C603" s="49" t="str">
        <f>IFERROR(__xludf.DUMMYFUNCTION("""COMPUTED_VALUE"""),"The armor of intermediate ninja's who have decided to pursue the art of the ambush to the extreme")</f>
        <v>The armor of intermediate ninja's who have decided to pursue the art of the ambush to the extreme</v>
      </c>
      <c r="D603" s="49"/>
      <c r="E603" s="49">
        <f>IFERROR(__xludf.DUMMYFUNCTION("""COMPUTED_VALUE"""),2500.0)</f>
        <v>2500</v>
      </c>
      <c r="F603" s="112">
        <f>IFERROR(__xludf.DUMMYFUNCTION("""COMPUTED_VALUE"""),3.1125E8)</f>
        <v>311250000</v>
      </c>
      <c r="G603" s="49" t="str">
        <f>IFERROR(__xludf.DUMMYFUNCTION("""COMPUTED_VALUE"""),"DEF")</f>
        <v>DEF</v>
      </c>
      <c r="H603" s="125">
        <f>IFERROR(__xludf.DUMMYFUNCTION("""COMPUTED_VALUE"""),125000.0)</f>
        <v>125000</v>
      </c>
      <c r="I603" s="49"/>
      <c r="J603" s="49"/>
      <c r="K603" s="49"/>
      <c r="L603" s="49"/>
      <c r="M603" s="49"/>
      <c r="N603" s="49"/>
      <c r="O603" s="49"/>
      <c r="P603" s="49"/>
      <c r="Q603" s="49"/>
      <c r="R603" s="49"/>
      <c r="S603" s="49"/>
      <c r="T603" s="49"/>
      <c r="U603" s="49"/>
      <c r="V603" s="49"/>
      <c r="W603" s="49"/>
      <c r="X603" s="49"/>
      <c r="Y603" s="49"/>
      <c r="Z603" s="49"/>
      <c r="AA603" s="49"/>
      <c r="AB603" s="49"/>
      <c r="AC603" s="49"/>
      <c r="AD603" s="49"/>
      <c r="AE603" s="49"/>
      <c r="AF603" s="49" t="str">
        <f>IFERROR(__xludf.DUMMYFUNCTION("""COMPUTED_VALUE"""),"++X2 damage with knives")</f>
        <v>++X2 damage with knives</v>
      </c>
      <c r="AG603" s="49" t="str">
        <f>IFERROR(__xludf.DUMMYFUNCTION("""COMPUTED_VALUE"""),"Dragonscale Island")</f>
        <v>Dragonscale Island</v>
      </c>
      <c r="AH603" s="49" t="b">
        <f>IFERROR(__xludf.DUMMYFUNCTION("""COMPUTED_VALUE"""),FALSE)</f>
        <v>0</v>
      </c>
    </row>
    <row r="604">
      <c r="A604" s="49" t="str">
        <f>IFERROR(__xludf.DUMMYFUNCTION("""COMPUTED_VALUE"""),"Ambusher's Sandals")</f>
        <v>Ambusher's Sandals</v>
      </c>
      <c r="B604" s="49" t="str">
        <f>IFERROR(__xludf.DUMMYFUNCTION("""COMPUTED_VALUE"""),"Feet")</f>
        <v>Feet</v>
      </c>
      <c r="C604" s="49" t="str">
        <f>IFERROR(__xludf.DUMMYFUNCTION("""COMPUTED_VALUE"""),"The armor of intermediate ninja's who have decided to pursue the art of the ambush to the extreme")</f>
        <v>The armor of intermediate ninja's who have decided to pursue the art of the ambush to the extreme</v>
      </c>
      <c r="D604" s="49"/>
      <c r="E604" s="49">
        <f>IFERROR(__xludf.DUMMYFUNCTION("""COMPUTED_VALUE"""),2500.0)</f>
        <v>2500</v>
      </c>
      <c r="F604" s="112">
        <f>IFERROR(__xludf.DUMMYFUNCTION("""COMPUTED_VALUE"""),3.1125E8)</f>
        <v>311250000</v>
      </c>
      <c r="G604" s="49" t="str">
        <f>IFERROR(__xludf.DUMMYFUNCTION("""COMPUTED_VALUE"""),"DEF")</f>
        <v>DEF</v>
      </c>
      <c r="H604" s="125">
        <f>IFERROR(__xludf.DUMMYFUNCTION("""COMPUTED_VALUE"""),125000.0)</f>
        <v>125000</v>
      </c>
      <c r="I604" s="49"/>
      <c r="J604" s="49"/>
      <c r="K604" s="49"/>
      <c r="L604" s="49"/>
      <c r="M604" s="49"/>
      <c r="N604" s="49"/>
      <c r="O604" s="49"/>
      <c r="P604" s="49"/>
      <c r="Q604" s="49"/>
      <c r="R604" s="49"/>
      <c r="S604" s="49"/>
      <c r="T604" s="49"/>
      <c r="U604" s="49"/>
      <c r="V604" s="49"/>
      <c r="W604" s="49"/>
      <c r="X604" s="49"/>
      <c r="Y604" s="49"/>
      <c r="Z604" s="49"/>
      <c r="AA604" s="49"/>
      <c r="AB604" s="49"/>
      <c r="AC604" s="49"/>
      <c r="AD604" s="49"/>
      <c r="AE604" s="49"/>
      <c r="AF604" s="49" t="str">
        <f>IFERROR(__xludf.DUMMYFUNCTION("""COMPUTED_VALUE"""),"++When breaking concealment gain invigorate 5")</f>
        <v>++When breaking concealment gain invigorate 5</v>
      </c>
      <c r="AG604" s="49" t="str">
        <f>IFERROR(__xludf.DUMMYFUNCTION("""COMPUTED_VALUE"""),"Dragonscale Island")</f>
        <v>Dragonscale Island</v>
      </c>
      <c r="AH604" s="49" t="b">
        <f>IFERROR(__xludf.DUMMYFUNCTION("""COMPUTED_VALUE"""),FALSE)</f>
        <v>0</v>
      </c>
    </row>
    <row r="605">
      <c r="A605" s="49" t="str">
        <f>IFERROR(__xludf.DUMMYFUNCTION("""COMPUTED_VALUE"""),"Blade of Ancestral Blood")</f>
        <v>Blade of Ancestral Blood</v>
      </c>
      <c r="B605" s="49" t="str">
        <f>IFERROR(__xludf.DUMMYFUNCTION("""COMPUTED_VALUE"""),"Hand")</f>
        <v>Hand</v>
      </c>
      <c r="C605" s="49"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49" t="str">
        <f>IFERROR(__xludf.DUMMYFUNCTION("""COMPUTED_VALUE"""),"Knife")</f>
        <v>Knife</v>
      </c>
      <c r="E605" s="49">
        <f>IFERROR(__xludf.DUMMYFUNCTION("""COMPUTED_VALUE"""),200.0)</f>
        <v>200</v>
      </c>
      <c r="F605" s="112">
        <f>IFERROR(__xludf.DUMMYFUNCTION("""COMPUTED_VALUE"""),1.797E9)</f>
        <v>1797000000</v>
      </c>
      <c r="G605" s="49" t="str">
        <f>IFERROR(__xludf.DUMMYFUNCTION("""COMPUTED_VALUE"""),"DMG")</f>
        <v>DMG</v>
      </c>
      <c r="H605" s="49">
        <f>IFERROR(__xludf.DUMMYFUNCTION("""COMPUTED_VALUE"""),50000.0)</f>
        <v>50000</v>
      </c>
      <c r="I605" s="49"/>
      <c r="J605" s="49"/>
      <c r="K605" s="49"/>
      <c r="L605" s="49"/>
      <c r="M605" s="49"/>
      <c r="N605" s="49"/>
      <c r="O605" s="49"/>
      <c r="P605" s="49"/>
      <c r="Q605" s="49"/>
      <c r="R605" s="49">
        <f>IFERROR(__xludf.DUMMYFUNCTION("""COMPUTED_VALUE"""),50000.0)</f>
        <v>50000</v>
      </c>
      <c r="S605" s="49"/>
      <c r="T605" s="49"/>
      <c r="U605" s="49"/>
      <c r="V605" s="49"/>
      <c r="W605" s="49"/>
      <c r="X605" s="49">
        <f>IFERROR(__xludf.DUMMYFUNCTION("""COMPUTED_VALUE"""),50000.0)</f>
        <v>50000</v>
      </c>
      <c r="Y605" s="49">
        <f>IFERROR(__xludf.DUMMYFUNCTION("""COMPUTED_VALUE"""),100000.0)</f>
        <v>100000</v>
      </c>
      <c r="Z605" s="49"/>
      <c r="AA605" s="49"/>
      <c r="AB605" s="49"/>
      <c r="AC605" s="49">
        <f>IFERROR(__xludf.DUMMYFUNCTION("""COMPUTED_VALUE"""),50000.0)</f>
        <v>50000</v>
      </c>
      <c r="AD605" s="49"/>
      <c r="AE605" s="49"/>
      <c r="AF605" s="49"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49" t="str">
        <f>IFERROR(__xludf.DUMMYFUNCTION("""COMPUTED_VALUE"""),"Dragonscale Island")</f>
        <v>Dragonscale Island</v>
      </c>
      <c r="AH605" s="49" t="b">
        <f>IFERROR(__xludf.DUMMYFUNCTION("""COMPUTED_VALUE"""),FALSE)</f>
        <v>0</v>
      </c>
    </row>
    <row r="606">
      <c r="A606" s="49" t="str">
        <f>IFERROR(__xludf.DUMMYFUNCTION("""COMPUTED_VALUE"""),"Lunaris, Sword of The Moon")</f>
        <v>Lunaris, Sword of The Moon</v>
      </c>
      <c r="B606" s="49" t="str">
        <f>IFERROR(__xludf.DUMMYFUNCTION("""COMPUTED_VALUE"""),"Hand")</f>
        <v>Hand</v>
      </c>
      <c r="C606" s="49"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49" t="str">
        <f>IFERROR(__xludf.DUMMYFUNCTION("""COMPUTED_VALUE"""),"Sword")</f>
        <v>Sword</v>
      </c>
      <c r="E606" s="49">
        <f>IFERROR(__xludf.DUMMYFUNCTION("""COMPUTED_VALUE"""),200.0)</f>
        <v>200</v>
      </c>
      <c r="F606" s="112">
        <f>IFERROR(__xludf.DUMMYFUNCTION("""COMPUTED_VALUE"""),7.194E9)</f>
        <v>7194000000</v>
      </c>
      <c r="G606" s="49" t="str">
        <f>IFERROR(__xludf.DUMMYFUNCTION("""COMPUTED_VALUE"""),"DEF")</f>
        <v>DEF</v>
      </c>
      <c r="H606" s="125">
        <f>IFERROR(__xludf.DUMMYFUNCTION("""COMPUTED_VALUE"""),200000.0)</f>
        <v>200000</v>
      </c>
      <c r="I606" s="49"/>
      <c r="J606" s="49"/>
      <c r="K606" s="49"/>
      <c r="L606" s="49"/>
      <c r="M606" s="49"/>
      <c r="N606" s="125">
        <f>IFERROR(__xludf.DUMMYFUNCTION("""COMPUTED_VALUE"""),100000.0)</f>
        <v>100000</v>
      </c>
      <c r="O606" s="49"/>
      <c r="P606" s="49"/>
      <c r="Q606" s="49"/>
      <c r="R606" s="49"/>
      <c r="S606" s="49"/>
      <c r="T606" s="49"/>
      <c r="U606" s="49"/>
      <c r="V606" s="49"/>
      <c r="W606" s="49"/>
      <c r="X606" s="49"/>
      <c r="Y606" s="49"/>
      <c r="Z606" s="49"/>
      <c r="AA606" s="49"/>
      <c r="AB606" s="125">
        <f>IFERROR(__xludf.DUMMYFUNCTION("""COMPUTED_VALUE"""),200000.0)</f>
        <v>200000</v>
      </c>
      <c r="AC606" s="125">
        <f>IFERROR(__xludf.DUMMYFUNCTION("""COMPUTED_VALUE"""),100000.0)</f>
        <v>100000</v>
      </c>
      <c r="AD606" s="49"/>
      <c r="AE606" s="49"/>
      <c r="AF606" s="49"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49" t="str">
        <f>IFERROR(__xludf.DUMMYFUNCTION("""COMPUTED_VALUE"""),"Abstara")</f>
        <v>Abstara</v>
      </c>
      <c r="AH606" s="49" t="b">
        <f>IFERROR(__xludf.DUMMYFUNCTION("""COMPUTED_VALUE"""),FALSE)</f>
        <v>0</v>
      </c>
    </row>
    <row r="607">
      <c r="A607" s="49" t="str">
        <f>IFERROR(__xludf.DUMMYFUNCTION("""COMPUTED_VALUE"""),"Master Inugima's Cowl")</f>
        <v>Master Inugima's Cowl</v>
      </c>
      <c r="B607" s="49" t="str">
        <f>IFERROR(__xludf.DUMMYFUNCTION("""COMPUTED_VALUE"""),"Head")</f>
        <v>Head</v>
      </c>
      <c r="C607" s="49" t="str">
        <f>IFERROR(__xludf.DUMMYFUNCTION("""COMPUTED_VALUE"""),"Mob Exclusive")</f>
        <v>Mob Exclusive</v>
      </c>
      <c r="D607" s="49"/>
      <c r="E607" s="49">
        <f>IFERROR(__xludf.DUMMYFUNCTION("""COMPUTED_VALUE"""),1.0)</f>
        <v>1</v>
      </c>
      <c r="F607" s="112">
        <f>IFERROR(__xludf.DUMMYFUNCTION("""COMPUTED_VALUE"""),0.0)</f>
        <v>0</v>
      </c>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c r="AE607" s="49"/>
      <c r="AF607" s="49"/>
      <c r="AG607" s="49" t="str">
        <f>IFERROR(__xludf.DUMMYFUNCTION("""COMPUTED_VALUE"""),"Dragonscale Island")</f>
        <v>Dragonscale Island</v>
      </c>
      <c r="AH607" s="49" t="b">
        <f>IFERROR(__xludf.DUMMYFUNCTION("""COMPUTED_VALUE"""),TRUE)</f>
        <v>1</v>
      </c>
    </row>
    <row r="608">
      <c r="A608" s="49" t="str">
        <f>IFERROR(__xludf.DUMMYFUNCTION("""COMPUTED_VALUE"""),"Master Inugima's Cape")</f>
        <v>Master Inugima's Cape</v>
      </c>
      <c r="B608" s="49" t="str">
        <f>IFERROR(__xludf.DUMMYFUNCTION("""COMPUTED_VALUE"""),"Shoulders")</f>
        <v>Shoulders</v>
      </c>
      <c r="C608" s="49" t="str">
        <f>IFERROR(__xludf.DUMMYFUNCTION("""COMPUTED_VALUE"""),"Mob Exclusive")</f>
        <v>Mob Exclusive</v>
      </c>
      <c r="D608" s="49"/>
      <c r="E608" s="49">
        <f>IFERROR(__xludf.DUMMYFUNCTION("""COMPUTED_VALUE"""),1.0)</f>
        <v>1</v>
      </c>
      <c r="F608" s="112">
        <f>IFERROR(__xludf.DUMMYFUNCTION("""COMPUTED_VALUE"""),0.0)</f>
        <v>0</v>
      </c>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c r="AE608" s="49"/>
      <c r="AF608" s="49"/>
      <c r="AG608" s="49" t="str">
        <f>IFERROR(__xludf.DUMMYFUNCTION("""COMPUTED_VALUE"""),"Dragonscale Island")</f>
        <v>Dragonscale Island</v>
      </c>
      <c r="AH608" s="49" t="b">
        <f>IFERROR(__xludf.DUMMYFUNCTION("""COMPUTED_VALUE"""),TRUE)</f>
        <v>1</v>
      </c>
    </row>
    <row r="609">
      <c r="A609" s="49" t="str">
        <f>IFERROR(__xludf.DUMMYFUNCTION("""COMPUTED_VALUE"""),"Master Inugima's Cloak")</f>
        <v>Master Inugima's Cloak</v>
      </c>
      <c r="B609" s="49" t="str">
        <f>IFERROR(__xludf.DUMMYFUNCTION("""COMPUTED_VALUE"""),"Torso")</f>
        <v>Torso</v>
      </c>
      <c r="C609" s="49" t="str">
        <f>IFERROR(__xludf.DUMMYFUNCTION("""COMPUTED_VALUE"""),"Mob Exclusive")</f>
        <v>Mob Exclusive</v>
      </c>
      <c r="D609" s="49"/>
      <c r="E609" s="49">
        <f>IFERROR(__xludf.DUMMYFUNCTION("""COMPUTED_VALUE"""),1.0)</f>
        <v>1</v>
      </c>
      <c r="F609" s="112">
        <f>IFERROR(__xludf.DUMMYFUNCTION("""COMPUTED_VALUE"""),0.0)</f>
        <v>0</v>
      </c>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c r="AE609" s="49"/>
      <c r="AF609" s="49"/>
      <c r="AG609" s="49" t="str">
        <f>IFERROR(__xludf.DUMMYFUNCTION("""COMPUTED_VALUE"""),"Dragonscale Island")</f>
        <v>Dragonscale Island</v>
      </c>
      <c r="AH609" s="49" t="b">
        <f>IFERROR(__xludf.DUMMYFUNCTION("""COMPUTED_VALUE"""),TRUE)</f>
        <v>1</v>
      </c>
    </row>
    <row r="610">
      <c r="A610" s="49" t="str">
        <f>IFERROR(__xludf.DUMMYFUNCTION("""COMPUTED_VALUE"""),"Master Inugima's Gloves")</f>
        <v>Master Inugima's Gloves</v>
      </c>
      <c r="B610" s="49" t="str">
        <f>IFERROR(__xludf.DUMMYFUNCTION("""COMPUTED_VALUE"""),"Arms")</f>
        <v>Arms</v>
      </c>
      <c r="C610" s="49" t="str">
        <f>IFERROR(__xludf.DUMMYFUNCTION("""COMPUTED_VALUE"""),"Mob Exclusive")</f>
        <v>Mob Exclusive</v>
      </c>
      <c r="D610" s="49"/>
      <c r="E610" s="49">
        <f>IFERROR(__xludf.DUMMYFUNCTION("""COMPUTED_VALUE"""),1.0)</f>
        <v>1</v>
      </c>
      <c r="F610" s="112">
        <f>IFERROR(__xludf.DUMMYFUNCTION("""COMPUTED_VALUE"""),0.0)</f>
        <v>0</v>
      </c>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c r="AE610" s="49"/>
      <c r="AF610" s="49"/>
      <c r="AG610" s="49" t="str">
        <f>IFERROR(__xludf.DUMMYFUNCTION("""COMPUTED_VALUE"""),"Dragonscale Island")</f>
        <v>Dragonscale Island</v>
      </c>
      <c r="AH610" s="49" t="b">
        <f>IFERROR(__xludf.DUMMYFUNCTION("""COMPUTED_VALUE"""),TRUE)</f>
        <v>1</v>
      </c>
    </row>
    <row r="611">
      <c r="A611" s="49" t="str">
        <f>IFERROR(__xludf.DUMMYFUNCTION("""COMPUTED_VALUE"""),"Master Inugima's Sarouel")</f>
        <v>Master Inugima's Sarouel</v>
      </c>
      <c r="B611" s="49" t="str">
        <f>IFERROR(__xludf.DUMMYFUNCTION("""COMPUTED_VALUE"""),"Legs")</f>
        <v>Legs</v>
      </c>
      <c r="C611" s="49" t="str">
        <f>IFERROR(__xludf.DUMMYFUNCTION("""COMPUTED_VALUE"""),"Mob Exclusive")</f>
        <v>Mob Exclusive</v>
      </c>
      <c r="D611" s="49"/>
      <c r="E611" s="49">
        <f>IFERROR(__xludf.DUMMYFUNCTION("""COMPUTED_VALUE"""),1.0)</f>
        <v>1</v>
      </c>
      <c r="F611" s="112">
        <f>IFERROR(__xludf.DUMMYFUNCTION("""COMPUTED_VALUE"""),0.0)</f>
        <v>0</v>
      </c>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c r="AE611" s="49"/>
      <c r="AF611" s="49"/>
      <c r="AG611" s="49" t="str">
        <f>IFERROR(__xludf.DUMMYFUNCTION("""COMPUTED_VALUE"""),"Dragonscale Island")</f>
        <v>Dragonscale Island</v>
      </c>
      <c r="AH611" s="49" t="b">
        <f>IFERROR(__xludf.DUMMYFUNCTION("""COMPUTED_VALUE"""),TRUE)</f>
        <v>1</v>
      </c>
    </row>
    <row r="612">
      <c r="A612" s="49" t="str">
        <f>IFERROR(__xludf.DUMMYFUNCTION("""COMPUTED_VALUE"""),"Master Inugima's Boots")</f>
        <v>Master Inugima's Boots</v>
      </c>
      <c r="B612" s="49" t="str">
        <f>IFERROR(__xludf.DUMMYFUNCTION("""COMPUTED_VALUE"""),"Feet")</f>
        <v>Feet</v>
      </c>
      <c r="C612" s="49" t="str">
        <f>IFERROR(__xludf.DUMMYFUNCTION("""COMPUTED_VALUE"""),"Mob Exclusive")</f>
        <v>Mob Exclusive</v>
      </c>
      <c r="D612" s="49"/>
      <c r="E612" s="49">
        <f>IFERROR(__xludf.DUMMYFUNCTION("""COMPUTED_VALUE"""),1.0)</f>
        <v>1</v>
      </c>
      <c r="F612" s="112">
        <f>IFERROR(__xludf.DUMMYFUNCTION("""COMPUTED_VALUE"""),0.0)</f>
        <v>0</v>
      </c>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c r="AE612" s="49"/>
      <c r="AF612" s="49"/>
      <c r="AG612" s="49" t="str">
        <f>IFERROR(__xludf.DUMMYFUNCTION("""COMPUTED_VALUE"""),"Dragonscale Island")</f>
        <v>Dragonscale Island</v>
      </c>
      <c r="AH612" s="49" t="b">
        <f>IFERROR(__xludf.DUMMYFUNCTION("""COMPUTED_VALUE"""),TRUE)</f>
        <v>1</v>
      </c>
    </row>
    <row r="613">
      <c r="A613" s="49" t="str">
        <f>IFERROR(__xludf.DUMMYFUNCTION("""COMPUTED_VALUE"""),"Master Inugima's Ring")</f>
        <v>Master Inugima's Ring</v>
      </c>
      <c r="B613" s="49" t="str">
        <f>IFERROR(__xludf.DUMMYFUNCTION("""COMPUTED_VALUE"""),"Finger")</f>
        <v>Finger</v>
      </c>
      <c r="C613" s="49" t="str">
        <f>IFERROR(__xludf.DUMMYFUNCTION("""COMPUTED_VALUE"""),"Mob Exclusive")</f>
        <v>Mob Exclusive</v>
      </c>
      <c r="D613" s="49"/>
      <c r="E613" s="49">
        <f>IFERROR(__xludf.DUMMYFUNCTION("""COMPUTED_VALUE"""),1.0)</f>
        <v>1</v>
      </c>
      <c r="F613" s="112">
        <f>IFERROR(__xludf.DUMMYFUNCTION("""COMPUTED_VALUE"""),0.0)</f>
        <v>0</v>
      </c>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c r="AE613" s="49"/>
      <c r="AF613" s="49"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49" t="str">
        <f>IFERROR(__xludf.DUMMYFUNCTION("""COMPUTED_VALUE"""),"Dragonscale Island")</f>
        <v>Dragonscale Island</v>
      </c>
      <c r="AH613" s="49" t="b">
        <f>IFERROR(__xludf.DUMMYFUNCTION("""COMPUTED_VALUE"""),TRUE)</f>
        <v>1</v>
      </c>
    </row>
    <row r="614">
      <c r="A614" s="49" t="str">
        <f>IFERROR(__xludf.DUMMYFUNCTION("""COMPUTED_VALUE"""),"Master Inugima's Pendant")</f>
        <v>Master Inugima's Pendant</v>
      </c>
      <c r="B614" s="49" t="str">
        <f>IFERROR(__xludf.DUMMYFUNCTION("""COMPUTED_VALUE"""),"Neck")</f>
        <v>Neck</v>
      </c>
      <c r="C614" s="49" t="str">
        <f>IFERROR(__xludf.DUMMYFUNCTION("""COMPUTED_VALUE"""),"Mob Exclusive")</f>
        <v>Mob Exclusive</v>
      </c>
      <c r="D614" s="49"/>
      <c r="E614" s="49">
        <f>IFERROR(__xludf.DUMMYFUNCTION("""COMPUTED_VALUE"""),1.0)</f>
        <v>1</v>
      </c>
      <c r="F614" s="112">
        <f>IFERROR(__xludf.DUMMYFUNCTION("""COMPUTED_VALUE"""),0.0)</f>
        <v>0</v>
      </c>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c r="AE614" s="49"/>
      <c r="AF614" s="49"/>
      <c r="AG614" s="49" t="str">
        <f>IFERROR(__xludf.DUMMYFUNCTION("""COMPUTED_VALUE"""),"Dragonscale Island")</f>
        <v>Dragonscale Island</v>
      </c>
      <c r="AH614" s="49" t="b">
        <f>IFERROR(__xludf.DUMMYFUNCTION("""COMPUTED_VALUE"""),TRUE)</f>
        <v>1</v>
      </c>
    </row>
    <row r="615">
      <c r="A615" s="49" t="str">
        <f>IFERROR(__xludf.DUMMYFUNCTION("""COMPUTED_VALUE"""),"Amulet of Giving")</f>
        <v>Amulet of Giving</v>
      </c>
      <c r="B615" s="49" t="str">
        <f>IFERROR(__xludf.DUMMYFUNCTION("""COMPUTED_VALUE"""),"Neck")</f>
        <v>Neck</v>
      </c>
      <c r="C615" s="49" t="str">
        <f>IFERROR(__xludf.DUMMYFUNCTION("""COMPUTED_VALUE"""),"Thanksgiving Event Item")</f>
        <v>Thanksgiving Event Item</v>
      </c>
      <c r="D615" s="49"/>
      <c r="E615" s="49">
        <f>IFERROR(__xludf.DUMMYFUNCTION("""COMPUTED_VALUE"""),1.0)</f>
        <v>1</v>
      </c>
      <c r="F615" s="112">
        <f>IFERROR(__xludf.DUMMYFUNCTION("""COMPUTED_VALUE"""),0.0)</f>
        <v>0</v>
      </c>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c r="AE615" s="49"/>
      <c r="AF615" s="49"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49" t="str">
        <f>IFERROR(__xludf.DUMMYFUNCTION("""COMPUTED_VALUE"""),"Land of Spira")</f>
        <v>Land of Spira</v>
      </c>
      <c r="AH615" s="49" t="b">
        <f>IFERROR(__xludf.DUMMYFUNCTION("""COMPUTED_VALUE"""),FALSE)</f>
        <v>0</v>
      </c>
    </row>
    <row r="616">
      <c r="A616" s="49" t="str">
        <f>IFERROR(__xludf.DUMMYFUNCTION("""COMPUTED_VALUE"""),"Pilgrim's Hat")</f>
        <v>Pilgrim's Hat</v>
      </c>
      <c r="B616" s="49" t="str">
        <f>IFERROR(__xludf.DUMMYFUNCTION("""COMPUTED_VALUE"""),"Head")</f>
        <v>Head</v>
      </c>
      <c r="C616" s="49" t="str">
        <f>IFERROR(__xludf.DUMMYFUNCTION("""COMPUTED_VALUE"""),"Thanksgiving Event Item")</f>
        <v>Thanksgiving Event Item</v>
      </c>
      <c r="D616" s="49"/>
      <c r="E616" s="49">
        <f>IFERROR(__xludf.DUMMYFUNCTION("""COMPUTED_VALUE"""),1.0)</f>
        <v>1</v>
      </c>
      <c r="F616" s="112">
        <f>IFERROR(__xludf.DUMMYFUNCTION("""COMPUTED_VALUE"""),0.0)</f>
        <v>0</v>
      </c>
      <c r="G616" s="49" t="str">
        <f>IFERROR(__xludf.DUMMYFUNCTION("""COMPUTED_VALUE"""),"DEF")</f>
        <v>DEF</v>
      </c>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c r="AE616" s="49"/>
      <c r="AF616" s="49" t="str">
        <f>IFERROR(__xludf.DUMMYFUNCTION("""COMPUTED_VALUE"""),"++Double the hunger, thirst, and energy you receive when consuming a consumable. +-Cannot be duplicated.")</f>
        <v>++Double the hunger, thirst, and energy you receive when consuming a consumable. +-Cannot be duplicated.</v>
      </c>
      <c r="AG616" s="49" t="str">
        <f>IFERROR(__xludf.DUMMYFUNCTION("""COMPUTED_VALUE"""),"Land of Spira")</f>
        <v>Land of Spira</v>
      </c>
      <c r="AH616" s="49" t="b">
        <f>IFERROR(__xludf.DUMMYFUNCTION("""COMPUTED_VALUE"""),FALSE)</f>
        <v>0</v>
      </c>
    </row>
    <row r="617">
      <c r="A617" s="49" t="str">
        <f>IFERROR(__xludf.DUMMYFUNCTION("""COMPUTED_VALUE"""),"Dragon Flute")</f>
        <v>Dragon Flute</v>
      </c>
      <c r="B617" s="49" t="str">
        <f>IFERROR(__xludf.DUMMYFUNCTION("""COMPUTED_VALUE"""),"Hand")</f>
        <v>Hand</v>
      </c>
      <c r="C617" s="49"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49" t="str">
        <f>IFERROR(__xludf.DUMMYFUNCTION("""COMPUTED_VALUE"""),"Instrument")</f>
        <v>Instrument</v>
      </c>
      <c r="E617" s="49">
        <f>IFERROR(__xludf.DUMMYFUNCTION("""COMPUTED_VALUE"""),100.0)</f>
        <v>100</v>
      </c>
      <c r="F617" s="112">
        <f>IFERROR(__xludf.DUMMYFUNCTION("""COMPUTED_VALUE"""),450000.0)</f>
        <v>450000</v>
      </c>
      <c r="G617" s="49" t="str">
        <f>IFERROR(__xludf.DUMMYFUNCTION("""COMPUTED_VALUE"""),"DMG")</f>
        <v>DMG</v>
      </c>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c r="AE617" s="49">
        <f>IFERROR(__xludf.DUMMYFUNCTION("""COMPUTED_VALUE"""),5000.0)</f>
        <v>5000</v>
      </c>
      <c r="AF617" s="49"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49" t="str">
        <f>IFERROR(__xludf.DUMMYFUNCTION("""COMPUTED_VALUE"""),"Dragonscale Island")</f>
        <v>Dragonscale Island</v>
      </c>
      <c r="AH617" s="49" t="b">
        <f>IFERROR(__xludf.DUMMYFUNCTION("""COMPUTED_VALUE"""),FALSE)</f>
        <v>0</v>
      </c>
    </row>
    <row r="618">
      <c r="A618" s="49" t="str">
        <f>IFERROR(__xludf.DUMMYFUNCTION("""COMPUTED_VALUE"""),"Harbingers' Helm of the Unrestrained (Spira)")</f>
        <v>Harbingers' Helm of the Unrestrained (Spira)</v>
      </c>
      <c r="B618" s="49" t="str">
        <f>IFERROR(__xludf.DUMMYFUNCTION("""COMPUTED_VALUE"""),"Head")</f>
        <v>Head</v>
      </c>
      <c r="C618" s="49"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49"/>
      <c r="E618" s="49">
        <f>IFERROR(__xludf.DUMMYFUNCTION("""COMPUTED_VALUE"""),200.0)</f>
        <v>200</v>
      </c>
      <c r="F618" s="112">
        <f>IFERROR(__xludf.DUMMYFUNCTION("""COMPUTED_VALUE"""),7.98E8)</f>
        <v>798000000</v>
      </c>
      <c r="G618" s="49" t="str">
        <f>IFERROR(__xludf.DUMMYFUNCTION("""COMPUTED_VALUE"""),"DEF")</f>
        <v>DEF</v>
      </c>
      <c r="H618" s="125">
        <f>IFERROR(__xludf.DUMMYFUNCTION("""COMPUTED_VALUE"""),50000.0)</f>
        <v>50000</v>
      </c>
      <c r="I618" s="49">
        <f>IFERROR(__xludf.DUMMYFUNCTION("""COMPUTED_VALUE"""),10000.0)</f>
        <v>10000</v>
      </c>
      <c r="J618" s="49"/>
      <c r="K618" s="49">
        <f>IFERROR(__xludf.DUMMYFUNCTION("""COMPUTED_VALUE"""),10000.0)</f>
        <v>10000</v>
      </c>
      <c r="L618" s="49">
        <f>IFERROR(__xludf.DUMMYFUNCTION("""COMPUTED_VALUE"""),10000.0)</f>
        <v>10000</v>
      </c>
      <c r="M618" s="49">
        <f>IFERROR(__xludf.DUMMYFUNCTION("""COMPUTED_VALUE"""),10000.0)</f>
        <v>10000</v>
      </c>
      <c r="N618" s="49">
        <f>IFERROR(__xludf.DUMMYFUNCTION("""COMPUTED_VALUE"""),10000.0)</f>
        <v>10000</v>
      </c>
      <c r="O618" s="49">
        <f>IFERROR(__xludf.DUMMYFUNCTION("""COMPUTED_VALUE"""),10000.0)</f>
        <v>10000</v>
      </c>
      <c r="P618" s="49">
        <f>IFERROR(__xludf.DUMMYFUNCTION("""COMPUTED_VALUE"""),10000.0)</f>
        <v>10000</v>
      </c>
      <c r="Q618" s="49">
        <f>IFERROR(__xludf.DUMMYFUNCTION("""COMPUTED_VALUE"""),10000.0)</f>
        <v>10000</v>
      </c>
      <c r="R618" s="49">
        <f>IFERROR(__xludf.DUMMYFUNCTION("""COMPUTED_VALUE"""),10000.0)</f>
        <v>10000</v>
      </c>
      <c r="S618" s="49">
        <f>IFERROR(__xludf.DUMMYFUNCTION("""COMPUTED_VALUE"""),10000.0)</f>
        <v>10000</v>
      </c>
      <c r="T618" s="49"/>
      <c r="U618" s="49"/>
      <c r="V618" s="49"/>
      <c r="W618" s="49"/>
      <c r="X618" s="49">
        <f>IFERROR(__xludf.DUMMYFUNCTION("""COMPUTED_VALUE"""),10000.0)</f>
        <v>10000</v>
      </c>
      <c r="Y618" s="49">
        <f>IFERROR(__xludf.DUMMYFUNCTION("""COMPUTED_VALUE"""),10000.0)</f>
        <v>10000</v>
      </c>
      <c r="Z618" s="49"/>
      <c r="AA618" s="49">
        <f>IFERROR(__xludf.DUMMYFUNCTION("""COMPUTED_VALUE"""),10000.0)</f>
        <v>10000</v>
      </c>
      <c r="AB618" s="49">
        <f>IFERROR(__xludf.DUMMYFUNCTION("""COMPUTED_VALUE"""),10000.0)</f>
        <v>10000</v>
      </c>
      <c r="AC618" s="49">
        <f>IFERROR(__xludf.DUMMYFUNCTION("""COMPUTED_VALUE"""),10000.0)</f>
        <v>10000</v>
      </c>
      <c r="AD618" s="49"/>
      <c r="AE618" s="49"/>
      <c r="AF618" s="49" t="str">
        <f>IFERROR(__xludf.DUMMYFUNCTION("""COMPUTED_VALUE"""),"++Unbroken will - You become immune to all effects that would prevent you from taking your turn.")</f>
        <v>++Unbroken will - You become immune to all effects that would prevent you from taking your turn.</v>
      </c>
      <c r="AG618" s="49" t="str">
        <f>IFERROR(__xludf.DUMMYFUNCTION("""COMPUTED_VALUE"""),"Land of Spira")</f>
        <v>Land of Spira</v>
      </c>
      <c r="AH618" s="49" t="b">
        <f>IFERROR(__xludf.DUMMYFUNCTION("""COMPUTED_VALUE"""),FALSE)</f>
        <v>0</v>
      </c>
    </row>
    <row r="619">
      <c r="A619" s="49" t="str">
        <f>IFERROR(__xludf.DUMMYFUNCTION("""COMPUTED_VALUE"""),"Harbingers' Shifting Pauldrons (Spira)")</f>
        <v>Harbingers' Shifting Pauldrons (Spira)</v>
      </c>
      <c r="B619" s="49" t="str">
        <f>IFERROR(__xludf.DUMMYFUNCTION("""COMPUTED_VALUE"""),"Shoulders")</f>
        <v>Shoulders</v>
      </c>
      <c r="C619" s="49"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49"/>
      <c r="E619" s="49">
        <f>IFERROR(__xludf.DUMMYFUNCTION("""COMPUTED_VALUE"""),200.0)</f>
        <v>200</v>
      </c>
      <c r="F619" s="112">
        <f>IFERROR(__xludf.DUMMYFUNCTION("""COMPUTED_VALUE"""),7.98E8)</f>
        <v>798000000</v>
      </c>
      <c r="G619" s="49" t="str">
        <f>IFERROR(__xludf.DUMMYFUNCTION("""COMPUTED_VALUE"""),"DEF")</f>
        <v>DEF</v>
      </c>
      <c r="H619" s="125">
        <f>IFERROR(__xludf.DUMMYFUNCTION("""COMPUTED_VALUE"""),50000.0)</f>
        <v>50000</v>
      </c>
      <c r="I619" s="49">
        <f>IFERROR(__xludf.DUMMYFUNCTION("""COMPUTED_VALUE"""),10000.0)</f>
        <v>10000</v>
      </c>
      <c r="J619" s="49"/>
      <c r="K619" s="49">
        <f>IFERROR(__xludf.DUMMYFUNCTION("""COMPUTED_VALUE"""),10000.0)</f>
        <v>10000</v>
      </c>
      <c r="L619" s="49">
        <f>IFERROR(__xludf.DUMMYFUNCTION("""COMPUTED_VALUE"""),10000.0)</f>
        <v>10000</v>
      </c>
      <c r="M619" s="49">
        <f>IFERROR(__xludf.DUMMYFUNCTION("""COMPUTED_VALUE"""),10000.0)</f>
        <v>10000</v>
      </c>
      <c r="N619" s="49">
        <f>IFERROR(__xludf.DUMMYFUNCTION("""COMPUTED_VALUE"""),10000.0)</f>
        <v>10000</v>
      </c>
      <c r="O619" s="49">
        <f>IFERROR(__xludf.DUMMYFUNCTION("""COMPUTED_VALUE"""),10000.0)</f>
        <v>10000</v>
      </c>
      <c r="P619" s="49">
        <f>IFERROR(__xludf.DUMMYFUNCTION("""COMPUTED_VALUE"""),10000.0)</f>
        <v>10000</v>
      </c>
      <c r="Q619" s="49">
        <f>IFERROR(__xludf.DUMMYFUNCTION("""COMPUTED_VALUE"""),10000.0)</f>
        <v>10000</v>
      </c>
      <c r="R619" s="49">
        <f>IFERROR(__xludf.DUMMYFUNCTION("""COMPUTED_VALUE"""),10000.0)</f>
        <v>10000</v>
      </c>
      <c r="S619" s="49">
        <f>IFERROR(__xludf.DUMMYFUNCTION("""COMPUTED_VALUE"""),10000.0)</f>
        <v>10000</v>
      </c>
      <c r="T619" s="49"/>
      <c r="U619" s="49"/>
      <c r="V619" s="49"/>
      <c r="W619" s="49"/>
      <c r="X619" s="49">
        <f>IFERROR(__xludf.DUMMYFUNCTION("""COMPUTED_VALUE"""),10000.0)</f>
        <v>10000</v>
      </c>
      <c r="Y619" s="49">
        <f>IFERROR(__xludf.DUMMYFUNCTION("""COMPUTED_VALUE"""),10000.0)</f>
        <v>10000</v>
      </c>
      <c r="Z619" s="49"/>
      <c r="AA619" s="49">
        <f>IFERROR(__xludf.DUMMYFUNCTION("""COMPUTED_VALUE"""),10000.0)</f>
        <v>10000</v>
      </c>
      <c r="AB619" s="49">
        <f>IFERROR(__xludf.DUMMYFUNCTION("""COMPUTED_VALUE"""),10000.0)</f>
        <v>10000</v>
      </c>
      <c r="AC619" s="49">
        <f>IFERROR(__xludf.DUMMYFUNCTION("""COMPUTED_VALUE"""),10000.0)</f>
        <v>10000</v>
      </c>
      <c r="AD619" s="49"/>
      <c r="AE619" s="49"/>
      <c r="AF619" s="49" t="str">
        <f>IFERROR(__xludf.DUMMYFUNCTION("""COMPUTED_VALUE"""),"++Adrenaline - Upon being hit with any attack gain 1 stack of Insanity.")</f>
        <v>++Adrenaline - Upon being hit with any attack gain 1 stack of Insanity.</v>
      </c>
      <c r="AG619" s="49" t="str">
        <f>IFERROR(__xludf.DUMMYFUNCTION("""COMPUTED_VALUE"""),"Land of Spira")</f>
        <v>Land of Spira</v>
      </c>
      <c r="AH619" s="49" t="b">
        <f>IFERROR(__xludf.DUMMYFUNCTION("""COMPUTED_VALUE"""),FALSE)</f>
        <v>0</v>
      </c>
    </row>
    <row r="620">
      <c r="A620" s="49" t="str">
        <f>IFERROR(__xludf.DUMMYFUNCTION("""COMPUTED_VALUE"""),"Harbingers' Emblazoned Chest of The Encroaching Void (Spira)")</f>
        <v>Harbingers' Emblazoned Chest of The Encroaching Void (Spira)</v>
      </c>
      <c r="B620" s="49" t="str">
        <f>IFERROR(__xludf.DUMMYFUNCTION("""COMPUTED_VALUE"""),"Torso")</f>
        <v>Torso</v>
      </c>
      <c r="C620" s="49"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49"/>
      <c r="E620" s="49">
        <f>IFERROR(__xludf.DUMMYFUNCTION("""COMPUTED_VALUE"""),200.0)</f>
        <v>200</v>
      </c>
      <c r="F620" s="112">
        <f>IFERROR(__xludf.DUMMYFUNCTION("""COMPUTED_VALUE"""),7.98E8)</f>
        <v>798000000</v>
      </c>
      <c r="G620" s="49" t="str">
        <f>IFERROR(__xludf.DUMMYFUNCTION("""COMPUTED_VALUE"""),"DEF")</f>
        <v>DEF</v>
      </c>
      <c r="H620" s="125">
        <f>IFERROR(__xludf.DUMMYFUNCTION("""COMPUTED_VALUE"""),50000.0)</f>
        <v>50000</v>
      </c>
      <c r="I620" s="49">
        <f>IFERROR(__xludf.DUMMYFUNCTION("""COMPUTED_VALUE"""),10000.0)</f>
        <v>10000</v>
      </c>
      <c r="J620" s="49"/>
      <c r="K620" s="49">
        <f>IFERROR(__xludf.DUMMYFUNCTION("""COMPUTED_VALUE"""),10000.0)</f>
        <v>10000</v>
      </c>
      <c r="L620" s="49">
        <f>IFERROR(__xludf.DUMMYFUNCTION("""COMPUTED_VALUE"""),10000.0)</f>
        <v>10000</v>
      </c>
      <c r="M620" s="49">
        <f>IFERROR(__xludf.DUMMYFUNCTION("""COMPUTED_VALUE"""),10000.0)</f>
        <v>10000</v>
      </c>
      <c r="N620" s="49">
        <f>IFERROR(__xludf.DUMMYFUNCTION("""COMPUTED_VALUE"""),10000.0)</f>
        <v>10000</v>
      </c>
      <c r="O620" s="49">
        <f>IFERROR(__xludf.DUMMYFUNCTION("""COMPUTED_VALUE"""),10000.0)</f>
        <v>10000</v>
      </c>
      <c r="P620" s="49">
        <f>IFERROR(__xludf.DUMMYFUNCTION("""COMPUTED_VALUE"""),10000.0)</f>
        <v>10000</v>
      </c>
      <c r="Q620" s="49">
        <f>IFERROR(__xludf.DUMMYFUNCTION("""COMPUTED_VALUE"""),10000.0)</f>
        <v>10000</v>
      </c>
      <c r="R620" s="49">
        <f>IFERROR(__xludf.DUMMYFUNCTION("""COMPUTED_VALUE"""),10000.0)</f>
        <v>10000</v>
      </c>
      <c r="S620" s="49">
        <f>IFERROR(__xludf.DUMMYFUNCTION("""COMPUTED_VALUE"""),10000.0)</f>
        <v>10000</v>
      </c>
      <c r="T620" s="49"/>
      <c r="U620" s="49"/>
      <c r="V620" s="49"/>
      <c r="W620" s="49"/>
      <c r="X620" s="49">
        <f>IFERROR(__xludf.DUMMYFUNCTION("""COMPUTED_VALUE"""),10000.0)</f>
        <v>10000</v>
      </c>
      <c r="Y620" s="49">
        <f>IFERROR(__xludf.DUMMYFUNCTION("""COMPUTED_VALUE"""),10000.0)</f>
        <v>10000</v>
      </c>
      <c r="Z620" s="49"/>
      <c r="AA620" s="49">
        <f>IFERROR(__xludf.DUMMYFUNCTION("""COMPUTED_VALUE"""),10000.0)</f>
        <v>10000</v>
      </c>
      <c r="AB620" s="49">
        <f>IFERROR(__xludf.DUMMYFUNCTION("""COMPUTED_VALUE"""),10000.0)</f>
        <v>10000</v>
      </c>
      <c r="AC620" s="49">
        <f>IFERROR(__xludf.DUMMYFUNCTION("""COMPUTED_VALUE"""),10000.0)</f>
        <v>10000</v>
      </c>
      <c r="AD620" s="49"/>
      <c r="AE620" s="49"/>
      <c r="AF620" s="49" t="str">
        <f>IFERROR(__xludf.DUMMYFUNCTION("""COMPUTED_VALUE"""),"++Bloodlust - Upon targeting any enemy with an attack gain 2 stacks of insanity")</f>
        <v>++Bloodlust - Upon targeting any enemy with an attack gain 2 stacks of insanity</v>
      </c>
      <c r="AG620" s="49" t="str">
        <f>IFERROR(__xludf.DUMMYFUNCTION("""COMPUTED_VALUE"""),"Land of Spira")</f>
        <v>Land of Spira</v>
      </c>
      <c r="AH620" s="49" t="b">
        <f>IFERROR(__xludf.DUMMYFUNCTION("""COMPUTED_VALUE"""),FALSE)</f>
        <v>0</v>
      </c>
    </row>
    <row r="621">
      <c r="A621" s="49" t="str">
        <f>IFERROR(__xludf.DUMMYFUNCTION("""COMPUTED_VALUE"""),"Harbingers' Broken Fettering (Spira)")</f>
        <v>Harbingers' Broken Fettering (Spira)</v>
      </c>
      <c r="B621" s="49" t="str">
        <f>IFERROR(__xludf.DUMMYFUNCTION("""COMPUTED_VALUE"""),"Arms")</f>
        <v>Arms</v>
      </c>
      <c r="C621" s="49"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49"/>
      <c r="E621" s="49">
        <f>IFERROR(__xludf.DUMMYFUNCTION("""COMPUTED_VALUE"""),200.0)</f>
        <v>200</v>
      </c>
      <c r="F621" s="112">
        <f>IFERROR(__xludf.DUMMYFUNCTION("""COMPUTED_VALUE"""),7.98E8)</f>
        <v>798000000</v>
      </c>
      <c r="G621" s="49" t="str">
        <f>IFERROR(__xludf.DUMMYFUNCTION("""COMPUTED_VALUE"""),"DEF")</f>
        <v>DEF</v>
      </c>
      <c r="H621" s="125">
        <f>IFERROR(__xludf.DUMMYFUNCTION("""COMPUTED_VALUE"""),50000.0)</f>
        <v>50000</v>
      </c>
      <c r="I621" s="49">
        <f>IFERROR(__xludf.DUMMYFUNCTION("""COMPUTED_VALUE"""),10000.0)</f>
        <v>10000</v>
      </c>
      <c r="J621" s="49"/>
      <c r="K621" s="49">
        <f>IFERROR(__xludf.DUMMYFUNCTION("""COMPUTED_VALUE"""),10000.0)</f>
        <v>10000</v>
      </c>
      <c r="L621" s="49">
        <f>IFERROR(__xludf.DUMMYFUNCTION("""COMPUTED_VALUE"""),10000.0)</f>
        <v>10000</v>
      </c>
      <c r="M621" s="49">
        <f>IFERROR(__xludf.DUMMYFUNCTION("""COMPUTED_VALUE"""),10000.0)</f>
        <v>10000</v>
      </c>
      <c r="N621" s="49">
        <f>IFERROR(__xludf.DUMMYFUNCTION("""COMPUTED_VALUE"""),10000.0)</f>
        <v>10000</v>
      </c>
      <c r="O621" s="49">
        <f>IFERROR(__xludf.DUMMYFUNCTION("""COMPUTED_VALUE"""),10000.0)</f>
        <v>10000</v>
      </c>
      <c r="P621" s="49">
        <f>IFERROR(__xludf.DUMMYFUNCTION("""COMPUTED_VALUE"""),10000.0)</f>
        <v>10000</v>
      </c>
      <c r="Q621" s="49">
        <f>IFERROR(__xludf.DUMMYFUNCTION("""COMPUTED_VALUE"""),10000.0)</f>
        <v>10000</v>
      </c>
      <c r="R621" s="49">
        <f>IFERROR(__xludf.DUMMYFUNCTION("""COMPUTED_VALUE"""),10000.0)</f>
        <v>10000</v>
      </c>
      <c r="S621" s="49">
        <f>IFERROR(__xludf.DUMMYFUNCTION("""COMPUTED_VALUE"""),10000.0)</f>
        <v>10000</v>
      </c>
      <c r="T621" s="49"/>
      <c r="U621" s="49"/>
      <c r="V621" s="49"/>
      <c r="W621" s="49"/>
      <c r="X621" s="49">
        <f>IFERROR(__xludf.DUMMYFUNCTION("""COMPUTED_VALUE"""),10000.0)</f>
        <v>10000</v>
      </c>
      <c r="Y621" s="49">
        <f>IFERROR(__xludf.DUMMYFUNCTION("""COMPUTED_VALUE"""),10000.0)</f>
        <v>10000</v>
      </c>
      <c r="Z621" s="49"/>
      <c r="AA621" s="49">
        <f>IFERROR(__xludf.DUMMYFUNCTION("""COMPUTED_VALUE"""),10000.0)</f>
        <v>10000</v>
      </c>
      <c r="AB621" s="49">
        <f>IFERROR(__xludf.DUMMYFUNCTION("""COMPUTED_VALUE"""),10000.0)</f>
        <v>10000</v>
      </c>
      <c r="AC621" s="49">
        <f>IFERROR(__xludf.DUMMYFUNCTION("""COMPUTED_VALUE"""),10000.0)</f>
        <v>10000</v>
      </c>
      <c r="AD621" s="49"/>
      <c r="AE621" s="49"/>
      <c r="AF621" s="49"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49" t="str">
        <f>IFERROR(__xludf.DUMMYFUNCTION("""COMPUTED_VALUE"""),"Land of Spira")</f>
        <v>Land of Spira</v>
      </c>
      <c r="AH621" s="49" t="b">
        <f>IFERROR(__xludf.DUMMYFUNCTION("""COMPUTED_VALUE"""),FALSE)</f>
        <v>0</v>
      </c>
    </row>
    <row r="622">
      <c r="A622" s="49" t="str">
        <f>IFERROR(__xludf.DUMMYFUNCTION("""COMPUTED_VALUE"""),"Harbingers' Ethereal Chausses (Spira)")</f>
        <v>Harbingers' Ethereal Chausses (Spira)</v>
      </c>
      <c r="B622" s="49" t="str">
        <f>IFERROR(__xludf.DUMMYFUNCTION("""COMPUTED_VALUE"""),"Legs")</f>
        <v>Legs</v>
      </c>
      <c r="C622" s="49"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49"/>
      <c r="E622" s="49">
        <f>IFERROR(__xludf.DUMMYFUNCTION("""COMPUTED_VALUE"""),200.0)</f>
        <v>200</v>
      </c>
      <c r="F622" s="112">
        <f>IFERROR(__xludf.DUMMYFUNCTION("""COMPUTED_VALUE"""),7.98E8)</f>
        <v>798000000</v>
      </c>
      <c r="G622" s="49" t="str">
        <f>IFERROR(__xludf.DUMMYFUNCTION("""COMPUTED_VALUE"""),"DEF")</f>
        <v>DEF</v>
      </c>
      <c r="H622" s="125">
        <f>IFERROR(__xludf.DUMMYFUNCTION("""COMPUTED_VALUE"""),50000.0)</f>
        <v>50000</v>
      </c>
      <c r="I622" s="49">
        <f>IFERROR(__xludf.DUMMYFUNCTION("""COMPUTED_VALUE"""),10000.0)</f>
        <v>10000</v>
      </c>
      <c r="J622" s="49"/>
      <c r="K622" s="49">
        <f>IFERROR(__xludf.DUMMYFUNCTION("""COMPUTED_VALUE"""),10000.0)</f>
        <v>10000</v>
      </c>
      <c r="L622" s="49">
        <f>IFERROR(__xludf.DUMMYFUNCTION("""COMPUTED_VALUE"""),10000.0)</f>
        <v>10000</v>
      </c>
      <c r="M622" s="49">
        <f>IFERROR(__xludf.DUMMYFUNCTION("""COMPUTED_VALUE"""),10000.0)</f>
        <v>10000</v>
      </c>
      <c r="N622" s="49">
        <f>IFERROR(__xludf.DUMMYFUNCTION("""COMPUTED_VALUE"""),10000.0)</f>
        <v>10000</v>
      </c>
      <c r="O622" s="49">
        <f>IFERROR(__xludf.DUMMYFUNCTION("""COMPUTED_VALUE"""),10000.0)</f>
        <v>10000</v>
      </c>
      <c r="P622" s="49">
        <f>IFERROR(__xludf.DUMMYFUNCTION("""COMPUTED_VALUE"""),10000.0)</f>
        <v>10000</v>
      </c>
      <c r="Q622" s="49">
        <f>IFERROR(__xludf.DUMMYFUNCTION("""COMPUTED_VALUE"""),10000.0)</f>
        <v>10000</v>
      </c>
      <c r="R622" s="49">
        <f>IFERROR(__xludf.DUMMYFUNCTION("""COMPUTED_VALUE"""),10000.0)</f>
        <v>10000</v>
      </c>
      <c r="S622" s="49">
        <f>IFERROR(__xludf.DUMMYFUNCTION("""COMPUTED_VALUE"""),10000.0)</f>
        <v>10000</v>
      </c>
      <c r="T622" s="49"/>
      <c r="U622" s="49"/>
      <c r="V622" s="49"/>
      <c r="W622" s="49"/>
      <c r="X622" s="49">
        <f>IFERROR(__xludf.DUMMYFUNCTION("""COMPUTED_VALUE"""),10000.0)</f>
        <v>10000</v>
      </c>
      <c r="Y622" s="49">
        <f>IFERROR(__xludf.DUMMYFUNCTION("""COMPUTED_VALUE"""),10000.0)</f>
        <v>10000</v>
      </c>
      <c r="Z622" s="49"/>
      <c r="AA622" s="49">
        <f>IFERROR(__xludf.DUMMYFUNCTION("""COMPUTED_VALUE"""),10000.0)</f>
        <v>10000</v>
      </c>
      <c r="AB622" s="49">
        <f>IFERROR(__xludf.DUMMYFUNCTION("""COMPUTED_VALUE"""),10000.0)</f>
        <v>10000</v>
      </c>
      <c r="AC622" s="49">
        <f>IFERROR(__xludf.DUMMYFUNCTION("""COMPUTED_VALUE"""),10000.0)</f>
        <v>10000</v>
      </c>
      <c r="AD622" s="49"/>
      <c r="AE622" s="49"/>
      <c r="AF622" s="49"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49" t="str">
        <f>IFERROR(__xludf.DUMMYFUNCTION("""COMPUTED_VALUE"""),"Land of Spira")</f>
        <v>Land of Spira</v>
      </c>
      <c r="AH622" s="49" t="b">
        <f>IFERROR(__xludf.DUMMYFUNCTION("""COMPUTED_VALUE"""),FALSE)</f>
        <v>0</v>
      </c>
    </row>
    <row r="623">
      <c r="A623" s="49" t="str">
        <f>IFERROR(__xludf.DUMMYFUNCTION("""COMPUTED_VALUE"""),"Harbingers' Spiked Sabatons (Spira)")</f>
        <v>Harbingers' Spiked Sabatons (Spira)</v>
      </c>
      <c r="B623" s="49" t="str">
        <f>IFERROR(__xludf.DUMMYFUNCTION("""COMPUTED_VALUE"""),"Feet")</f>
        <v>Feet</v>
      </c>
      <c r="C623" s="49"/>
      <c r="D623" s="49"/>
      <c r="E623" s="49">
        <f>IFERROR(__xludf.DUMMYFUNCTION("""COMPUTED_VALUE"""),200.0)</f>
        <v>200</v>
      </c>
      <c r="F623" s="112">
        <f>IFERROR(__xludf.DUMMYFUNCTION("""COMPUTED_VALUE"""),7.98E8)</f>
        <v>798000000</v>
      </c>
      <c r="G623" s="49" t="str">
        <f>IFERROR(__xludf.DUMMYFUNCTION("""COMPUTED_VALUE"""),"DEF")</f>
        <v>DEF</v>
      </c>
      <c r="H623" s="125">
        <f>IFERROR(__xludf.DUMMYFUNCTION("""COMPUTED_VALUE"""),50000.0)</f>
        <v>50000</v>
      </c>
      <c r="I623" s="49">
        <f>IFERROR(__xludf.DUMMYFUNCTION("""COMPUTED_VALUE"""),10000.0)</f>
        <v>10000</v>
      </c>
      <c r="J623" s="49"/>
      <c r="K623" s="49">
        <f>IFERROR(__xludf.DUMMYFUNCTION("""COMPUTED_VALUE"""),10000.0)</f>
        <v>10000</v>
      </c>
      <c r="L623" s="49">
        <f>IFERROR(__xludf.DUMMYFUNCTION("""COMPUTED_VALUE"""),10000.0)</f>
        <v>10000</v>
      </c>
      <c r="M623" s="49">
        <f>IFERROR(__xludf.DUMMYFUNCTION("""COMPUTED_VALUE"""),10000.0)</f>
        <v>10000</v>
      </c>
      <c r="N623" s="49">
        <f>IFERROR(__xludf.DUMMYFUNCTION("""COMPUTED_VALUE"""),10000.0)</f>
        <v>10000</v>
      </c>
      <c r="O623" s="49">
        <f>IFERROR(__xludf.DUMMYFUNCTION("""COMPUTED_VALUE"""),10000.0)</f>
        <v>10000</v>
      </c>
      <c r="P623" s="49">
        <f>IFERROR(__xludf.DUMMYFUNCTION("""COMPUTED_VALUE"""),10000.0)</f>
        <v>10000</v>
      </c>
      <c r="Q623" s="49">
        <f>IFERROR(__xludf.DUMMYFUNCTION("""COMPUTED_VALUE"""),10000.0)</f>
        <v>10000</v>
      </c>
      <c r="R623" s="49">
        <f>IFERROR(__xludf.DUMMYFUNCTION("""COMPUTED_VALUE"""),10000.0)</f>
        <v>10000</v>
      </c>
      <c r="S623" s="49">
        <f>IFERROR(__xludf.DUMMYFUNCTION("""COMPUTED_VALUE"""),10000.0)</f>
        <v>10000</v>
      </c>
      <c r="T623" s="49"/>
      <c r="U623" s="49"/>
      <c r="V623" s="49"/>
      <c r="W623" s="49"/>
      <c r="X623" s="49">
        <f>IFERROR(__xludf.DUMMYFUNCTION("""COMPUTED_VALUE"""),10000.0)</f>
        <v>10000</v>
      </c>
      <c r="Y623" s="49">
        <f>IFERROR(__xludf.DUMMYFUNCTION("""COMPUTED_VALUE"""),10000.0)</f>
        <v>10000</v>
      </c>
      <c r="Z623" s="49"/>
      <c r="AA623" s="49">
        <f>IFERROR(__xludf.DUMMYFUNCTION("""COMPUTED_VALUE"""),10000.0)</f>
        <v>10000</v>
      </c>
      <c r="AB623" s="49">
        <f>IFERROR(__xludf.DUMMYFUNCTION("""COMPUTED_VALUE"""),10000.0)</f>
        <v>10000</v>
      </c>
      <c r="AC623" s="49">
        <f>IFERROR(__xludf.DUMMYFUNCTION("""COMPUTED_VALUE"""),10000.0)</f>
        <v>10000</v>
      </c>
      <c r="AD623" s="49"/>
      <c r="AE623" s="49"/>
      <c r="AF623" s="49"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49" t="str">
        <f>IFERROR(__xludf.DUMMYFUNCTION("""COMPUTED_VALUE"""),"Land of Spira")</f>
        <v>Land of Spira</v>
      </c>
      <c r="AH623" s="49" t="b">
        <f>IFERROR(__xludf.DUMMYFUNCTION("""COMPUTED_VALUE"""),FALSE)</f>
        <v>0</v>
      </c>
    </row>
    <row r="624">
      <c r="A624" s="49" t="str">
        <f>IFERROR(__xludf.DUMMYFUNCTION("""COMPUTED_VALUE"""),"Harbingers' Vow (Spira)")</f>
        <v>Harbingers' Vow (Spira)</v>
      </c>
      <c r="B624" s="49" t="str">
        <f>IFERROR(__xludf.DUMMYFUNCTION("""COMPUTED_VALUE"""),"Finger")</f>
        <v>Finger</v>
      </c>
      <c r="C624" s="49"/>
      <c r="D624" s="49"/>
      <c r="E624" s="49">
        <f>IFERROR(__xludf.DUMMYFUNCTION("""COMPUTED_VALUE"""),1.0)</f>
        <v>1</v>
      </c>
      <c r="F624" s="112">
        <f>IFERROR(__xludf.DUMMYFUNCTION("""COMPUTED_VALUE"""),0.0)</f>
        <v>0</v>
      </c>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c r="AE624" s="49"/>
      <c r="AF624" s="49"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49" t="str">
        <f>IFERROR(__xludf.DUMMYFUNCTION("""COMPUTED_VALUE"""),"Land of Spira")</f>
        <v>Land of Spira</v>
      </c>
      <c r="AH624" s="49" t="b">
        <f>IFERROR(__xludf.DUMMYFUNCTION("""COMPUTED_VALUE"""),FALSE)</f>
        <v>0</v>
      </c>
    </row>
    <row r="625">
      <c r="A625" s="49" t="str">
        <f>IFERROR(__xludf.DUMMYFUNCTION("""COMPUTED_VALUE"""),"Harbingers' Resolve (Spira)")</f>
        <v>Harbingers' Resolve (Spira)</v>
      </c>
      <c r="B625" s="49" t="str">
        <f>IFERROR(__xludf.DUMMYFUNCTION("""COMPUTED_VALUE"""),"Neck")</f>
        <v>Neck</v>
      </c>
      <c r="C625" s="49"/>
      <c r="D625" s="49"/>
      <c r="E625" s="49">
        <f>IFERROR(__xludf.DUMMYFUNCTION("""COMPUTED_VALUE"""),1.0)</f>
        <v>1</v>
      </c>
      <c r="F625" s="112">
        <f>IFERROR(__xludf.DUMMYFUNCTION("""COMPUTED_VALUE"""),0.0)</f>
        <v>0</v>
      </c>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c r="AE625" s="49"/>
      <c r="AF625" s="49" t="str">
        <f>IFERROR(__xludf.DUMMYFUNCTION("""COMPUTED_VALUE"""),"++To the Death! - Upon taking lethal damage resist it with 1 hp and gain 10 stacks of insanity (once per battle)")</f>
        <v>++To the Death! - Upon taking lethal damage resist it with 1 hp and gain 10 stacks of insanity (once per battle)</v>
      </c>
      <c r="AG625" s="49" t="str">
        <f>IFERROR(__xludf.DUMMYFUNCTION("""COMPUTED_VALUE"""),"Land of Spira")</f>
        <v>Land of Spira</v>
      </c>
      <c r="AH625" s="49" t="b">
        <f>IFERROR(__xludf.DUMMYFUNCTION("""COMPUTED_VALUE"""),FALSE)</f>
        <v>0</v>
      </c>
    </row>
    <row r="626">
      <c r="A626" s="49" t="str">
        <f>IFERROR(__xludf.DUMMYFUNCTION("""COMPUTED_VALUE"""),"Harbingers' Fist of Iron (Spira)")</f>
        <v>Harbingers' Fist of Iron (Spira)</v>
      </c>
      <c r="B626" s="49" t="str">
        <f>IFERROR(__xludf.DUMMYFUNCTION("""COMPUTED_VALUE"""),"Hand")</f>
        <v>Hand</v>
      </c>
      <c r="C626" s="49"/>
      <c r="D626" s="49" t="str">
        <f>IFERROR(__xludf.DUMMYFUNCTION("""COMPUTED_VALUE"""),"Gauntlet")</f>
        <v>Gauntlet</v>
      </c>
      <c r="E626" s="49">
        <f>IFERROR(__xludf.DUMMYFUNCTION("""COMPUTED_VALUE"""),200.0)</f>
        <v>200</v>
      </c>
      <c r="F626" s="112">
        <f>IFERROR(__xludf.DUMMYFUNCTION("""COMPUTED_VALUE"""),1.99E8)</f>
        <v>199000000</v>
      </c>
      <c r="G626" s="49" t="str">
        <f>IFERROR(__xludf.DUMMYFUNCTION("""COMPUTED_VALUE"""),"DEF")</f>
        <v>DEF</v>
      </c>
      <c r="H626" s="125">
        <f>IFERROR(__xludf.DUMMYFUNCTION("""COMPUTED_VALUE"""),50000.0)</f>
        <v>50000</v>
      </c>
      <c r="I626" s="49"/>
      <c r="J626" s="49"/>
      <c r="K626" s="49"/>
      <c r="L626" s="49"/>
      <c r="M626" s="49"/>
      <c r="N626" s="49"/>
      <c r="O626" s="49"/>
      <c r="P626" s="49"/>
      <c r="Q626" s="49"/>
      <c r="R626" s="49"/>
      <c r="S626" s="49"/>
      <c r="T626" s="49"/>
      <c r="U626" s="49"/>
      <c r="V626" s="49"/>
      <c r="W626" s="49"/>
      <c r="X626" s="49"/>
      <c r="Y626" s="49"/>
      <c r="Z626" s="49"/>
      <c r="AA626" s="49"/>
      <c r="AB626" s="49"/>
      <c r="AC626" s="125">
        <f>IFERROR(__xludf.DUMMYFUNCTION("""COMPUTED_VALUE"""),50000.0)</f>
        <v>50000</v>
      </c>
      <c r="AD626" s="49"/>
      <c r="AE626" s="49"/>
      <c r="AF626" s="49"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49" t="str">
        <f>IFERROR(__xludf.DUMMYFUNCTION("""COMPUTED_VALUE"""),"Land of Spira")</f>
        <v>Land of Spira</v>
      </c>
      <c r="AH626" s="49" t="b">
        <f>IFERROR(__xludf.DUMMYFUNCTION("""COMPUTED_VALUE"""),FALSE)</f>
        <v>0</v>
      </c>
    </row>
    <row r="627">
      <c r="A627" s="49" t="str">
        <f>IFERROR(__xludf.DUMMYFUNCTION("""COMPUTED_VALUE"""),"Harbingers' Claw of Steel (Spira)")</f>
        <v>Harbingers' Claw of Steel (Spira)</v>
      </c>
      <c r="B627" s="49" t="str">
        <f>IFERROR(__xludf.DUMMYFUNCTION("""COMPUTED_VALUE"""),"Hand")</f>
        <v>Hand</v>
      </c>
      <c r="C627" s="49"/>
      <c r="D627" s="49" t="str">
        <f>IFERROR(__xludf.DUMMYFUNCTION("""COMPUTED_VALUE"""),"Claw")</f>
        <v>Claw</v>
      </c>
      <c r="E627" s="49">
        <f>IFERROR(__xludf.DUMMYFUNCTION("""COMPUTED_VALUE"""),200.0)</f>
        <v>200</v>
      </c>
      <c r="F627" s="112">
        <f>IFERROR(__xludf.DUMMYFUNCTION("""COMPUTED_VALUE"""),1.99E8)</f>
        <v>199000000</v>
      </c>
      <c r="G627" s="49" t="str">
        <f>IFERROR(__xludf.DUMMYFUNCTION("""COMPUTED_VALUE"""),"DMG")</f>
        <v>DMG</v>
      </c>
      <c r="H627" s="125">
        <f>IFERROR(__xludf.DUMMYFUNCTION("""COMPUTED_VALUE"""),50000.0)</f>
        <v>50000</v>
      </c>
      <c r="I627" s="49"/>
      <c r="J627" s="49"/>
      <c r="K627" s="49"/>
      <c r="L627" s="49"/>
      <c r="M627" s="49"/>
      <c r="N627" s="49"/>
      <c r="O627" s="49"/>
      <c r="P627" s="49"/>
      <c r="Q627" s="49"/>
      <c r="R627" s="49"/>
      <c r="S627" s="49"/>
      <c r="T627" s="49"/>
      <c r="U627" s="49"/>
      <c r="V627" s="49"/>
      <c r="W627" s="49"/>
      <c r="X627" s="49"/>
      <c r="Y627" s="49"/>
      <c r="Z627" s="49">
        <f>IFERROR(__xludf.DUMMYFUNCTION("""COMPUTED_VALUE"""),25000.0)</f>
        <v>25000</v>
      </c>
      <c r="AA627" s="49"/>
      <c r="AB627" s="49"/>
      <c r="AC627" s="125">
        <f>IFERROR(__xludf.DUMMYFUNCTION("""COMPUTED_VALUE"""),25000.0)</f>
        <v>25000</v>
      </c>
      <c r="AD627" s="49"/>
      <c r="AE627" s="49"/>
      <c r="AF627" s="49"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49" t="str">
        <f>IFERROR(__xludf.DUMMYFUNCTION("""COMPUTED_VALUE"""),"Land of Spira")</f>
        <v>Land of Spira</v>
      </c>
      <c r="AH627" s="49" t="b">
        <f>IFERROR(__xludf.DUMMYFUNCTION("""COMPUTED_VALUE"""),FALSE)</f>
        <v>0</v>
      </c>
    </row>
    <row r="628">
      <c r="A628" s="49" t="str">
        <f>IFERROR(__xludf.DUMMYFUNCTION("""COMPUTED_VALUE"""),"Eagles Claw")</f>
        <v>Eagles Claw</v>
      </c>
      <c r="B628" s="49" t="str">
        <f>IFERROR(__xludf.DUMMYFUNCTION("""COMPUTED_VALUE"""),"Hand")</f>
        <v>Hand</v>
      </c>
      <c r="C628" s="49"/>
      <c r="D628" s="49" t="str">
        <f>IFERROR(__xludf.DUMMYFUNCTION("""COMPUTED_VALUE"""),"Claw")</f>
        <v>Claw</v>
      </c>
      <c r="E628" s="49">
        <f>IFERROR(__xludf.DUMMYFUNCTION("""COMPUTED_VALUE"""),200.0)</f>
        <v>200</v>
      </c>
      <c r="F628" s="112">
        <f>IFERROR(__xludf.DUMMYFUNCTION("""COMPUTED_VALUE"""),1900000.0)</f>
        <v>1900000</v>
      </c>
      <c r="G628" s="49" t="str">
        <f>IFERROR(__xludf.DUMMYFUNCTION("""COMPUTED_VALUE"""),"DMG")</f>
        <v>DMG</v>
      </c>
      <c r="H628" s="125">
        <f>IFERROR(__xludf.DUMMYFUNCTION("""COMPUTED_VALUE"""),10000.0)</f>
        <v>10000</v>
      </c>
      <c r="I628" s="49"/>
      <c r="J628" s="49"/>
      <c r="K628" s="49"/>
      <c r="L628" s="49"/>
      <c r="M628" s="49"/>
      <c r="N628" s="49"/>
      <c r="O628" s="49"/>
      <c r="P628" s="49"/>
      <c r="Q628" s="49"/>
      <c r="R628" s="49"/>
      <c r="S628" s="49"/>
      <c r="T628" s="49"/>
      <c r="U628" s="49"/>
      <c r="V628" s="49"/>
      <c r="W628" s="49"/>
      <c r="X628" s="49"/>
      <c r="Y628" s="49"/>
      <c r="Z628" s="49"/>
      <c r="AA628" s="49"/>
      <c r="AB628" s="49"/>
      <c r="AC628" s="49"/>
      <c r="AD628" s="49"/>
      <c r="AE628" s="49"/>
      <c r="AF628" s="49" t="str">
        <f>IFERROR(__xludf.DUMMYFUNCTION("""COMPUTED_VALUE"""),"++Eagles Removal - 20% Chance to remove the target from battle. ")</f>
        <v>++Eagles Removal - 20% Chance to remove the target from battle. </v>
      </c>
      <c r="AG628" s="49" t="str">
        <f>IFERROR(__xludf.DUMMYFUNCTION("""COMPUTED_VALUE"""),"Land of Spira")</f>
        <v>Land of Spira</v>
      </c>
      <c r="AH628" s="49" t="b">
        <f>IFERROR(__xludf.DUMMYFUNCTION("""COMPUTED_VALUE"""),FALSE)</f>
        <v>0</v>
      </c>
    </row>
    <row r="629">
      <c r="A629" s="49" t="str">
        <f>IFERROR(__xludf.DUMMYFUNCTION("""COMPUTED_VALUE"""),"Golden Gauntlet")</f>
        <v>Golden Gauntlet</v>
      </c>
      <c r="B629" s="49" t="str">
        <f>IFERROR(__xludf.DUMMYFUNCTION("""COMPUTED_VALUE"""),"Hand")</f>
        <v>Hand</v>
      </c>
      <c r="C629" s="49"/>
      <c r="D629" s="49" t="str">
        <f>IFERROR(__xludf.DUMMYFUNCTION("""COMPUTED_VALUE"""),"Gauntlet")</f>
        <v>Gauntlet</v>
      </c>
      <c r="E629" s="49">
        <f>IFERROR(__xludf.DUMMYFUNCTION("""COMPUTED_VALUE"""),200.0)</f>
        <v>200</v>
      </c>
      <c r="F629" s="112">
        <f>IFERROR(__xludf.DUMMYFUNCTION("""COMPUTED_VALUE"""),1900000.0)</f>
        <v>1900000</v>
      </c>
      <c r="G629" s="49" t="str">
        <f>IFERROR(__xludf.DUMMYFUNCTION("""COMPUTED_VALUE"""),"DMG")</f>
        <v>DMG</v>
      </c>
      <c r="H629" s="125">
        <f>IFERROR(__xludf.DUMMYFUNCTION("""COMPUTED_VALUE"""),5000.0)</f>
        <v>5000</v>
      </c>
      <c r="I629" s="49"/>
      <c r="J629" s="49"/>
      <c r="K629" s="49"/>
      <c r="L629" s="49"/>
      <c r="M629" s="49"/>
      <c r="N629" s="125">
        <f>IFERROR(__xludf.DUMMYFUNCTION("""COMPUTED_VALUE"""),2500.0)</f>
        <v>2500</v>
      </c>
      <c r="O629" s="49"/>
      <c r="P629" s="49"/>
      <c r="Q629" s="125">
        <f>IFERROR(__xludf.DUMMYFUNCTION("""COMPUTED_VALUE"""),2500.0)</f>
        <v>2500</v>
      </c>
      <c r="R629" s="49"/>
      <c r="S629" s="49"/>
      <c r="T629" s="49"/>
      <c r="U629" s="49"/>
      <c r="V629" s="49"/>
      <c r="W629" s="49"/>
      <c r="X629" s="49"/>
      <c r="Y629" s="49"/>
      <c r="Z629" s="49"/>
      <c r="AA629" s="49"/>
      <c r="AB629" s="49"/>
      <c r="AC629" s="49"/>
      <c r="AD629" s="49"/>
      <c r="AE629" s="49"/>
      <c r="AF629" s="49"/>
      <c r="AG629" s="49" t="str">
        <f>IFERROR(__xludf.DUMMYFUNCTION("""COMPUTED_VALUE"""),"Land of Spira")</f>
        <v>Land of Spira</v>
      </c>
      <c r="AH629" s="49" t="b">
        <f>IFERROR(__xludf.DUMMYFUNCTION("""COMPUTED_VALUE"""),FALSE)</f>
        <v>0</v>
      </c>
    </row>
    <row r="630">
      <c r="A630" s="49" t="str">
        <f>IFERROR(__xludf.DUMMYFUNCTION("""COMPUTED_VALUE"""),"Hand Crossbow")</f>
        <v>Hand Crossbow</v>
      </c>
      <c r="B630" s="49" t="str">
        <f>IFERROR(__xludf.DUMMYFUNCTION("""COMPUTED_VALUE"""),"Hand")</f>
        <v>Hand</v>
      </c>
      <c r="C630" s="49"/>
      <c r="D630" s="49" t="str">
        <f>IFERROR(__xludf.DUMMYFUNCTION("""COMPUTED_VALUE"""),"Bow")</f>
        <v>Bow</v>
      </c>
      <c r="E630" s="49">
        <f>IFERROR(__xludf.DUMMYFUNCTION("""COMPUTED_VALUE"""),200.0)</f>
        <v>200</v>
      </c>
      <c r="F630" s="112">
        <f>IFERROR(__xludf.DUMMYFUNCTION("""COMPUTED_VALUE"""),1900000.0)</f>
        <v>1900000</v>
      </c>
      <c r="G630" s="49" t="str">
        <f>IFERROR(__xludf.DUMMYFUNCTION("""COMPUTED_VALUE"""),"DMG")</f>
        <v>DMG</v>
      </c>
      <c r="H630" s="125">
        <f>IFERROR(__xludf.DUMMYFUNCTION("""COMPUTED_VALUE"""),10000.0)</f>
        <v>10000</v>
      </c>
      <c r="I630" s="49"/>
      <c r="J630" s="49"/>
      <c r="K630" s="49"/>
      <c r="L630" s="49"/>
      <c r="M630" s="49"/>
      <c r="N630" s="49"/>
      <c r="O630" s="49"/>
      <c r="P630" s="49"/>
      <c r="Q630" s="49"/>
      <c r="R630" s="49"/>
      <c r="S630" s="49"/>
      <c r="T630" s="49"/>
      <c r="U630" s="49"/>
      <c r="V630" s="49"/>
      <c r="W630" s="49"/>
      <c r="X630" s="49"/>
      <c r="Y630" s="49"/>
      <c r="Z630" s="49"/>
      <c r="AA630" s="49"/>
      <c r="AB630" s="49"/>
      <c r="AC630" s="49"/>
      <c r="AD630" s="49"/>
      <c r="AE630" s="49"/>
      <c r="AF630" s="49"/>
      <c r="AG630" s="49" t="str">
        <f>IFERROR(__xludf.DUMMYFUNCTION("""COMPUTED_VALUE"""),"Land of Spira")</f>
        <v>Land of Spira</v>
      </c>
      <c r="AH630" s="49" t="b">
        <f>IFERROR(__xludf.DUMMYFUNCTION("""COMPUTED_VALUE"""),FALSE)</f>
        <v>0</v>
      </c>
    </row>
    <row r="631">
      <c r="A631" s="49" t="str">
        <f>IFERROR(__xludf.DUMMYFUNCTION("""COMPUTED_VALUE"""),"Flintlock Pistol")</f>
        <v>Flintlock Pistol</v>
      </c>
      <c r="B631" s="49" t="str">
        <f>IFERROR(__xludf.DUMMYFUNCTION("""COMPUTED_VALUE"""),"Hand")</f>
        <v>Hand</v>
      </c>
      <c r="C631" s="49"/>
      <c r="D631" s="49" t="str">
        <f>IFERROR(__xludf.DUMMYFUNCTION("""COMPUTED_VALUE"""),"Firearm")</f>
        <v>Firearm</v>
      </c>
      <c r="E631" s="49">
        <f>IFERROR(__xludf.DUMMYFUNCTION("""COMPUTED_VALUE"""),200.0)</f>
        <v>200</v>
      </c>
      <c r="F631" s="112">
        <f>IFERROR(__xludf.DUMMYFUNCTION("""COMPUTED_VALUE"""),1900000.0)</f>
        <v>1900000</v>
      </c>
      <c r="G631" s="49" t="str">
        <f>IFERROR(__xludf.DUMMYFUNCTION("""COMPUTED_VALUE"""),"DMG")</f>
        <v>DMG</v>
      </c>
      <c r="H631" s="49">
        <f>IFERROR(__xludf.DUMMYFUNCTION("""COMPUTED_VALUE"""),10000.0)</f>
        <v>10000</v>
      </c>
      <c r="I631" s="49"/>
      <c r="J631" s="49"/>
      <c r="K631" s="49"/>
      <c r="L631" s="49"/>
      <c r="M631" s="49"/>
      <c r="N631" s="49"/>
      <c r="O631" s="49"/>
      <c r="P631" s="49"/>
      <c r="Q631" s="49"/>
      <c r="R631" s="49"/>
      <c r="S631" s="49"/>
      <c r="T631" s="49"/>
      <c r="U631" s="49"/>
      <c r="V631" s="49"/>
      <c r="W631" s="49"/>
      <c r="X631" s="49"/>
      <c r="Y631" s="49"/>
      <c r="Z631" s="49"/>
      <c r="AA631" s="49"/>
      <c r="AB631" s="49"/>
      <c r="AC631" s="49"/>
      <c r="AD631" s="49"/>
      <c r="AE631" s="49"/>
      <c r="AF631" s="49"/>
      <c r="AG631" s="49" t="str">
        <f>IFERROR(__xludf.DUMMYFUNCTION("""COMPUTED_VALUE"""),"Land of Spira")</f>
        <v>Land of Spira</v>
      </c>
      <c r="AH631" s="49" t="b">
        <f>IFERROR(__xludf.DUMMYFUNCTION("""COMPUTED_VALUE"""),FALSE)</f>
        <v>0</v>
      </c>
    </row>
    <row r="632">
      <c r="A632" s="49" t="str">
        <f>IFERROR(__xludf.DUMMYFUNCTION("""COMPUTED_VALUE"""),"Head of Gévaudan")</f>
        <v>Head of Gévaudan</v>
      </c>
      <c r="B632" s="49" t="str">
        <f>IFERROR(__xludf.DUMMYFUNCTION("""COMPUTED_VALUE"""),"Head")</f>
        <v>Head</v>
      </c>
      <c r="C632" s="49"/>
      <c r="D632" s="49"/>
      <c r="E632" s="49">
        <f>IFERROR(__xludf.DUMMYFUNCTION("""COMPUTED_VALUE"""),200.0)</f>
        <v>200</v>
      </c>
      <c r="F632" s="112">
        <f>IFERROR(__xludf.DUMMYFUNCTION("""COMPUTED_VALUE"""),1900000.0)</f>
        <v>1900000</v>
      </c>
      <c r="G632" s="49" t="str">
        <f>IFERROR(__xludf.DUMMYFUNCTION("""COMPUTED_VALUE"""),"DEF")</f>
        <v>DEF</v>
      </c>
      <c r="H632" s="49">
        <f>IFERROR(__xludf.DUMMYFUNCTION("""COMPUTED_VALUE"""),10000.0)</f>
        <v>10000</v>
      </c>
      <c r="I632" s="49"/>
      <c r="J632" s="49"/>
      <c r="K632" s="49"/>
      <c r="L632" s="49"/>
      <c r="M632" s="49"/>
      <c r="N632" s="49"/>
      <c r="O632" s="49"/>
      <c r="P632" s="49"/>
      <c r="Q632" s="49"/>
      <c r="R632" s="49"/>
      <c r="S632" s="49"/>
      <c r="T632" s="49"/>
      <c r="U632" s="49"/>
      <c r="V632" s="49"/>
      <c r="W632" s="49"/>
      <c r="X632" s="49"/>
      <c r="Y632" s="49"/>
      <c r="Z632" s="49"/>
      <c r="AA632" s="49"/>
      <c r="AB632" s="49"/>
      <c r="AC632" s="49"/>
      <c r="AD632" s="49"/>
      <c r="AE632" s="49"/>
      <c r="AF632" s="49" t="str">
        <f>IFERROR(__xludf.DUMMYFUNCTION("""COMPUTED_VALUE"""),"++ +5 to intimidation, ++Soul Shake: Allows to cast ""Shaken Soul""")</f>
        <v>++ +5 to intimidation, ++Soul Shake: Allows to cast "Shaken Soul"</v>
      </c>
      <c r="AG632" s="49" t="str">
        <f>IFERROR(__xludf.DUMMYFUNCTION("""COMPUTED_VALUE"""),"Land of Spira")</f>
        <v>Land of Spira</v>
      </c>
      <c r="AH632" s="49" t="b">
        <f>IFERROR(__xludf.DUMMYFUNCTION("""COMPUTED_VALUE"""),FALSE)</f>
        <v>0</v>
      </c>
    </row>
    <row r="633">
      <c r="A633" s="49" t="str">
        <f>IFERROR(__xludf.DUMMYFUNCTION("""COMPUTED_VALUE"""),"Phantasmal Scythe")</f>
        <v>Phantasmal Scythe</v>
      </c>
      <c r="B633" s="49" t="str">
        <f>IFERROR(__xludf.DUMMYFUNCTION("""COMPUTED_VALUE"""),"Hand")</f>
        <v>Hand</v>
      </c>
      <c r="C633" s="49"/>
      <c r="D633" s="49" t="str">
        <f>IFERROR(__xludf.DUMMYFUNCTION("""COMPUTED_VALUE"""),"Scythe")</f>
        <v>Scythe</v>
      </c>
      <c r="E633" s="49">
        <f>IFERROR(__xludf.DUMMYFUNCTION("""COMPUTED_VALUE"""),1000.0)</f>
        <v>1000</v>
      </c>
      <c r="F633" s="112">
        <f>IFERROR(__xludf.DUMMYFUNCTION("""COMPUTED_VALUE"""),4.95E7)</f>
        <v>49500000</v>
      </c>
      <c r="G633" s="49" t="str">
        <f>IFERROR(__xludf.DUMMYFUNCTION("""COMPUTED_VALUE"""),"DMG")</f>
        <v>DMG</v>
      </c>
      <c r="H633" s="49"/>
      <c r="I633" s="49"/>
      <c r="J633" s="49"/>
      <c r="K633" s="49"/>
      <c r="L633" s="49"/>
      <c r="M633" s="49"/>
      <c r="N633" s="49"/>
      <c r="O633" s="49"/>
      <c r="P633" s="49">
        <f>IFERROR(__xludf.DUMMYFUNCTION("""COMPUTED_VALUE"""),50000.0)</f>
        <v>50000</v>
      </c>
      <c r="Q633" s="49"/>
      <c r="R633" s="49"/>
      <c r="S633" s="49"/>
      <c r="T633" s="49"/>
      <c r="U633" s="49"/>
      <c r="V633" s="49"/>
      <c r="W633" s="49"/>
      <c r="X633" s="49"/>
      <c r="Y633" s="49"/>
      <c r="Z633" s="49"/>
      <c r="AA633" s="49"/>
      <c r="AB633" s="49"/>
      <c r="AC633" s="49"/>
      <c r="AD633" s="49"/>
      <c r="AE633" s="49"/>
      <c r="AF633" s="49"/>
      <c r="AG633" s="49" t="str">
        <f>IFERROR(__xludf.DUMMYFUNCTION("""COMPUTED_VALUE"""),"Land of Spira")</f>
        <v>Land of Spira</v>
      </c>
      <c r="AH633" s="49" t="b">
        <f>IFERROR(__xludf.DUMMYFUNCTION("""COMPUTED_VALUE"""),FALSE)</f>
        <v>0</v>
      </c>
    </row>
    <row r="634">
      <c r="A634" s="49" t="str">
        <f>IFERROR(__xludf.DUMMYFUNCTION("""COMPUTED_VALUE"""),"Piranha Tooth Dagger")</f>
        <v>Piranha Tooth Dagger</v>
      </c>
      <c r="B634" s="49" t="str">
        <f>IFERROR(__xludf.DUMMYFUNCTION("""COMPUTED_VALUE"""),"Hand")</f>
        <v>Hand</v>
      </c>
      <c r="C634" s="49"/>
      <c r="D634" s="49" t="str">
        <f>IFERROR(__xludf.DUMMYFUNCTION("""COMPUTED_VALUE"""),"Knife")</f>
        <v>Knife</v>
      </c>
      <c r="E634" s="49">
        <f>IFERROR(__xludf.DUMMYFUNCTION("""COMPUTED_VALUE"""),10.0)</f>
        <v>10</v>
      </c>
      <c r="F634" s="112">
        <f>IFERROR(__xludf.DUMMYFUNCTION("""COMPUTED_VALUE"""),1000.0)</f>
        <v>1000</v>
      </c>
      <c r="G634" s="49" t="str">
        <f>IFERROR(__xludf.DUMMYFUNCTION("""COMPUTED_VALUE"""),"DMG")</f>
        <v>DMG</v>
      </c>
      <c r="H634" s="49">
        <f>IFERROR(__xludf.DUMMYFUNCTION("""COMPUTED_VALUE"""),500.0)</f>
        <v>500</v>
      </c>
      <c r="I634" s="49"/>
      <c r="J634" s="49"/>
      <c r="K634" s="49"/>
      <c r="L634" s="49"/>
      <c r="M634" s="49"/>
      <c r="N634" s="49"/>
      <c r="O634" s="49"/>
      <c r="P634" s="49"/>
      <c r="Q634" s="49"/>
      <c r="R634" s="49"/>
      <c r="S634" s="49"/>
      <c r="T634" s="49"/>
      <c r="U634" s="49"/>
      <c r="V634" s="49"/>
      <c r="W634" s="49"/>
      <c r="X634" s="49"/>
      <c r="Y634" s="49"/>
      <c r="Z634" s="49"/>
      <c r="AA634" s="49"/>
      <c r="AB634" s="49"/>
      <c r="AC634" s="49"/>
      <c r="AD634" s="49"/>
      <c r="AE634" s="49"/>
      <c r="AF634" s="49"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49" t="str">
        <f>IFERROR(__xludf.DUMMYFUNCTION("""COMPUTED_VALUE"""),"Land of Spira")</f>
        <v>Land of Spira</v>
      </c>
      <c r="AH634" s="49" t="b">
        <f>IFERROR(__xludf.DUMMYFUNCTION("""COMPUTED_VALUE"""),FALSE)</f>
        <v>0</v>
      </c>
    </row>
    <row r="635">
      <c r="A635" s="49" t="str">
        <f>IFERROR(__xludf.DUMMYFUNCTION("""COMPUTED_VALUE"""),"Rhino Horn Spear")</f>
        <v>Rhino Horn Spear</v>
      </c>
      <c r="B635" s="49" t="str">
        <f>IFERROR(__xludf.DUMMYFUNCTION("""COMPUTED_VALUE"""),"Hand")</f>
        <v>Hand</v>
      </c>
      <c r="C635" s="49"/>
      <c r="D635" s="49" t="str">
        <f>IFERROR(__xludf.DUMMYFUNCTION("""COMPUTED_VALUE"""),"Spear")</f>
        <v>Spear</v>
      </c>
      <c r="E635" s="49">
        <f>IFERROR(__xludf.DUMMYFUNCTION("""COMPUTED_VALUE"""),200.0)</f>
        <v>200</v>
      </c>
      <c r="F635" s="112">
        <f>IFERROR(__xludf.DUMMYFUNCTION("""COMPUTED_VALUE"""),1900000.0)</f>
        <v>1900000</v>
      </c>
      <c r="G635" s="49" t="str">
        <f>IFERROR(__xludf.DUMMYFUNCTION("""COMPUTED_VALUE"""),"DMG")</f>
        <v>DMG</v>
      </c>
      <c r="H635" s="49">
        <f>IFERROR(__xludf.DUMMYFUNCTION("""COMPUTED_VALUE"""),10000.0)</f>
        <v>10000</v>
      </c>
      <c r="I635" s="49"/>
      <c r="J635" s="49"/>
      <c r="K635" s="49"/>
      <c r="L635" s="49"/>
      <c r="M635" s="49"/>
      <c r="N635" s="49"/>
      <c r="O635" s="49"/>
      <c r="P635" s="49"/>
      <c r="Q635" s="49"/>
      <c r="R635" s="49"/>
      <c r="S635" s="49"/>
      <c r="T635" s="49"/>
      <c r="U635" s="49"/>
      <c r="V635" s="49"/>
      <c r="W635" s="49"/>
      <c r="X635" s="49"/>
      <c r="Y635" s="49"/>
      <c r="Z635" s="49"/>
      <c r="AA635" s="49"/>
      <c r="AB635" s="49"/>
      <c r="AC635" s="49"/>
      <c r="AD635" s="49"/>
      <c r="AE635" s="49"/>
      <c r="AF635" s="49" t="str">
        <f>IFERROR(__xludf.DUMMYFUNCTION("""COMPUTED_VALUE"""),"++Charge - The first attack made with this weapon deals X2 damage")</f>
        <v>++Charge - The first attack made with this weapon deals X2 damage</v>
      </c>
      <c r="AG635" s="49" t="str">
        <f>IFERROR(__xludf.DUMMYFUNCTION("""COMPUTED_VALUE"""),"Land of Spira")</f>
        <v>Land of Spira</v>
      </c>
      <c r="AH635" s="49" t="b">
        <f>IFERROR(__xludf.DUMMYFUNCTION("""COMPUTED_VALUE"""),FALSE)</f>
        <v>0</v>
      </c>
    </row>
    <row r="636">
      <c r="A636" s="49" t="str">
        <f>IFERROR(__xludf.DUMMYFUNCTION("""COMPUTED_VALUE"""),"Rock Axe")</f>
        <v>Rock Axe</v>
      </c>
      <c r="B636" s="49" t="str">
        <f>IFERROR(__xludf.DUMMYFUNCTION("""COMPUTED_VALUE"""),"Hand")</f>
        <v>Hand</v>
      </c>
      <c r="C636" s="49"/>
      <c r="D636" s="49" t="str">
        <f>IFERROR(__xludf.DUMMYFUNCTION("""COMPUTED_VALUE"""),"Axe")</f>
        <v>Axe</v>
      </c>
      <c r="E636" s="49">
        <f>IFERROR(__xludf.DUMMYFUNCTION("""COMPUTED_VALUE"""),40.0)</f>
        <v>40</v>
      </c>
      <c r="F636" s="112">
        <f>IFERROR(__xludf.DUMMYFUNCTION("""COMPUTED_VALUE"""),60000.0)</f>
        <v>60000</v>
      </c>
      <c r="G636" s="49" t="str">
        <f>IFERROR(__xludf.DUMMYFUNCTION("""COMPUTED_VALUE"""),"DMG")</f>
        <v>DMG</v>
      </c>
      <c r="H636" s="49">
        <f>IFERROR(__xludf.DUMMYFUNCTION("""COMPUTED_VALUE"""),1000.0)</f>
        <v>1000</v>
      </c>
      <c r="I636" s="49"/>
      <c r="J636" s="49"/>
      <c r="K636" s="49"/>
      <c r="L636" s="49"/>
      <c r="M636" s="49">
        <f>IFERROR(__xludf.DUMMYFUNCTION("""COMPUTED_VALUE"""),1000.0)</f>
        <v>1000</v>
      </c>
      <c r="N636" s="49"/>
      <c r="O636" s="49"/>
      <c r="P636" s="49"/>
      <c r="Q636" s="49"/>
      <c r="R636" s="49"/>
      <c r="S636" s="49"/>
      <c r="T636" s="49"/>
      <c r="U636" s="49"/>
      <c r="V636" s="49"/>
      <c r="W636" s="49"/>
      <c r="X636" s="49"/>
      <c r="Y636" s="49"/>
      <c r="Z636" s="49"/>
      <c r="AA636" s="49"/>
      <c r="AB636" s="49"/>
      <c r="AC636" s="49"/>
      <c r="AD636" s="49"/>
      <c r="AE636" s="49"/>
      <c r="AF636" s="49"/>
      <c r="AG636" s="49" t="str">
        <f>IFERROR(__xludf.DUMMYFUNCTION("""COMPUTED_VALUE"""),"Land of Spira")</f>
        <v>Land of Spira</v>
      </c>
      <c r="AH636" s="49" t="b">
        <f>IFERROR(__xludf.DUMMYFUNCTION("""COMPUTED_VALUE"""),FALSE)</f>
        <v>0</v>
      </c>
    </row>
    <row r="637">
      <c r="A637" s="49" t="str">
        <f>IFERROR(__xludf.DUMMYFUNCTION("""COMPUTED_VALUE"""),"Saber Tooth")</f>
        <v>Saber Tooth</v>
      </c>
      <c r="B637" s="49" t="str">
        <f>IFERROR(__xludf.DUMMYFUNCTION("""COMPUTED_VALUE"""),"Hand")</f>
        <v>Hand</v>
      </c>
      <c r="C637" s="49"/>
      <c r="D637" s="49" t="str">
        <f>IFERROR(__xludf.DUMMYFUNCTION("""COMPUTED_VALUE"""),"Knife")</f>
        <v>Knife</v>
      </c>
      <c r="E637" s="49">
        <f>IFERROR(__xludf.DUMMYFUNCTION("""COMPUTED_VALUE"""),200.0)</f>
        <v>200</v>
      </c>
      <c r="F637" s="112">
        <f>IFERROR(__xludf.DUMMYFUNCTION("""COMPUTED_VALUE"""),1900000.0)</f>
        <v>1900000</v>
      </c>
      <c r="G637" s="49" t="str">
        <f>IFERROR(__xludf.DUMMYFUNCTION("""COMPUTED_VALUE"""),"DMG")</f>
        <v>DMG</v>
      </c>
      <c r="H637" s="125">
        <f>IFERROR(__xludf.DUMMYFUNCTION("""COMPUTED_VALUE"""),10000.0)</f>
        <v>10000</v>
      </c>
      <c r="I637" s="49"/>
      <c r="J637" s="49"/>
      <c r="K637" s="49"/>
      <c r="L637" s="49"/>
      <c r="M637" s="49"/>
      <c r="N637" s="49"/>
      <c r="O637" s="49"/>
      <c r="P637" s="49"/>
      <c r="Q637" s="49"/>
      <c r="R637" s="49"/>
      <c r="S637" s="49"/>
      <c r="T637" s="49"/>
      <c r="U637" s="49"/>
      <c r="V637" s="49"/>
      <c r="W637" s="49"/>
      <c r="X637" s="49"/>
      <c r="Y637" s="49"/>
      <c r="Z637" s="49"/>
      <c r="AA637" s="49"/>
      <c r="AB637" s="49"/>
      <c r="AC637" s="49"/>
      <c r="AD637" s="49"/>
      <c r="AE637" s="49"/>
      <c r="AF637" s="49"/>
      <c r="AG637" s="49" t="str">
        <f>IFERROR(__xludf.DUMMYFUNCTION("""COMPUTED_VALUE"""),"Land of Spira")</f>
        <v>Land of Spira</v>
      </c>
      <c r="AH637" s="49" t="b">
        <f>IFERROR(__xludf.DUMMYFUNCTION("""COMPUTED_VALUE"""),FALSE)</f>
        <v>0</v>
      </c>
    </row>
    <row r="638">
      <c r="A638" s="49" t="str">
        <f>IFERROR(__xludf.DUMMYFUNCTION("""COMPUTED_VALUE"""),"Worm Tooth Chainsaw")</f>
        <v>Worm Tooth Chainsaw</v>
      </c>
      <c r="B638" s="49" t="str">
        <f>IFERROR(__xludf.DUMMYFUNCTION("""COMPUTED_VALUE"""),"Hand")</f>
        <v>Hand</v>
      </c>
      <c r="C638" s="49"/>
      <c r="D638" s="49" t="str">
        <f>IFERROR(__xludf.DUMMYFUNCTION("""COMPUTED_VALUE"""),"Axe")</f>
        <v>Axe</v>
      </c>
      <c r="E638" s="49">
        <f>IFERROR(__xludf.DUMMYFUNCTION("""COMPUTED_VALUE"""),1200.0)</f>
        <v>1200</v>
      </c>
      <c r="F638" s="112">
        <f>IFERROR(__xludf.DUMMYFUNCTION("""COMPUTED_VALUE"""),7.14E7)</f>
        <v>71400000</v>
      </c>
      <c r="G638" s="49" t="str">
        <f>IFERROR(__xludf.DUMMYFUNCTION("""COMPUTED_VALUE"""),"DMG")</f>
        <v>DMG</v>
      </c>
      <c r="H638" s="125">
        <f>IFERROR(__xludf.DUMMYFUNCTION("""COMPUTED_VALUE"""),50000.0)</f>
        <v>50000</v>
      </c>
      <c r="I638" s="49"/>
      <c r="J638" s="49"/>
      <c r="K638" s="49"/>
      <c r="L638" s="49"/>
      <c r="M638" s="49"/>
      <c r="N638" s="49"/>
      <c r="O638" s="49"/>
      <c r="P638" s="49"/>
      <c r="Q638" s="49"/>
      <c r="R638" s="49"/>
      <c r="S638" s="49"/>
      <c r="T638" s="49"/>
      <c r="U638" s="49"/>
      <c r="V638" s="49"/>
      <c r="W638" s="49"/>
      <c r="X638" s="49"/>
      <c r="Y638" s="125">
        <f>IFERROR(__xludf.DUMMYFUNCTION("""COMPUTED_VALUE"""),10000.0)</f>
        <v>10000</v>
      </c>
      <c r="Z638" s="49"/>
      <c r="AA638" s="49"/>
      <c r="AB638" s="49"/>
      <c r="AC638" s="49"/>
      <c r="AD638" s="49"/>
      <c r="AE638" s="49"/>
      <c r="AF638" s="49"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49" t="str">
        <f>IFERROR(__xludf.DUMMYFUNCTION("""COMPUTED_VALUE"""),"Land of Spira")</f>
        <v>Land of Spira</v>
      </c>
      <c r="AH638" s="49" t="b">
        <f>IFERROR(__xludf.DUMMYFUNCTION("""COMPUTED_VALUE"""),FALSE)</f>
        <v>0</v>
      </c>
    </row>
    <row r="639">
      <c r="A639" s="49" t="str">
        <f>IFERROR(__xludf.DUMMYFUNCTION("""COMPUTED_VALUE"""),"Shark Tooth Greatclub")</f>
        <v>Shark Tooth Greatclub</v>
      </c>
      <c r="B639" s="49" t="str">
        <f>IFERROR(__xludf.DUMMYFUNCTION("""COMPUTED_VALUE"""),"Hand")</f>
        <v>Hand</v>
      </c>
      <c r="C639" s="49"/>
      <c r="D639" s="49" t="str">
        <f>IFERROR(__xludf.DUMMYFUNCTION("""COMPUTED_VALUE"""),"Club")</f>
        <v>Club</v>
      </c>
      <c r="E639" s="49">
        <f>IFERROR(__xludf.DUMMYFUNCTION("""COMPUTED_VALUE"""),500.0)</f>
        <v>500</v>
      </c>
      <c r="F639" s="112">
        <f>IFERROR(__xludf.DUMMYFUNCTION("""COMPUTED_VALUE"""),1.225E7)</f>
        <v>12250000</v>
      </c>
      <c r="G639" s="49" t="str">
        <f>IFERROR(__xludf.DUMMYFUNCTION("""COMPUTED_VALUE"""),"DMG")</f>
        <v>DMG</v>
      </c>
      <c r="H639" s="125">
        <f>IFERROR(__xludf.DUMMYFUNCTION("""COMPUTED_VALUE"""),25000.0)</f>
        <v>25000</v>
      </c>
      <c r="I639" s="49"/>
      <c r="J639" s="49"/>
      <c r="K639" s="49"/>
      <c r="L639" s="49"/>
      <c r="M639" s="49"/>
      <c r="N639" s="49"/>
      <c r="O639" s="49"/>
      <c r="P639" s="49"/>
      <c r="Q639" s="49"/>
      <c r="R639" s="49"/>
      <c r="S639" s="49"/>
      <c r="T639" s="49"/>
      <c r="U639" s="49"/>
      <c r="V639" s="49"/>
      <c r="W639" s="49"/>
      <c r="X639" s="49"/>
      <c r="Y639" s="49"/>
      <c r="Z639" s="49"/>
      <c r="AA639" s="49"/>
      <c r="AB639" s="49"/>
      <c r="AC639" s="49"/>
      <c r="AD639" s="49"/>
      <c r="AE639" s="49"/>
      <c r="AF639" s="49"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49" t="str">
        <f>IFERROR(__xludf.DUMMYFUNCTION("""COMPUTED_VALUE"""),"Land of Spira")</f>
        <v>Land of Spira</v>
      </c>
      <c r="AH639" s="49" t="b">
        <f>IFERROR(__xludf.DUMMYFUNCTION("""COMPUTED_VALUE"""),FALSE)</f>
        <v>0</v>
      </c>
    </row>
    <row r="640">
      <c r="A640" s="49" t="str">
        <f>IFERROR(__xludf.DUMMYFUNCTION("""COMPUTED_VALUE"""),"Sticky Slime Guantlets")</f>
        <v>Sticky Slime Guantlets</v>
      </c>
      <c r="B640" s="49" t="str">
        <f>IFERROR(__xludf.DUMMYFUNCTION("""COMPUTED_VALUE"""),"Hand")</f>
        <v>Hand</v>
      </c>
      <c r="C640" s="49"/>
      <c r="D640" s="49" t="str">
        <f>IFERROR(__xludf.DUMMYFUNCTION("""COMPUTED_VALUE"""),"Gauntlet")</f>
        <v>Gauntlet</v>
      </c>
      <c r="E640" s="49">
        <f>IFERROR(__xludf.DUMMYFUNCTION("""COMPUTED_VALUE"""),400.0)</f>
        <v>400</v>
      </c>
      <c r="F640" s="112">
        <f>IFERROR(__xludf.DUMMYFUNCTION("""COMPUTED_VALUE"""),7800000.0)</f>
        <v>7800000</v>
      </c>
      <c r="G640" s="49" t="str">
        <f>IFERROR(__xludf.DUMMYFUNCTION("""COMPUTED_VALUE"""),"DEF")</f>
        <v>DEF</v>
      </c>
      <c r="H640" s="125">
        <f>IFERROR(__xludf.DUMMYFUNCTION("""COMPUTED_VALUE"""),20000.0)</f>
        <v>20000</v>
      </c>
      <c r="I640" s="49"/>
      <c r="J640" s="49"/>
      <c r="K640" s="49"/>
      <c r="L640" s="49"/>
      <c r="M640" s="49"/>
      <c r="N640" s="49"/>
      <c r="O640" s="49"/>
      <c r="P640" s="49"/>
      <c r="Q640" s="49"/>
      <c r="R640" s="49"/>
      <c r="S640" s="49"/>
      <c r="T640" s="49"/>
      <c r="U640" s="49"/>
      <c r="V640" s="49"/>
      <c r="W640" s="49"/>
      <c r="X640" s="49"/>
      <c r="Y640" s="49"/>
      <c r="Z640" s="49"/>
      <c r="AA640" s="49"/>
      <c r="AB640" s="49"/>
      <c r="AC640" s="49"/>
      <c r="AD640" s="49"/>
      <c r="AE640" s="49"/>
      <c r="AF640" s="49" t="str">
        <f>IFERROR(__xludf.DUMMYFUNCTION("""COMPUTED_VALUE"""),"++Slimey Grasp - When these gloves are equipped the natural power ""take"" Is guaranteed to succeed.")</f>
        <v>++Slimey Grasp - When these gloves are equipped the natural power "take" Is guaranteed to succeed.</v>
      </c>
      <c r="AG640" s="49" t="str">
        <f>IFERROR(__xludf.DUMMYFUNCTION("""COMPUTED_VALUE"""),"Land of Spira")</f>
        <v>Land of Spira</v>
      </c>
      <c r="AH640" s="49" t="b">
        <f>IFERROR(__xludf.DUMMYFUNCTION("""COMPUTED_VALUE"""),FALSE)</f>
        <v>0</v>
      </c>
    </row>
    <row r="641">
      <c r="A641" s="49" t="str">
        <f>IFERROR(__xludf.DUMMYFUNCTION("""COMPUTED_VALUE"""),"Draconic Scythe")</f>
        <v>Draconic Scythe</v>
      </c>
      <c r="B641" s="49" t="str">
        <f>IFERROR(__xludf.DUMMYFUNCTION("""COMPUTED_VALUE"""),"Hand")</f>
        <v>Hand</v>
      </c>
      <c r="C641" s="49"/>
      <c r="D641" s="49" t="str">
        <f>IFERROR(__xludf.DUMMYFUNCTION("""COMPUTED_VALUE"""),"Scythe")</f>
        <v>Scythe</v>
      </c>
      <c r="E641" s="49">
        <f>IFERROR(__xludf.DUMMYFUNCTION("""COMPUTED_VALUE"""),2000.0)</f>
        <v>2000</v>
      </c>
      <c r="F641" s="112">
        <f>IFERROR(__xludf.DUMMYFUNCTION("""COMPUTED_VALUE"""),1.99E8)</f>
        <v>199000000</v>
      </c>
      <c r="G641" s="49" t="str">
        <f>IFERROR(__xludf.DUMMYFUNCTION("""COMPUTED_VALUE"""),"DMG")</f>
        <v>DMG</v>
      </c>
      <c r="H641" s="49"/>
      <c r="I641" s="49"/>
      <c r="J641" s="49"/>
      <c r="K641" s="49"/>
      <c r="L641" s="49"/>
      <c r="M641" s="49"/>
      <c r="N641" s="49"/>
      <c r="O641" s="49"/>
      <c r="P641" s="125">
        <f>IFERROR(__xludf.DUMMYFUNCTION("""COMPUTED_VALUE"""),100000.0)</f>
        <v>100000</v>
      </c>
      <c r="Q641" s="49"/>
      <c r="R641" s="49"/>
      <c r="S641" s="49"/>
      <c r="T641" s="49"/>
      <c r="U641" s="49"/>
      <c r="V641" s="49"/>
      <c r="W641" s="49"/>
      <c r="X641" s="49"/>
      <c r="Y641" s="49"/>
      <c r="Z641" s="49"/>
      <c r="AA641" s="49"/>
      <c r="AB641" s="49"/>
      <c r="AC641" s="49"/>
      <c r="AD641" s="49"/>
      <c r="AE641" s="49"/>
      <c r="AF641" s="49"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49" t="str">
        <f>IFERROR(__xludf.DUMMYFUNCTION("""COMPUTED_VALUE"""),"Land of Spira")</f>
        <v>Land of Spira</v>
      </c>
      <c r="AH641" s="49" t="b">
        <f>IFERROR(__xludf.DUMMYFUNCTION("""COMPUTED_VALUE"""),FALSE)</f>
        <v>0</v>
      </c>
    </row>
    <row r="642">
      <c r="A642" s="49" t="str">
        <f>IFERROR(__xludf.DUMMYFUNCTION("""COMPUTED_VALUE"""),"Elemental Scythe")</f>
        <v>Elemental Scythe</v>
      </c>
      <c r="B642" s="49" t="str">
        <f>IFERROR(__xludf.DUMMYFUNCTION("""COMPUTED_VALUE"""),"Hand")</f>
        <v>Hand</v>
      </c>
      <c r="C642" s="49"/>
      <c r="D642" s="49" t="str">
        <f>IFERROR(__xludf.DUMMYFUNCTION("""COMPUTED_VALUE"""),"Scythe")</f>
        <v>Scythe</v>
      </c>
      <c r="E642" s="49">
        <f>IFERROR(__xludf.DUMMYFUNCTION("""COMPUTED_VALUE"""),2000.0)</f>
        <v>2000</v>
      </c>
      <c r="F642" s="112">
        <f>IFERROR(__xludf.DUMMYFUNCTION("""COMPUTED_VALUE"""),1.99E8)</f>
        <v>199000000</v>
      </c>
      <c r="G642" s="49" t="str">
        <f>IFERROR(__xludf.DUMMYFUNCTION("""COMPUTED_VALUE"""),"DMG")</f>
        <v>DMG</v>
      </c>
      <c r="H642" s="49"/>
      <c r="I642" s="125">
        <f>IFERROR(__xludf.DUMMYFUNCTION("""COMPUTED_VALUE"""),20000.0)</f>
        <v>20000</v>
      </c>
      <c r="J642" s="125">
        <f>IFERROR(__xludf.DUMMYFUNCTION("""COMPUTED_VALUE"""),20000.0)</f>
        <v>20000</v>
      </c>
      <c r="K642" s="125">
        <f>IFERROR(__xludf.DUMMYFUNCTION("""COMPUTED_VALUE"""),20000.0)</f>
        <v>20000</v>
      </c>
      <c r="L642" s="125">
        <f>IFERROR(__xludf.DUMMYFUNCTION("""COMPUTED_VALUE"""),20000.0)</f>
        <v>20000</v>
      </c>
      <c r="M642" s="125">
        <f>IFERROR(__xludf.DUMMYFUNCTION("""COMPUTED_VALUE"""),20000.0)</f>
        <v>20000</v>
      </c>
      <c r="N642" s="49"/>
      <c r="O642" s="49"/>
      <c r="P642" s="49"/>
      <c r="Q642" s="49"/>
      <c r="R642" s="49"/>
      <c r="S642" s="49"/>
      <c r="T642" s="49"/>
      <c r="U642" s="49"/>
      <c r="V642" s="49"/>
      <c r="W642" s="49"/>
      <c r="X642" s="49"/>
      <c r="Y642" s="49"/>
      <c r="Z642" s="49"/>
      <c r="AA642" s="49"/>
      <c r="AB642" s="49"/>
      <c r="AC642" s="49"/>
      <c r="AD642" s="49"/>
      <c r="AE642" s="49"/>
      <c r="AF642" s="49" t="str">
        <f>IFERROR(__xludf.DUMMYFUNCTION("""COMPUTED_VALUE"""),"++This scythe is unnaffected by Immunities to fire, earth, nature, water, or storm.")</f>
        <v>++This scythe is unnaffected by Immunities to fire, earth, nature, water, or storm.</v>
      </c>
      <c r="AG642" s="49" t="str">
        <f>IFERROR(__xludf.DUMMYFUNCTION("""COMPUTED_VALUE"""),"Land of Spira")</f>
        <v>Land of Spira</v>
      </c>
      <c r="AH642" s="49" t="b">
        <f>IFERROR(__xludf.DUMMYFUNCTION("""COMPUTED_VALUE"""),FALSE)</f>
        <v>0</v>
      </c>
    </row>
    <row r="643">
      <c r="A643" s="49" t="str">
        <f>IFERROR(__xludf.DUMMYFUNCTION("""COMPUTED_VALUE"""),"Staff of the Elemental King of Water")</f>
        <v>Staff of the Elemental King of Water</v>
      </c>
      <c r="B643" s="49" t="str">
        <f>IFERROR(__xludf.DUMMYFUNCTION("""COMPUTED_VALUE"""),"Hand")</f>
        <v>Hand</v>
      </c>
      <c r="C643" s="49"/>
      <c r="D643" s="49" t="str">
        <f>IFERROR(__xludf.DUMMYFUNCTION("""COMPUTED_VALUE"""),"Staff")</f>
        <v>Staff</v>
      </c>
      <c r="E643" s="49">
        <f>IFERROR(__xludf.DUMMYFUNCTION("""COMPUTED_VALUE"""),1000.0)</f>
        <v>1000</v>
      </c>
      <c r="F643" s="112">
        <f>IFERROR(__xludf.DUMMYFUNCTION("""COMPUTED_VALUE"""),4.95E7)</f>
        <v>49500000</v>
      </c>
      <c r="G643" s="49" t="str">
        <f>IFERROR(__xludf.DUMMYFUNCTION("""COMPUTED_VALUE"""),"DMG")</f>
        <v>DMG</v>
      </c>
      <c r="H643" s="49"/>
      <c r="I643" s="49"/>
      <c r="J643" s="49"/>
      <c r="K643" s="125">
        <f>IFERROR(__xludf.DUMMYFUNCTION("""COMPUTED_VALUE"""),50000.0)</f>
        <v>50000</v>
      </c>
      <c r="L643" s="49"/>
      <c r="M643" s="49"/>
      <c r="N643" s="49"/>
      <c r="O643" s="49"/>
      <c r="P643" s="49"/>
      <c r="Q643" s="49"/>
      <c r="R643" s="49"/>
      <c r="S643" s="49"/>
      <c r="T643" s="49"/>
      <c r="U643" s="49"/>
      <c r="V643" s="49"/>
      <c r="W643" s="49"/>
      <c r="X643" s="49"/>
      <c r="Y643" s="49"/>
      <c r="Z643" s="49"/>
      <c r="AA643" s="49"/>
      <c r="AB643" s="49"/>
      <c r="AC643" s="49"/>
      <c r="AD643" s="49"/>
      <c r="AE643" s="49"/>
      <c r="AF643" s="49" t="str">
        <f>IFERROR(__xludf.DUMMYFUNCTION("""COMPUTED_VALUE"""),"++Summoned Water Elementals deal 5X water damage")</f>
        <v>++Summoned Water Elementals deal 5X water damage</v>
      </c>
      <c r="AG643" s="49" t="str">
        <f>IFERROR(__xludf.DUMMYFUNCTION("""COMPUTED_VALUE"""),"Land of Spira")</f>
        <v>Land of Spira</v>
      </c>
      <c r="AH643" s="49" t="b">
        <f>IFERROR(__xludf.DUMMYFUNCTION("""COMPUTED_VALUE"""),FALSE)</f>
        <v>0</v>
      </c>
    </row>
    <row r="644">
      <c r="A644" s="49" t="str">
        <f>IFERROR(__xludf.DUMMYFUNCTION("""COMPUTED_VALUE"""),"Bashe's Tail")</f>
        <v>Bashe's Tail</v>
      </c>
      <c r="B644" s="49" t="str">
        <f>IFERROR(__xludf.DUMMYFUNCTION("""COMPUTED_VALUE"""),"Legs")</f>
        <v>Legs</v>
      </c>
      <c r="C644" s="49"/>
      <c r="D644" s="49"/>
      <c r="E644" s="49">
        <f>IFERROR(__xludf.DUMMYFUNCTION("""COMPUTED_VALUE"""),800.0)</f>
        <v>800</v>
      </c>
      <c r="F644" s="112">
        <f>IFERROR(__xludf.DUMMYFUNCTION("""COMPUTED_VALUE"""),3.16E7)</f>
        <v>31600000</v>
      </c>
      <c r="G644" s="49" t="str">
        <f>IFERROR(__xludf.DUMMYFUNCTION("""COMPUTED_VALUE"""),"DEF")</f>
        <v>DEF</v>
      </c>
      <c r="H644" s="125">
        <f>IFERROR(__xludf.DUMMYFUNCTION("""COMPUTED_VALUE"""),40000.0)</f>
        <v>40000</v>
      </c>
      <c r="I644" s="49"/>
      <c r="J644" s="49"/>
      <c r="K644" s="49"/>
      <c r="L644" s="49"/>
      <c r="M644" s="49"/>
      <c r="N644" s="49"/>
      <c r="O644" s="49"/>
      <c r="P644" s="49"/>
      <c r="Q644" s="49"/>
      <c r="R644" s="49"/>
      <c r="S644" s="49"/>
      <c r="T644" s="49"/>
      <c r="U644" s="49"/>
      <c r="V644" s="49"/>
      <c r="W644" s="49"/>
      <c r="X644" s="49"/>
      <c r="Y644" s="49"/>
      <c r="Z644" s="49"/>
      <c r="AA644" s="49"/>
      <c r="AB644" s="49"/>
      <c r="AC644" s="49"/>
      <c r="AD644" s="49"/>
      <c r="AE644" s="49"/>
      <c r="AF644" s="49" t="str">
        <f>IFERROR(__xludf.DUMMYFUNCTION("""COMPUTED_VALUE"""),"++Smash - Allows you to attack with the tail as if it were a club weapon")</f>
        <v>++Smash - Allows you to attack with the tail as if it were a club weapon</v>
      </c>
      <c r="AG644" s="49" t="str">
        <f>IFERROR(__xludf.DUMMYFUNCTION("""COMPUTED_VALUE"""),"Land of Spira")</f>
        <v>Land of Spira</v>
      </c>
      <c r="AH644" s="49" t="b">
        <f>IFERROR(__xludf.DUMMYFUNCTION("""COMPUTED_VALUE"""),FALSE)</f>
        <v>0</v>
      </c>
    </row>
    <row r="645">
      <c r="A645" s="49" t="str">
        <f>IFERROR(__xludf.DUMMYFUNCTION("""COMPUTED_VALUE"""),"Bashe's Flute")</f>
        <v>Bashe's Flute</v>
      </c>
      <c r="B645" s="49" t="str">
        <f>IFERROR(__xludf.DUMMYFUNCTION("""COMPUTED_VALUE"""),"Hand")</f>
        <v>Hand</v>
      </c>
      <c r="C645" s="49"/>
      <c r="D645" s="49" t="str">
        <f>IFERROR(__xludf.DUMMYFUNCTION("""COMPUTED_VALUE"""),"Instrument")</f>
        <v>Instrument</v>
      </c>
      <c r="E645" s="49">
        <f>IFERROR(__xludf.DUMMYFUNCTION("""COMPUTED_VALUE"""),1000.0)</f>
        <v>1000</v>
      </c>
      <c r="F645" s="112">
        <f>IFERROR(__xludf.DUMMYFUNCTION("""COMPUTED_VALUE"""),4.95E7)</f>
        <v>49500000</v>
      </c>
      <c r="G645" s="49" t="str">
        <f>IFERROR(__xludf.DUMMYFUNCTION("""COMPUTED_VALUE"""),"DMG")</f>
        <v>DMG</v>
      </c>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c r="AE645" s="125">
        <f>IFERROR(__xludf.DUMMYFUNCTION("""COMPUTED_VALUE"""),50000.0)</f>
        <v>50000</v>
      </c>
      <c r="AF645" s="49"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49" t="str">
        <f>IFERROR(__xludf.DUMMYFUNCTION("""COMPUTED_VALUE"""),"Land of Spira")</f>
        <v>Land of Spira</v>
      </c>
      <c r="AH645" s="49" t="b">
        <f>IFERROR(__xludf.DUMMYFUNCTION("""COMPUTED_VALUE"""),FALSE)</f>
        <v>0</v>
      </c>
    </row>
    <row r="646">
      <c r="A646" s="49" t="str">
        <f>IFERROR(__xludf.DUMMYFUNCTION("""COMPUTED_VALUE"""),"Grash's Favorite Length Of Iron")</f>
        <v>Grash's Favorite Length Of Iron</v>
      </c>
      <c r="B646" s="49" t="str">
        <f>IFERROR(__xludf.DUMMYFUNCTION("""COMPUTED_VALUE"""),"Hand")</f>
        <v>Hand</v>
      </c>
      <c r="C646" s="49"/>
      <c r="D646" s="49" t="str">
        <f>IFERROR(__xludf.DUMMYFUNCTION("""COMPUTED_VALUE"""),"Club")</f>
        <v>Club</v>
      </c>
      <c r="E646" s="49">
        <f>IFERROR(__xludf.DUMMYFUNCTION("""COMPUTED_VALUE"""),2000.0)</f>
        <v>2000</v>
      </c>
      <c r="F646" s="112">
        <f>IFERROR(__xludf.DUMMYFUNCTION("""COMPUTED_VALUE"""),1.99E8)</f>
        <v>199000000</v>
      </c>
      <c r="G646" s="49" t="str">
        <f>IFERROR(__xludf.DUMMYFUNCTION("""COMPUTED_VALUE"""),"DMG")</f>
        <v>DMG</v>
      </c>
      <c r="H646" s="49">
        <f>IFERROR(__xludf.DUMMYFUNCTION("""COMPUTED_VALUE"""),100000.0)</f>
        <v>100000</v>
      </c>
      <c r="I646" s="49"/>
      <c r="J646" s="49"/>
      <c r="K646" s="49"/>
      <c r="L646" s="49"/>
      <c r="M646" s="49"/>
      <c r="N646" s="49"/>
      <c r="O646" s="49"/>
      <c r="P646" s="49"/>
      <c r="Q646" s="49"/>
      <c r="R646" s="49"/>
      <c r="S646" s="49"/>
      <c r="T646" s="49"/>
      <c r="U646" s="49"/>
      <c r="V646" s="49"/>
      <c r="W646" s="49"/>
      <c r="X646" s="49"/>
      <c r="Y646" s="49"/>
      <c r="Z646" s="49"/>
      <c r="AA646" s="49"/>
      <c r="AB646" s="49"/>
      <c r="AC646" s="49"/>
      <c r="AD646" s="49"/>
      <c r="AE646" s="49"/>
      <c r="AF646" s="49" t="str">
        <f>IFERROR(__xludf.DUMMYFUNCTION("""COMPUTED_VALUE"""),"++When a Samurai Wields this weapon they get access to the ""Grash's Smashing Success"" Natural Power")</f>
        <v>++When a Samurai Wields this weapon they get access to the "Grash's Smashing Success" Natural Power</v>
      </c>
      <c r="AG646" s="49" t="str">
        <f>IFERROR(__xludf.DUMMYFUNCTION("""COMPUTED_VALUE"""),"Land of Spira")</f>
        <v>Land of Spira</v>
      </c>
      <c r="AH646" s="49" t="b">
        <f>IFERROR(__xludf.DUMMYFUNCTION("""COMPUTED_VALUE"""),FALSE)</f>
        <v>0</v>
      </c>
    </row>
    <row r="647">
      <c r="A647" s="49" t="str">
        <f>IFERROR(__xludf.DUMMYFUNCTION("""COMPUTED_VALUE"""),"Wolf Tooth Neclace")</f>
        <v>Wolf Tooth Neclace</v>
      </c>
      <c r="B647" s="49" t="str">
        <f>IFERROR(__xludf.DUMMYFUNCTION("""COMPUTED_VALUE"""),"Neck")</f>
        <v>Neck</v>
      </c>
      <c r="C647" s="49"/>
      <c r="D647" s="49"/>
      <c r="E647" s="49">
        <f>IFERROR(__xludf.DUMMYFUNCTION("""COMPUTED_VALUE"""),1.0)</f>
        <v>1</v>
      </c>
      <c r="F647" s="112">
        <f>IFERROR(__xludf.DUMMYFUNCTION("""COMPUTED_VALUE"""),0.0)</f>
        <v>0</v>
      </c>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c r="AE647" s="49"/>
      <c r="AF647" s="49"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49" t="str">
        <f>IFERROR(__xludf.DUMMYFUNCTION("""COMPUTED_VALUE"""),"Land of Spira")</f>
        <v>Land of Spira</v>
      </c>
      <c r="AH647" s="49" t="b">
        <f>IFERROR(__xludf.DUMMYFUNCTION("""COMPUTED_VALUE"""),FALSE)</f>
        <v>0</v>
      </c>
    </row>
    <row r="648">
      <c r="A648" s="49" t="str">
        <f>IFERROR(__xludf.DUMMYFUNCTION("""COMPUTED_VALUE"""),"Dragon Scale Necklace")</f>
        <v>Dragon Scale Necklace</v>
      </c>
      <c r="B648" s="49" t="str">
        <f>IFERROR(__xludf.DUMMYFUNCTION("""COMPUTED_VALUE"""),"Neck")</f>
        <v>Neck</v>
      </c>
      <c r="C648" s="49"/>
      <c r="D648" s="49"/>
      <c r="E648" s="49">
        <f>IFERROR(__xludf.DUMMYFUNCTION("""COMPUTED_VALUE"""),1.0)</f>
        <v>1</v>
      </c>
      <c r="F648" s="112">
        <f>IFERROR(__xludf.DUMMYFUNCTION("""COMPUTED_VALUE"""),0.0)</f>
        <v>0</v>
      </c>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c r="AE648" s="49"/>
      <c r="AF648" s="49"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49" t="str">
        <f>IFERROR(__xludf.DUMMYFUNCTION("""COMPUTED_VALUE"""),"Land of Spira")</f>
        <v>Land of Spira</v>
      </c>
      <c r="AH648" s="49" t="b">
        <f>IFERROR(__xludf.DUMMYFUNCTION("""COMPUTED_VALUE"""),FALSE)</f>
        <v>0</v>
      </c>
    </row>
    <row r="649">
      <c r="A649" s="49" t="str">
        <f>IFERROR(__xludf.DUMMYFUNCTION("""COMPUTED_VALUE"""),"Heavenly Necklace")</f>
        <v>Heavenly Necklace</v>
      </c>
      <c r="B649" s="49" t="str">
        <f>IFERROR(__xludf.DUMMYFUNCTION("""COMPUTED_VALUE"""),"Neck")</f>
        <v>Neck</v>
      </c>
      <c r="C649" s="49"/>
      <c r="D649" s="49"/>
      <c r="E649" s="49">
        <f>IFERROR(__xludf.DUMMYFUNCTION("""COMPUTED_VALUE"""),1.0)</f>
        <v>1</v>
      </c>
      <c r="F649" s="112">
        <f>IFERROR(__xludf.DUMMYFUNCTION("""COMPUTED_VALUE"""),0.0)</f>
        <v>0</v>
      </c>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c r="AE649" s="49"/>
      <c r="AF649" s="49"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49" t="str">
        <f>IFERROR(__xludf.DUMMYFUNCTION("""COMPUTED_VALUE"""),"Land of Spira")</f>
        <v>Land of Spira</v>
      </c>
      <c r="AH649" s="49" t="b">
        <f>IFERROR(__xludf.DUMMYFUNCTION("""COMPUTED_VALUE"""),FALSE)</f>
        <v>0</v>
      </c>
    </row>
    <row r="650">
      <c r="A650" s="49" t="str">
        <f>IFERROR(__xludf.DUMMYFUNCTION("""COMPUTED_VALUE"""),"Demonic Necklace")</f>
        <v>Demonic Necklace</v>
      </c>
      <c r="B650" s="49" t="str">
        <f>IFERROR(__xludf.DUMMYFUNCTION("""COMPUTED_VALUE"""),"Neck")</f>
        <v>Neck</v>
      </c>
      <c r="C650" s="49"/>
      <c r="D650" s="49"/>
      <c r="E650" s="49">
        <f>IFERROR(__xludf.DUMMYFUNCTION("""COMPUTED_VALUE"""),1.0)</f>
        <v>1</v>
      </c>
      <c r="F650" s="112">
        <f>IFERROR(__xludf.DUMMYFUNCTION("""COMPUTED_VALUE"""),0.0)</f>
        <v>0</v>
      </c>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c r="AE650" s="49"/>
      <c r="AF650" s="49"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49" t="str">
        <f>IFERROR(__xludf.DUMMYFUNCTION("""COMPUTED_VALUE"""),"Land of Spira")</f>
        <v>Land of Spira</v>
      </c>
      <c r="AH650" s="49" t="b">
        <f>IFERROR(__xludf.DUMMYFUNCTION("""COMPUTED_VALUE"""),FALSE)</f>
        <v>0</v>
      </c>
    </row>
    <row r="651">
      <c r="A651" s="49" t="str">
        <f>IFERROR(__xludf.DUMMYFUNCTION("""COMPUTED_VALUE"""),"The Cloak of Gévaudan")</f>
        <v>The Cloak of Gévaudan</v>
      </c>
      <c r="B651" s="49" t="str">
        <f>IFERROR(__xludf.DUMMYFUNCTION("""COMPUTED_VALUE"""),"Shoulders")</f>
        <v>Shoulders</v>
      </c>
      <c r="C651" s="49"/>
      <c r="D651" s="49"/>
      <c r="E651" s="49">
        <f>IFERROR(__xludf.DUMMYFUNCTION("""COMPUTED_VALUE"""),800.0)</f>
        <v>800</v>
      </c>
      <c r="F651" s="112">
        <f>IFERROR(__xludf.DUMMYFUNCTION("""COMPUTED_VALUE"""),3.16E7)</f>
        <v>31600000</v>
      </c>
      <c r="G651" s="49" t="str">
        <f>IFERROR(__xludf.DUMMYFUNCTION("""COMPUTED_VALUE"""),"DEF")</f>
        <v>DEF</v>
      </c>
      <c r="H651" s="49">
        <f>IFERROR(__xludf.DUMMYFUNCTION("""COMPUTED_VALUE"""),25000.0)</f>
        <v>25000</v>
      </c>
      <c r="I651" s="49">
        <f>IFERROR(__xludf.DUMMYFUNCTION("""COMPUTED_VALUE"""),15000.0)</f>
        <v>15000</v>
      </c>
      <c r="J651" s="49"/>
      <c r="K651" s="49"/>
      <c r="L651" s="49"/>
      <c r="M651" s="49"/>
      <c r="N651" s="49"/>
      <c r="O651" s="49"/>
      <c r="P651" s="49"/>
      <c r="Q651" s="49"/>
      <c r="R651" s="49"/>
      <c r="S651" s="49"/>
      <c r="T651" s="49"/>
      <c r="U651" s="49"/>
      <c r="V651" s="49"/>
      <c r="W651" s="49"/>
      <c r="X651" s="49"/>
      <c r="Y651" s="49"/>
      <c r="Z651" s="49"/>
      <c r="AA651" s="49"/>
      <c r="AB651" s="49"/>
      <c r="AC651" s="49"/>
      <c r="AD651" s="49"/>
      <c r="AE651" s="49"/>
      <c r="AF651" s="49" t="str">
        <f>IFERROR(__xludf.DUMMYFUNCTION("""COMPUTED_VALUE"""),"++The warm coat grants you immunity to freezing.")</f>
        <v>++The warm coat grants you immunity to freezing.</v>
      </c>
      <c r="AG651" s="49" t="str">
        <f>IFERROR(__xludf.DUMMYFUNCTION("""COMPUTED_VALUE"""),"Land of Spira")</f>
        <v>Land of Spira</v>
      </c>
      <c r="AH651" s="49" t="b">
        <f>IFERROR(__xludf.DUMMYFUNCTION("""COMPUTED_VALUE"""),FALSE)</f>
        <v>0</v>
      </c>
    </row>
    <row r="652">
      <c r="A652" s="49" t="str">
        <f>IFERROR(__xludf.DUMMYFUNCTION("""COMPUTED_VALUE"""),"Spirit Glyph")</f>
        <v>Spirit Glyph</v>
      </c>
      <c r="B652" s="49" t="str">
        <f>IFERROR(__xludf.DUMMYFUNCTION("""COMPUTED_VALUE"""),"Ring")</f>
        <v>Ring</v>
      </c>
      <c r="C652" s="49"/>
      <c r="D652" s="49"/>
      <c r="E652" s="49">
        <f>IFERROR(__xludf.DUMMYFUNCTION("""COMPUTED_VALUE"""),1.0)</f>
        <v>1</v>
      </c>
      <c r="F652" s="112">
        <f>IFERROR(__xludf.DUMMYFUNCTION("""COMPUTED_VALUE"""),0.0)</f>
        <v>0</v>
      </c>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c r="AE652" s="49"/>
      <c r="AF652" s="49"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49" t="str">
        <f>IFERROR(__xludf.DUMMYFUNCTION("""COMPUTED_VALUE"""),"Land of Spira")</f>
        <v>Land of Spira</v>
      </c>
      <c r="AH652" s="49" t="b">
        <f>IFERROR(__xludf.DUMMYFUNCTION("""COMPUTED_VALUE"""),FALSE)</f>
        <v>0</v>
      </c>
    </row>
    <row r="653">
      <c r="A653" s="49" t="str">
        <f>IFERROR(__xludf.DUMMYFUNCTION("""COMPUTED_VALUE"""),"Necromantic Sigil")</f>
        <v>Necromantic Sigil</v>
      </c>
      <c r="B653" s="49" t="str">
        <f>IFERROR(__xludf.DUMMYFUNCTION("""COMPUTED_VALUE"""),"Ring")</f>
        <v>Ring</v>
      </c>
      <c r="C653" s="49"/>
      <c r="D653" s="49"/>
      <c r="E653" s="49">
        <f>IFERROR(__xludf.DUMMYFUNCTION("""COMPUTED_VALUE"""),1.0)</f>
        <v>1</v>
      </c>
      <c r="F653" s="112">
        <f>IFERROR(__xludf.DUMMYFUNCTION("""COMPUTED_VALUE"""),0.0)</f>
        <v>0</v>
      </c>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c r="AE653" s="49"/>
      <c r="AF653" s="49"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49" t="str">
        <f>IFERROR(__xludf.DUMMYFUNCTION("""COMPUTED_VALUE"""),"Land of Spira")</f>
        <v>Land of Spira</v>
      </c>
      <c r="AH653" s="49" t="b">
        <f>IFERROR(__xludf.DUMMYFUNCTION("""COMPUTED_VALUE"""),FALSE)</f>
        <v>0</v>
      </c>
    </row>
    <row r="654">
      <c r="A654" s="49" t="str">
        <f>IFERROR(__xludf.DUMMYFUNCTION("""COMPUTED_VALUE"""),"Dragonslayer")</f>
        <v>Dragonslayer</v>
      </c>
      <c r="B654" s="49" t="str">
        <f>IFERROR(__xludf.DUMMYFUNCTION("""COMPUTED_VALUE"""),"Hand")</f>
        <v>Hand</v>
      </c>
      <c r="C654" s="49" t="str">
        <f>IFERROR(__xludf.DUMMYFUNCTION("""COMPUTED_VALUE"""),"It was too big to be called a sword. Massive, thick, heavy, and far too rough. Indeed, it was a heap of raw iron.")</f>
        <v>It was too big to be called a sword. Massive, thick, heavy, and far too rough. Indeed, it was a heap of raw iron.</v>
      </c>
      <c r="D654" s="49" t="str">
        <f>IFERROR(__xludf.DUMMYFUNCTION("""COMPUTED_VALUE"""),"Sword")</f>
        <v>Sword</v>
      </c>
      <c r="E654" s="49">
        <f>IFERROR(__xludf.DUMMYFUNCTION("""COMPUTED_VALUE"""),2000.0)</f>
        <v>2000</v>
      </c>
      <c r="F654" s="112">
        <f>IFERROR(__xludf.DUMMYFUNCTION("""COMPUTED_VALUE"""),1.99E8)</f>
        <v>199000000</v>
      </c>
      <c r="G654" s="49" t="str">
        <f>IFERROR(__xludf.DUMMYFUNCTION("""COMPUTED_VALUE"""),"DMG")</f>
        <v>DMG</v>
      </c>
      <c r="H654" s="49">
        <f>IFERROR(__xludf.DUMMYFUNCTION("""COMPUTED_VALUE"""),100000.0)</f>
        <v>100000</v>
      </c>
      <c r="I654" s="49"/>
      <c r="J654" s="49"/>
      <c r="K654" s="49"/>
      <c r="L654" s="49"/>
      <c r="M654" s="49"/>
      <c r="N654" s="49"/>
      <c r="O654" s="49"/>
      <c r="P654" s="49"/>
      <c r="Q654" s="49"/>
      <c r="R654" s="49"/>
      <c r="S654" s="49"/>
      <c r="T654" s="49"/>
      <c r="U654" s="49"/>
      <c r="V654" s="49"/>
      <c r="W654" s="49"/>
      <c r="X654" s="49"/>
      <c r="Y654" s="49"/>
      <c r="Z654" s="49"/>
      <c r="AA654" s="49"/>
      <c r="AB654" s="49"/>
      <c r="AC654" s="49"/>
      <c r="AD654" s="49"/>
      <c r="AE654" s="49"/>
      <c r="AF654" s="49" t="str">
        <f>IFERROR(__xludf.DUMMYFUNCTION("""COMPUTED_VALUE"""),"++Deals X10 damage when fighting a Dragon or Monstrosity")</f>
        <v>++Deals X10 damage when fighting a Dragon or Monstrosity</v>
      </c>
      <c r="AG654" s="49" t="str">
        <f>IFERROR(__xludf.DUMMYFUNCTION("""COMPUTED_VALUE"""),"Land of Spira")</f>
        <v>Land of Spira</v>
      </c>
      <c r="AH654" s="49" t="b">
        <f>IFERROR(__xludf.DUMMYFUNCTION("""COMPUTED_VALUE"""),FALSE)</f>
        <v>0</v>
      </c>
    </row>
    <row r="655">
      <c r="A655" s="49" t="str">
        <f>IFERROR(__xludf.DUMMYFUNCTION("""COMPUTED_VALUE"""),"Rusted Halberd")</f>
        <v>Rusted Halberd</v>
      </c>
      <c r="B655" s="49" t="str">
        <f>IFERROR(__xludf.DUMMYFUNCTION("""COMPUTED_VALUE"""),"Hand")</f>
        <v>Hand</v>
      </c>
      <c r="C655" s="49"/>
      <c r="D655" s="49" t="str">
        <f>IFERROR(__xludf.DUMMYFUNCTION("""COMPUTED_VALUE"""),"Spear")</f>
        <v>Spear</v>
      </c>
      <c r="E655" s="49">
        <f>IFERROR(__xludf.DUMMYFUNCTION("""COMPUTED_VALUE"""),100.0)</f>
        <v>100</v>
      </c>
      <c r="F655" s="112">
        <f>IFERROR(__xludf.DUMMYFUNCTION("""COMPUTED_VALUE"""),450000.0)</f>
        <v>450000</v>
      </c>
      <c r="G655" s="49" t="str">
        <f>IFERROR(__xludf.DUMMYFUNCTION("""COMPUTED_VALUE"""),"DMG")</f>
        <v>DMG</v>
      </c>
      <c r="H655" s="49">
        <f>IFERROR(__xludf.DUMMYFUNCTION("""COMPUTED_VALUE"""),5000.0)</f>
        <v>5000</v>
      </c>
      <c r="I655" s="49"/>
      <c r="J655" s="49"/>
      <c r="K655" s="49"/>
      <c r="L655" s="49"/>
      <c r="M655" s="49"/>
      <c r="N655" s="49"/>
      <c r="O655" s="49"/>
      <c r="P655" s="49"/>
      <c r="Q655" s="49"/>
      <c r="R655" s="49"/>
      <c r="S655" s="49"/>
      <c r="T655" s="49"/>
      <c r="U655" s="49"/>
      <c r="V655" s="49"/>
      <c r="W655" s="49"/>
      <c r="X655" s="49"/>
      <c r="Y655" s="49"/>
      <c r="Z655" s="49"/>
      <c r="AA655" s="49"/>
      <c r="AB655" s="49"/>
      <c r="AC655" s="49"/>
      <c r="AD655" s="49"/>
      <c r="AE655" s="49"/>
      <c r="AF655" s="49"/>
      <c r="AG655" s="49" t="str">
        <f>IFERROR(__xludf.DUMMYFUNCTION("""COMPUTED_VALUE"""),"Land of Spira")</f>
        <v>Land of Spira</v>
      </c>
      <c r="AH655" s="49" t="b">
        <f>IFERROR(__xludf.DUMMYFUNCTION("""COMPUTED_VALUE"""),FALSE)</f>
        <v>0</v>
      </c>
    </row>
    <row r="656">
      <c r="A656" s="49" t="str">
        <f>IFERROR(__xludf.DUMMYFUNCTION("""COMPUTED_VALUE"""),"Diseased Rapier")</f>
        <v>Diseased Rapier</v>
      </c>
      <c r="B656" s="49" t="str">
        <f>IFERROR(__xludf.DUMMYFUNCTION("""COMPUTED_VALUE"""),"Hand")</f>
        <v>Hand</v>
      </c>
      <c r="C656" s="49"/>
      <c r="D656" s="49" t="str">
        <f>IFERROR(__xludf.DUMMYFUNCTION("""COMPUTED_VALUE"""),"Sword")</f>
        <v>Sword</v>
      </c>
      <c r="E656" s="49">
        <f>IFERROR(__xludf.DUMMYFUNCTION("""COMPUTED_VALUE"""),50.0)</f>
        <v>50</v>
      </c>
      <c r="F656" s="112">
        <f>IFERROR(__xludf.DUMMYFUNCTION("""COMPUTED_VALUE"""),100000.0)</f>
        <v>100000</v>
      </c>
      <c r="G656" s="49" t="str">
        <f>IFERROR(__xludf.DUMMYFUNCTION("""COMPUTED_VALUE"""),"DMG")</f>
        <v>DMG</v>
      </c>
      <c r="H656" s="49">
        <f>IFERROR(__xludf.DUMMYFUNCTION("""COMPUTED_VALUE"""),2500.0)</f>
        <v>2500</v>
      </c>
      <c r="I656" s="49"/>
      <c r="J656" s="49"/>
      <c r="K656" s="49"/>
      <c r="L656" s="49"/>
      <c r="M656" s="49"/>
      <c r="N656" s="49"/>
      <c r="O656" s="49"/>
      <c r="P656" s="49"/>
      <c r="Q656" s="49"/>
      <c r="R656" s="49"/>
      <c r="S656" s="49"/>
      <c r="T656" s="49"/>
      <c r="U656" s="49"/>
      <c r="V656" s="49"/>
      <c r="W656" s="49"/>
      <c r="X656" s="49"/>
      <c r="Y656" s="49"/>
      <c r="Z656" s="49"/>
      <c r="AA656" s="49"/>
      <c r="AB656" s="49"/>
      <c r="AC656" s="49"/>
      <c r="AD656" s="49"/>
      <c r="AE656" s="49"/>
      <c r="AF656" s="49" t="str">
        <f>IFERROR(__xludf.DUMMYFUNCTION("""COMPUTED_VALUE"""),"++15% chance to inflict the target with a random non-pemanent disease")</f>
        <v>++15% chance to inflict the target with a random non-pemanent disease</v>
      </c>
      <c r="AG656" s="49" t="str">
        <f>IFERROR(__xludf.DUMMYFUNCTION("""COMPUTED_VALUE"""),"Land of Spira")</f>
        <v>Land of Spira</v>
      </c>
      <c r="AH656" s="49" t="b">
        <f>IFERROR(__xludf.DUMMYFUNCTION("""COMPUTED_VALUE"""),FALSE)</f>
        <v>0</v>
      </c>
    </row>
    <row r="657">
      <c r="A657" s="49" t="str">
        <f>IFERROR(__xludf.DUMMYFUNCTION("""COMPUTED_VALUE"""),"Symbol of Greed")</f>
        <v>Symbol of Greed</v>
      </c>
      <c r="B657" s="49" t="str">
        <f>IFERROR(__xludf.DUMMYFUNCTION("""COMPUTED_VALUE"""),"Finger")</f>
        <v>Finger</v>
      </c>
      <c r="C657" s="49"/>
      <c r="D657" s="49"/>
      <c r="E657" s="49">
        <f>IFERROR(__xludf.DUMMYFUNCTION("""COMPUTED_VALUE"""),1.0)</f>
        <v>1</v>
      </c>
      <c r="F657" s="112">
        <f>IFERROR(__xludf.DUMMYFUNCTION("""COMPUTED_VALUE"""),0.0)</f>
        <v>0</v>
      </c>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c r="AE657" s="49"/>
      <c r="AF657" s="49"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49" t="str">
        <f>IFERROR(__xludf.DUMMYFUNCTION("""COMPUTED_VALUE"""),"Land of Spira")</f>
        <v>Land of Spira</v>
      </c>
      <c r="AH657" s="49" t="b">
        <f>IFERROR(__xludf.DUMMYFUNCTION("""COMPUTED_VALUE"""),FALSE)</f>
        <v>0</v>
      </c>
    </row>
    <row r="658">
      <c r="A658" s="49" t="str">
        <f>IFERROR(__xludf.DUMMYFUNCTION("""COMPUTED_VALUE"""),"Enchanted Quiver")</f>
        <v>Enchanted Quiver</v>
      </c>
      <c r="B658" s="49" t="str">
        <f>IFERROR(__xludf.DUMMYFUNCTION("""COMPUTED_VALUE"""),"Shoulders")</f>
        <v>Shoulders</v>
      </c>
      <c r="C658" s="49"/>
      <c r="D658" s="49"/>
      <c r="E658" s="49">
        <f>IFERROR(__xludf.DUMMYFUNCTION("""COMPUTED_VALUE"""),1.0)</f>
        <v>1</v>
      </c>
      <c r="F658" s="112">
        <f>IFERROR(__xludf.DUMMYFUNCTION("""COMPUTED_VALUE"""),0.0)</f>
        <v>0</v>
      </c>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c r="AE658" s="49"/>
      <c r="AF658" s="49" t="str">
        <f>IFERROR(__xludf.DUMMYFUNCTION("""COMPUTED_VALUE"""),"++Magic Arrow - ++5 to all attack rolls with a bow +-(Archer Class Only)")</f>
        <v>++Magic Arrow - ++5 to all attack rolls with a bow +-(Archer Class Only)</v>
      </c>
      <c r="AG658" s="49" t="str">
        <f>IFERROR(__xludf.DUMMYFUNCTION("""COMPUTED_VALUE"""),"Land of Spira")</f>
        <v>Land of Spira</v>
      </c>
      <c r="AH658" s="49" t="b">
        <f>IFERROR(__xludf.DUMMYFUNCTION("""COMPUTED_VALUE"""),FALSE)</f>
        <v>0</v>
      </c>
    </row>
    <row r="659">
      <c r="A659" s="49" t="str">
        <f>IFERROR(__xludf.DUMMYFUNCTION("""COMPUTED_VALUE"""),"Ring of the Siren")</f>
        <v>Ring of the Siren</v>
      </c>
      <c r="B659" s="49" t="str">
        <f>IFERROR(__xludf.DUMMYFUNCTION("""COMPUTED_VALUE"""),"Finger")</f>
        <v>Finger</v>
      </c>
      <c r="C659" s="49"/>
      <c r="D659" s="49"/>
      <c r="E659" s="49">
        <f>IFERROR(__xludf.DUMMYFUNCTION("""COMPUTED_VALUE"""),1.0)</f>
        <v>1</v>
      </c>
      <c r="F659" s="112">
        <f>IFERROR(__xludf.DUMMYFUNCTION("""COMPUTED_VALUE"""),0.0)</f>
        <v>0</v>
      </c>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c r="AE659" s="49"/>
      <c r="AF659" s="49"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49" t="str">
        <f>IFERROR(__xludf.DUMMYFUNCTION("""COMPUTED_VALUE"""),"Land of Spira")</f>
        <v>Land of Spira</v>
      </c>
      <c r="AH659" s="49" t="b">
        <f>IFERROR(__xludf.DUMMYFUNCTION("""COMPUTED_VALUE"""),FALSE)</f>
        <v>0</v>
      </c>
    </row>
    <row r="660">
      <c r="A660" s="49" t="str">
        <f>IFERROR(__xludf.DUMMYFUNCTION("""COMPUTED_VALUE"""),"Amulet of The Berserker")</f>
        <v>Amulet of The Berserker</v>
      </c>
      <c r="B660" s="49" t="str">
        <f>IFERROR(__xludf.DUMMYFUNCTION("""COMPUTED_VALUE"""),"Neck")</f>
        <v>Neck</v>
      </c>
      <c r="C660" s="49"/>
      <c r="D660" s="49"/>
      <c r="E660" s="49">
        <f>IFERROR(__xludf.DUMMYFUNCTION("""COMPUTED_VALUE"""),1.0)</f>
        <v>1</v>
      </c>
      <c r="F660" s="112">
        <f>IFERROR(__xludf.DUMMYFUNCTION("""COMPUTED_VALUE"""),0.0)</f>
        <v>0</v>
      </c>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c r="AE660" s="49"/>
      <c r="AF660" s="49" t="str">
        <f>IFERROR(__xludf.DUMMYFUNCTION("""COMPUTED_VALUE"""),"++Berserk - When attacking or being attacked gain 1 stack of Insanity +-(Brawler Class Only)")</f>
        <v>++Berserk - When attacking or being attacked gain 1 stack of Insanity +-(Brawler Class Only)</v>
      </c>
      <c r="AG660" s="49" t="str">
        <f>IFERROR(__xludf.DUMMYFUNCTION("""COMPUTED_VALUE"""),"Land of Spira")</f>
        <v>Land of Spira</v>
      </c>
      <c r="AH660" s="49" t="b">
        <f>IFERROR(__xludf.DUMMYFUNCTION("""COMPUTED_VALUE"""),FALSE)</f>
        <v>0</v>
      </c>
    </row>
    <row r="661">
      <c r="A661" s="49" t="str">
        <f>IFERROR(__xludf.DUMMYFUNCTION("""COMPUTED_VALUE"""),"Mask of the Cultist")</f>
        <v>Mask of the Cultist</v>
      </c>
      <c r="B661" s="49" t="str">
        <f>IFERROR(__xludf.DUMMYFUNCTION("""COMPUTED_VALUE"""),"Head")</f>
        <v>Head</v>
      </c>
      <c r="C661" s="49"/>
      <c r="D661" s="49"/>
      <c r="E661" s="49">
        <f>IFERROR(__xludf.DUMMYFUNCTION("""COMPUTED_VALUE"""),1.0)</f>
        <v>1</v>
      </c>
      <c r="F661" s="112">
        <f>IFERROR(__xludf.DUMMYFUNCTION("""COMPUTED_VALUE"""),0.0)</f>
        <v>0</v>
      </c>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c r="AE661" s="49"/>
      <c r="AF661" s="49"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49" t="str">
        <f>IFERROR(__xludf.DUMMYFUNCTION("""COMPUTED_VALUE"""),"Land of Spira")</f>
        <v>Land of Spira</v>
      </c>
      <c r="AH661" s="49" t="b">
        <f>IFERROR(__xludf.DUMMYFUNCTION("""COMPUTED_VALUE"""),FALSE)</f>
        <v>0</v>
      </c>
    </row>
    <row r="662">
      <c r="A662" s="49" t="str">
        <f>IFERROR(__xludf.DUMMYFUNCTION("""COMPUTED_VALUE"""),"""Natural"" Cologne")</f>
        <v>"Natural" Cologne</v>
      </c>
      <c r="B662" s="49" t="str">
        <f>IFERROR(__xludf.DUMMYFUNCTION("""COMPUTED_VALUE"""),"Neck")</f>
        <v>Neck</v>
      </c>
      <c r="C662" s="49"/>
      <c r="D662" s="49"/>
      <c r="E662" s="49">
        <f>IFERROR(__xludf.DUMMYFUNCTION("""COMPUTED_VALUE"""),1.0)</f>
        <v>1</v>
      </c>
      <c r="F662" s="112">
        <f>IFERROR(__xludf.DUMMYFUNCTION("""COMPUTED_VALUE"""),0.0)</f>
        <v>0</v>
      </c>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c r="AE662" s="49"/>
      <c r="AF662" s="49"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49" t="str">
        <f>IFERROR(__xludf.DUMMYFUNCTION("""COMPUTED_VALUE"""),"Land of Spira")</f>
        <v>Land of Spira</v>
      </c>
      <c r="AH662" s="49" t="b">
        <f>IFERROR(__xludf.DUMMYFUNCTION("""COMPUTED_VALUE"""),FALSE)</f>
        <v>0</v>
      </c>
    </row>
    <row r="663">
      <c r="A663" s="49" t="str">
        <f>IFERROR(__xludf.DUMMYFUNCTION("""COMPUTED_VALUE"""),"Bonded Ring")</f>
        <v>Bonded Ring</v>
      </c>
      <c r="B663" s="49" t="str">
        <f>IFERROR(__xludf.DUMMYFUNCTION("""COMPUTED_VALUE"""),"Finger")</f>
        <v>Finger</v>
      </c>
      <c r="C663" s="49"/>
      <c r="D663" s="49"/>
      <c r="E663" s="49">
        <f>IFERROR(__xludf.DUMMYFUNCTION("""COMPUTED_VALUE"""),1.0)</f>
        <v>1</v>
      </c>
      <c r="F663" s="112">
        <f>IFERROR(__xludf.DUMMYFUNCTION("""COMPUTED_VALUE"""),0.0)</f>
        <v>0</v>
      </c>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c r="AE663" s="49"/>
      <c r="AF663" s="49"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49" t="str">
        <f>IFERROR(__xludf.DUMMYFUNCTION("""COMPUTED_VALUE"""),"Land of Spira")</f>
        <v>Land of Spira</v>
      </c>
      <c r="AH663" s="49" t="b">
        <f>IFERROR(__xludf.DUMMYFUNCTION("""COMPUTED_VALUE"""),FALSE)</f>
        <v>0</v>
      </c>
    </row>
    <row r="664">
      <c r="A664" s="49" t="str">
        <f>IFERROR(__xludf.DUMMYFUNCTION("""COMPUTED_VALUE"""),"Deadeye Brooch")</f>
        <v>Deadeye Brooch</v>
      </c>
      <c r="B664" s="49" t="str">
        <f>IFERROR(__xludf.DUMMYFUNCTION("""COMPUTED_VALUE"""),"Neck")</f>
        <v>Neck</v>
      </c>
      <c r="C664" s="49"/>
      <c r="D664" s="49"/>
      <c r="E664" s="49">
        <f>IFERROR(__xludf.DUMMYFUNCTION("""COMPUTED_VALUE"""),1.0)</f>
        <v>1</v>
      </c>
      <c r="F664" s="112">
        <f>IFERROR(__xludf.DUMMYFUNCTION("""COMPUTED_VALUE"""),0.0)</f>
        <v>0</v>
      </c>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c r="AE664" s="49"/>
      <c r="AF664" s="49"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49" t="str">
        <f>IFERROR(__xludf.DUMMYFUNCTION("""COMPUTED_VALUE"""),"Land of Spira")</f>
        <v>Land of Spira</v>
      </c>
      <c r="AH664" s="49" t="b">
        <f>IFERROR(__xludf.DUMMYFUNCTION("""COMPUTED_VALUE"""),FALSE)</f>
        <v>0</v>
      </c>
    </row>
    <row r="665">
      <c r="A665" s="49" t="str">
        <f>IFERROR(__xludf.DUMMYFUNCTION("""COMPUTED_VALUE"""),"Tool Kit")</f>
        <v>Tool Kit</v>
      </c>
      <c r="B665" s="49" t="str">
        <f>IFERROR(__xludf.DUMMYFUNCTION("""COMPUTED_VALUE"""),"Ring")</f>
        <v>Ring</v>
      </c>
      <c r="C665" s="49"/>
      <c r="D665" s="49"/>
      <c r="E665" s="49">
        <f>IFERROR(__xludf.DUMMYFUNCTION("""COMPUTED_VALUE"""),1.0)</f>
        <v>1</v>
      </c>
      <c r="F665" s="112">
        <f>IFERROR(__xludf.DUMMYFUNCTION("""COMPUTED_VALUE"""),0.0)</f>
        <v>0</v>
      </c>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c r="AE665" s="49"/>
      <c r="AF665" s="49" t="str">
        <f>IFERROR(__xludf.DUMMYFUNCTION("""COMPUTED_VALUE"""),"++The Right Tool For The Job - once per dungeon you are guaranteed to disable a trap +-(Hunter Class Only)")</f>
        <v>++The Right Tool For The Job - once per dungeon you are guaranteed to disable a trap +-(Hunter Class Only)</v>
      </c>
      <c r="AG665" s="49" t="str">
        <f>IFERROR(__xludf.DUMMYFUNCTION("""COMPUTED_VALUE"""),"Land of Spira")</f>
        <v>Land of Spira</v>
      </c>
      <c r="AH665" s="49" t="b">
        <f>IFERROR(__xludf.DUMMYFUNCTION("""COMPUTED_VALUE"""),FALSE)</f>
        <v>0</v>
      </c>
    </row>
    <row r="666">
      <c r="A666" s="49" t="str">
        <f>IFERROR(__xludf.DUMMYFUNCTION("""COMPUTED_VALUE"""),"Basic Bitch Award")</f>
        <v>Basic Bitch Award</v>
      </c>
      <c r="B666" s="49" t="str">
        <f>IFERROR(__xludf.DUMMYFUNCTION("""COMPUTED_VALUE"""),"Ring")</f>
        <v>Ring</v>
      </c>
      <c r="C666" s="49"/>
      <c r="D666" s="49"/>
      <c r="E666" s="49">
        <f>IFERROR(__xludf.DUMMYFUNCTION("""COMPUTED_VALUE"""),1.0)</f>
        <v>1</v>
      </c>
      <c r="F666" s="112">
        <f>IFERROR(__xludf.DUMMYFUNCTION("""COMPUTED_VALUE"""),0.0)</f>
        <v>0</v>
      </c>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c r="AE666" s="49"/>
      <c r="AF666" s="49" t="str">
        <f>IFERROR(__xludf.DUMMYFUNCTION("""COMPUTED_VALUE"""),"++Joe Schmoe - +5 Charisma +-(Knight Class Only)")</f>
        <v>++Joe Schmoe - +5 Charisma +-(Knight Class Only)</v>
      </c>
      <c r="AG666" s="49" t="str">
        <f>IFERROR(__xludf.DUMMYFUNCTION("""COMPUTED_VALUE"""),"Land of Spira")</f>
        <v>Land of Spira</v>
      </c>
      <c r="AH666" s="49" t="b">
        <f>IFERROR(__xludf.DUMMYFUNCTION("""COMPUTED_VALUE"""),FALSE)</f>
        <v>0</v>
      </c>
    </row>
    <row r="667">
      <c r="A667" s="49" t="str">
        <f>IFERROR(__xludf.DUMMYFUNCTION("""COMPUTED_VALUE"""),"Ring of The Frail Scholar")</f>
        <v>Ring of The Frail Scholar</v>
      </c>
      <c r="B667" s="49" t="str">
        <f>IFERROR(__xludf.DUMMYFUNCTION("""COMPUTED_VALUE"""),"Ring")</f>
        <v>Ring</v>
      </c>
      <c r="C667" s="49"/>
      <c r="D667" s="49"/>
      <c r="E667" s="49">
        <f>IFERROR(__xludf.DUMMYFUNCTION("""COMPUTED_VALUE"""),1.0)</f>
        <v>1</v>
      </c>
      <c r="F667" s="112">
        <f>IFERROR(__xludf.DUMMYFUNCTION("""COMPUTED_VALUE"""),0.0)</f>
        <v>0</v>
      </c>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c r="AE667" s="49"/>
      <c r="AF667" s="49" t="str">
        <f>IFERROR(__xludf.DUMMYFUNCTION("""COMPUTED_VALUE"""),"++Frail Scholar - Lowers HP by half but doubles SP +-(Mage, Wizard, and Sorcerer Class Only)")</f>
        <v>++Frail Scholar - Lowers HP by half but doubles SP +-(Mage, Wizard, and Sorcerer Class Only)</v>
      </c>
      <c r="AG667" s="49" t="str">
        <f>IFERROR(__xludf.DUMMYFUNCTION("""COMPUTED_VALUE"""),"Land of Spira")</f>
        <v>Land of Spira</v>
      </c>
      <c r="AH667" s="49" t="b">
        <f>IFERROR(__xludf.DUMMYFUNCTION("""COMPUTED_VALUE"""),FALSE)</f>
        <v>0</v>
      </c>
    </row>
    <row r="668">
      <c r="A668" s="49" t="str">
        <f>IFERROR(__xludf.DUMMYFUNCTION("""COMPUTED_VALUE"""),"Ring of Sticky FIngers")</f>
        <v>Ring of Sticky FIngers</v>
      </c>
      <c r="B668" s="49" t="str">
        <f>IFERROR(__xludf.DUMMYFUNCTION("""COMPUTED_VALUE"""),"Ring")</f>
        <v>Ring</v>
      </c>
      <c r="C668" s="49"/>
      <c r="D668" s="49"/>
      <c r="E668" s="49">
        <f>IFERROR(__xludf.DUMMYFUNCTION("""COMPUTED_VALUE"""),1.0)</f>
        <v>1</v>
      </c>
      <c r="F668" s="112">
        <f>IFERROR(__xludf.DUMMYFUNCTION("""COMPUTED_VALUE"""),0.0)</f>
        <v>0</v>
      </c>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c r="AE668" s="49"/>
      <c r="AF668" s="49" t="str">
        <f>IFERROR(__xludf.DUMMYFUNCTION("""COMPUTED_VALUE"""),"++Sticky FIngers - Allows you to use confiscate, take, and pickpocket skills twice +-(Marauder Class Only)")</f>
        <v>++Sticky FIngers - Allows you to use confiscate, take, and pickpocket skills twice +-(Marauder Class Only)</v>
      </c>
      <c r="AG668" s="49" t="str">
        <f>IFERROR(__xludf.DUMMYFUNCTION("""COMPUTED_VALUE"""),"Land of Spira")</f>
        <v>Land of Spira</v>
      </c>
      <c r="AH668" s="49" t="b">
        <f>IFERROR(__xludf.DUMMYFUNCTION("""COMPUTED_VALUE"""),FALSE)</f>
        <v>0</v>
      </c>
    </row>
    <row r="669">
      <c r="A669" s="49" t="str">
        <f>IFERROR(__xludf.DUMMYFUNCTION("""COMPUTED_VALUE"""),"Spirit Furnace")</f>
        <v>Spirit Furnace</v>
      </c>
      <c r="B669" s="49" t="str">
        <f>IFERROR(__xludf.DUMMYFUNCTION("""COMPUTED_VALUE"""),"Neck")</f>
        <v>Neck</v>
      </c>
      <c r="C669" s="49"/>
      <c r="D669" s="49"/>
      <c r="E669" s="49">
        <f>IFERROR(__xludf.DUMMYFUNCTION("""COMPUTED_VALUE"""),1.0)</f>
        <v>1</v>
      </c>
      <c r="F669" s="112">
        <f>IFERROR(__xludf.DUMMYFUNCTION("""COMPUTED_VALUE"""),0.0)</f>
        <v>0</v>
      </c>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c r="AE669" s="49"/>
      <c r="AF669" s="49"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49" t="str">
        <f>IFERROR(__xludf.DUMMYFUNCTION("""COMPUTED_VALUE"""),"Land of Spira")</f>
        <v>Land of Spira</v>
      </c>
      <c r="AH669" s="49" t="b">
        <f>IFERROR(__xludf.DUMMYFUNCTION("""COMPUTED_VALUE"""),FALSE)</f>
        <v>0</v>
      </c>
    </row>
    <row r="670">
      <c r="A670" s="49" t="str">
        <f>IFERROR(__xludf.DUMMYFUNCTION("""COMPUTED_VALUE"""),"Smokebomb Pouch")</f>
        <v>Smokebomb Pouch</v>
      </c>
      <c r="B670" s="49" t="str">
        <f>IFERROR(__xludf.DUMMYFUNCTION("""COMPUTED_VALUE"""),"Legs")</f>
        <v>Legs</v>
      </c>
      <c r="C670" s="49"/>
      <c r="D670" s="49"/>
      <c r="E670" s="49">
        <f>IFERROR(__xludf.DUMMYFUNCTION("""COMPUTED_VALUE"""),1.0)</f>
        <v>1</v>
      </c>
      <c r="F670" s="112">
        <f>IFERROR(__xludf.DUMMYFUNCTION("""COMPUTED_VALUE"""),0.0)</f>
        <v>0</v>
      </c>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c r="AE670" s="49"/>
      <c r="AF670" s="49" t="str">
        <f>IFERROR(__xludf.DUMMYFUNCTION("""COMPUTED_VALUE"""),"++Smoke Bomb - Conceal abilities are guaranteed to succeed +-(Ninja Class Only)")</f>
        <v>++Smoke Bomb - Conceal abilities are guaranteed to succeed +-(Ninja Class Only)</v>
      </c>
      <c r="AG670" s="49" t="str">
        <f>IFERROR(__xludf.DUMMYFUNCTION("""COMPUTED_VALUE"""),"Land of Spira")</f>
        <v>Land of Spira</v>
      </c>
      <c r="AH670" s="49" t="b">
        <f>IFERROR(__xludf.DUMMYFUNCTION("""COMPUTED_VALUE"""),FALSE)</f>
        <v>0</v>
      </c>
    </row>
    <row r="671">
      <c r="A671" s="49" t="str">
        <f>IFERROR(__xludf.DUMMYFUNCTION("""COMPUTED_VALUE"""),"Certificate of Shield Bashing School")</f>
        <v>Certificate of Shield Bashing School</v>
      </c>
      <c r="B671" s="49" t="str">
        <f>IFERROR(__xludf.DUMMYFUNCTION("""COMPUTED_VALUE"""),"Neck")</f>
        <v>Neck</v>
      </c>
      <c r="C671" s="49"/>
      <c r="D671" s="49"/>
      <c r="E671" s="49">
        <f>IFERROR(__xludf.DUMMYFUNCTION("""COMPUTED_VALUE"""),1.0)</f>
        <v>1</v>
      </c>
      <c r="F671" s="112">
        <f>IFERROR(__xludf.DUMMYFUNCTION("""COMPUTED_VALUE"""),0.0)</f>
        <v>0</v>
      </c>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c r="AE671" s="49"/>
      <c r="AF671" s="49"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49" t="str">
        <f>IFERROR(__xludf.DUMMYFUNCTION("""COMPUTED_VALUE"""),"Land of Spira")</f>
        <v>Land of Spira</v>
      </c>
      <c r="AH671" s="49" t="b">
        <f>IFERROR(__xludf.DUMMYFUNCTION("""COMPUTED_VALUE"""),FALSE)</f>
        <v>0</v>
      </c>
    </row>
    <row r="672">
      <c r="A672" s="49" t="str">
        <f>IFERROR(__xludf.DUMMYFUNCTION("""COMPUTED_VALUE"""),"Goblet of Greed")</f>
        <v>Goblet of Greed</v>
      </c>
      <c r="B672" s="49" t="str">
        <f>IFERROR(__xludf.DUMMYFUNCTION("""COMPUTED_VALUE"""),"Neck")</f>
        <v>Neck</v>
      </c>
      <c r="C672" s="49"/>
      <c r="D672" s="49"/>
      <c r="E672" s="49">
        <f>IFERROR(__xludf.DUMMYFUNCTION("""COMPUTED_VALUE"""),1.0)</f>
        <v>1</v>
      </c>
      <c r="F672" s="112">
        <f>IFERROR(__xludf.DUMMYFUNCTION("""COMPUTED_VALUE"""),0.0)</f>
        <v>0</v>
      </c>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c r="AE672" s="49"/>
      <c r="AF672" s="49"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49" t="str">
        <f>IFERROR(__xludf.DUMMYFUNCTION("""COMPUTED_VALUE"""),"Land of Spira")</f>
        <v>Land of Spira</v>
      </c>
      <c r="AH672" s="49" t="b">
        <f>IFERROR(__xludf.DUMMYFUNCTION("""COMPUTED_VALUE"""),FALSE)</f>
        <v>0</v>
      </c>
    </row>
    <row r="673">
      <c r="A673" s="49" t="str">
        <f>IFERROR(__xludf.DUMMYFUNCTION("""COMPUTED_VALUE"""),"Holy Symbol")</f>
        <v>Holy Symbol</v>
      </c>
      <c r="B673" s="49" t="str">
        <f>IFERROR(__xludf.DUMMYFUNCTION("""COMPUTED_VALUE"""),"Neck")</f>
        <v>Neck</v>
      </c>
      <c r="C673" s="49"/>
      <c r="D673" s="49"/>
      <c r="E673" s="49">
        <f>IFERROR(__xludf.DUMMYFUNCTION("""COMPUTED_VALUE"""),1.0)</f>
        <v>1</v>
      </c>
      <c r="F673" s="112">
        <f>IFERROR(__xludf.DUMMYFUNCTION("""COMPUTED_VALUE"""),0.0)</f>
        <v>0</v>
      </c>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c r="AE673" s="49"/>
      <c r="AF673" s="49"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49" t="str">
        <f>IFERROR(__xludf.DUMMYFUNCTION("""COMPUTED_VALUE"""),"Land of Spira")</f>
        <v>Land of Spira</v>
      </c>
      <c r="AH673" s="49" t="b">
        <f>IFERROR(__xludf.DUMMYFUNCTION("""COMPUTED_VALUE"""),FALSE)</f>
        <v>0</v>
      </c>
    </row>
    <row r="674">
      <c r="A674" s="49" t="str">
        <f>IFERROR(__xludf.DUMMYFUNCTION("""COMPUTED_VALUE"""),"Mysterious Merchant's Scythe")</f>
        <v>Mysterious Merchant's Scythe</v>
      </c>
      <c r="B674" s="49" t="str">
        <f>IFERROR(__xludf.DUMMYFUNCTION("""COMPUTED_VALUE"""),"Hand")</f>
        <v>Hand</v>
      </c>
      <c r="C674" s="49" t="str">
        <f>IFERROR(__xludf.DUMMYFUNCTION("""COMPUTED_VALUE"""),"The scythe of the mysterious merchant himself imbued with a great power")</f>
        <v>The scythe of the mysterious merchant himself imbued with a great power</v>
      </c>
      <c r="D674" s="49" t="str">
        <f>IFERROR(__xludf.DUMMYFUNCTION("""COMPUTED_VALUE"""),"Scythe")</f>
        <v>Scythe</v>
      </c>
      <c r="E674" s="49">
        <f>IFERROR(__xludf.DUMMYFUNCTION("""COMPUTED_VALUE"""),1000.0)</f>
        <v>1000</v>
      </c>
      <c r="F674" s="112">
        <f>IFERROR(__xludf.DUMMYFUNCTION("""COMPUTED_VALUE"""),4.95E7)</f>
        <v>49500000</v>
      </c>
      <c r="G674" s="49" t="str">
        <f>IFERROR(__xludf.DUMMYFUNCTION("""COMPUTED_VALUE"""),"DMG")</f>
        <v>DMG</v>
      </c>
      <c r="H674" s="49"/>
      <c r="I674" s="49"/>
      <c r="J674" s="49"/>
      <c r="K674" s="49"/>
      <c r="L674" s="49"/>
      <c r="M674" s="49"/>
      <c r="N674" s="49"/>
      <c r="O674" s="49"/>
      <c r="P674" s="49">
        <f>IFERROR(__xludf.DUMMYFUNCTION("""COMPUTED_VALUE"""),50000.0)</f>
        <v>50000</v>
      </c>
      <c r="Q674" s="49"/>
      <c r="R674" s="49"/>
      <c r="S674" s="49"/>
      <c r="T674" s="49"/>
      <c r="U674" s="49"/>
      <c r="V674" s="49"/>
      <c r="W674" s="49"/>
      <c r="X674" s="49"/>
      <c r="Y674" s="49"/>
      <c r="Z674" s="49"/>
      <c r="AA674" s="49"/>
      <c r="AB674" s="49"/>
      <c r="AC674" s="49"/>
      <c r="AD674" s="49"/>
      <c r="AE674" s="49"/>
      <c r="AF674" s="49"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49" t="str">
        <f>IFERROR(__xludf.DUMMYFUNCTION("""COMPUTED_VALUE"""),"Land of Spira")</f>
        <v>Land of Spira</v>
      </c>
      <c r="AH674" s="49" t="b">
        <f>IFERROR(__xludf.DUMMYFUNCTION("""COMPUTED_VALUE"""),FALSE)</f>
        <v>0</v>
      </c>
    </row>
    <row r="675">
      <c r="A675" s="49" t="str">
        <f>IFERROR(__xludf.DUMMYFUNCTION("""COMPUTED_VALUE"""),"Cursed Saya")</f>
        <v>Cursed Saya</v>
      </c>
      <c r="B675" s="49" t="str">
        <f>IFERROR(__xludf.DUMMYFUNCTION("""COMPUTED_VALUE"""),"Legs")</f>
        <v>Legs</v>
      </c>
      <c r="C675" s="49"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49"/>
      <c r="E675" s="49">
        <f>IFERROR(__xludf.DUMMYFUNCTION("""COMPUTED_VALUE"""),1.0)</f>
        <v>1</v>
      </c>
      <c r="F675" s="112">
        <f>IFERROR(__xludf.DUMMYFUNCTION("""COMPUTED_VALUE"""),0.0)</f>
        <v>0</v>
      </c>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c r="AE675" s="49"/>
      <c r="AF675" s="49"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49" t="str">
        <f>IFERROR(__xludf.DUMMYFUNCTION("""COMPUTED_VALUE"""),"Land of Spira")</f>
        <v>Land of Spira</v>
      </c>
      <c r="AH675" s="49" t="b">
        <f>IFERROR(__xludf.DUMMYFUNCTION("""COMPUTED_VALUE"""),FALSE)</f>
        <v>0</v>
      </c>
    </row>
    <row r="676">
      <c r="A676" s="49" t="str">
        <f>IFERROR(__xludf.DUMMYFUNCTION("""COMPUTED_VALUE"""),"Shamanic Staff")</f>
        <v>Shamanic Staff</v>
      </c>
      <c r="B676" s="49" t="str">
        <f>IFERROR(__xludf.DUMMYFUNCTION("""COMPUTED_VALUE"""),"Hand")</f>
        <v>Hand</v>
      </c>
      <c r="C676" s="49"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49" t="str">
        <f>IFERROR(__xludf.DUMMYFUNCTION("""COMPUTED_VALUE"""),"Staff")</f>
        <v>Staff</v>
      </c>
      <c r="E676" s="49">
        <f>IFERROR(__xludf.DUMMYFUNCTION("""COMPUTED_VALUE"""),1500.0)</f>
        <v>1500</v>
      </c>
      <c r="F676" s="112">
        <f>IFERROR(__xludf.DUMMYFUNCTION("""COMPUTED_VALUE"""),1.1175E8)</f>
        <v>111750000</v>
      </c>
      <c r="G676" s="49" t="str">
        <f>IFERROR(__xludf.DUMMYFUNCTION("""COMPUTED_VALUE"""),"DMG")</f>
        <v>DMG</v>
      </c>
      <c r="H676" s="49"/>
      <c r="I676" s="49">
        <f>IFERROR(__xludf.DUMMYFUNCTION("""COMPUTED_VALUE"""),25000.0)</f>
        <v>25000</v>
      </c>
      <c r="J676" s="49"/>
      <c r="K676" s="49"/>
      <c r="L676" s="49"/>
      <c r="M676" s="49"/>
      <c r="N676" s="49"/>
      <c r="O676" s="49"/>
      <c r="P676" s="49">
        <f>IFERROR(__xludf.DUMMYFUNCTION("""COMPUTED_VALUE"""),25000.0)</f>
        <v>25000</v>
      </c>
      <c r="Q676" s="49"/>
      <c r="R676" s="49"/>
      <c r="S676" s="49"/>
      <c r="T676" s="49"/>
      <c r="U676" s="49"/>
      <c r="V676" s="49"/>
      <c r="W676" s="49"/>
      <c r="X676" s="49">
        <f>IFERROR(__xludf.DUMMYFUNCTION("""COMPUTED_VALUE"""),25000.0)</f>
        <v>25000</v>
      </c>
      <c r="Y676" s="49"/>
      <c r="Z676" s="49"/>
      <c r="AA676" s="49"/>
      <c r="AB676" s="49"/>
      <c r="AC676" s="49"/>
      <c r="AD676" s="49"/>
      <c r="AE676" s="49"/>
      <c r="AF676" s="49"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49" t="str">
        <f>IFERROR(__xludf.DUMMYFUNCTION("""COMPUTED_VALUE"""),"Land of Spira")</f>
        <v>Land of Spira</v>
      </c>
      <c r="AH676" s="49" t="b">
        <f>IFERROR(__xludf.DUMMYFUNCTION("""COMPUTED_VALUE"""),FALSE)</f>
        <v>0</v>
      </c>
    </row>
    <row r="677">
      <c r="A677" s="49" t="str">
        <f>IFERROR(__xludf.DUMMYFUNCTION("""COMPUTED_VALUE"""),"Rune Necklace")</f>
        <v>Rune Necklace</v>
      </c>
      <c r="B677" s="49" t="str">
        <f>IFERROR(__xludf.DUMMYFUNCTION("""COMPUTED_VALUE"""),"Neck")</f>
        <v>Neck</v>
      </c>
      <c r="C677" s="49"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49"/>
      <c r="E677" s="49">
        <f>IFERROR(__xludf.DUMMYFUNCTION("""COMPUTED_VALUE"""),1.0)</f>
        <v>1</v>
      </c>
      <c r="F677" s="112">
        <f>IFERROR(__xludf.DUMMYFUNCTION("""COMPUTED_VALUE"""),0.0)</f>
        <v>0</v>
      </c>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c r="AE677" s="49"/>
      <c r="AF677" s="49" t="str">
        <f>IFERROR(__xludf.DUMMYFUNCTION("""COMPUTED_VALUE"""),"++Spirit's Friend - Any summoned Spirit gains +5 to all perks and X2 base stats +-(Shaman Class Only)")</f>
        <v>++Spirit's Friend - Any summoned Spirit gains +5 to all perks and X2 base stats +-(Shaman Class Only)</v>
      </c>
      <c r="AG677" s="49" t="str">
        <f>IFERROR(__xludf.DUMMYFUNCTION("""COMPUTED_VALUE"""),"Land of Spira")</f>
        <v>Land of Spira</v>
      </c>
      <c r="AH677" s="49" t="b">
        <f>IFERROR(__xludf.DUMMYFUNCTION("""COMPUTED_VALUE"""),FALSE)</f>
        <v>0</v>
      </c>
    </row>
    <row r="678">
      <c r="A678" s="49" t="str">
        <f>IFERROR(__xludf.DUMMYFUNCTION("""COMPUTED_VALUE"""),"Spell Sponge")</f>
        <v>Spell Sponge</v>
      </c>
      <c r="B678" s="49" t="str">
        <f>IFERROR(__xludf.DUMMYFUNCTION("""COMPUTED_VALUE"""),"Neck")</f>
        <v>Neck</v>
      </c>
      <c r="C678" s="49"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49"/>
      <c r="E678" s="49">
        <f>IFERROR(__xludf.DUMMYFUNCTION("""COMPUTED_VALUE"""),1.0)</f>
        <v>1</v>
      </c>
      <c r="F678" s="112">
        <f>IFERROR(__xludf.DUMMYFUNCTION("""COMPUTED_VALUE"""),0.0)</f>
        <v>0</v>
      </c>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c r="AE678" s="49"/>
      <c r="AF678" s="49"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49" t="str">
        <f>IFERROR(__xludf.DUMMYFUNCTION("""COMPUTED_VALUE"""),"Land of Spira")</f>
        <v>Land of Spira</v>
      </c>
      <c r="AH678" s="49" t="b">
        <f>IFERROR(__xludf.DUMMYFUNCTION("""COMPUTED_VALUE"""),FALSE)</f>
        <v>0</v>
      </c>
    </row>
    <row r="679">
      <c r="A679" s="49" t="str">
        <f>IFERROR(__xludf.DUMMYFUNCTION("""COMPUTED_VALUE"""),"Viking's Warpaint")</f>
        <v>Viking's Warpaint</v>
      </c>
      <c r="B679" s="49" t="str">
        <f>IFERROR(__xludf.DUMMYFUNCTION("""COMPUTED_VALUE"""),"Head")</f>
        <v>Head</v>
      </c>
      <c r="C679" s="49" t="str">
        <f>IFERROR(__xludf.DUMMYFUNCTION("""COMPUTED_VALUE"""),"A set of primitive paint imported from Knappadalr, for some reason these paints fill you with rage.")</f>
        <v>A set of primitive paint imported from Knappadalr, for some reason these paints fill you with rage.</v>
      </c>
      <c r="D679" s="49"/>
      <c r="E679" s="49">
        <f>IFERROR(__xludf.DUMMYFUNCTION("""COMPUTED_VALUE"""),1.0)</f>
        <v>1</v>
      </c>
      <c r="F679" s="112">
        <f>IFERROR(__xludf.DUMMYFUNCTION("""COMPUTED_VALUE"""),0.0)</f>
        <v>0</v>
      </c>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c r="AE679" s="49"/>
      <c r="AF679" s="49"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49" t="str">
        <f>IFERROR(__xludf.DUMMYFUNCTION("""COMPUTED_VALUE"""),"Land of Spira")</f>
        <v>Land of Spira</v>
      </c>
      <c r="AH679" s="49" t="b">
        <f>IFERROR(__xludf.DUMMYFUNCTION("""COMPUTED_VALUE"""),FALSE)</f>
        <v>0</v>
      </c>
    </row>
    <row r="680">
      <c r="A680" s="49" t="str">
        <f>IFERROR(__xludf.DUMMYFUNCTION("""COMPUTED_VALUE"""),"Speed Shoes")</f>
        <v>Speed Shoes</v>
      </c>
      <c r="B680" s="49" t="str">
        <f>IFERROR(__xludf.DUMMYFUNCTION("""COMPUTED_VALUE"""),"Feet")</f>
        <v>Feet</v>
      </c>
      <c r="C680" s="49" t="str">
        <f>IFERROR(__xludf.DUMMYFUNCTION("""COMPUTED_VALUE"""),"A pair of red shoes that make you feel like dancing.")</f>
        <v>A pair of red shoes that make you feel like dancing.</v>
      </c>
      <c r="D680" s="49"/>
      <c r="E680" s="49">
        <f>IFERROR(__xludf.DUMMYFUNCTION("""COMPUTED_VALUE"""),1.0)</f>
        <v>1</v>
      </c>
      <c r="F680" s="112">
        <f>IFERROR(__xludf.DUMMYFUNCTION("""COMPUTED_VALUE"""),0.0)</f>
        <v>0</v>
      </c>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c r="AE680" s="49"/>
      <c r="AF680" s="49"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49" t="str">
        <f>IFERROR(__xludf.DUMMYFUNCTION("""COMPUTED_VALUE"""),"Land of Spira")</f>
        <v>Land of Spira</v>
      </c>
      <c r="AH680" s="49" t="b">
        <f>IFERROR(__xludf.DUMMYFUNCTION("""COMPUTED_VALUE"""),FALSE)</f>
        <v>0</v>
      </c>
    </row>
    <row r="681">
      <c r="A681" s="49" t="str">
        <f>IFERROR(__xludf.DUMMYFUNCTION("""COMPUTED_VALUE"""),"Book of Hexes")</f>
        <v>Book of Hexes</v>
      </c>
      <c r="B681" s="49" t="str">
        <f>IFERROR(__xludf.DUMMYFUNCTION("""COMPUTED_VALUE"""),"Legs")</f>
        <v>Legs</v>
      </c>
      <c r="C681" s="49" t="str">
        <f>IFERROR(__xludf.DUMMYFUNCTION("""COMPUTED_VALUE"""),"The staple item for a witch.")</f>
        <v>The staple item for a witch.</v>
      </c>
      <c r="D681" s="49"/>
      <c r="E681" s="49">
        <f>IFERROR(__xludf.DUMMYFUNCTION("""COMPUTED_VALUE"""),1.0)</f>
        <v>1</v>
      </c>
      <c r="F681" s="112">
        <f>IFERROR(__xludf.DUMMYFUNCTION("""COMPUTED_VALUE"""),0.0)</f>
        <v>0</v>
      </c>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c r="AE681" s="49"/>
      <c r="AF681" s="49"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49" t="str">
        <f>IFERROR(__xludf.DUMMYFUNCTION("""COMPUTED_VALUE"""),"Land of Spira")</f>
        <v>Land of Spira</v>
      </c>
      <c r="AH681" s="49" t="b">
        <f>IFERROR(__xludf.DUMMYFUNCTION("""COMPUTED_VALUE"""),FALSE)</f>
        <v>0</v>
      </c>
    </row>
    <row r="682">
      <c r="A682" s="49" t="str">
        <f>IFERROR(__xludf.DUMMYFUNCTION("""COMPUTED_VALUE"""),"Ring of Boring")</f>
        <v>Ring of Boring</v>
      </c>
      <c r="B682" s="49" t="str">
        <f>IFERROR(__xludf.DUMMYFUNCTION("""COMPUTED_VALUE"""),"Finger")</f>
        <v>Finger</v>
      </c>
      <c r="C682" s="49" t="str">
        <f>IFERROR(__xludf.DUMMYFUNCTION("""COMPUTED_VALUE"""),"The item for people who made a character but decided they were ""too good"" for it's abilities.")</f>
        <v>The item for people who made a character but decided they were "too good" for it's abilities.</v>
      </c>
      <c r="D682" s="49"/>
      <c r="E682" s="49">
        <f>IFERROR(__xludf.DUMMYFUNCTION("""COMPUTED_VALUE"""),1.0)</f>
        <v>1</v>
      </c>
      <c r="F682" s="112">
        <f>IFERROR(__xludf.DUMMYFUNCTION("""COMPUTED_VALUE"""),0.0)</f>
        <v>0</v>
      </c>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c r="AE682" s="49"/>
      <c r="AF682" s="49" t="str">
        <f>IFERROR(__xludf.DUMMYFUNCTION("""COMPUTED_VALUE"""),"++Why are you so boring? - X2 additional damage.")</f>
        <v>++Why are you so boring? - X2 additional damage.</v>
      </c>
      <c r="AG682" s="49" t="str">
        <f>IFERROR(__xludf.DUMMYFUNCTION("""COMPUTED_VALUE"""),"Land of Spira")</f>
        <v>Land of Spira</v>
      </c>
      <c r="AH682" s="49" t="b">
        <f>IFERROR(__xludf.DUMMYFUNCTION("""COMPUTED_VALUE"""),FALSE)</f>
        <v>0</v>
      </c>
    </row>
    <row r="683">
      <c r="A683" s="49" t="str">
        <f>IFERROR(__xludf.DUMMYFUNCTION("""COMPUTED_VALUE"""),"Frozen Spearman's High-Low Dress")</f>
        <v>Frozen Spearman's High-Low Dress</v>
      </c>
      <c r="B683" s="49" t="str">
        <f>IFERROR(__xludf.DUMMYFUNCTION("""COMPUTED_VALUE"""),"Torso")</f>
        <v>Torso</v>
      </c>
      <c r="C683" s="49"/>
      <c r="D683" s="49"/>
      <c r="E683" s="49">
        <f>IFERROR(__xludf.DUMMYFUNCTION("""COMPUTED_VALUE"""),200.0)</f>
        <v>200</v>
      </c>
      <c r="F683" s="112">
        <f>IFERROR(__xludf.DUMMYFUNCTION("""COMPUTED_VALUE"""),1.99E8)</f>
        <v>199000000</v>
      </c>
      <c r="G683" s="49" t="str">
        <f>IFERROR(__xludf.DUMMYFUNCTION("""COMPUTED_VALUE"""),"DEF")</f>
        <v>DEF</v>
      </c>
      <c r="H683" s="49">
        <f>IFERROR(__xludf.DUMMYFUNCTION("""COMPUTED_VALUE"""),25000.0)</f>
        <v>25000</v>
      </c>
      <c r="I683" s="49"/>
      <c r="J683" s="49"/>
      <c r="K683" s="49"/>
      <c r="L683" s="49"/>
      <c r="M683" s="49">
        <f>IFERROR(__xludf.DUMMYFUNCTION("""COMPUTED_VALUE"""),25000.0)</f>
        <v>25000</v>
      </c>
      <c r="N683" s="49"/>
      <c r="O683" s="49"/>
      <c r="P683" s="49"/>
      <c r="Q683" s="49"/>
      <c r="R683" s="49"/>
      <c r="S683" s="49">
        <f>IFERROR(__xludf.DUMMYFUNCTION("""COMPUTED_VALUE"""),25000.0)</f>
        <v>25000</v>
      </c>
      <c r="T683" s="49"/>
      <c r="U683" s="49"/>
      <c r="V683" s="49"/>
      <c r="W683" s="49"/>
      <c r="X683" s="49"/>
      <c r="Y683" s="49"/>
      <c r="Z683" s="49"/>
      <c r="AA683" s="49"/>
      <c r="AB683" s="49"/>
      <c r="AC683" s="49">
        <f>IFERROR(__xludf.DUMMYFUNCTION("""COMPUTED_VALUE"""),25000.0)</f>
        <v>25000</v>
      </c>
      <c r="AD683" s="49"/>
      <c r="AE683" s="49"/>
      <c r="AF683" s="49"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49" t="str">
        <f>IFERROR(__xludf.DUMMYFUNCTION("""COMPUTED_VALUE"""),"Land of Spira")</f>
        <v>Land of Spira</v>
      </c>
      <c r="AH683" s="49" t="b">
        <f>IFERROR(__xludf.DUMMYFUNCTION("""COMPUTED_VALUE"""),FALSE)</f>
        <v>0</v>
      </c>
    </row>
    <row r="684">
      <c r="A684" s="49" t="str">
        <f>IFERROR(__xludf.DUMMYFUNCTION("""COMPUTED_VALUE"""),"Frozen Spearman's Jhodpur's")</f>
        <v>Frozen Spearman's Jhodpur's</v>
      </c>
      <c r="B684" s="49" t="str">
        <f>IFERROR(__xludf.DUMMYFUNCTION("""COMPUTED_VALUE"""),"Legs")</f>
        <v>Legs</v>
      </c>
      <c r="C684" s="49"/>
      <c r="D684" s="49"/>
      <c r="E684" s="49">
        <f>IFERROR(__xludf.DUMMYFUNCTION("""COMPUTED_VALUE"""),200.0)</f>
        <v>200</v>
      </c>
      <c r="F684" s="112">
        <f>IFERROR(__xludf.DUMMYFUNCTION("""COMPUTED_VALUE"""),1.99E8)</f>
        <v>199000000</v>
      </c>
      <c r="G684" s="49" t="str">
        <f>IFERROR(__xludf.DUMMYFUNCTION("""COMPUTED_VALUE"""),"DEF")</f>
        <v>DEF</v>
      </c>
      <c r="H684" s="49">
        <f>IFERROR(__xludf.DUMMYFUNCTION("""COMPUTED_VALUE"""),25000.0)</f>
        <v>25000</v>
      </c>
      <c r="I684" s="49"/>
      <c r="J684" s="49"/>
      <c r="K684" s="49"/>
      <c r="L684" s="49"/>
      <c r="M684" s="49">
        <f>IFERROR(__xludf.DUMMYFUNCTION("""COMPUTED_VALUE"""),25000.0)</f>
        <v>25000</v>
      </c>
      <c r="N684" s="49"/>
      <c r="O684" s="49"/>
      <c r="P684" s="49"/>
      <c r="Q684" s="49"/>
      <c r="R684" s="49"/>
      <c r="S684" s="49">
        <f>IFERROR(__xludf.DUMMYFUNCTION("""COMPUTED_VALUE"""),25000.0)</f>
        <v>25000</v>
      </c>
      <c r="T684" s="49"/>
      <c r="U684" s="49"/>
      <c r="V684" s="49"/>
      <c r="W684" s="49"/>
      <c r="X684" s="49"/>
      <c r="Y684" s="49"/>
      <c r="Z684" s="49"/>
      <c r="AA684" s="49"/>
      <c r="AB684" s="49"/>
      <c r="AC684" s="49">
        <f>IFERROR(__xludf.DUMMYFUNCTION("""COMPUTED_VALUE"""),25000.0)</f>
        <v>25000</v>
      </c>
      <c r="AD684" s="49"/>
      <c r="AE684" s="49"/>
      <c r="AF684" s="49"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49" t="str">
        <f>IFERROR(__xludf.DUMMYFUNCTION("""COMPUTED_VALUE"""),"Land of Spira")</f>
        <v>Land of Spira</v>
      </c>
      <c r="AH684" s="49" t="b">
        <f>IFERROR(__xludf.DUMMYFUNCTION("""COMPUTED_VALUE"""),FALSE)</f>
        <v>0</v>
      </c>
    </row>
    <row r="685">
      <c r="A685" s="49" t="str">
        <f>IFERROR(__xludf.DUMMYFUNCTION("""COMPUTED_VALUE"""),"Frozen Spearman's Fur Boots")</f>
        <v>Frozen Spearman's Fur Boots</v>
      </c>
      <c r="B685" s="49" t="str">
        <f>IFERROR(__xludf.DUMMYFUNCTION("""COMPUTED_VALUE"""),"Feet")</f>
        <v>Feet</v>
      </c>
      <c r="C685" s="49"/>
      <c r="D685" s="49"/>
      <c r="E685" s="49">
        <f>IFERROR(__xludf.DUMMYFUNCTION("""COMPUTED_VALUE"""),200.0)</f>
        <v>200</v>
      </c>
      <c r="F685" s="112">
        <f>IFERROR(__xludf.DUMMYFUNCTION("""COMPUTED_VALUE"""),1.99E8)</f>
        <v>199000000</v>
      </c>
      <c r="G685" s="49" t="str">
        <f>IFERROR(__xludf.DUMMYFUNCTION("""COMPUTED_VALUE"""),"DEF")</f>
        <v>DEF</v>
      </c>
      <c r="H685" s="49">
        <f>IFERROR(__xludf.DUMMYFUNCTION("""COMPUTED_VALUE"""),25000.0)</f>
        <v>25000</v>
      </c>
      <c r="I685" s="49"/>
      <c r="J685" s="49"/>
      <c r="K685" s="49"/>
      <c r="L685" s="49"/>
      <c r="M685" s="49">
        <f>IFERROR(__xludf.DUMMYFUNCTION("""COMPUTED_VALUE"""),25000.0)</f>
        <v>25000</v>
      </c>
      <c r="N685" s="49"/>
      <c r="O685" s="49"/>
      <c r="P685" s="49"/>
      <c r="Q685" s="49"/>
      <c r="R685" s="49"/>
      <c r="S685" s="49">
        <f>IFERROR(__xludf.DUMMYFUNCTION("""COMPUTED_VALUE"""),25000.0)</f>
        <v>25000</v>
      </c>
      <c r="T685" s="49"/>
      <c r="U685" s="49"/>
      <c r="V685" s="49"/>
      <c r="W685" s="49"/>
      <c r="X685" s="49"/>
      <c r="Y685" s="49"/>
      <c r="Z685" s="49"/>
      <c r="AA685" s="49"/>
      <c r="AB685" s="49"/>
      <c r="AC685" s="49">
        <f>IFERROR(__xludf.DUMMYFUNCTION("""COMPUTED_VALUE"""),25000.0)</f>
        <v>25000</v>
      </c>
      <c r="AD685" s="49"/>
      <c r="AE685" s="49"/>
      <c r="AF685" s="49" t="str">
        <f>IFERROR(__xludf.DUMMYFUNCTION("""COMPUTED_VALUE"""),"++Frosty Footwork - Upon successfully hitting an enemy you can make a second attack")</f>
        <v>++Frosty Footwork - Upon successfully hitting an enemy you can make a second attack</v>
      </c>
      <c r="AG685" s="49" t="str">
        <f>IFERROR(__xludf.DUMMYFUNCTION("""COMPUTED_VALUE"""),"Land of Spira")</f>
        <v>Land of Spira</v>
      </c>
      <c r="AH685" s="49" t="b">
        <f>IFERROR(__xludf.DUMMYFUNCTION("""COMPUTED_VALUE"""),FALSE)</f>
        <v>0</v>
      </c>
    </row>
    <row r="686">
      <c r="A686" s="49" t="str">
        <f>IFERROR(__xludf.DUMMYFUNCTION("""COMPUTED_VALUE"""),"Frozen Spearman's Bracers")</f>
        <v>Frozen Spearman's Bracers</v>
      </c>
      <c r="B686" s="49" t="str">
        <f>IFERROR(__xludf.DUMMYFUNCTION("""COMPUTED_VALUE"""),"Arms")</f>
        <v>Arms</v>
      </c>
      <c r="C686" s="49"/>
      <c r="D686" s="49"/>
      <c r="E686" s="49">
        <f>IFERROR(__xludf.DUMMYFUNCTION("""COMPUTED_VALUE"""),200.0)</f>
        <v>200</v>
      </c>
      <c r="F686" s="112">
        <f>IFERROR(__xludf.DUMMYFUNCTION("""COMPUTED_VALUE"""),1.99E8)</f>
        <v>199000000</v>
      </c>
      <c r="G686" s="49" t="str">
        <f>IFERROR(__xludf.DUMMYFUNCTION("""COMPUTED_VALUE"""),"DEF")</f>
        <v>DEF</v>
      </c>
      <c r="H686" s="49">
        <f>IFERROR(__xludf.DUMMYFUNCTION("""COMPUTED_VALUE"""),25000.0)</f>
        <v>25000</v>
      </c>
      <c r="I686" s="49"/>
      <c r="J686" s="49"/>
      <c r="K686" s="49"/>
      <c r="L686" s="49"/>
      <c r="M686" s="49">
        <f>IFERROR(__xludf.DUMMYFUNCTION("""COMPUTED_VALUE"""),25000.0)</f>
        <v>25000</v>
      </c>
      <c r="N686" s="49"/>
      <c r="O686" s="49"/>
      <c r="P686" s="49"/>
      <c r="Q686" s="49"/>
      <c r="R686" s="49"/>
      <c r="S686" s="49">
        <f>IFERROR(__xludf.DUMMYFUNCTION("""COMPUTED_VALUE"""),25000.0)</f>
        <v>25000</v>
      </c>
      <c r="T686" s="49"/>
      <c r="U686" s="49"/>
      <c r="V686" s="49"/>
      <c r="W686" s="49"/>
      <c r="X686" s="49"/>
      <c r="Y686" s="49"/>
      <c r="Z686" s="49"/>
      <c r="AA686" s="49"/>
      <c r="AB686" s="49"/>
      <c r="AC686" s="49">
        <f>IFERROR(__xludf.DUMMYFUNCTION("""COMPUTED_VALUE"""),25000.0)</f>
        <v>25000</v>
      </c>
      <c r="AD686" s="49"/>
      <c r="AE686" s="49"/>
      <c r="AF686" s="49" t="str">
        <f>IFERROR(__xludf.DUMMYFUNCTION("""COMPUTED_VALUE"""),"++Queen's Counter - Upon successfully evading an attack you can Immediately attack the person who attacked you.")</f>
        <v>++Queen's Counter - Upon successfully evading an attack you can Immediately attack the person who attacked you.</v>
      </c>
      <c r="AG686" s="49" t="str">
        <f>IFERROR(__xludf.DUMMYFUNCTION("""COMPUTED_VALUE"""),"Land of Spira")</f>
        <v>Land of Spira</v>
      </c>
      <c r="AH686" s="49" t="b">
        <f>IFERROR(__xludf.DUMMYFUNCTION("""COMPUTED_VALUE"""),FALSE)</f>
        <v>0</v>
      </c>
    </row>
    <row r="687">
      <c r="A687" s="49" t="str">
        <f>IFERROR(__xludf.DUMMYFUNCTION("""COMPUTED_VALUE"""),"Frozen Spearman's Fur Cloak")</f>
        <v>Frozen Spearman's Fur Cloak</v>
      </c>
      <c r="B687" s="49" t="str">
        <f>IFERROR(__xludf.DUMMYFUNCTION("""COMPUTED_VALUE"""),"Pauldrons")</f>
        <v>Pauldrons</v>
      </c>
      <c r="C687" s="49"/>
      <c r="D687" s="49"/>
      <c r="E687" s="49">
        <f>IFERROR(__xludf.DUMMYFUNCTION("""COMPUTED_VALUE"""),200.0)</f>
        <v>200</v>
      </c>
      <c r="F687" s="112">
        <f>IFERROR(__xludf.DUMMYFUNCTION("""COMPUTED_VALUE"""),1.99E8)</f>
        <v>199000000</v>
      </c>
      <c r="G687" s="49" t="str">
        <f>IFERROR(__xludf.DUMMYFUNCTION("""COMPUTED_VALUE"""),"DEF")</f>
        <v>DEF</v>
      </c>
      <c r="H687" s="49">
        <f>IFERROR(__xludf.DUMMYFUNCTION("""COMPUTED_VALUE"""),25000.0)</f>
        <v>25000</v>
      </c>
      <c r="I687" s="49"/>
      <c r="J687" s="49"/>
      <c r="K687" s="49"/>
      <c r="L687" s="49"/>
      <c r="M687" s="49">
        <f>IFERROR(__xludf.DUMMYFUNCTION("""COMPUTED_VALUE"""),25000.0)</f>
        <v>25000</v>
      </c>
      <c r="N687" s="49"/>
      <c r="O687" s="49"/>
      <c r="P687" s="49"/>
      <c r="Q687" s="49"/>
      <c r="R687" s="49"/>
      <c r="S687" s="49">
        <f>IFERROR(__xludf.DUMMYFUNCTION("""COMPUTED_VALUE"""),25000.0)</f>
        <v>25000</v>
      </c>
      <c r="T687" s="49"/>
      <c r="U687" s="49"/>
      <c r="V687" s="49"/>
      <c r="W687" s="49"/>
      <c r="X687" s="49"/>
      <c r="Y687" s="49"/>
      <c r="Z687" s="49"/>
      <c r="AA687" s="49"/>
      <c r="AB687" s="49"/>
      <c r="AC687" s="49">
        <f>IFERROR(__xludf.DUMMYFUNCTION("""COMPUTED_VALUE"""),25000.0)</f>
        <v>25000</v>
      </c>
      <c r="AD687" s="49"/>
      <c r="AE687" s="49"/>
      <c r="AF687" s="49" t="str">
        <f>IFERROR(__xludf.DUMMYFUNCTION("""COMPUTED_VALUE"""),"++A Land of Ice and Snow - X4 Storm and Water damage")</f>
        <v>++A Land of Ice and Snow - X4 Storm and Water damage</v>
      </c>
      <c r="AG687" s="49" t="str">
        <f>IFERROR(__xludf.DUMMYFUNCTION("""COMPUTED_VALUE"""),"Land of Spira")</f>
        <v>Land of Spira</v>
      </c>
      <c r="AH687" s="49" t="b">
        <f>IFERROR(__xludf.DUMMYFUNCTION("""COMPUTED_VALUE"""),FALSE)</f>
        <v>0</v>
      </c>
    </row>
    <row r="688">
      <c r="A688" s="49" t="str">
        <f>IFERROR(__xludf.DUMMYFUNCTION("""COMPUTED_VALUE"""),"Frost Mage's Cloak")</f>
        <v>Frost Mage's Cloak</v>
      </c>
      <c r="B688" s="49" t="str">
        <f>IFERROR(__xludf.DUMMYFUNCTION("""COMPUTED_VALUE"""),"Torso")</f>
        <v>Torso</v>
      </c>
      <c r="C688" s="49"/>
      <c r="D688" s="49"/>
      <c r="E688" s="49">
        <f>IFERROR(__xludf.DUMMYFUNCTION("""COMPUTED_VALUE"""),200.0)</f>
        <v>200</v>
      </c>
      <c r="F688" s="112">
        <f>IFERROR(__xludf.DUMMYFUNCTION("""COMPUTED_VALUE"""),4350000.0)</f>
        <v>4350000</v>
      </c>
      <c r="G688" s="49" t="str">
        <f>IFERROR(__xludf.DUMMYFUNCTION("""COMPUTED_VALUE"""),"DEF")</f>
        <v>DEF</v>
      </c>
      <c r="H688" s="49"/>
      <c r="I688" s="49"/>
      <c r="J688" s="49"/>
      <c r="K688" s="49">
        <f>IFERROR(__xludf.DUMMYFUNCTION("""COMPUTED_VALUE"""),5000.0)</f>
        <v>5000</v>
      </c>
      <c r="L688" s="49">
        <f>IFERROR(__xludf.DUMMYFUNCTION("""COMPUTED_VALUE"""),5000.0)</f>
        <v>5000</v>
      </c>
      <c r="M688" s="49"/>
      <c r="N688" s="49"/>
      <c r="O688" s="49"/>
      <c r="P688" s="49"/>
      <c r="Q688" s="49"/>
      <c r="R688" s="49"/>
      <c r="S688" s="49"/>
      <c r="T688" s="49"/>
      <c r="U688" s="49"/>
      <c r="V688" s="49"/>
      <c r="W688" s="49"/>
      <c r="X688" s="49"/>
      <c r="Y688" s="49"/>
      <c r="Z688" s="49"/>
      <c r="AA688" s="49"/>
      <c r="AB688" s="49"/>
      <c r="AC688" s="49">
        <f>IFERROR(__xludf.DUMMYFUNCTION("""COMPUTED_VALUE"""),5000.0)</f>
        <v>5000</v>
      </c>
      <c r="AD688" s="49"/>
      <c r="AE688" s="49"/>
      <c r="AF688" s="49" t="str">
        <f>IFERROR(__xludf.DUMMYFUNCTION("""COMPUTED_VALUE"""),"++500HP, ++500SP, ++X4 Water and Storm Damage, ++Immunity to Freezing, +-Cannot be Duplicated.")</f>
        <v>++500HP, ++500SP, ++X4 Water and Storm Damage, ++Immunity to Freezing, +-Cannot be Duplicated.</v>
      </c>
      <c r="AG688" s="49" t="str">
        <f>IFERROR(__xludf.DUMMYFUNCTION("""COMPUTED_VALUE"""),"Land of Spira")</f>
        <v>Land of Spira</v>
      </c>
      <c r="AH688" s="49" t="b">
        <f>IFERROR(__xludf.DUMMYFUNCTION("""COMPUTED_VALUE"""),FALSE)</f>
        <v>0</v>
      </c>
    </row>
    <row r="689">
      <c r="A689" s="49" t="str">
        <f>IFERROR(__xludf.DUMMYFUNCTION("""COMPUTED_VALUE"""),"Frost Mage's Boots")</f>
        <v>Frost Mage's Boots</v>
      </c>
      <c r="B689" s="49" t="str">
        <f>IFERROR(__xludf.DUMMYFUNCTION("""COMPUTED_VALUE"""),"Feet")</f>
        <v>Feet</v>
      </c>
      <c r="C689" s="49"/>
      <c r="D689" s="49"/>
      <c r="E689" s="49">
        <f>IFERROR(__xludf.DUMMYFUNCTION("""COMPUTED_VALUE"""),200.0)</f>
        <v>200</v>
      </c>
      <c r="F689" s="112">
        <f>IFERROR(__xludf.DUMMYFUNCTION("""COMPUTED_VALUE"""),4350000.0)</f>
        <v>4350000</v>
      </c>
      <c r="G689" s="49" t="str">
        <f>IFERROR(__xludf.DUMMYFUNCTION("""COMPUTED_VALUE"""),"DEF")</f>
        <v>DEF</v>
      </c>
      <c r="H689" s="49"/>
      <c r="I689" s="49"/>
      <c r="J689" s="49"/>
      <c r="K689" s="49">
        <f>IFERROR(__xludf.DUMMYFUNCTION("""COMPUTED_VALUE"""),5000.0)</f>
        <v>5000</v>
      </c>
      <c r="L689" s="49">
        <f>IFERROR(__xludf.DUMMYFUNCTION("""COMPUTED_VALUE"""),5000.0)</f>
        <v>5000</v>
      </c>
      <c r="M689" s="49"/>
      <c r="N689" s="49"/>
      <c r="O689" s="49"/>
      <c r="P689" s="49"/>
      <c r="Q689" s="49"/>
      <c r="R689" s="49"/>
      <c r="S689" s="49"/>
      <c r="T689" s="49"/>
      <c r="U689" s="49"/>
      <c r="V689" s="49"/>
      <c r="W689" s="49"/>
      <c r="X689" s="49"/>
      <c r="Y689" s="49"/>
      <c r="Z689" s="49"/>
      <c r="AA689" s="49"/>
      <c r="AB689" s="49"/>
      <c r="AC689" s="49">
        <f>IFERROR(__xludf.DUMMYFUNCTION("""COMPUTED_VALUE"""),5000.0)</f>
        <v>5000</v>
      </c>
      <c r="AD689" s="49"/>
      <c r="AE689" s="49"/>
      <c r="AF689" s="49" t="str">
        <f>IFERROR(__xludf.DUMMYFUNCTION("""COMPUTED_VALUE"""),"++500HP, ++500SP, ++X4 Water and Storm Damage, ++Immunity to Freezing, +-Cannot be Duplicated.")</f>
        <v>++500HP, ++500SP, ++X4 Water and Storm Damage, ++Immunity to Freezing, +-Cannot be Duplicated.</v>
      </c>
      <c r="AG689" s="49" t="str">
        <f>IFERROR(__xludf.DUMMYFUNCTION("""COMPUTED_VALUE"""),"Land of Spira")</f>
        <v>Land of Spira</v>
      </c>
      <c r="AH689" s="49" t="b">
        <f>IFERROR(__xludf.DUMMYFUNCTION("""COMPUTED_VALUE"""),FALSE)</f>
        <v>0</v>
      </c>
    </row>
    <row r="690">
      <c r="A690" s="49" t="str">
        <f>IFERROR(__xludf.DUMMYFUNCTION("""COMPUTED_VALUE"""),"Frost Mage's Hood")</f>
        <v>Frost Mage's Hood</v>
      </c>
      <c r="B690" s="49" t="str">
        <f>IFERROR(__xludf.DUMMYFUNCTION("""COMPUTED_VALUE"""),"Head")</f>
        <v>Head</v>
      </c>
      <c r="C690" s="49"/>
      <c r="D690" s="49"/>
      <c r="E690" s="49">
        <f>IFERROR(__xludf.DUMMYFUNCTION("""COMPUTED_VALUE"""),200.0)</f>
        <v>200</v>
      </c>
      <c r="F690" s="112">
        <f>IFERROR(__xludf.DUMMYFUNCTION("""COMPUTED_VALUE"""),4350000.0)</f>
        <v>4350000</v>
      </c>
      <c r="G690" s="49" t="str">
        <f>IFERROR(__xludf.DUMMYFUNCTION("""COMPUTED_VALUE"""),"DEF")</f>
        <v>DEF</v>
      </c>
      <c r="H690" s="49"/>
      <c r="I690" s="49"/>
      <c r="J690" s="49"/>
      <c r="K690" s="49">
        <f>IFERROR(__xludf.DUMMYFUNCTION("""COMPUTED_VALUE"""),5000.0)</f>
        <v>5000</v>
      </c>
      <c r="L690" s="49">
        <f>IFERROR(__xludf.DUMMYFUNCTION("""COMPUTED_VALUE"""),5000.0)</f>
        <v>5000</v>
      </c>
      <c r="M690" s="49"/>
      <c r="N690" s="49"/>
      <c r="O690" s="49"/>
      <c r="P690" s="49"/>
      <c r="Q690" s="49"/>
      <c r="R690" s="49"/>
      <c r="S690" s="49"/>
      <c r="T690" s="49"/>
      <c r="U690" s="49"/>
      <c r="V690" s="49"/>
      <c r="W690" s="49"/>
      <c r="X690" s="49"/>
      <c r="Y690" s="49"/>
      <c r="Z690" s="49"/>
      <c r="AA690" s="49"/>
      <c r="AB690" s="49"/>
      <c r="AC690" s="49">
        <f>IFERROR(__xludf.DUMMYFUNCTION("""COMPUTED_VALUE"""),5000.0)</f>
        <v>5000</v>
      </c>
      <c r="AD690" s="49"/>
      <c r="AE690" s="49"/>
      <c r="AF690" s="49" t="str">
        <f>IFERROR(__xludf.DUMMYFUNCTION("""COMPUTED_VALUE"""),"++500HP, ++500SP, ++X4 Water and Storm Damage, ++Immunity to Freezing, +-Cannot be Duplicated.")</f>
        <v>++500HP, ++500SP, ++X4 Water and Storm Damage, ++Immunity to Freezing, +-Cannot be Duplicated.</v>
      </c>
      <c r="AG690" s="49" t="str">
        <f>IFERROR(__xludf.DUMMYFUNCTION("""COMPUTED_VALUE"""),"Land of Spira")</f>
        <v>Land of Spira</v>
      </c>
      <c r="AH690" s="49" t="b">
        <f>IFERROR(__xludf.DUMMYFUNCTION("""COMPUTED_VALUE"""),FALSE)</f>
        <v>0</v>
      </c>
    </row>
    <row r="691">
      <c r="A691" s="49" t="str">
        <f>IFERROR(__xludf.DUMMYFUNCTION("""COMPUTED_VALUE"""),"Crown of Frozen Swords")</f>
        <v>Crown of Frozen Swords</v>
      </c>
      <c r="B691" s="49" t="str">
        <f>IFERROR(__xludf.DUMMYFUNCTION("""COMPUTED_VALUE"""),"Head")</f>
        <v>Head</v>
      </c>
      <c r="C691" s="49"/>
      <c r="D691" s="49"/>
      <c r="E691" s="49">
        <f>IFERROR(__xludf.DUMMYFUNCTION("""COMPUTED_VALUE"""),200.0)</f>
        <v>200</v>
      </c>
      <c r="F691" s="112">
        <f>IFERROR(__xludf.DUMMYFUNCTION("""COMPUTED_VALUE"""),7.98E8)</f>
        <v>798000000</v>
      </c>
      <c r="G691" s="49" t="str">
        <f>IFERROR(__xludf.DUMMYFUNCTION("""COMPUTED_VALUE"""),"DEF")</f>
        <v>DEF</v>
      </c>
      <c r="H691" s="49">
        <f>IFERROR(__xludf.DUMMYFUNCTION("""COMPUTED_VALUE"""),50000.0)</f>
        <v>50000</v>
      </c>
      <c r="I691" s="49"/>
      <c r="J691" s="49"/>
      <c r="K691" s="49"/>
      <c r="L691" s="49"/>
      <c r="M691" s="49">
        <f>IFERROR(__xludf.DUMMYFUNCTION("""COMPUTED_VALUE"""),50000.0)</f>
        <v>50000</v>
      </c>
      <c r="N691" s="49"/>
      <c r="O691" s="49"/>
      <c r="P691" s="49"/>
      <c r="Q691" s="49"/>
      <c r="R691" s="49"/>
      <c r="S691" s="49">
        <f>IFERROR(__xludf.DUMMYFUNCTION("""COMPUTED_VALUE"""),50000.0)</f>
        <v>50000</v>
      </c>
      <c r="T691" s="49"/>
      <c r="U691" s="49"/>
      <c r="V691" s="49"/>
      <c r="W691" s="49"/>
      <c r="X691" s="49"/>
      <c r="Y691" s="49"/>
      <c r="Z691" s="49"/>
      <c r="AA691" s="49"/>
      <c r="AB691" s="49"/>
      <c r="AC691" s="49">
        <f>IFERROR(__xludf.DUMMYFUNCTION("""COMPUTED_VALUE"""),50000.0)</f>
        <v>50000</v>
      </c>
      <c r="AD691" s="49"/>
      <c r="AE691" s="49"/>
      <c r="AF691" s="49" t="str">
        <f>IFERROR(__xludf.DUMMYFUNCTION("""COMPUTED_VALUE"""),"++King of The Frozen Wastes - X2 Storm damage ++15% chance to hit all enemies with a weapon attack")</f>
        <v>++King of The Frozen Wastes - X2 Storm damage ++15% chance to hit all enemies with a weapon attack</v>
      </c>
      <c r="AG691" s="49" t="str">
        <f>IFERROR(__xludf.DUMMYFUNCTION("""COMPUTED_VALUE"""),"Land of Spira")</f>
        <v>Land of Spira</v>
      </c>
      <c r="AH691" s="49" t="b">
        <f>IFERROR(__xludf.DUMMYFUNCTION("""COMPUTED_VALUE"""),FALSE)</f>
        <v>0</v>
      </c>
    </row>
    <row r="692">
      <c r="A692" s="49" t="str">
        <f>IFERROR(__xludf.DUMMYFUNCTION("""COMPUTED_VALUE"""),"Frost-bitten Cape")</f>
        <v>Frost-bitten Cape</v>
      </c>
      <c r="B692" s="49" t="str">
        <f>IFERROR(__xludf.DUMMYFUNCTION("""COMPUTED_VALUE"""),"Shoulders")</f>
        <v>Shoulders</v>
      </c>
      <c r="C692" s="49"/>
      <c r="D692" s="49"/>
      <c r="E692" s="49">
        <f>IFERROR(__xludf.DUMMYFUNCTION("""COMPUTED_VALUE"""),200.0)</f>
        <v>200</v>
      </c>
      <c r="F692" s="112">
        <f>IFERROR(__xludf.DUMMYFUNCTION("""COMPUTED_VALUE"""),7.98E8)</f>
        <v>798000000</v>
      </c>
      <c r="G692" s="49" t="str">
        <f>IFERROR(__xludf.DUMMYFUNCTION("""COMPUTED_VALUE"""),"DEF")</f>
        <v>DEF</v>
      </c>
      <c r="H692" s="49">
        <f>IFERROR(__xludf.DUMMYFUNCTION("""COMPUTED_VALUE"""),50000.0)</f>
        <v>50000</v>
      </c>
      <c r="I692" s="49"/>
      <c r="J692" s="49"/>
      <c r="K692" s="49"/>
      <c r="L692" s="49"/>
      <c r="M692" s="49">
        <f>IFERROR(__xludf.DUMMYFUNCTION("""COMPUTED_VALUE"""),50000.0)</f>
        <v>50000</v>
      </c>
      <c r="N692" s="49"/>
      <c r="O692" s="49"/>
      <c r="P692" s="49"/>
      <c r="Q692" s="49"/>
      <c r="R692" s="49"/>
      <c r="S692" s="49">
        <f>IFERROR(__xludf.DUMMYFUNCTION("""COMPUTED_VALUE"""),50000.0)</f>
        <v>50000</v>
      </c>
      <c r="T692" s="49"/>
      <c r="U692" s="49"/>
      <c r="V692" s="49"/>
      <c r="W692" s="49"/>
      <c r="X692" s="49"/>
      <c r="Y692" s="49"/>
      <c r="Z692" s="49"/>
      <c r="AA692" s="49"/>
      <c r="AB692" s="49"/>
      <c r="AC692" s="49">
        <f>IFERROR(__xludf.DUMMYFUNCTION("""COMPUTED_VALUE"""),50000.0)</f>
        <v>50000</v>
      </c>
      <c r="AD692" s="49"/>
      <c r="AE692" s="49"/>
      <c r="AF692" s="49" t="str">
        <f>IFERROR(__xludf.DUMMYFUNCTION("""COMPUTED_VALUE"""),"++Frostbite - Enemies hit with a weapon attack take 5000 Storm damage per round for 3 rounds")</f>
        <v>++Frostbite - Enemies hit with a weapon attack take 5000 Storm damage per round for 3 rounds</v>
      </c>
      <c r="AG692" s="49" t="str">
        <f>IFERROR(__xludf.DUMMYFUNCTION("""COMPUTED_VALUE"""),"Land of Spira")</f>
        <v>Land of Spira</v>
      </c>
      <c r="AH692" s="49" t="b">
        <f>IFERROR(__xludf.DUMMYFUNCTION("""COMPUTED_VALUE"""),FALSE)</f>
        <v>0</v>
      </c>
    </row>
    <row r="693">
      <c r="A693" s="49" t="str">
        <f>IFERROR(__xludf.DUMMYFUNCTION("""COMPUTED_VALUE"""),"Ice-steel Pauldrons")</f>
        <v>Ice-steel Pauldrons</v>
      </c>
      <c r="B693" s="49" t="str">
        <f>IFERROR(__xludf.DUMMYFUNCTION("""COMPUTED_VALUE"""),"Shoulders")</f>
        <v>Shoulders</v>
      </c>
      <c r="C693" s="49"/>
      <c r="D693" s="49"/>
      <c r="E693" s="49">
        <f>IFERROR(__xludf.DUMMYFUNCTION("""COMPUTED_VALUE"""),200.0)</f>
        <v>200</v>
      </c>
      <c r="F693" s="112">
        <f>IFERROR(__xludf.DUMMYFUNCTION("""COMPUTED_VALUE"""),7.98E8)</f>
        <v>798000000</v>
      </c>
      <c r="G693" s="49" t="str">
        <f>IFERROR(__xludf.DUMMYFUNCTION("""COMPUTED_VALUE"""),"DEF")</f>
        <v>DEF</v>
      </c>
      <c r="H693" s="49">
        <f>IFERROR(__xludf.DUMMYFUNCTION("""COMPUTED_VALUE"""),50000.0)</f>
        <v>50000</v>
      </c>
      <c r="I693" s="49"/>
      <c r="J693" s="49"/>
      <c r="K693" s="49"/>
      <c r="L693" s="49"/>
      <c r="M693" s="49">
        <f>IFERROR(__xludf.DUMMYFUNCTION("""COMPUTED_VALUE"""),50000.0)</f>
        <v>50000</v>
      </c>
      <c r="N693" s="49"/>
      <c r="O693" s="49"/>
      <c r="P693" s="49"/>
      <c r="Q693" s="49"/>
      <c r="R693" s="49"/>
      <c r="S693" s="49">
        <f>IFERROR(__xludf.DUMMYFUNCTION("""COMPUTED_VALUE"""),50000.0)</f>
        <v>50000</v>
      </c>
      <c r="T693" s="49"/>
      <c r="U693" s="49"/>
      <c r="V693" s="49"/>
      <c r="W693" s="49"/>
      <c r="X693" s="49"/>
      <c r="Y693" s="49"/>
      <c r="Z693" s="49"/>
      <c r="AA693" s="49"/>
      <c r="AB693" s="49"/>
      <c r="AC693" s="49">
        <f>IFERROR(__xludf.DUMMYFUNCTION("""COMPUTED_VALUE"""),50000.0)</f>
        <v>50000</v>
      </c>
      <c r="AD693" s="49"/>
      <c r="AE693" s="49"/>
      <c r="AF693" s="49" t="str">
        <f>IFERROR(__xludf.DUMMYFUNCTION("""COMPUTED_VALUE"""),"++Cold Shoulder - Immunity to freeze")</f>
        <v>++Cold Shoulder - Immunity to freeze</v>
      </c>
      <c r="AG693" s="49" t="str">
        <f>IFERROR(__xludf.DUMMYFUNCTION("""COMPUTED_VALUE"""),"Land of Spira")</f>
        <v>Land of Spira</v>
      </c>
      <c r="AH693" s="49" t="b">
        <f>IFERROR(__xludf.DUMMYFUNCTION("""COMPUTED_VALUE"""),FALSE)</f>
        <v>0</v>
      </c>
    </row>
    <row r="694">
      <c r="A694" s="49" t="str">
        <f>IFERROR(__xludf.DUMMYFUNCTION("""COMPUTED_VALUE"""),"Ice-steel Bracers")</f>
        <v>Ice-steel Bracers</v>
      </c>
      <c r="B694" s="49" t="str">
        <f>IFERROR(__xludf.DUMMYFUNCTION("""COMPUTED_VALUE"""),"Arms")</f>
        <v>Arms</v>
      </c>
      <c r="C694" s="49"/>
      <c r="D694" s="49"/>
      <c r="E694" s="49">
        <f>IFERROR(__xludf.DUMMYFUNCTION("""COMPUTED_VALUE"""),200.0)</f>
        <v>200</v>
      </c>
      <c r="F694" s="112">
        <f>IFERROR(__xludf.DUMMYFUNCTION("""COMPUTED_VALUE"""),7.98E8)</f>
        <v>798000000</v>
      </c>
      <c r="G694" s="49" t="str">
        <f>IFERROR(__xludf.DUMMYFUNCTION("""COMPUTED_VALUE"""),"DEF")</f>
        <v>DEF</v>
      </c>
      <c r="H694" s="49">
        <f>IFERROR(__xludf.DUMMYFUNCTION("""COMPUTED_VALUE"""),50000.0)</f>
        <v>50000</v>
      </c>
      <c r="I694" s="49"/>
      <c r="J694" s="49"/>
      <c r="K694" s="49"/>
      <c r="L694" s="49"/>
      <c r="M694" s="49">
        <f>IFERROR(__xludf.DUMMYFUNCTION("""COMPUTED_VALUE"""),50000.0)</f>
        <v>50000</v>
      </c>
      <c r="N694" s="49"/>
      <c r="O694" s="49"/>
      <c r="P694" s="49"/>
      <c r="Q694" s="49"/>
      <c r="R694" s="49"/>
      <c r="S694" s="49">
        <f>IFERROR(__xludf.DUMMYFUNCTION("""COMPUTED_VALUE"""),50000.0)</f>
        <v>50000</v>
      </c>
      <c r="T694" s="49"/>
      <c r="U694" s="49"/>
      <c r="V694" s="49"/>
      <c r="W694" s="49"/>
      <c r="X694" s="49"/>
      <c r="Y694" s="49"/>
      <c r="Z694" s="49"/>
      <c r="AA694" s="49"/>
      <c r="AB694" s="49"/>
      <c r="AC694" s="49">
        <f>IFERROR(__xludf.DUMMYFUNCTION("""COMPUTED_VALUE"""),50000.0)</f>
        <v>50000</v>
      </c>
      <c r="AD694" s="49"/>
      <c r="AE694" s="49"/>
      <c r="AF694" s="49"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49" t="str">
        <f>IFERROR(__xludf.DUMMYFUNCTION("""COMPUTED_VALUE"""),"Land of Spira")</f>
        <v>Land of Spira</v>
      </c>
      <c r="AH694" s="49" t="b">
        <f>IFERROR(__xludf.DUMMYFUNCTION("""COMPUTED_VALUE"""),FALSE)</f>
        <v>0</v>
      </c>
    </row>
    <row r="695">
      <c r="A695" s="49" t="str">
        <f>IFERROR(__xludf.DUMMYFUNCTION("""COMPUTED_VALUE"""),"Ice-steel Chausses")</f>
        <v>Ice-steel Chausses</v>
      </c>
      <c r="B695" s="49" t="str">
        <f>IFERROR(__xludf.DUMMYFUNCTION("""COMPUTED_VALUE"""),"Legs")</f>
        <v>Legs</v>
      </c>
      <c r="C695" s="49" t="str">
        <f>IFERROR(__xludf.DUMMYFUNCTION("""COMPUTED_VALUE"""),"The chinks in the armor suggest a lack of care over the past years.")</f>
        <v>The chinks in the armor suggest a lack of care over the past years.</v>
      </c>
      <c r="D695" s="49"/>
      <c r="E695" s="49">
        <f>IFERROR(__xludf.DUMMYFUNCTION("""COMPUTED_VALUE"""),200.0)</f>
        <v>200</v>
      </c>
      <c r="F695" s="112">
        <f>IFERROR(__xludf.DUMMYFUNCTION("""COMPUTED_VALUE"""),7.98E8)</f>
        <v>798000000</v>
      </c>
      <c r="G695" s="49" t="str">
        <f>IFERROR(__xludf.DUMMYFUNCTION("""COMPUTED_VALUE"""),"DEF")</f>
        <v>DEF</v>
      </c>
      <c r="H695" s="49">
        <f>IFERROR(__xludf.DUMMYFUNCTION("""COMPUTED_VALUE"""),50000.0)</f>
        <v>50000</v>
      </c>
      <c r="I695" s="49"/>
      <c r="J695" s="49"/>
      <c r="K695" s="49"/>
      <c r="L695" s="49"/>
      <c r="M695" s="49">
        <f>IFERROR(__xludf.DUMMYFUNCTION("""COMPUTED_VALUE"""),50000.0)</f>
        <v>50000</v>
      </c>
      <c r="N695" s="49"/>
      <c r="O695" s="49"/>
      <c r="P695" s="49"/>
      <c r="Q695" s="49"/>
      <c r="R695" s="49"/>
      <c r="S695" s="49">
        <f>IFERROR(__xludf.DUMMYFUNCTION("""COMPUTED_VALUE"""),50000.0)</f>
        <v>50000</v>
      </c>
      <c r="T695" s="49"/>
      <c r="U695" s="49"/>
      <c r="V695" s="49"/>
      <c r="W695" s="49"/>
      <c r="X695" s="49"/>
      <c r="Y695" s="49"/>
      <c r="Z695" s="49"/>
      <c r="AA695" s="49"/>
      <c r="AB695" s="49"/>
      <c r="AC695" s="49">
        <f>IFERROR(__xludf.DUMMYFUNCTION("""COMPUTED_VALUE"""),50000.0)</f>
        <v>50000</v>
      </c>
      <c r="AD695" s="49"/>
      <c r="AE695" s="49"/>
      <c r="AF695" s="49" t="str">
        <f>IFERROR(__xludf.DUMMYFUNCTION("""COMPUTED_VALUE"""),"++X2 Weapon Damage")</f>
        <v>++X2 Weapon Damage</v>
      </c>
      <c r="AG695" s="49" t="str">
        <f>IFERROR(__xludf.DUMMYFUNCTION("""COMPUTED_VALUE"""),"Land of Spira")</f>
        <v>Land of Spira</v>
      </c>
      <c r="AH695" s="49" t="b">
        <f>IFERROR(__xludf.DUMMYFUNCTION("""COMPUTED_VALUE"""),FALSE)</f>
        <v>0</v>
      </c>
    </row>
    <row r="696">
      <c r="A696" s="49" t="str">
        <f>IFERROR(__xludf.DUMMYFUNCTION("""COMPUTED_VALUE"""),"Frost Stompers")</f>
        <v>Frost Stompers</v>
      </c>
      <c r="B696" s="49" t="str">
        <f>IFERROR(__xludf.DUMMYFUNCTION("""COMPUTED_VALUE"""),"Feet")</f>
        <v>Feet</v>
      </c>
      <c r="C696" s="49" t="str">
        <f>IFERROR(__xludf.DUMMYFUNCTION("""COMPUTED_VALUE"""),"These frozen iron boots are covered in a layer of permafrost, it seems as though they'll never thaw.")</f>
        <v>These frozen iron boots are covered in a layer of permafrost, it seems as though they'll never thaw.</v>
      </c>
      <c r="D696" s="49"/>
      <c r="E696" s="49">
        <f>IFERROR(__xludf.DUMMYFUNCTION("""COMPUTED_VALUE"""),200.0)</f>
        <v>200</v>
      </c>
      <c r="F696" s="112">
        <f>IFERROR(__xludf.DUMMYFUNCTION("""COMPUTED_VALUE"""),7.98E8)</f>
        <v>798000000</v>
      </c>
      <c r="G696" s="49" t="str">
        <f>IFERROR(__xludf.DUMMYFUNCTION("""COMPUTED_VALUE"""),"DEF")</f>
        <v>DEF</v>
      </c>
      <c r="H696" s="49">
        <f>IFERROR(__xludf.DUMMYFUNCTION("""COMPUTED_VALUE"""),50000.0)</f>
        <v>50000</v>
      </c>
      <c r="I696" s="49"/>
      <c r="J696" s="49"/>
      <c r="K696" s="49"/>
      <c r="L696" s="49"/>
      <c r="M696" s="49">
        <f>IFERROR(__xludf.DUMMYFUNCTION("""COMPUTED_VALUE"""),50000.0)</f>
        <v>50000</v>
      </c>
      <c r="N696" s="49"/>
      <c r="O696" s="49"/>
      <c r="P696" s="49"/>
      <c r="Q696" s="49"/>
      <c r="R696" s="49"/>
      <c r="S696" s="49">
        <f>IFERROR(__xludf.DUMMYFUNCTION("""COMPUTED_VALUE"""),50000.0)</f>
        <v>50000</v>
      </c>
      <c r="T696" s="49"/>
      <c r="U696" s="49"/>
      <c r="V696" s="49"/>
      <c r="W696" s="49"/>
      <c r="X696" s="49"/>
      <c r="Y696" s="49"/>
      <c r="Z696" s="49"/>
      <c r="AA696" s="49"/>
      <c r="AB696" s="49"/>
      <c r="AC696" s="49">
        <f>IFERROR(__xludf.DUMMYFUNCTION("""COMPUTED_VALUE"""),50000.0)</f>
        <v>50000</v>
      </c>
      <c r="AD696" s="49"/>
      <c r="AE696" s="49"/>
      <c r="AF696" s="49" t="str">
        <f>IFERROR(__xludf.DUMMYFUNCTION("""COMPUTED_VALUE"""),"++X2 Storm Damage")</f>
        <v>++X2 Storm Damage</v>
      </c>
      <c r="AG696" s="49" t="str">
        <f>IFERROR(__xludf.DUMMYFUNCTION("""COMPUTED_VALUE"""),"Land of Spira")</f>
        <v>Land of Spira</v>
      </c>
      <c r="AH696" s="49" t="b">
        <f>IFERROR(__xludf.DUMMYFUNCTION("""COMPUTED_VALUE"""),FALSE)</f>
        <v>0</v>
      </c>
    </row>
    <row r="697">
      <c r="A697" s="49" t="str">
        <f>IFERROR(__xludf.DUMMYFUNCTION("""COMPUTED_VALUE"""),"Plate of the Frozen Sun")</f>
        <v>Plate of the Frozen Sun</v>
      </c>
      <c r="B697" s="49" t="str">
        <f>IFERROR(__xludf.DUMMYFUNCTION("""COMPUTED_VALUE"""),"Torso")</f>
        <v>Torso</v>
      </c>
      <c r="C697" s="49" t="str">
        <f>IFERROR(__xludf.DUMMYFUNCTION("""COMPUTED_VALUE"""),"""The king was not always as he is now, but the yearly curse of the ice mage has him colder than usual"" ~old man")</f>
        <v>"The king was not always as he is now, but the yearly curse of the ice mage has him colder than usual" ~old man</v>
      </c>
      <c r="D697" s="49"/>
      <c r="E697" s="49">
        <f>IFERROR(__xludf.DUMMYFUNCTION("""COMPUTED_VALUE"""),200.0)</f>
        <v>200</v>
      </c>
      <c r="F697" s="112">
        <f>IFERROR(__xludf.DUMMYFUNCTION("""COMPUTED_VALUE"""),7.98E8)</f>
        <v>798000000</v>
      </c>
      <c r="G697" s="49" t="str">
        <f>IFERROR(__xludf.DUMMYFUNCTION("""COMPUTED_VALUE"""),"DEF")</f>
        <v>DEF</v>
      </c>
      <c r="H697" s="49">
        <f>IFERROR(__xludf.DUMMYFUNCTION("""COMPUTED_VALUE"""),50000.0)</f>
        <v>50000</v>
      </c>
      <c r="I697" s="49"/>
      <c r="J697" s="49"/>
      <c r="K697" s="49"/>
      <c r="L697" s="49"/>
      <c r="M697" s="49">
        <f>IFERROR(__xludf.DUMMYFUNCTION("""COMPUTED_VALUE"""),50000.0)</f>
        <v>50000</v>
      </c>
      <c r="N697" s="49"/>
      <c r="O697" s="49"/>
      <c r="P697" s="49"/>
      <c r="Q697" s="49"/>
      <c r="R697" s="49"/>
      <c r="S697" s="49">
        <f>IFERROR(__xludf.DUMMYFUNCTION("""COMPUTED_VALUE"""),50000.0)</f>
        <v>50000</v>
      </c>
      <c r="T697" s="49"/>
      <c r="U697" s="49"/>
      <c r="V697" s="49"/>
      <c r="W697" s="49"/>
      <c r="X697" s="49"/>
      <c r="Y697" s="49"/>
      <c r="Z697" s="49"/>
      <c r="AA697" s="49"/>
      <c r="AB697" s="49"/>
      <c r="AC697" s="49">
        <f>IFERROR(__xludf.DUMMYFUNCTION("""COMPUTED_VALUE"""),50000.0)</f>
        <v>50000</v>
      </c>
      <c r="AD697" s="49"/>
      <c r="AE697" s="49"/>
      <c r="AF697" s="49"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49" t="str">
        <f>IFERROR(__xludf.DUMMYFUNCTION("""COMPUTED_VALUE"""),"Land of Spira")</f>
        <v>Land of Spira</v>
      </c>
      <c r="AH697" s="49" t="b">
        <f>IFERROR(__xludf.DUMMYFUNCTION("""COMPUTED_VALUE"""),FALSE)</f>
        <v>0</v>
      </c>
    </row>
    <row r="698">
      <c r="A698" s="49" t="str">
        <f>IFERROR(__xludf.DUMMYFUNCTION("""COMPUTED_VALUE"""),"Frost Mage's Staff")</f>
        <v>Frost Mage's Staff</v>
      </c>
      <c r="B698" s="49" t="str">
        <f>IFERROR(__xludf.DUMMYFUNCTION("""COMPUTED_VALUE"""),"Hand")</f>
        <v>Hand</v>
      </c>
      <c r="C698" s="49" t="str">
        <f>IFERROR(__xludf.DUMMYFUNCTION("""COMPUTED_VALUE"""),"""FREEZE"" ~Frost mage")</f>
        <v>"FREEZE" ~Frost mage</v>
      </c>
      <c r="D698" s="49" t="str">
        <f>IFERROR(__xludf.DUMMYFUNCTION("""COMPUTED_VALUE"""),"Staff")</f>
        <v>Staff</v>
      </c>
      <c r="E698" s="49">
        <f>IFERROR(__xludf.DUMMYFUNCTION("""COMPUTED_VALUE"""),200.0)</f>
        <v>200</v>
      </c>
      <c r="F698" s="112">
        <f>IFERROR(__xludf.DUMMYFUNCTION("""COMPUTED_VALUE"""),4.485E8)</f>
        <v>448500000</v>
      </c>
      <c r="G698" s="49" t="str">
        <f>IFERROR(__xludf.DUMMYFUNCTION("""COMPUTED_VALUE"""),"DMG")</f>
        <v>DMG</v>
      </c>
      <c r="H698" s="49"/>
      <c r="I698" s="49"/>
      <c r="J698" s="49"/>
      <c r="K698" s="125">
        <f>IFERROR(__xludf.DUMMYFUNCTION("""COMPUTED_VALUE"""),50000.0)</f>
        <v>50000</v>
      </c>
      <c r="L698" s="125">
        <f>IFERROR(__xludf.DUMMYFUNCTION("""COMPUTED_VALUE"""),50000.0)</f>
        <v>50000</v>
      </c>
      <c r="M698" s="49"/>
      <c r="N698" s="49"/>
      <c r="O698" s="49"/>
      <c r="P698" s="49"/>
      <c r="Q698" s="49"/>
      <c r="R698" s="49"/>
      <c r="S698" s="49"/>
      <c r="T698" s="49"/>
      <c r="U698" s="49"/>
      <c r="V698" s="49"/>
      <c r="W698" s="49"/>
      <c r="X698" s="49"/>
      <c r="Y698" s="49"/>
      <c r="Z698" s="49"/>
      <c r="AA698" s="49"/>
      <c r="AB698" s="49"/>
      <c r="AC698" s="125">
        <f>IFERROR(__xludf.DUMMYFUNCTION("""COMPUTED_VALUE"""),50000.0)</f>
        <v>50000</v>
      </c>
      <c r="AD698" s="49"/>
      <c r="AE698" s="49"/>
      <c r="AF698" s="49"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49" t="str">
        <f>IFERROR(__xludf.DUMMYFUNCTION("""COMPUTED_VALUE"""),"Land of Spira")</f>
        <v>Land of Spira</v>
      </c>
      <c r="AH698" s="49" t="b">
        <f>IFERROR(__xludf.DUMMYFUNCTION("""COMPUTED_VALUE"""),FALSE)</f>
        <v>0</v>
      </c>
    </row>
    <row r="699">
      <c r="A699" s="49" t="str">
        <f>IFERROR(__xludf.DUMMYFUNCTION("""COMPUTED_VALUE"""),"Snowball")</f>
        <v>Snowball</v>
      </c>
      <c r="B699" s="49" t="str">
        <f>IFERROR(__xludf.DUMMYFUNCTION("""COMPUTED_VALUE"""),"Hand")</f>
        <v>Hand</v>
      </c>
      <c r="C699" s="49" t="str">
        <f>IFERROR(__xludf.DUMMYFUNCTION("""COMPUTED_VALUE"""),"""If you even think about hitting me with that I'll fill one with lead and bash your skull with it"" ~Gwennivir")</f>
        <v>"If you even think about hitting me with that I'll fill one with lead and bash your skull with it" ~Gwennivir</v>
      </c>
      <c r="D699" s="49" t="str">
        <f>IFERROR(__xludf.DUMMYFUNCTION("""COMPUTED_VALUE"""),"Boomerang")</f>
        <v>Boomerang</v>
      </c>
      <c r="E699" s="49">
        <f>IFERROR(__xludf.DUMMYFUNCTION("""COMPUTED_VALUE"""),200.0)</f>
        <v>200</v>
      </c>
      <c r="F699" s="112">
        <f>IFERROR(__xludf.DUMMYFUNCTION("""COMPUTED_VALUE"""),1900000.0)</f>
        <v>1900000</v>
      </c>
      <c r="G699" s="49" t="str">
        <f>IFERROR(__xludf.DUMMYFUNCTION("""COMPUTED_VALUE"""),"DMG")</f>
        <v>DMG</v>
      </c>
      <c r="H699" s="49"/>
      <c r="I699" s="49"/>
      <c r="J699" s="49"/>
      <c r="K699" s="125">
        <f>IFERROR(__xludf.DUMMYFUNCTION("""COMPUTED_VALUE"""),10000.0)</f>
        <v>10000</v>
      </c>
      <c r="L699" s="49"/>
      <c r="M699" s="49"/>
      <c r="N699" s="49"/>
      <c r="O699" s="49"/>
      <c r="P699" s="49"/>
      <c r="Q699" s="49"/>
      <c r="R699" s="49"/>
      <c r="S699" s="49"/>
      <c r="T699" s="49"/>
      <c r="U699" s="49"/>
      <c r="V699" s="49"/>
      <c r="W699" s="49"/>
      <c r="X699" s="49"/>
      <c r="Y699" s="49"/>
      <c r="Z699" s="49"/>
      <c r="AA699" s="49"/>
      <c r="AB699" s="49"/>
      <c r="AC699" s="49"/>
      <c r="AD699" s="49"/>
      <c r="AE699" s="49"/>
      <c r="AF699" s="49"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49" t="str">
        <f>IFERROR(__xludf.DUMMYFUNCTION("""COMPUTED_VALUE"""),"Land of Spira")</f>
        <v>Land of Spira</v>
      </c>
      <c r="AH699" s="49" t="b">
        <f>IFERROR(__xludf.DUMMYFUNCTION("""COMPUTED_VALUE"""),FALSE)</f>
        <v>0</v>
      </c>
    </row>
    <row r="700">
      <c r="A700" s="49" t="str">
        <f>IFERROR(__xludf.DUMMYFUNCTION("""COMPUTED_VALUE"""),"Corvid Cloak")</f>
        <v>Corvid Cloak</v>
      </c>
      <c r="B700" s="49" t="str">
        <f>IFERROR(__xludf.DUMMYFUNCTION("""COMPUTED_VALUE"""),"Shoulders")</f>
        <v>Shoulders</v>
      </c>
      <c r="C700" s="49" t="str">
        <f>IFERROR(__xludf.DUMMYFUNCTION("""COMPUTED_VALUE"""),"Formed from the feathers of many crows and ravens, this cloak has an imposing presence.")</f>
        <v>Formed from the feathers of many crows and ravens, this cloak has an imposing presence.</v>
      </c>
      <c r="D700" s="49"/>
      <c r="E700" s="49">
        <f>IFERROR(__xludf.DUMMYFUNCTION("""COMPUTED_VALUE"""),1.0)</f>
        <v>1</v>
      </c>
      <c r="F700" s="112">
        <f>IFERROR(__xludf.DUMMYFUNCTION("""COMPUTED_VALUE"""),0.0)</f>
        <v>0</v>
      </c>
      <c r="G700" s="49" t="str">
        <f>IFERROR(__xludf.DUMMYFUNCTION("""COMPUTED_VALUE"""),"DEF")</f>
        <v>DEF</v>
      </c>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c r="AE700" s="49"/>
      <c r="AF700" s="49"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49" t="str">
        <f>IFERROR(__xludf.DUMMYFUNCTION("""COMPUTED_VALUE"""),"Land of Spira")</f>
        <v>Land of Spira</v>
      </c>
      <c r="AH700" s="49" t="b">
        <f>IFERROR(__xludf.DUMMYFUNCTION("""COMPUTED_VALUE"""),FALSE)</f>
        <v>0</v>
      </c>
    </row>
    <row r="701">
      <c r="A701" s="49" t="str">
        <f>IFERROR(__xludf.DUMMYFUNCTION("""COMPUTED_VALUE"""),"Plague Doctor's Mask")</f>
        <v>Plague Doctor's Mask</v>
      </c>
      <c r="B701" s="49" t="str">
        <f>IFERROR(__xludf.DUMMYFUNCTION("""COMPUTED_VALUE"""),"Head")</f>
        <v>Head</v>
      </c>
      <c r="C701" s="49"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49"/>
      <c r="E701" s="49">
        <f>IFERROR(__xludf.DUMMYFUNCTION("""COMPUTED_VALUE"""),1.0)</f>
        <v>1</v>
      </c>
      <c r="F701" s="112">
        <f>IFERROR(__xludf.DUMMYFUNCTION("""COMPUTED_VALUE"""),0.0)</f>
        <v>0</v>
      </c>
      <c r="G701" s="49" t="str">
        <f>IFERROR(__xludf.DUMMYFUNCTION("""COMPUTED_VALUE"""),"DEF")</f>
        <v>DEF</v>
      </c>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E701" s="49"/>
      <c r="AF701" s="49" t="str">
        <f>IFERROR(__xludf.DUMMYFUNCTION("""COMPUTED_VALUE"""),"++Plague Doctor: 25% chance to be unaffected by a disease +-Cannot be Duplicated")</f>
        <v>++Plague Doctor: 25% chance to be unaffected by a disease +-Cannot be Duplicated</v>
      </c>
      <c r="AG701" s="49" t="str">
        <f>IFERROR(__xludf.DUMMYFUNCTION("""COMPUTED_VALUE"""),"Land of Spira")</f>
        <v>Land of Spira</v>
      </c>
      <c r="AH701" s="49" t="b">
        <f>IFERROR(__xludf.DUMMYFUNCTION("""COMPUTED_VALUE"""),FALSE)</f>
        <v>0</v>
      </c>
    </row>
    <row r="702">
      <c r="A702" s="49" t="str">
        <f>IFERROR(__xludf.DUMMYFUNCTION("""COMPUTED_VALUE"""),"""The Only Cure""")</f>
        <v>"The Only Cure"</v>
      </c>
      <c r="B702" s="49" t="str">
        <f>IFERROR(__xludf.DUMMYFUNCTION("""COMPUTED_VALUE"""),"Neck")</f>
        <v>Neck</v>
      </c>
      <c r="C702" s="49"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49"/>
      <c r="E702" s="49">
        <f>IFERROR(__xludf.DUMMYFUNCTION("""COMPUTED_VALUE"""),1.0)</f>
        <v>1</v>
      </c>
      <c r="F702" s="112">
        <f>IFERROR(__xludf.DUMMYFUNCTION("""COMPUTED_VALUE"""),0.0)</f>
        <v>0</v>
      </c>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c r="AE702" s="49"/>
      <c r="AF702" s="49"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49" t="str">
        <f>IFERROR(__xludf.DUMMYFUNCTION("""COMPUTED_VALUE"""),"Land of Spira")</f>
        <v>Land of Spira</v>
      </c>
      <c r="AH702" s="49" t="b">
        <f>IFERROR(__xludf.DUMMYFUNCTION("""COMPUTED_VALUE"""),FALSE)</f>
        <v>0</v>
      </c>
    </row>
    <row r="703">
      <c r="A703" s="49" t="str">
        <f>IFERROR(__xludf.DUMMYFUNCTION("""COMPUTED_VALUE"""),"Plague Doctor's Gloves")</f>
        <v>Plague Doctor's Gloves</v>
      </c>
      <c r="B703" s="49" t="str">
        <f>IFERROR(__xludf.DUMMYFUNCTION("""COMPUTED_VALUE"""),"Arms")</f>
        <v>Arms</v>
      </c>
      <c r="C703" s="49" t="str">
        <f>IFERROR(__xludf.DUMMYFUNCTION("""COMPUTED_VALUE"""),"These gloves have been stained with blood and potions over the years.")</f>
        <v>These gloves have been stained with blood and potions over the years.</v>
      </c>
      <c r="D703" s="49"/>
      <c r="E703" s="49">
        <f>IFERROR(__xludf.DUMMYFUNCTION("""COMPUTED_VALUE"""),1.0)</f>
        <v>1</v>
      </c>
      <c r="F703" s="112">
        <f>IFERROR(__xludf.DUMMYFUNCTION("""COMPUTED_VALUE"""),0.0)</f>
        <v>0</v>
      </c>
      <c r="G703" s="49" t="str">
        <f>IFERROR(__xludf.DUMMYFUNCTION("""COMPUTED_VALUE"""),"DEF")</f>
        <v>DEF</v>
      </c>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c r="AE703" s="49"/>
      <c r="AF703" s="49" t="str">
        <f>IFERROR(__xludf.DUMMYFUNCTION("""COMPUTED_VALUE"""),"++Poisoner I:X2 damage +-Cannot be Duplicated")</f>
        <v>++Poisoner I:X2 damage +-Cannot be Duplicated</v>
      </c>
      <c r="AG703" s="49" t="str">
        <f>IFERROR(__xludf.DUMMYFUNCTION("""COMPUTED_VALUE"""),"Land of Spira")</f>
        <v>Land of Spira</v>
      </c>
      <c r="AH703" s="49" t="b">
        <f>IFERROR(__xludf.DUMMYFUNCTION("""COMPUTED_VALUE"""),FALSE)</f>
        <v>0</v>
      </c>
    </row>
    <row r="704">
      <c r="A704" s="49" t="str">
        <f>IFERROR(__xludf.DUMMYFUNCTION("""COMPUTED_VALUE"""),"Plague Doctor's Sarouel")</f>
        <v>Plague Doctor's Sarouel</v>
      </c>
      <c r="B704" s="49" t="str">
        <f>IFERROR(__xludf.DUMMYFUNCTION("""COMPUTED_VALUE"""),"Legs")</f>
        <v>Legs</v>
      </c>
      <c r="C704" s="49"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49"/>
      <c r="E704" s="49">
        <f>IFERROR(__xludf.DUMMYFUNCTION("""COMPUTED_VALUE"""),1.0)</f>
        <v>1</v>
      </c>
      <c r="F704" s="112">
        <f>IFERROR(__xludf.DUMMYFUNCTION("""COMPUTED_VALUE"""),0.0)</f>
        <v>0</v>
      </c>
      <c r="G704" s="49" t="str">
        <f>IFERROR(__xludf.DUMMYFUNCTION("""COMPUTED_VALUE"""),"DEF")</f>
        <v>DEF</v>
      </c>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c r="AE704" s="49"/>
      <c r="AF704" s="49" t="str">
        <f>IFERROR(__xludf.DUMMYFUNCTION("""COMPUTED_VALUE"""),"++Poisoner I:X2 damage +-Cannot be Duplicated")</f>
        <v>++Poisoner I:X2 damage +-Cannot be Duplicated</v>
      </c>
      <c r="AG704" s="49" t="str">
        <f>IFERROR(__xludf.DUMMYFUNCTION("""COMPUTED_VALUE"""),"Land of Spira")</f>
        <v>Land of Spira</v>
      </c>
      <c r="AH704" s="49" t="b">
        <f>IFERROR(__xludf.DUMMYFUNCTION("""COMPUTED_VALUE"""),FALSE)</f>
        <v>0</v>
      </c>
    </row>
    <row r="705">
      <c r="A705" s="49" t="str">
        <f>IFERROR(__xludf.DUMMYFUNCTION("""COMPUTED_VALUE"""),"Plague Doctor's Boots")</f>
        <v>Plague Doctor's Boots</v>
      </c>
      <c r="B705" s="49" t="str">
        <f>IFERROR(__xludf.DUMMYFUNCTION("""COMPUTED_VALUE"""),"Feet")</f>
        <v>Feet</v>
      </c>
      <c r="C705" s="49" t="str">
        <f>IFERROR(__xludf.DUMMYFUNCTION("""COMPUTED_VALUE"""),"These boots have been designed for optimal movement through all kinds of hazards.")</f>
        <v>These boots have been designed for optimal movement through all kinds of hazards.</v>
      </c>
      <c r="D705" s="49"/>
      <c r="E705" s="49">
        <f>IFERROR(__xludf.DUMMYFUNCTION("""COMPUTED_VALUE"""),1.0)</f>
        <v>1</v>
      </c>
      <c r="F705" s="112">
        <f>IFERROR(__xludf.DUMMYFUNCTION("""COMPUTED_VALUE"""),0.0)</f>
        <v>0</v>
      </c>
      <c r="G705" s="49" t="str">
        <f>IFERROR(__xludf.DUMMYFUNCTION("""COMPUTED_VALUE"""),"DEF")</f>
        <v>DEF</v>
      </c>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c r="AE705" s="49"/>
      <c r="AF705" s="49" t="str">
        <f>IFERROR(__xludf.DUMMYFUNCTION("""COMPUTED_VALUE"""),"++Swamp Stompers: You take only half the effect of environmental hazards +-Cannot be Duplicated")</f>
        <v>++Swamp Stompers: You take only half the effect of environmental hazards +-Cannot be Duplicated</v>
      </c>
      <c r="AG705" s="49" t="str">
        <f>IFERROR(__xludf.DUMMYFUNCTION("""COMPUTED_VALUE"""),"Land of Spira")</f>
        <v>Land of Spira</v>
      </c>
      <c r="AH705" s="49" t="b">
        <f>IFERROR(__xludf.DUMMYFUNCTION("""COMPUTED_VALUE"""),FALSE)</f>
        <v>0</v>
      </c>
    </row>
    <row r="706">
      <c r="A706" s="49" t="str">
        <f>IFERROR(__xludf.DUMMYFUNCTION("""COMPUTED_VALUE"""),"Plague Doctor's Apron")</f>
        <v>Plague Doctor's Apron</v>
      </c>
      <c r="B706" s="49" t="str">
        <f>IFERROR(__xludf.DUMMYFUNCTION("""COMPUTED_VALUE"""),"Torso")</f>
        <v>Torso</v>
      </c>
      <c r="C706" s="49" t="str">
        <f>IFERROR(__xludf.DUMMYFUNCTION("""COMPUTED_VALUE"""),"The thick leather of this apron ensures that accidents with poison are minimalized.")</f>
        <v>The thick leather of this apron ensures that accidents with poison are minimalized.</v>
      </c>
      <c r="D706" s="49"/>
      <c r="E706" s="49">
        <f>IFERROR(__xludf.DUMMYFUNCTION("""COMPUTED_VALUE"""),1.0)</f>
        <v>1</v>
      </c>
      <c r="F706" s="112">
        <f>IFERROR(__xludf.DUMMYFUNCTION("""COMPUTED_VALUE"""),0.0)</f>
        <v>0</v>
      </c>
      <c r="G706" s="49" t="str">
        <f>IFERROR(__xludf.DUMMYFUNCTION("""COMPUTED_VALUE"""),"DEF")</f>
        <v>DEF</v>
      </c>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c r="AE706" s="49"/>
      <c r="AF706" s="49" t="str">
        <f>IFERROR(__xludf.DUMMYFUNCTION("""COMPUTED_VALUE"""),"++Spllatter Proof: Immune to poison +-Cannot be Duplicated")</f>
        <v>++Spllatter Proof: Immune to poison +-Cannot be Duplicated</v>
      </c>
      <c r="AG706" s="49" t="str">
        <f>IFERROR(__xludf.DUMMYFUNCTION("""COMPUTED_VALUE"""),"Land of Spira")</f>
        <v>Land of Spira</v>
      </c>
      <c r="AH706" s="49" t="b">
        <f>IFERROR(__xludf.DUMMYFUNCTION("""COMPUTED_VALUE"""),FALSE)</f>
        <v>0</v>
      </c>
    </row>
    <row r="707">
      <c r="A707" s="49" t="str">
        <f>IFERROR(__xludf.DUMMYFUNCTION("""COMPUTED_VALUE"""),"Poisonous Hand Crossbow")</f>
        <v>Poisonous Hand Crossbow</v>
      </c>
      <c r="B707" s="49" t="str">
        <f>IFERROR(__xludf.DUMMYFUNCTION("""COMPUTED_VALUE"""),"Hand")</f>
        <v>Hand</v>
      </c>
      <c r="C707" s="49" t="str">
        <f>IFERROR(__xludf.DUMMYFUNCTION("""COMPUTED_VALUE"""),"""Because sometimes the only viable tactic, is a dirty one"" ~Gwennivir")</f>
        <v>"Because sometimes the only viable tactic, is a dirty one" ~Gwennivir</v>
      </c>
      <c r="D707" s="49" t="str">
        <f>IFERROR(__xludf.DUMMYFUNCTION("""COMPUTED_VALUE"""),"Bow")</f>
        <v>Bow</v>
      </c>
      <c r="E707" s="49">
        <f>IFERROR(__xludf.DUMMYFUNCTION("""COMPUTED_VALUE"""),1000.0)</f>
        <v>1000</v>
      </c>
      <c r="F707" s="112">
        <f>IFERROR(__xludf.DUMMYFUNCTION("""COMPUTED_VALUE"""),4.95E7)</f>
        <v>49500000</v>
      </c>
      <c r="G707" s="49" t="str">
        <f>IFERROR(__xludf.DUMMYFUNCTION("""COMPUTED_VALUE"""),"DMG")</f>
        <v>DMG</v>
      </c>
      <c r="H707" s="125">
        <f>IFERROR(__xludf.DUMMYFUNCTION("""COMPUTED_VALUE"""),50000.0)</f>
        <v>50000</v>
      </c>
      <c r="I707" s="49"/>
      <c r="J707" s="49"/>
      <c r="K707" s="49"/>
      <c r="L707" s="49"/>
      <c r="M707" s="49"/>
      <c r="N707" s="49"/>
      <c r="O707" s="49"/>
      <c r="P707" s="49"/>
      <c r="Q707" s="49"/>
      <c r="R707" s="49"/>
      <c r="S707" s="49"/>
      <c r="T707" s="49"/>
      <c r="U707" s="49"/>
      <c r="V707" s="49"/>
      <c r="W707" s="49"/>
      <c r="X707" s="49"/>
      <c r="Y707" s="49"/>
      <c r="Z707" s="49"/>
      <c r="AA707" s="49"/>
      <c r="AB707" s="49"/>
      <c r="AC707" s="49"/>
      <c r="AD707" s="49"/>
      <c r="AE707" s="49"/>
      <c r="AF707" s="49" t="str">
        <f>IFERROR(__xludf.DUMMYFUNCTION("""COMPUTED_VALUE"""),"++Poisoned I: Hitting an enemy with this weapon inflicts 500 poison")</f>
        <v>++Poisoned I: Hitting an enemy with this weapon inflicts 500 poison</v>
      </c>
      <c r="AG707" s="49" t="str">
        <f>IFERROR(__xludf.DUMMYFUNCTION("""COMPUTED_VALUE"""),"Land of Spira")</f>
        <v>Land of Spira</v>
      </c>
      <c r="AH707" s="49" t="b">
        <f>IFERROR(__xludf.DUMMYFUNCTION("""COMPUTED_VALUE"""),FALSE)</f>
        <v>0</v>
      </c>
    </row>
    <row r="708">
      <c r="A708" s="49" t="str">
        <f>IFERROR(__xludf.DUMMYFUNCTION("""COMPUTED_VALUE"""),"Poison Tipped Knife")</f>
        <v>Poison Tipped Knife</v>
      </c>
      <c r="B708" s="49" t="str">
        <f>IFERROR(__xludf.DUMMYFUNCTION("""COMPUTED_VALUE"""),"Hand")</f>
        <v>Hand</v>
      </c>
      <c r="C708" s="49" t="str">
        <f>IFERROR(__xludf.DUMMYFUNCTION("""COMPUTED_VALUE"""),"""It isn't the most graceful end, and it isn't quick by any means... What, you thought I'd defend it?"" ~Gwennivir")</f>
        <v>"It isn't the most graceful end, and it isn't quick by any means... What, you thought I'd defend it?" ~Gwennivir</v>
      </c>
      <c r="D708" s="49" t="str">
        <f>IFERROR(__xludf.DUMMYFUNCTION("""COMPUTED_VALUE"""),"Knife")</f>
        <v>Knife</v>
      </c>
      <c r="E708" s="49">
        <f>IFERROR(__xludf.DUMMYFUNCTION("""COMPUTED_VALUE"""),1000.0)</f>
        <v>1000</v>
      </c>
      <c r="F708" s="112">
        <f>IFERROR(__xludf.DUMMYFUNCTION("""COMPUTED_VALUE"""),4.95E7)</f>
        <v>49500000</v>
      </c>
      <c r="G708" s="49" t="str">
        <f>IFERROR(__xludf.DUMMYFUNCTION("""COMPUTED_VALUE"""),"DMG")</f>
        <v>DMG</v>
      </c>
      <c r="H708" s="125">
        <f>IFERROR(__xludf.DUMMYFUNCTION("""COMPUTED_VALUE"""),50000.0)</f>
        <v>50000</v>
      </c>
      <c r="I708" s="49"/>
      <c r="J708" s="49"/>
      <c r="K708" s="49"/>
      <c r="L708" s="49"/>
      <c r="M708" s="49"/>
      <c r="N708" s="49"/>
      <c r="O708" s="49"/>
      <c r="P708" s="49"/>
      <c r="Q708" s="49"/>
      <c r="R708" s="49"/>
      <c r="S708" s="49"/>
      <c r="T708" s="49"/>
      <c r="U708" s="49"/>
      <c r="V708" s="49"/>
      <c r="W708" s="49"/>
      <c r="X708" s="49"/>
      <c r="Y708" s="49"/>
      <c r="Z708" s="49"/>
      <c r="AA708" s="49"/>
      <c r="AB708" s="49"/>
      <c r="AC708" s="49"/>
      <c r="AD708" s="49"/>
      <c r="AE708" s="49"/>
      <c r="AF708" s="49" t="str">
        <f>IFERROR(__xludf.DUMMYFUNCTION("""COMPUTED_VALUE"""),"++Poisoned I: Hitting an enemy with this weapon inflicts 500 poison")</f>
        <v>++Poisoned I: Hitting an enemy with this weapon inflicts 500 poison</v>
      </c>
      <c r="AG708" s="49" t="str">
        <f>IFERROR(__xludf.DUMMYFUNCTION("""COMPUTED_VALUE"""),"Land of Spira")</f>
        <v>Land of Spira</v>
      </c>
      <c r="AH708" s="49" t="b">
        <f>IFERROR(__xludf.DUMMYFUNCTION("""COMPUTED_VALUE"""),FALSE)</f>
        <v>0</v>
      </c>
    </row>
    <row r="709">
      <c r="A709" s="49" t="str">
        <f>IFERROR(__xludf.DUMMYFUNCTION("""COMPUTED_VALUE"""),"Frozen Head-Splitter")</f>
        <v>Frozen Head-Splitter</v>
      </c>
      <c r="B709" s="49" t="str">
        <f>IFERROR(__xludf.DUMMYFUNCTION("""COMPUTED_VALUE"""),"Hand")</f>
        <v>Hand</v>
      </c>
      <c r="C709" s="49"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49" t="str">
        <f>IFERROR(__xludf.DUMMYFUNCTION("""COMPUTED_VALUE"""),"Club")</f>
        <v>Club</v>
      </c>
      <c r="E709" s="49">
        <f>IFERROR(__xludf.DUMMYFUNCTION("""COMPUTED_VALUE"""),1200.0)</f>
        <v>1200</v>
      </c>
      <c r="F709" s="112">
        <f>IFERROR(__xludf.DUMMYFUNCTION("""COMPUTED_VALUE"""),7.14E7)</f>
        <v>71400000</v>
      </c>
      <c r="G709" s="49" t="str">
        <f>IFERROR(__xludf.DUMMYFUNCTION("""COMPUTED_VALUE"""),"DMG")</f>
        <v>DMG</v>
      </c>
      <c r="H709" s="125">
        <f>IFERROR(__xludf.DUMMYFUNCTION("""COMPUTED_VALUE"""),50000.0)</f>
        <v>50000</v>
      </c>
      <c r="I709" s="49"/>
      <c r="J709" s="49"/>
      <c r="K709" s="49"/>
      <c r="L709" s="125">
        <f>IFERROR(__xludf.DUMMYFUNCTION("""COMPUTED_VALUE"""),10000.0)</f>
        <v>10000</v>
      </c>
      <c r="M709" s="49"/>
      <c r="N709" s="49"/>
      <c r="O709" s="49"/>
      <c r="P709" s="49"/>
      <c r="Q709" s="49"/>
      <c r="R709" s="49"/>
      <c r="S709" s="49"/>
      <c r="T709" s="49"/>
      <c r="U709" s="49"/>
      <c r="V709" s="49"/>
      <c r="W709" s="49"/>
      <c r="X709" s="49"/>
      <c r="Y709" s="49"/>
      <c r="Z709" s="49"/>
      <c r="AA709" s="49"/>
      <c r="AB709" s="49"/>
      <c r="AC709" s="49"/>
      <c r="AD709" s="49"/>
      <c r="AE709" s="49"/>
      <c r="AF709" s="49"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49" t="str">
        <f>IFERROR(__xludf.DUMMYFUNCTION("""COMPUTED_VALUE"""),"Land of Spira")</f>
        <v>Land of Spira</v>
      </c>
      <c r="AH709" s="49" t="b">
        <f>IFERROR(__xludf.DUMMYFUNCTION("""COMPUTED_VALUE"""),FALSE)</f>
        <v>0</v>
      </c>
    </row>
    <row r="710">
      <c r="A710" s="49" t="str">
        <f>IFERROR(__xludf.DUMMYFUNCTION("""COMPUTED_VALUE"""),"Fireball Cannon")</f>
        <v>Fireball Cannon</v>
      </c>
      <c r="B710" s="49" t="str">
        <f>IFERROR(__xludf.DUMMYFUNCTION("""COMPUTED_VALUE"""),"BoatGun")</f>
        <v>BoatGun</v>
      </c>
      <c r="C710" s="49" t="str">
        <f>IFERROR(__xludf.DUMMYFUNCTION("""COMPUTED_VALUE"""),"""Sometimes fire is the only answer to the question,"" ~Gwennivir")</f>
        <v>"Sometimes fire is the only answer to the question," ~Gwennivir</v>
      </c>
      <c r="D710" s="49" t="str">
        <f>IFERROR(__xludf.DUMMYFUNCTION("""COMPUTED_VALUE"""),"Firearm")</f>
        <v>Firearm</v>
      </c>
      <c r="E710" s="49">
        <f>IFERROR(__xludf.DUMMYFUNCTION("""COMPUTED_VALUE"""),1000.0)</f>
        <v>1000</v>
      </c>
      <c r="F710" s="112">
        <f>IFERROR(__xludf.DUMMYFUNCTION("""COMPUTED_VALUE"""),4.95E7)</f>
        <v>49500000</v>
      </c>
      <c r="G710" s="125" t="str">
        <f>IFERROR(__xludf.DUMMYFUNCTION("""COMPUTED_VALUE"""),"DMG")</f>
        <v>DMG</v>
      </c>
      <c r="H710" s="125">
        <f>IFERROR(__xludf.DUMMYFUNCTION("""COMPUTED_VALUE"""),30000.0)</f>
        <v>30000</v>
      </c>
      <c r="I710" s="125">
        <f>IFERROR(__xludf.DUMMYFUNCTION("""COMPUTED_VALUE"""),20000.0)</f>
        <v>20000</v>
      </c>
      <c r="J710" s="49"/>
      <c r="K710" s="49"/>
      <c r="L710" s="49"/>
      <c r="M710" s="49"/>
      <c r="N710" s="49"/>
      <c r="O710" s="49"/>
      <c r="P710" s="49"/>
      <c r="Q710" s="49"/>
      <c r="R710" s="49"/>
      <c r="S710" s="49"/>
      <c r="T710" s="49"/>
      <c r="U710" s="49"/>
      <c r="V710" s="49"/>
      <c r="W710" s="49"/>
      <c r="X710" s="49"/>
      <c r="Y710" s="49"/>
      <c r="Z710" s="49"/>
      <c r="AA710" s="49"/>
      <c r="AB710" s="49"/>
      <c r="AC710" s="49"/>
      <c r="AD710" s="49"/>
      <c r="AE710" s="49"/>
      <c r="AF710" s="49" t="str">
        <f>IFERROR(__xludf.DUMMYFUNCTION("""COMPUTED_VALUE"""),"++Burn 10,000. ++Requires Fire Cannon Balls")</f>
        <v>++Burn 10,000. ++Requires Fire Cannon Balls</v>
      </c>
      <c r="AG710" s="49" t="str">
        <f>IFERROR(__xludf.DUMMYFUNCTION("""COMPUTED_VALUE"""),"Land of Spira")</f>
        <v>Land of Spira</v>
      </c>
      <c r="AH710" s="49" t="b">
        <f>IFERROR(__xludf.DUMMYFUNCTION("""COMPUTED_VALUE"""),FALSE)</f>
        <v>0</v>
      </c>
    </row>
    <row r="711">
      <c r="A711" s="49" t="str">
        <f>IFERROR(__xludf.DUMMYFUNCTION("""COMPUTED_VALUE"""),"Harpoon Gun")</f>
        <v>Harpoon Gun</v>
      </c>
      <c r="B711" s="49" t="str">
        <f>IFERROR(__xludf.DUMMYFUNCTION("""COMPUTED_VALUE"""),"BoatGun")</f>
        <v>BoatGun</v>
      </c>
      <c r="C711" s="49"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49" t="str">
        <f>IFERROR(__xludf.DUMMYFUNCTION("""COMPUTED_VALUE"""),"Spear")</f>
        <v>Spear</v>
      </c>
      <c r="E711" s="49">
        <f>IFERROR(__xludf.DUMMYFUNCTION("""COMPUTED_VALUE"""),400.0)</f>
        <v>400</v>
      </c>
      <c r="F711" s="112">
        <f>IFERROR(__xludf.DUMMYFUNCTION("""COMPUTED_VALUE"""),7800000.0)</f>
        <v>7800000</v>
      </c>
      <c r="G711" s="49" t="str">
        <f>IFERROR(__xludf.DUMMYFUNCTION("""COMPUTED_VALUE"""),"DMG")</f>
        <v>DMG</v>
      </c>
      <c r="H711" s="125">
        <f>IFERROR(__xludf.DUMMYFUNCTION("""COMPUTED_VALUE"""),10000.0)</f>
        <v>10000</v>
      </c>
      <c r="I711" s="49"/>
      <c r="J711" s="49"/>
      <c r="K711" s="49"/>
      <c r="L711" s="49"/>
      <c r="M711" s="49"/>
      <c r="N711" s="49"/>
      <c r="O711" s="49"/>
      <c r="P711" s="49"/>
      <c r="Q711" s="49"/>
      <c r="R711" s="49"/>
      <c r="S711" s="49"/>
      <c r="T711" s="49"/>
      <c r="U711" s="49"/>
      <c r="V711" s="49"/>
      <c r="W711" s="49"/>
      <c r="X711" s="49"/>
      <c r="Y711" s="125">
        <f>IFERROR(__xludf.DUMMYFUNCTION("""COMPUTED_VALUE"""),10000.0)</f>
        <v>10000</v>
      </c>
      <c r="Z711" s="49"/>
      <c r="AA711" s="49"/>
      <c r="AB711" s="49"/>
      <c r="AC711" s="49"/>
      <c r="AD711" s="49"/>
      <c r="AE711" s="49"/>
      <c r="AF711" s="49" t="str">
        <f>IFERROR(__xludf.DUMMYFUNCTION("""COMPUTED_VALUE"""),"++Bleed 10,000. ")</f>
        <v>++Bleed 10,000. </v>
      </c>
      <c r="AG711" s="49" t="str">
        <f>IFERROR(__xludf.DUMMYFUNCTION("""COMPUTED_VALUE"""),"Land of Spira")</f>
        <v>Land of Spira</v>
      </c>
      <c r="AH711" s="49" t="b">
        <f>IFERROR(__xludf.DUMMYFUNCTION("""COMPUTED_VALUE"""),FALSE)</f>
        <v>0</v>
      </c>
    </row>
    <row r="712">
      <c r="A712" s="49" t="str">
        <f>IFERROR(__xludf.DUMMYFUNCTION("""COMPUTED_VALUE"""),"Torpedo Launcher")</f>
        <v>Torpedo Launcher</v>
      </c>
      <c r="B712" s="49" t="str">
        <f>IFERROR(__xludf.DUMMYFUNCTION("""COMPUTED_VALUE"""),"BoatGun")</f>
        <v>BoatGun</v>
      </c>
      <c r="C712" s="49" t="str">
        <f>IFERROR(__xludf.DUMMYFUNCTION("""COMPUTED_VALUE"""),"""Sometimes you need a little more bang for your buck, in those times you need a torpedo,"" ~Gwennivir")</f>
        <v>"Sometimes you need a little more bang for your buck, in those times you need a torpedo," ~Gwennivir</v>
      </c>
      <c r="D712" s="49" t="str">
        <f>IFERROR(__xludf.DUMMYFUNCTION("""COMPUTED_VALUE"""),"Firearm")</f>
        <v>Firearm</v>
      </c>
      <c r="E712" s="49">
        <f>IFERROR(__xludf.DUMMYFUNCTION("""COMPUTED_VALUE"""),1000.0)</f>
        <v>1000</v>
      </c>
      <c r="F712" s="112">
        <f>IFERROR(__xludf.DUMMYFUNCTION("""COMPUTED_VALUE"""),4.95E7)</f>
        <v>49500000</v>
      </c>
      <c r="G712" s="49" t="str">
        <f>IFERROR(__xludf.DUMMYFUNCTION("""COMPUTED_VALUE"""),"DMG")</f>
        <v>DMG</v>
      </c>
      <c r="H712" s="125">
        <f>IFERROR(__xludf.DUMMYFUNCTION("""COMPUTED_VALUE"""),50000.0)</f>
        <v>50000</v>
      </c>
      <c r="I712" s="49"/>
      <c r="J712" s="49"/>
      <c r="K712" s="49"/>
      <c r="L712" s="49"/>
      <c r="M712" s="49"/>
      <c r="N712" s="49"/>
      <c r="O712" s="49"/>
      <c r="P712" s="49"/>
      <c r="Q712" s="49"/>
      <c r="R712" s="49"/>
      <c r="S712" s="49"/>
      <c r="T712" s="49"/>
      <c r="U712" s="49"/>
      <c r="V712" s="49"/>
      <c r="W712" s="49"/>
      <c r="X712" s="49"/>
      <c r="Y712" s="49"/>
      <c r="Z712" s="49"/>
      <c r="AA712" s="49"/>
      <c r="AB712" s="49"/>
      <c r="AC712" s="49"/>
      <c r="AD712" s="49"/>
      <c r="AE712" s="49"/>
      <c r="AF712" s="49" t="str">
        <f>IFERROR(__xludf.DUMMYFUNCTION("""COMPUTED_VALUE"""),"++ Requires Torpedos")</f>
        <v>++ Requires Torpedos</v>
      </c>
      <c r="AG712" s="49" t="str">
        <f>IFERROR(__xludf.DUMMYFUNCTION("""COMPUTED_VALUE"""),"Land of Spira")</f>
        <v>Land of Spira</v>
      </c>
      <c r="AH712" s="49" t="b">
        <f>IFERROR(__xludf.DUMMYFUNCTION("""COMPUTED_VALUE"""),FALSE)</f>
        <v>0</v>
      </c>
    </row>
    <row r="713">
      <c r="A713" s="49" t="str">
        <f>IFERROR(__xludf.DUMMYFUNCTION("""COMPUTED_VALUE"""),"Double Barrel Shotgun")</f>
        <v>Double Barrel Shotgun</v>
      </c>
      <c r="B713" s="49" t="str">
        <f>IFERROR(__xludf.DUMMYFUNCTION("""COMPUTED_VALUE"""),"Hand")</f>
        <v>Hand</v>
      </c>
      <c r="C713" s="49" t="str">
        <f>IFERROR(__xludf.DUMMYFUNCTION("""COMPUTED_VALUE"""),"""Because what's better than one barrel? Two,"" ~Gwennivir")</f>
        <v>"Because what's better than one barrel? Two," ~Gwennivir</v>
      </c>
      <c r="D713" s="49" t="str">
        <f>IFERROR(__xludf.DUMMYFUNCTION("""COMPUTED_VALUE"""),"Firearm")</f>
        <v>Firearm</v>
      </c>
      <c r="E713" s="49">
        <f>IFERROR(__xludf.DUMMYFUNCTION("""COMPUTED_VALUE"""),800.0)</f>
        <v>800</v>
      </c>
      <c r="F713" s="112">
        <f>IFERROR(__xludf.DUMMYFUNCTION("""COMPUTED_VALUE"""),3.16E7)</f>
        <v>31600000</v>
      </c>
      <c r="G713" s="49" t="str">
        <f>IFERROR(__xludf.DUMMYFUNCTION("""COMPUTED_VALUE"""),"DMG")</f>
        <v>DMG</v>
      </c>
      <c r="H713" s="125">
        <f>IFERROR(__xludf.DUMMYFUNCTION("""COMPUTED_VALUE"""),20000.0)</f>
        <v>20000</v>
      </c>
      <c r="I713" s="49"/>
      <c r="J713" s="49"/>
      <c r="K713" s="49"/>
      <c r="L713" s="49"/>
      <c r="M713" s="49"/>
      <c r="N713" s="49"/>
      <c r="O713" s="49"/>
      <c r="P713" s="49"/>
      <c r="Q713" s="49"/>
      <c r="R713" s="49"/>
      <c r="S713" s="49"/>
      <c r="T713" s="49"/>
      <c r="U713" s="49"/>
      <c r="V713" s="49"/>
      <c r="W713" s="49"/>
      <c r="X713" s="49"/>
      <c r="Y713" s="125">
        <f>IFERROR(__xludf.DUMMYFUNCTION("""COMPUTED_VALUE"""),20000.0)</f>
        <v>20000</v>
      </c>
      <c r="Z713" s="49"/>
      <c r="AA713" s="49"/>
      <c r="AB713" s="49"/>
      <c r="AC713" s="49"/>
      <c r="AD713" s="49"/>
      <c r="AE713" s="49"/>
      <c r="AF713" s="49"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49" t="str">
        <f>IFERROR(__xludf.DUMMYFUNCTION("""COMPUTED_VALUE"""),"Land of Spira")</f>
        <v>Land of Spira</v>
      </c>
      <c r="AH713" s="49" t="b">
        <f>IFERROR(__xludf.DUMMYFUNCTION("""COMPUTED_VALUE"""),FALSE)</f>
        <v>0</v>
      </c>
    </row>
    <row r="714">
      <c r="A714" s="49" t="str">
        <f>IFERROR(__xludf.DUMMYFUNCTION("""COMPUTED_VALUE"""),"Single Barrel Shotgun")</f>
        <v>Single Barrel Shotgun</v>
      </c>
      <c r="B714" s="49" t="str">
        <f>IFERROR(__xludf.DUMMYFUNCTION("""COMPUTED_VALUE"""),"Hand")</f>
        <v>Hand</v>
      </c>
      <c r="C714" s="49" t="str">
        <f>IFERROR(__xludf.DUMMYFUNCTION("""COMPUTED_VALUE"""),"""For when you want to put more than one hole in your enemies at a time"" ~Gwennivir")</f>
        <v>"For when you want to put more than one hole in your enemies at a time" ~Gwennivir</v>
      </c>
      <c r="D714" s="49" t="str">
        <f>IFERROR(__xludf.DUMMYFUNCTION("""COMPUTED_VALUE"""),"Firearm")</f>
        <v>Firearm</v>
      </c>
      <c r="E714" s="49">
        <f>IFERROR(__xludf.DUMMYFUNCTION("""COMPUTED_VALUE"""),400.0)</f>
        <v>400</v>
      </c>
      <c r="F714" s="112">
        <f>IFERROR(__xludf.DUMMYFUNCTION("""COMPUTED_VALUE"""),7800000.0)</f>
        <v>7800000</v>
      </c>
      <c r="G714" s="49" t="str">
        <f>IFERROR(__xludf.DUMMYFUNCTION("""COMPUTED_VALUE"""),"DMG")</f>
        <v>DMG</v>
      </c>
      <c r="H714" s="125">
        <f>IFERROR(__xludf.DUMMYFUNCTION("""COMPUTED_VALUE"""),10000.0)</f>
        <v>10000</v>
      </c>
      <c r="I714" s="49"/>
      <c r="J714" s="49"/>
      <c r="K714" s="49"/>
      <c r="L714" s="49"/>
      <c r="M714" s="49"/>
      <c r="N714" s="49"/>
      <c r="O714" s="49"/>
      <c r="P714" s="49"/>
      <c r="Q714" s="49"/>
      <c r="R714" s="49"/>
      <c r="S714" s="49"/>
      <c r="T714" s="49"/>
      <c r="U714" s="49"/>
      <c r="V714" s="49"/>
      <c r="W714" s="49"/>
      <c r="X714" s="49"/>
      <c r="Y714" s="125">
        <f>IFERROR(__xludf.DUMMYFUNCTION("""COMPUTED_VALUE"""),10000.0)</f>
        <v>10000</v>
      </c>
      <c r="Z714" s="49"/>
      <c r="AA714" s="49"/>
      <c r="AB714" s="49"/>
      <c r="AC714" s="49"/>
      <c r="AD714" s="49"/>
      <c r="AE714" s="49"/>
      <c r="AF714" s="49"/>
      <c r="AG714" s="49" t="str">
        <f>IFERROR(__xludf.DUMMYFUNCTION("""COMPUTED_VALUE"""),"Land of Spira")</f>
        <v>Land of Spira</v>
      </c>
      <c r="AH714" s="49" t="b">
        <f>IFERROR(__xludf.DUMMYFUNCTION("""COMPUTED_VALUE"""),FALSE)</f>
        <v>0</v>
      </c>
    </row>
    <row r="715">
      <c r="A715" s="49" t="str">
        <f>IFERROR(__xludf.DUMMYFUNCTION("""COMPUTED_VALUE"""),"Poison Staff")</f>
        <v>Poison Staff</v>
      </c>
      <c r="B715" s="49" t="str">
        <f>IFERROR(__xludf.DUMMYFUNCTION("""COMPUTED_VALUE"""),"Hand")</f>
        <v>Hand</v>
      </c>
      <c r="C715" s="49"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49" t="str">
        <f>IFERROR(__xludf.DUMMYFUNCTION("""COMPUTED_VALUE"""),"Staff")</f>
        <v>Staff</v>
      </c>
      <c r="E715" s="49">
        <f>IFERROR(__xludf.DUMMYFUNCTION("""COMPUTED_VALUE"""),2000.0)</f>
        <v>2000</v>
      </c>
      <c r="F715" s="112">
        <f>IFERROR(__xludf.DUMMYFUNCTION("""COMPUTED_VALUE"""),1.99E8)</f>
        <v>199000000</v>
      </c>
      <c r="G715" s="49" t="str">
        <f>IFERROR(__xludf.DUMMYFUNCTION("""COMPUTED_VALUE"""),"DMG")</f>
        <v>DMG</v>
      </c>
      <c r="H715" s="49"/>
      <c r="I715" s="49"/>
      <c r="J715" s="49"/>
      <c r="K715" s="49"/>
      <c r="L715" s="49"/>
      <c r="M715" s="49"/>
      <c r="N715" s="49"/>
      <c r="O715" s="49"/>
      <c r="P715" s="49"/>
      <c r="Q715" s="49"/>
      <c r="R715" s="49"/>
      <c r="S715" s="125">
        <f>IFERROR(__xludf.DUMMYFUNCTION("""COMPUTED_VALUE"""),100000.0)</f>
        <v>100000</v>
      </c>
      <c r="T715" s="49"/>
      <c r="U715" s="49"/>
      <c r="V715" s="49"/>
      <c r="W715" s="49"/>
      <c r="X715" s="49"/>
      <c r="Y715" s="49"/>
      <c r="Z715" s="49"/>
      <c r="AA715" s="49"/>
      <c r="AB715" s="49"/>
      <c r="AC715" s="49"/>
      <c r="AD715" s="49"/>
      <c r="AE715" s="49"/>
      <c r="AF715" s="49" t="str">
        <f>IFERROR(__xludf.DUMMYFUNCTION("""COMPUTED_VALUE"""),"++ Poison 20,000")</f>
        <v>++ Poison 20,000</v>
      </c>
      <c r="AG715" s="49" t="str">
        <f>IFERROR(__xludf.DUMMYFUNCTION("""COMPUTED_VALUE"""),"Dragonscale Island")</f>
        <v>Dragonscale Island</v>
      </c>
      <c r="AH715" s="49" t="b">
        <f>IFERROR(__xludf.DUMMYFUNCTION("""COMPUTED_VALUE"""),FALSE)</f>
        <v>0</v>
      </c>
    </row>
    <row r="716">
      <c r="A716" s="49" t="str">
        <f>IFERROR(__xludf.DUMMYFUNCTION("""COMPUTED_VALUE"""),"Chameldrians Staff of Thriving Blossoms")</f>
        <v>Chameldrians Staff of Thriving Blossoms</v>
      </c>
      <c r="B716" s="49" t="str">
        <f>IFERROR(__xludf.DUMMYFUNCTION("""COMPUTED_VALUE"""),"Hand")</f>
        <v>Hand</v>
      </c>
      <c r="C716" s="49"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49" t="str">
        <f>IFERROR(__xludf.DUMMYFUNCTION("""COMPUTED_VALUE"""),"Staff")</f>
        <v>Staff</v>
      </c>
      <c r="E716" s="49">
        <f>IFERROR(__xludf.DUMMYFUNCTION("""COMPUTED_VALUE"""),2000.0)</f>
        <v>2000</v>
      </c>
      <c r="F716" s="112">
        <f>IFERROR(__xludf.DUMMYFUNCTION("""COMPUTED_VALUE"""),1.99E8)</f>
        <v>199000000</v>
      </c>
      <c r="G716" s="49"/>
      <c r="H716" s="49"/>
      <c r="I716" s="49"/>
      <c r="J716" s="49"/>
      <c r="K716" s="49"/>
      <c r="L716" s="49"/>
      <c r="M716" s="49"/>
      <c r="N716" s="49"/>
      <c r="O716" s="49"/>
      <c r="P716" s="49"/>
      <c r="Q716" s="49"/>
      <c r="R716" s="49"/>
      <c r="S716" s="125">
        <f>IFERROR(__xludf.DUMMYFUNCTION("""COMPUTED_VALUE"""),100000.0)</f>
        <v>100000</v>
      </c>
      <c r="T716" s="49"/>
      <c r="U716" s="49"/>
      <c r="V716" s="49"/>
      <c r="W716" s="49"/>
      <c r="X716" s="49"/>
      <c r="Y716" s="49"/>
      <c r="Z716" s="49"/>
      <c r="AA716" s="49"/>
      <c r="AB716" s="49"/>
      <c r="AC716" s="49"/>
      <c r="AD716" s="49"/>
      <c r="AE716" s="49"/>
      <c r="AF716" s="49"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49" t="str">
        <f>IFERROR(__xludf.DUMMYFUNCTION("""COMPUTED_VALUE"""),"Dragonscale Island")</f>
        <v>Dragonscale Island</v>
      </c>
      <c r="AH716" s="49" t="b">
        <f>IFERROR(__xludf.DUMMYFUNCTION("""COMPUTED_VALUE"""),FALSE)</f>
        <v>0</v>
      </c>
    </row>
    <row r="717">
      <c r="A717" s="49" t="str">
        <f>IFERROR(__xludf.DUMMYFUNCTION("""COMPUTED_VALUE"""),"Cooper's Memento")</f>
        <v>Cooper's Memento</v>
      </c>
      <c r="B717" s="49" t="str">
        <f>IFERROR(__xludf.DUMMYFUNCTION("""COMPUTED_VALUE"""),"Arms")</f>
        <v>Arms</v>
      </c>
      <c r="C717" s="49" t="str">
        <f>IFERROR(__xludf.DUMMYFUNCTION("""COMPUTED_VALUE"""),"A small stopwatch, the ticking has stopped.")</f>
        <v>A small stopwatch, the ticking has stopped.</v>
      </c>
      <c r="D717" s="49" t="str">
        <f>IFERROR(__xludf.DUMMYFUNCTION("""COMPUTED_VALUE"""),"Item")</f>
        <v>Item</v>
      </c>
      <c r="E717" s="49">
        <f>IFERROR(__xludf.DUMMYFUNCTION("""COMPUTED_VALUE"""),1.0)</f>
        <v>1</v>
      </c>
      <c r="F717" s="112">
        <f>IFERROR(__xludf.DUMMYFUNCTION("""COMPUTED_VALUE"""),0.0)</f>
        <v>0</v>
      </c>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c r="AE717" s="49"/>
      <c r="AF717" s="49" t="str">
        <f>IFERROR(__xludf.DUMMYFUNCTION("""COMPUTED_VALUE"""),"++15% chance to be unaffected by a curse")</f>
        <v>++15% chance to be unaffected by a curse</v>
      </c>
      <c r="AG717" s="49" t="str">
        <f>IFERROR(__xludf.DUMMYFUNCTION("""COMPUTED_VALUE"""),"Land of Spira")</f>
        <v>Land of Spira</v>
      </c>
      <c r="AH717" s="49" t="b">
        <f>IFERROR(__xludf.DUMMYFUNCTION("""COMPUTED_VALUE"""),FALSE)</f>
        <v>0</v>
      </c>
    </row>
    <row r="718">
      <c r="A718" s="49" t="str">
        <f>IFERROR(__xludf.DUMMYFUNCTION("""COMPUTED_VALUE"""),"Gaian Champion's Shield")</f>
        <v>Gaian Champion's Shield</v>
      </c>
      <c r="B718" s="49" t="str">
        <f>IFERROR(__xludf.DUMMYFUNCTION("""COMPUTED_VALUE"""),"Hand")</f>
        <v>Hand</v>
      </c>
      <c r="C718" s="49" t="str">
        <f>IFERROR(__xludf.DUMMYFUNCTION("""COMPUTED_VALUE"""),"""We are born to be the shield of the people, too many paladins forget this simple fact"" ~Grisaia")</f>
        <v>"We are born to be the shield of the people, too many paladins forget this simple fact" ~Grisaia</v>
      </c>
      <c r="D718" s="49" t="str">
        <f>IFERROR(__xludf.DUMMYFUNCTION("""COMPUTED_VALUE"""),"Towershield")</f>
        <v>Towershield</v>
      </c>
      <c r="E718" s="49">
        <f>IFERROR(__xludf.DUMMYFUNCTION("""COMPUTED_VALUE"""),200.0)</f>
        <v>200</v>
      </c>
      <c r="F718" s="112">
        <f>IFERROR(__xludf.DUMMYFUNCTION("""COMPUTED_VALUE"""),1.2475E9)</f>
        <v>1247500000</v>
      </c>
      <c r="G718" s="49" t="str">
        <f>IFERROR(__xludf.DUMMYFUNCTION("""COMPUTED_VALUE"""),"DEF")</f>
        <v>DEF</v>
      </c>
      <c r="H718" s="125">
        <f>IFERROR(__xludf.DUMMYFUNCTION("""COMPUTED_VALUE"""),50000.0)</f>
        <v>50000</v>
      </c>
      <c r="I718" s="125">
        <f>IFERROR(__xludf.DUMMYFUNCTION("""COMPUTED_VALUE"""),50000.0)</f>
        <v>50000</v>
      </c>
      <c r="J718" s="49"/>
      <c r="K718" s="49"/>
      <c r="L718" s="125">
        <f>IFERROR(__xludf.DUMMYFUNCTION("""COMPUTED_VALUE"""),50000.0)</f>
        <v>50000</v>
      </c>
      <c r="M718" s="125">
        <f>IFERROR(__xludf.DUMMYFUNCTION("""COMPUTED_VALUE"""),50000.0)</f>
        <v>50000</v>
      </c>
      <c r="N718" s="49"/>
      <c r="O718" s="49"/>
      <c r="P718" s="49"/>
      <c r="Q718" s="49"/>
      <c r="R718" s="49"/>
      <c r="S718" s="49"/>
      <c r="T718" s="49"/>
      <c r="U718" s="49"/>
      <c r="V718" s="49"/>
      <c r="W718" s="49"/>
      <c r="X718" s="49"/>
      <c r="Y718" s="49"/>
      <c r="Z718" s="49"/>
      <c r="AA718" s="49"/>
      <c r="AB718" s="49"/>
      <c r="AC718" s="125">
        <f>IFERROR(__xludf.DUMMYFUNCTION("""COMPUTED_VALUE"""),50000.0)</f>
        <v>50000</v>
      </c>
      <c r="AD718" s="49"/>
      <c r="AE718" s="49"/>
      <c r="AF718" s="49" t="str">
        <f>IFERROR(__xludf.DUMMYFUNCTION("""COMPUTED_VALUE"""),"++15% chance to prevent an ally from taking damage when hit by an attack. ++X6 Earth Damage +-Cannot be Duplicated")</f>
        <v>++15% chance to prevent an ally from taking damage when hit by an attack. ++X6 Earth Damage +-Cannot be Duplicated</v>
      </c>
      <c r="AG718" s="49" t="str">
        <f>IFERROR(__xludf.DUMMYFUNCTION("""COMPUTED_VALUE"""),"Land of Spira")</f>
        <v>Land of Spira</v>
      </c>
      <c r="AH718" s="49" t="b">
        <f>IFERROR(__xludf.DUMMYFUNCTION("""COMPUTED_VALUE"""),FALSE)</f>
        <v>0</v>
      </c>
    </row>
    <row r="719">
      <c r="A719" s="49" t="str">
        <f>IFERROR(__xludf.DUMMYFUNCTION("""COMPUTED_VALUE"""),"The Billowing Bludgeon")</f>
        <v>The Billowing Bludgeon</v>
      </c>
      <c r="B719" s="49" t="str">
        <f>IFERROR(__xludf.DUMMYFUNCTION("""COMPUTED_VALUE"""),"Hand")</f>
        <v>Hand</v>
      </c>
      <c r="C719" s="49"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49" t="str">
        <f>IFERROR(__xludf.DUMMYFUNCTION("""COMPUTED_VALUE"""),"Staff")</f>
        <v>Staff</v>
      </c>
      <c r="E719" s="49">
        <f>IFERROR(__xludf.DUMMYFUNCTION("""COMPUTED_VALUE"""),200.0)</f>
        <v>200</v>
      </c>
      <c r="F719" s="112">
        <f>IFERROR(__xludf.DUMMYFUNCTION("""COMPUTED_VALUE"""),1.797E9)</f>
        <v>1797000000</v>
      </c>
      <c r="G719" s="49" t="str">
        <f>IFERROR(__xludf.DUMMYFUNCTION("""COMPUTED_VALUE"""),"DMG")</f>
        <v>DMG</v>
      </c>
      <c r="H719" s="125">
        <f>IFERROR(__xludf.DUMMYFUNCTION("""COMPUTED_VALUE"""),75000.0)</f>
        <v>75000</v>
      </c>
      <c r="I719" s="125">
        <f>IFERROR(__xludf.DUMMYFUNCTION("""COMPUTED_VALUE"""),75000.0)</f>
        <v>75000</v>
      </c>
      <c r="J719" s="49"/>
      <c r="K719" s="49"/>
      <c r="L719" s="49"/>
      <c r="M719" s="125">
        <f>IFERROR(__xludf.DUMMYFUNCTION("""COMPUTED_VALUE"""),75000.0)</f>
        <v>75000</v>
      </c>
      <c r="N719" s="49"/>
      <c r="O719" s="49"/>
      <c r="P719" s="49"/>
      <c r="Q719" s="49"/>
      <c r="R719" s="49"/>
      <c r="S719" s="49"/>
      <c r="T719" s="49"/>
      <c r="U719" s="49"/>
      <c r="V719" s="49"/>
      <c r="W719" s="49"/>
      <c r="X719" s="49"/>
      <c r="Y719" s="49"/>
      <c r="Z719" s="49"/>
      <c r="AA719" s="49"/>
      <c r="AB719" s="49"/>
      <c r="AC719" s="125">
        <f>IFERROR(__xludf.DUMMYFUNCTION("""COMPUTED_VALUE"""),75000.0)</f>
        <v>75000</v>
      </c>
      <c r="AD719" s="49"/>
      <c r="AE719" s="49"/>
      <c r="AF719" s="49"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49" t="str">
        <f>IFERROR(__xludf.DUMMYFUNCTION("""COMPUTED_VALUE"""),"Land of Spira")</f>
        <v>Land of Spira</v>
      </c>
      <c r="AH719" s="49" t="b">
        <f>IFERROR(__xludf.DUMMYFUNCTION("""COMPUTED_VALUE"""),FALSE)</f>
        <v>0</v>
      </c>
    </row>
    <row r="720">
      <c r="A720" s="49" t="str">
        <f>IFERROR(__xludf.DUMMYFUNCTION("""COMPUTED_VALUE"""),"Home Run Bat")</f>
        <v>Home Run Bat</v>
      </c>
      <c r="B720" s="49" t="str">
        <f>IFERROR(__xludf.DUMMYFUNCTION("""COMPUTED_VALUE"""),"Hand")</f>
        <v>Hand</v>
      </c>
      <c r="C720" s="49"/>
      <c r="D720" s="49" t="str">
        <f>IFERROR(__xludf.DUMMYFUNCTION("""COMPUTED_VALUE"""),"Club")</f>
        <v>Club</v>
      </c>
      <c r="E720" s="49">
        <f>IFERROR(__xludf.DUMMYFUNCTION("""COMPUTED_VALUE"""),200.0)</f>
        <v>200</v>
      </c>
      <c r="F720" s="112">
        <f>IFERROR(__xludf.DUMMYFUNCTION("""COMPUTED_VALUE"""),7.98E8)</f>
        <v>798000000</v>
      </c>
      <c r="G720" s="49" t="str">
        <f>IFERROR(__xludf.DUMMYFUNCTION("""COMPUTED_VALUE"""),"DMG")</f>
        <v>DMG</v>
      </c>
      <c r="H720" s="125">
        <f>IFERROR(__xludf.DUMMYFUNCTION("""COMPUTED_VALUE"""),100000.0)</f>
        <v>100000</v>
      </c>
      <c r="I720" s="49"/>
      <c r="J720" s="49"/>
      <c r="K720" s="49"/>
      <c r="L720" s="49"/>
      <c r="M720" s="49"/>
      <c r="N720" s="49"/>
      <c r="O720" s="49"/>
      <c r="P720" s="49"/>
      <c r="Q720" s="49"/>
      <c r="R720" s="49"/>
      <c r="S720" s="49"/>
      <c r="T720" s="49"/>
      <c r="U720" s="49"/>
      <c r="V720" s="49"/>
      <c r="W720" s="49"/>
      <c r="X720" s="49"/>
      <c r="Y720" s="49"/>
      <c r="Z720" s="49"/>
      <c r="AA720" s="49"/>
      <c r="AB720" s="49"/>
      <c r="AC720" s="125">
        <f>IFERROR(__xludf.DUMMYFUNCTION("""COMPUTED_VALUE"""),100000.0)</f>
        <v>100000</v>
      </c>
      <c r="AD720" s="49"/>
      <c r="AE720" s="49"/>
      <c r="AF720" s="49"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49" t="str">
        <f>IFERROR(__xludf.DUMMYFUNCTION("""COMPUTED_VALUE"""),"Land of Spira")</f>
        <v>Land of Spira</v>
      </c>
      <c r="AH720" s="49" t="b">
        <f>IFERROR(__xludf.DUMMYFUNCTION("""COMPUTED_VALUE"""),FALSE)</f>
        <v>0</v>
      </c>
    </row>
    <row r="721">
      <c r="A721" s="49" t="str">
        <f>IFERROR(__xludf.DUMMYFUNCTION("""COMPUTED_VALUE"""),"Lunar New Year Dragon Head")</f>
        <v>Lunar New Year Dragon Head</v>
      </c>
      <c r="B721" s="49" t="str">
        <f>IFERROR(__xludf.DUMMYFUNCTION("""COMPUTED_VALUE"""),"Head")</f>
        <v>Head</v>
      </c>
      <c r="C721" s="49"/>
      <c r="D721" s="49" t="str">
        <f>IFERROR(__xludf.DUMMYFUNCTION("""COMPUTED_VALUE"""),"Item")</f>
        <v>Item</v>
      </c>
      <c r="E721" s="49">
        <f>IFERROR(__xludf.DUMMYFUNCTION("""COMPUTED_VALUE"""),200.0)</f>
        <v>200</v>
      </c>
      <c r="F721" s="112">
        <f>IFERROR(__xludf.DUMMYFUNCTION("""COMPUTED_VALUE"""),1.1175E8)</f>
        <v>111750000</v>
      </c>
      <c r="G721" s="49" t="str">
        <f>IFERROR(__xludf.DUMMYFUNCTION("""COMPUTED_VALUE"""),"DEF")</f>
        <v>DEF</v>
      </c>
      <c r="H721" s="125">
        <f>IFERROR(__xludf.DUMMYFUNCTION("""COMPUTED_VALUE"""),25000.0)</f>
        <v>25000</v>
      </c>
      <c r="I721" s="125">
        <f>IFERROR(__xludf.DUMMYFUNCTION("""COMPUTED_VALUE"""),25000.0)</f>
        <v>25000</v>
      </c>
      <c r="J721" s="49"/>
      <c r="K721" s="49"/>
      <c r="L721" s="49"/>
      <c r="M721" s="49"/>
      <c r="N721" s="49"/>
      <c r="O721" s="49"/>
      <c r="P721" s="49"/>
      <c r="Q721" s="49"/>
      <c r="R721" s="49"/>
      <c r="S721" s="49"/>
      <c r="T721" s="49"/>
      <c r="U721" s="49"/>
      <c r="V721" s="49"/>
      <c r="W721" s="49"/>
      <c r="X721" s="49"/>
      <c r="Y721" s="49"/>
      <c r="Z721" s="49"/>
      <c r="AA721" s="49"/>
      <c r="AB721" s="49"/>
      <c r="AC721" s="125">
        <f>IFERROR(__xludf.DUMMYFUNCTION("""COMPUTED_VALUE"""),25000.0)</f>
        <v>25000</v>
      </c>
      <c r="AD721" s="49"/>
      <c r="AE721" s="49"/>
      <c r="AF721" s="49" t="str">
        <f>IFERROR(__xludf.DUMMYFUNCTION("""COMPUTED_VALUE"""),"++Gain ""Greater Dragon's Breath"" Power. ++X2 additional Fire Damage.")</f>
        <v>++Gain "Greater Dragon's Breath" Power. ++X2 additional Fire Damage.</v>
      </c>
      <c r="AG721" s="49" t="str">
        <f>IFERROR(__xludf.DUMMYFUNCTION("""COMPUTED_VALUE"""),"Land of Spira")</f>
        <v>Land of Spira</v>
      </c>
      <c r="AH721" s="49" t="b">
        <f>IFERROR(__xludf.DUMMYFUNCTION("""COMPUTED_VALUE"""),FALSE)</f>
        <v>0</v>
      </c>
    </row>
    <row r="722">
      <c r="A722" s="49" t="str">
        <f>IFERROR(__xludf.DUMMYFUNCTION("""COMPUTED_VALUE"""),"Lunar New Year Dragon Shoulders")</f>
        <v>Lunar New Year Dragon Shoulders</v>
      </c>
      <c r="B722" s="49" t="str">
        <f>IFERROR(__xludf.DUMMYFUNCTION("""COMPUTED_VALUE"""),"Shoulders")</f>
        <v>Shoulders</v>
      </c>
      <c r="C722" s="49"/>
      <c r="D722" s="49" t="str">
        <f>IFERROR(__xludf.DUMMYFUNCTION("""COMPUTED_VALUE"""),"Item")</f>
        <v>Item</v>
      </c>
      <c r="E722" s="49">
        <f>IFERROR(__xludf.DUMMYFUNCTION("""COMPUTED_VALUE"""),200.0)</f>
        <v>200</v>
      </c>
      <c r="F722" s="112">
        <f>IFERROR(__xludf.DUMMYFUNCTION("""COMPUTED_VALUE"""),1.1175E8)</f>
        <v>111750000</v>
      </c>
      <c r="G722" s="49" t="str">
        <f>IFERROR(__xludf.DUMMYFUNCTION("""COMPUTED_VALUE"""),"DEF")</f>
        <v>DEF</v>
      </c>
      <c r="H722" s="125">
        <f>IFERROR(__xludf.DUMMYFUNCTION("""COMPUTED_VALUE"""),25000.0)</f>
        <v>25000</v>
      </c>
      <c r="I722" s="125">
        <f>IFERROR(__xludf.DUMMYFUNCTION("""COMPUTED_VALUE"""),25000.0)</f>
        <v>25000</v>
      </c>
      <c r="J722" s="49"/>
      <c r="K722" s="49"/>
      <c r="L722" s="49"/>
      <c r="M722" s="49"/>
      <c r="N722" s="49"/>
      <c r="O722" s="49"/>
      <c r="P722" s="49"/>
      <c r="Q722" s="49"/>
      <c r="R722" s="49"/>
      <c r="S722" s="49"/>
      <c r="T722" s="49"/>
      <c r="U722" s="49"/>
      <c r="V722" s="49"/>
      <c r="W722" s="49"/>
      <c r="X722" s="49"/>
      <c r="Y722" s="49"/>
      <c r="Z722" s="49"/>
      <c r="AA722" s="49"/>
      <c r="AB722" s="49"/>
      <c r="AC722" s="125">
        <f>IFERROR(__xludf.DUMMYFUNCTION("""COMPUTED_VALUE"""),25000.0)</f>
        <v>25000</v>
      </c>
      <c r="AD722" s="49"/>
      <c r="AE722" s="49"/>
      <c r="AF722" s="49" t="str">
        <f>IFERROR(__xludf.DUMMYFUNCTION("""COMPUTED_VALUE"""),"++X2 additional Fire Damage.")</f>
        <v>++X2 additional Fire Damage.</v>
      </c>
      <c r="AG722" s="49" t="str">
        <f>IFERROR(__xludf.DUMMYFUNCTION("""COMPUTED_VALUE"""),"Land of Spira")</f>
        <v>Land of Spira</v>
      </c>
      <c r="AH722" s="49" t="b">
        <f>IFERROR(__xludf.DUMMYFUNCTION("""COMPUTED_VALUE"""),FALSE)</f>
        <v>0</v>
      </c>
    </row>
    <row r="723">
      <c r="A723" s="49" t="str">
        <f>IFERROR(__xludf.DUMMYFUNCTION("""COMPUTED_VALUE"""),"Lunar New Year Dragon Arms")</f>
        <v>Lunar New Year Dragon Arms</v>
      </c>
      <c r="B723" s="49" t="str">
        <f>IFERROR(__xludf.DUMMYFUNCTION("""COMPUTED_VALUE"""),"Arms")</f>
        <v>Arms</v>
      </c>
      <c r="C723" s="49"/>
      <c r="D723" s="49" t="str">
        <f>IFERROR(__xludf.DUMMYFUNCTION("""COMPUTED_VALUE"""),"Item")</f>
        <v>Item</v>
      </c>
      <c r="E723" s="49">
        <f>IFERROR(__xludf.DUMMYFUNCTION("""COMPUTED_VALUE"""),200.0)</f>
        <v>200</v>
      </c>
      <c r="F723" s="112">
        <f>IFERROR(__xludf.DUMMYFUNCTION("""COMPUTED_VALUE"""),1.1175E8)</f>
        <v>111750000</v>
      </c>
      <c r="G723" s="49" t="str">
        <f>IFERROR(__xludf.DUMMYFUNCTION("""COMPUTED_VALUE"""),"DEF")</f>
        <v>DEF</v>
      </c>
      <c r="H723" s="125">
        <f>IFERROR(__xludf.DUMMYFUNCTION("""COMPUTED_VALUE"""),25000.0)</f>
        <v>25000</v>
      </c>
      <c r="I723" s="125">
        <f>IFERROR(__xludf.DUMMYFUNCTION("""COMPUTED_VALUE"""),25000.0)</f>
        <v>25000</v>
      </c>
      <c r="J723" s="49"/>
      <c r="K723" s="49"/>
      <c r="L723" s="49"/>
      <c r="M723" s="49"/>
      <c r="N723" s="49"/>
      <c r="O723" s="49"/>
      <c r="P723" s="49"/>
      <c r="Q723" s="49"/>
      <c r="R723" s="49"/>
      <c r="S723" s="49"/>
      <c r="T723" s="49"/>
      <c r="U723" s="49"/>
      <c r="V723" s="49"/>
      <c r="W723" s="49"/>
      <c r="X723" s="49"/>
      <c r="Y723" s="49"/>
      <c r="Z723" s="49"/>
      <c r="AA723" s="49"/>
      <c r="AB723" s="49"/>
      <c r="AC723" s="125">
        <f>IFERROR(__xludf.DUMMYFUNCTION("""COMPUTED_VALUE"""),25000.0)</f>
        <v>25000</v>
      </c>
      <c r="AD723" s="49"/>
      <c r="AE723" s="49"/>
      <c r="AF723" s="49" t="str">
        <f>IFERROR(__xludf.DUMMYFUNCTION("""COMPUTED_VALUE"""),"++X2 additional Fire Damage.")</f>
        <v>++X2 additional Fire Damage.</v>
      </c>
      <c r="AG723" s="49" t="str">
        <f>IFERROR(__xludf.DUMMYFUNCTION("""COMPUTED_VALUE"""),"Land of Spira")</f>
        <v>Land of Spira</v>
      </c>
      <c r="AH723" s="49" t="b">
        <f>IFERROR(__xludf.DUMMYFUNCTION("""COMPUTED_VALUE"""),FALSE)</f>
        <v>0</v>
      </c>
    </row>
    <row r="724">
      <c r="A724" s="49" t="str">
        <f>IFERROR(__xludf.DUMMYFUNCTION("""COMPUTED_VALUE"""),"Lunar New Year Dragon Torso")</f>
        <v>Lunar New Year Dragon Torso</v>
      </c>
      <c r="B724" s="49" t="str">
        <f>IFERROR(__xludf.DUMMYFUNCTION("""COMPUTED_VALUE"""),"Torso")</f>
        <v>Torso</v>
      </c>
      <c r="C724" s="49"/>
      <c r="D724" s="49" t="str">
        <f>IFERROR(__xludf.DUMMYFUNCTION("""COMPUTED_VALUE"""),"Item")</f>
        <v>Item</v>
      </c>
      <c r="E724" s="49">
        <f>IFERROR(__xludf.DUMMYFUNCTION("""COMPUTED_VALUE"""),200.0)</f>
        <v>200</v>
      </c>
      <c r="F724" s="112">
        <f>IFERROR(__xludf.DUMMYFUNCTION("""COMPUTED_VALUE"""),1.1175E8)</f>
        <v>111750000</v>
      </c>
      <c r="G724" s="49" t="str">
        <f>IFERROR(__xludf.DUMMYFUNCTION("""COMPUTED_VALUE"""),"DEF")</f>
        <v>DEF</v>
      </c>
      <c r="H724" s="125">
        <f>IFERROR(__xludf.DUMMYFUNCTION("""COMPUTED_VALUE"""),25000.0)</f>
        <v>25000</v>
      </c>
      <c r="I724" s="125">
        <f>IFERROR(__xludf.DUMMYFUNCTION("""COMPUTED_VALUE"""),25000.0)</f>
        <v>25000</v>
      </c>
      <c r="J724" s="49"/>
      <c r="K724" s="49"/>
      <c r="L724" s="49"/>
      <c r="M724" s="49"/>
      <c r="N724" s="49"/>
      <c r="O724" s="49"/>
      <c r="P724" s="49"/>
      <c r="Q724" s="49"/>
      <c r="R724" s="49"/>
      <c r="S724" s="49"/>
      <c r="T724" s="49"/>
      <c r="U724" s="49"/>
      <c r="V724" s="49"/>
      <c r="W724" s="49"/>
      <c r="X724" s="49"/>
      <c r="Y724" s="49"/>
      <c r="Z724" s="49"/>
      <c r="AA724" s="49"/>
      <c r="AB724" s="49"/>
      <c r="AC724" s="125">
        <f>IFERROR(__xludf.DUMMYFUNCTION("""COMPUTED_VALUE"""),25000.0)</f>
        <v>25000</v>
      </c>
      <c r="AD724" s="49"/>
      <c r="AE724" s="49"/>
      <c r="AF724" s="49" t="str">
        <f>IFERROR(__xludf.DUMMYFUNCTION("""COMPUTED_VALUE"""),"++X2 additional Fire Damage.")</f>
        <v>++X2 additional Fire Damage.</v>
      </c>
      <c r="AG724" s="49" t="str">
        <f>IFERROR(__xludf.DUMMYFUNCTION("""COMPUTED_VALUE"""),"Land of Spira")</f>
        <v>Land of Spira</v>
      </c>
      <c r="AH724" s="49" t="b">
        <f>IFERROR(__xludf.DUMMYFUNCTION("""COMPUTED_VALUE"""),FALSE)</f>
        <v>0</v>
      </c>
    </row>
    <row r="725">
      <c r="A725" s="49" t="str">
        <f>IFERROR(__xludf.DUMMYFUNCTION("""COMPUTED_VALUE"""),"Lunar New Year Dragon Legs")</f>
        <v>Lunar New Year Dragon Legs</v>
      </c>
      <c r="B725" s="49" t="str">
        <f>IFERROR(__xludf.DUMMYFUNCTION("""COMPUTED_VALUE"""),"Legs")</f>
        <v>Legs</v>
      </c>
      <c r="C725" s="49"/>
      <c r="D725" s="49" t="str">
        <f>IFERROR(__xludf.DUMMYFUNCTION("""COMPUTED_VALUE"""),"Item")</f>
        <v>Item</v>
      </c>
      <c r="E725" s="49">
        <f>IFERROR(__xludf.DUMMYFUNCTION("""COMPUTED_VALUE"""),200.0)</f>
        <v>200</v>
      </c>
      <c r="F725" s="112">
        <f>IFERROR(__xludf.DUMMYFUNCTION("""COMPUTED_VALUE"""),1.1175E8)</f>
        <v>111750000</v>
      </c>
      <c r="G725" s="49" t="str">
        <f>IFERROR(__xludf.DUMMYFUNCTION("""COMPUTED_VALUE"""),"DEF")</f>
        <v>DEF</v>
      </c>
      <c r="H725" s="125">
        <f>IFERROR(__xludf.DUMMYFUNCTION("""COMPUTED_VALUE"""),25000.0)</f>
        <v>25000</v>
      </c>
      <c r="I725" s="125">
        <f>IFERROR(__xludf.DUMMYFUNCTION("""COMPUTED_VALUE"""),25000.0)</f>
        <v>25000</v>
      </c>
      <c r="J725" s="49"/>
      <c r="K725" s="49"/>
      <c r="L725" s="49"/>
      <c r="M725" s="49"/>
      <c r="N725" s="49"/>
      <c r="O725" s="49"/>
      <c r="P725" s="49"/>
      <c r="Q725" s="49"/>
      <c r="R725" s="49"/>
      <c r="S725" s="49"/>
      <c r="T725" s="49"/>
      <c r="U725" s="49"/>
      <c r="V725" s="49"/>
      <c r="W725" s="49"/>
      <c r="X725" s="49"/>
      <c r="Y725" s="49"/>
      <c r="Z725" s="49"/>
      <c r="AA725" s="49"/>
      <c r="AB725" s="49"/>
      <c r="AC725" s="125">
        <f>IFERROR(__xludf.DUMMYFUNCTION("""COMPUTED_VALUE"""),25000.0)</f>
        <v>25000</v>
      </c>
      <c r="AD725" s="49"/>
      <c r="AE725" s="49"/>
      <c r="AF725" s="49" t="str">
        <f>IFERROR(__xludf.DUMMYFUNCTION("""COMPUTED_VALUE"""),"++X2 additional Fire Damage.")</f>
        <v>++X2 additional Fire Damage.</v>
      </c>
      <c r="AG725" s="49" t="str">
        <f>IFERROR(__xludf.DUMMYFUNCTION("""COMPUTED_VALUE"""),"Land of Spira")</f>
        <v>Land of Spira</v>
      </c>
      <c r="AH725" s="49" t="b">
        <f>IFERROR(__xludf.DUMMYFUNCTION("""COMPUTED_VALUE"""),FALSE)</f>
        <v>0</v>
      </c>
    </row>
    <row r="726">
      <c r="A726" s="49" t="str">
        <f>IFERROR(__xludf.DUMMYFUNCTION("""COMPUTED_VALUE"""),"Lunar New Year Dragon Feet")</f>
        <v>Lunar New Year Dragon Feet</v>
      </c>
      <c r="B726" s="49" t="str">
        <f>IFERROR(__xludf.DUMMYFUNCTION("""COMPUTED_VALUE"""),"Feet")</f>
        <v>Feet</v>
      </c>
      <c r="C726" s="49"/>
      <c r="D726" s="49" t="str">
        <f>IFERROR(__xludf.DUMMYFUNCTION("""COMPUTED_VALUE"""),"Item")</f>
        <v>Item</v>
      </c>
      <c r="E726" s="49">
        <f>IFERROR(__xludf.DUMMYFUNCTION("""COMPUTED_VALUE"""),200.0)</f>
        <v>200</v>
      </c>
      <c r="F726" s="112">
        <f>IFERROR(__xludf.DUMMYFUNCTION("""COMPUTED_VALUE"""),1.1175E8)</f>
        <v>111750000</v>
      </c>
      <c r="G726" s="49" t="str">
        <f>IFERROR(__xludf.DUMMYFUNCTION("""COMPUTED_VALUE"""),"DEF")</f>
        <v>DEF</v>
      </c>
      <c r="H726" s="125">
        <f>IFERROR(__xludf.DUMMYFUNCTION("""COMPUTED_VALUE"""),25000.0)</f>
        <v>25000</v>
      </c>
      <c r="I726" s="125">
        <f>IFERROR(__xludf.DUMMYFUNCTION("""COMPUTED_VALUE"""),25000.0)</f>
        <v>25000</v>
      </c>
      <c r="J726" s="49"/>
      <c r="K726" s="49"/>
      <c r="L726" s="49"/>
      <c r="M726" s="49"/>
      <c r="N726" s="49"/>
      <c r="O726" s="49"/>
      <c r="P726" s="49"/>
      <c r="Q726" s="49"/>
      <c r="R726" s="49"/>
      <c r="S726" s="49"/>
      <c r="T726" s="49"/>
      <c r="U726" s="49"/>
      <c r="V726" s="49"/>
      <c r="W726" s="49"/>
      <c r="X726" s="49"/>
      <c r="Y726" s="49"/>
      <c r="Z726" s="49"/>
      <c r="AA726" s="49"/>
      <c r="AB726" s="49"/>
      <c r="AC726" s="125">
        <f>IFERROR(__xludf.DUMMYFUNCTION("""COMPUTED_VALUE"""),25000.0)</f>
        <v>25000</v>
      </c>
      <c r="AD726" s="49"/>
      <c r="AE726" s="49"/>
      <c r="AF726" s="49" t="str">
        <f>IFERROR(__xludf.DUMMYFUNCTION("""COMPUTED_VALUE"""),"++X2 additional Fire Damage.")</f>
        <v>++X2 additional Fire Damage.</v>
      </c>
      <c r="AG726" s="49" t="str">
        <f>IFERROR(__xludf.DUMMYFUNCTION("""COMPUTED_VALUE"""),"Land of Spira")</f>
        <v>Land of Spira</v>
      </c>
      <c r="AH726" s="49" t="b">
        <f>IFERROR(__xludf.DUMMYFUNCTION("""COMPUTED_VALUE"""),FALSE)</f>
        <v>0</v>
      </c>
    </row>
    <row r="727">
      <c r="A727" s="49" t="str">
        <f>IFERROR(__xludf.DUMMYFUNCTION("""COMPUTED_VALUE"""),"Spirit Blade")</f>
        <v>Spirit Blade</v>
      </c>
      <c r="B727" s="49" t="str">
        <f>IFERROR(__xludf.DUMMYFUNCTION("""COMPUTED_VALUE"""),"Hand")</f>
        <v>Hand</v>
      </c>
      <c r="C727" s="49"/>
      <c r="D727" s="49" t="str">
        <f>IFERROR(__xludf.DUMMYFUNCTION("""COMPUTED_VALUE"""),"Sword")</f>
        <v>Sword</v>
      </c>
      <c r="E727" s="49">
        <f>IFERROR(__xludf.DUMMYFUNCTION("""COMPUTED_VALUE"""),600.0)</f>
        <v>600</v>
      </c>
      <c r="F727" s="112">
        <f>IFERROR(__xludf.DUMMYFUNCTION("""COMPUTED_VALUE"""),1.77E7)</f>
        <v>17700000</v>
      </c>
      <c r="G727" s="49" t="str">
        <f>IFERROR(__xludf.DUMMYFUNCTION("""COMPUTED_VALUE"""),"DMG")</f>
        <v>DMG</v>
      </c>
      <c r="H727" s="125">
        <f>IFERROR(__xludf.DUMMYFUNCTION("""COMPUTED_VALUE"""),20000.0)</f>
        <v>20000</v>
      </c>
      <c r="I727" s="49"/>
      <c r="J727" s="49"/>
      <c r="K727" s="49"/>
      <c r="L727" s="49"/>
      <c r="M727" s="49"/>
      <c r="N727" s="125">
        <f>IFERROR(__xludf.DUMMYFUNCTION("""COMPUTED_VALUE"""),10000.0)</f>
        <v>10000</v>
      </c>
      <c r="O727" s="49"/>
      <c r="P727" s="49"/>
      <c r="Q727" s="49"/>
      <c r="R727" s="49"/>
      <c r="S727" s="49"/>
      <c r="T727" s="49"/>
      <c r="U727" s="49"/>
      <c r="V727" s="49"/>
      <c r="W727" s="49"/>
      <c r="X727" s="49"/>
      <c r="Y727" s="49"/>
      <c r="Z727" s="49"/>
      <c r="AA727" s="49"/>
      <c r="AB727" s="49"/>
      <c r="AC727" s="49"/>
      <c r="AD727" s="49"/>
      <c r="AE727" s="49"/>
      <c r="AF727" s="49"/>
      <c r="AG727" s="49" t="str">
        <f>IFERROR(__xludf.DUMMYFUNCTION("""COMPUTED_VALUE"""),"Land of Spira")</f>
        <v>Land of Spira</v>
      </c>
      <c r="AH727" s="49" t="b">
        <f>IFERROR(__xludf.DUMMYFUNCTION("""COMPUTED_VALUE"""),FALSE)</f>
        <v>0</v>
      </c>
    </row>
    <row r="728">
      <c r="A728" s="49" t="str">
        <f>IFERROR(__xludf.DUMMYFUNCTION("""COMPUTED_VALUE"""),"Spirit Shield")</f>
        <v>Spirit Shield</v>
      </c>
      <c r="B728" s="49" t="str">
        <f>IFERROR(__xludf.DUMMYFUNCTION("""COMPUTED_VALUE"""),"Hand")</f>
        <v>Hand</v>
      </c>
      <c r="C728" s="49"/>
      <c r="D728" s="49" t="str">
        <f>IFERROR(__xludf.DUMMYFUNCTION("""COMPUTED_VALUE"""),"Buckler")</f>
        <v>Buckler</v>
      </c>
      <c r="E728" s="49">
        <f>IFERROR(__xludf.DUMMYFUNCTION("""COMPUTED_VALUE"""),600.0)</f>
        <v>600</v>
      </c>
      <c r="F728" s="112">
        <f>IFERROR(__xludf.DUMMYFUNCTION("""COMPUTED_VALUE"""),1.77E7)</f>
        <v>17700000</v>
      </c>
      <c r="G728" s="49" t="str">
        <f>IFERROR(__xludf.DUMMYFUNCTION("""COMPUTED_VALUE"""),"DEF")</f>
        <v>DEF</v>
      </c>
      <c r="H728" s="125">
        <f>IFERROR(__xludf.DUMMYFUNCTION("""COMPUTED_VALUE"""),20000.0)</f>
        <v>20000</v>
      </c>
      <c r="I728" s="49"/>
      <c r="J728" s="49"/>
      <c r="K728" s="49"/>
      <c r="L728" s="49"/>
      <c r="M728" s="49"/>
      <c r="N728" s="125">
        <f>IFERROR(__xludf.DUMMYFUNCTION("""COMPUTED_VALUE"""),10000.0)</f>
        <v>10000</v>
      </c>
      <c r="O728" s="49"/>
      <c r="P728" s="49"/>
      <c r="Q728" s="49"/>
      <c r="R728" s="49"/>
      <c r="S728" s="49"/>
      <c r="T728" s="49"/>
      <c r="U728" s="49"/>
      <c r="V728" s="49"/>
      <c r="W728" s="49"/>
      <c r="X728" s="49"/>
      <c r="Y728" s="49"/>
      <c r="Z728" s="49"/>
      <c r="AA728" s="49"/>
      <c r="AB728" s="49"/>
      <c r="AC728" s="49"/>
      <c r="AD728" s="49"/>
      <c r="AE728" s="49"/>
      <c r="AF728" s="49"/>
      <c r="AG728" s="49" t="str">
        <f>IFERROR(__xludf.DUMMYFUNCTION("""COMPUTED_VALUE"""),"Land of Spira")</f>
        <v>Land of Spira</v>
      </c>
      <c r="AH728" s="49" t="b">
        <f>IFERROR(__xludf.DUMMYFUNCTION("""COMPUTED_VALUE"""),FALSE)</f>
        <v>0</v>
      </c>
    </row>
    <row r="729">
      <c r="A729" s="49" t="str">
        <f>IFERROR(__xludf.DUMMYFUNCTION("""COMPUTED_VALUE"""),"Mage's Hood")</f>
        <v>Mage's Hood</v>
      </c>
      <c r="B729" s="49" t="str">
        <f>IFERROR(__xludf.DUMMYFUNCTION("""COMPUTED_VALUE"""),"Head")</f>
        <v>Head</v>
      </c>
      <c r="C729" s="49"/>
      <c r="D729" s="49" t="str">
        <f>IFERROR(__xludf.DUMMYFUNCTION("""COMPUTED_VALUE"""),"Item")</f>
        <v>Item</v>
      </c>
      <c r="E729" s="49">
        <f>IFERROR(__xludf.DUMMYFUNCTION("""COMPUTED_VALUE"""),1.0)</f>
        <v>1</v>
      </c>
      <c r="F729" s="112">
        <f>IFERROR(__xludf.DUMMYFUNCTION("""COMPUTED_VALUE"""),0.0)</f>
        <v>0</v>
      </c>
      <c r="G729" s="49" t="str">
        <f>IFERROR(__xludf.DUMMYFUNCTION("""COMPUTED_VALUE"""),"DEF")</f>
        <v>DEF</v>
      </c>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c r="AE729" s="49"/>
      <c r="AF729" s="49" t="str">
        <f>IFERROR(__xludf.DUMMYFUNCTION("""COMPUTED_VALUE"""),"++5000 additional HP and SP. ++Plus 2 Wisdom. +-Cannot be forged. +-Cannot be duplicateed.")</f>
        <v>++5000 additional HP and SP. ++Plus 2 Wisdom. +-Cannot be forged. +-Cannot be duplicateed.</v>
      </c>
      <c r="AG729" s="49" t="str">
        <f>IFERROR(__xludf.DUMMYFUNCTION("""COMPUTED_VALUE"""),"Land of Spira")</f>
        <v>Land of Spira</v>
      </c>
      <c r="AH729" s="49" t="b">
        <f>IFERROR(__xludf.DUMMYFUNCTION("""COMPUTED_VALUE"""),FALSE)</f>
        <v>0</v>
      </c>
    </row>
    <row r="730">
      <c r="A730" s="49" t="str">
        <f>IFERROR(__xludf.DUMMYFUNCTION("""COMPUTED_VALUE"""),"Mage's Cloak")</f>
        <v>Mage's Cloak</v>
      </c>
      <c r="B730" s="49" t="str">
        <f>IFERROR(__xludf.DUMMYFUNCTION("""COMPUTED_VALUE"""),"Torso")</f>
        <v>Torso</v>
      </c>
      <c r="C730" s="49"/>
      <c r="D730" s="49" t="str">
        <f>IFERROR(__xludf.DUMMYFUNCTION("""COMPUTED_VALUE"""),"Item")</f>
        <v>Item</v>
      </c>
      <c r="E730" s="49">
        <f>IFERROR(__xludf.DUMMYFUNCTION("""COMPUTED_VALUE"""),1.0)</f>
        <v>1</v>
      </c>
      <c r="F730" s="112">
        <f>IFERROR(__xludf.DUMMYFUNCTION("""COMPUTED_VALUE"""),0.0)</f>
        <v>0</v>
      </c>
      <c r="G730" s="49" t="str">
        <f>IFERROR(__xludf.DUMMYFUNCTION("""COMPUTED_VALUE"""),"DEF")</f>
        <v>DEF</v>
      </c>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c r="AE730" s="49"/>
      <c r="AF730" s="49" t="str">
        <f>IFERROR(__xludf.DUMMYFUNCTION("""COMPUTED_VALUE"""),"++5000 additional HP and SP. ++Plus 2 Wisdom. +-Cannot be forged. +-Cannot be duplicateed.")</f>
        <v>++5000 additional HP and SP. ++Plus 2 Wisdom. +-Cannot be forged. +-Cannot be duplicateed.</v>
      </c>
      <c r="AG730" s="49" t="str">
        <f>IFERROR(__xludf.DUMMYFUNCTION("""COMPUTED_VALUE"""),"Land of Spira")</f>
        <v>Land of Spira</v>
      </c>
      <c r="AH730" s="49" t="b">
        <f>IFERROR(__xludf.DUMMYFUNCTION("""COMPUTED_VALUE"""),FALSE)</f>
        <v>0</v>
      </c>
    </row>
    <row r="731">
      <c r="A731" s="49" t="str">
        <f>IFERROR(__xludf.DUMMYFUNCTION("""COMPUTED_VALUE"""),"Mage's Shoes")</f>
        <v>Mage's Shoes</v>
      </c>
      <c r="B731" s="49" t="str">
        <f>IFERROR(__xludf.DUMMYFUNCTION("""COMPUTED_VALUE"""),"Feet")</f>
        <v>Feet</v>
      </c>
      <c r="C731" s="49"/>
      <c r="D731" s="49" t="str">
        <f>IFERROR(__xludf.DUMMYFUNCTION("""COMPUTED_VALUE"""),"Item")</f>
        <v>Item</v>
      </c>
      <c r="E731" s="49">
        <f>IFERROR(__xludf.DUMMYFUNCTION("""COMPUTED_VALUE"""),1.0)</f>
        <v>1</v>
      </c>
      <c r="F731" s="112">
        <f>IFERROR(__xludf.DUMMYFUNCTION("""COMPUTED_VALUE"""),0.0)</f>
        <v>0</v>
      </c>
      <c r="G731" s="49" t="str">
        <f>IFERROR(__xludf.DUMMYFUNCTION("""COMPUTED_VALUE"""),"DEF")</f>
        <v>DEF</v>
      </c>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c r="AE731" s="49"/>
      <c r="AF731" s="49" t="str">
        <f>IFERROR(__xludf.DUMMYFUNCTION("""COMPUTED_VALUE"""),"++5000 additional HP and SP. ++Plus 1 Wisdom. +-Cannot be forged. +-Cannot be duplicateed.")</f>
        <v>++5000 additional HP and SP. ++Plus 1 Wisdom. +-Cannot be forged. +-Cannot be duplicateed.</v>
      </c>
      <c r="AG731" s="49" t="str">
        <f>IFERROR(__xludf.DUMMYFUNCTION("""COMPUTED_VALUE"""),"Land of Spira")</f>
        <v>Land of Spira</v>
      </c>
      <c r="AH731" s="49" t="b">
        <f>IFERROR(__xludf.DUMMYFUNCTION("""COMPUTED_VALUE"""),FALSE)</f>
        <v>0</v>
      </c>
    </row>
    <row r="732">
      <c r="A732" s="49" t="str">
        <f>IFERROR(__xludf.DUMMYFUNCTION("""COMPUTED_VALUE"""),"Sorcerer's Hood")</f>
        <v>Sorcerer's Hood</v>
      </c>
      <c r="B732" s="49" t="str">
        <f>IFERROR(__xludf.DUMMYFUNCTION("""COMPUTED_VALUE"""),"Head")</f>
        <v>Head</v>
      </c>
      <c r="C732" s="49"/>
      <c r="D732" s="49" t="str">
        <f>IFERROR(__xludf.DUMMYFUNCTION("""COMPUTED_VALUE"""),"Item")</f>
        <v>Item</v>
      </c>
      <c r="E732" s="49">
        <f>IFERROR(__xludf.DUMMYFUNCTION("""COMPUTED_VALUE"""),1.0)</f>
        <v>1</v>
      </c>
      <c r="F732" s="112">
        <f>IFERROR(__xludf.DUMMYFUNCTION("""COMPUTED_VALUE"""),0.0)</f>
        <v>0</v>
      </c>
      <c r="G732" s="49" t="str">
        <f>IFERROR(__xludf.DUMMYFUNCTION("""COMPUTED_VALUE"""),"DEF")</f>
        <v>DEF</v>
      </c>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c r="AE732" s="49"/>
      <c r="AF732" s="49" t="str">
        <f>IFERROR(__xludf.DUMMYFUNCTION("""COMPUTED_VALUE"""),"++2500 additional HP and SP. ++Plus 2 Wisdom. +-Cannot be forged. +-Cannot be duplicateed.")</f>
        <v>++2500 additional HP and SP. ++Plus 2 Wisdom. +-Cannot be forged. +-Cannot be duplicateed.</v>
      </c>
      <c r="AG732" s="49" t="str">
        <f>IFERROR(__xludf.DUMMYFUNCTION("""COMPUTED_VALUE"""),"Land of Spira")</f>
        <v>Land of Spira</v>
      </c>
      <c r="AH732" s="49" t="b">
        <f>IFERROR(__xludf.DUMMYFUNCTION("""COMPUTED_VALUE"""),FALSE)</f>
        <v>0</v>
      </c>
    </row>
    <row r="733">
      <c r="A733" s="49" t="str">
        <f>IFERROR(__xludf.DUMMYFUNCTION("""COMPUTED_VALUE"""),"Sorcerer's Cloak")</f>
        <v>Sorcerer's Cloak</v>
      </c>
      <c r="B733" s="49" t="str">
        <f>IFERROR(__xludf.DUMMYFUNCTION("""COMPUTED_VALUE"""),"Torso")</f>
        <v>Torso</v>
      </c>
      <c r="C733" s="49"/>
      <c r="D733" s="49" t="str">
        <f>IFERROR(__xludf.DUMMYFUNCTION("""COMPUTED_VALUE"""),"Item")</f>
        <v>Item</v>
      </c>
      <c r="E733" s="49">
        <f>IFERROR(__xludf.DUMMYFUNCTION("""COMPUTED_VALUE"""),1.0)</f>
        <v>1</v>
      </c>
      <c r="F733" s="112">
        <f>IFERROR(__xludf.DUMMYFUNCTION("""COMPUTED_VALUE"""),0.0)</f>
        <v>0</v>
      </c>
      <c r="G733" s="49" t="str">
        <f>IFERROR(__xludf.DUMMYFUNCTION("""COMPUTED_VALUE"""),"DEF")</f>
        <v>DEF</v>
      </c>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c r="AE733" s="49"/>
      <c r="AF733" s="49" t="str">
        <f>IFERROR(__xludf.DUMMYFUNCTION("""COMPUTED_VALUE"""),"++2500 additional HP and SP. ++Plus 2 Wisdom. +-Cannot be forged. +-Cannot be duplicateed.")</f>
        <v>++2500 additional HP and SP. ++Plus 2 Wisdom. +-Cannot be forged. +-Cannot be duplicateed.</v>
      </c>
      <c r="AG733" s="49" t="str">
        <f>IFERROR(__xludf.DUMMYFUNCTION("""COMPUTED_VALUE"""),"Land of Spira")</f>
        <v>Land of Spira</v>
      </c>
      <c r="AH733" s="49" t="b">
        <f>IFERROR(__xludf.DUMMYFUNCTION("""COMPUTED_VALUE"""),FALSE)</f>
        <v>0</v>
      </c>
    </row>
    <row r="734">
      <c r="A734" s="49" t="str">
        <f>IFERROR(__xludf.DUMMYFUNCTION("""COMPUTED_VALUE"""),"Sorcerer's Shoes")</f>
        <v>Sorcerer's Shoes</v>
      </c>
      <c r="B734" s="49" t="str">
        <f>IFERROR(__xludf.DUMMYFUNCTION("""COMPUTED_VALUE"""),"Feet")</f>
        <v>Feet</v>
      </c>
      <c r="C734" s="49"/>
      <c r="D734" s="49" t="str">
        <f>IFERROR(__xludf.DUMMYFUNCTION("""COMPUTED_VALUE"""),"Item")</f>
        <v>Item</v>
      </c>
      <c r="E734" s="49">
        <f>IFERROR(__xludf.DUMMYFUNCTION("""COMPUTED_VALUE"""),1.0)</f>
        <v>1</v>
      </c>
      <c r="F734" s="112">
        <f>IFERROR(__xludf.DUMMYFUNCTION("""COMPUTED_VALUE"""),0.0)</f>
        <v>0</v>
      </c>
      <c r="G734" s="49" t="str">
        <f>IFERROR(__xludf.DUMMYFUNCTION("""COMPUTED_VALUE"""),"DEF")</f>
        <v>DEF</v>
      </c>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c r="AE734" s="49"/>
      <c r="AF734" s="49" t="str">
        <f>IFERROR(__xludf.DUMMYFUNCTION("""COMPUTED_VALUE"""),"++2500 additional HP and SP. ++Plus 1 Wisdom. +-Cannot be forged. +-Cannot be duplicateed.")</f>
        <v>++2500 additional HP and SP. ++Plus 1 Wisdom. +-Cannot be forged. +-Cannot be duplicateed.</v>
      </c>
      <c r="AG734" s="49" t="str">
        <f>IFERROR(__xludf.DUMMYFUNCTION("""COMPUTED_VALUE"""),"Land of Spira")</f>
        <v>Land of Spira</v>
      </c>
      <c r="AH734" s="49" t="b">
        <f>IFERROR(__xludf.DUMMYFUNCTION("""COMPUTED_VALUE"""),FALSE)</f>
        <v>0</v>
      </c>
    </row>
    <row r="735">
      <c r="A735" s="49" t="str">
        <f>IFERROR(__xludf.DUMMYFUNCTION("""COMPUTED_VALUE"""),"Wizard's Hood")</f>
        <v>Wizard's Hood</v>
      </c>
      <c r="B735" s="49" t="str">
        <f>IFERROR(__xludf.DUMMYFUNCTION("""COMPUTED_VALUE"""),"Head")</f>
        <v>Head</v>
      </c>
      <c r="C735" s="49"/>
      <c r="D735" s="49" t="str">
        <f>IFERROR(__xludf.DUMMYFUNCTION("""COMPUTED_VALUE"""),"Item")</f>
        <v>Item</v>
      </c>
      <c r="E735" s="49">
        <f>IFERROR(__xludf.DUMMYFUNCTION("""COMPUTED_VALUE"""),1.0)</f>
        <v>1</v>
      </c>
      <c r="F735" s="112">
        <f>IFERROR(__xludf.DUMMYFUNCTION("""COMPUTED_VALUE"""),0.0)</f>
        <v>0</v>
      </c>
      <c r="G735" s="49" t="str">
        <f>IFERROR(__xludf.DUMMYFUNCTION("""COMPUTED_VALUE"""),"DEF")</f>
        <v>DEF</v>
      </c>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c r="AE735" s="49"/>
      <c r="AF735" s="49" t="str">
        <f>IFERROR(__xludf.DUMMYFUNCTION("""COMPUTED_VALUE"""),"++1000 additional HP and SP. ++X2 Spell Damage. +-Cannot be forged. +-Cannot be duplicateed.")</f>
        <v>++1000 additional HP and SP. ++X2 Spell Damage. +-Cannot be forged. +-Cannot be duplicateed.</v>
      </c>
      <c r="AG735" s="49" t="str">
        <f>IFERROR(__xludf.DUMMYFUNCTION("""COMPUTED_VALUE"""),"Land of Spira")</f>
        <v>Land of Spira</v>
      </c>
      <c r="AH735" s="49" t="b">
        <f>IFERROR(__xludf.DUMMYFUNCTION("""COMPUTED_VALUE"""),FALSE)</f>
        <v>0</v>
      </c>
    </row>
    <row r="736">
      <c r="A736" s="49" t="str">
        <f>IFERROR(__xludf.DUMMYFUNCTION("""COMPUTED_VALUE"""),"Wizard's Cloak")</f>
        <v>Wizard's Cloak</v>
      </c>
      <c r="B736" s="49" t="str">
        <f>IFERROR(__xludf.DUMMYFUNCTION("""COMPUTED_VALUE"""),"Torso")</f>
        <v>Torso</v>
      </c>
      <c r="C736" s="49"/>
      <c r="D736" s="49" t="str">
        <f>IFERROR(__xludf.DUMMYFUNCTION("""COMPUTED_VALUE"""),"Item")</f>
        <v>Item</v>
      </c>
      <c r="E736" s="49">
        <f>IFERROR(__xludf.DUMMYFUNCTION("""COMPUTED_VALUE"""),1.0)</f>
        <v>1</v>
      </c>
      <c r="F736" s="112">
        <f>IFERROR(__xludf.DUMMYFUNCTION("""COMPUTED_VALUE"""),0.0)</f>
        <v>0</v>
      </c>
      <c r="G736" s="49" t="str">
        <f>IFERROR(__xludf.DUMMYFUNCTION("""COMPUTED_VALUE"""),"DEF")</f>
        <v>DEF</v>
      </c>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c r="AE736" s="49"/>
      <c r="AF736" s="49" t="str">
        <f>IFERROR(__xludf.DUMMYFUNCTION("""COMPUTED_VALUE"""),"++1000 additional HP and SP. ++X2 Spell Damage. +-Cannot be forged. +-Cannot be duplicateed.")</f>
        <v>++1000 additional HP and SP. ++X2 Spell Damage. +-Cannot be forged. +-Cannot be duplicateed.</v>
      </c>
      <c r="AG736" s="49" t="str">
        <f>IFERROR(__xludf.DUMMYFUNCTION("""COMPUTED_VALUE"""),"Land of Spira")</f>
        <v>Land of Spira</v>
      </c>
      <c r="AH736" s="49" t="b">
        <f>IFERROR(__xludf.DUMMYFUNCTION("""COMPUTED_VALUE"""),FALSE)</f>
        <v>0</v>
      </c>
    </row>
    <row r="737">
      <c r="A737" s="49" t="str">
        <f>IFERROR(__xludf.DUMMYFUNCTION("""COMPUTED_VALUE"""),"Wizard's Shoes")</f>
        <v>Wizard's Shoes</v>
      </c>
      <c r="B737" s="49" t="str">
        <f>IFERROR(__xludf.DUMMYFUNCTION("""COMPUTED_VALUE"""),"Feet")</f>
        <v>Feet</v>
      </c>
      <c r="C737" s="49"/>
      <c r="D737" s="49" t="str">
        <f>IFERROR(__xludf.DUMMYFUNCTION("""COMPUTED_VALUE"""),"Item")</f>
        <v>Item</v>
      </c>
      <c r="E737" s="49">
        <f>IFERROR(__xludf.DUMMYFUNCTION("""COMPUTED_VALUE"""),1.0)</f>
        <v>1</v>
      </c>
      <c r="F737" s="112">
        <f>IFERROR(__xludf.DUMMYFUNCTION("""COMPUTED_VALUE"""),0.0)</f>
        <v>0</v>
      </c>
      <c r="G737" s="49" t="str">
        <f>IFERROR(__xludf.DUMMYFUNCTION("""COMPUTED_VALUE"""),"DEF")</f>
        <v>DEF</v>
      </c>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c r="AE737" s="49"/>
      <c r="AF737" s="49" t="str">
        <f>IFERROR(__xludf.DUMMYFUNCTION("""COMPUTED_VALUE"""),"++1000 additional HP and SP. ++X2 Spell Damage. +-Cannot be forged. +-Cannot be duplicateed.")</f>
        <v>++1000 additional HP and SP. ++X2 Spell Damage. +-Cannot be forged. +-Cannot be duplicateed.</v>
      </c>
      <c r="AG737" s="49" t="str">
        <f>IFERROR(__xludf.DUMMYFUNCTION("""COMPUTED_VALUE"""),"Land of Spira")</f>
        <v>Land of Spira</v>
      </c>
      <c r="AH737" s="49" t="b">
        <f>IFERROR(__xludf.DUMMYFUNCTION("""COMPUTED_VALUE"""),FALSE)</f>
        <v>0</v>
      </c>
    </row>
    <row r="738">
      <c r="A738" s="49" t="str">
        <f>IFERROR(__xludf.DUMMYFUNCTION("""COMPUTED_VALUE"""),"Gunslinger's Cap")</f>
        <v>Gunslinger's Cap</v>
      </c>
      <c r="B738" s="49" t="str">
        <f>IFERROR(__xludf.DUMMYFUNCTION("""COMPUTED_VALUE"""),"Head")</f>
        <v>Head</v>
      </c>
      <c r="C738" s="49"/>
      <c r="D738" s="49" t="str">
        <f>IFERROR(__xludf.DUMMYFUNCTION("""COMPUTED_VALUE"""),"Item")</f>
        <v>Item</v>
      </c>
      <c r="E738" s="49">
        <f>IFERROR(__xludf.DUMMYFUNCTION("""COMPUTED_VALUE"""),1.0)</f>
        <v>1</v>
      </c>
      <c r="F738" s="112">
        <f>IFERROR(__xludf.DUMMYFUNCTION("""COMPUTED_VALUE"""),0.0)</f>
        <v>0</v>
      </c>
      <c r="G738" s="49" t="str">
        <f>IFERROR(__xludf.DUMMYFUNCTION("""COMPUTED_VALUE"""),"DEF")</f>
        <v>DEF</v>
      </c>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c r="AE738" s="49"/>
      <c r="AF738" s="49" t="str">
        <f>IFERROR(__xludf.DUMMYFUNCTION("""COMPUTED_VALUE"""),"++10,000 ACC and ATK. ++2 Mobility +-Cannot be forged or duplicated")</f>
        <v>++10,000 ACC and ATK. ++2 Mobility +-Cannot be forged or duplicated</v>
      </c>
      <c r="AG738" s="49" t="str">
        <f>IFERROR(__xludf.DUMMYFUNCTION("""COMPUTED_VALUE"""),"Land of Spira")</f>
        <v>Land of Spira</v>
      </c>
      <c r="AH738" s="49" t="b">
        <f>IFERROR(__xludf.DUMMYFUNCTION("""COMPUTED_VALUE"""),FALSE)</f>
        <v>0</v>
      </c>
    </row>
    <row r="739">
      <c r="A739" s="49" t="str">
        <f>IFERROR(__xludf.DUMMYFUNCTION("""COMPUTED_VALUE"""),"Gunslinger's Shirt")</f>
        <v>Gunslinger's Shirt</v>
      </c>
      <c r="B739" s="49" t="str">
        <f>IFERROR(__xludf.DUMMYFUNCTION("""COMPUTED_VALUE"""),"Torso")</f>
        <v>Torso</v>
      </c>
      <c r="C739" s="49"/>
      <c r="D739" s="49" t="str">
        <f>IFERROR(__xludf.DUMMYFUNCTION("""COMPUTED_VALUE"""),"Item")</f>
        <v>Item</v>
      </c>
      <c r="E739" s="49">
        <f>IFERROR(__xludf.DUMMYFUNCTION("""COMPUTED_VALUE"""),1.0)</f>
        <v>1</v>
      </c>
      <c r="F739" s="112">
        <f>IFERROR(__xludf.DUMMYFUNCTION("""COMPUTED_VALUE"""),0.0)</f>
        <v>0</v>
      </c>
      <c r="G739" s="49" t="str">
        <f>IFERROR(__xludf.DUMMYFUNCTION("""COMPUTED_VALUE"""),"DEF")</f>
        <v>DEF</v>
      </c>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c r="AE739" s="49"/>
      <c r="AF739" s="49" t="str">
        <f>IFERROR(__xludf.DUMMYFUNCTION("""COMPUTED_VALUE"""),"++10,000 ACC and ATK. ++2 Mobility +-Cannot be forged or duplicated")</f>
        <v>++10,000 ACC and ATK. ++2 Mobility +-Cannot be forged or duplicated</v>
      </c>
      <c r="AG739" s="49" t="str">
        <f>IFERROR(__xludf.DUMMYFUNCTION("""COMPUTED_VALUE"""),"Land of Spira")</f>
        <v>Land of Spira</v>
      </c>
      <c r="AH739" s="49" t="b">
        <f>IFERROR(__xludf.DUMMYFUNCTION("""COMPUTED_VALUE"""),FALSE)</f>
        <v>0</v>
      </c>
    </row>
    <row r="740">
      <c r="A740" s="49" t="str">
        <f>IFERROR(__xludf.DUMMYFUNCTION("""COMPUTED_VALUE"""),"Gunslinger's Boots")</f>
        <v>Gunslinger's Boots</v>
      </c>
      <c r="B740" s="49" t="str">
        <f>IFERROR(__xludf.DUMMYFUNCTION("""COMPUTED_VALUE"""),"Feet")</f>
        <v>Feet</v>
      </c>
      <c r="C740" s="49"/>
      <c r="D740" s="49" t="str">
        <f>IFERROR(__xludf.DUMMYFUNCTION("""COMPUTED_VALUE"""),"Item")</f>
        <v>Item</v>
      </c>
      <c r="E740" s="49">
        <f>IFERROR(__xludf.DUMMYFUNCTION("""COMPUTED_VALUE"""),1.0)</f>
        <v>1</v>
      </c>
      <c r="F740" s="112">
        <f>IFERROR(__xludf.DUMMYFUNCTION("""COMPUTED_VALUE"""),0.0)</f>
        <v>0</v>
      </c>
      <c r="G740" s="49" t="str">
        <f>IFERROR(__xludf.DUMMYFUNCTION("""COMPUTED_VALUE"""),"DEF")</f>
        <v>DEF</v>
      </c>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c r="AE740" s="49"/>
      <c r="AF740" s="49" t="str">
        <f>IFERROR(__xludf.DUMMYFUNCTION("""COMPUTED_VALUE"""),"++10,000 ACC and ATK. ++1 Mobility +-Cannot be forged or duplicated")</f>
        <v>++10,000 ACC and ATK. ++1 Mobility +-Cannot be forged or duplicated</v>
      </c>
      <c r="AG740" s="49" t="str">
        <f>IFERROR(__xludf.DUMMYFUNCTION("""COMPUTED_VALUE"""),"Land of Spira")</f>
        <v>Land of Spira</v>
      </c>
      <c r="AH740" s="49" t="b">
        <f>IFERROR(__xludf.DUMMYFUNCTION("""COMPUTED_VALUE"""),FALSE)</f>
        <v>0</v>
      </c>
    </row>
    <row r="741">
      <c r="A741" s="49" t="str">
        <f>IFERROR(__xludf.DUMMYFUNCTION("""COMPUTED_VALUE"""),"Bard's Coif")</f>
        <v>Bard's Coif</v>
      </c>
      <c r="B741" s="49" t="str">
        <f>IFERROR(__xludf.DUMMYFUNCTION("""COMPUTED_VALUE"""),"Head")</f>
        <v>Head</v>
      </c>
      <c r="C741" s="49"/>
      <c r="D741" s="49" t="str">
        <f>IFERROR(__xludf.DUMMYFUNCTION("""COMPUTED_VALUE"""),"Item")</f>
        <v>Item</v>
      </c>
      <c r="E741" s="49">
        <f>IFERROR(__xludf.DUMMYFUNCTION("""COMPUTED_VALUE"""),1.0)</f>
        <v>1</v>
      </c>
      <c r="F741" s="112">
        <f>IFERROR(__xludf.DUMMYFUNCTION("""COMPUTED_VALUE"""),0.0)</f>
        <v>0</v>
      </c>
      <c r="G741" s="49" t="str">
        <f>IFERROR(__xludf.DUMMYFUNCTION("""COMPUTED_VALUE"""),"DEF")</f>
        <v>DEF</v>
      </c>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c r="AE741" s="49"/>
      <c r="AF741" s="49" t="str">
        <f>IFERROR(__xludf.DUMMYFUNCTION("""COMPUTED_VALUE"""),"++10,000 ACC and ATK. ++2 Charisma +-Cannot be forged or duplicated")</f>
        <v>++10,000 ACC and ATK. ++2 Charisma +-Cannot be forged or duplicated</v>
      </c>
      <c r="AG741" s="49" t="str">
        <f>IFERROR(__xludf.DUMMYFUNCTION("""COMPUTED_VALUE"""),"Land of Spira")</f>
        <v>Land of Spira</v>
      </c>
      <c r="AH741" s="49" t="b">
        <f>IFERROR(__xludf.DUMMYFUNCTION("""COMPUTED_VALUE"""),FALSE)</f>
        <v>0</v>
      </c>
    </row>
    <row r="742">
      <c r="A742" s="49" t="str">
        <f>IFERROR(__xludf.DUMMYFUNCTION("""COMPUTED_VALUE"""),"Bard's Gambeson")</f>
        <v>Bard's Gambeson</v>
      </c>
      <c r="B742" s="49" t="str">
        <f>IFERROR(__xludf.DUMMYFUNCTION("""COMPUTED_VALUE"""),"Torso")</f>
        <v>Torso</v>
      </c>
      <c r="C742" s="49"/>
      <c r="D742" s="49" t="str">
        <f>IFERROR(__xludf.DUMMYFUNCTION("""COMPUTED_VALUE"""),"Item")</f>
        <v>Item</v>
      </c>
      <c r="E742" s="49">
        <f>IFERROR(__xludf.DUMMYFUNCTION("""COMPUTED_VALUE"""),1.0)</f>
        <v>1</v>
      </c>
      <c r="F742" s="112">
        <f>IFERROR(__xludf.DUMMYFUNCTION("""COMPUTED_VALUE"""),0.0)</f>
        <v>0</v>
      </c>
      <c r="G742" s="49" t="str">
        <f>IFERROR(__xludf.DUMMYFUNCTION("""COMPUTED_VALUE"""),"DEF")</f>
        <v>DEF</v>
      </c>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c r="AE742" s="49"/>
      <c r="AF742" s="49" t="str">
        <f>IFERROR(__xludf.DUMMYFUNCTION("""COMPUTED_VALUE"""),"++10,000 ACC and ATK. ++2 Charisma +-Cannot be forged or duplicated")</f>
        <v>++10,000 ACC and ATK. ++2 Charisma +-Cannot be forged or duplicated</v>
      </c>
      <c r="AG742" s="49" t="str">
        <f>IFERROR(__xludf.DUMMYFUNCTION("""COMPUTED_VALUE"""),"Land of Spira")</f>
        <v>Land of Spira</v>
      </c>
      <c r="AH742" s="49" t="b">
        <f>IFERROR(__xludf.DUMMYFUNCTION("""COMPUTED_VALUE"""),FALSE)</f>
        <v>0</v>
      </c>
    </row>
    <row r="743">
      <c r="A743" s="49" t="str">
        <f>IFERROR(__xludf.DUMMYFUNCTION("""COMPUTED_VALUE"""),"Bard's Shoes")</f>
        <v>Bard's Shoes</v>
      </c>
      <c r="B743" s="49" t="str">
        <f>IFERROR(__xludf.DUMMYFUNCTION("""COMPUTED_VALUE"""),"Feet")</f>
        <v>Feet</v>
      </c>
      <c r="C743" s="49"/>
      <c r="D743" s="49" t="str">
        <f>IFERROR(__xludf.DUMMYFUNCTION("""COMPUTED_VALUE"""),"Item")</f>
        <v>Item</v>
      </c>
      <c r="E743" s="49">
        <f>IFERROR(__xludf.DUMMYFUNCTION("""COMPUTED_VALUE"""),1.0)</f>
        <v>1</v>
      </c>
      <c r="F743" s="112">
        <f>IFERROR(__xludf.DUMMYFUNCTION("""COMPUTED_VALUE"""),0.0)</f>
        <v>0</v>
      </c>
      <c r="G743" s="49" t="str">
        <f>IFERROR(__xludf.DUMMYFUNCTION("""COMPUTED_VALUE"""),"DEF")</f>
        <v>DEF</v>
      </c>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c r="AE743" s="49"/>
      <c r="AF743" s="49" t="str">
        <f>IFERROR(__xludf.DUMMYFUNCTION("""COMPUTED_VALUE"""),"++10,000 ACC and ATK. ++1 Charisma +-Cannot be forged or duplicated")</f>
        <v>++10,000 ACC and ATK. ++1 Charisma +-Cannot be forged or duplicated</v>
      </c>
      <c r="AG743" s="49" t="str">
        <f>IFERROR(__xludf.DUMMYFUNCTION("""COMPUTED_VALUE"""),"Land of Spira")</f>
        <v>Land of Spira</v>
      </c>
      <c r="AH743" s="49" t="b">
        <f>IFERROR(__xludf.DUMMYFUNCTION("""COMPUTED_VALUE"""),FALSE)</f>
        <v>0</v>
      </c>
    </row>
    <row r="744">
      <c r="A744" s="49" t="str">
        <f>IFERROR(__xludf.DUMMYFUNCTION("""COMPUTED_VALUE"""),"Dragonscale Skirt")</f>
        <v>Dragonscale Skirt</v>
      </c>
      <c r="B744" s="49" t="str">
        <f>IFERROR(__xludf.DUMMYFUNCTION("""COMPUTED_VALUE"""),"Legs")</f>
        <v>Legs</v>
      </c>
      <c r="C744" s="49"/>
      <c r="D744" s="49" t="str">
        <f>IFERROR(__xludf.DUMMYFUNCTION("""COMPUTED_VALUE"""),"Item")</f>
        <v>Item</v>
      </c>
      <c r="E744" s="49">
        <f>IFERROR(__xludf.DUMMYFUNCTION("""COMPUTED_VALUE"""),1.0)</f>
        <v>1</v>
      </c>
      <c r="F744" s="112">
        <f>IFERROR(__xludf.DUMMYFUNCTION("""COMPUTED_VALUE"""),0.0)</f>
        <v>0</v>
      </c>
      <c r="G744" s="49" t="str">
        <f>IFERROR(__xludf.DUMMYFUNCTION("""COMPUTED_VALUE"""),"DEF")</f>
        <v>DEF</v>
      </c>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c r="AE744" s="49"/>
      <c r="AF744" s="49" t="str">
        <f>IFERROR(__xludf.DUMMYFUNCTION("""COMPUTED_VALUE"""),"++7,000 additional HP and SP, ++2 Mobility +-Cannot be forged or duplicated")</f>
        <v>++7,000 additional HP and SP, ++2 Mobility +-Cannot be forged or duplicated</v>
      </c>
      <c r="AG744" s="49" t="str">
        <f>IFERROR(__xludf.DUMMYFUNCTION("""COMPUTED_VALUE"""),"Dragonscale Island")</f>
        <v>Dragonscale Island</v>
      </c>
      <c r="AH744" s="49" t="b">
        <f>IFERROR(__xludf.DUMMYFUNCTION("""COMPUTED_VALUE"""),FALSE)</f>
        <v>0</v>
      </c>
    </row>
    <row r="745">
      <c r="A745" s="49" t="str">
        <f>IFERROR(__xludf.DUMMYFUNCTION("""COMPUTED_VALUE"""),"Dragonscale Cape")</f>
        <v>Dragonscale Cape</v>
      </c>
      <c r="B745" s="49" t="str">
        <f>IFERROR(__xludf.DUMMYFUNCTION("""COMPUTED_VALUE"""),"Shoulders")</f>
        <v>Shoulders</v>
      </c>
      <c r="C745" s="49"/>
      <c r="D745" s="49" t="str">
        <f>IFERROR(__xludf.DUMMYFUNCTION("""COMPUTED_VALUE"""),"Item")</f>
        <v>Item</v>
      </c>
      <c r="E745" s="49">
        <f>IFERROR(__xludf.DUMMYFUNCTION("""COMPUTED_VALUE"""),1.0)</f>
        <v>1</v>
      </c>
      <c r="F745" s="112">
        <f>IFERROR(__xludf.DUMMYFUNCTION("""COMPUTED_VALUE"""),0.0)</f>
        <v>0</v>
      </c>
      <c r="G745" s="49" t="str">
        <f>IFERROR(__xludf.DUMMYFUNCTION("""COMPUTED_VALUE"""),"DEF")</f>
        <v>DEF</v>
      </c>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c r="AE745" s="49"/>
      <c r="AF745" s="49" t="str">
        <f>IFERROR(__xludf.DUMMYFUNCTION("""COMPUTED_VALUE"""),"++8,300 additional HP and SP, +-Cannot be forged or duplicated")</f>
        <v>++8,300 additional HP and SP, +-Cannot be forged or duplicated</v>
      </c>
      <c r="AG745" s="49" t="str">
        <f>IFERROR(__xludf.DUMMYFUNCTION("""COMPUTED_VALUE"""),"Dragonscale Island")</f>
        <v>Dragonscale Island</v>
      </c>
      <c r="AH745" s="49" t="b">
        <f>IFERROR(__xludf.DUMMYFUNCTION("""COMPUTED_VALUE"""),FALSE)</f>
        <v>0</v>
      </c>
    </row>
    <row r="746">
      <c r="A746" s="49" t="str">
        <f>IFERROR(__xludf.DUMMYFUNCTION("""COMPUTED_VALUE"""),"Broken Dragonscale Mail")</f>
        <v>Broken Dragonscale Mail</v>
      </c>
      <c r="B746" s="49" t="str">
        <f>IFERROR(__xludf.DUMMYFUNCTION("""COMPUTED_VALUE"""),"Torso")</f>
        <v>Torso</v>
      </c>
      <c r="C746" s="49"/>
      <c r="D746" s="49" t="str">
        <f>IFERROR(__xludf.DUMMYFUNCTION("""COMPUTED_VALUE"""),"Item")</f>
        <v>Item</v>
      </c>
      <c r="E746" s="49">
        <f>IFERROR(__xludf.DUMMYFUNCTION("""COMPUTED_VALUE"""),980.0)</f>
        <v>980</v>
      </c>
      <c r="F746" s="112">
        <f>IFERROR(__xludf.DUMMYFUNCTION("""COMPUTED_VALUE"""),4.656E7)</f>
        <v>46560000</v>
      </c>
      <c r="G746" s="49" t="str">
        <f>IFERROR(__xludf.DUMMYFUNCTION("""COMPUTED_VALUE"""),"DEF")</f>
        <v>DEF</v>
      </c>
      <c r="H746" s="125">
        <f>IFERROR(__xludf.DUMMYFUNCTION("""COMPUTED_VALUE"""),48900.0)</f>
        <v>48900</v>
      </c>
      <c r="I746" s="49"/>
      <c r="J746" s="49"/>
      <c r="K746" s="49"/>
      <c r="L746" s="49"/>
      <c r="M746" s="49"/>
      <c r="N746" s="49"/>
      <c r="O746" s="49"/>
      <c r="P746" s="49"/>
      <c r="Q746" s="49"/>
      <c r="R746" s="49"/>
      <c r="S746" s="49"/>
      <c r="T746" s="49"/>
      <c r="U746" s="49"/>
      <c r="V746" s="49"/>
      <c r="W746" s="49"/>
      <c r="X746" s="49"/>
      <c r="Y746" s="49"/>
      <c r="Z746" s="49"/>
      <c r="AA746" s="49"/>
      <c r="AB746" s="49"/>
      <c r="AC746" s="49"/>
      <c r="AD746" s="49"/>
      <c r="AE746" s="49"/>
      <c r="AF746" s="49" t="str">
        <f>IFERROR(__xludf.DUMMYFUNCTION("""COMPUTED_VALUE"""),"+-5% chance of breaking when wearer is attacked")</f>
        <v>+-5% chance of breaking when wearer is attacked</v>
      </c>
      <c r="AG746" s="49" t="str">
        <f>IFERROR(__xludf.DUMMYFUNCTION("""COMPUTED_VALUE"""),"Land of Spira")</f>
        <v>Land of Spira</v>
      </c>
      <c r="AH746" s="49" t="b">
        <f>IFERROR(__xludf.DUMMYFUNCTION("""COMPUTED_VALUE"""),FALSE)</f>
        <v>0</v>
      </c>
    </row>
    <row r="747">
      <c r="A747" s="49" t="str">
        <f>IFERROR(__xludf.DUMMYFUNCTION("""COMPUTED_VALUE"""),"Dragonscale Mail")</f>
        <v>Dragonscale Mail</v>
      </c>
      <c r="B747" s="49" t="str">
        <f>IFERROR(__xludf.DUMMYFUNCTION("""COMPUTED_VALUE"""),"Torso")</f>
        <v>Torso</v>
      </c>
      <c r="C747" s="49"/>
      <c r="D747" s="49" t="str">
        <f>IFERROR(__xludf.DUMMYFUNCTION("""COMPUTED_VALUE"""),"Item")</f>
        <v>Item</v>
      </c>
      <c r="E747" s="49">
        <f>IFERROR(__xludf.DUMMYFUNCTION("""COMPUTED_VALUE"""),3000.0)</f>
        <v>3000</v>
      </c>
      <c r="F747" s="112">
        <f>IFERROR(__xludf.DUMMYFUNCTION("""COMPUTED_VALUE"""),4.485E8)</f>
        <v>448500000</v>
      </c>
      <c r="G747" s="49" t="str">
        <f>IFERROR(__xludf.DUMMYFUNCTION("""COMPUTED_VALUE"""),"DEF")</f>
        <v>DEF</v>
      </c>
      <c r="H747" s="49">
        <f>IFERROR(__xludf.DUMMYFUNCTION("""COMPUTED_VALUE"""),150000.0)</f>
        <v>150000</v>
      </c>
      <c r="I747" s="49"/>
      <c r="J747" s="49"/>
      <c r="K747" s="49"/>
      <c r="L747" s="49"/>
      <c r="M747" s="49"/>
      <c r="N747" s="49"/>
      <c r="O747" s="49"/>
      <c r="P747" s="49"/>
      <c r="Q747" s="49"/>
      <c r="R747" s="49"/>
      <c r="S747" s="49"/>
      <c r="T747" s="49"/>
      <c r="U747" s="49"/>
      <c r="V747" s="49"/>
      <c r="W747" s="49"/>
      <c r="X747" s="49"/>
      <c r="Y747" s="49"/>
      <c r="Z747" s="49"/>
      <c r="AA747" s="49"/>
      <c r="AB747" s="49"/>
      <c r="AC747" s="49"/>
      <c r="AD747" s="49"/>
      <c r="AE747" s="49"/>
      <c r="AF747" s="49"/>
      <c r="AG747" s="49" t="str">
        <f>IFERROR(__xludf.DUMMYFUNCTION("""COMPUTED_VALUE"""),"Dragonscale Island")</f>
        <v>Dragonscale Island</v>
      </c>
      <c r="AH747" s="49" t="b">
        <f>IFERROR(__xludf.DUMMYFUNCTION("""COMPUTED_VALUE"""),FALSE)</f>
        <v>0</v>
      </c>
    </row>
    <row r="748">
      <c r="A748" s="49" t="str">
        <f>IFERROR(__xludf.DUMMYFUNCTION("""COMPUTED_VALUE"""),"Dragonscale Charm")</f>
        <v>Dragonscale Charm</v>
      </c>
      <c r="B748" s="49" t="str">
        <f>IFERROR(__xludf.DUMMYFUNCTION("""COMPUTED_VALUE"""),"Neck")</f>
        <v>Neck</v>
      </c>
      <c r="C748" s="49"/>
      <c r="D748" s="49" t="str">
        <f>IFERROR(__xludf.DUMMYFUNCTION("""COMPUTED_VALUE"""),"Item")</f>
        <v>Item</v>
      </c>
      <c r="E748" s="49">
        <f>IFERROR(__xludf.DUMMYFUNCTION("""COMPUTED_VALUE"""),1.0)</f>
        <v>1</v>
      </c>
      <c r="F748" s="112">
        <f>IFERROR(__xludf.DUMMYFUNCTION("""COMPUTED_VALUE"""),0.0)</f>
        <v>0</v>
      </c>
      <c r="G748" s="49" t="str">
        <f>IFERROR(__xludf.DUMMYFUNCTION("""COMPUTED_VALUE"""),"DEF")</f>
        <v>DEF</v>
      </c>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c r="AE748" s="49"/>
      <c r="AF748" s="49" t="str">
        <f>IFERROR(__xludf.DUMMYFUNCTION("""COMPUTED_VALUE"""),"++1000 additional HP and SP for every piece of Dragonscale equipment equipped +-Cannot be forged or duplicated")</f>
        <v>++1000 additional HP and SP for every piece of Dragonscale equipment equipped +-Cannot be forged or duplicated</v>
      </c>
      <c r="AG748" s="49" t="str">
        <f>IFERROR(__xludf.DUMMYFUNCTION("""COMPUTED_VALUE"""),"Dragonscale Island")</f>
        <v>Dragonscale Island</v>
      </c>
      <c r="AH748" s="49" t="b">
        <f>IFERROR(__xludf.DUMMYFUNCTION("""COMPUTED_VALUE"""),FALSE)</f>
        <v>0</v>
      </c>
    </row>
    <row r="749">
      <c r="A749" s="49" t="str">
        <f>IFERROR(__xludf.DUMMYFUNCTION("""COMPUTED_VALUE"""),"Dragonscale Sandals")</f>
        <v>Dragonscale Sandals</v>
      </c>
      <c r="B749" s="49" t="str">
        <f>IFERROR(__xludf.DUMMYFUNCTION("""COMPUTED_VALUE"""),"Feet")</f>
        <v>Feet</v>
      </c>
      <c r="C749" s="49"/>
      <c r="D749" s="49" t="str">
        <f>IFERROR(__xludf.DUMMYFUNCTION("""COMPUTED_VALUE"""),"Item")</f>
        <v>Item</v>
      </c>
      <c r="E749" s="49">
        <f>IFERROR(__xludf.DUMMYFUNCTION("""COMPUTED_VALUE"""),1.0)</f>
        <v>1</v>
      </c>
      <c r="F749" s="112">
        <f>IFERROR(__xludf.DUMMYFUNCTION("""COMPUTED_VALUE"""),0.0)</f>
        <v>0</v>
      </c>
      <c r="G749" s="49" t="str">
        <f>IFERROR(__xludf.DUMMYFUNCTION("""COMPUTED_VALUE"""),"DEF")</f>
        <v>DEF</v>
      </c>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c r="AE749" s="49"/>
      <c r="AF749" s="49" t="str">
        <f>IFERROR(__xludf.DUMMYFUNCTION("""COMPUTED_VALUE"""),"++2 Mobility +-Cannot be forged or duplicated")</f>
        <v>++2 Mobility +-Cannot be forged or duplicated</v>
      </c>
      <c r="AG749" s="49" t="str">
        <f>IFERROR(__xludf.DUMMYFUNCTION("""COMPUTED_VALUE"""),"Dragonscale Island")</f>
        <v>Dragonscale Island</v>
      </c>
      <c r="AH749" s="49" t="b">
        <f>IFERROR(__xludf.DUMMYFUNCTION("""COMPUTED_VALUE"""),FALSE)</f>
        <v>0</v>
      </c>
    </row>
    <row r="750">
      <c r="A750" s="49" t="str">
        <f>IFERROR(__xludf.DUMMYFUNCTION("""COMPUTED_VALUE"""),"Dragonscale Talisman")</f>
        <v>Dragonscale Talisman</v>
      </c>
      <c r="B750" s="49" t="str">
        <f>IFERROR(__xludf.DUMMYFUNCTION("""COMPUTED_VALUE"""),"Neck")</f>
        <v>Neck</v>
      </c>
      <c r="C750" s="49"/>
      <c r="D750" s="49" t="str">
        <f>IFERROR(__xludf.DUMMYFUNCTION("""COMPUTED_VALUE"""),"Item")</f>
        <v>Item</v>
      </c>
      <c r="E750" s="49">
        <f>IFERROR(__xludf.DUMMYFUNCTION("""COMPUTED_VALUE"""),1.0)</f>
        <v>1</v>
      </c>
      <c r="F750" s="112">
        <f>IFERROR(__xludf.DUMMYFUNCTION("""COMPUTED_VALUE"""),0.0)</f>
        <v>0</v>
      </c>
      <c r="G750" s="49" t="str">
        <f>IFERROR(__xludf.DUMMYFUNCTION("""COMPUTED_VALUE"""),"DEF")</f>
        <v>DEF</v>
      </c>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c r="AE750" s="49"/>
      <c r="AF750" s="49" t="str">
        <f>IFERROR(__xludf.DUMMYFUNCTION("""COMPUTED_VALUE"""),"++10000 additional HP and SP, +-Cannot be forged or duplicated")</f>
        <v>++10000 additional HP and SP, +-Cannot be forged or duplicated</v>
      </c>
      <c r="AG750" s="49" t="str">
        <f>IFERROR(__xludf.DUMMYFUNCTION("""COMPUTED_VALUE"""),"Dragonscale Island")</f>
        <v>Dragonscale Island</v>
      </c>
      <c r="AH750" s="49" t="b">
        <f>IFERROR(__xludf.DUMMYFUNCTION("""COMPUTED_VALUE"""),FALSE)</f>
        <v>0</v>
      </c>
    </row>
    <row r="751">
      <c r="A751" s="49" t="str">
        <f>IFERROR(__xludf.DUMMYFUNCTION("""COMPUTED_VALUE"""),"Dragonscale Water Ring")</f>
        <v>Dragonscale Water Ring</v>
      </c>
      <c r="B751" s="49" t="str">
        <f>IFERROR(__xludf.DUMMYFUNCTION("""COMPUTED_VALUE"""),"Finger")</f>
        <v>Finger</v>
      </c>
      <c r="C751" s="49"/>
      <c r="D751" s="49" t="str">
        <f>IFERROR(__xludf.DUMMYFUNCTION("""COMPUTED_VALUE"""),"Item")</f>
        <v>Item</v>
      </c>
      <c r="E751" s="49">
        <f>IFERROR(__xludf.DUMMYFUNCTION("""COMPUTED_VALUE"""),1.0)</f>
        <v>1</v>
      </c>
      <c r="F751" s="112">
        <f>IFERROR(__xludf.DUMMYFUNCTION("""COMPUTED_VALUE"""),0.0)</f>
        <v>0</v>
      </c>
      <c r="G751" s="49" t="str">
        <f>IFERROR(__xludf.DUMMYFUNCTION("""COMPUTED_VALUE"""),"DEF")</f>
        <v>DEF</v>
      </c>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c r="AE751" s="49"/>
      <c r="AF751" s="49" t="str">
        <f>IFERROR(__xludf.DUMMYFUNCTION("""COMPUTED_VALUE"""),"++Converts all Natural damage to Water damage +-Cannot be duplicated")</f>
        <v>++Converts all Natural damage to Water damage +-Cannot be duplicated</v>
      </c>
      <c r="AG751" s="49" t="str">
        <f>IFERROR(__xludf.DUMMYFUNCTION("""COMPUTED_VALUE"""),"Dragonscale Island")</f>
        <v>Dragonscale Island</v>
      </c>
      <c r="AH751" s="49" t="b">
        <f>IFERROR(__xludf.DUMMYFUNCTION("""COMPUTED_VALUE"""),FALSE)</f>
        <v>0</v>
      </c>
    </row>
    <row r="752">
      <c r="A752" s="49" t="str">
        <f>IFERROR(__xludf.DUMMYFUNCTION("""COMPUTED_VALUE"""),"Dragonscale Gauntlets")</f>
        <v>Dragonscale Gauntlets</v>
      </c>
      <c r="B752" s="49" t="str">
        <f>IFERROR(__xludf.DUMMYFUNCTION("""COMPUTED_VALUE"""),"Hand")</f>
        <v>Hand</v>
      </c>
      <c r="C752" s="49"/>
      <c r="D752" s="49" t="str">
        <f>IFERROR(__xludf.DUMMYFUNCTION("""COMPUTED_VALUE"""),"Gauntlet")</f>
        <v>Gauntlet</v>
      </c>
      <c r="E752" s="49">
        <f>IFERROR(__xludf.DUMMYFUNCTION("""COMPUTED_VALUE"""),2000.0)</f>
        <v>2000</v>
      </c>
      <c r="F752" s="112">
        <f>IFERROR(__xludf.DUMMYFUNCTION("""COMPUTED_VALUE"""),1.99E8)</f>
        <v>199000000</v>
      </c>
      <c r="G752" s="49" t="str">
        <f>IFERROR(__xludf.DUMMYFUNCTION("""COMPUTED_VALUE"""),"DEF")</f>
        <v>DEF</v>
      </c>
      <c r="H752" s="49">
        <f>IFERROR(__xludf.DUMMYFUNCTION("""COMPUTED_VALUE"""),100000.0)</f>
        <v>100000</v>
      </c>
      <c r="I752" s="49"/>
      <c r="J752" s="49"/>
      <c r="K752" s="49"/>
      <c r="L752" s="49"/>
      <c r="M752" s="49"/>
      <c r="N752" s="49"/>
      <c r="O752" s="49"/>
      <c r="P752" s="49"/>
      <c r="Q752" s="49"/>
      <c r="R752" s="49"/>
      <c r="S752" s="49"/>
      <c r="T752" s="49"/>
      <c r="U752" s="49"/>
      <c r="V752" s="49"/>
      <c r="W752" s="49"/>
      <c r="X752" s="49"/>
      <c r="Y752" s="49"/>
      <c r="Z752" s="49"/>
      <c r="AA752" s="49"/>
      <c r="AB752" s="49"/>
      <c r="AC752" s="49"/>
      <c r="AD752" s="49"/>
      <c r="AE752" s="49"/>
      <c r="AF752" s="49"/>
      <c r="AG752" s="49" t="str">
        <f>IFERROR(__xludf.DUMMYFUNCTION("""COMPUTED_VALUE"""),"Dragonscale Island")</f>
        <v>Dragonscale Island</v>
      </c>
      <c r="AH752" s="49" t="b">
        <f>IFERROR(__xludf.DUMMYFUNCTION("""COMPUTED_VALUE"""),FALSE)</f>
        <v>0</v>
      </c>
    </row>
    <row r="753">
      <c r="A753" s="49" t="str">
        <f>IFERROR(__xludf.DUMMYFUNCTION("""COMPUTED_VALUE"""),"Fire Dragonscale Bow")</f>
        <v>Fire Dragonscale Bow</v>
      </c>
      <c r="B753" s="49" t="str">
        <f>IFERROR(__xludf.DUMMYFUNCTION("""COMPUTED_VALUE"""),"Hand")</f>
        <v>Hand</v>
      </c>
      <c r="C753" s="49"/>
      <c r="D753" s="49" t="str">
        <f>IFERROR(__xludf.DUMMYFUNCTION("""COMPUTED_VALUE"""),"Bow")</f>
        <v>Bow</v>
      </c>
      <c r="E753" s="49">
        <f>IFERROR(__xludf.DUMMYFUNCTION("""COMPUTED_VALUE"""),3000.0)</f>
        <v>3000</v>
      </c>
      <c r="F753" s="112">
        <f>IFERROR(__xludf.DUMMYFUNCTION("""COMPUTED_VALUE"""),4.485E8)</f>
        <v>448500000</v>
      </c>
      <c r="G753" s="49" t="str">
        <f>IFERROR(__xludf.DUMMYFUNCTION("""COMPUTED_VALUE"""),"DMG")</f>
        <v>DMG</v>
      </c>
      <c r="H753" s="49">
        <f>IFERROR(__xludf.DUMMYFUNCTION("""COMPUTED_VALUE"""),20000.0)</f>
        <v>20000</v>
      </c>
      <c r="I753" s="49">
        <f>IFERROR(__xludf.DUMMYFUNCTION("""COMPUTED_VALUE"""),130000.0)</f>
        <v>130000</v>
      </c>
      <c r="J753" s="49"/>
      <c r="K753" s="49"/>
      <c r="L753" s="49"/>
      <c r="M753" s="49"/>
      <c r="N753" s="49"/>
      <c r="O753" s="49"/>
      <c r="P753" s="49"/>
      <c r="Q753" s="49"/>
      <c r="R753" s="49"/>
      <c r="S753" s="49"/>
      <c r="T753" s="49"/>
      <c r="U753" s="49"/>
      <c r="V753" s="49"/>
      <c r="W753" s="49"/>
      <c r="X753" s="49"/>
      <c r="Y753" s="49"/>
      <c r="Z753" s="49"/>
      <c r="AA753" s="49"/>
      <c r="AB753" s="49"/>
      <c r="AC753" s="49"/>
      <c r="AD753" s="49"/>
      <c r="AE753" s="49"/>
      <c r="AF753" s="49"/>
      <c r="AG753" s="49" t="str">
        <f>IFERROR(__xludf.DUMMYFUNCTION("""COMPUTED_VALUE"""),"Dragonscale Island")</f>
        <v>Dragonscale Island</v>
      </c>
      <c r="AH753" s="49" t="b">
        <f>IFERROR(__xludf.DUMMYFUNCTION("""COMPUTED_VALUE"""),FALSE)</f>
        <v>0</v>
      </c>
    </row>
    <row r="754">
      <c r="A754" s="49" t="str">
        <f>IFERROR(__xludf.DUMMYFUNCTION("""COMPUTED_VALUE"""),"Storm Dragonscale Flail")</f>
        <v>Storm Dragonscale Flail</v>
      </c>
      <c r="B754" s="49" t="str">
        <f>IFERROR(__xludf.DUMMYFUNCTION("""COMPUTED_VALUE"""),"Hand")</f>
        <v>Hand</v>
      </c>
      <c r="C754" s="49"/>
      <c r="D754" s="49" t="str">
        <f>IFERROR(__xludf.DUMMYFUNCTION("""COMPUTED_VALUE"""),"Club")</f>
        <v>Club</v>
      </c>
      <c r="E754" s="49">
        <f>IFERROR(__xludf.DUMMYFUNCTION("""COMPUTED_VALUE"""),2400.0)</f>
        <v>2400</v>
      </c>
      <c r="F754" s="112">
        <f>IFERROR(__xludf.DUMMYFUNCTION("""COMPUTED_VALUE"""),2.868E8)</f>
        <v>286800000</v>
      </c>
      <c r="G754" s="49" t="str">
        <f>IFERROR(__xludf.DUMMYFUNCTION("""COMPUTED_VALUE"""),"DMG")</f>
        <v>DMG</v>
      </c>
      <c r="H754" s="49">
        <f>IFERROR(__xludf.DUMMYFUNCTION("""COMPUTED_VALUE"""),20000.0)</f>
        <v>20000</v>
      </c>
      <c r="I754" s="49"/>
      <c r="J754" s="49"/>
      <c r="K754" s="49"/>
      <c r="L754" s="49">
        <f>IFERROR(__xludf.DUMMYFUNCTION("""COMPUTED_VALUE"""),100000.0)</f>
        <v>100000</v>
      </c>
      <c r="M754" s="49"/>
      <c r="N754" s="49"/>
      <c r="O754" s="49"/>
      <c r="P754" s="49"/>
      <c r="Q754" s="49"/>
      <c r="R754" s="49"/>
      <c r="S754" s="49"/>
      <c r="T754" s="49"/>
      <c r="U754" s="49"/>
      <c r="V754" s="49"/>
      <c r="W754" s="49"/>
      <c r="X754" s="49"/>
      <c r="Y754" s="49"/>
      <c r="Z754" s="49"/>
      <c r="AA754" s="49"/>
      <c r="AB754" s="49"/>
      <c r="AC754" s="49"/>
      <c r="AD754" s="49"/>
      <c r="AE754" s="49"/>
      <c r="AF754" s="49"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49" t="str">
        <f>IFERROR(__xludf.DUMMYFUNCTION("""COMPUTED_VALUE"""),"Dragonscale Island")</f>
        <v>Dragonscale Island</v>
      </c>
      <c r="AH754" s="49" t="b">
        <f>IFERROR(__xludf.DUMMYFUNCTION("""COMPUTED_VALUE"""),FALSE)</f>
        <v>0</v>
      </c>
    </row>
    <row r="755">
      <c r="A755" s="49" t="str">
        <f>IFERROR(__xludf.DUMMYFUNCTION("""COMPUTED_VALUE"""),"Dragonscale Spear")</f>
        <v>Dragonscale Spear</v>
      </c>
      <c r="B755" s="49" t="str">
        <f>IFERROR(__xludf.DUMMYFUNCTION("""COMPUTED_VALUE"""),"Hand")</f>
        <v>Hand</v>
      </c>
      <c r="C755" s="49"/>
      <c r="D755" s="49" t="str">
        <f>IFERROR(__xludf.DUMMYFUNCTION("""COMPUTED_VALUE"""),"Spear")</f>
        <v>Spear</v>
      </c>
      <c r="E755" s="49">
        <f>IFERROR(__xludf.DUMMYFUNCTION("""COMPUTED_VALUE"""),2800.0)</f>
        <v>2800</v>
      </c>
      <c r="F755" s="112">
        <f>IFERROR(__xludf.DUMMYFUNCTION("""COMPUTED_VALUE"""),3.906E8)</f>
        <v>390600000</v>
      </c>
      <c r="G755" s="49" t="str">
        <f>IFERROR(__xludf.DUMMYFUNCTION("""COMPUTED_VALUE"""),"DMG")</f>
        <v>DMG</v>
      </c>
      <c r="H755" s="49">
        <f>IFERROR(__xludf.DUMMYFUNCTION("""COMPUTED_VALUE"""),140000.0)</f>
        <v>140000</v>
      </c>
      <c r="I755" s="49"/>
      <c r="J755" s="49"/>
      <c r="K755" s="49"/>
      <c r="L755" s="49"/>
      <c r="M755" s="49"/>
      <c r="N755" s="49"/>
      <c r="O755" s="49"/>
      <c r="P755" s="49"/>
      <c r="Q755" s="49"/>
      <c r="R755" s="49"/>
      <c r="S755" s="49"/>
      <c r="T755" s="49"/>
      <c r="U755" s="49"/>
      <c r="V755" s="49"/>
      <c r="W755" s="49"/>
      <c r="X755" s="49"/>
      <c r="Y755" s="49"/>
      <c r="Z755" s="49"/>
      <c r="AA755" s="49"/>
      <c r="AB755" s="49"/>
      <c r="AC755" s="49"/>
      <c r="AD755" s="49"/>
      <c r="AE755" s="49"/>
      <c r="AF755" s="49"/>
      <c r="AG755" s="49" t="str">
        <f>IFERROR(__xludf.DUMMYFUNCTION("""COMPUTED_VALUE"""),"Dragonscale Island")</f>
        <v>Dragonscale Island</v>
      </c>
      <c r="AH755" s="49" t="b">
        <f>IFERROR(__xludf.DUMMYFUNCTION("""COMPUTED_VALUE"""),FALSE)</f>
        <v>0</v>
      </c>
    </row>
    <row r="756">
      <c r="A756" s="49" t="str">
        <f>IFERROR(__xludf.DUMMYFUNCTION("""COMPUTED_VALUE"""),"Dragonscale Scythe")</f>
        <v>Dragonscale Scythe</v>
      </c>
      <c r="B756" s="49" t="str">
        <f>IFERROR(__xludf.DUMMYFUNCTION("""COMPUTED_VALUE"""),"Hand")</f>
        <v>Hand</v>
      </c>
      <c r="C756" s="49"/>
      <c r="D756" s="49" t="str">
        <f>IFERROR(__xludf.DUMMYFUNCTION("""COMPUTED_VALUE"""),"Scythe")</f>
        <v>Scythe</v>
      </c>
      <c r="E756" s="49">
        <f>IFERROR(__xludf.DUMMYFUNCTION("""COMPUTED_VALUE"""),2500.0)</f>
        <v>2500</v>
      </c>
      <c r="F756" s="112">
        <f>IFERROR(__xludf.DUMMYFUNCTION("""COMPUTED_VALUE"""),3.1125E8)</f>
        <v>311250000</v>
      </c>
      <c r="G756" s="49" t="str">
        <f>IFERROR(__xludf.DUMMYFUNCTION("""COMPUTED_VALUE"""),"DMG")</f>
        <v>DMG</v>
      </c>
      <c r="H756" s="49">
        <f>IFERROR(__xludf.DUMMYFUNCTION("""COMPUTED_VALUE"""),125000.0)</f>
        <v>125000</v>
      </c>
      <c r="I756" s="49"/>
      <c r="J756" s="49"/>
      <c r="K756" s="49"/>
      <c r="L756" s="49"/>
      <c r="M756" s="49"/>
      <c r="N756" s="49"/>
      <c r="O756" s="49"/>
      <c r="P756" s="49"/>
      <c r="Q756" s="49"/>
      <c r="R756" s="49"/>
      <c r="S756" s="49"/>
      <c r="T756" s="49"/>
      <c r="U756" s="49"/>
      <c r="V756" s="49"/>
      <c r="W756" s="49"/>
      <c r="X756" s="49"/>
      <c r="Y756" s="49"/>
      <c r="Z756" s="49"/>
      <c r="AA756" s="49"/>
      <c r="AB756" s="49"/>
      <c r="AC756" s="49"/>
      <c r="AD756" s="49"/>
      <c r="AE756" s="49"/>
      <c r="AF756" s="49" t="str">
        <f>IFERROR(__xludf.DUMMYFUNCTION("""COMPUTED_VALUE"""),"++If used to kill a dragon, 100% chance to get its soul. +-Cannot be forged or duplicated")</f>
        <v>++If used to kill a dragon, 100% chance to get its soul. +-Cannot be forged or duplicated</v>
      </c>
      <c r="AG756" s="49" t="str">
        <f>IFERROR(__xludf.DUMMYFUNCTION("""COMPUTED_VALUE"""),"Dragonscale Island")</f>
        <v>Dragonscale Island</v>
      </c>
      <c r="AH756" s="49" t="b">
        <f>IFERROR(__xludf.DUMMYFUNCTION("""COMPUTED_VALUE"""),FALSE)</f>
        <v>0</v>
      </c>
    </row>
    <row r="757">
      <c r="A757" s="49" t="str">
        <f>IFERROR(__xludf.DUMMYFUNCTION("""COMPUTED_VALUE"""),"Dark Dragonscale Claws")</f>
        <v>Dark Dragonscale Claws</v>
      </c>
      <c r="B757" s="49" t="str">
        <f>IFERROR(__xludf.DUMMYFUNCTION("""COMPUTED_VALUE"""),"Hand")</f>
        <v>Hand</v>
      </c>
      <c r="C757" s="49"/>
      <c r="D757" s="49" t="str">
        <f>IFERROR(__xludf.DUMMYFUNCTION("""COMPUTED_VALUE"""),"Claw")</f>
        <v>Claw</v>
      </c>
      <c r="E757" s="49">
        <f>IFERROR(__xludf.DUMMYFUNCTION("""COMPUTED_VALUE"""),2900.0)</f>
        <v>2900</v>
      </c>
      <c r="F757" s="112">
        <f>IFERROR(__xludf.DUMMYFUNCTION("""COMPUTED_VALUE"""),4.1905E8)</f>
        <v>419050000</v>
      </c>
      <c r="G757" s="49" t="str">
        <f>IFERROR(__xludf.DUMMYFUNCTION("""COMPUTED_VALUE"""),"DMG")</f>
        <v>DMG</v>
      </c>
      <c r="H757" s="49"/>
      <c r="I757" s="49"/>
      <c r="J757" s="49"/>
      <c r="K757" s="49"/>
      <c r="L757" s="49"/>
      <c r="M757" s="49"/>
      <c r="N757" s="49"/>
      <c r="O757" s="49">
        <f>IFERROR(__xludf.DUMMYFUNCTION("""COMPUTED_VALUE"""),145000.0)</f>
        <v>145000</v>
      </c>
      <c r="P757" s="49"/>
      <c r="Q757" s="49"/>
      <c r="R757" s="49"/>
      <c r="S757" s="49"/>
      <c r="T757" s="49"/>
      <c r="U757" s="49"/>
      <c r="V757" s="49"/>
      <c r="W757" s="49"/>
      <c r="X757" s="49"/>
      <c r="Y757" s="49"/>
      <c r="Z757" s="49"/>
      <c r="AA757" s="49"/>
      <c r="AB757" s="49"/>
      <c r="AC757" s="49"/>
      <c r="AD757" s="49"/>
      <c r="AE757" s="49"/>
      <c r="AF757" s="49" t="str">
        <f>IFERROR(__xludf.DUMMYFUNCTION("""COMPUTED_VALUE"""),"++ 30% chance to remove enemy from battle")</f>
        <v>++ 30% chance to remove enemy from battle</v>
      </c>
      <c r="AG757" s="49" t="str">
        <f>IFERROR(__xludf.DUMMYFUNCTION("""COMPUTED_VALUE"""),"Dragonscale Island")</f>
        <v>Dragonscale Island</v>
      </c>
      <c r="AH757" s="49" t="b">
        <f>IFERROR(__xludf.DUMMYFUNCTION("""COMPUTED_VALUE"""),FALSE)</f>
        <v>0</v>
      </c>
    </row>
    <row r="758">
      <c r="A758" s="49" t="str">
        <f>IFERROR(__xludf.DUMMYFUNCTION("""COMPUTED_VALUE"""),"Chaotic Dragonscale Claw")</f>
        <v>Chaotic Dragonscale Claw</v>
      </c>
      <c r="B758" s="49" t="str">
        <f>IFERROR(__xludf.DUMMYFUNCTION("""COMPUTED_VALUE"""),"Hand")</f>
        <v>Hand</v>
      </c>
      <c r="C758" s="49"/>
      <c r="D758" s="49" t="str">
        <f>IFERROR(__xludf.DUMMYFUNCTION("""COMPUTED_VALUE"""),"Claw")</f>
        <v>Claw</v>
      </c>
      <c r="E758" s="49">
        <f>IFERROR(__xludf.DUMMYFUNCTION("""COMPUTED_VALUE"""),2350.0)</f>
        <v>2350</v>
      </c>
      <c r="F758" s="112">
        <f>IFERROR(__xludf.DUMMYFUNCTION("""COMPUTED_VALUE"""),2.7261E8)</f>
        <v>272610000</v>
      </c>
      <c r="G758" s="49" t="str">
        <f>IFERROR(__xludf.DUMMYFUNCTION("""COMPUTED_VALUE"""),"DMG")</f>
        <v>DMG</v>
      </c>
      <c r="H758" s="49">
        <f>IFERROR(__xludf.DUMMYFUNCTION("""COMPUTED_VALUE"""),1.0)</f>
        <v>1</v>
      </c>
      <c r="I758" s="49"/>
      <c r="J758" s="49"/>
      <c r="K758" s="49"/>
      <c r="L758" s="49"/>
      <c r="M758" s="49"/>
      <c r="N758" s="49"/>
      <c r="O758" s="49"/>
      <c r="P758" s="49"/>
      <c r="Q758" s="49"/>
      <c r="R758" s="49">
        <f>IFERROR(__xludf.DUMMYFUNCTION("""COMPUTED_VALUE"""),117000.0)</f>
        <v>117000</v>
      </c>
      <c r="S758" s="49"/>
      <c r="T758" s="49"/>
      <c r="U758" s="49"/>
      <c r="V758" s="49"/>
      <c r="W758" s="49"/>
      <c r="X758" s="49"/>
      <c r="Y758" s="49"/>
      <c r="Z758" s="49"/>
      <c r="AA758" s="49"/>
      <c r="AB758" s="49"/>
      <c r="AC758" s="49"/>
      <c r="AD758" s="49"/>
      <c r="AE758" s="49"/>
      <c r="AF758" s="49" t="str">
        <f>IFERROR(__xludf.DUMMYFUNCTION("""COMPUTED_VALUE"""),"+-5% chance of dealing 1 damage when attacking")</f>
        <v>+-5% chance of dealing 1 damage when attacking</v>
      </c>
      <c r="AG758" s="49" t="str">
        <f>IFERROR(__xludf.DUMMYFUNCTION("""COMPUTED_VALUE"""),"Dragonscale Island")</f>
        <v>Dragonscale Island</v>
      </c>
      <c r="AH758" s="49" t="b">
        <f>IFERROR(__xludf.DUMMYFUNCTION("""COMPUTED_VALUE"""),FALSE)</f>
        <v>0</v>
      </c>
    </row>
    <row r="759">
      <c r="A759" s="49" t="str">
        <f>IFERROR(__xludf.DUMMYFUNCTION("""COMPUTED_VALUE"""),"Earthen Dragonscale Boots")</f>
        <v>Earthen Dragonscale Boots</v>
      </c>
      <c r="B759" s="49" t="str">
        <f>IFERROR(__xludf.DUMMYFUNCTION("""COMPUTED_VALUE"""),"Feet")</f>
        <v>Feet</v>
      </c>
      <c r="C759" s="49"/>
      <c r="D759" s="49" t="str">
        <f>IFERROR(__xludf.DUMMYFUNCTION("""COMPUTED_VALUE"""),"Item")</f>
        <v>Item</v>
      </c>
      <c r="E759" s="49">
        <f>IFERROR(__xludf.DUMMYFUNCTION("""COMPUTED_VALUE"""),3000.0)</f>
        <v>3000</v>
      </c>
      <c r="F759" s="112">
        <f>IFERROR(__xludf.DUMMYFUNCTION("""COMPUTED_VALUE"""),4.485E8)</f>
        <v>448500000</v>
      </c>
      <c r="G759" s="49" t="str">
        <f>IFERROR(__xludf.DUMMYFUNCTION("""COMPUTED_VALUE"""),"DEF")</f>
        <v>DEF</v>
      </c>
      <c r="H759" s="49">
        <f>IFERROR(__xludf.DUMMYFUNCTION("""COMPUTED_VALUE"""),60000.0)</f>
        <v>60000</v>
      </c>
      <c r="I759" s="49"/>
      <c r="J759" s="49"/>
      <c r="K759" s="49"/>
      <c r="L759" s="49"/>
      <c r="M759" s="49">
        <f>IFERROR(__xludf.DUMMYFUNCTION("""COMPUTED_VALUE"""),90000.0)</f>
        <v>90000</v>
      </c>
      <c r="N759" s="49"/>
      <c r="O759" s="49"/>
      <c r="P759" s="49"/>
      <c r="Q759" s="49"/>
      <c r="R759" s="49"/>
      <c r="S759" s="49"/>
      <c r="T759" s="49"/>
      <c r="U759" s="49"/>
      <c r="V759" s="49"/>
      <c r="W759" s="49"/>
      <c r="X759" s="49"/>
      <c r="Y759" s="49"/>
      <c r="Z759" s="49"/>
      <c r="AA759" s="49"/>
      <c r="AB759" s="49"/>
      <c r="AC759" s="49"/>
      <c r="AD759" s="49"/>
      <c r="AE759" s="49"/>
      <c r="AF759" s="49" t="str">
        <f>IFERROR(__xludf.DUMMYFUNCTION("""COMPUTED_VALUE"""),"++Immune to Earth spells")</f>
        <v>++Immune to Earth spells</v>
      </c>
      <c r="AG759" s="49" t="str">
        <f>IFERROR(__xludf.DUMMYFUNCTION("""COMPUTED_VALUE"""),"Dragonscale Island")</f>
        <v>Dragonscale Island</v>
      </c>
      <c r="AH759" s="49" t="b">
        <f>IFERROR(__xludf.DUMMYFUNCTION("""COMPUTED_VALUE"""),FALSE)</f>
        <v>0</v>
      </c>
    </row>
    <row r="760">
      <c r="A760" s="49" t="str">
        <f>IFERROR(__xludf.DUMMYFUNCTION("""COMPUTED_VALUE"""),"Dragonscale Harp")</f>
        <v>Dragonscale Harp</v>
      </c>
      <c r="B760" s="49" t="str">
        <f>IFERROR(__xludf.DUMMYFUNCTION("""COMPUTED_VALUE"""),"Hand")</f>
        <v>Hand</v>
      </c>
      <c r="C760" s="49"/>
      <c r="D760" s="49" t="str">
        <f>IFERROR(__xludf.DUMMYFUNCTION("""COMPUTED_VALUE"""),"Instrument")</f>
        <v>Instrument</v>
      </c>
      <c r="E760" s="49">
        <f>IFERROR(__xludf.DUMMYFUNCTION("""COMPUTED_VALUE"""),2620.0)</f>
        <v>2620</v>
      </c>
      <c r="F760" s="112">
        <f>IFERROR(__xludf.DUMMYFUNCTION("""COMPUTED_VALUE"""),3.4191E8)</f>
        <v>341910000</v>
      </c>
      <c r="G760" s="49" t="str">
        <f>IFERROR(__xludf.DUMMYFUNCTION("""COMPUTED_VALUE"""),"DMG")</f>
        <v>DMG</v>
      </c>
      <c r="H760" s="49">
        <f>IFERROR(__xludf.DUMMYFUNCTION("""COMPUTED_VALUE"""),1000.0)</f>
        <v>1000</v>
      </c>
      <c r="I760" s="49"/>
      <c r="J760" s="49"/>
      <c r="K760" s="49"/>
      <c r="L760" s="49"/>
      <c r="M760" s="49"/>
      <c r="N760" s="49"/>
      <c r="O760" s="49"/>
      <c r="P760" s="49"/>
      <c r="Q760" s="49"/>
      <c r="R760" s="49"/>
      <c r="S760" s="49"/>
      <c r="T760" s="49"/>
      <c r="U760" s="49"/>
      <c r="V760" s="49"/>
      <c r="W760" s="49"/>
      <c r="X760" s="49"/>
      <c r="Y760" s="49"/>
      <c r="Z760" s="49"/>
      <c r="AA760" s="49"/>
      <c r="AB760" s="49"/>
      <c r="AC760" s="49"/>
      <c r="AD760" s="49"/>
      <c r="AE760" s="49">
        <f>IFERROR(__xludf.DUMMYFUNCTION("""COMPUTED_VALUE"""),130000.0)</f>
        <v>130000</v>
      </c>
      <c r="AF760" s="49" t="str">
        <f>IFERROR(__xludf.DUMMYFUNCTION("""COMPUTED_VALUE"""),"++Causes any dragon enemies to skip its next turn when attacked.")</f>
        <v>++Causes any dragon enemies to skip its next turn when attacked.</v>
      </c>
      <c r="AG760" s="49" t="str">
        <f>IFERROR(__xludf.DUMMYFUNCTION("""COMPUTED_VALUE"""),"Dragonscale Island")</f>
        <v>Dragonscale Island</v>
      </c>
      <c r="AH760" s="49" t="b">
        <f>IFERROR(__xludf.DUMMYFUNCTION("""COMPUTED_VALUE"""),FALSE)</f>
        <v>0</v>
      </c>
    </row>
    <row r="761">
      <c r="A761" s="49" t="str">
        <f>IFERROR(__xludf.DUMMYFUNCTION("""COMPUTED_VALUE"""),"Dragonscale Bracers")</f>
        <v>Dragonscale Bracers</v>
      </c>
      <c r="B761" s="49" t="str">
        <f>IFERROR(__xludf.DUMMYFUNCTION("""COMPUTED_VALUE"""),"Arms")</f>
        <v>Arms</v>
      </c>
      <c r="C761" s="49"/>
      <c r="D761" s="49" t="str">
        <f>IFERROR(__xludf.DUMMYFUNCTION("""COMPUTED_VALUE"""),"Item")</f>
        <v>Item</v>
      </c>
      <c r="E761" s="49">
        <f>IFERROR(__xludf.DUMMYFUNCTION("""COMPUTED_VALUE"""),2000.0)</f>
        <v>2000</v>
      </c>
      <c r="F761" s="112">
        <f>IFERROR(__xludf.DUMMYFUNCTION("""COMPUTED_VALUE"""),1.99E8)</f>
        <v>199000000</v>
      </c>
      <c r="G761" s="49" t="str">
        <f>IFERROR(__xludf.DUMMYFUNCTION("""COMPUTED_VALUE"""),"DEF")</f>
        <v>DEF</v>
      </c>
      <c r="H761" s="49">
        <f>IFERROR(__xludf.DUMMYFUNCTION("""COMPUTED_VALUE"""),100000.0)</f>
        <v>100000</v>
      </c>
      <c r="I761" s="49"/>
      <c r="J761" s="49"/>
      <c r="K761" s="49"/>
      <c r="L761" s="49"/>
      <c r="M761" s="49"/>
      <c r="N761" s="49"/>
      <c r="O761" s="49"/>
      <c r="P761" s="49"/>
      <c r="Q761" s="49"/>
      <c r="R761" s="49"/>
      <c r="S761" s="49"/>
      <c r="T761" s="49"/>
      <c r="U761" s="49"/>
      <c r="V761" s="49"/>
      <c r="W761" s="49"/>
      <c r="X761" s="49"/>
      <c r="Y761" s="49"/>
      <c r="Z761" s="49"/>
      <c r="AA761" s="49"/>
      <c r="AB761" s="49"/>
      <c r="AC761" s="49"/>
      <c r="AD761" s="49"/>
      <c r="AE761" s="49"/>
      <c r="AF761" s="49" t="str">
        <f>IFERROR(__xludf.DUMMYFUNCTION("""COMPUTED_VALUE"""),"++X2 DEF when fighting a dragon(s).")</f>
        <v>++X2 DEF when fighting a dragon(s).</v>
      </c>
      <c r="AG761" s="49" t="str">
        <f>IFERROR(__xludf.DUMMYFUNCTION("""COMPUTED_VALUE"""),"Dragonscale Island")</f>
        <v>Dragonscale Island</v>
      </c>
      <c r="AH761" s="49" t="b">
        <f>IFERROR(__xludf.DUMMYFUNCTION("""COMPUTED_VALUE"""),FALSE)</f>
        <v>0</v>
      </c>
    </row>
    <row r="762">
      <c r="A762" s="49" t="str">
        <f>IFERROR(__xludf.DUMMYFUNCTION("""COMPUTED_VALUE"""),"Dragonscale Crown")</f>
        <v>Dragonscale Crown</v>
      </c>
      <c r="B762" s="49" t="str">
        <f>IFERROR(__xludf.DUMMYFUNCTION("""COMPUTED_VALUE"""),"Head")</f>
        <v>Head</v>
      </c>
      <c r="C762" s="49"/>
      <c r="D762" s="49" t="str">
        <f>IFERROR(__xludf.DUMMYFUNCTION("""COMPUTED_VALUE"""),"Item")</f>
        <v>Item</v>
      </c>
      <c r="E762" s="49">
        <f>IFERROR(__xludf.DUMMYFUNCTION("""COMPUTED_VALUE"""),1.0)</f>
        <v>1</v>
      </c>
      <c r="F762" s="112">
        <f>IFERROR(__xludf.DUMMYFUNCTION("""COMPUTED_VALUE"""),0.0)</f>
        <v>0</v>
      </c>
      <c r="G762" s="49" t="str">
        <f>IFERROR(__xludf.DUMMYFUNCTION("""COMPUTED_VALUE"""),"DEF")</f>
        <v>DEF</v>
      </c>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c r="AE762" s="49"/>
      <c r="AF762" s="49" t="str">
        <f>IFERROR(__xludf.DUMMYFUNCTION("""COMPUTED_VALUE"""),"++7,500 additional HP and SP, +-Cannot be forged or duplicated")</f>
        <v>++7,500 additional HP and SP, +-Cannot be forged or duplicated</v>
      </c>
      <c r="AG762" s="49" t="str">
        <f>IFERROR(__xludf.DUMMYFUNCTION("""COMPUTED_VALUE"""),"Dragonscale Island")</f>
        <v>Dragonscale Island</v>
      </c>
      <c r="AH762" s="49" t="b">
        <f>IFERROR(__xludf.DUMMYFUNCTION("""COMPUTED_VALUE"""),FALSE)</f>
        <v>0</v>
      </c>
    </row>
    <row r="763">
      <c r="A763" s="49" t="str">
        <f>IFERROR(__xludf.DUMMYFUNCTION("""COMPUTED_VALUE"""),"Dragonscale Helm")</f>
        <v>Dragonscale Helm</v>
      </c>
      <c r="B763" s="49" t="str">
        <f>IFERROR(__xludf.DUMMYFUNCTION("""COMPUTED_VALUE"""),"Head")</f>
        <v>Head</v>
      </c>
      <c r="C763" s="49"/>
      <c r="D763" s="49" t="str">
        <f>IFERROR(__xludf.DUMMYFUNCTION("""COMPUTED_VALUE"""),"Item")</f>
        <v>Item</v>
      </c>
      <c r="E763" s="49">
        <f>IFERROR(__xludf.DUMMYFUNCTION("""COMPUTED_VALUE"""),2600.0)</f>
        <v>2600</v>
      </c>
      <c r="F763" s="112">
        <f>IFERROR(__xludf.DUMMYFUNCTION("""COMPUTED_VALUE"""),3.367E8)</f>
        <v>336700000</v>
      </c>
      <c r="G763" s="49" t="str">
        <f>IFERROR(__xludf.DUMMYFUNCTION("""COMPUTED_VALUE"""),"DEF")</f>
        <v>DEF</v>
      </c>
      <c r="H763" s="49">
        <f>IFERROR(__xludf.DUMMYFUNCTION("""COMPUTED_VALUE"""),130000.0)</f>
        <v>130000</v>
      </c>
      <c r="I763" s="49"/>
      <c r="J763" s="49"/>
      <c r="K763" s="49"/>
      <c r="L763" s="49"/>
      <c r="M763" s="49"/>
      <c r="N763" s="49"/>
      <c r="O763" s="49"/>
      <c r="P763" s="49"/>
      <c r="Q763" s="49"/>
      <c r="R763" s="49"/>
      <c r="S763" s="49"/>
      <c r="T763" s="49"/>
      <c r="U763" s="49"/>
      <c r="V763" s="49"/>
      <c r="W763" s="49"/>
      <c r="X763" s="49"/>
      <c r="Y763" s="49"/>
      <c r="Z763" s="49"/>
      <c r="AA763" s="49"/>
      <c r="AB763" s="49"/>
      <c r="AC763" s="49"/>
      <c r="AD763" s="49"/>
      <c r="AE763" s="49"/>
      <c r="AF763" s="49"/>
      <c r="AG763" s="49" t="str">
        <f>IFERROR(__xludf.DUMMYFUNCTION("""COMPUTED_VALUE"""),"Dragonscale Island")</f>
        <v>Dragonscale Island</v>
      </c>
      <c r="AH763" s="49" t="b">
        <f>IFERROR(__xludf.DUMMYFUNCTION("""COMPUTED_VALUE"""),FALSE)</f>
        <v>0</v>
      </c>
    </row>
    <row r="764">
      <c r="A764" s="49" t="str">
        <f>IFERROR(__xludf.DUMMYFUNCTION("""COMPUTED_VALUE"""),"Dragonscale Rifle")</f>
        <v>Dragonscale Rifle</v>
      </c>
      <c r="B764" s="49" t="str">
        <f>IFERROR(__xludf.DUMMYFUNCTION("""COMPUTED_VALUE"""),"Hand")</f>
        <v>Hand</v>
      </c>
      <c r="C764" s="49"/>
      <c r="D764" s="49" t="str">
        <f>IFERROR(__xludf.DUMMYFUNCTION("""COMPUTED_VALUE"""),"Firearm")</f>
        <v>Firearm</v>
      </c>
      <c r="E764" s="49">
        <f>IFERROR(__xludf.DUMMYFUNCTION("""COMPUTED_VALUE"""),3400.0)</f>
        <v>3400</v>
      </c>
      <c r="F764" s="112">
        <f>IFERROR(__xludf.DUMMYFUNCTION("""COMPUTED_VALUE"""),5.763E8)</f>
        <v>576300000</v>
      </c>
      <c r="G764" s="49" t="str">
        <f>IFERROR(__xludf.DUMMYFUNCTION("""COMPUTED_VALUE"""),"DMG")</f>
        <v>DMG</v>
      </c>
      <c r="H764" s="49">
        <f>IFERROR(__xludf.DUMMYFUNCTION("""COMPUTED_VALUE"""),170000.0)</f>
        <v>170000</v>
      </c>
      <c r="I764" s="49"/>
      <c r="J764" s="49"/>
      <c r="K764" s="49"/>
      <c r="L764" s="49"/>
      <c r="M764" s="49"/>
      <c r="N764" s="49"/>
      <c r="O764" s="49"/>
      <c r="P764" s="49"/>
      <c r="Q764" s="49"/>
      <c r="R764" s="49"/>
      <c r="S764" s="49"/>
      <c r="T764" s="49"/>
      <c r="U764" s="49"/>
      <c r="V764" s="49"/>
      <c r="W764" s="49"/>
      <c r="X764" s="49"/>
      <c r="Y764" s="49"/>
      <c r="Z764" s="49"/>
      <c r="AA764" s="49"/>
      <c r="AB764" s="49"/>
      <c r="AC764" s="49"/>
      <c r="AD764" s="49"/>
      <c r="AE764" s="49"/>
      <c r="AF764" s="49" t="str">
        <f>IFERROR(__xludf.DUMMYFUNCTION("""COMPUTED_VALUE""")," +-Uses bullets")</f>
        <v> +-Uses bullets</v>
      </c>
      <c r="AG764" s="49" t="str">
        <f>IFERROR(__xludf.DUMMYFUNCTION("""COMPUTED_VALUE"""),"Dragonscale Island")</f>
        <v>Dragonscale Island</v>
      </c>
      <c r="AH764" s="49" t="b">
        <f>IFERROR(__xludf.DUMMYFUNCTION("""COMPUTED_VALUE"""),FALSE)</f>
        <v>0</v>
      </c>
    </row>
    <row r="765">
      <c r="A765" s="49" t="str">
        <f>IFERROR(__xludf.DUMMYFUNCTION("""COMPUTED_VALUE"""),"Searing Dragonscale Staff")</f>
        <v>Searing Dragonscale Staff</v>
      </c>
      <c r="B765" s="49" t="str">
        <f>IFERROR(__xludf.DUMMYFUNCTION("""COMPUTED_VALUE"""),"Hand")</f>
        <v>Hand</v>
      </c>
      <c r="C765" s="49"/>
      <c r="D765" s="49" t="str">
        <f>IFERROR(__xludf.DUMMYFUNCTION("""COMPUTED_VALUE"""),"Staff")</f>
        <v>Staff</v>
      </c>
      <c r="E765" s="49">
        <f>IFERROR(__xludf.DUMMYFUNCTION("""COMPUTED_VALUE"""),3000.0)</f>
        <v>3000</v>
      </c>
      <c r="F765" s="112">
        <f>IFERROR(__xludf.DUMMYFUNCTION("""COMPUTED_VALUE"""),4.485E8)</f>
        <v>448500000</v>
      </c>
      <c r="G765" s="49" t="str">
        <f>IFERROR(__xludf.DUMMYFUNCTION("""COMPUTED_VALUE"""),"DMG")</f>
        <v>DMG</v>
      </c>
      <c r="H765" s="49"/>
      <c r="I765" s="49"/>
      <c r="J765" s="49"/>
      <c r="K765" s="49"/>
      <c r="L765" s="49"/>
      <c r="M765" s="49"/>
      <c r="N765" s="49">
        <f>IFERROR(__xludf.DUMMYFUNCTION("""COMPUTED_VALUE"""),150000.0)</f>
        <v>150000</v>
      </c>
      <c r="O765" s="49"/>
      <c r="P765" s="49"/>
      <c r="Q765" s="49"/>
      <c r="R765" s="49"/>
      <c r="S765" s="49"/>
      <c r="T765" s="49"/>
      <c r="U765" s="49"/>
      <c r="V765" s="49"/>
      <c r="W765" s="49"/>
      <c r="X765" s="49"/>
      <c r="Y765" s="49"/>
      <c r="Z765" s="49"/>
      <c r="AA765" s="49"/>
      <c r="AB765" s="49"/>
      <c r="AC765" s="49"/>
      <c r="AD765" s="49"/>
      <c r="AE765" s="49"/>
      <c r="AF765" s="49"/>
      <c r="AG765" s="49" t="str">
        <f>IFERROR(__xludf.DUMMYFUNCTION("""COMPUTED_VALUE"""),"Dragonscale Island")</f>
        <v>Dragonscale Island</v>
      </c>
      <c r="AH765" s="49" t="b">
        <f>IFERROR(__xludf.DUMMYFUNCTION("""COMPUTED_VALUE"""),FALSE)</f>
        <v>0</v>
      </c>
    </row>
    <row r="766">
      <c r="A766" s="49" t="str">
        <f>IFERROR(__xludf.DUMMYFUNCTION("""COMPUTED_VALUE"""),"Forgotten Scythe")</f>
        <v>Forgotten Scythe</v>
      </c>
      <c r="B766" s="49" t="str">
        <f>IFERROR(__xludf.DUMMYFUNCTION("""COMPUTED_VALUE"""),"Hand")</f>
        <v>Hand</v>
      </c>
      <c r="C766" s="49"/>
      <c r="D766" s="49" t="str">
        <f>IFERROR(__xludf.DUMMYFUNCTION("""COMPUTED_VALUE"""),"Scythe")</f>
        <v>Scythe</v>
      </c>
      <c r="E766" s="49">
        <f>IFERROR(__xludf.DUMMYFUNCTION("""COMPUTED_VALUE"""),5800.0)</f>
        <v>5800</v>
      </c>
      <c r="F766" s="112">
        <f>IFERROR(__xludf.DUMMYFUNCTION("""COMPUTED_VALUE"""),1.6791E9)</f>
        <v>1679100000</v>
      </c>
      <c r="G766" s="49" t="str">
        <f>IFERROR(__xludf.DUMMYFUNCTION("""COMPUTED_VALUE"""),"DMG")</f>
        <v>DMG</v>
      </c>
      <c r="H766" s="49"/>
      <c r="I766" s="49"/>
      <c r="J766" s="49"/>
      <c r="K766" s="49"/>
      <c r="L766" s="49"/>
      <c r="M766" s="49"/>
      <c r="N766" s="49"/>
      <c r="O766" s="49"/>
      <c r="P766" s="49"/>
      <c r="Q766" s="49"/>
      <c r="R766" s="49">
        <f>IFERROR(__xludf.DUMMYFUNCTION("""COMPUTED_VALUE"""),290000.0)</f>
        <v>290000</v>
      </c>
      <c r="S766" s="49"/>
      <c r="T766" s="49"/>
      <c r="U766" s="49"/>
      <c r="V766" s="49"/>
      <c r="W766" s="49"/>
      <c r="X766" s="49"/>
      <c r="Y766" s="49"/>
      <c r="Z766" s="49"/>
      <c r="AA766" s="49"/>
      <c r="AB766" s="49"/>
      <c r="AC766" s="49"/>
      <c r="AD766" s="49"/>
      <c r="AE766" s="49"/>
      <c r="AF766" s="49"/>
      <c r="AG766" s="49" t="str">
        <f>IFERROR(__xludf.DUMMYFUNCTION("""COMPUTED_VALUE"""),"Abstara")</f>
        <v>Abstara</v>
      </c>
      <c r="AH766" s="49" t="b">
        <f>IFERROR(__xludf.DUMMYFUNCTION("""COMPUTED_VALUE"""),FALSE)</f>
        <v>0</v>
      </c>
    </row>
    <row r="767">
      <c r="A767" s="49" t="str">
        <f>IFERROR(__xludf.DUMMYFUNCTION("""COMPUTED_VALUE"""),"Forsaken Club")</f>
        <v>Forsaken Club</v>
      </c>
      <c r="B767" s="49" t="str">
        <f>IFERROR(__xludf.DUMMYFUNCTION("""COMPUTED_VALUE"""),"Hand")</f>
        <v>Hand</v>
      </c>
      <c r="C767" s="49"/>
      <c r="D767" s="49" t="str">
        <f>IFERROR(__xludf.DUMMYFUNCTION("""COMPUTED_VALUE"""),"Club")</f>
        <v>Club</v>
      </c>
      <c r="E767" s="49">
        <f>IFERROR(__xludf.DUMMYFUNCTION("""COMPUTED_VALUE"""),5000.0)</f>
        <v>5000</v>
      </c>
      <c r="F767" s="112">
        <f>IFERROR(__xludf.DUMMYFUNCTION("""COMPUTED_VALUE"""),1.2475E9)</f>
        <v>1247500000</v>
      </c>
      <c r="G767" s="49" t="str">
        <f>IFERROR(__xludf.DUMMYFUNCTION("""COMPUTED_VALUE"""),"DMG")</f>
        <v>DMG</v>
      </c>
      <c r="H767" s="49">
        <f>IFERROR(__xludf.DUMMYFUNCTION("""COMPUTED_VALUE"""),250000.0)</f>
        <v>250000</v>
      </c>
      <c r="I767" s="49"/>
      <c r="J767" s="49"/>
      <c r="K767" s="49"/>
      <c r="L767" s="49"/>
      <c r="M767" s="49"/>
      <c r="N767" s="49"/>
      <c r="O767" s="49"/>
      <c r="P767" s="49"/>
      <c r="Q767" s="49"/>
      <c r="R767" s="49"/>
      <c r="S767" s="49"/>
      <c r="T767" s="49"/>
      <c r="U767" s="49"/>
      <c r="V767" s="49"/>
      <c r="W767" s="49"/>
      <c r="X767" s="49"/>
      <c r="Y767" s="49"/>
      <c r="Z767" s="49"/>
      <c r="AA767" s="49"/>
      <c r="AB767" s="49"/>
      <c r="AC767" s="49"/>
      <c r="AD767" s="49"/>
      <c r="AE767" s="49"/>
      <c r="AF767" s="49"/>
      <c r="AG767" s="49" t="str">
        <f>IFERROR(__xludf.DUMMYFUNCTION("""COMPUTED_VALUE"""),"Abstara")</f>
        <v>Abstara</v>
      </c>
      <c r="AH767" s="49" t="b">
        <f>IFERROR(__xludf.DUMMYFUNCTION("""COMPUTED_VALUE"""),FALSE)</f>
        <v>0</v>
      </c>
    </row>
    <row r="768">
      <c r="A768" s="49" t="str">
        <f>IFERROR(__xludf.DUMMYFUNCTION("""COMPUTED_VALUE"""),"Demonic Breastplate")</f>
        <v>Demonic Breastplate</v>
      </c>
      <c r="B768" s="49" t="str">
        <f>IFERROR(__xludf.DUMMYFUNCTION("""COMPUTED_VALUE"""),"Torso")</f>
        <v>Torso</v>
      </c>
      <c r="C768" s="49"/>
      <c r="D768" s="49" t="str">
        <f>IFERROR(__xludf.DUMMYFUNCTION("""COMPUTED_VALUE"""),"Item")</f>
        <v>Item</v>
      </c>
      <c r="E768" s="49">
        <f>IFERROR(__xludf.DUMMYFUNCTION("""COMPUTED_VALUE"""),4000.0)</f>
        <v>4000</v>
      </c>
      <c r="F768" s="112">
        <f>IFERROR(__xludf.DUMMYFUNCTION("""COMPUTED_VALUE"""),7.98E8)</f>
        <v>798000000</v>
      </c>
      <c r="G768" s="49" t="str">
        <f>IFERROR(__xludf.DUMMYFUNCTION("""COMPUTED_VALUE"""),"DEF")</f>
        <v>DEF</v>
      </c>
      <c r="H768" s="49">
        <f>IFERROR(__xludf.DUMMYFUNCTION("""COMPUTED_VALUE"""),50000.0)</f>
        <v>50000</v>
      </c>
      <c r="I768" s="49">
        <f>IFERROR(__xludf.DUMMYFUNCTION("""COMPUTED_VALUE"""),50000.0)</f>
        <v>50000</v>
      </c>
      <c r="J768" s="49"/>
      <c r="K768" s="49"/>
      <c r="L768" s="49"/>
      <c r="M768" s="49"/>
      <c r="N768" s="49"/>
      <c r="O768" s="49">
        <f>IFERROR(__xludf.DUMMYFUNCTION("""COMPUTED_VALUE"""),50000.0)</f>
        <v>50000</v>
      </c>
      <c r="P768" s="49"/>
      <c r="Q768" s="49"/>
      <c r="R768" s="49">
        <f>IFERROR(__xludf.DUMMYFUNCTION("""COMPUTED_VALUE"""),50000.0)</f>
        <v>50000</v>
      </c>
      <c r="S768" s="49"/>
      <c r="T768" s="49"/>
      <c r="U768" s="49"/>
      <c r="V768" s="49"/>
      <c r="W768" s="49"/>
      <c r="X768" s="49"/>
      <c r="Y768" s="49"/>
      <c r="Z768" s="49"/>
      <c r="AA768" s="49"/>
      <c r="AB768" s="49"/>
      <c r="AC768" s="49"/>
      <c r="AD768" s="49"/>
      <c r="AE768" s="49"/>
      <c r="AF768" s="49"/>
      <c r="AG768" s="49" t="str">
        <f>IFERROR(__xludf.DUMMYFUNCTION("""COMPUTED_VALUE"""),"Abstara")</f>
        <v>Abstara</v>
      </c>
      <c r="AH768" s="49" t="b">
        <f>IFERROR(__xludf.DUMMYFUNCTION("""COMPUTED_VALUE"""),FALSE)</f>
        <v>0</v>
      </c>
    </row>
    <row r="769">
      <c r="A769" s="49" t="str">
        <f>IFERROR(__xludf.DUMMYFUNCTION("""COMPUTED_VALUE"""),"Fallen Ruler's Crown")</f>
        <v>Fallen Ruler's Crown</v>
      </c>
      <c r="B769" s="49" t="str">
        <f>IFERROR(__xludf.DUMMYFUNCTION("""COMPUTED_VALUE"""),"Head")</f>
        <v>Head</v>
      </c>
      <c r="C769" s="49"/>
      <c r="D769" s="49" t="str">
        <f>IFERROR(__xludf.DUMMYFUNCTION("""COMPUTED_VALUE"""),"Item")</f>
        <v>Item</v>
      </c>
      <c r="E769" s="49">
        <f>IFERROR(__xludf.DUMMYFUNCTION("""COMPUTED_VALUE"""),1.0)</f>
        <v>1</v>
      </c>
      <c r="F769" s="112">
        <f>IFERROR(__xludf.DUMMYFUNCTION("""COMPUTED_VALUE"""),0.0)</f>
        <v>0</v>
      </c>
      <c r="G769" s="49" t="str">
        <f>IFERROR(__xludf.DUMMYFUNCTION("""COMPUTED_VALUE"""),"DEF")</f>
        <v>DEF</v>
      </c>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c r="AE769" s="49"/>
      <c r="AF769" s="49" t="str">
        <f>IFERROR(__xludf.DUMMYFUNCTION("""COMPUTED_VALUE"""),"++5% chance undead enemies will willingly surrender +-Cannot be forged or duplicated")</f>
        <v>++5% chance undead enemies will willingly surrender +-Cannot be forged or duplicated</v>
      </c>
      <c r="AG769" s="49" t="str">
        <f>IFERROR(__xludf.DUMMYFUNCTION("""COMPUTED_VALUE"""),"Abstara")</f>
        <v>Abstara</v>
      </c>
      <c r="AH769" s="49" t="b">
        <f>IFERROR(__xludf.DUMMYFUNCTION("""COMPUTED_VALUE"""),FALSE)</f>
        <v>0</v>
      </c>
    </row>
    <row r="770">
      <c r="A770" s="49" t="str">
        <f>IFERROR(__xludf.DUMMYFUNCTION("""COMPUTED_VALUE"""),"Old Knife")</f>
        <v>Old Knife</v>
      </c>
      <c r="B770" s="49" t="str">
        <f>IFERROR(__xludf.DUMMYFUNCTION("""COMPUTED_VALUE"""),"Hand")</f>
        <v>Hand</v>
      </c>
      <c r="C770" s="49"/>
      <c r="D770" s="49" t="str">
        <f>IFERROR(__xludf.DUMMYFUNCTION("""COMPUTED_VALUE"""),"Knife")</f>
        <v>Knife</v>
      </c>
      <c r="E770" s="49">
        <f>IFERROR(__xludf.DUMMYFUNCTION("""COMPUTED_VALUE"""),3640.0)</f>
        <v>3640</v>
      </c>
      <c r="F770" s="112">
        <f>IFERROR(__xludf.DUMMYFUNCTION("""COMPUTED_VALUE"""),6.6066E8)</f>
        <v>660660000</v>
      </c>
      <c r="G770" s="49" t="str">
        <f>IFERROR(__xludf.DUMMYFUNCTION("""COMPUTED_VALUE"""),"DMG")</f>
        <v>DMG</v>
      </c>
      <c r="H770" s="49">
        <f>IFERROR(__xludf.DUMMYFUNCTION("""COMPUTED_VALUE"""),12000.0)</f>
        <v>12000</v>
      </c>
      <c r="I770" s="49"/>
      <c r="J770" s="49"/>
      <c r="K770" s="49"/>
      <c r="L770" s="49"/>
      <c r="M770" s="49"/>
      <c r="N770" s="49"/>
      <c r="O770" s="49"/>
      <c r="P770" s="49"/>
      <c r="Q770" s="49"/>
      <c r="R770" s="49"/>
      <c r="S770" s="49"/>
      <c r="T770" s="49"/>
      <c r="U770" s="49"/>
      <c r="V770" s="49"/>
      <c r="W770" s="49"/>
      <c r="X770" s="49"/>
      <c r="Y770" s="49">
        <f>IFERROR(__xludf.DUMMYFUNCTION("""COMPUTED_VALUE"""),170000.0)</f>
        <v>170000</v>
      </c>
      <c r="Z770" s="49"/>
      <c r="AA770" s="49"/>
      <c r="AB770" s="49"/>
      <c r="AC770" s="49"/>
      <c r="AD770" s="49"/>
      <c r="AE770" s="49"/>
      <c r="AF770" s="49"/>
      <c r="AG770" s="49" t="str">
        <f>IFERROR(__xludf.DUMMYFUNCTION("""COMPUTED_VALUE"""),"Abstara")</f>
        <v>Abstara</v>
      </c>
      <c r="AH770" s="49" t="b">
        <f>IFERROR(__xludf.DUMMYFUNCTION("""COMPUTED_VALUE"""),FALSE)</f>
        <v>0</v>
      </c>
    </row>
    <row r="771">
      <c r="A771" s="49" t="str">
        <f>IFERROR(__xludf.DUMMYFUNCTION("""COMPUTED_VALUE"""),"Plunderbuss")</f>
        <v>Plunderbuss</v>
      </c>
      <c r="B771" s="49" t="str">
        <f>IFERROR(__xludf.DUMMYFUNCTION("""COMPUTED_VALUE"""),"Hand")</f>
        <v>Hand</v>
      </c>
      <c r="C771" s="49"/>
      <c r="D771" s="49" t="str">
        <f>IFERROR(__xludf.DUMMYFUNCTION("""COMPUTED_VALUE"""),"Firearm")</f>
        <v>Firearm</v>
      </c>
      <c r="E771" s="49">
        <f>IFERROR(__xludf.DUMMYFUNCTION("""COMPUTED_VALUE"""),3800.0)</f>
        <v>3800</v>
      </c>
      <c r="F771" s="112">
        <f>IFERROR(__xludf.DUMMYFUNCTION("""COMPUTED_VALUE"""),7.201E8)</f>
        <v>720100000</v>
      </c>
      <c r="G771" s="49" t="str">
        <f>IFERROR(__xludf.DUMMYFUNCTION("""COMPUTED_VALUE"""),"DMG")</f>
        <v>DMG</v>
      </c>
      <c r="H771" s="49">
        <f>IFERROR(__xludf.DUMMYFUNCTION("""COMPUTED_VALUE"""),190000.0)</f>
        <v>190000</v>
      </c>
      <c r="I771" s="49"/>
      <c r="J771" s="49"/>
      <c r="K771" s="49"/>
      <c r="L771" s="49"/>
      <c r="M771" s="49"/>
      <c r="N771" s="49"/>
      <c r="O771" s="49"/>
      <c r="P771" s="49"/>
      <c r="Q771" s="49"/>
      <c r="R771" s="49"/>
      <c r="S771" s="49"/>
      <c r="T771" s="49"/>
      <c r="U771" s="49"/>
      <c r="V771" s="49"/>
      <c r="W771" s="49"/>
      <c r="X771" s="49"/>
      <c r="Y771" s="49"/>
      <c r="Z771" s="49"/>
      <c r="AA771" s="49"/>
      <c r="AB771" s="49"/>
      <c r="AC771" s="49"/>
      <c r="AD771" s="49"/>
      <c r="AE771" s="49"/>
      <c r="AF771" s="49" t="str">
        <f>IFERROR(__xludf.DUMMYFUNCTION("""COMPUTED_VALUE"""),"+-Uses bullets, ++Get two of every loot drop you roll. +-Cannot be forged or duplicated")</f>
        <v>+-Uses bullets, ++Get two of every loot drop you roll. +-Cannot be forged or duplicated</v>
      </c>
      <c r="AG771" s="49" t="str">
        <f>IFERROR(__xludf.DUMMYFUNCTION("""COMPUTED_VALUE"""),"Abstara")</f>
        <v>Abstara</v>
      </c>
      <c r="AH771" s="49" t="b">
        <f>IFERROR(__xludf.DUMMYFUNCTION("""COMPUTED_VALUE"""),FALSE)</f>
        <v>0</v>
      </c>
    </row>
    <row r="772">
      <c r="A772" s="49" t="str">
        <f>IFERROR(__xludf.DUMMYFUNCTION("""COMPUTED_VALUE"""),"Dragon Destroyer")</f>
        <v>Dragon Destroyer</v>
      </c>
      <c r="B772" s="49" t="str">
        <f>IFERROR(__xludf.DUMMYFUNCTION("""COMPUTED_VALUE"""),"Hand")</f>
        <v>Hand</v>
      </c>
      <c r="C772" s="49"/>
      <c r="D772" s="49" t="str">
        <f>IFERROR(__xludf.DUMMYFUNCTION("""COMPUTED_VALUE"""),"Axe")</f>
        <v>Axe</v>
      </c>
      <c r="E772" s="49">
        <f>IFERROR(__xludf.DUMMYFUNCTION("""COMPUTED_VALUE"""),6000.0)</f>
        <v>6000</v>
      </c>
      <c r="F772" s="112">
        <f>IFERROR(__xludf.DUMMYFUNCTION("""COMPUTED_VALUE"""),1.797E9)</f>
        <v>1797000000</v>
      </c>
      <c r="G772" s="49" t="str">
        <f>IFERROR(__xludf.DUMMYFUNCTION("""COMPUTED_VALUE"""),"DMG")</f>
        <v>DMG</v>
      </c>
      <c r="H772" s="49">
        <f>IFERROR(__xludf.DUMMYFUNCTION("""COMPUTED_VALUE"""),300000.0)</f>
        <v>300000</v>
      </c>
      <c r="I772" s="49"/>
      <c r="J772" s="49"/>
      <c r="K772" s="49"/>
      <c r="L772" s="49"/>
      <c r="M772" s="49"/>
      <c r="N772" s="49"/>
      <c r="O772" s="49"/>
      <c r="P772" s="49"/>
      <c r="Q772" s="49"/>
      <c r="R772" s="49"/>
      <c r="S772" s="49"/>
      <c r="T772" s="49"/>
      <c r="U772" s="49"/>
      <c r="V772" s="49"/>
      <c r="W772" s="49"/>
      <c r="X772" s="49"/>
      <c r="Y772" s="49"/>
      <c r="Z772" s="49"/>
      <c r="AA772" s="49"/>
      <c r="AB772" s="49"/>
      <c r="AC772" s="49"/>
      <c r="AD772" s="49"/>
      <c r="AE772" s="49"/>
      <c r="AF772" s="49" t="str">
        <f>IFERROR(__xludf.DUMMYFUNCTION("""COMPUTED_VALUE"""),"++deals unblockable damage to dragons +-Cannot be forged or duplicated")</f>
        <v>++deals unblockable damage to dragons +-Cannot be forged or duplicated</v>
      </c>
      <c r="AG772" s="49" t="str">
        <f>IFERROR(__xludf.DUMMYFUNCTION("""COMPUTED_VALUE"""),"Abstara")</f>
        <v>Abstara</v>
      </c>
      <c r="AH772" s="49" t="b">
        <f>IFERROR(__xludf.DUMMYFUNCTION("""COMPUTED_VALUE"""),FALSE)</f>
        <v>0</v>
      </c>
    </row>
    <row r="773">
      <c r="A773" s="49" t="str">
        <f>IFERROR(__xludf.DUMMYFUNCTION("""COMPUTED_VALUE"""),"Dragonscale of Returns")</f>
        <v>Dragonscale of Returns</v>
      </c>
      <c r="B773" s="49" t="str">
        <f>IFERROR(__xludf.DUMMYFUNCTION("""COMPUTED_VALUE"""),"Hand")</f>
        <v>Hand</v>
      </c>
      <c r="C773" s="49"/>
      <c r="D773" s="49" t="str">
        <f>IFERROR(__xludf.DUMMYFUNCTION("""COMPUTED_VALUE"""),"Boomerang")</f>
        <v>Boomerang</v>
      </c>
      <c r="E773" s="49">
        <f>IFERROR(__xludf.DUMMYFUNCTION("""COMPUTED_VALUE"""),1500.0)</f>
        <v>1500</v>
      </c>
      <c r="F773" s="112">
        <f>IFERROR(__xludf.DUMMYFUNCTION("""COMPUTED_VALUE"""),1.1175E8)</f>
        <v>111750000</v>
      </c>
      <c r="G773" s="49" t="str">
        <f>IFERROR(__xludf.DUMMYFUNCTION("""COMPUTED_VALUE"""),"DMG")</f>
        <v>DMG</v>
      </c>
      <c r="H773" s="49">
        <f>IFERROR(__xludf.DUMMYFUNCTION("""COMPUTED_VALUE"""),75000.0)</f>
        <v>75000</v>
      </c>
      <c r="I773" s="49"/>
      <c r="J773" s="49"/>
      <c r="K773" s="49"/>
      <c r="L773" s="49"/>
      <c r="M773" s="49"/>
      <c r="N773" s="49"/>
      <c r="O773" s="49"/>
      <c r="P773" s="49"/>
      <c r="Q773" s="49"/>
      <c r="R773" s="49"/>
      <c r="S773" s="49"/>
      <c r="T773" s="49"/>
      <c r="U773" s="49"/>
      <c r="V773" s="49"/>
      <c r="W773" s="49"/>
      <c r="X773" s="49"/>
      <c r="Y773" s="49"/>
      <c r="Z773" s="49"/>
      <c r="AA773" s="49"/>
      <c r="AB773" s="49"/>
      <c r="AC773" s="49"/>
      <c r="AD773" s="49"/>
      <c r="AE773" s="49"/>
      <c r="AF773" s="49" t="str">
        <f>IFERROR(__xludf.DUMMYFUNCTION("""COMPUTED_VALUE"""),"++Receive a dragon scale when thrown at a dragon, +-Cannot be forged or duplicated")</f>
        <v>++Receive a dragon scale when thrown at a dragon, +-Cannot be forged or duplicated</v>
      </c>
      <c r="AG773" s="49" t="str">
        <f>IFERROR(__xludf.DUMMYFUNCTION("""COMPUTED_VALUE"""),"Dragonscale Island")</f>
        <v>Dragonscale Island</v>
      </c>
      <c r="AH773" s="49" t="b">
        <f>IFERROR(__xludf.DUMMYFUNCTION("""COMPUTED_VALUE"""),FALSE)</f>
        <v>0</v>
      </c>
    </row>
    <row r="774">
      <c r="A774" s="49" t="str">
        <f>IFERROR(__xludf.DUMMYFUNCTION("""COMPUTED_VALUE"""),"Brimstone Staff")</f>
        <v>Brimstone Staff</v>
      </c>
      <c r="B774" s="49" t="str">
        <f>IFERROR(__xludf.DUMMYFUNCTION("""COMPUTED_VALUE"""),"Hand")</f>
        <v>Hand</v>
      </c>
      <c r="C774" s="49"/>
      <c r="D774" s="49" t="str">
        <f>IFERROR(__xludf.DUMMYFUNCTION("""COMPUTED_VALUE"""),"Staff")</f>
        <v>Staff</v>
      </c>
      <c r="E774" s="49">
        <f>IFERROR(__xludf.DUMMYFUNCTION("""COMPUTED_VALUE"""),4600.0)</f>
        <v>4600</v>
      </c>
      <c r="F774" s="112">
        <f>IFERROR(__xludf.DUMMYFUNCTION("""COMPUTED_VALUE"""),1.0557E9)</f>
        <v>1055700000</v>
      </c>
      <c r="G774" s="49" t="str">
        <f>IFERROR(__xludf.DUMMYFUNCTION("""COMPUTED_VALUE"""),"DMG")</f>
        <v>DMG</v>
      </c>
      <c r="H774" s="49"/>
      <c r="I774" s="49">
        <f>IFERROR(__xludf.DUMMYFUNCTION("""COMPUTED_VALUE"""),230000.0)</f>
        <v>230000</v>
      </c>
      <c r="J774" s="49"/>
      <c r="K774" s="49"/>
      <c r="L774" s="49"/>
      <c r="M774" s="49"/>
      <c r="N774" s="49"/>
      <c r="O774" s="49"/>
      <c r="P774" s="49"/>
      <c r="Q774" s="49"/>
      <c r="R774" s="49"/>
      <c r="S774" s="49"/>
      <c r="T774" s="49"/>
      <c r="U774" s="49"/>
      <c r="V774" s="49"/>
      <c r="W774" s="49"/>
      <c r="X774" s="49"/>
      <c r="Y774" s="49"/>
      <c r="Z774" s="49"/>
      <c r="AA774" s="49"/>
      <c r="AB774" s="49"/>
      <c r="AC774" s="49"/>
      <c r="AD774" s="49"/>
      <c r="AE774" s="49"/>
      <c r="AF774" s="49" t="str">
        <f>IFERROR(__xludf.DUMMYFUNCTION("""COMPUTED_VALUE"""),"++Fire spells cost half SP, +-Cannot be forged or duplicated")</f>
        <v>++Fire spells cost half SP, +-Cannot be forged or duplicated</v>
      </c>
      <c r="AG774" s="49" t="str">
        <f>IFERROR(__xludf.DUMMYFUNCTION("""COMPUTED_VALUE"""),"Abstara")</f>
        <v>Abstara</v>
      </c>
      <c r="AH774" s="49" t="b">
        <f>IFERROR(__xludf.DUMMYFUNCTION("""COMPUTED_VALUE"""),FALSE)</f>
        <v>0</v>
      </c>
    </row>
    <row r="775">
      <c r="A775" s="49" t="str">
        <f>IFERROR(__xludf.DUMMYFUNCTION("""COMPUTED_VALUE"""),"Eternal Ember")</f>
        <v>Eternal Ember</v>
      </c>
      <c r="B775" s="49" t="str">
        <f>IFERROR(__xludf.DUMMYFUNCTION("""COMPUTED_VALUE"""),"Neck")</f>
        <v>Neck</v>
      </c>
      <c r="C775" s="49"/>
      <c r="D775" s="49" t="str">
        <f>IFERROR(__xludf.DUMMYFUNCTION("""COMPUTED_VALUE"""),"Item")</f>
        <v>Item</v>
      </c>
      <c r="E775" s="49">
        <f>IFERROR(__xludf.DUMMYFUNCTION("""COMPUTED_VALUE"""),3000.0)</f>
        <v>3000</v>
      </c>
      <c r="F775" s="112">
        <f>IFERROR(__xludf.DUMMYFUNCTION("""COMPUTED_VALUE"""),4.485E8)</f>
        <v>448500000</v>
      </c>
      <c r="G775" s="49" t="str">
        <f>IFERROR(__xludf.DUMMYFUNCTION("""COMPUTED_VALUE"""),"DEF")</f>
        <v>DEF</v>
      </c>
      <c r="H775" s="49"/>
      <c r="I775" s="49">
        <f>IFERROR(__xludf.DUMMYFUNCTION("""COMPUTED_VALUE"""),150000.0)</f>
        <v>150000</v>
      </c>
      <c r="J775" s="49"/>
      <c r="K775" s="49"/>
      <c r="L775" s="49"/>
      <c r="M775" s="49"/>
      <c r="N775" s="49"/>
      <c r="O775" s="49"/>
      <c r="P775" s="49"/>
      <c r="Q775" s="49"/>
      <c r="R775" s="49"/>
      <c r="S775" s="49"/>
      <c r="T775" s="49"/>
      <c r="U775" s="49"/>
      <c r="V775" s="49"/>
      <c r="W775" s="49"/>
      <c r="X775" s="49"/>
      <c r="Y775" s="49"/>
      <c r="Z775" s="49"/>
      <c r="AA775" s="49"/>
      <c r="AB775" s="49"/>
      <c r="AC775" s="49"/>
      <c r="AD775" s="49"/>
      <c r="AE775" s="49"/>
      <c r="AF775" s="49"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49" t="str">
        <f>IFERROR(__xludf.DUMMYFUNCTION("""COMPUTED_VALUE"""),"Abstara")</f>
        <v>Abstara</v>
      </c>
      <c r="AH775" s="49" t="b">
        <f>IFERROR(__xludf.DUMMYFUNCTION("""COMPUTED_VALUE"""),FALSE)</f>
        <v>0</v>
      </c>
    </row>
    <row r="776">
      <c r="A776" s="49" t="str">
        <f>IFERROR(__xludf.DUMMYFUNCTION("""COMPUTED_VALUE"""),"Crystal Blood")</f>
        <v>Crystal Blood</v>
      </c>
      <c r="B776" s="49" t="str">
        <f>IFERROR(__xludf.DUMMYFUNCTION("""COMPUTED_VALUE"""),"Neck")</f>
        <v>Neck</v>
      </c>
      <c r="C776" s="49"/>
      <c r="D776" s="49" t="str">
        <f>IFERROR(__xludf.DUMMYFUNCTION("""COMPUTED_VALUE"""),"Item")</f>
        <v>Item</v>
      </c>
      <c r="E776" s="49">
        <f>IFERROR(__xludf.DUMMYFUNCTION("""COMPUTED_VALUE"""),1.0)</f>
        <v>1</v>
      </c>
      <c r="F776" s="112">
        <f>IFERROR(__xludf.DUMMYFUNCTION("""COMPUTED_VALUE"""),0.0)</f>
        <v>0</v>
      </c>
      <c r="G776" s="49" t="str">
        <f>IFERROR(__xludf.DUMMYFUNCTION("""COMPUTED_VALUE"""),"DEF")</f>
        <v>DEF</v>
      </c>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c r="AE776" s="49"/>
      <c r="AF776" s="49" t="str">
        <f>IFERROR(__xludf.DUMMYFUNCTION("""COMPUTED_VALUE"""),"++Wearer's first non-XHP cost blood spell of the battle has no HP cost , +-Cannot be forged or duplicated")</f>
        <v>++Wearer's first non-XHP cost blood spell of the battle has no HP cost , +-Cannot be forged or duplicated</v>
      </c>
      <c r="AG776" s="49" t="str">
        <f>IFERROR(__xludf.DUMMYFUNCTION("""COMPUTED_VALUE"""),"Abstara")</f>
        <v>Abstara</v>
      </c>
      <c r="AH776" s="49" t="b">
        <f>IFERROR(__xludf.DUMMYFUNCTION("""COMPUTED_VALUE"""),FALSE)</f>
        <v>0</v>
      </c>
    </row>
    <row r="777">
      <c r="A777" s="49" t="str">
        <f>IFERROR(__xludf.DUMMYFUNCTION("""COMPUTED_VALUE"""),"Ultimate Gamble")</f>
        <v>Ultimate Gamble</v>
      </c>
      <c r="B777" s="49" t="str">
        <f>IFERROR(__xludf.DUMMYFUNCTION("""COMPUTED_VALUE"""),"Hand")</f>
        <v>Hand</v>
      </c>
      <c r="C777" s="49"/>
      <c r="D777" s="49" t="str">
        <f>IFERROR(__xludf.DUMMYFUNCTION("""COMPUTED_VALUE"""),"Sword")</f>
        <v>Sword</v>
      </c>
      <c r="E777" s="49">
        <f>IFERROR(__xludf.DUMMYFUNCTION("""COMPUTED_VALUE"""),12000.0)</f>
        <v>12000</v>
      </c>
      <c r="F777" s="112">
        <f>IFERROR(__xludf.DUMMYFUNCTION("""COMPUTED_VALUE"""),7.194E9)</f>
        <v>7194000000</v>
      </c>
      <c r="G777" s="49" t="str">
        <f>IFERROR(__xludf.DUMMYFUNCTION("""COMPUTED_VALUE"""),"DMG")</f>
        <v>DMG</v>
      </c>
      <c r="H777" s="49">
        <f>IFERROR(__xludf.DUMMYFUNCTION("""COMPUTED_VALUE"""),600000.0)</f>
        <v>600000</v>
      </c>
      <c r="I777" s="49"/>
      <c r="J777" s="49"/>
      <c r="K777" s="49"/>
      <c r="L777" s="49"/>
      <c r="M777" s="49"/>
      <c r="N777" s="49"/>
      <c r="O777" s="49"/>
      <c r="P777" s="49"/>
      <c r="Q777" s="49"/>
      <c r="R777" s="49"/>
      <c r="S777" s="49"/>
      <c r="T777" s="49"/>
      <c r="U777" s="49"/>
      <c r="V777" s="49"/>
      <c r="W777" s="49"/>
      <c r="X777" s="49"/>
      <c r="Y777" s="49"/>
      <c r="Z777" s="49"/>
      <c r="AA777" s="49"/>
      <c r="AB777" s="49"/>
      <c r="AC777" s="49"/>
      <c r="AD777" s="49"/>
      <c r="AE777" s="49"/>
      <c r="AF777" s="49"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49" t="str">
        <f>IFERROR(__xludf.DUMMYFUNCTION("""COMPUTED_VALUE"""),"Abstara")</f>
        <v>Abstara</v>
      </c>
      <c r="AH777" s="49" t="b">
        <f>IFERROR(__xludf.DUMMYFUNCTION("""COMPUTED_VALUE"""),FALSE)</f>
        <v>0</v>
      </c>
    </row>
    <row r="778">
      <c r="A778" s="49" t="str">
        <f>IFERROR(__xludf.DUMMYFUNCTION("""COMPUTED_VALUE"""),"Awakened Evil")</f>
        <v>Awakened Evil</v>
      </c>
      <c r="B778" s="49" t="str">
        <f>IFERROR(__xludf.DUMMYFUNCTION("""COMPUTED_VALUE"""),"Hand")</f>
        <v>Hand</v>
      </c>
      <c r="C778" s="49"/>
      <c r="D778" s="49" t="str">
        <f>IFERROR(__xludf.DUMMYFUNCTION("""COMPUTED_VALUE"""),"Claw")</f>
        <v>Claw</v>
      </c>
      <c r="E778" s="49">
        <f>IFERROR(__xludf.DUMMYFUNCTION("""COMPUTED_VALUE"""),9000.0)</f>
        <v>9000</v>
      </c>
      <c r="F778" s="112">
        <f>IFERROR(__xludf.DUMMYFUNCTION("""COMPUTED_VALUE"""),4.0455E9)</f>
        <v>4045500000</v>
      </c>
      <c r="G778" s="49" t="str">
        <f>IFERROR(__xludf.DUMMYFUNCTION("""COMPUTED_VALUE"""),"DMG")</f>
        <v>DMG</v>
      </c>
      <c r="H778" s="49">
        <f>IFERROR(__xludf.DUMMYFUNCTION("""COMPUTED_VALUE"""),450000.0)</f>
        <v>450000</v>
      </c>
      <c r="I778" s="49"/>
      <c r="J778" s="49"/>
      <c r="K778" s="49"/>
      <c r="L778" s="49"/>
      <c r="M778" s="49"/>
      <c r="N778" s="49"/>
      <c r="O778" s="49"/>
      <c r="P778" s="49"/>
      <c r="Q778" s="49"/>
      <c r="R778" s="49"/>
      <c r="S778" s="49"/>
      <c r="T778" s="49"/>
      <c r="U778" s="49"/>
      <c r="V778" s="49"/>
      <c r="W778" s="49"/>
      <c r="X778" s="49"/>
      <c r="Y778" s="49"/>
      <c r="Z778" s="49"/>
      <c r="AA778" s="49"/>
      <c r="AB778" s="49"/>
      <c r="AC778" s="49"/>
      <c r="AD778" s="49"/>
      <c r="AE778" s="49"/>
      <c r="AF778" s="49"/>
      <c r="AG778" s="49" t="str">
        <f>IFERROR(__xludf.DUMMYFUNCTION("""COMPUTED_VALUE"""),"Abstara")</f>
        <v>Abstara</v>
      </c>
      <c r="AH778" s="49" t="b">
        <f>IFERROR(__xludf.DUMMYFUNCTION("""COMPUTED_VALUE"""),FALSE)</f>
        <v>0</v>
      </c>
    </row>
    <row r="779">
      <c r="A779" s="49" t="str">
        <f>IFERROR(__xludf.DUMMYFUNCTION("""COMPUTED_VALUE"""),"Soldier's Charge")</f>
        <v>Soldier's Charge</v>
      </c>
      <c r="B779" s="49" t="str">
        <f>IFERROR(__xludf.DUMMYFUNCTION("""COMPUTED_VALUE"""),"Hand")</f>
        <v>Hand</v>
      </c>
      <c r="C779" s="49"/>
      <c r="D779" s="49" t="str">
        <f>IFERROR(__xludf.DUMMYFUNCTION("""COMPUTED_VALUE"""),"Firearm")</f>
        <v>Firearm</v>
      </c>
      <c r="E779" s="49">
        <f>IFERROR(__xludf.DUMMYFUNCTION("""COMPUTED_VALUE"""),4400.0)</f>
        <v>4400</v>
      </c>
      <c r="F779" s="112">
        <f>IFERROR(__xludf.DUMMYFUNCTION("""COMPUTED_VALUE"""),9.658E8)</f>
        <v>965800000</v>
      </c>
      <c r="G779" s="49" t="str">
        <f>IFERROR(__xludf.DUMMYFUNCTION("""COMPUTED_VALUE"""),"DMG")</f>
        <v>DMG</v>
      </c>
      <c r="H779" s="49">
        <f>IFERROR(__xludf.DUMMYFUNCTION("""COMPUTED_VALUE"""),60000.0)</f>
        <v>60000</v>
      </c>
      <c r="I779" s="49">
        <f>IFERROR(__xludf.DUMMYFUNCTION("""COMPUTED_VALUE"""),60000.0)</f>
        <v>60000</v>
      </c>
      <c r="J779" s="49"/>
      <c r="K779" s="49"/>
      <c r="L779" s="49"/>
      <c r="M779" s="49"/>
      <c r="N779" s="49"/>
      <c r="O779" s="49"/>
      <c r="P779" s="49">
        <f>IFERROR(__xludf.DUMMYFUNCTION("""COMPUTED_VALUE"""),100000.0)</f>
        <v>100000</v>
      </c>
      <c r="Q779" s="49"/>
      <c r="R779" s="49"/>
      <c r="S779" s="49"/>
      <c r="T779" s="49"/>
      <c r="U779" s="49"/>
      <c r="V779" s="49"/>
      <c r="W779" s="49"/>
      <c r="X779" s="49"/>
      <c r="Y779" s="49"/>
      <c r="Z779" s="49"/>
      <c r="AA779" s="49"/>
      <c r="AB779" s="49"/>
      <c r="AC779" s="49"/>
      <c r="AD779" s="49"/>
      <c r="AE779" s="49"/>
      <c r="AF779" s="49"/>
      <c r="AG779" s="49" t="str">
        <f>IFERROR(__xludf.DUMMYFUNCTION("""COMPUTED_VALUE"""),"Abstara")</f>
        <v>Abstara</v>
      </c>
      <c r="AH779" s="49" t="b">
        <f>IFERROR(__xludf.DUMMYFUNCTION("""COMPUTED_VALUE"""),FALSE)</f>
        <v>0</v>
      </c>
    </row>
    <row r="780">
      <c r="A780" s="49"/>
      <c r="B780" s="49"/>
      <c r="C780" s="49"/>
      <c r="D780" s="49"/>
      <c r="E780" s="49">
        <f>IFERROR(__xludf.DUMMYFUNCTION("""COMPUTED_VALUE"""),1.0)</f>
        <v>1</v>
      </c>
      <c r="F780" s="112">
        <f>IFERROR(__xludf.DUMMYFUNCTION("""COMPUTED_VALUE"""),0.0)</f>
        <v>0</v>
      </c>
      <c r="G780" s="49" t="str">
        <f>IFERROR(__xludf.DUMMYFUNCTION("""COMPUTED_VALUE"""),"DMG")</f>
        <v>DMG</v>
      </c>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c r="AE780" s="49"/>
      <c r="AF780" s="49"/>
      <c r="AG780" s="49"/>
      <c r="AH780" s="49" t="b">
        <f>IFERROR(__xludf.DUMMYFUNCTION("""COMPUTED_VALUE"""),FALSE)</f>
        <v>0</v>
      </c>
    </row>
    <row r="781">
      <c r="A781" s="49" t="str">
        <f>IFERROR(__xludf.DUMMYFUNCTION("""COMPUTED_VALUE"""),"Weight of Sin")</f>
        <v>Weight of Sin</v>
      </c>
      <c r="B781" s="49" t="str">
        <f>IFERROR(__xludf.DUMMYFUNCTION("""COMPUTED_VALUE"""),"Torso")</f>
        <v>Torso</v>
      </c>
      <c r="C781" s="49"/>
      <c r="D781" s="49" t="str">
        <f>IFERROR(__xludf.DUMMYFUNCTION("""COMPUTED_VALUE"""),"Item")</f>
        <v>Item</v>
      </c>
      <c r="E781" s="49">
        <f>IFERROR(__xludf.DUMMYFUNCTION("""COMPUTED_VALUE"""),11200.0)</f>
        <v>11200</v>
      </c>
      <c r="F781" s="112">
        <f>IFERROR(__xludf.DUMMYFUNCTION("""COMPUTED_VALUE"""),6.2664E9)</f>
        <v>6266400000</v>
      </c>
      <c r="G781" s="49" t="str">
        <f>IFERROR(__xludf.DUMMYFUNCTION("""COMPUTED_VALUE"""),"DEF")</f>
        <v>DEF</v>
      </c>
      <c r="H781" s="49">
        <f>IFERROR(__xludf.DUMMYFUNCTION("""COMPUTED_VALUE"""),560000.0)</f>
        <v>560000</v>
      </c>
      <c r="I781" s="49"/>
      <c r="J781" s="49"/>
      <c r="K781" s="49"/>
      <c r="L781" s="49"/>
      <c r="M781" s="49"/>
      <c r="N781" s="49"/>
      <c r="O781" s="49"/>
      <c r="P781" s="49"/>
      <c r="Q781" s="49"/>
      <c r="R781" s="49"/>
      <c r="S781" s="49"/>
      <c r="T781" s="49"/>
      <c r="U781" s="49"/>
      <c r="V781" s="49"/>
      <c r="W781" s="49"/>
      <c r="X781" s="49"/>
      <c r="Y781" s="49"/>
      <c r="Z781" s="49"/>
      <c r="AA781" s="49"/>
      <c r="AB781" s="49"/>
      <c r="AC781" s="49"/>
      <c r="AD781" s="49"/>
      <c r="AE781" s="49"/>
      <c r="AF781" s="49" t="str">
        <f>IFERROR(__xludf.DUMMYFUNCTION("""COMPUTED_VALUE"""),"+-Always go last in turn order, +-Cannot be removed")</f>
        <v>+-Always go last in turn order, +-Cannot be removed</v>
      </c>
      <c r="AG781" s="49" t="str">
        <f>IFERROR(__xludf.DUMMYFUNCTION("""COMPUTED_VALUE"""),"Abstara")</f>
        <v>Abstara</v>
      </c>
      <c r="AH781" s="49" t="b">
        <f>IFERROR(__xludf.DUMMYFUNCTION("""COMPUTED_VALUE"""),FALSE)</f>
        <v>0</v>
      </c>
    </row>
    <row r="782">
      <c r="A782" s="49" t="str">
        <f>IFERROR(__xludf.DUMMYFUNCTION("""COMPUTED_VALUE"""),"Volcano's Summit")</f>
        <v>Volcano's Summit</v>
      </c>
      <c r="B782" s="49" t="str">
        <f>IFERROR(__xludf.DUMMYFUNCTION("""COMPUTED_VALUE"""),"Head")</f>
        <v>Head</v>
      </c>
      <c r="C782" s="49"/>
      <c r="D782" s="49" t="str">
        <f>IFERROR(__xludf.DUMMYFUNCTION("""COMPUTED_VALUE"""),"Item")</f>
        <v>Item</v>
      </c>
      <c r="E782" s="49">
        <f>IFERROR(__xludf.DUMMYFUNCTION("""COMPUTED_VALUE"""),4000.0)</f>
        <v>4000</v>
      </c>
      <c r="F782" s="112">
        <f>IFERROR(__xludf.DUMMYFUNCTION("""COMPUTED_VALUE"""),7.98E8)</f>
        <v>798000000</v>
      </c>
      <c r="G782" s="49" t="str">
        <f>IFERROR(__xludf.DUMMYFUNCTION("""COMPUTED_VALUE"""),"DEF")</f>
        <v>DEF</v>
      </c>
      <c r="H782" s="49"/>
      <c r="I782" s="49">
        <f>IFERROR(__xludf.DUMMYFUNCTION("""COMPUTED_VALUE"""),200000.0)</f>
        <v>200000</v>
      </c>
      <c r="J782" s="49"/>
      <c r="K782" s="49"/>
      <c r="L782" s="49"/>
      <c r="M782" s="49"/>
      <c r="N782" s="49"/>
      <c r="O782" s="49"/>
      <c r="P782" s="49"/>
      <c r="Q782" s="49"/>
      <c r="R782" s="49"/>
      <c r="S782" s="49"/>
      <c r="T782" s="49"/>
      <c r="U782" s="49"/>
      <c r="V782" s="49"/>
      <c r="W782" s="49"/>
      <c r="X782" s="49"/>
      <c r="Y782" s="49"/>
      <c r="Z782" s="49"/>
      <c r="AA782" s="49"/>
      <c r="AB782" s="49"/>
      <c r="AC782" s="49"/>
      <c r="AD782" s="49"/>
      <c r="AE782" s="49"/>
      <c r="AF782" s="49" t="str">
        <f>IFERROR(__xludf.DUMMYFUNCTION("""COMPUTED_VALUE"""),"++X2 Fire damage")</f>
        <v>++X2 Fire damage</v>
      </c>
      <c r="AG782" s="49" t="str">
        <f>IFERROR(__xludf.DUMMYFUNCTION("""COMPUTED_VALUE"""),"Abstara")</f>
        <v>Abstara</v>
      </c>
      <c r="AH782" s="49" t="b">
        <f>IFERROR(__xludf.DUMMYFUNCTION("""COMPUTED_VALUE"""),FALSE)</f>
        <v>0</v>
      </c>
    </row>
    <row r="783">
      <c r="A783" s="49"/>
      <c r="B783" s="49"/>
      <c r="C783" s="49"/>
      <c r="D783" s="49"/>
      <c r="E783" s="49">
        <f>IFERROR(__xludf.DUMMYFUNCTION("""COMPUTED_VALUE"""),1.0)</f>
        <v>1</v>
      </c>
      <c r="F783" s="112">
        <f>IFERROR(__xludf.DUMMYFUNCTION("""COMPUTED_VALUE"""),0.0)</f>
        <v>0</v>
      </c>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c r="AE783" s="49"/>
      <c r="AF783" s="49"/>
      <c r="AG783" s="49"/>
      <c r="AH783" s="49" t="b">
        <f>IFERROR(__xludf.DUMMYFUNCTION("""COMPUTED_VALUE"""),FALSE)</f>
        <v>0</v>
      </c>
    </row>
    <row r="784">
      <c r="A784" s="49" t="str">
        <f>IFERROR(__xludf.DUMMYFUNCTION("""COMPUTED_VALUE"""),"Long Distance Loveletter")</f>
        <v>Long Distance Loveletter</v>
      </c>
      <c r="B784" s="49" t="str">
        <f>IFERROR(__xludf.DUMMYFUNCTION("""COMPUTED_VALUE"""),"Hand")</f>
        <v>Hand</v>
      </c>
      <c r="C784" s="49"/>
      <c r="D784" s="49" t="str">
        <f>IFERROR(__xludf.DUMMYFUNCTION("""COMPUTED_VALUE"""),"Firearm")</f>
        <v>Firearm</v>
      </c>
      <c r="E784" s="49">
        <f>IFERROR(__xludf.DUMMYFUNCTION("""COMPUTED_VALUE"""),12000.0)</f>
        <v>12000</v>
      </c>
      <c r="F784" s="112">
        <f>IFERROR(__xludf.DUMMYFUNCTION("""COMPUTED_VALUE"""),7.194E9)</f>
        <v>7194000000</v>
      </c>
      <c r="G784" s="49" t="str">
        <f>IFERROR(__xludf.DUMMYFUNCTION("""COMPUTED_VALUE"""),"DMG")</f>
        <v>DMG</v>
      </c>
      <c r="H784" s="49">
        <f>IFERROR(__xludf.DUMMYFUNCTION("""COMPUTED_VALUE"""),600000.0)</f>
        <v>600000</v>
      </c>
      <c r="I784" s="49"/>
      <c r="J784" s="49"/>
      <c r="K784" s="49"/>
      <c r="L784" s="49"/>
      <c r="M784" s="49"/>
      <c r="N784" s="49"/>
      <c r="O784" s="49"/>
      <c r="P784" s="49"/>
      <c r="Q784" s="49"/>
      <c r="R784" s="49"/>
      <c r="S784" s="49"/>
      <c r="T784" s="49"/>
      <c r="U784" s="49"/>
      <c r="V784" s="49"/>
      <c r="W784" s="49"/>
      <c r="X784" s="49"/>
      <c r="Y784" s="49"/>
      <c r="Z784" s="49"/>
      <c r="AA784" s="49"/>
      <c r="AB784" s="49"/>
      <c r="AC784" s="49"/>
      <c r="AD784" s="49"/>
      <c r="AE784" s="49"/>
      <c r="AF784" s="49" t="str">
        <f>IFERROR(__xludf.DUMMYFUNCTION("""COMPUTED_VALUE"""),"++10% chance for 1 enemy to become an ally at the beginning of battle.")</f>
        <v>++10% chance for 1 enemy to become an ally at the beginning of battle.</v>
      </c>
      <c r="AG784" s="49" t="str">
        <f>IFERROR(__xludf.DUMMYFUNCTION("""COMPUTED_VALUE"""),"Abstara")</f>
        <v>Abstara</v>
      </c>
      <c r="AH784" s="49" t="b">
        <f>IFERROR(__xludf.DUMMYFUNCTION("""COMPUTED_VALUE"""),FALSE)</f>
        <v>0</v>
      </c>
    </row>
    <row r="785">
      <c r="A785" s="49" t="str">
        <f>IFERROR(__xludf.DUMMYFUNCTION("""COMPUTED_VALUE"""),"Cursed Child's Hatchet")</f>
        <v>Cursed Child's Hatchet</v>
      </c>
      <c r="B785" s="49" t="str">
        <f>IFERROR(__xludf.DUMMYFUNCTION("""COMPUTED_VALUE"""),"Hand")</f>
        <v>Hand</v>
      </c>
      <c r="C785" s="49"/>
      <c r="D785" s="49" t="str">
        <f>IFERROR(__xludf.DUMMYFUNCTION("""COMPUTED_VALUE"""),"Axe")</f>
        <v>Axe</v>
      </c>
      <c r="E785" s="49">
        <f>IFERROR(__xludf.DUMMYFUNCTION("""COMPUTED_VALUE"""),3000.0)</f>
        <v>3000</v>
      </c>
      <c r="F785" s="112">
        <f>IFERROR(__xludf.DUMMYFUNCTION("""COMPUTED_VALUE"""),4.485E8)</f>
        <v>448500000</v>
      </c>
      <c r="G785" s="49" t="str">
        <f>IFERROR(__xludf.DUMMYFUNCTION("""COMPUTED_VALUE"""),"DMG")</f>
        <v>DMG</v>
      </c>
      <c r="H785" s="49">
        <f>IFERROR(__xludf.DUMMYFUNCTION("""COMPUTED_VALUE"""),150000.0)</f>
        <v>150000</v>
      </c>
      <c r="I785" s="49"/>
      <c r="J785" s="49"/>
      <c r="K785" s="49"/>
      <c r="L785" s="49"/>
      <c r="M785" s="49"/>
      <c r="N785" s="49"/>
      <c r="O785" s="49"/>
      <c r="P785" s="49"/>
      <c r="Q785" s="49"/>
      <c r="R785" s="49"/>
      <c r="S785" s="49"/>
      <c r="T785" s="49"/>
      <c r="U785" s="49"/>
      <c r="V785" s="49"/>
      <c r="W785" s="49"/>
      <c r="X785" s="49"/>
      <c r="Y785" s="49"/>
      <c r="Z785" s="49"/>
      <c r="AA785" s="49"/>
      <c r="AB785" s="49"/>
      <c r="AC785" s="49"/>
      <c r="AD785" s="49"/>
      <c r="AE785" s="49"/>
      <c r="AF785" s="49" t="str">
        <f>IFERROR(__xludf.DUMMYFUNCTION("""COMPUTED_VALUE"""),"+- 15% chance of attacking a random ally")</f>
        <v>+- 15% chance of attacking a random ally</v>
      </c>
      <c r="AG785" s="49" t="str">
        <f>IFERROR(__xludf.DUMMYFUNCTION("""COMPUTED_VALUE"""),"Abstara")</f>
        <v>Abstara</v>
      </c>
      <c r="AH785" s="49" t="b">
        <f>IFERROR(__xludf.DUMMYFUNCTION("""COMPUTED_VALUE"""),FALSE)</f>
        <v>0</v>
      </c>
    </row>
    <row r="786">
      <c r="A786" s="49" t="str">
        <f>IFERROR(__xludf.DUMMYFUNCTION("""COMPUTED_VALUE"""),"Helm of Lost Hope")</f>
        <v>Helm of Lost Hope</v>
      </c>
      <c r="B786" s="49" t="str">
        <f>IFERROR(__xludf.DUMMYFUNCTION("""COMPUTED_VALUE"""),"Head")</f>
        <v>Head</v>
      </c>
      <c r="C786" s="49"/>
      <c r="D786" s="49" t="str">
        <f>IFERROR(__xludf.DUMMYFUNCTION("""COMPUTED_VALUE"""),"Item")</f>
        <v>Item</v>
      </c>
      <c r="E786" s="49">
        <f>IFERROR(__xludf.DUMMYFUNCTION("""COMPUTED_VALUE"""),6800.0)</f>
        <v>6800</v>
      </c>
      <c r="F786" s="112">
        <f>IFERROR(__xludf.DUMMYFUNCTION("""COMPUTED_VALUE"""),2.3086E9)</f>
        <v>2308600000</v>
      </c>
      <c r="G786" s="49" t="str">
        <f>IFERROR(__xludf.DUMMYFUNCTION("""COMPUTED_VALUE"""),"DEF")</f>
        <v>DEF</v>
      </c>
      <c r="H786" s="49">
        <f>IFERROR(__xludf.DUMMYFUNCTION("""COMPUTED_VALUE"""),340000.0)</f>
        <v>340000</v>
      </c>
      <c r="I786" s="49"/>
      <c r="J786" s="49"/>
      <c r="K786" s="49"/>
      <c r="L786" s="49"/>
      <c r="M786" s="49"/>
      <c r="N786" s="49"/>
      <c r="O786" s="49"/>
      <c r="P786" s="49"/>
      <c r="Q786" s="49"/>
      <c r="R786" s="49"/>
      <c r="S786" s="49"/>
      <c r="T786" s="49"/>
      <c r="U786" s="49"/>
      <c r="V786" s="49"/>
      <c r="W786" s="49"/>
      <c r="X786" s="49"/>
      <c r="Y786" s="49"/>
      <c r="Z786" s="49"/>
      <c r="AA786" s="49"/>
      <c r="AB786" s="49"/>
      <c r="AC786" s="49"/>
      <c r="AD786" s="49"/>
      <c r="AE786" s="49"/>
      <c r="AF786" s="49"/>
      <c r="AG786" s="49" t="str">
        <f>IFERROR(__xludf.DUMMYFUNCTION("""COMPUTED_VALUE"""),"Abstara")</f>
        <v>Abstara</v>
      </c>
      <c r="AH786" s="49" t="b">
        <f>IFERROR(__xludf.DUMMYFUNCTION("""COMPUTED_VALUE"""),FALSE)</f>
        <v>0</v>
      </c>
    </row>
    <row r="787">
      <c r="A787" s="49" t="str">
        <f>IFERROR(__xludf.DUMMYFUNCTION("""COMPUTED_VALUE"""),"Cursed Shield")</f>
        <v>Cursed Shield</v>
      </c>
      <c r="B787" s="49" t="str">
        <f>IFERROR(__xludf.DUMMYFUNCTION("""COMPUTED_VALUE"""),"Hand")</f>
        <v>Hand</v>
      </c>
      <c r="C787" s="49"/>
      <c r="D787" s="49" t="str">
        <f>IFERROR(__xludf.DUMMYFUNCTION("""COMPUTED_VALUE"""),"Towershield")</f>
        <v>Towershield</v>
      </c>
      <c r="E787" s="49">
        <f>IFERROR(__xludf.DUMMYFUNCTION("""COMPUTED_VALUE"""),3200.0)</f>
        <v>3200</v>
      </c>
      <c r="F787" s="112">
        <f>IFERROR(__xludf.DUMMYFUNCTION("""COMPUTED_VALUE"""),5.104E8)</f>
        <v>510400000</v>
      </c>
      <c r="G787" s="49" t="str">
        <f>IFERROR(__xludf.DUMMYFUNCTION("""COMPUTED_VALUE"""),"DEF")</f>
        <v>DEF</v>
      </c>
      <c r="H787" s="49">
        <f>IFERROR(__xludf.DUMMYFUNCTION("""COMPUTED_VALUE"""),160000.0)</f>
        <v>160000</v>
      </c>
      <c r="I787" s="49"/>
      <c r="J787" s="49"/>
      <c r="K787" s="49"/>
      <c r="L787" s="49"/>
      <c r="M787" s="49"/>
      <c r="N787" s="49"/>
      <c r="O787" s="49"/>
      <c r="P787" s="49"/>
      <c r="Q787" s="49"/>
      <c r="R787" s="49"/>
      <c r="S787" s="49"/>
      <c r="T787" s="49"/>
      <c r="U787" s="49"/>
      <c r="V787" s="49"/>
      <c r="W787" s="49"/>
      <c r="X787" s="49"/>
      <c r="Y787" s="49"/>
      <c r="Z787" s="49"/>
      <c r="AA787" s="49"/>
      <c r="AB787" s="49"/>
      <c r="AC787" s="49"/>
      <c r="AD787" s="49"/>
      <c r="AE787" s="49"/>
      <c r="AF787" s="49" t="str">
        <f>IFERROR(__xludf.DUMMYFUNCTION("""COMPUTED_VALUE"""),"+-Unequipping destroys the item")</f>
        <v>+-Unequipping destroys the item</v>
      </c>
      <c r="AG787" s="49" t="str">
        <f>IFERROR(__xludf.DUMMYFUNCTION("""COMPUTED_VALUE"""),"Abstara")</f>
        <v>Abstara</v>
      </c>
      <c r="AH787" s="49" t="b">
        <f>IFERROR(__xludf.DUMMYFUNCTION("""COMPUTED_VALUE"""),FALSE)</f>
        <v>0</v>
      </c>
    </row>
    <row r="788">
      <c r="A788" s="49" t="str">
        <f>IFERROR(__xludf.DUMMYFUNCTION("""COMPUTED_VALUE"""),"Dragonscale Buckler")</f>
        <v>Dragonscale Buckler</v>
      </c>
      <c r="B788" s="49" t="str">
        <f>IFERROR(__xludf.DUMMYFUNCTION("""COMPUTED_VALUE"""),"Hand")</f>
        <v>Hand</v>
      </c>
      <c r="C788" s="49"/>
      <c r="D788" s="49" t="str">
        <f>IFERROR(__xludf.DUMMYFUNCTION("""COMPUTED_VALUE"""),"Buckler")</f>
        <v>Buckler</v>
      </c>
      <c r="E788" s="49">
        <f>IFERROR(__xludf.DUMMYFUNCTION("""COMPUTED_VALUE"""),2140.0)</f>
        <v>2140</v>
      </c>
      <c r="F788" s="112">
        <f>IFERROR(__xludf.DUMMYFUNCTION("""COMPUTED_VALUE"""),2.2791E8)</f>
        <v>227910000</v>
      </c>
      <c r="G788" s="49" t="str">
        <f>IFERROR(__xludf.DUMMYFUNCTION("""COMPUTED_VALUE"""),"DEF")</f>
        <v>DEF</v>
      </c>
      <c r="H788" s="49">
        <f>IFERROR(__xludf.DUMMYFUNCTION("""COMPUTED_VALUE"""),107000.0)</f>
        <v>107000</v>
      </c>
      <c r="I788" s="49"/>
      <c r="J788" s="49"/>
      <c r="K788" s="49"/>
      <c r="L788" s="49"/>
      <c r="M788" s="49"/>
      <c r="N788" s="49"/>
      <c r="O788" s="49"/>
      <c r="P788" s="49"/>
      <c r="Q788" s="49"/>
      <c r="R788" s="49"/>
      <c r="S788" s="49"/>
      <c r="T788" s="49"/>
      <c r="U788" s="49"/>
      <c r="V788" s="49"/>
      <c r="W788" s="49"/>
      <c r="X788" s="49"/>
      <c r="Y788" s="49"/>
      <c r="Z788" s="49"/>
      <c r="AA788" s="49"/>
      <c r="AB788" s="49"/>
      <c r="AC788" s="49"/>
      <c r="AD788" s="49"/>
      <c r="AE788" s="49"/>
      <c r="AF788" s="49"/>
      <c r="AG788" s="49" t="str">
        <f>IFERROR(__xludf.DUMMYFUNCTION("""COMPUTED_VALUE"""),"Dragonscale Island")</f>
        <v>Dragonscale Island</v>
      </c>
      <c r="AH788" s="49" t="b">
        <f>IFERROR(__xludf.DUMMYFUNCTION("""COMPUTED_VALUE"""),FALSE)</f>
        <v>0</v>
      </c>
    </row>
    <row r="789">
      <c r="A789" s="49" t="str">
        <f>IFERROR(__xludf.DUMMYFUNCTION("""COMPUTED_VALUE"""),"Magma Trident")</f>
        <v>Magma Trident</v>
      </c>
      <c r="B789" s="49" t="str">
        <f>IFERROR(__xludf.DUMMYFUNCTION("""COMPUTED_VALUE"""),"Hand")</f>
        <v>Hand</v>
      </c>
      <c r="C789" s="49"/>
      <c r="D789" s="49" t="str">
        <f>IFERROR(__xludf.DUMMYFUNCTION("""COMPUTED_VALUE"""),"Spear")</f>
        <v>Spear</v>
      </c>
      <c r="E789" s="49">
        <f>IFERROR(__xludf.DUMMYFUNCTION("""COMPUTED_VALUE"""),4000.0)</f>
        <v>4000</v>
      </c>
      <c r="F789" s="112">
        <f>IFERROR(__xludf.DUMMYFUNCTION("""COMPUTED_VALUE"""),7.98E8)</f>
        <v>798000000</v>
      </c>
      <c r="G789" s="49" t="str">
        <f>IFERROR(__xludf.DUMMYFUNCTION("""COMPUTED_VALUE"""),"DMG")</f>
        <v>DMG</v>
      </c>
      <c r="H789" s="49">
        <f>IFERROR(__xludf.DUMMYFUNCTION("""COMPUTED_VALUE"""),100000.0)</f>
        <v>100000</v>
      </c>
      <c r="I789" s="49">
        <f>IFERROR(__xludf.DUMMYFUNCTION("""COMPUTED_VALUE"""),100000.0)</f>
        <v>100000</v>
      </c>
      <c r="J789" s="49"/>
      <c r="K789" s="49"/>
      <c r="L789" s="49"/>
      <c r="M789" s="49"/>
      <c r="N789" s="49"/>
      <c r="O789" s="49"/>
      <c r="P789" s="49"/>
      <c r="Q789" s="49"/>
      <c r="R789" s="49"/>
      <c r="S789" s="49"/>
      <c r="T789" s="49"/>
      <c r="U789" s="49"/>
      <c r="V789" s="49"/>
      <c r="W789" s="49"/>
      <c r="X789" s="49"/>
      <c r="Y789" s="49"/>
      <c r="Z789" s="49"/>
      <c r="AA789" s="49"/>
      <c r="AB789" s="49"/>
      <c r="AC789" s="49"/>
      <c r="AD789" s="49"/>
      <c r="AE789" s="49"/>
      <c r="AF789" s="49"/>
      <c r="AG789" s="49" t="str">
        <f>IFERROR(__xludf.DUMMYFUNCTION("""COMPUTED_VALUE"""),"Abstara")</f>
        <v>Abstara</v>
      </c>
      <c r="AH789" s="49" t="b">
        <f>IFERROR(__xludf.DUMMYFUNCTION("""COMPUTED_VALUE"""),FALSE)</f>
        <v>0</v>
      </c>
    </row>
    <row r="790">
      <c r="A790" s="49" t="str">
        <f>IFERROR(__xludf.DUMMYFUNCTION("""COMPUTED_VALUE"""),"Bonemerang")</f>
        <v>Bonemerang</v>
      </c>
      <c r="B790" s="49" t="str">
        <f>IFERROR(__xludf.DUMMYFUNCTION("""COMPUTED_VALUE"""),"Hand")</f>
        <v>Hand</v>
      </c>
      <c r="C790" s="49"/>
      <c r="D790" s="49" t="str">
        <f>IFERROR(__xludf.DUMMYFUNCTION("""COMPUTED_VALUE"""),"Boomerang")</f>
        <v>Boomerang</v>
      </c>
      <c r="E790" s="49">
        <f>IFERROR(__xludf.DUMMYFUNCTION("""COMPUTED_VALUE"""),5200.0)</f>
        <v>5200</v>
      </c>
      <c r="F790" s="112">
        <f>IFERROR(__xludf.DUMMYFUNCTION("""COMPUTED_VALUE"""),1.3494E9)</f>
        <v>1349400000</v>
      </c>
      <c r="G790" s="49" t="str">
        <f>IFERROR(__xludf.DUMMYFUNCTION("""COMPUTED_VALUE"""),"DMG")</f>
        <v>DMG</v>
      </c>
      <c r="H790" s="49">
        <f>IFERROR(__xludf.DUMMYFUNCTION("""COMPUTED_VALUE"""),250000.0)</f>
        <v>250000</v>
      </c>
      <c r="I790" s="49"/>
      <c r="J790" s="49"/>
      <c r="K790" s="49"/>
      <c r="L790" s="49"/>
      <c r="M790" s="49"/>
      <c r="N790" s="49"/>
      <c r="O790" s="49"/>
      <c r="P790" s="49"/>
      <c r="Q790" s="49"/>
      <c r="R790" s="49">
        <f>IFERROR(__xludf.DUMMYFUNCTION("""COMPUTED_VALUE"""),10000.0)</f>
        <v>10000</v>
      </c>
      <c r="S790" s="49"/>
      <c r="T790" s="49"/>
      <c r="U790" s="49"/>
      <c r="V790" s="49"/>
      <c r="W790" s="49"/>
      <c r="X790" s="49"/>
      <c r="Y790" s="49"/>
      <c r="Z790" s="49"/>
      <c r="AA790" s="49"/>
      <c r="AB790" s="49"/>
      <c r="AC790" s="49"/>
      <c r="AD790" s="49"/>
      <c r="AE790" s="49"/>
      <c r="AF790" s="49"/>
      <c r="AG790" s="49" t="str">
        <f>IFERROR(__xludf.DUMMYFUNCTION("""COMPUTED_VALUE"""),"Abstara")</f>
        <v>Abstara</v>
      </c>
      <c r="AH790" s="49" t="b">
        <f>IFERROR(__xludf.DUMMYFUNCTION("""COMPUTED_VALUE"""),FALSE)</f>
        <v>0</v>
      </c>
    </row>
    <row r="791">
      <c r="A791" s="49" t="str">
        <f>IFERROR(__xludf.DUMMYFUNCTION("""COMPUTED_VALUE"""),"Blamerang")</f>
        <v>Blamerang</v>
      </c>
      <c r="B791" s="49" t="str">
        <f>IFERROR(__xludf.DUMMYFUNCTION("""COMPUTED_VALUE"""),"Hand")</f>
        <v>Hand</v>
      </c>
      <c r="C791" s="49"/>
      <c r="D791" s="49" t="str">
        <f>IFERROR(__xludf.DUMMYFUNCTION("""COMPUTED_VALUE"""),"Boomerang")</f>
        <v>Boomerang</v>
      </c>
      <c r="E791" s="49">
        <f>IFERROR(__xludf.DUMMYFUNCTION("""COMPUTED_VALUE"""),4400.0)</f>
        <v>4400</v>
      </c>
      <c r="F791" s="112">
        <f>IFERROR(__xludf.DUMMYFUNCTION("""COMPUTED_VALUE"""),9.658E8)</f>
        <v>965800000</v>
      </c>
      <c r="G791" s="49" t="str">
        <f>IFERROR(__xludf.DUMMYFUNCTION("""COMPUTED_VALUE"""),"DMG")</f>
        <v>DMG</v>
      </c>
      <c r="H791" s="49">
        <f>IFERROR(__xludf.DUMMYFUNCTION("""COMPUTED_VALUE"""),20000.0)</f>
        <v>20000</v>
      </c>
      <c r="I791" s="49">
        <f>IFERROR(__xludf.DUMMYFUNCTION("""COMPUTED_VALUE"""),200000.0)</f>
        <v>200000</v>
      </c>
      <c r="J791" s="49"/>
      <c r="K791" s="49"/>
      <c r="L791" s="49"/>
      <c r="M791" s="49"/>
      <c r="N791" s="49"/>
      <c r="O791" s="49"/>
      <c r="P791" s="49"/>
      <c r="Q791" s="49"/>
      <c r="R791" s="49"/>
      <c r="S791" s="49"/>
      <c r="T791" s="49"/>
      <c r="U791" s="49"/>
      <c r="V791" s="49"/>
      <c r="W791" s="49"/>
      <c r="X791" s="49"/>
      <c r="Y791" s="49"/>
      <c r="Z791" s="49"/>
      <c r="AA791" s="49"/>
      <c r="AB791" s="49"/>
      <c r="AC791" s="49"/>
      <c r="AD791" s="49"/>
      <c r="AE791" s="49"/>
      <c r="AF791" s="49" t="str">
        <f>IFERROR(__xludf.DUMMYFUNCTION("""COMPUTED_VALUE"""),"++Explodes when thrown at an enemy, hitting other enemies")</f>
        <v>++Explodes when thrown at an enemy, hitting other enemies</v>
      </c>
      <c r="AG791" s="49" t="str">
        <f>IFERROR(__xludf.DUMMYFUNCTION("""COMPUTED_VALUE"""),"Abstara")</f>
        <v>Abstara</v>
      </c>
      <c r="AH791" s="49" t="b">
        <f>IFERROR(__xludf.DUMMYFUNCTION("""COMPUTED_VALUE"""),FALSE)</f>
        <v>0</v>
      </c>
    </row>
    <row r="792">
      <c r="A792" s="49" t="str">
        <f>IFERROR(__xludf.DUMMYFUNCTION("""COMPUTED_VALUE"""),"Condemned Bow")</f>
        <v>Condemned Bow</v>
      </c>
      <c r="B792" s="49" t="str">
        <f>IFERROR(__xludf.DUMMYFUNCTION("""COMPUTED_VALUE"""),"Hand")</f>
        <v>Hand</v>
      </c>
      <c r="C792" s="49"/>
      <c r="D792" s="49" t="str">
        <f>IFERROR(__xludf.DUMMYFUNCTION("""COMPUTED_VALUE"""),"Bow")</f>
        <v>Bow</v>
      </c>
      <c r="E792" s="49">
        <f>IFERROR(__xludf.DUMMYFUNCTION("""COMPUTED_VALUE"""),6000.0)</f>
        <v>6000</v>
      </c>
      <c r="F792" s="112">
        <f>IFERROR(__xludf.DUMMYFUNCTION("""COMPUTED_VALUE"""),1.797E9)</f>
        <v>1797000000</v>
      </c>
      <c r="G792" s="49" t="str">
        <f>IFERROR(__xludf.DUMMYFUNCTION("""COMPUTED_VALUE"""),"DMG")</f>
        <v>DMG</v>
      </c>
      <c r="H792" s="49">
        <f>IFERROR(__xludf.DUMMYFUNCTION("""COMPUTED_VALUE"""),300000.0)</f>
        <v>300000</v>
      </c>
      <c r="I792" s="49"/>
      <c r="J792" s="49"/>
      <c r="K792" s="49"/>
      <c r="L792" s="49"/>
      <c r="M792" s="49"/>
      <c r="N792" s="49"/>
      <c r="O792" s="49"/>
      <c r="P792" s="49"/>
      <c r="Q792" s="49"/>
      <c r="R792" s="49"/>
      <c r="S792" s="49"/>
      <c r="T792" s="49"/>
      <c r="U792" s="49"/>
      <c r="V792" s="49"/>
      <c r="W792" s="49"/>
      <c r="X792" s="49"/>
      <c r="Y792" s="49"/>
      <c r="Z792" s="49"/>
      <c r="AA792" s="49"/>
      <c r="AB792" s="49"/>
      <c r="AC792" s="49"/>
      <c r="AD792" s="49"/>
      <c r="AE792" s="49"/>
      <c r="AF792" s="49" t="str">
        <f>IFERROR(__xludf.DUMMYFUNCTION("""COMPUTED_VALUE"""),"+-5% chance for the DM to take control of your turn")</f>
        <v>+-5% chance for the DM to take control of your turn</v>
      </c>
      <c r="AG792" s="49" t="str">
        <f>IFERROR(__xludf.DUMMYFUNCTION("""COMPUTED_VALUE"""),"Abstara")</f>
        <v>Abstara</v>
      </c>
      <c r="AH792" s="49" t="b">
        <f>IFERROR(__xludf.DUMMYFUNCTION("""COMPUTED_VALUE"""),FALSE)</f>
        <v>0</v>
      </c>
    </row>
    <row r="793">
      <c r="A793" s="49" t="str">
        <f>IFERROR(__xludf.DUMMYFUNCTION("""COMPUTED_VALUE"""),"Ancient Blacksmith's Soul In A Bottle")</f>
        <v>Ancient Blacksmith's Soul In A Bottle</v>
      </c>
      <c r="B793" s="49" t="str">
        <f>IFERROR(__xludf.DUMMYFUNCTION("""COMPUTED_VALUE"""),"Neck")</f>
        <v>Neck</v>
      </c>
      <c r="C793" s="49"/>
      <c r="D793" s="49" t="str">
        <f>IFERROR(__xludf.DUMMYFUNCTION("""COMPUTED_VALUE"""),"Item")</f>
        <v>Item</v>
      </c>
      <c r="E793" s="49">
        <f>IFERROR(__xludf.DUMMYFUNCTION("""COMPUTED_VALUE"""),1.0)</f>
        <v>1</v>
      </c>
      <c r="F793" s="112">
        <f>IFERROR(__xludf.DUMMYFUNCTION("""COMPUTED_VALUE"""),0.0)</f>
        <v>0</v>
      </c>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c r="AE793" s="49"/>
      <c r="AF793" s="49"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49" t="str">
        <f>IFERROR(__xludf.DUMMYFUNCTION("""COMPUTED_VALUE"""),"Dragonscale Island")</f>
        <v>Dragonscale Island</v>
      </c>
      <c r="AH793" s="49" t="b">
        <f>IFERROR(__xludf.DUMMYFUNCTION("""COMPUTED_VALUE"""),FALSE)</f>
        <v>0</v>
      </c>
    </row>
    <row r="794">
      <c r="A794" s="49" t="str">
        <f>IFERROR(__xludf.DUMMYFUNCTION("""COMPUTED_VALUE"""),"Ancient Breeder's Soul In A Bottle")</f>
        <v>Ancient Breeder's Soul In A Bottle</v>
      </c>
      <c r="B794" s="49" t="str">
        <f>IFERROR(__xludf.DUMMYFUNCTION("""COMPUTED_VALUE"""),"Neck")</f>
        <v>Neck</v>
      </c>
      <c r="C794" s="49"/>
      <c r="D794" s="49" t="str">
        <f>IFERROR(__xludf.DUMMYFUNCTION("""COMPUTED_VALUE"""),"Item")</f>
        <v>Item</v>
      </c>
      <c r="E794" s="49">
        <f>IFERROR(__xludf.DUMMYFUNCTION("""COMPUTED_VALUE"""),1.0)</f>
        <v>1</v>
      </c>
      <c r="F794" s="112">
        <f>IFERROR(__xludf.DUMMYFUNCTION("""COMPUTED_VALUE"""),0.0)</f>
        <v>0</v>
      </c>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c r="AE794" s="49"/>
      <c r="AF794" s="49" t="str">
        <f>IFERROR(__xludf.DUMMYFUNCTION("""COMPUTED_VALUE"""),"++All creatures hatched from an egg deal X5 damage of all types.")</f>
        <v>++All creatures hatched from an egg deal X5 damage of all types.</v>
      </c>
      <c r="AG794" s="49" t="str">
        <f>IFERROR(__xludf.DUMMYFUNCTION("""COMPUTED_VALUE"""),"Dragonscale Island")</f>
        <v>Dragonscale Island</v>
      </c>
      <c r="AH794" s="49" t="b">
        <f>IFERROR(__xludf.DUMMYFUNCTION("""COMPUTED_VALUE"""),FALSE)</f>
        <v>0</v>
      </c>
    </row>
    <row r="795">
      <c r="A795" s="49" t="str">
        <f>IFERROR(__xludf.DUMMYFUNCTION("""COMPUTED_VALUE"""),"Ancient Crafter's Soul In A Bottle")</f>
        <v>Ancient Crafter's Soul In A Bottle</v>
      </c>
      <c r="B795" s="49" t="str">
        <f>IFERROR(__xludf.DUMMYFUNCTION("""COMPUTED_VALUE"""),"Neck")</f>
        <v>Neck</v>
      </c>
      <c r="C795" s="49"/>
      <c r="D795" s="49" t="str">
        <f>IFERROR(__xludf.DUMMYFUNCTION("""COMPUTED_VALUE"""),"Item")</f>
        <v>Item</v>
      </c>
      <c r="E795" s="49">
        <f>IFERROR(__xludf.DUMMYFUNCTION("""COMPUTED_VALUE"""),1.0)</f>
        <v>1</v>
      </c>
      <c r="F795" s="112">
        <f>IFERROR(__xludf.DUMMYFUNCTION("""COMPUTED_VALUE"""),0.0)</f>
        <v>0</v>
      </c>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c r="AE795" s="49"/>
      <c r="AF795" s="49" t="str">
        <f>IFERROR(__xludf.DUMMYFUNCTION("""COMPUTED_VALUE"""),"++Triples all crafting materials gathered")</f>
        <v>++Triples all crafting materials gathered</v>
      </c>
      <c r="AG795" s="49" t="str">
        <f>IFERROR(__xludf.DUMMYFUNCTION("""COMPUTED_VALUE"""),"Dragonscale Island")</f>
        <v>Dragonscale Island</v>
      </c>
      <c r="AH795" s="49" t="b">
        <f>IFERROR(__xludf.DUMMYFUNCTION("""COMPUTED_VALUE"""),FALSE)</f>
        <v>0</v>
      </c>
    </row>
    <row r="796">
      <c r="A796" s="49" t="str">
        <f>IFERROR(__xludf.DUMMYFUNCTION("""COMPUTED_VALUE"""),"Ancient Alchemist's Soul In A Bottle")</f>
        <v>Ancient Alchemist's Soul In A Bottle</v>
      </c>
      <c r="B796" s="49" t="str">
        <f>IFERROR(__xludf.DUMMYFUNCTION("""COMPUTED_VALUE"""),"Neck")</f>
        <v>Neck</v>
      </c>
      <c r="C796" s="49"/>
      <c r="D796" s="49" t="str">
        <f>IFERROR(__xludf.DUMMYFUNCTION("""COMPUTED_VALUE"""),"Item")</f>
        <v>Item</v>
      </c>
      <c r="E796" s="49">
        <f>IFERROR(__xludf.DUMMYFUNCTION("""COMPUTED_VALUE"""),1.0)</f>
        <v>1</v>
      </c>
      <c r="F796" s="112">
        <f>IFERROR(__xludf.DUMMYFUNCTION("""COMPUTED_VALUE"""),0.0)</f>
        <v>0</v>
      </c>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c r="AE796" s="49"/>
      <c r="AF796" s="49" t="str">
        <f>IFERROR(__xludf.DUMMYFUNCTION("""COMPUTED_VALUE"""),"++Doubles the effect of all herbs and potions")</f>
        <v>++Doubles the effect of all herbs and potions</v>
      </c>
      <c r="AG796" s="49" t="str">
        <f>IFERROR(__xludf.DUMMYFUNCTION("""COMPUTED_VALUE"""),"Dragonscale Island")</f>
        <v>Dragonscale Island</v>
      </c>
      <c r="AH796" s="49" t="b">
        <f>IFERROR(__xludf.DUMMYFUNCTION("""COMPUTED_VALUE"""),FALSE)</f>
        <v>0</v>
      </c>
    </row>
    <row r="797">
      <c r="A797" s="49" t="str">
        <f>IFERROR(__xludf.DUMMYFUNCTION("""COMPUTED_VALUE"""),"Ancient Farmer's Soul In A Bottle")</f>
        <v>Ancient Farmer's Soul In A Bottle</v>
      </c>
      <c r="B797" s="49" t="str">
        <f>IFERROR(__xludf.DUMMYFUNCTION("""COMPUTED_VALUE"""),"Neck")</f>
        <v>Neck</v>
      </c>
      <c r="C797" s="49"/>
      <c r="D797" s="49" t="str">
        <f>IFERROR(__xludf.DUMMYFUNCTION("""COMPUTED_VALUE"""),"Item")</f>
        <v>Item</v>
      </c>
      <c r="E797" s="49">
        <f>IFERROR(__xludf.DUMMYFUNCTION("""COMPUTED_VALUE"""),1.0)</f>
        <v>1</v>
      </c>
      <c r="F797" s="112">
        <f>IFERROR(__xludf.DUMMYFUNCTION("""COMPUTED_VALUE"""),0.0)</f>
        <v>0</v>
      </c>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c r="AE797" s="49"/>
      <c r="AF797" s="49" t="str">
        <f>IFERROR(__xludf.DUMMYFUNCTION("""COMPUTED_VALUE"""),"++Doubles all items harvested from your farms")</f>
        <v>++Doubles all items harvested from your farms</v>
      </c>
      <c r="AG797" s="49" t="str">
        <f>IFERROR(__xludf.DUMMYFUNCTION("""COMPUTED_VALUE"""),"Dragonscale Island")</f>
        <v>Dragonscale Island</v>
      </c>
      <c r="AH797" s="49" t="b">
        <f>IFERROR(__xludf.DUMMYFUNCTION("""COMPUTED_VALUE"""),FALSE)</f>
        <v>0</v>
      </c>
    </row>
    <row r="798">
      <c r="A798" s="49" t="str">
        <f>IFERROR(__xludf.DUMMYFUNCTION("""COMPUTED_VALUE"""),"Ancient Chef's Soul In A Bottle")</f>
        <v>Ancient Chef's Soul In A Bottle</v>
      </c>
      <c r="B798" s="49" t="str">
        <f>IFERROR(__xludf.DUMMYFUNCTION("""COMPUTED_VALUE"""),"Neck")</f>
        <v>Neck</v>
      </c>
      <c r="C798" s="49"/>
      <c r="D798" s="49" t="str">
        <f>IFERROR(__xludf.DUMMYFUNCTION("""COMPUTED_VALUE"""),"Item")</f>
        <v>Item</v>
      </c>
      <c r="E798" s="49">
        <f>IFERROR(__xludf.DUMMYFUNCTION("""COMPUTED_VALUE"""),1.0)</f>
        <v>1</v>
      </c>
      <c r="F798" s="112">
        <f>IFERROR(__xludf.DUMMYFUNCTION("""COMPUTED_VALUE"""),0.0)</f>
        <v>0</v>
      </c>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c r="AE798" s="49"/>
      <c r="AF798" s="49" t="str">
        <f>IFERROR(__xludf.DUMMYFUNCTION("""COMPUTED_VALUE"""),"++Doubles the effect of all food items cooked")</f>
        <v>++Doubles the effect of all food items cooked</v>
      </c>
      <c r="AG798" s="49" t="str">
        <f>IFERROR(__xludf.DUMMYFUNCTION("""COMPUTED_VALUE"""),"Dragonscale Island")</f>
        <v>Dragonscale Island</v>
      </c>
      <c r="AH798" s="49" t="b">
        <f>IFERROR(__xludf.DUMMYFUNCTION("""COMPUTED_VALUE"""),FALSE)</f>
        <v>0</v>
      </c>
    </row>
    <row r="799">
      <c r="A799" s="49" t="str">
        <f>IFERROR(__xludf.DUMMYFUNCTION("""COMPUTED_VALUE"""),"Ancient Miner's Soul In A Bottle")</f>
        <v>Ancient Miner's Soul In A Bottle</v>
      </c>
      <c r="B799" s="49" t="str">
        <f>IFERROR(__xludf.DUMMYFUNCTION("""COMPUTED_VALUE"""),"Neck")</f>
        <v>Neck</v>
      </c>
      <c r="C799" s="49"/>
      <c r="D799" s="49" t="str">
        <f>IFERROR(__xludf.DUMMYFUNCTION("""COMPUTED_VALUE"""),"Item")</f>
        <v>Item</v>
      </c>
      <c r="E799" s="49">
        <f>IFERROR(__xludf.DUMMYFUNCTION("""COMPUTED_VALUE"""),1.0)</f>
        <v>1</v>
      </c>
      <c r="F799" s="112">
        <f>IFERROR(__xludf.DUMMYFUNCTION("""COMPUTED_VALUE"""),0.0)</f>
        <v>0</v>
      </c>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c r="AE799" s="49"/>
      <c r="AF799" s="49" t="str">
        <f>IFERROR(__xludf.DUMMYFUNCTION("""COMPUTED_VALUE"""),"++Doubles all minerals obtained while mining")</f>
        <v>++Doubles all minerals obtained while mining</v>
      </c>
      <c r="AG799" s="49" t="str">
        <f>IFERROR(__xludf.DUMMYFUNCTION("""COMPUTED_VALUE"""),"Dragonscale Island")</f>
        <v>Dragonscale Island</v>
      </c>
      <c r="AH799" s="49" t="b">
        <f>IFERROR(__xludf.DUMMYFUNCTION("""COMPUTED_VALUE"""),FALSE)</f>
        <v>0</v>
      </c>
    </row>
    <row r="800">
      <c r="A800" s="49" t="str">
        <f>IFERROR(__xludf.DUMMYFUNCTION("""COMPUTED_VALUE"""),"Ancient Spira Guard's Soul In A Bottle")</f>
        <v>Ancient Spira Guard's Soul In A Bottle</v>
      </c>
      <c r="B800" s="49" t="str">
        <f>IFERROR(__xludf.DUMMYFUNCTION("""COMPUTED_VALUE"""),"Neck")</f>
        <v>Neck</v>
      </c>
      <c r="C800" s="49"/>
      <c r="D800" s="49" t="str">
        <f>IFERROR(__xludf.DUMMYFUNCTION("""COMPUTED_VALUE"""),"Item")</f>
        <v>Item</v>
      </c>
      <c r="E800" s="49">
        <f>IFERROR(__xludf.DUMMYFUNCTION("""COMPUTED_VALUE"""),1.0)</f>
        <v>1</v>
      </c>
      <c r="F800" s="112">
        <f>IFERROR(__xludf.DUMMYFUNCTION("""COMPUTED_VALUE"""),0.0)</f>
        <v>0</v>
      </c>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c r="AE800" s="49"/>
      <c r="AF800" s="49" t="str">
        <f>IFERROR(__xludf.DUMMYFUNCTION("""COMPUTED_VALUE"""),"++Add +5 to all rolls to arrest")</f>
        <v>++Add +5 to all rolls to arrest</v>
      </c>
      <c r="AG800" s="49" t="str">
        <f>IFERROR(__xludf.DUMMYFUNCTION("""COMPUTED_VALUE"""),"Dragonscale Island")</f>
        <v>Dragonscale Island</v>
      </c>
      <c r="AH800" s="49" t="b">
        <f>IFERROR(__xludf.DUMMYFUNCTION("""COMPUTED_VALUE"""),FALSE)</f>
        <v>0</v>
      </c>
    </row>
    <row r="801">
      <c r="A801" s="49" t="str">
        <f>IFERROR(__xludf.DUMMYFUNCTION("""COMPUTED_VALUE"""),"Ancient Fisherman's Soul In A Bottle")</f>
        <v>Ancient Fisherman's Soul In A Bottle</v>
      </c>
      <c r="B801" s="49" t="str">
        <f>IFERROR(__xludf.DUMMYFUNCTION("""COMPUTED_VALUE"""),"Neck")</f>
        <v>Neck</v>
      </c>
      <c r="C801" s="49"/>
      <c r="D801" s="49" t="str">
        <f>IFERROR(__xludf.DUMMYFUNCTION("""COMPUTED_VALUE"""),"Item")</f>
        <v>Item</v>
      </c>
      <c r="E801" s="49">
        <f>IFERROR(__xludf.DUMMYFUNCTION("""COMPUTED_VALUE"""),1.0)</f>
        <v>1</v>
      </c>
      <c r="F801" s="112">
        <f>IFERROR(__xludf.DUMMYFUNCTION("""COMPUTED_VALUE"""),0.0)</f>
        <v>0</v>
      </c>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c r="AE801" s="49"/>
      <c r="AF801" s="49" t="str">
        <f>IFERROR(__xludf.DUMMYFUNCTION("""COMPUTED_VALUE"""),"++Doubles all fish obtained while fishing")</f>
        <v>++Doubles all fish obtained while fishing</v>
      </c>
      <c r="AG801" s="49" t="str">
        <f>IFERROR(__xludf.DUMMYFUNCTION("""COMPUTED_VALUE"""),"Dragonscale Island")</f>
        <v>Dragonscale Island</v>
      </c>
      <c r="AH801" s="49" t="b">
        <f>IFERROR(__xludf.DUMMYFUNCTION("""COMPUTED_VALUE"""),FALSE)</f>
        <v>0</v>
      </c>
    </row>
    <row r="802">
      <c r="A802" s="49" t="str">
        <f>IFERROR(__xludf.DUMMYFUNCTION("""COMPUTED_VALUE"""),"The Thumper")</f>
        <v>The Thumper</v>
      </c>
      <c r="B802" s="49" t="str">
        <f>IFERROR(__xludf.DUMMYFUNCTION("""COMPUTED_VALUE"""),"Hand")</f>
        <v>Hand</v>
      </c>
      <c r="C802" s="49"/>
      <c r="D802" s="49" t="str">
        <f>IFERROR(__xludf.DUMMYFUNCTION("""COMPUTED_VALUE"""),"Firearm")</f>
        <v>Firearm</v>
      </c>
      <c r="E802" s="49">
        <f>IFERROR(__xludf.DUMMYFUNCTION("""COMPUTED_VALUE"""),200.0)</f>
        <v>200</v>
      </c>
      <c r="F802" s="112">
        <f>IFERROR(__xludf.DUMMYFUNCTION("""COMPUTED_VALUE"""),1900000.0)</f>
        <v>1900000</v>
      </c>
      <c r="G802" s="49" t="str">
        <f>IFERROR(__xludf.DUMMYFUNCTION("""COMPUTED_VALUE"""),"Dmg")</f>
        <v>Dmg</v>
      </c>
      <c r="H802" s="49">
        <f>IFERROR(__xludf.DUMMYFUNCTION("""COMPUTED_VALUE"""),5000.0)</f>
        <v>5000</v>
      </c>
      <c r="I802" s="49"/>
      <c r="J802" s="49">
        <f>IFERROR(__xludf.DUMMYFUNCTION("""COMPUTED_VALUE"""),5000.0)</f>
        <v>5000</v>
      </c>
      <c r="K802" s="49"/>
      <c r="L802" s="49"/>
      <c r="M802" s="49"/>
      <c r="N802" s="49"/>
      <c r="O802" s="49"/>
      <c r="P802" s="49"/>
      <c r="Q802" s="49"/>
      <c r="R802" s="49"/>
      <c r="S802" s="49"/>
      <c r="T802" s="49"/>
      <c r="U802" s="49"/>
      <c r="V802" s="49"/>
      <c r="W802" s="49"/>
      <c r="X802" s="49"/>
      <c r="Y802" s="49"/>
      <c r="Z802" s="49"/>
      <c r="AA802" s="49"/>
      <c r="AB802" s="49"/>
      <c r="AC802" s="49"/>
      <c r="AD802" s="49"/>
      <c r="AE802" s="49"/>
      <c r="AF802" s="49" t="str">
        <f>IFERROR(__xludf.DUMMYFUNCTION("""COMPUTED_VALUE"""),"++Fires 3 Grenades, +-Uses Grenades as Ammo +-Cannot Be Forged or Duplicated")</f>
        <v>++Fires 3 Grenades, +-Uses Grenades as Ammo +-Cannot Be Forged or Duplicated</v>
      </c>
      <c r="AG802" s="49" t="str">
        <f>IFERROR(__xludf.DUMMYFUNCTION("""COMPUTED_VALUE"""),"Land of Spira")</f>
        <v>Land of Spira</v>
      </c>
      <c r="AH802" s="49" t="b">
        <f>IFERROR(__xludf.DUMMYFUNCTION("""COMPUTED_VALUE"""),FALSE)</f>
        <v>0</v>
      </c>
    </row>
    <row r="803">
      <c r="A803" s="49" t="str">
        <f>IFERROR(__xludf.DUMMYFUNCTION("""COMPUTED_VALUE"""),"Undead King's Sword")</f>
        <v>Undead King's Sword</v>
      </c>
      <c r="B803" s="49" t="str">
        <f>IFERROR(__xludf.DUMMYFUNCTION("""COMPUTED_VALUE"""),"Hand")</f>
        <v>Hand</v>
      </c>
      <c r="C803" s="49"/>
      <c r="D803" s="49" t="str">
        <f>IFERROR(__xludf.DUMMYFUNCTION("""COMPUTED_VALUE"""),"Sword")</f>
        <v>Sword</v>
      </c>
      <c r="E803" s="49">
        <f>IFERROR(__xludf.DUMMYFUNCTION("""COMPUTED_VALUE"""),1.0)</f>
        <v>1</v>
      </c>
      <c r="F803" s="112">
        <f>IFERROR(__xludf.DUMMYFUNCTION("""COMPUTED_VALUE"""),0.0)</f>
        <v>0</v>
      </c>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c r="AE803" s="49"/>
      <c r="AF803" s="49"/>
      <c r="AG803" s="49" t="str">
        <f>IFERROR(__xludf.DUMMYFUNCTION("""COMPUTED_VALUE"""),"Land of Spira")</f>
        <v>Land of Spira</v>
      </c>
      <c r="AH803" s="49" t="b">
        <f>IFERROR(__xludf.DUMMYFUNCTION("""COMPUTED_VALUE"""),TRUE)</f>
        <v>1</v>
      </c>
    </row>
    <row r="804">
      <c r="A804" s="49" t="str">
        <f>IFERROR(__xludf.DUMMYFUNCTION("""COMPUTED_VALUE"""),"Trapper's Monocle")</f>
        <v>Trapper's Monocle</v>
      </c>
      <c r="B804" s="49" t="str">
        <f>IFERROR(__xludf.DUMMYFUNCTION("""COMPUTED_VALUE"""),"Head")</f>
        <v>Head</v>
      </c>
      <c r="C804" s="49"/>
      <c r="D804" s="49" t="str">
        <f>IFERROR(__xludf.DUMMYFUNCTION("""COMPUTED_VALUE"""),"Item")</f>
        <v>Item</v>
      </c>
      <c r="E804" s="49">
        <f>IFERROR(__xludf.DUMMYFUNCTION("""COMPUTED_VALUE"""),1.0)</f>
        <v>1</v>
      </c>
      <c r="F804" s="112">
        <f>IFERROR(__xludf.DUMMYFUNCTION("""COMPUTED_VALUE"""),0.0)</f>
        <v>0</v>
      </c>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c r="AE804" s="49"/>
      <c r="AF804" s="49" t="str">
        <f>IFERROR(__xludf.DUMMYFUNCTION("""COMPUTED_VALUE"""),"++5 to any roll to disarm or avoid a trap.")</f>
        <v>++5 to any roll to disarm or avoid a trap.</v>
      </c>
      <c r="AG804" s="49" t="str">
        <f>IFERROR(__xludf.DUMMYFUNCTION("""COMPUTED_VALUE"""),"Dragonscale Island")</f>
        <v>Dragonscale Island</v>
      </c>
      <c r="AH804" s="49" t="b">
        <f>IFERROR(__xludf.DUMMYFUNCTION("""COMPUTED_VALUE"""),FALSE)</f>
        <v>0</v>
      </c>
    </row>
    <row r="805">
      <c r="A805" s="49" t="str">
        <f>IFERROR(__xludf.DUMMYFUNCTION("""COMPUTED_VALUE"""),"Dragon's Dogma")</f>
        <v>Dragon's Dogma</v>
      </c>
      <c r="B805" s="49" t="str">
        <f>IFERROR(__xludf.DUMMYFUNCTION("""COMPUTED_VALUE"""),"Hand")</f>
        <v>Hand</v>
      </c>
      <c r="C805" s="49"/>
      <c r="D805" s="49" t="str">
        <f>IFERROR(__xludf.DUMMYFUNCTION("""COMPUTED_VALUE"""),"Sword")</f>
        <v>Sword</v>
      </c>
      <c r="E805" s="49">
        <f>IFERROR(__xludf.DUMMYFUNCTION("""COMPUTED_VALUE"""),200.0)</f>
        <v>200</v>
      </c>
      <c r="F805" s="112">
        <f>IFERROR(__xludf.DUMMYFUNCTION("""COMPUTED_VALUE"""),1.797E9)</f>
        <v>1797000000</v>
      </c>
      <c r="G805" s="49" t="str">
        <f>IFERROR(__xludf.DUMMYFUNCTION("""COMPUTED_VALUE"""),"DMG")</f>
        <v>DMG</v>
      </c>
      <c r="H805" s="49">
        <f>IFERROR(__xludf.DUMMYFUNCTION("""COMPUTED_VALUE"""),250000.0)</f>
        <v>250000</v>
      </c>
      <c r="I805" s="49"/>
      <c r="J805" s="49"/>
      <c r="K805" s="49"/>
      <c r="L805" s="49"/>
      <c r="M805" s="49"/>
      <c r="N805" s="49"/>
      <c r="O805" s="49"/>
      <c r="P805" s="49"/>
      <c r="Q805" s="49"/>
      <c r="R805" s="49"/>
      <c r="S805" s="49"/>
      <c r="T805" s="49"/>
      <c r="U805" s="49"/>
      <c r="V805" s="49"/>
      <c r="W805" s="49"/>
      <c r="X805" s="49"/>
      <c r="Y805" s="49"/>
      <c r="Z805" s="49"/>
      <c r="AA805" s="49"/>
      <c r="AB805" s="49"/>
      <c r="AC805" s="49">
        <f>IFERROR(__xludf.DUMMYFUNCTION("""COMPUTED_VALUE"""),50000.0)</f>
        <v>50000</v>
      </c>
      <c r="AD805" s="49"/>
      <c r="AE805" s="49"/>
      <c r="AF805" s="49" t="str">
        <f>IFERROR(__xludf.DUMMYFUNCTION("""COMPUTED_VALUE"""),"TBD")</f>
        <v>TBD</v>
      </c>
      <c r="AG805" s="49" t="str">
        <f>IFERROR(__xludf.DUMMYFUNCTION("""COMPUTED_VALUE"""),"Dragonscale Island")</f>
        <v>Dragonscale Island</v>
      </c>
      <c r="AH805" s="49" t="b">
        <f>IFERROR(__xludf.DUMMYFUNCTION("""COMPUTED_VALUE"""),TRUE)</f>
        <v>1</v>
      </c>
    </row>
    <row r="806">
      <c r="A806" s="49" t="str">
        <f>IFERROR(__xludf.DUMMYFUNCTION("""COMPUTED_VALUE"""),"Dragon's Dread")</f>
        <v>Dragon's Dread</v>
      </c>
      <c r="B806" s="49" t="str">
        <f>IFERROR(__xludf.DUMMYFUNCTION("""COMPUTED_VALUE"""),"Hand")</f>
        <v>Hand</v>
      </c>
      <c r="C806" s="49"/>
      <c r="D806" s="49" t="str">
        <f>IFERROR(__xludf.DUMMYFUNCTION("""COMPUTED_VALUE"""),"Bow")</f>
        <v>Bow</v>
      </c>
      <c r="E806" s="49">
        <f>IFERROR(__xludf.DUMMYFUNCTION("""COMPUTED_VALUE"""),200.0)</f>
        <v>200</v>
      </c>
      <c r="F806" s="112">
        <f>IFERROR(__xludf.DUMMYFUNCTION("""COMPUTED_VALUE"""),7.194E9)</f>
        <v>7194000000</v>
      </c>
      <c r="G806" s="49" t="str">
        <f>IFERROR(__xludf.DUMMYFUNCTION("""COMPUTED_VALUE"""),"DMG")</f>
        <v>DMG</v>
      </c>
      <c r="H806" s="49">
        <f>IFERROR(__xludf.DUMMYFUNCTION("""COMPUTED_VALUE"""),50000.0)</f>
        <v>50000</v>
      </c>
      <c r="I806" s="49">
        <f>IFERROR(__xludf.DUMMYFUNCTION("""COMPUTED_VALUE"""),50000.0)</f>
        <v>50000</v>
      </c>
      <c r="J806" s="49"/>
      <c r="K806" s="49">
        <f>IFERROR(__xludf.DUMMYFUNCTION("""COMPUTED_VALUE"""),50000.0)</f>
        <v>50000</v>
      </c>
      <c r="L806" s="49">
        <f>IFERROR(__xludf.DUMMYFUNCTION("""COMPUTED_VALUE"""),50000.0)</f>
        <v>50000</v>
      </c>
      <c r="M806" s="49">
        <f>IFERROR(__xludf.DUMMYFUNCTION("""COMPUTED_VALUE"""),50000.0)</f>
        <v>50000</v>
      </c>
      <c r="N806" s="49">
        <f>IFERROR(__xludf.DUMMYFUNCTION("""COMPUTED_VALUE"""),50000.0)</f>
        <v>50000</v>
      </c>
      <c r="O806" s="49">
        <f>IFERROR(__xludf.DUMMYFUNCTION("""COMPUTED_VALUE"""),50000.0)</f>
        <v>50000</v>
      </c>
      <c r="P806" s="49"/>
      <c r="Q806" s="49">
        <f>IFERROR(__xludf.DUMMYFUNCTION("""COMPUTED_VALUE"""),50000.0)</f>
        <v>50000</v>
      </c>
      <c r="R806" s="49">
        <f>IFERROR(__xludf.DUMMYFUNCTION("""COMPUTED_VALUE"""),50000.0)</f>
        <v>50000</v>
      </c>
      <c r="S806" s="49">
        <f>IFERROR(__xludf.DUMMYFUNCTION("""COMPUTED_VALUE"""),50000.0)</f>
        <v>50000</v>
      </c>
      <c r="T806" s="49"/>
      <c r="U806" s="49"/>
      <c r="V806" s="49"/>
      <c r="W806" s="49"/>
      <c r="X806" s="49"/>
      <c r="Y806" s="49"/>
      <c r="Z806" s="49">
        <f>IFERROR(__xludf.DUMMYFUNCTION("""COMPUTED_VALUE"""),50000.0)</f>
        <v>50000</v>
      </c>
      <c r="AA806" s="49"/>
      <c r="AB806" s="49"/>
      <c r="AC806" s="49">
        <f>IFERROR(__xludf.DUMMYFUNCTION("""COMPUTED_VALUE"""),50000.0)</f>
        <v>50000</v>
      </c>
      <c r="AD806" s="49"/>
      <c r="AE806" s="49"/>
      <c r="AF806" s="49" t="str">
        <f>IFERROR(__xludf.DUMMYFUNCTION("""COMPUTED_VALUE"""),"TBD")</f>
        <v>TBD</v>
      </c>
      <c r="AG806" s="49" t="str">
        <f>IFERROR(__xludf.DUMMYFUNCTION("""COMPUTED_VALUE"""),"Dragonscale Island")</f>
        <v>Dragonscale Island</v>
      </c>
      <c r="AH806" s="49" t="b">
        <f>IFERROR(__xludf.DUMMYFUNCTION("""COMPUTED_VALUE"""),TRUE)</f>
        <v>1</v>
      </c>
    </row>
    <row r="807">
      <c r="A807" s="49" t="str">
        <f>IFERROR(__xludf.DUMMYFUNCTION("""COMPUTED_VALUE"""),"Dragon's Dream Breaker")</f>
        <v>Dragon's Dream Breaker</v>
      </c>
      <c r="B807" s="49" t="str">
        <f>IFERROR(__xludf.DUMMYFUNCTION("""COMPUTED_VALUE"""),"Hand")</f>
        <v>Hand</v>
      </c>
      <c r="C807" s="49"/>
      <c r="D807" s="49" t="str">
        <f>IFERROR(__xludf.DUMMYFUNCTION("""COMPUTED_VALUE"""),"Claw")</f>
        <v>Claw</v>
      </c>
      <c r="E807" s="49">
        <f>IFERROR(__xludf.DUMMYFUNCTION("""COMPUTED_VALUE"""),200.0)</f>
        <v>200</v>
      </c>
      <c r="F807" s="112">
        <f>IFERROR(__xludf.DUMMYFUNCTION("""COMPUTED_VALUE"""),2.8788E10)</f>
        <v>28788000000</v>
      </c>
      <c r="G807" s="49" t="str">
        <f>IFERROR(__xludf.DUMMYFUNCTION("""COMPUTED_VALUE"""),"DMG")</f>
        <v>DMG</v>
      </c>
      <c r="H807" s="49">
        <f>IFERROR(__xludf.DUMMYFUNCTION("""COMPUTED_VALUE"""),600000.0)</f>
        <v>600000</v>
      </c>
      <c r="I807" s="49"/>
      <c r="J807" s="49"/>
      <c r="K807" s="49"/>
      <c r="L807" s="49"/>
      <c r="M807" s="49"/>
      <c r="N807" s="49"/>
      <c r="O807" s="49"/>
      <c r="P807" s="49"/>
      <c r="Q807" s="49"/>
      <c r="R807" s="49"/>
      <c r="S807" s="49"/>
      <c r="T807" s="49"/>
      <c r="U807" s="49"/>
      <c r="V807" s="49"/>
      <c r="W807" s="49"/>
      <c r="X807" s="49"/>
      <c r="Y807" s="49"/>
      <c r="Z807" s="49"/>
      <c r="AA807" s="49"/>
      <c r="AB807" s="49"/>
      <c r="AC807" s="49">
        <f>IFERROR(__xludf.DUMMYFUNCTION("""COMPUTED_VALUE"""),600000.0)</f>
        <v>600000</v>
      </c>
      <c r="AD807" s="49"/>
      <c r="AE807" s="49"/>
      <c r="AF807" s="49" t="str">
        <f>IFERROR(__xludf.DUMMYFUNCTION("""COMPUTED_VALUE"""),"TBD")</f>
        <v>TBD</v>
      </c>
      <c r="AG807" s="49" t="str">
        <f>IFERROR(__xludf.DUMMYFUNCTION("""COMPUTED_VALUE"""),"Dragonscale Island")</f>
        <v>Dragonscale Island</v>
      </c>
      <c r="AH807" s="49" t="b">
        <f>IFERROR(__xludf.DUMMYFUNCTION("""COMPUTED_VALUE"""),TRUE)</f>
        <v>1</v>
      </c>
    </row>
    <row r="808">
      <c r="A808" s="49" t="str">
        <f>IFERROR(__xludf.DUMMYFUNCTION("""COMPUTED_VALUE"""),"Dragon's Draught")</f>
        <v>Dragon's Draught</v>
      </c>
      <c r="B808" s="49" t="str">
        <f>IFERROR(__xludf.DUMMYFUNCTION("""COMPUTED_VALUE"""),"Hand")</f>
        <v>Hand</v>
      </c>
      <c r="C808" s="49"/>
      <c r="D808" s="49" t="str">
        <f>IFERROR(__xludf.DUMMYFUNCTION("""COMPUTED_VALUE"""),"Staff")</f>
        <v>Staff</v>
      </c>
      <c r="E808" s="49">
        <f>IFERROR(__xludf.DUMMYFUNCTION("""COMPUTED_VALUE"""),1.0)</f>
        <v>1</v>
      </c>
      <c r="F808" s="112">
        <f>IFERROR(__xludf.DUMMYFUNCTION("""COMPUTED_VALUE"""),0.0)</f>
        <v>0</v>
      </c>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c r="AE808" s="49"/>
      <c r="AF808" s="49" t="str">
        <f>IFERROR(__xludf.DUMMYFUNCTION("""COMPUTED_VALUE"""),"TBD")</f>
        <v>TBD</v>
      </c>
      <c r="AG808" s="49" t="str">
        <f>IFERROR(__xludf.DUMMYFUNCTION("""COMPUTED_VALUE"""),"Dragonscale Island")</f>
        <v>Dragonscale Island</v>
      </c>
      <c r="AH808" s="49" t="b">
        <f>IFERROR(__xludf.DUMMYFUNCTION("""COMPUTED_VALUE"""),TRUE)</f>
        <v>1</v>
      </c>
    </row>
    <row r="809">
      <c r="A809" s="49" t="str">
        <f>IFERROR(__xludf.DUMMYFUNCTION("""COMPUTED_VALUE"""),"Dragon's Damnation")</f>
        <v>Dragon's Damnation</v>
      </c>
      <c r="B809" s="49" t="str">
        <f>IFERROR(__xludf.DUMMYFUNCTION("""COMPUTED_VALUE"""),"Hand")</f>
        <v>Hand</v>
      </c>
      <c r="C809" s="49"/>
      <c r="D809" s="49" t="str">
        <f>IFERROR(__xludf.DUMMYFUNCTION("""COMPUTED_VALUE"""),"Gauntlet")</f>
        <v>Gauntlet</v>
      </c>
      <c r="E809" s="49">
        <f>IFERROR(__xludf.DUMMYFUNCTION("""COMPUTED_VALUE"""),200.0)</f>
        <v>200</v>
      </c>
      <c r="F809" s="112">
        <f>IFERROR(__xludf.DUMMYFUNCTION("""COMPUTED_VALUE"""),2.8788E10)</f>
        <v>28788000000</v>
      </c>
      <c r="G809" s="49" t="str">
        <f>IFERROR(__xludf.DUMMYFUNCTION("""COMPUTED_VALUE"""),"DEF")</f>
        <v>DEF</v>
      </c>
      <c r="H809" s="49">
        <f>IFERROR(__xludf.DUMMYFUNCTION("""COMPUTED_VALUE"""),100000.0)</f>
        <v>100000</v>
      </c>
      <c r="I809" s="49">
        <f>IFERROR(__xludf.DUMMYFUNCTION("""COMPUTED_VALUE"""),100000.0)</f>
        <v>100000</v>
      </c>
      <c r="J809" s="49"/>
      <c r="K809" s="49">
        <f>IFERROR(__xludf.DUMMYFUNCTION("""COMPUTED_VALUE"""),100000.0)</f>
        <v>100000</v>
      </c>
      <c r="L809" s="49">
        <f>IFERROR(__xludf.DUMMYFUNCTION("""COMPUTED_VALUE"""),100000.0)</f>
        <v>100000</v>
      </c>
      <c r="M809" s="49">
        <f>IFERROR(__xludf.DUMMYFUNCTION("""COMPUTED_VALUE"""),100000.0)</f>
        <v>100000</v>
      </c>
      <c r="N809" s="49">
        <f>IFERROR(__xludf.DUMMYFUNCTION("""COMPUTED_VALUE"""),100000.0)</f>
        <v>100000</v>
      </c>
      <c r="O809" s="49">
        <f>IFERROR(__xludf.DUMMYFUNCTION("""COMPUTED_VALUE"""),100000.0)</f>
        <v>100000</v>
      </c>
      <c r="P809" s="49"/>
      <c r="Q809" s="49">
        <f>IFERROR(__xludf.DUMMYFUNCTION("""COMPUTED_VALUE"""),100000.0)</f>
        <v>100000</v>
      </c>
      <c r="R809" s="49">
        <f>IFERROR(__xludf.DUMMYFUNCTION("""COMPUTED_VALUE"""),100000.0)</f>
        <v>100000</v>
      </c>
      <c r="S809" s="49">
        <f>IFERROR(__xludf.DUMMYFUNCTION("""COMPUTED_VALUE"""),100000.0)</f>
        <v>100000</v>
      </c>
      <c r="T809" s="49"/>
      <c r="U809" s="49"/>
      <c r="V809" s="49"/>
      <c r="W809" s="49"/>
      <c r="X809" s="49"/>
      <c r="Y809" s="49"/>
      <c r="Z809" s="49">
        <f>IFERROR(__xludf.DUMMYFUNCTION("""COMPUTED_VALUE"""),100000.0)</f>
        <v>100000</v>
      </c>
      <c r="AA809" s="49"/>
      <c r="AB809" s="49"/>
      <c r="AC809" s="49">
        <f>IFERROR(__xludf.DUMMYFUNCTION("""COMPUTED_VALUE"""),100000.0)</f>
        <v>100000</v>
      </c>
      <c r="AD809" s="49"/>
      <c r="AE809" s="49"/>
      <c r="AF809" s="49" t="str">
        <f>IFERROR(__xludf.DUMMYFUNCTION("""COMPUTED_VALUE"""),"TBD")</f>
        <v>TBD</v>
      </c>
      <c r="AG809" s="49" t="str">
        <f>IFERROR(__xludf.DUMMYFUNCTION("""COMPUTED_VALUE"""),"Dragonscale Island")</f>
        <v>Dragonscale Island</v>
      </c>
      <c r="AH809" s="49" t="b">
        <f>IFERROR(__xludf.DUMMYFUNCTION("""COMPUTED_VALUE"""),TRUE)</f>
        <v>1</v>
      </c>
    </row>
    <row r="810">
      <c r="A810" s="49" t="str">
        <f>IFERROR(__xludf.DUMMYFUNCTION("""COMPUTED_VALUE"""),"Dragon's Destruction")</f>
        <v>Dragon's Destruction</v>
      </c>
      <c r="B810" s="49" t="str">
        <f>IFERROR(__xludf.DUMMYFUNCTION("""COMPUTED_VALUE"""),"Hand")</f>
        <v>Hand</v>
      </c>
      <c r="C810" s="49"/>
      <c r="D810" s="49" t="str">
        <f>IFERROR(__xludf.DUMMYFUNCTION("""COMPUTED_VALUE"""),"Spear")</f>
        <v>Spear</v>
      </c>
      <c r="E810" s="49">
        <f>IFERROR(__xludf.DUMMYFUNCTION("""COMPUTED_VALUE"""),200.0)</f>
        <v>200</v>
      </c>
      <c r="F810" s="112">
        <f>IFERROR(__xludf.DUMMYFUNCTION("""COMPUTED_VALUE"""),2.8788E10)</f>
        <v>28788000000</v>
      </c>
      <c r="G810" s="49" t="str">
        <f>IFERROR(__xludf.DUMMYFUNCTION("""COMPUTED_VALUE"""),"DMG")</f>
        <v>DMG</v>
      </c>
      <c r="H810" s="49">
        <f>IFERROR(__xludf.DUMMYFUNCTION("""COMPUTED_VALUE"""),400000.0)</f>
        <v>400000</v>
      </c>
      <c r="I810" s="49">
        <f>IFERROR(__xludf.DUMMYFUNCTION("""COMPUTED_VALUE"""),100000.0)</f>
        <v>100000</v>
      </c>
      <c r="J810" s="49"/>
      <c r="K810" s="49">
        <f>IFERROR(__xludf.DUMMYFUNCTION("""COMPUTED_VALUE"""),100000.0)</f>
        <v>100000</v>
      </c>
      <c r="L810" s="49">
        <f>IFERROR(__xludf.DUMMYFUNCTION("""COMPUTED_VALUE"""),100000.0)</f>
        <v>100000</v>
      </c>
      <c r="M810" s="49">
        <f>IFERROR(__xludf.DUMMYFUNCTION("""COMPUTED_VALUE"""),100000.0)</f>
        <v>100000</v>
      </c>
      <c r="N810" s="49">
        <f>IFERROR(__xludf.DUMMYFUNCTION("""COMPUTED_VALUE"""),150000.0)</f>
        <v>150000</v>
      </c>
      <c r="O810" s="49">
        <f>IFERROR(__xludf.DUMMYFUNCTION("""COMPUTED_VALUE"""),150000.0)</f>
        <v>150000</v>
      </c>
      <c r="P810" s="49">
        <f>IFERROR(__xludf.DUMMYFUNCTION("""COMPUTED_VALUE"""),100000.0)</f>
        <v>100000</v>
      </c>
      <c r="Q810" s="49">
        <f>IFERROR(__xludf.DUMMYFUNCTION("""COMPUTED_VALUE"""),150000.0)</f>
        <v>150000</v>
      </c>
      <c r="R810" s="49">
        <f>IFERROR(__xludf.DUMMYFUNCTION("""COMPUTED_VALUE"""),150000.0)</f>
        <v>150000</v>
      </c>
      <c r="S810" s="49">
        <f>IFERROR(__xludf.DUMMYFUNCTION("""COMPUTED_VALUE"""),100000.0)</f>
        <v>100000</v>
      </c>
      <c r="T810" s="49"/>
      <c r="U810" s="49"/>
      <c r="V810" s="49"/>
      <c r="W810" s="49"/>
      <c r="X810" s="49">
        <f>IFERROR(__xludf.DUMMYFUNCTION("""COMPUTED_VALUE"""),100000.0)</f>
        <v>100000</v>
      </c>
      <c r="Y810" s="49">
        <f>IFERROR(__xludf.DUMMYFUNCTION("""COMPUTED_VALUE"""),100000.0)</f>
        <v>100000</v>
      </c>
      <c r="Z810" s="49">
        <f>IFERROR(__xludf.DUMMYFUNCTION("""COMPUTED_VALUE"""),100000.0)</f>
        <v>100000</v>
      </c>
      <c r="AA810" s="49">
        <f>IFERROR(__xludf.DUMMYFUNCTION("""COMPUTED_VALUE"""),100000.0)</f>
        <v>100000</v>
      </c>
      <c r="AB810" s="49">
        <f>IFERROR(__xludf.DUMMYFUNCTION("""COMPUTED_VALUE"""),100000.0)</f>
        <v>100000</v>
      </c>
      <c r="AC810" s="49">
        <f>IFERROR(__xludf.DUMMYFUNCTION("""COMPUTED_VALUE"""),100000.0)</f>
        <v>100000</v>
      </c>
      <c r="AD810" s="49">
        <f>IFERROR(__xludf.DUMMYFUNCTION("""COMPUTED_VALUE"""),100000.0)</f>
        <v>100000</v>
      </c>
      <c r="AE810" s="49">
        <f>IFERROR(__xludf.DUMMYFUNCTION("""COMPUTED_VALUE"""),100000.0)</f>
        <v>100000</v>
      </c>
      <c r="AF810" s="49" t="str">
        <f>IFERROR(__xludf.DUMMYFUNCTION("""COMPUTED_VALUE"""),"TBD")</f>
        <v>TBD</v>
      </c>
      <c r="AG810" s="49" t="str">
        <f>IFERROR(__xludf.DUMMYFUNCTION("""COMPUTED_VALUE"""),"Dragonscale Island")</f>
        <v>Dragonscale Island</v>
      </c>
      <c r="AH810" s="49" t="b">
        <f>IFERROR(__xludf.DUMMYFUNCTION("""COMPUTED_VALUE"""),TRUE)</f>
        <v>1</v>
      </c>
    </row>
    <row r="811">
      <c r="A811" s="49" t="str">
        <f>IFERROR(__xludf.DUMMYFUNCTION("""COMPUTED_VALUE"""),"Confining Collar")</f>
        <v>Confining Collar</v>
      </c>
      <c r="B811" s="49" t="str">
        <f>IFERROR(__xludf.DUMMYFUNCTION("""COMPUTED_VALUE"""),"Neck")</f>
        <v>Neck</v>
      </c>
      <c r="C811" s="49"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49" t="str">
        <f>IFERROR(__xludf.DUMMYFUNCTION("""COMPUTED_VALUE"""),"Item")</f>
        <v>Item</v>
      </c>
      <c r="E811" s="49">
        <f>IFERROR(__xludf.DUMMYFUNCTION("""COMPUTED_VALUE"""),100.0)</f>
        <v>100</v>
      </c>
      <c r="F811" s="112">
        <f>IFERROR(__xludf.DUMMYFUNCTION("""COMPUTED_VALUE"""),450000.0)</f>
        <v>450000</v>
      </c>
      <c r="G811" s="49" t="str">
        <f>IFERROR(__xludf.DUMMYFUNCTION("""COMPUTED_VALUE"""),"DEF")</f>
        <v>DEF</v>
      </c>
      <c r="H811" s="49">
        <f>IFERROR(__xludf.DUMMYFUNCTION("""COMPUTED_VALUE"""),5000.0)</f>
        <v>5000</v>
      </c>
      <c r="I811" s="49"/>
      <c r="J811" s="49"/>
      <c r="K811" s="49"/>
      <c r="L811" s="49"/>
      <c r="M811" s="49"/>
      <c r="N811" s="49"/>
      <c r="O811" s="49"/>
      <c r="P811" s="49"/>
      <c r="Q811" s="49"/>
      <c r="R811" s="49"/>
      <c r="S811" s="49"/>
      <c r="T811" s="49"/>
      <c r="U811" s="49"/>
      <c r="V811" s="49"/>
      <c r="W811" s="49"/>
      <c r="X811" s="49"/>
      <c r="Y811" s="49"/>
      <c r="Z811" s="49"/>
      <c r="AA811" s="49"/>
      <c r="AB811" s="49"/>
      <c r="AC811" s="49"/>
      <c r="AD811" s="49"/>
      <c r="AE811" s="49"/>
      <c r="AF811" s="49" t="str">
        <f>IFERROR(__xludf.DUMMYFUNCTION("""COMPUTED_VALUE"""),"+-5 to all rolls, +-Upon being worn can only be removed after 15 days of travel")</f>
        <v>+-5 to all rolls, +-Upon being worn can only be removed after 15 days of travel</v>
      </c>
      <c r="AG811" s="49" t="str">
        <f>IFERROR(__xludf.DUMMYFUNCTION("""COMPUTED_VALUE"""),"Dragonscale Island")</f>
        <v>Dragonscale Island</v>
      </c>
      <c r="AH811" s="49" t="b">
        <f>IFERROR(__xludf.DUMMYFUNCTION("""COMPUTED_VALUE"""),FALSE)</f>
        <v>0</v>
      </c>
    </row>
    <row r="812">
      <c r="A812" s="49" t="str">
        <f>IFERROR(__xludf.DUMMYFUNCTION("""COMPUTED_VALUE"""),"Shiv")</f>
        <v>Shiv</v>
      </c>
      <c r="B812" s="49" t="str">
        <f>IFERROR(__xludf.DUMMYFUNCTION("""COMPUTED_VALUE"""),"Hand")</f>
        <v>Hand</v>
      </c>
      <c r="C812" s="49"/>
      <c r="D812" s="49" t="str">
        <f>IFERROR(__xludf.DUMMYFUNCTION("""COMPUTED_VALUE"""),"Knife")</f>
        <v>Knife</v>
      </c>
      <c r="E812" s="49">
        <f>IFERROR(__xludf.DUMMYFUNCTION("""COMPUTED_VALUE"""),4000.0)</f>
        <v>4000</v>
      </c>
      <c r="F812" s="112">
        <f>IFERROR(__xludf.DUMMYFUNCTION("""COMPUTED_VALUE"""),7.98E8)</f>
        <v>798000000</v>
      </c>
      <c r="G812" s="49" t="str">
        <f>IFERROR(__xludf.DUMMYFUNCTION("""COMPUTED_VALUE"""),"DMG")</f>
        <v>DMG</v>
      </c>
      <c r="H812" s="49">
        <f>IFERROR(__xludf.DUMMYFUNCTION("""COMPUTED_VALUE"""),200000.0)</f>
        <v>200000</v>
      </c>
      <c r="I812" s="49"/>
      <c r="J812" s="49"/>
      <c r="K812" s="49"/>
      <c r="L812" s="49"/>
      <c r="M812" s="49"/>
      <c r="N812" s="49"/>
      <c r="O812" s="49"/>
      <c r="P812" s="49"/>
      <c r="Q812" s="49"/>
      <c r="R812" s="49"/>
      <c r="S812" s="49"/>
      <c r="T812" s="49"/>
      <c r="U812" s="49"/>
      <c r="V812" s="49"/>
      <c r="W812" s="49"/>
      <c r="X812" s="49"/>
      <c r="Y812" s="49"/>
      <c r="Z812" s="49"/>
      <c r="AA812" s="49"/>
      <c r="AB812" s="49"/>
      <c r="AC812" s="49"/>
      <c r="AD812" s="49"/>
      <c r="AE812" s="49"/>
      <c r="AF812" s="49" t="str">
        <f>IFERROR(__xludf.DUMMYFUNCTION("""COMPUTED_VALUE"""),"++has a 5% chance to give a random disease to any creature hit with this weapon.")</f>
        <v>++has a 5% chance to give a random disease to any creature hit with this weapon.</v>
      </c>
      <c r="AG812" s="49" t="str">
        <f>IFERROR(__xludf.DUMMYFUNCTION("""COMPUTED_VALUE"""),"Dragonscale Island")</f>
        <v>Dragonscale Island</v>
      </c>
      <c r="AH812" s="49" t="b">
        <f>IFERROR(__xludf.DUMMYFUNCTION("""COMPUTED_VALUE"""),FALSE)</f>
        <v>0</v>
      </c>
    </row>
    <row r="813">
      <c r="A813" s="49" t="str">
        <f>IFERROR(__xludf.DUMMYFUNCTION("""COMPUTED_VALUE"""),"Inmate's Cap")</f>
        <v>Inmate's Cap</v>
      </c>
      <c r="B813" s="49" t="str">
        <f>IFERROR(__xludf.DUMMYFUNCTION("""COMPUTED_VALUE"""),"Head")</f>
        <v>Head</v>
      </c>
      <c r="C813" s="49"/>
      <c r="D813" s="49" t="str">
        <f>IFERROR(__xludf.DUMMYFUNCTION("""COMPUTED_VALUE"""),"Item")</f>
        <v>Item</v>
      </c>
      <c r="E813" s="49">
        <f>IFERROR(__xludf.DUMMYFUNCTION("""COMPUTED_VALUE"""),2000.0)</f>
        <v>2000</v>
      </c>
      <c r="F813" s="112">
        <f>IFERROR(__xludf.DUMMYFUNCTION("""COMPUTED_VALUE"""),1.99E8)</f>
        <v>199000000</v>
      </c>
      <c r="G813" s="49" t="str">
        <f>IFERROR(__xludf.DUMMYFUNCTION("""COMPUTED_VALUE"""),"DEF")</f>
        <v>DEF</v>
      </c>
      <c r="H813" s="49">
        <f>IFERROR(__xludf.DUMMYFUNCTION("""COMPUTED_VALUE"""),100000.0)</f>
        <v>100000</v>
      </c>
      <c r="I813" s="49"/>
      <c r="J813" s="49"/>
      <c r="K813" s="49"/>
      <c r="L813" s="49"/>
      <c r="M813" s="49"/>
      <c r="N813" s="49"/>
      <c r="O813" s="49"/>
      <c r="P813" s="49"/>
      <c r="Q813" s="49"/>
      <c r="R813" s="49"/>
      <c r="S813" s="49"/>
      <c r="T813" s="49"/>
      <c r="U813" s="49"/>
      <c r="V813" s="49"/>
      <c r="W813" s="49"/>
      <c r="X813" s="49"/>
      <c r="Y813" s="49"/>
      <c r="Z813" s="49"/>
      <c r="AA813" s="49"/>
      <c r="AB813" s="49"/>
      <c r="AC813" s="49"/>
      <c r="AD813" s="49"/>
      <c r="AE813" s="49"/>
      <c r="AF813" s="49" t="str">
        <f>IFERROR(__xludf.DUMMYFUNCTION("""COMPUTED_VALUE"""),"++has a 5% chance to avoid beng arrested without fail.")</f>
        <v>++has a 5% chance to avoid beng arrested without fail.</v>
      </c>
      <c r="AG813" s="49" t="str">
        <f>IFERROR(__xludf.DUMMYFUNCTION("""COMPUTED_VALUE"""),"Dragonscale Island")</f>
        <v>Dragonscale Island</v>
      </c>
      <c r="AH813" s="49" t="b">
        <f>IFERROR(__xludf.DUMMYFUNCTION("""COMPUTED_VALUE"""),FALSE)</f>
        <v>0</v>
      </c>
    </row>
    <row r="814">
      <c r="A814" s="49" t="str">
        <f>IFERROR(__xludf.DUMMYFUNCTION("""COMPUTED_VALUE"""),"Inmate's Shirt")</f>
        <v>Inmate's Shirt</v>
      </c>
      <c r="B814" s="49" t="str">
        <f>IFERROR(__xludf.DUMMYFUNCTION("""COMPUTED_VALUE"""),"Torso")</f>
        <v>Torso</v>
      </c>
      <c r="C814" s="49"/>
      <c r="D814" s="49" t="str">
        <f>IFERROR(__xludf.DUMMYFUNCTION("""COMPUTED_VALUE"""),"Item")</f>
        <v>Item</v>
      </c>
      <c r="E814" s="49">
        <f>IFERROR(__xludf.DUMMYFUNCTION("""COMPUTED_VALUE"""),2000.0)</f>
        <v>2000</v>
      </c>
      <c r="F814" s="112">
        <f>IFERROR(__xludf.DUMMYFUNCTION("""COMPUTED_VALUE"""),1.99E8)</f>
        <v>199000000</v>
      </c>
      <c r="G814" s="49" t="str">
        <f>IFERROR(__xludf.DUMMYFUNCTION("""COMPUTED_VALUE"""),"DEF")</f>
        <v>DEF</v>
      </c>
      <c r="H814" s="49">
        <f>IFERROR(__xludf.DUMMYFUNCTION("""COMPUTED_VALUE"""),100000.0)</f>
        <v>100000</v>
      </c>
      <c r="I814" s="49"/>
      <c r="J814" s="49"/>
      <c r="K814" s="49"/>
      <c r="L814" s="49"/>
      <c r="M814" s="49"/>
      <c r="N814" s="49"/>
      <c r="O814" s="49"/>
      <c r="P814" s="49"/>
      <c r="Q814" s="49"/>
      <c r="R814" s="49"/>
      <c r="S814" s="49"/>
      <c r="T814" s="49"/>
      <c r="U814" s="49"/>
      <c r="V814" s="49"/>
      <c r="W814" s="49"/>
      <c r="X814" s="49"/>
      <c r="Y814" s="49"/>
      <c r="Z814" s="49"/>
      <c r="AA814" s="49"/>
      <c r="AB814" s="49"/>
      <c r="AC814" s="49"/>
      <c r="AD814" s="49"/>
      <c r="AE814" s="49"/>
      <c r="AF814" s="49" t="str">
        <f>IFERROR(__xludf.DUMMYFUNCTION("""COMPUTED_VALUE"""),"++has a 5% chance to avoid beng arrested without fail.")</f>
        <v>++has a 5% chance to avoid beng arrested without fail.</v>
      </c>
      <c r="AG814" s="49" t="str">
        <f>IFERROR(__xludf.DUMMYFUNCTION("""COMPUTED_VALUE"""),"Dragonscale Island")</f>
        <v>Dragonscale Island</v>
      </c>
      <c r="AH814" s="49" t="b">
        <f>IFERROR(__xludf.DUMMYFUNCTION("""COMPUTED_VALUE"""),FALSE)</f>
        <v>0</v>
      </c>
    </row>
    <row r="815">
      <c r="A815" s="49" t="str">
        <f>IFERROR(__xludf.DUMMYFUNCTION("""COMPUTED_VALUE"""),"Inmate's Pants")</f>
        <v>Inmate's Pants</v>
      </c>
      <c r="B815" s="49" t="str">
        <f>IFERROR(__xludf.DUMMYFUNCTION("""COMPUTED_VALUE"""),"Legs")</f>
        <v>Legs</v>
      </c>
      <c r="C815" s="49"/>
      <c r="D815" s="49" t="str">
        <f>IFERROR(__xludf.DUMMYFUNCTION("""COMPUTED_VALUE"""),"Item")</f>
        <v>Item</v>
      </c>
      <c r="E815" s="49">
        <f>IFERROR(__xludf.DUMMYFUNCTION("""COMPUTED_VALUE"""),2000.0)</f>
        <v>2000</v>
      </c>
      <c r="F815" s="112">
        <f>IFERROR(__xludf.DUMMYFUNCTION("""COMPUTED_VALUE"""),1.99E8)</f>
        <v>199000000</v>
      </c>
      <c r="G815" s="49" t="str">
        <f>IFERROR(__xludf.DUMMYFUNCTION("""COMPUTED_VALUE"""),"DEF")</f>
        <v>DEF</v>
      </c>
      <c r="H815" s="49">
        <f>IFERROR(__xludf.DUMMYFUNCTION("""COMPUTED_VALUE"""),100000.0)</f>
        <v>100000</v>
      </c>
      <c r="I815" s="49"/>
      <c r="J815" s="49"/>
      <c r="K815" s="49"/>
      <c r="L815" s="49"/>
      <c r="M815" s="49"/>
      <c r="N815" s="49"/>
      <c r="O815" s="49"/>
      <c r="P815" s="49"/>
      <c r="Q815" s="49"/>
      <c r="R815" s="49"/>
      <c r="S815" s="49"/>
      <c r="T815" s="49"/>
      <c r="U815" s="49"/>
      <c r="V815" s="49"/>
      <c r="W815" s="49"/>
      <c r="X815" s="49"/>
      <c r="Y815" s="49"/>
      <c r="Z815" s="49"/>
      <c r="AA815" s="49"/>
      <c r="AB815" s="49"/>
      <c r="AC815" s="49"/>
      <c r="AD815" s="49"/>
      <c r="AE815" s="49"/>
      <c r="AF815" s="49" t="str">
        <f>IFERROR(__xludf.DUMMYFUNCTION("""COMPUTED_VALUE"""),"++has a 5% chance to avoid beng arrested without fail.")</f>
        <v>++has a 5% chance to avoid beng arrested without fail.</v>
      </c>
      <c r="AG815" s="49" t="str">
        <f>IFERROR(__xludf.DUMMYFUNCTION("""COMPUTED_VALUE"""),"Dragonscale Island")</f>
        <v>Dragonscale Island</v>
      </c>
      <c r="AH815" s="49" t="b">
        <f>IFERROR(__xludf.DUMMYFUNCTION("""COMPUTED_VALUE"""),FALSE)</f>
        <v>0</v>
      </c>
    </row>
    <row r="816">
      <c r="A816" s="49" t="str">
        <f>IFERROR(__xludf.DUMMYFUNCTION("""COMPUTED_VALUE"""),"Warden's Cap")</f>
        <v>Warden's Cap</v>
      </c>
      <c r="B816" s="49" t="str">
        <f>IFERROR(__xludf.DUMMYFUNCTION("""COMPUTED_VALUE"""),"Head")</f>
        <v>Head</v>
      </c>
      <c r="C816" s="49"/>
      <c r="D816" s="49" t="str">
        <f>IFERROR(__xludf.DUMMYFUNCTION("""COMPUTED_VALUE"""),"Item")</f>
        <v>Item</v>
      </c>
      <c r="E816" s="49">
        <f>IFERROR(__xludf.DUMMYFUNCTION("""COMPUTED_VALUE"""),2000.0)</f>
        <v>2000</v>
      </c>
      <c r="F816" s="112">
        <f>IFERROR(__xludf.DUMMYFUNCTION("""COMPUTED_VALUE"""),1.99E8)</f>
        <v>199000000</v>
      </c>
      <c r="G816" s="49" t="str">
        <f>IFERROR(__xludf.DUMMYFUNCTION("""COMPUTED_VALUE"""),"DEF")</f>
        <v>DEF</v>
      </c>
      <c r="H816" s="49">
        <f>IFERROR(__xludf.DUMMYFUNCTION("""COMPUTED_VALUE"""),100000.0)</f>
        <v>100000</v>
      </c>
      <c r="I816" s="49"/>
      <c r="J816" s="49"/>
      <c r="K816" s="49"/>
      <c r="L816" s="49"/>
      <c r="M816" s="49"/>
      <c r="N816" s="49"/>
      <c r="O816" s="49"/>
      <c r="P816" s="49"/>
      <c r="Q816" s="49"/>
      <c r="R816" s="49"/>
      <c r="S816" s="49"/>
      <c r="T816" s="49"/>
      <c r="U816" s="49"/>
      <c r="V816" s="49"/>
      <c r="W816" s="49"/>
      <c r="X816" s="49"/>
      <c r="Y816" s="49"/>
      <c r="Z816" s="49"/>
      <c r="AA816" s="49"/>
      <c r="AB816" s="49"/>
      <c r="AC816" s="49"/>
      <c r="AD816" s="49"/>
      <c r="AE816" s="49"/>
      <c r="AF816" s="49" t="str">
        <f>IFERROR(__xludf.DUMMYFUNCTION("""COMPUTED_VALUE"""),"++X2 Damage with Clubs")</f>
        <v>++X2 Damage with Clubs</v>
      </c>
      <c r="AG816" s="49" t="str">
        <f>IFERROR(__xludf.DUMMYFUNCTION("""COMPUTED_VALUE"""),"Dragonscale Island")</f>
        <v>Dragonscale Island</v>
      </c>
      <c r="AH816" s="49" t="b">
        <f>IFERROR(__xludf.DUMMYFUNCTION("""COMPUTED_VALUE"""),FALSE)</f>
        <v>0</v>
      </c>
    </row>
    <row r="817">
      <c r="A817" s="49" t="str">
        <f>IFERROR(__xludf.DUMMYFUNCTION("""COMPUTED_VALUE"""),"Warden's Shirt")</f>
        <v>Warden's Shirt</v>
      </c>
      <c r="B817" s="49" t="str">
        <f>IFERROR(__xludf.DUMMYFUNCTION("""COMPUTED_VALUE"""),"Torso")</f>
        <v>Torso</v>
      </c>
      <c r="C817" s="49"/>
      <c r="D817" s="49" t="str">
        <f>IFERROR(__xludf.DUMMYFUNCTION("""COMPUTED_VALUE"""),"Item")</f>
        <v>Item</v>
      </c>
      <c r="E817" s="49">
        <f>IFERROR(__xludf.DUMMYFUNCTION("""COMPUTED_VALUE"""),2000.0)</f>
        <v>2000</v>
      </c>
      <c r="F817" s="112">
        <f>IFERROR(__xludf.DUMMYFUNCTION("""COMPUTED_VALUE"""),1.99E8)</f>
        <v>199000000</v>
      </c>
      <c r="G817" s="49" t="str">
        <f>IFERROR(__xludf.DUMMYFUNCTION("""COMPUTED_VALUE"""),"DEF")</f>
        <v>DEF</v>
      </c>
      <c r="H817" s="49">
        <f>IFERROR(__xludf.DUMMYFUNCTION("""COMPUTED_VALUE"""),100000.0)</f>
        <v>100000</v>
      </c>
      <c r="I817" s="49"/>
      <c r="J817" s="49"/>
      <c r="K817" s="49"/>
      <c r="L817" s="49"/>
      <c r="M817" s="49"/>
      <c r="N817" s="49"/>
      <c r="O817" s="49"/>
      <c r="P817" s="49"/>
      <c r="Q817" s="49"/>
      <c r="R817" s="49"/>
      <c r="S817" s="49"/>
      <c r="T817" s="49"/>
      <c r="U817" s="49"/>
      <c r="V817" s="49"/>
      <c r="W817" s="49"/>
      <c r="X817" s="49"/>
      <c r="Y817" s="49"/>
      <c r="Z817" s="49"/>
      <c r="AA817" s="49"/>
      <c r="AB817" s="49"/>
      <c r="AC817" s="49"/>
      <c r="AD817" s="49"/>
      <c r="AE817" s="49"/>
      <c r="AF817" s="49" t="str">
        <f>IFERROR(__xludf.DUMMYFUNCTION("""COMPUTED_VALUE"""),"++X2 Damage with Clubs")</f>
        <v>++X2 Damage with Clubs</v>
      </c>
      <c r="AG817" s="49" t="str">
        <f>IFERROR(__xludf.DUMMYFUNCTION("""COMPUTED_VALUE"""),"Dragonscale Island")</f>
        <v>Dragonscale Island</v>
      </c>
      <c r="AH817" s="49" t="b">
        <f>IFERROR(__xludf.DUMMYFUNCTION("""COMPUTED_VALUE"""),FALSE)</f>
        <v>0</v>
      </c>
    </row>
    <row r="818">
      <c r="A818" s="49" t="str">
        <f>IFERROR(__xludf.DUMMYFUNCTION("""COMPUTED_VALUE"""),"Warden's Pants")</f>
        <v>Warden's Pants</v>
      </c>
      <c r="B818" s="49" t="str">
        <f>IFERROR(__xludf.DUMMYFUNCTION("""COMPUTED_VALUE"""),"Legs")</f>
        <v>Legs</v>
      </c>
      <c r="C818" s="49"/>
      <c r="D818" s="49" t="str">
        <f>IFERROR(__xludf.DUMMYFUNCTION("""COMPUTED_VALUE"""),"Item")</f>
        <v>Item</v>
      </c>
      <c r="E818" s="49">
        <f>IFERROR(__xludf.DUMMYFUNCTION("""COMPUTED_VALUE"""),2000.0)</f>
        <v>2000</v>
      </c>
      <c r="F818" s="112">
        <f>IFERROR(__xludf.DUMMYFUNCTION("""COMPUTED_VALUE"""),1.99E8)</f>
        <v>199000000</v>
      </c>
      <c r="G818" s="49" t="str">
        <f>IFERROR(__xludf.DUMMYFUNCTION("""COMPUTED_VALUE"""),"DEF")</f>
        <v>DEF</v>
      </c>
      <c r="H818" s="49">
        <f>IFERROR(__xludf.DUMMYFUNCTION("""COMPUTED_VALUE"""),100000.0)</f>
        <v>100000</v>
      </c>
      <c r="I818" s="49"/>
      <c r="J818" s="49"/>
      <c r="K818" s="49"/>
      <c r="L818" s="49"/>
      <c r="M818" s="49"/>
      <c r="N818" s="49"/>
      <c r="O818" s="49"/>
      <c r="P818" s="49"/>
      <c r="Q818" s="49"/>
      <c r="R818" s="49"/>
      <c r="S818" s="49"/>
      <c r="T818" s="49"/>
      <c r="U818" s="49"/>
      <c r="V818" s="49"/>
      <c r="W818" s="49"/>
      <c r="X818" s="49"/>
      <c r="Y818" s="49"/>
      <c r="Z818" s="49"/>
      <c r="AA818" s="49"/>
      <c r="AB818" s="49"/>
      <c r="AC818" s="49"/>
      <c r="AD818" s="49"/>
      <c r="AE818" s="49"/>
      <c r="AF818" s="49" t="str">
        <f>IFERROR(__xludf.DUMMYFUNCTION("""COMPUTED_VALUE"""),"++X2 Damage with Clubs")</f>
        <v>++X2 Damage with Clubs</v>
      </c>
      <c r="AG818" s="49" t="str">
        <f>IFERROR(__xludf.DUMMYFUNCTION("""COMPUTED_VALUE"""),"Dragonscale Island")</f>
        <v>Dragonscale Island</v>
      </c>
      <c r="AH818" s="49" t="b">
        <f>IFERROR(__xludf.DUMMYFUNCTION("""COMPUTED_VALUE"""),FALSE)</f>
        <v>0</v>
      </c>
    </row>
    <row r="819">
      <c r="A819" s="49" t="str">
        <f>IFERROR(__xludf.DUMMYFUNCTION("""COMPUTED_VALUE"""),"Warden's Boots")</f>
        <v>Warden's Boots</v>
      </c>
      <c r="B819" s="49" t="str">
        <f>IFERROR(__xludf.DUMMYFUNCTION("""COMPUTED_VALUE"""),"Feet")</f>
        <v>Feet</v>
      </c>
      <c r="C819" s="49"/>
      <c r="D819" s="49" t="str">
        <f>IFERROR(__xludf.DUMMYFUNCTION("""COMPUTED_VALUE"""),"Item")</f>
        <v>Item</v>
      </c>
      <c r="E819" s="49">
        <f>IFERROR(__xludf.DUMMYFUNCTION("""COMPUTED_VALUE"""),2000.0)</f>
        <v>2000</v>
      </c>
      <c r="F819" s="112">
        <f>IFERROR(__xludf.DUMMYFUNCTION("""COMPUTED_VALUE"""),1.99E8)</f>
        <v>199000000</v>
      </c>
      <c r="G819" s="49" t="str">
        <f>IFERROR(__xludf.DUMMYFUNCTION("""COMPUTED_VALUE"""),"DEF")</f>
        <v>DEF</v>
      </c>
      <c r="H819" s="49">
        <f>IFERROR(__xludf.DUMMYFUNCTION("""COMPUTED_VALUE"""),100000.0)</f>
        <v>100000</v>
      </c>
      <c r="I819" s="49"/>
      <c r="J819" s="49"/>
      <c r="K819" s="49"/>
      <c r="L819" s="49"/>
      <c r="M819" s="49"/>
      <c r="N819" s="49"/>
      <c r="O819" s="49"/>
      <c r="P819" s="49"/>
      <c r="Q819" s="49"/>
      <c r="R819" s="49"/>
      <c r="S819" s="49"/>
      <c r="T819" s="49"/>
      <c r="U819" s="49"/>
      <c r="V819" s="49"/>
      <c r="W819" s="49"/>
      <c r="X819" s="49"/>
      <c r="Y819" s="49"/>
      <c r="Z819" s="49"/>
      <c r="AA819" s="49"/>
      <c r="AB819" s="49"/>
      <c r="AC819" s="49"/>
      <c r="AD819" s="49"/>
      <c r="AE819" s="49"/>
      <c r="AF819" s="49" t="str">
        <f>IFERROR(__xludf.DUMMYFUNCTION("""COMPUTED_VALUE"""),"++X2 Damage with Clubs")</f>
        <v>++X2 Damage with Clubs</v>
      </c>
      <c r="AG819" s="49" t="str">
        <f>IFERROR(__xludf.DUMMYFUNCTION("""COMPUTED_VALUE"""),"Dragonscale Island")</f>
        <v>Dragonscale Island</v>
      </c>
      <c r="AH819" s="49" t="b">
        <f>IFERROR(__xludf.DUMMYFUNCTION("""COMPUTED_VALUE"""),FALSE)</f>
        <v>0</v>
      </c>
    </row>
    <row r="820">
      <c r="A820" s="49" t="str">
        <f>IFERROR(__xludf.DUMMYFUNCTION("""COMPUTED_VALUE"""),"Warden's Baton")</f>
        <v>Warden's Baton</v>
      </c>
      <c r="B820" s="49" t="str">
        <f>IFERROR(__xludf.DUMMYFUNCTION("""COMPUTED_VALUE"""),"Hand")</f>
        <v>Hand</v>
      </c>
      <c r="C820" s="49"/>
      <c r="D820" s="49" t="str">
        <f>IFERROR(__xludf.DUMMYFUNCTION("""COMPUTED_VALUE"""),"Club")</f>
        <v>Club</v>
      </c>
      <c r="E820" s="49">
        <f>IFERROR(__xludf.DUMMYFUNCTION("""COMPUTED_VALUE"""),4000.0)</f>
        <v>4000</v>
      </c>
      <c r="F820" s="112">
        <f>IFERROR(__xludf.DUMMYFUNCTION("""COMPUTED_VALUE"""),7.98E8)</f>
        <v>798000000</v>
      </c>
      <c r="G820" s="49" t="str">
        <f>IFERROR(__xludf.DUMMYFUNCTION("""COMPUTED_VALUE"""),"DMG")</f>
        <v>DMG</v>
      </c>
      <c r="H820" s="49">
        <f>IFERROR(__xludf.DUMMYFUNCTION("""COMPUTED_VALUE"""),200000.0)</f>
        <v>200000</v>
      </c>
      <c r="I820" s="49"/>
      <c r="J820" s="49"/>
      <c r="K820" s="49"/>
      <c r="L820" s="49"/>
      <c r="M820" s="49"/>
      <c r="N820" s="49"/>
      <c r="O820" s="49"/>
      <c r="P820" s="49"/>
      <c r="Q820" s="49"/>
      <c r="R820" s="49"/>
      <c r="S820" s="49"/>
      <c r="T820" s="49"/>
      <c r="U820" s="49"/>
      <c r="V820" s="49"/>
      <c r="W820" s="49"/>
      <c r="X820" s="49"/>
      <c r="Y820" s="49"/>
      <c r="Z820" s="49"/>
      <c r="AA820" s="49"/>
      <c r="AB820" s="49"/>
      <c r="AC820" s="49"/>
      <c r="AD820" s="49"/>
      <c r="AE820" s="49"/>
      <c r="AF820" s="49" t="str">
        <f>IFERROR(__xludf.DUMMYFUNCTION("""COMPUTED_VALUE"""),"++X20 damage to any enemy wearing a confining collar.")</f>
        <v>++X20 damage to any enemy wearing a confining collar.</v>
      </c>
      <c r="AG820" s="49" t="str">
        <f>IFERROR(__xludf.DUMMYFUNCTION("""COMPUTED_VALUE"""),"Dragonscale Island")</f>
        <v>Dragonscale Island</v>
      </c>
      <c r="AH820" s="49" t="b">
        <f>IFERROR(__xludf.DUMMYFUNCTION("""COMPUTED_VALUE"""),FALSE)</f>
        <v>0</v>
      </c>
    </row>
    <row r="821">
      <c r="A821" s="49" t="str">
        <f>IFERROR(__xludf.DUMMYFUNCTION("""COMPUTED_VALUE"""),"Gentleman's Club")</f>
        <v>Gentleman's Club</v>
      </c>
      <c r="B821" s="49" t="str">
        <f>IFERROR(__xludf.DUMMYFUNCTION("""COMPUTED_VALUE"""),"Hand")</f>
        <v>Hand</v>
      </c>
      <c r="C821" s="49"/>
      <c r="D821" s="49" t="str">
        <f>IFERROR(__xludf.DUMMYFUNCTION("""COMPUTED_VALUE"""),"Club")</f>
        <v>Club</v>
      </c>
      <c r="E821" s="49">
        <f>IFERROR(__xludf.DUMMYFUNCTION("""COMPUTED_VALUE"""),3000.0)</f>
        <v>3000</v>
      </c>
      <c r="F821" s="112">
        <f>IFERROR(__xludf.DUMMYFUNCTION("""COMPUTED_VALUE"""),4.485E8)</f>
        <v>448500000</v>
      </c>
      <c r="G821" s="49" t="str">
        <f>IFERROR(__xludf.DUMMYFUNCTION("""COMPUTED_VALUE"""),"DMG")</f>
        <v>DMG</v>
      </c>
      <c r="H821" s="49">
        <f>IFERROR(__xludf.DUMMYFUNCTION("""COMPUTED_VALUE"""),150000.0)</f>
        <v>150000</v>
      </c>
      <c r="I821" s="49"/>
      <c r="J821" s="49"/>
      <c r="K821" s="49"/>
      <c r="L821" s="49"/>
      <c r="M821" s="49"/>
      <c r="N821" s="49"/>
      <c r="O821" s="49"/>
      <c r="P821" s="49"/>
      <c r="Q821" s="49"/>
      <c r="R821" s="49"/>
      <c r="S821" s="49"/>
      <c r="T821" s="49"/>
      <c r="U821" s="49"/>
      <c r="V821" s="49"/>
      <c r="W821" s="49"/>
      <c r="X821" s="49"/>
      <c r="Y821" s="49"/>
      <c r="Z821" s="49"/>
      <c r="AA821" s="49"/>
      <c r="AB821" s="49"/>
      <c r="AC821" s="49"/>
      <c r="AD821" s="49"/>
      <c r="AE821" s="49"/>
      <c r="AF821" s="49" t="str">
        <f>IFERROR(__xludf.DUMMYFUNCTION("""COMPUTED_VALUE"""),"++Enemies hit with this weapon cannot cast spells for 2 rounds. +-Cannot be duplicated.")</f>
        <v>++Enemies hit with this weapon cannot cast spells for 2 rounds. +-Cannot be duplicated.</v>
      </c>
      <c r="AG821" s="49" t="str">
        <f>IFERROR(__xludf.DUMMYFUNCTION("""COMPUTED_VALUE"""),"Abstara")</f>
        <v>Abstara</v>
      </c>
      <c r="AH821" s="49" t="b">
        <f>IFERROR(__xludf.DUMMYFUNCTION("""COMPUTED_VALUE"""),FALSE)</f>
        <v>0</v>
      </c>
    </row>
    <row r="822">
      <c r="A822" s="49" t="str">
        <f>IFERROR(__xludf.DUMMYFUNCTION("""COMPUTED_VALUE"""),"Honest Shirt")</f>
        <v>Honest Shirt</v>
      </c>
      <c r="B822" s="49" t="str">
        <f>IFERROR(__xludf.DUMMYFUNCTION("""COMPUTED_VALUE"""),"Torso")</f>
        <v>Torso</v>
      </c>
      <c r="C822" s="49"/>
      <c r="D822" s="49" t="str">
        <f>IFERROR(__xludf.DUMMYFUNCTION("""COMPUTED_VALUE"""),"Item")</f>
        <v>Item</v>
      </c>
      <c r="E822" s="49">
        <f>IFERROR(__xludf.DUMMYFUNCTION("""COMPUTED_VALUE"""),2000.0)</f>
        <v>2000</v>
      </c>
      <c r="F822" s="112">
        <f>IFERROR(__xludf.DUMMYFUNCTION("""COMPUTED_VALUE"""),1.99E8)</f>
        <v>199000000</v>
      </c>
      <c r="G822" s="49" t="str">
        <f>IFERROR(__xludf.DUMMYFUNCTION("""COMPUTED_VALUE"""),"DEF")</f>
        <v>DEF</v>
      </c>
      <c r="H822" s="49">
        <f>IFERROR(__xludf.DUMMYFUNCTION("""COMPUTED_VALUE"""),100000.0)</f>
        <v>100000</v>
      </c>
      <c r="I822" s="49"/>
      <c r="J822" s="49"/>
      <c r="K822" s="49"/>
      <c r="L822" s="49"/>
      <c r="M822" s="49"/>
      <c r="N822" s="49"/>
      <c r="O822" s="49"/>
      <c r="P822" s="49"/>
      <c r="Q822" s="49"/>
      <c r="R822" s="49"/>
      <c r="S822" s="49"/>
      <c r="T822" s="49"/>
      <c r="U822" s="49"/>
      <c r="V822" s="49"/>
      <c r="W822" s="49"/>
      <c r="X822" s="49"/>
      <c r="Y822" s="49"/>
      <c r="Z822" s="49"/>
      <c r="AA822" s="49"/>
      <c r="AB822" s="49"/>
      <c r="AC822" s="49"/>
      <c r="AD822" s="49"/>
      <c r="AE822" s="49"/>
      <c r="AF822" s="49" t="str">
        <f>IFERROR(__xludf.DUMMYFUNCTION("""COMPUTED_VALUE"""),"++25% chance any spell targeting the wearer fails.")</f>
        <v>++25% chance any spell targeting the wearer fails.</v>
      </c>
      <c r="AG822" s="49" t="str">
        <f>IFERROR(__xludf.DUMMYFUNCTION("""COMPUTED_VALUE"""),"Dragonscale Island")</f>
        <v>Dragonscale Island</v>
      </c>
      <c r="AH822" s="49" t="b">
        <f>IFERROR(__xludf.DUMMYFUNCTION("""COMPUTED_VALUE"""),FALSE)</f>
        <v>0</v>
      </c>
    </row>
    <row r="823">
      <c r="A823" s="49" t="str">
        <f>IFERROR(__xludf.DUMMYFUNCTION("""COMPUTED_VALUE"""),"Tinfoil Hat")</f>
        <v>Tinfoil Hat</v>
      </c>
      <c r="B823" s="49" t="str">
        <f>IFERROR(__xludf.DUMMYFUNCTION("""COMPUTED_VALUE"""),"Head")</f>
        <v>Head</v>
      </c>
      <c r="C823" s="49"/>
      <c r="D823" s="49" t="str">
        <f>IFERROR(__xludf.DUMMYFUNCTION("""COMPUTED_VALUE"""),"Item")</f>
        <v>Item</v>
      </c>
      <c r="E823" s="49">
        <f>IFERROR(__xludf.DUMMYFUNCTION("""COMPUTED_VALUE"""),1.0)</f>
        <v>1</v>
      </c>
      <c r="F823" s="112">
        <f>IFERROR(__xludf.DUMMYFUNCTION("""COMPUTED_VALUE"""),0.0)</f>
        <v>0</v>
      </c>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c r="AE823" s="49"/>
      <c r="AF823" s="49" t="str">
        <f>IFERROR(__xludf.DUMMYFUNCTION("""COMPUTED_VALUE"""),"++Immunity to Possession. +-Cannot be duplicated.")</f>
        <v>++Immunity to Possession. +-Cannot be duplicated.</v>
      </c>
      <c r="AG823" s="49" t="str">
        <f>IFERROR(__xludf.DUMMYFUNCTION("""COMPUTED_VALUE"""),"Abstara")</f>
        <v>Abstara</v>
      </c>
      <c r="AH823" s="49" t="b">
        <f>IFERROR(__xludf.DUMMYFUNCTION("""COMPUTED_VALUE"""),FALSE)</f>
        <v>0</v>
      </c>
    </row>
    <row r="824">
      <c r="A824" s="49" t="str">
        <f>IFERROR(__xludf.DUMMYFUNCTION("""COMPUTED_VALUE"""),"Anti-Magic Glasses")</f>
        <v>Anti-Magic Glasses</v>
      </c>
      <c r="B824" s="49" t="str">
        <f>IFERROR(__xludf.DUMMYFUNCTION("""COMPUTED_VALUE"""),"Head")</f>
        <v>Head</v>
      </c>
      <c r="C824" s="49"/>
      <c r="D824" s="49" t="str">
        <f>IFERROR(__xludf.DUMMYFUNCTION("""COMPUTED_VALUE"""),"Item")</f>
        <v>Item</v>
      </c>
      <c r="E824" s="49">
        <f>IFERROR(__xludf.DUMMYFUNCTION("""COMPUTED_VALUE"""),1.0)</f>
        <v>1</v>
      </c>
      <c r="F824" s="112">
        <f>IFERROR(__xludf.DUMMYFUNCTION("""COMPUTED_VALUE"""),0.0)</f>
        <v>0</v>
      </c>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c r="AE824" s="49"/>
      <c r="AF824" s="49" t="str">
        <f>IFERROR(__xludf.DUMMYFUNCTION("""COMPUTED_VALUE"""),"++Immunity to Blindness, Disorient, and Twilight. +-Cannot be duplicated")</f>
        <v>++Immunity to Blindness, Disorient, and Twilight. +-Cannot be duplicated</v>
      </c>
      <c r="AG824" s="49" t="str">
        <f>IFERROR(__xludf.DUMMYFUNCTION("""COMPUTED_VALUE"""),"Abstara")</f>
        <v>Abstara</v>
      </c>
      <c r="AH824" s="49" t="b">
        <f>IFERROR(__xludf.DUMMYFUNCTION("""COMPUTED_VALUE"""),FALSE)</f>
        <v>0</v>
      </c>
    </row>
    <row r="825">
      <c r="A825" s="49" t="str">
        <f>IFERROR(__xludf.DUMMYFUNCTION("""COMPUTED_VALUE"""),"Null Ring")</f>
        <v>Null Ring</v>
      </c>
      <c r="B825" s="49" t="str">
        <f>IFERROR(__xludf.DUMMYFUNCTION("""COMPUTED_VALUE"""),"Finger")</f>
        <v>Finger</v>
      </c>
      <c r="C825" s="49"/>
      <c r="D825" s="49" t="str">
        <f>IFERROR(__xludf.DUMMYFUNCTION("""COMPUTED_VALUE"""),"Item")</f>
        <v>Item</v>
      </c>
      <c r="E825" s="49">
        <f>IFERROR(__xludf.DUMMYFUNCTION("""COMPUTED_VALUE"""),1.0)</f>
        <v>1</v>
      </c>
      <c r="F825" s="112">
        <f>IFERROR(__xludf.DUMMYFUNCTION("""COMPUTED_VALUE"""),0.0)</f>
        <v>0</v>
      </c>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c r="AE825" s="49"/>
      <c r="AF825" s="49"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49" t="str">
        <f>IFERROR(__xludf.DUMMYFUNCTION("""COMPUTED_VALUE"""),"Abstara")</f>
        <v>Abstara</v>
      </c>
      <c r="AH825" s="49" t="b">
        <f>IFERROR(__xludf.DUMMYFUNCTION("""COMPUTED_VALUE"""),FALSE)</f>
        <v>0</v>
      </c>
    </row>
    <row r="826">
      <c r="A826" s="49" t="str">
        <f>IFERROR(__xludf.DUMMYFUNCTION("""COMPUTED_VALUE"""),"Quickdraw Bow")</f>
        <v>Quickdraw Bow</v>
      </c>
      <c r="B826" s="49" t="str">
        <f>IFERROR(__xludf.DUMMYFUNCTION("""COMPUTED_VALUE"""),"Hand")</f>
        <v>Hand</v>
      </c>
      <c r="C826" s="49"/>
      <c r="D826" s="49" t="str">
        <f>IFERROR(__xludf.DUMMYFUNCTION("""COMPUTED_VALUE"""),"Bow")</f>
        <v>Bow</v>
      </c>
      <c r="E826" s="49">
        <f>IFERROR(__xludf.DUMMYFUNCTION("""COMPUTED_VALUE"""),2000.0)</f>
        <v>2000</v>
      </c>
      <c r="F826" s="112">
        <f>IFERROR(__xludf.DUMMYFUNCTION("""COMPUTED_VALUE"""),1.99E8)</f>
        <v>199000000</v>
      </c>
      <c r="G826" s="49" t="str">
        <f>IFERROR(__xludf.DUMMYFUNCTION("""COMPUTED_VALUE"""),"DMG")</f>
        <v>DMG</v>
      </c>
      <c r="H826" s="49">
        <f>IFERROR(__xludf.DUMMYFUNCTION("""COMPUTED_VALUE"""),99500.0)</f>
        <v>99500</v>
      </c>
      <c r="I826" s="49"/>
      <c r="J826" s="49"/>
      <c r="K826" s="49"/>
      <c r="L826" s="49"/>
      <c r="M826" s="49"/>
      <c r="N826" s="49"/>
      <c r="O826" s="49"/>
      <c r="P826" s="49">
        <f>IFERROR(__xludf.DUMMYFUNCTION("""COMPUTED_VALUE"""),500.0)</f>
        <v>500</v>
      </c>
      <c r="Q826" s="49"/>
      <c r="R826" s="49"/>
      <c r="S826" s="49"/>
      <c r="T826" s="49"/>
      <c r="U826" s="49"/>
      <c r="V826" s="49"/>
      <c r="W826" s="49"/>
      <c r="X826" s="49"/>
      <c r="Y826" s="49"/>
      <c r="Z826" s="49"/>
      <c r="AA826" s="49"/>
      <c r="AB826" s="49"/>
      <c r="AC826" s="49"/>
      <c r="AD826" s="49"/>
      <c r="AE826" s="49"/>
      <c r="AF826" s="49" t="str">
        <f>IFERROR(__xludf.DUMMYFUNCTION("""COMPUTED_VALUE"""),"++Plus 2 to turn order roll +-Cannot be forged or duplicated")</f>
        <v>++Plus 2 to turn order roll +-Cannot be forged or duplicated</v>
      </c>
      <c r="AG826" s="49" t="str">
        <f>IFERROR(__xludf.DUMMYFUNCTION("""COMPUTED_VALUE"""),"Dragonscale Island")</f>
        <v>Dragonscale Island</v>
      </c>
      <c r="AH826" s="49" t="b">
        <f>IFERROR(__xludf.DUMMYFUNCTION("""COMPUTED_VALUE"""),FALSE)</f>
        <v>0</v>
      </c>
    </row>
    <row r="827">
      <c r="A827" s="49" t="str">
        <f>IFERROR(__xludf.DUMMYFUNCTION("""COMPUTED_VALUE"""),"Chaos Bow")</f>
        <v>Chaos Bow</v>
      </c>
      <c r="B827" s="49" t="str">
        <f>IFERROR(__xludf.DUMMYFUNCTION("""COMPUTED_VALUE"""),"Hand")</f>
        <v>Hand</v>
      </c>
      <c r="C827" s="49"/>
      <c r="D827" s="49" t="str">
        <f>IFERROR(__xludf.DUMMYFUNCTION("""COMPUTED_VALUE"""),"Bow")</f>
        <v>Bow</v>
      </c>
      <c r="E827" s="49">
        <f>IFERROR(__xludf.DUMMYFUNCTION("""COMPUTED_VALUE"""),2600.0)</f>
        <v>2600</v>
      </c>
      <c r="F827" s="112">
        <f>IFERROR(__xludf.DUMMYFUNCTION("""COMPUTED_VALUE"""),3.367E8)</f>
        <v>336700000</v>
      </c>
      <c r="G827" s="49" t="str">
        <f>IFERROR(__xludf.DUMMYFUNCTION("""COMPUTED_VALUE"""),"DMG")</f>
        <v>DMG</v>
      </c>
      <c r="H827" s="49">
        <f>IFERROR(__xludf.DUMMYFUNCTION("""COMPUTED_VALUE"""),50000.0)</f>
        <v>50000</v>
      </c>
      <c r="I827" s="49"/>
      <c r="J827" s="49"/>
      <c r="K827" s="49"/>
      <c r="L827" s="49"/>
      <c r="M827" s="49"/>
      <c r="N827" s="49"/>
      <c r="O827" s="49"/>
      <c r="P827" s="49"/>
      <c r="Q827" s="49"/>
      <c r="R827" s="49">
        <f>IFERROR(__xludf.DUMMYFUNCTION("""COMPUTED_VALUE"""),80000.0)</f>
        <v>80000</v>
      </c>
      <c r="S827" s="49"/>
      <c r="T827" s="49"/>
      <c r="U827" s="49"/>
      <c r="V827" s="49"/>
      <c r="W827" s="49"/>
      <c r="X827" s="49"/>
      <c r="Y827" s="49"/>
      <c r="Z827" s="49"/>
      <c r="AA827" s="49"/>
      <c r="AB827" s="49"/>
      <c r="AC827" s="49"/>
      <c r="AD827" s="49"/>
      <c r="AE827" s="49"/>
      <c r="AF827" s="49" t="str">
        <f>IFERROR(__xludf.DUMMYFUNCTION("""COMPUTED_VALUE"""),"++This bow targets a random enemy.")</f>
        <v>++This bow targets a random enemy.</v>
      </c>
      <c r="AG827" s="49" t="str">
        <f>IFERROR(__xludf.DUMMYFUNCTION("""COMPUTED_VALUE"""),"Dragonscale Island")</f>
        <v>Dragonscale Island</v>
      </c>
      <c r="AH827" s="49" t="b">
        <f>IFERROR(__xludf.DUMMYFUNCTION("""COMPUTED_VALUE"""),FALSE)</f>
        <v>0</v>
      </c>
    </row>
    <row r="828">
      <c r="A828" s="49" t="str">
        <f>IFERROR(__xludf.DUMMYFUNCTION("""COMPUTED_VALUE"""),"Crit Shot Bow")</f>
        <v>Crit Shot Bow</v>
      </c>
      <c r="B828" s="49" t="str">
        <f>IFERROR(__xludf.DUMMYFUNCTION("""COMPUTED_VALUE"""),"Hand")</f>
        <v>Hand</v>
      </c>
      <c r="C828" s="49"/>
      <c r="D828" s="49" t="str">
        <f>IFERROR(__xludf.DUMMYFUNCTION("""COMPUTED_VALUE"""),"Bow")</f>
        <v>Bow</v>
      </c>
      <c r="E828" s="49">
        <f>IFERROR(__xludf.DUMMYFUNCTION("""COMPUTED_VALUE"""),4000.0)</f>
        <v>4000</v>
      </c>
      <c r="F828" s="112">
        <f>IFERROR(__xludf.DUMMYFUNCTION("""COMPUTED_VALUE"""),7.98E8)</f>
        <v>798000000</v>
      </c>
      <c r="G828" s="49" t="str">
        <f>IFERROR(__xludf.DUMMYFUNCTION("""COMPUTED_VALUE"""),"DMG")</f>
        <v>DMG</v>
      </c>
      <c r="H828" s="49">
        <f>IFERROR(__xludf.DUMMYFUNCTION("""COMPUTED_VALUE"""),200000.0)</f>
        <v>200000</v>
      </c>
      <c r="I828" s="49"/>
      <c r="J828" s="49"/>
      <c r="K828" s="49"/>
      <c r="L828" s="49"/>
      <c r="M828" s="49"/>
      <c r="N828" s="49"/>
      <c r="O828" s="49"/>
      <c r="P828" s="49"/>
      <c r="Q828" s="49"/>
      <c r="R828" s="49"/>
      <c r="S828" s="49"/>
      <c r="T828" s="49"/>
      <c r="U828" s="49"/>
      <c r="V828" s="49"/>
      <c r="W828" s="49"/>
      <c r="X828" s="49"/>
      <c r="Y828" s="49"/>
      <c r="Z828" s="49"/>
      <c r="AA828" s="49"/>
      <c r="AB828" s="49"/>
      <c r="AC828" s="49"/>
      <c r="AD828" s="49"/>
      <c r="AE828" s="49"/>
      <c r="AF828" s="49" t="str">
        <f>IFERROR(__xludf.DUMMYFUNCTION("""COMPUTED_VALUE"""),"++Deals 3x damage +-Accuracy halved")</f>
        <v>++Deals 3x damage +-Accuracy halved</v>
      </c>
      <c r="AG828" s="49" t="str">
        <f>IFERROR(__xludf.DUMMYFUNCTION("""COMPUTED_VALUE"""),"Abstara")</f>
        <v>Abstara</v>
      </c>
      <c r="AH828" s="49" t="b">
        <f>IFERROR(__xludf.DUMMYFUNCTION("""COMPUTED_VALUE"""),FALSE)</f>
        <v>0</v>
      </c>
    </row>
    <row r="829">
      <c r="A829" s="49" t="str">
        <f>IFERROR(__xludf.DUMMYFUNCTION("""COMPUTED_VALUE"""),"Incinerating Bow")</f>
        <v>Incinerating Bow</v>
      </c>
      <c r="B829" s="49" t="str">
        <f>IFERROR(__xludf.DUMMYFUNCTION("""COMPUTED_VALUE"""),"Hand")</f>
        <v>Hand</v>
      </c>
      <c r="C829" s="49"/>
      <c r="D829" s="49" t="str">
        <f>IFERROR(__xludf.DUMMYFUNCTION("""COMPUTED_VALUE"""),"Bow")</f>
        <v>Bow</v>
      </c>
      <c r="E829" s="49">
        <f>IFERROR(__xludf.DUMMYFUNCTION("""COMPUTED_VALUE"""),3800.0)</f>
        <v>3800</v>
      </c>
      <c r="F829" s="112">
        <f>IFERROR(__xludf.DUMMYFUNCTION("""COMPUTED_VALUE"""),7.201E8)</f>
        <v>720100000</v>
      </c>
      <c r="G829" s="49" t="str">
        <f>IFERROR(__xludf.DUMMYFUNCTION("""COMPUTED_VALUE"""),"DMG")</f>
        <v>DMG</v>
      </c>
      <c r="H829" s="49">
        <f>IFERROR(__xludf.DUMMYFUNCTION("""COMPUTED_VALUE"""),90000.0)</f>
        <v>90000</v>
      </c>
      <c r="I829" s="49">
        <f>IFERROR(__xludf.DUMMYFUNCTION("""COMPUTED_VALUE"""),100000.0)</f>
        <v>100000</v>
      </c>
      <c r="J829" s="49"/>
      <c r="K829" s="49"/>
      <c r="L829" s="49"/>
      <c r="M829" s="49"/>
      <c r="N829" s="49"/>
      <c r="O829" s="49"/>
      <c r="P829" s="49"/>
      <c r="Q829" s="49"/>
      <c r="R829" s="49"/>
      <c r="S829" s="49"/>
      <c r="T829" s="49"/>
      <c r="U829" s="49"/>
      <c r="V829" s="49"/>
      <c r="W829" s="49"/>
      <c r="X829" s="49"/>
      <c r="Y829" s="49"/>
      <c r="Z829" s="49"/>
      <c r="AA829" s="49"/>
      <c r="AB829" s="49"/>
      <c r="AC829" s="49"/>
      <c r="AD829" s="49"/>
      <c r="AE829" s="49"/>
      <c r="AF829" s="49"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49" t="str">
        <f>IFERROR(__xludf.DUMMYFUNCTION("""COMPUTED_VALUE"""),"Abstara")</f>
        <v>Abstara</v>
      </c>
      <c r="AH829" s="49" t="b">
        <f>IFERROR(__xludf.DUMMYFUNCTION("""COMPUTED_VALUE"""),FALSE)</f>
        <v>0</v>
      </c>
    </row>
    <row r="830">
      <c r="A830" s="49" t="str">
        <f>IFERROR(__xludf.DUMMYFUNCTION("""COMPUTED_VALUE"""),"Bone Bow")</f>
        <v>Bone Bow</v>
      </c>
      <c r="B830" s="49" t="str">
        <f>IFERROR(__xludf.DUMMYFUNCTION("""COMPUTED_VALUE"""),"Hand")</f>
        <v>Hand</v>
      </c>
      <c r="C830" s="49"/>
      <c r="D830" s="49" t="str">
        <f>IFERROR(__xludf.DUMMYFUNCTION("""COMPUTED_VALUE"""),"Bow")</f>
        <v>Bow</v>
      </c>
      <c r="E830" s="49">
        <f>IFERROR(__xludf.DUMMYFUNCTION("""COMPUTED_VALUE"""),3400.0)</f>
        <v>3400</v>
      </c>
      <c r="F830" s="112">
        <f>IFERROR(__xludf.DUMMYFUNCTION("""COMPUTED_VALUE"""),5.763E8)</f>
        <v>576300000</v>
      </c>
      <c r="G830" s="49" t="str">
        <f>IFERROR(__xludf.DUMMYFUNCTION("""COMPUTED_VALUE"""),"DMG")</f>
        <v>DMG</v>
      </c>
      <c r="H830" s="49">
        <f>IFERROR(__xludf.DUMMYFUNCTION("""COMPUTED_VALUE"""),10000.0)</f>
        <v>10000</v>
      </c>
      <c r="I830" s="49"/>
      <c r="J830" s="49"/>
      <c r="K830" s="49"/>
      <c r="L830" s="49"/>
      <c r="M830" s="49"/>
      <c r="N830" s="49"/>
      <c r="O830" s="49"/>
      <c r="P830" s="49"/>
      <c r="Q830" s="49"/>
      <c r="R830" s="49"/>
      <c r="S830" s="49"/>
      <c r="T830" s="49"/>
      <c r="U830" s="49"/>
      <c r="V830" s="49"/>
      <c r="W830" s="49"/>
      <c r="X830" s="49"/>
      <c r="Y830" s="49">
        <f>IFERROR(__xludf.DUMMYFUNCTION("""COMPUTED_VALUE"""),160000.0)</f>
        <v>160000</v>
      </c>
      <c r="Z830" s="49"/>
      <c r="AA830" s="49"/>
      <c r="AB830" s="49"/>
      <c r="AC830" s="49"/>
      <c r="AD830" s="49"/>
      <c r="AE830" s="49"/>
      <c r="AF830" s="49" t="str">
        <f>IFERROR(__xludf.DUMMYFUNCTION("""COMPUTED_VALUE"""),"++ 2x damage when user isundead")</f>
        <v>++ 2x damage when user isundead</v>
      </c>
      <c r="AG830" s="49" t="str">
        <f>IFERROR(__xludf.DUMMYFUNCTION("""COMPUTED_VALUE"""),"Abstara")</f>
        <v>Abstara</v>
      </c>
      <c r="AH830" s="49" t="b">
        <f>IFERROR(__xludf.DUMMYFUNCTION("""COMPUTED_VALUE"""),FALSE)</f>
        <v>0</v>
      </c>
    </row>
    <row r="831">
      <c r="A831" s="49" t="str">
        <f>IFERROR(__xludf.DUMMYFUNCTION("""COMPUTED_VALUE"""),"Assassin's Fake Harp")</f>
        <v>Assassin's Fake Harp</v>
      </c>
      <c r="B831" s="49" t="str">
        <f>IFERROR(__xludf.DUMMYFUNCTION("""COMPUTED_VALUE"""),"Hand")</f>
        <v>Hand</v>
      </c>
      <c r="C831" s="49"/>
      <c r="D831" s="49" t="str">
        <f>IFERROR(__xludf.DUMMYFUNCTION("""COMPUTED_VALUE"""),"Bow")</f>
        <v>Bow</v>
      </c>
      <c r="E831" s="49">
        <f>IFERROR(__xludf.DUMMYFUNCTION("""COMPUTED_VALUE"""),3000.0)</f>
        <v>3000</v>
      </c>
      <c r="F831" s="112">
        <f>IFERROR(__xludf.DUMMYFUNCTION("""COMPUTED_VALUE"""),4.485E8)</f>
        <v>448500000</v>
      </c>
      <c r="G831" s="49" t="str">
        <f>IFERROR(__xludf.DUMMYFUNCTION("""COMPUTED_VALUE"""),"DMG")</f>
        <v>DMG</v>
      </c>
      <c r="H831" s="49">
        <f>IFERROR(__xludf.DUMMYFUNCTION("""COMPUTED_VALUE"""),50000.0)</f>
        <v>50000</v>
      </c>
      <c r="I831" s="49"/>
      <c r="J831" s="49"/>
      <c r="K831" s="49"/>
      <c r="L831" s="49"/>
      <c r="M831" s="49"/>
      <c r="N831" s="49"/>
      <c r="O831" s="49"/>
      <c r="P831" s="49"/>
      <c r="Q831" s="49"/>
      <c r="R831" s="49"/>
      <c r="S831" s="49"/>
      <c r="T831" s="49"/>
      <c r="U831" s="49"/>
      <c r="V831" s="49"/>
      <c r="W831" s="49"/>
      <c r="X831" s="49"/>
      <c r="Y831" s="49"/>
      <c r="Z831" s="49"/>
      <c r="AA831" s="49"/>
      <c r="AB831" s="49"/>
      <c r="AC831" s="49"/>
      <c r="AD831" s="49"/>
      <c r="AE831" s="49">
        <f>IFERROR(__xludf.DUMMYFUNCTION("""COMPUTED_VALUE"""),100000.0)</f>
        <v>100000</v>
      </c>
      <c r="AF831" s="49" t="str">
        <f>IFERROR(__xludf.DUMMYFUNCTION("""COMPUTED_VALUE"""),"++Deals X2 additional damage for the first round of battle.")</f>
        <v>++Deals X2 additional damage for the first round of battle.</v>
      </c>
      <c r="AG831" s="49" t="str">
        <f>IFERROR(__xludf.DUMMYFUNCTION("""COMPUTED_VALUE"""),"Dragonscale Island")</f>
        <v>Dragonscale Island</v>
      </c>
      <c r="AH831" s="49" t="b">
        <f>IFERROR(__xludf.DUMMYFUNCTION("""COMPUTED_VALUE"""),FALSE)</f>
        <v>0</v>
      </c>
    </row>
    <row r="832">
      <c r="A832" s="49" t="str">
        <f>IFERROR(__xludf.DUMMYFUNCTION("""COMPUTED_VALUE"""),"Broken Bow")</f>
        <v>Broken Bow</v>
      </c>
      <c r="B832" s="49" t="str">
        <f>IFERROR(__xludf.DUMMYFUNCTION("""COMPUTED_VALUE"""),"Hand")</f>
        <v>Hand</v>
      </c>
      <c r="C832" s="49"/>
      <c r="D832" s="49" t="str">
        <f>IFERROR(__xludf.DUMMYFUNCTION("""COMPUTED_VALUE"""),"Club")</f>
        <v>Club</v>
      </c>
      <c r="E832" s="49">
        <f>IFERROR(__xludf.DUMMYFUNCTION("""COMPUTED_VALUE"""),20.0)</f>
        <v>20</v>
      </c>
      <c r="F832" s="112">
        <f>IFERROR(__xludf.DUMMYFUNCTION("""COMPUTED_VALUE"""),10000.0)</f>
        <v>10000</v>
      </c>
      <c r="G832" s="49" t="str">
        <f>IFERROR(__xludf.DUMMYFUNCTION("""COMPUTED_VALUE"""),"DMG")</f>
        <v>DMG</v>
      </c>
      <c r="H832" s="49">
        <f>IFERROR(__xludf.DUMMYFUNCTION("""COMPUTED_VALUE"""),1000.0)</f>
        <v>1000</v>
      </c>
      <c r="I832" s="49"/>
      <c r="J832" s="49"/>
      <c r="K832" s="49"/>
      <c r="L832" s="49"/>
      <c r="M832" s="49"/>
      <c r="N832" s="49"/>
      <c r="O832" s="49"/>
      <c r="P832" s="49"/>
      <c r="Q832" s="49"/>
      <c r="R832" s="49"/>
      <c r="S832" s="49"/>
      <c r="T832" s="49"/>
      <c r="U832" s="49"/>
      <c r="V832" s="49"/>
      <c r="W832" s="49"/>
      <c r="X832" s="49"/>
      <c r="Y832" s="49"/>
      <c r="Z832" s="49"/>
      <c r="AA832" s="49"/>
      <c r="AB832" s="49"/>
      <c r="AC832" s="49"/>
      <c r="AD832" s="49"/>
      <c r="AE832" s="49"/>
      <c r="AF832" s="49"/>
      <c r="AG832" s="49" t="str">
        <f>IFERROR(__xludf.DUMMYFUNCTION("""COMPUTED_VALUE"""),"Land of Spira")</f>
        <v>Land of Spira</v>
      </c>
      <c r="AH832" s="49" t="b">
        <f>IFERROR(__xludf.DUMMYFUNCTION("""COMPUTED_VALUE"""),FALSE)</f>
        <v>0</v>
      </c>
    </row>
    <row r="833">
      <c r="A833" s="49" t="str">
        <f>IFERROR(__xludf.DUMMYFUNCTION("""COMPUTED_VALUE"""),"Lizard Wizard Hat")</f>
        <v>Lizard Wizard Hat</v>
      </c>
      <c r="B833" s="49" t="str">
        <f>IFERROR(__xludf.DUMMYFUNCTION("""COMPUTED_VALUE"""),"Head")</f>
        <v>Head</v>
      </c>
      <c r="C833" s="49"/>
      <c r="D833" s="49" t="str">
        <f>IFERROR(__xludf.DUMMYFUNCTION("""COMPUTED_VALUE"""),"Item")</f>
        <v>Item</v>
      </c>
      <c r="E833" s="49">
        <f>IFERROR(__xludf.DUMMYFUNCTION("""COMPUTED_VALUE"""),200.0)</f>
        <v>200</v>
      </c>
      <c r="F833" s="112">
        <f>IFERROR(__xludf.DUMMYFUNCTION("""COMPUTED_VALUE"""),1900000.0)</f>
        <v>1900000</v>
      </c>
      <c r="G833" s="49" t="str">
        <f>IFERROR(__xludf.DUMMYFUNCTION("""COMPUTED_VALUE"""),"DEF")</f>
        <v>DEF</v>
      </c>
      <c r="H833" s="49">
        <f>IFERROR(__xludf.DUMMYFUNCTION("""COMPUTED_VALUE"""),10000.0)</f>
        <v>10000</v>
      </c>
      <c r="I833" s="49"/>
      <c r="J833" s="49"/>
      <c r="K833" s="49"/>
      <c r="L833" s="49"/>
      <c r="M833" s="49"/>
      <c r="N833" s="49"/>
      <c r="O833" s="49"/>
      <c r="P833" s="49"/>
      <c r="Q833" s="49"/>
      <c r="R833" s="49"/>
      <c r="S833" s="49"/>
      <c r="T833" s="49"/>
      <c r="U833" s="49"/>
      <c r="V833" s="49"/>
      <c r="W833" s="49"/>
      <c r="X833" s="49"/>
      <c r="Y833" s="49"/>
      <c r="Z833" s="49"/>
      <c r="AA833" s="49"/>
      <c r="AB833" s="49"/>
      <c r="AC833" s="49"/>
      <c r="AD833" s="49"/>
      <c r="AE833" s="49"/>
      <c r="AF833" s="49" t="str">
        <f>IFERROR(__xludf.DUMMYFUNCTION("""COMPUTED_VALUE"""),"++7500 hp and sp, X2 poison damage")</f>
        <v>++7500 hp and sp, X2 poison damage</v>
      </c>
      <c r="AG833" s="49" t="str">
        <f>IFERROR(__xludf.DUMMYFUNCTION("""COMPUTED_VALUE"""),"Dragonscale Island")</f>
        <v>Dragonscale Island</v>
      </c>
      <c r="AH833" s="49" t="b">
        <f>IFERROR(__xludf.DUMMYFUNCTION("""COMPUTED_VALUE"""),FALSE)</f>
        <v>0</v>
      </c>
    </row>
    <row r="834">
      <c r="A834" s="49" t="str">
        <f>IFERROR(__xludf.DUMMYFUNCTION("""COMPUTED_VALUE"""),"Lizard Wizard Robes")</f>
        <v>Lizard Wizard Robes</v>
      </c>
      <c r="B834" s="49" t="str">
        <f>IFERROR(__xludf.DUMMYFUNCTION("""COMPUTED_VALUE"""),"Torso")</f>
        <v>Torso</v>
      </c>
      <c r="C834" s="49"/>
      <c r="D834" s="49" t="str">
        <f>IFERROR(__xludf.DUMMYFUNCTION("""COMPUTED_VALUE"""),"Item")</f>
        <v>Item</v>
      </c>
      <c r="E834" s="49">
        <f>IFERROR(__xludf.DUMMYFUNCTION("""COMPUTED_VALUE"""),200.0)</f>
        <v>200</v>
      </c>
      <c r="F834" s="112">
        <f>IFERROR(__xludf.DUMMYFUNCTION("""COMPUTED_VALUE"""),1900000.0)</f>
        <v>1900000</v>
      </c>
      <c r="G834" s="49" t="str">
        <f>IFERROR(__xludf.DUMMYFUNCTION("""COMPUTED_VALUE"""),"DEF")</f>
        <v>DEF</v>
      </c>
      <c r="H834" s="49">
        <f>IFERROR(__xludf.DUMMYFUNCTION("""COMPUTED_VALUE"""),10000.0)</f>
        <v>10000</v>
      </c>
      <c r="I834" s="49"/>
      <c r="J834" s="49"/>
      <c r="K834" s="49"/>
      <c r="L834" s="49"/>
      <c r="M834" s="49"/>
      <c r="N834" s="49"/>
      <c r="O834" s="49"/>
      <c r="P834" s="49"/>
      <c r="Q834" s="49"/>
      <c r="R834" s="49"/>
      <c r="S834" s="49"/>
      <c r="T834" s="49"/>
      <c r="U834" s="49"/>
      <c r="V834" s="49"/>
      <c r="W834" s="49"/>
      <c r="X834" s="49"/>
      <c r="Y834" s="49"/>
      <c r="Z834" s="49"/>
      <c r="AA834" s="49"/>
      <c r="AB834" s="49"/>
      <c r="AC834" s="49"/>
      <c r="AD834" s="49"/>
      <c r="AE834" s="49"/>
      <c r="AF834" s="49" t="str">
        <f>IFERROR(__xludf.DUMMYFUNCTION("""COMPUTED_VALUE"""),"++7500 hp and sp, X2 poison damage")</f>
        <v>++7500 hp and sp, X2 poison damage</v>
      </c>
      <c r="AG834" s="49" t="str">
        <f>IFERROR(__xludf.DUMMYFUNCTION("""COMPUTED_VALUE"""),"Dragonscale Island")</f>
        <v>Dragonscale Island</v>
      </c>
      <c r="AH834" s="49" t="b">
        <f>IFERROR(__xludf.DUMMYFUNCTION("""COMPUTED_VALUE"""),FALSE)</f>
        <v>0</v>
      </c>
    </row>
    <row r="835">
      <c r="A835" s="49" t="str">
        <f>IFERROR(__xludf.DUMMYFUNCTION("""COMPUTED_VALUE"""),"Lizard Wizard Leggings")</f>
        <v>Lizard Wizard Leggings</v>
      </c>
      <c r="B835" s="49" t="str">
        <f>IFERROR(__xludf.DUMMYFUNCTION("""COMPUTED_VALUE"""),"Legs")</f>
        <v>Legs</v>
      </c>
      <c r="C835" s="49"/>
      <c r="D835" s="49" t="str">
        <f>IFERROR(__xludf.DUMMYFUNCTION("""COMPUTED_VALUE"""),"Item")</f>
        <v>Item</v>
      </c>
      <c r="E835" s="49">
        <f>IFERROR(__xludf.DUMMYFUNCTION("""COMPUTED_VALUE"""),200.0)</f>
        <v>200</v>
      </c>
      <c r="F835" s="112">
        <f>IFERROR(__xludf.DUMMYFUNCTION("""COMPUTED_VALUE"""),1900000.0)</f>
        <v>1900000</v>
      </c>
      <c r="G835" s="49" t="str">
        <f>IFERROR(__xludf.DUMMYFUNCTION("""COMPUTED_VALUE"""),"DEF")</f>
        <v>DEF</v>
      </c>
      <c r="H835" s="49">
        <f>IFERROR(__xludf.DUMMYFUNCTION("""COMPUTED_VALUE"""),10000.0)</f>
        <v>10000</v>
      </c>
      <c r="I835" s="49"/>
      <c r="J835" s="49"/>
      <c r="K835" s="49"/>
      <c r="L835" s="49"/>
      <c r="M835" s="49"/>
      <c r="N835" s="49"/>
      <c r="O835" s="49"/>
      <c r="P835" s="49"/>
      <c r="Q835" s="49"/>
      <c r="R835" s="49"/>
      <c r="S835" s="49"/>
      <c r="T835" s="49"/>
      <c r="U835" s="49"/>
      <c r="V835" s="49"/>
      <c r="W835" s="49"/>
      <c r="X835" s="49"/>
      <c r="Y835" s="49"/>
      <c r="Z835" s="49"/>
      <c r="AA835" s="49"/>
      <c r="AB835" s="49"/>
      <c r="AC835" s="49"/>
      <c r="AD835" s="49"/>
      <c r="AE835" s="49"/>
      <c r="AF835" s="49" t="str">
        <f>IFERROR(__xludf.DUMMYFUNCTION("""COMPUTED_VALUE"""),"++7500 hp and sp, X2 poison damage")</f>
        <v>++7500 hp and sp, X2 poison damage</v>
      </c>
      <c r="AG835" s="49" t="str">
        <f>IFERROR(__xludf.DUMMYFUNCTION("""COMPUTED_VALUE"""),"Dragonscale Island")</f>
        <v>Dragonscale Island</v>
      </c>
      <c r="AH835" s="49" t="b">
        <f>IFERROR(__xludf.DUMMYFUNCTION("""COMPUTED_VALUE"""),FALSE)</f>
        <v>0</v>
      </c>
    </row>
    <row r="836">
      <c r="A836" s="49" t="str">
        <f>IFERROR(__xludf.DUMMYFUNCTION("""COMPUTED_VALUE"""),"Lizard Wizard Pointed Shoes")</f>
        <v>Lizard Wizard Pointed Shoes</v>
      </c>
      <c r="B836" s="49" t="str">
        <f>IFERROR(__xludf.DUMMYFUNCTION("""COMPUTED_VALUE"""),"Feet")</f>
        <v>Feet</v>
      </c>
      <c r="C836" s="49"/>
      <c r="D836" s="49" t="str">
        <f>IFERROR(__xludf.DUMMYFUNCTION("""COMPUTED_VALUE"""),"Item")</f>
        <v>Item</v>
      </c>
      <c r="E836" s="49">
        <f>IFERROR(__xludf.DUMMYFUNCTION("""COMPUTED_VALUE"""),200.0)</f>
        <v>200</v>
      </c>
      <c r="F836" s="112">
        <f>IFERROR(__xludf.DUMMYFUNCTION("""COMPUTED_VALUE"""),1900000.0)</f>
        <v>1900000</v>
      </c>
      <c r="G836" s="49" t="str">
        <f>IFERROR(__xludf.DUMMYFUNCTION("""COMPUTED_VALUE"""),"DEF")</f>
        <v>DEF</v>
      </c>
      <c r="H836" s="49">
        <f>IFERROR(__xludf.DUMMYFUNCTION("""COMPUTED_VALUE"""),10000.0)</f>
        <v>10000</v>
      </c>
      <c r="I836" s="49"/>
      <c r="J836" s="49"/>
      <c r="K836" s="49"/>
      <c r="L836" s="49"/>
      <c r="M836" s="49"/>
      <c r="N836" s="49"/>
      <c r="O836" s="49"/>
      <c r="P836" s="49"/>
      <c r="Q836" s="49"/>
      <c r="R836" s="49"/>
      <c r="S836" s="49"/>
      <c r="T836" s="49"/>
      <c r="U836" s="49"/>
      <c r="V836" s="49"/>
      <c r="W836" s="49"/>
      <c r="X836" s="49"/>
      <c r="Y836" s="49"/>
      <c r="Z836" s="49"/>
      <c r="AA836" s="49"/>
      <c r="AB836" s="49"/>
      <c r="AC836" s="49"/>
      <c r="AD836" s="49"/>
      <c r="AE836" s="49"/>
      <c r="AF836" s="49" t="str">
        <f>IFERROR(__xludf.DUMMYFUNCTION("""COMPUTED_VALUE"""),"++7500 hp and sp, X2 poison damage")</f>
        <v>++7500 hp and sp, X2 poison damage</v>
      </c>
      <c r="AG836" s="49" t="str">
        <f>IFERROR(__xludf.DUMMYFUNCTION("""COMPUTED_VALUE"""),"Dragonscale Island")</f>
        <v>Dragonscale Island</v>
      </c>
      <c r="AH836" s="49" t="b">
        <f>IFERROR(__xludf.DUMMYFUNCTION("""COMPUTED_VALUE"""),FALSE)</f>
        <v>0</v>
      </c>
    </row>
    <row r="837">
      <c r="A837" s="49" t="str">
        <f>IFERROR(__xludf.DUMMYFUNCTION("""COMPUTED_VALUE"""),"Lizard Wizard Staff of Corroding Blizzard")</f>
        <v>Lizard Wizard Staff of Corroding Blizzard</v>
      </c>
      <c r="B837" s="49" t="str">
        <f>IFERROR(__xludf.DUMMYFUNCTION("""COMPUTED_VALUE"""),"Hand")</f>
        <v>Hand</v>
      </c>
      <c r="C837" s="49"/>
      <c r="D837" s="49" t="str">
        <f>IFERROR(__xludf.DUMMYFUNCTION("""COMPUTED_VALUE"""),"Staff")</f>
        <v>Staff</v>
      </c>
      <c r="E837" s="49">
        <f>IFERROR(__xludf.DUMMYFUNCTION("""COMPUTED_VALUE"""),3000.0)</f>
        <v>3000</v>
      </c>
      <c r="F837" s="112">
        <f>IFERROR(__xludf.DUMMYFUNCTION("""COMPUTED_VALUE"""),4.485E8)</f>
        <v>448500000</v>
      </c>
      <c r="G837" s="49" t="str">
        <f>IFERROR(__xludf.DUMMYFUNCTION("""COMPUTED_VALUE"""),"DMG")</f>
        <v>DMG</v>
      </c>
      <c r="H837" s="49"/>
      <c r="I837" s="49"/>
      <c r="J837" s="49"/>
      <c r="K837" s="49"/>
      <c r="L837" s="49"/>
      <c r="M837" s="49"/>
      <c r="N837" s="49">
        <f>IFERROR(__xludf.DUMMYFUNCTION("""COMPUTED_VALUE"""),50000.0)</f>
        <v>50000</v>
      </c>
      <c r="O837" s="49"/>
      <c r="P837" s="49"/>
      <c r="Q837" s="49"/>
      <c r="R837" s="49"/>
      <c r="S837" s="49">
        <f>IFERROR(__xludf.DUMMYFUNCTION("""COMPUTED_VALUE"""),100000.0)</f>
        <v>100000</v>
      </c>
      <c r="T837" s="49"/>
      <c r="U837" s="49"/>
      <c r="V837" s="49"/>
      <c r="W837" s="49"/>
      <c r="X837" s="49"/>
      <c r="Y837" s="49"/>
      <c r="Z837" s="49"/>
      <c r="AA837" s="49"/>
      <c r="AB837" s="49"/>
      <c r="AC837" s="49"/>
      <c r="AD837" s="49"/>
      <c r="AE837" s="49"/>
      <c r="AF837" s="49"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49" t="str">
        <f>IFERROR(__xludf.DUMMYFUNCTION("""COMPUTED_VALUE"""),"Dragonscale Island")</f>
        <v>Dragonscale Island</v>
      </c>
      <c r="AH837" s="49" t="b">
        <f>IFERROR(__xludf.DUMMYFUNCTION("""COMPUTED_VALUE"""),FALSE)</f>
        <v>0</v>
      </c>
    </row>
    <row r="838">
      <c r="A838" s="49" t="str">
        <f>IFERROR(__xludf.DUMMYFUNCTION("""COMPUTED_VALUE"""),"Lizard Wizard's Prized Ring")</f>
        <v>Lizard Wizard's Prized Ring</v>
      </c>
      <c r="B838" s="49" t="str">
        <f>IFERROR(__xludf.DUMMYFUNCTION("""COMPUTED_VALUE"""),"Finger")</f>
        <v>Finger</v>
      </c>
      <c r="C838" s="49" t="str">
        <f>IFERROR(__xludf.DUMMYFUNCTION("""COMPUTED_VALUE"""),"""The Most Prized shiny of all lizard wizard kind!"" ~Lizard Wizzard Gizzard")</f>
        <v>"The Most Prized shiny of all lizard wizard kind!" ~Lizard Wizzard Gizzard</v>
      </c>
      <c r="D838" s="49" t="str">
        <f>IFERROR(__xludf.DUMMYFUNCTION("""COMPUTED_VALUE"""),"Item")</f>
        <v>Item</v>
      </c>
      <c r="E838" s="49">
        <f>IFERROR(__xludf.DUMMYFUNCTION("""COMPUTED_VALUE"""),2000.0)</f>
        <v>2000</v>
      </c>
      <c r="F838" s="112">
        <f>IFERROR(__xludf.DUMMYFUNCTION("""COMPUTED_VALUE"""),1.99E8)</f>
        <v>199000000</v>
      </c>
      <c r="G838" s="49" t="str">
        <f>IFERROR(__xludf.DUMMYFUNCTION("""COMPUTED_VALUE"""),"DEF")</f>
        <v>DEF</v>
      </c>
      <c r="H838" s="49">
        <f>IFERROR(__xludf.DUMMYFUNCTION("""COMPUTED_VALUE"""),100000.0)</f>
        <v>100000</v>
      </c>
      <c r="I838" s="49"/>
      <c r="J838" s="49"/>
      <c r="K838" s="49"/>
      <c r="L838" s="49"/>
      <c r="M838" s="49"/>
      <c r="N838" s="49"/>
      <c r="O838" s="49"/>
      <c r="P838" s="49"/>
      <c r="Q838" s="49"/>
      <c r="R838" s="49"/>
      <c r="S838" s="49"/>
      <c r="T838" s="49"/>
      <c r="U838" s="49"/>
      <c r="V838" s="49"/>
      <c r="W838" s="49"/>
      <c r="X838" s="49"/>
      <c r="Y838" s="49"/>
      <c r="Z838" s="49"/>
      <c r="AA838" s="49"/>
      <c r="AB838" s="49"/>
      <c r="AC838" s="49"/>
      <c r="AD838" s="49"/>
      <c r="AE838" s="49"/>
      <c r="AF838" s="49" t="str">
        <f>IFERROR(__xludf.DUMMYFUNCTION("""COMPUTED_VALUE"""),"++X5 Poison and Nature damage, +5 Wisdom for every enemy poisoned.")</f>
        <v>++X5 Poison and Nature damage, +5 Wisdom for every enemy poisoned.</v>
      </c>
      <c r="AG838" s="49" t="str">
        <f>IFERROR(__xludf.DUMMYFUNCTION("""COMPUTED_VALUE"""),"Dragonscale Island")</f>
        <v>Dragonscale Island</v>
      </c>
      <c r="AH838" s="49" t="b">
        <f>IFERROR(__xludf.DUMMYFUNCTION("""COMPUTED_VALUE"""),FALSE)</f>
        <v>0</v>
      </c>
    </row>
    <row r="839">
      <c r="A839" s="49" t="str">
        <f>IFERROR(__xludf.DUMMYFUNCTION("""COMPUTED_VALUE"""),"Lizard Thief's Bandana")</f>
        <v>Lizard Thief's Bandana</v>
      </c>
      <c r="B839" s="49" t="str">
        <f>IFERROR(__xludf.DUMMYFUNCTION("""COMPUTED_VALUE"""),"Head")</f>
        <v>Head</v>
      </c>
      <c r="C839" s="49"/>
      <c r="D839" s="49" t="str">
        <f>IFERROR(__xludf.DUMMYFUNCTION("""COMPUTED_VALUE"""),"Item")</f>
        <v>Item</v>
      </c>
      <c r="E839" s="49">
        <f>IFERROR(__xludf.DUMMYFUNCTION("""COMPUTED_VALUE"""),2000.0)</f>
        <v>2000</v>
      </c>
      <c r="F839" s="112">
        <f>IFERROR(__xludf.DUMMYFUNCTION("""COMPUTED_VALUE"""),1.99E8)</f>
        <v>199000000</v>
      </c>
      <c r="G839" s="49" t="str">
        <f>IFERROR(__xludf.DUMMYFUNCTION("""COMPUTED_VALUE"""),"DEF")</f>
        <v>DEF</v>
      </c>
      <c r="H839" s="49">
        <f>IFERROR(__xludf.DUMMYFUNCTION("""COMPUTED_VALUE"""),100000.0)</f>
        <v>100000</v>
      </c>
      <c r="I839" s="49"/>
      <c r="J839" s="49"/>
      <c r="K839" s="49"/>
      <c r="L839" s="49"/>
      <c r="M839" s="49"/>
      <c r="N839" s="49"/>
      <c r="O839" s="49"/>
      <c r="P839" s="49"/>
      <c r="Q839" s="49"/>
      <c r="R839" s="49"/>
      <c r="S839" s="49"/>
      <c r="T839" s="49"/>
      <c r="U839" s="49"/>
      <c r="V839" s="49"/>
      <c r="W839" s="49"/>
      <c r="X839" s="49"/>
      <c r="Y839" s="49"/>
      <c r="Z839" s="49"/>
      <c r="AA839" s="49"/>
      <c r="AB839" s="49"/>
      <c r="AC839" s="49"/>
      <c r="AD839" s="49"/>
      <c r="AE839" s="49"/>
      <c r="AF839" s="49" t="str">
        <f>IFERROR(__xludf.DUMMYFUNCTION("""COMPUTED_VALUE"""),"++15000 ATK and ACC  ++X4 Knife Damage")</f>
        <v>++15000 ATK and ACC  ++X4 Knife Damage</v>
      </c>
      <c r="AG839" s="49" t="str">
        <f>IFERROR(__xludf.DUMMYFUNCTION("""COMPUTED_VALUE"""),"Dragonscale Island")</f>
        <v>Dragonscale Island</v>
      </c>
      <c r="AH839" s="49" t="b">
        <f>IFERROR(__xludf.DUMMYFUNCTION("""COMPUTED_VALUE"""),FALSE)</f>
        <v>0</v>
      </c>
    </row>
    <row r="840">
      <c r="A840" s="49" t="str">
        <f>IFERROR(__xludf.DUMMYFUNCTION("""COMPUTED_VALUE"""),"Lizard Thief's Leathers")</f>
        <v>Lizard Thief's Leathers</v>
      </c>
      <c r="B840" s="49" t="str">
        <f>IFERROR(__xludf.DUMMYFUNCTION("""COMPUTED_VALUE"""),"Torso")</f>
        <v>Torso</v>
      </c>
      <c r="C840" s="49"/>
      <c r="D840" s="49" t="str">
        <f>IFERROR(__xludf.DUMMYFUNCTION("""COMPUTED_VALUE"""),"Item")</f>
        <v>Item</v>
      </c>
      <c r="E840" s="49">
        <f>IFERROR(__xludf.DUMMYFUNCTION("""COMPUTED_VALUE"""),2000.0)</f>
        <v>2000</v>
      </c>
      <c r="F840" s="112">
        <f>IFERROR(__xludf.DUMMYFUNCTION("""COMPUTED_VALUE"""),1.99E8)</f>
        <v>199000000</v>
      </c>
      <c r="G840" s="49" t="str">
        <f>IFERROR(__xludf.DUMMYFUNCTION("""COMPUTED_VALUE"""),"DEF")</f>
        <v>DEF</v>
      </c>
      <c r="H840" s="49">
        <f>IFERROR(__xludf.DUMMYFUNCTION("""COMPUTED_VALUE"""),100000.0)</f>
        <v>100000</v>
      </c>
      <c r="I840" s="49"/>
      <c r="J840" s="49"/>
      <c r="K840" s="49"/>
      <c r="L840" s="49"/>
      <c r="M840" s="49"/>
      <c r="N840" s="49"/>
      <c r="O840" s="49"/>
      <c r="P840" s="49"/>
      <c r="Q840" s="49"/>
      <c r="R840" s="49"/>
      <c r="S840" s="49"/>
      <c r="T840" s="49"/>
      <c r="U840" s="49"/>
      <c r="V840" s="49"/>
      <c r="W840" s="49"/>
      <c r="X840" s="49"/>
      <c r="Y840" s="49"/>
      <c r="Z840" s="49"/>
      <c r="AA840" s="49"/>
      <c r="AB840" s="49"/>
      <c r="AC840" s="49"/>
      <c r="AD840" s="49"/>
      <c r="AE840" s="49"/>
      <c r="AF840" s="49" t="str">
        <f>IFERROR(__xludf.DUMMYFUNCTION("""COMPUTED_VALUE"""),"++15000 ATK and ACC ++X4 Knife Damage")</f>
        <v>++15000 ATK and ACC ++X4 Knife Damage</v>
      </c>
      <c r="AG840" s="49" t="str">
        <f>IFERROR(__xludf.DUMMYFUNCTION("""COMPUTED_VALUE"""),"Dragonscale Island")</f>
        <v>Dragonscale Island</v>
      </c>
      <c r="AH840" s="49" t="b">
        <f>IFERROR(__xludf.DUMMYFUNCTION("""COMPUTED_VALUE"""),FALSE)</f>
        <v>0</v>
      </c>
    </row>
    <row r="841">
      <c r="A841" s="49" t="str">
        <f>IFERROR(__xludf.DUMMYFUNCTION("""COMPUTED_VALUE"""),"Lizard Thief's Pants")</f>
        <v>Lizard Thief's Pants</v>
      </c>
      <c r="B841" s="49" t="str">
        <f>IFERROR(__xludf.DUMMYFUNCTION("""COMPUTED_VALUE"""),"Legs")</f>
        <v>Legs</v>
      </c>
      <c r="C841" s="49"/>
      <c r="D841" s="49" t="str">
        <f>IFERROR(__xludf.DUMMYFUNCTION("""COMPUTED_VALUE"""),"Item")</f>
        <v>Item</v>
      </c>
      <c r="E841" s="49">
        <f>IFERROR(__xludf.DUMMYFUNCTION("""COMPUTED_VALUE"""),2000.0)</f>
        <v>2000</v>
      </c>
      <c r="F841" s="112">
        <f>IFERROR(__xludf.DUMMYFUNCTION("""COMPUTED_VALUE"""),1.99E8)</f>
        <v>199000000</v>
      </c>
      <c r="G841" s="49" t="str">
        <f>IFERROR(__xludf.DUMMYFUNCTION("""COMPUTED_VALUE"""),"DEF")</f>
        <v>DEF</v>
      </c>
      <c r="H841" s="49">
        <f>IFERROR(__xludf.DUMMYFUNCTION("""COMPUTED_VALUE"""),100000.0)</f>
        <v>100000</v>
      </c>
      <c r="I841" s="49"/>
      <c r="J841" s="49"/>
      <c r="K841" s="49"/>
      <c r="L841" s="49"/>
      <c r="M841" s="49"/>
      <c r="N841" s="49"/>
      <c r="O841" s="49"/>
      <c r="P841" s="49"/>
      <c r="Q841" s="49"/>
      <c r="R841" s="49"/>
      <c r="S841" s="49"/>
      <c r="T841" s="49"/>
      <c r="U841" s="49"/>
      <c r="V841" s="49"/>
      <c r="W841" s="49"/>
      <c r="X841" s="49"/>
      <c r="Y841" s="49"/>
      <c r="Z841" s="49"/>
      <c r="AA841" s="49"/>
      <c r="AB841" s="49"/>
      <c r="AC841" s="49"/>
      <c r="AD841" s="49"/>
      <c r="AE841" s="49"/>
      <c r="AF841" s="49" t="str">
        <f>IFERROR(__xludf.DUMMYFUNCTION("""COMPUTED_VALUE"""),"++15000 ATK and ACC ++X4 Knife Damage")</f>
        <v>++15000 ATK and ACC ++X4 Knife Damage</v>
      </c>
      <c r="AG841" s="49" t="str">
        <f>IFERROR(__xludf.DUMMYFUNCTION("""COMPUTED_VALUE"""),"Dragonscale Island")</f>
        <v>Dragonscale Island</v>
      </c>
      <c r="AH841" s="49" t="b">
        <f>IFERROR(__xludf.DUMMYFUNCTION("""COMPUTED_VALUE"""),FALSE)</f>
        <v>0</v>
      </c>
    </row>
    <row r="842">
      <c r="A842" s="49" t="str">
        <f>IFERROR(__xludf.DUMMYFUNCTION("""COMPUTED_VALUE"""),"Lizard Thief's Boots")</f>
        <v>Lizard Thief's Boots</v>
      </c>
      <c r="B842" s="49" t="str">
        <f>IFERROR(__xludf.DUMMYFUNCTION("""COMPUTED_VALUE"""),"Feet")</f>
        <v>Feet</v>
      </c>
      <c r="C842" s="49"/>
      <c r="D842" s="49" t="str">
        <f>IFERROR(__xludf.DUMMYFUNCTION("""COMPUTED_VALUE"""),"Item")</f>
        <v>Item</v>
      </c>
      <c r="E842" s="49">
        <f>IFERROR(__xludf.DUMMYFUNCTION("""COMPUTED_VALUE"""),2000.0)</f>
        <v>2000</v>
      </c>
      <c r="F842" s="112">
        <f>IFERROR(__xludf.DUMMYFUNCTION("""COMPUTED_VALUE"""),1.99E8)</f>
        <v>199000000</v>
      </c>
      <c r="G842" s="49" t="str">
        <f>IFERROR(__xludf.DUMMYFUNCTION("""COMPUTED_VALUE"""),"DEF")</f>
        <v>DEF</v>
      </c>
      <c r="H842" s="49">
        <f>IFERROR(__xludf.DUMMYFUNCTION("""COMPUTED_VALUE"""),100000.0)</f>
        <v>100000</v>
      </c>
      <c r="I842" s="49"/>
      <c r="J842" s="49"/>
      <c r="K842" s="49"/>
      <c r="L842" s="49"/>
      <c r="M842" s="49"/>
      <c r="N842" s="49"/>
      <c r="O842" s="49"/>
      <c r="P842" s="49"/>
      <c r="Q842" s="49"/>
      <c r="R842" s="49"/>
      <c r="S842" s="49"/>
      <c r="T842" s="49"/>
      <c r="U842" s="49"/>
      <c r="V842" s="49"/>
      <c r="W842" s="49"/>
      <c r="X842" s="49"/>
      <c r="Y842" s="49"/>
      <c r="Z842" s="49"/>
      <c r="AA842" s="49"/>
      <c r="AB842" s="49"/>
      <c r="AC842" s="49"/>
      <c r="AD842" s="49"/>
      <c r="AE842" s="49"/>
      <c r="AF842" s="49" t="str">
        <f>IFERROR(__xludf.DUMMYFUNCTION("""COMPUTED_VALUE"""),"++15000 ATK and ACC ++X4 Knife Damage")</f>
        <v>++15000 ATK and ACC ++X4 Knife Damage</v>
      </c>
      <c r="AG842" s="49" t="str">
        <f>IFERROR(__xludf.DUMMYFUNCTION("""COMPUTED_VALUE"""),"Dragonscale Island")</f>
        <v>Dragonscale Island</v>
      </c>
      <c r="AH842" s="49" t="b">
        <f>IFERROR(__xludf.DUMMYFUNCTION("""COMPUTED_VALUE"""),FALSE)</f>
        <v>0</v>
      </c>
    </row>
    <row r="843">
      <c r="A843" s="49" t="str">
        <f>IFERROR(__xludf.DUMMYFUNCTION("""COMPUTED_VALUE"""),"Lizard Thief's Shiny Swiper")</f>
        <v>Lizard Thief's Shiny Swiper</v>
      </c>
      <c r="B843" s="49" t="str">
        <f>IFERROR(__xludf.DUMMYFUNCTION("""COMPUTED_VALUE"""),"Hand")</f>
        <v>Hand</v>
      </c>
      <c r="C843" s="49"/>
      <c r="D843" s="49" t="str">
        <f>IFERROR(__xludf.DUMMYFUNCTION("""COMPUTED_VALUE"""),"Knife")</f>
        <v>Knife</v>
      </c>
      <c r="E843" s="49">
        <f>IFERROR(__xludf.DUMMYFUNCTION("""COMPUTED_VALUE"""),3000.0)</f>
        <v>3000</v>
      </c>
      <c r="F843" s="112">
        <f>IFERROR(__xludf.DUMMYFUNCTION("""COMPUTED_VALUE"""),4.485E8)</f>
        <v>448500000</v>
      </c>
      <c r="G843" s="49" t="str">
        <f>IFERROR(__xludf.DUMMYFUNCTION("""COMPUTED_VALUE"""),"DMG")</f>
        <v>DMG</v>
      </c>
      <c r="H843" s="49">
        <f>IFERROR(__xludf.DUMMYFUNCTION("""COMPUTED_VALUE"""),150000.0)</f>
        <v>150000</v>
      </c>
      <c r="I843" s="49"/>
      <c r="J843" s="49"/>
      <c r="K843" s="49"/>
      <c r="L843" s="49"/>
      <c r="M843" s="49"/>
      <c r="N843" s="49"/>
      <c r="O843" s="49"/>
      <c r="P843" s="49"/>
      <c r="Q843" s="49"/>
      <c r="R843" s="49"/>
      <c r="S843" s="49"/>
      <c r="T843" s="49"/>
      <c r="U843" s="49"/>
      <c r="V843" s="49"/>
      <c r="W843" s="49"/>
      <c r="X843" s="49"/>
      <c r="Y843" s="49"/>
      <c r="Z843" s="49"/>
      <c r="AA843" s="49"/>
      <c r="AB843" s="49"/>
      <c r="AC843" s="49"/>
      <c r="AD843" s="49"/>
      <c r="AE843" s="49"/>
      <c r="AF843" s="49"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49" t="str">
        <f>IFERROR(__xludf.DUMMYFUNCTION("""COMPUTED_VALUE"""),"Dragonscale Island")</f>
        <v>Dragonscale Island</v>
      </c>
      <c r="AH843" s="49" t="b">
        <f>IFERROR(__xludf.DUMMYFUNCTION("""COMPUTED_VALUE"""),FALSE)</f>
        <v>0</v>
      </c>
    </row>
    <row r="844">
      <c r="A844" s="49" t="str">
        <f>IFERROR(__xludf.DUMMYFUNCTION("""COMPUTED_VALUE"""),"Wyrmstone Club")</f>
        <v>Wyrmstone Club</v>
      </c>
      <c r="B844" s="49" t="str">
        <f>IFERROR(__xludf.DUMMYFUNCTION("""COMPUTED_VALUE"""),"Hand")</f>
        <v>Hand</v>
      </c>
      <c r="C844" s="49"/>
      <c r="D844" s="49" t="str">
        <f>IFERROR(__xludf.DUMMYFUNCTION("""COMPUTED_VALUE"""),"Club")</f>
        <v>Club</v>
      </c>
      <c r="E844" s="49">
        <f>IFERROR(__xludf.DUMMYFUNCTION("""COMPUTED_VALUE"""),2000.0)</f>
        <v>2000</v>
      </c>
      <c r="F844" s="112">
        <f>IFERROR(__xludf.DUMMYFUNCTION("""COMPUTED_VALUE"""),1.99E8)</f>
        <v>199000000</v>
      </c>
      <c r="G844" s="49" t="str">
        <f>IFERROR(__xludf.DUMMYFUNCTION("""COMPUTED_VALUE"""),"DMG")</f>
        <v>DMG</v>
      </c>
      <c r="H844" s="49">
        <f>IFERROR(__xludf.DUMMYFUNCTION("""COMPUTED_VALUE"""),100000.0)</f>
        <v>100000</v>
      </c>
      <c r="I844" s="49"/>
      <c r="J844" s="49"/>
      <c r="K844" s="49"/>
      <c r="L844" s="49"/>
      <c r="M844" s="49"/>
      <c r="N844" s="49"/>
      <c r="O844" s="49"/>
      <c r="P844" s="49"/>
      <c r="Q844" s="49"/>
      <c r="R844" s="49"/>
      <c r="S844" s="49"/>
      <c r="T844" s="49"/>
      <c r="U844" s="49"/>
      <c r="V844" s="49"/>
      <c r="W844" s="49"/>
      <c r="X844" s="49"/>
      <c r="Y844" s="49"/>
      <c r="Z844" s="49"/>
      <c r="AA844" s="49"/>
      <c r="AB844" s="49"/>
      <c r="AC844" s="49"/>
      <c r="AD844" s="49"/>
      <c r="AE844" s="49"/>
      <c r="AF844" s="49" t="str">
        <f>IFERROR(__xludf.DUMMYFUNCTION("""COMPUTED_VALUE"""),"+- Half damage against dragons")</f>
        <v>+- Half damage against dragons</v>
      </c>
      <c r="AG844" s="49" t="str">
        <f>IFERROR(__xludf.DUMMYFUNCTION("""COMPUTED_VALUE"""),"Dragonscale Island")</f>
        <v>Dragonscale Island</v>
      </c>
      <c r="AH844" s="49" t="b">
        <f>IFERROR(__xludf.DUMMYFUNCTION("""COMPUTED_VALUE"""),FALSE)</f>
        <v>0</v>
      </c>
    </row>
    <row r="845">
      <c r="A845" s="49" t="str">
        <f>IFERROR(__xludf.DUMMYFUNCTION("""COMPUTED_VALUE"""),"Wyrmstone Mail")</f>
        <v>Wyrmstone Mail</v>
      </c>
      <c r="B845" s="49" t="str">
        <f>IFERROR(__xludf.DUMMYFUNCTION("""COMPUTED_VALUE"""),"Torso")</f>
        <v>Torso</v>
      </c>
      <c r="C845" s="49"/>
      <c r="D845" s="49" t="str">
        <f>IFERROR(__xludf.DUMMYFUNCTION("""COMPUTED_VALUE"""),"Item")</f>
        <v>Item</v>
      </c>
      <c r="E845" s="49">
        <f>IFERROR(__xludf.DUMMYFUNCTION("""COMPUTED_VALUE"""),2800.0)</f>
        <v>2800</v>
      </c>
      <c r="F845" s="112">
        <f>IFERROR(__xludf.DUMMYFUNCTION("""COMPUTED_VALUE"""),3.906E8)</f>
        <v>390600000</v>
      </c>
      <c r="G845" s="49" t="str">
        <f>IFERROR(__xludf.DUMMYFUNCTION("""COMPUTED_VALUE"""),"DEF")</f>
        <v>DEF</v>
      </c>
      <c r="H845" s="49">
        <f>IFERROR(__xludf.DUMMYFUNCTION("""COMPUTED_VALUE"""),140000.0)</f>
        <v>140000</v>
      </c>
      <c r="I845" s="49"/>
      <c r="J845" s="49"/>
      <c r="K845" s="49"/>
      <c r="L845" s="49"/>
      <c r="M845" s="49"/>
      <c r="N845" s="49"/>
      <c r="O845" s="49"/>
      <c r="P845" s="49"/>
      <c r="Q845" s="49"/>
      <c r="R845" s="49"/>
      <c r="S845" s="49"/>
      <c r="T845" s="49"/>
      <c r="U845" s="49"/>
      <c r="V845" s="49"/>
      <c r="W845" s="49"/>
      <c r="X845" s="49"/>
      <c r="Y845" s="49"/>
      <c r="Z845" s="49"/>
      <c r="AA845" s="49"/>
      <c r="AB845" s="49"/>
      <c r="AC845" s="49"/>
      <c r="AD845" s="49"/>
      <c r="AE845" s="49"/>
      <c r="AF845" s="49" t="str">
        <f>IFERROR(__xludf.DUMMYFUNCTION("""COMPUTED_VALUE"""),"++Half damage received from dragons +-Cannot be forged or duplicated")</f>
        <v>++Half damage received from dragons +-Cannot be forged or duplicated</v>
      </c>
      <c r="AG845" s="49" t="str">
        <f>IFERROR(__xludf.DUMMYFUNCTION("""COMPUTED_VALUE"""),"Dragonscale Island")</f>
        <v>Dragonscale Island</v>
      </c>
      <c r="AH845" s="49" t="b">
        <f>IFERROR(__xludf.DUMMYFUNCTION("""COMPUTED_VALUE"""),FALSE)</f>
        <v>0</v>
      </c>
    </row>
    <row r="846">
      <c r="A846" s="49" t="str">
        <f>IFERROR(__xludf.DUMMYFUNCTION("""COMPUTED_VALUE"""),"Wyrmstone Helm")</f>
        <v>Wyrmstone Helm</v>
      </c>
      <c r="B846" s="49" t="str">
        <f>IFERROR(__xludf.DUMMYFUNCTION("""COMPUTED_VALUE"""),"Head")</f>
        <v>Head</v>
      </c>
      <c r="C846" s="49"/>
      <c r="D846" s="49" t="str">
        <f>IFERROR(__xludf.DUMMYFUNCTION("""COMPUTED_VALUE"""),"Item")</f>
        <v>Item</v>
      </c>
      <c r="E846" s="49">
        <f>IFERROR(__xludf.DUMMYFUNCTION("""COMPUTED_VALUE"""),2400.0)</f>
        <v>2400</v>
      </c>
      <c r="F846" s="112">
        <f>IFERROR(__xludf.DUMMYFUNCTION("""COMPUTED_VALUE"""),2.868E8)</f>
        <v>286800000</v>
      </c>
      <c r="G846" s="49" t="str">
        <f>IFERROR(__xludf.DUMMYFUNCTION("""COMPUTED_VALUE"""),"DEF")</f>
        <v>DEF</v>
      </c>
      <c r="H846" s="49">
        <f>IFERROR(__xludf.DUMMYFUNCTION("""COMPUTED_VALUE"""),120000.0)</f>
        <v>120000</v>
      </c>
      <c r="I846" s="49"/>
      <c r="J846" s="49"/>
      <c r="K846" s="49"/>
      <c r="L846" s="49"/>
      <c r="M846" s="49"/>
      <c r="N846" s="49"/>
      <c r="O846" s="49"/>
      <c r="P846" s="49"/>
      <c r="Q846" s="49"/>
      <c r="R846" s="49"/>
      <c r="S846" s="49"/>
      <c r="T846" s="49"/>
      <c r="U846" s="49"/>
      <c r="V846" s="49"/>
      <c r="W846" s="49"/>
      <c r="X846" s="49"/>
      <c r="Y846" s="49"/>
      <c r="Z846" s="49"/>
      <c r="AA846" s="49"/>
      <c r="AB846" s="49"/>
      <c r="AC846" s="49"/>
      <c r="AD846" s="49"/>
      <c r="AE846" s="49"/>
      <c r="AF846" s="49" t="str">
        <f>IFERROR(__xludf.DUMMYFUNCTION("""COMPUTED_VALUE"""),"+-Cannot be forged or duplicated")</f>
        <v>+-Cannot be forged or duplicated</v>
      </c>
      <c r="AG846" s="49" t="str">
        <f>IFERROR(__xludf.DUMMYFUNCTION("""COMPUTED_VALUE"""),"Dragonscale Island")</f>
        <v>Dragonscale Island</v>
      </c>
      <c r="AH846" s="49" t="b">
        <f>IFERROR(__xludf.DUMMYFUNCTION("""COMPUTED_VALUE"""),FALSE)</f>
        <v>0</v>
      </c>
    </row>
    <row r="847">
      <c r="A847" s="49" t="str">
        <f>IFERROR(__xludf.DUMMYFUNCTION("""COMPUTED_VALUE"""),"Wyrmstone Buckler")</f>
        <v>Wyrmstone Buckler</v>
      </c>
      <c r="B847" s="49" t="str">
        <f>IFERROR(__xludf.DUMMYFUNCTION("""COMPUTED_VALUE"""),"Hand")</f>
        <v>Hand</v>
      </c>
      <c r="C847" s="49"/>
      <c r="D847" s="49" t="str">
        <f>IFERROR(__xludf.DUMMYFUNCTION("""COMPUTED_VALUE"""),"Buckler")</f>
        <v>Buckler</v>
      </c>
      <c r="E847" s="49">
        <f>IFERROR(__xludf.DUMMYFUNCTION("""COMPUTED_VALUE"""),3000.0)</f>
        <v>3000</v>
      </c>
      <c r="F847" s="112">
        <f>IFERROR(__xludf.DUMMYFUNCTION("""COMPUTED_VALUE"""),4.485E8)</f>
        <v>448500000</v>
      </c>
      <c r="G847" s="49" t="str">
        <f>IFERROR(__xludf.DUMMYFUNCTION("""COMPUTED_VALUE"""),"DEF")</f>
        <v>DEF</v>
      </c>
      <c r="H847" s="49">
        <f>IFERROR(__xludf.DUMMYFUNCTION("""COMPUTED_VALUE"""),150000.0)</f>
        <v>150000</v>
      </c>
      <c r="I847" s="49"/>
      <c r="J847" s="49"/>
      <c r="K847" s="49"/>
      <c r="L847" s="49"/>
      <c r="M847" s="49"/>
      <c r="N847" s="49"/>
      <c r="O847" s="49"/>
      <c r="P847" s="49"/>
      <c r="Q847" s="49"/>
      <c r="R847" s="49"/>
      <c r="S847" s="49"/>
      <c r="T847" s="49"/>
      <c r="U847" s="49"/>
      <c r="V847" s="49"/>
      <c r="W847" s="49"/>
      <c r="X847" s="49"/>
      <c r="Y847" s="49"/>
      <c r="Z847" s="49"/>
      <c r="AA847" s="49"/>
      <c r="AB847" s="49"/>
      <c r="AC847" s="49"/>
      <c r="AD847" s="49"/>
      <c r="AE847" s="49"/>
      <c r="AF847" s="49" t="str">
        <f>IFERROR(__xludf.DUMMYFUNCTION("""COMPUTED_VALUE"""),"++25% chance to parry dragons' attacks +-Cannot be forged or duplicated")</f>
        <v>++25% chance to parry dragons' attacks +-Cannot be forged or duplicated</v>
      </c>
      <c r="AG847" s="49" t="str">
        <f>IFERROR(__xludf.DUMMYFUNCTION("""COMPUTED_VALUE"""),"Dragonscale Island")</f>
        <v>Dragonscale Island</v>
      </c>
      <c r="AH847" s="49" t="b">
        <f>IFERROR(__xludf.DUMMYFUNCTION("""COMPUTED_VALUE"""),FALSE)</f>
        <v>0</v>
      </c>
    </row>
    <row r="848">
      <c r="A848" s="49" t="str">
        <f>IFERROR(__xludf.DUMMYFUNCTION("""COMPUTED_VALUE"""),"Wyrmstone Gauntlet")</f>
        <v>Wyrmstone Gauntlet</v>
      </c>
      <c r="B848" s="49" t="str">
        <f>IFERROR(__xludf.DUMMYFUNCTION("""COMPUTED_VALUE"""),"Hand")</f>
        <v>Hand</v>
      </c>
      <c r="C848" s="49"/>
      <c r="D848" s="49" t="str">
        <f>IFERROR(__xludf.DUMMYFUNCTION("""COMPUTED_VALUE"""),"Gauntlet")</f>
        <v>Gauntlet</v>
      </c>
      <c r="E848" s="49">
        <f>IFERROR(__xludf.DUMMYFUNCTION("""COMPUTED_VALUE"""),3000.0)</f>
        <v>3000</v>
      </c>
      <c r="F848" s="112">
        <f>IFERROR(__xludf.DUMMYFUNCTION("""COMPUTED_VALUE"""),4.485E8)</f>
        <v>448500000</v>
      </c>
      <c r="G848" s="49" t="str">
        <f>IFERROR(__xludf.DUMMYFUNCTION("""COMPUTED_VALUE"""),"DEF")</f>
        <v>DEF</v>
      </c>
      <c r="H848" s="49">
        <f>IFERROR(__xludf.DUMMYFUNCTION("""COMPUTED_VALUE"""),125000.0)</f>
        <v>125000</v>
      </c>
      <c r="I848" s="49"/>
      <c r="J848" s="49"/>
      <c r="K848" s="49"/>
      <c r="L848" s="49"/>
      <c r="M848" s="49"/>
      <c r="N848" s="49">
        <f>IFERROR(__xludf.DUMMYFUNCTION("""COMPUTED_VALUE"""),25000.0)</f>
        <v>25000</v>
      </c>
      <c r="O848" s="49"/>
      <c r="P848" s="49"/>
      <c r="Q848" s="49"/>
      <c r="R848" s="49"/>
      <c r="S848" s="49"/>
      <c r="T848" s="49"/>
      <c r="U848" s="49"/>
      <c r="V848" s="49"/>
      <c r="W848" s="49"/>
      <c r="X848" s="49"/>
      <c r="Y848" s="49"/>
      <c r="Z848" s="49"/>
      <c r="AA848" s="49"/>
      <c r="AB848" s="49"/>
      <c r="AC848" s="49"/>
      <c r="AD848" s="49"/>
      <c r="AE848" s="49"/>
      <c r="AF848" s="49"/>
      <c r="AG848" s="49" t="str">
        <f>IFERROR(__xludf.DUMMYFUNCTION("""COMPUTED_VALUE"""),"Dragonscale Island")</f>
        <v>Dragonscale Island</v>
      </c>
      <c r="AH848" s="49" t="b">
        <f>IFERROR(__xludf.DUMMYFUNCTION("""COMPUTED_VALUE"""),FALSE)</f>
        <v>0</v>
      </c>
    </row>
    <row r="849">
      <c r="A849" s="49" t="str">
        <f>IFERROR(__xludf.DUMMYFUNCTION("""COMPUTED_VALUE"""),"Wyrmstone Leggings")</f>
        <v>Wyrmstone Leggings</v>
      </c>
      <c r="B849" s="49" t="str">
        <f>IFERROR(__xludf.DUMMYFUNCTION("""COMPUTED_VALUE"""),"Legs")</f>
        <v>Legs</v>
      </c>
      <c r="C849" s="49"/>
      <c r="D849" s="49" t="str">
        <f>IFERROR(__xludf.DUMMYFUNCTION("""COMPUTED_VALUE"""),"Item")</f>
        <v>Item</v>
      </c>
      <c r="E849" s="49">
        <f>IFERROR(__xludf.DUMMYFUNCTION("""COMPUTED_VALUE"""),2000.0)</f>
        <v>2000</v>
      </c>
      <c r="F849" s="112">
        <f>IFERROR(__xludf.DUMMYFUNCTION("""COMPUTED_VALUE"""),1.99E8)</f>
        <v>199000000</v>
      </c>
      <c r="G849" s="49" t="str">
        <f>IFERROR(__xludf.DUMMYFUNCTION("""COMPUTED_VALUE"""),"DEF")</f>
        <v>DEF</v>
      </c>
      <c r="H849" s="49">
        <f>IFERROR(__xludf.DUMMYFUNCTION("""COMPUTED_VALUE"""),100000.0)</f>
        <v>100000</v>
      </c>
      <c r="I849" s="49"/>
      <c r="J849" s="49"/>
      <c r="K849" s="49"/>
      <c r="L849" s="49"/>
      <c r="M849" s="49"/>
      <c r="N849" s="49"/>
      <c r="O849" s="49"/>
      <c r="P849" s="49"/>
      <c r="Q849" s="49"/>
      <c r="R849" s="49"/>
      <c r="S849" s="49"/>
      <c r="T849" s="49"/>
      <c r="U849" s="49"/>
      <c r="V849" s="49"/>
      <c r="W849" s="49"/>
      <c r="X849" s="49"/>
      <c r="Y849" s="49"/>
      <c r="Z849" s="49"/>
      <c r="AA849" s="49"/>
      <c r="AB849" s="49"/>
      <c r="AC849" s="49"/>
      <c r="AD849" s="49"/>
      <c r="AE849" s="49"/>
      <c r="AF849" s="49"/>
      <c r="AG849" s="49" t="str">
        <f>IFERROR(__xludf.DUMMYFUNCTION("""COMPUTED_VALUE"""),"Dragonscale Island")</f>
        <v>Dragonscale Island</v>
      </c>
      <c r="AH849" s="49" t="b">
        <f>IFERROR(__xludf.DUMMYFUNCTION("""COMPUTED_VALUE"""),FALSE)</f>
        <v>0</v>
      </c>
    </row>
    <row r="850">
      <c r="A850" s="49" t="str">
        <f>IFERROR(__xludf.DUMMYFUNCTION("""COMPUTED_VALUE"""),"Wyrmstone Lance")</f>
        <v>Wyrmstone Lance</v>
      </c>
      <c r="B850" s="49" t="str">
        <f>IFERROR(__xludf.DUMMYFUNCTION("""COMPUTED_VALUE"""),"Hand")</f>
        <v>Hand</v>
      </c>
      <c r="C850" s="49"/>
      <c r="D850" s="49" t="str">
        <f>IFERROR(__xludf.DUMMYFUNCTION("""COMPUTED_VALUE"""),"Spear")</f>
        <v>Spear</v>
      </c>
      <c r="E850" s="49">
        <f>IFERROR(__xludf.DUMMYFUNCTION("""COMPUTED_VALUE"""),2000.0)</f>
        <v>2000</v>
      </c>
      <c r="F850" s="112">
        <f>IFERROR(__xludf.DUMMYFUNCTION("""COMPUTED_VALUE"""),1.99E8)</f>
        <v>199000000</v>
      </c>
      <c r="G850" s="49" t="str">
        <f>IFERROR(__xludf.DUMMYFUNCTION("""COMPUTED_VALUE"""),"DMG")</f>
        <v>DMG</v>
      </c>
      <c r="H850" s="49">
        <f>IFERROR(__xludf.DUMMYFUNCTION("""COMPUTED_VALUE"""),100000.0)</f>
        <v>100000</v>
      </c>
      <c r="I850" s="49"/>
      <c r="J850" s="49"/>
      <c r="K850" s="49"/>
      <c r="L850" s="49"/>
      <c r="M850" s="49"/>
      <c r="N850" s="49"/>
      <c r="O850" s="49"/>
      <c r="P850" s="49"/>
      <c r="Q850" s="49"/>
      <c r="R850" s="49"/>
      <c r="S850" s="49"/>
      <c r="T850" s="49"/>
      <c r="U850" s="49"/>
      <c r="V850" s="49"/>
      <c r="W850" s="49"/>
      <c r="X850" s="49"/>
      <c r="Y850" s="49"/>
      <c r="Z850" s="49"/>
      <c r="AA850" s="49"/>
      <c r="AB850" s="49"/>
      <c r="AC850" s="49"/>
      <c r="AD850" s="49"/>
      <c r="AE850" s="49"/>
      <c r="AF850" s="49" t="str">
        <f>IFERROR(__xludf.DUMMYFUNCTION("""COMPUTED_VALUE"""),"++Damage doubles if used two turns in a row +-Cannot be forged or duplicated")</f>
        <v>++Damage doubles if used two turns in a row +-Cannot be forged or duplicated</v>
      </c>
      <c r="AG850" s="49" t="str">
        <f>IFERROR(__xludf.DUMMYFUNCTION("""COMPUTED_VALUE"""),"Dragonscale Island")</f>
        <v>Dragonscale Island</v>
      </c>
      <c r="AH850" s="49" t="b">
        <f>IFERROR(__xludf.DUMMYFUNCTION("""COMPUTED_VALUE"""),FALSE)</f>
        <v>0</v>
      </c>
    </row>
    <row r="851">
      <c r="A851" s="49" t="str">
        <f>IFERROR(__xludf.DUMMYFUNCTION("""COMPUTED_VALUE"""),"Wyrmstone Nails")</f>
        <v>Wyrmstone Nails</v>
      </c>
      <c r="B851" s="49" t="str">
        <f>IFERROR(__xludf.DUMMYFUNCTION("""COMPUTED_VALUE"""),"Hand")</f>
        <v>Hand</v>
      </c>
      <c r="C851" s="49"/>
      <c r="D851" s="49" t="str">
        <f>IFERROR(__xludf.DUMMYFUNCTION("""COMPUTED_VALUE"""),"Claw")</f>
        <v>Claw</v>
      </c>
      <c r="E851" s="49">
        <f>IFERROR(__xludf.DUMMYFUNCTION("""COMPUTED_VALUE"""),2600.0)</f>
        <v>2600</v>
      </c>
      <c r="F851" s="112">
        <f>IFERROR(__xludf.DUMMYFUNCTION("""COMPUTED_VALUE"""),3.367E8)</f>
        <v>336700000</v>
      </c>
      <c r="G851" s="49" t="str">
        <f>IFERROR(__xludf.DUMMYFUNCTION("""COMPUTED_VALUE"""),"DMG")</f>
        <v>DMG</v>
      </c>
      <c r="H851" s="49">
        <f>IFERROR(__xludf.DUMMYFUNCTION("""COMPUTED_VALUE"""),130000.0)</f>
        <v>130000</v>
      </c>
      <c r="I851" s="49"/>
      <c r="J851" s="49"/>
      <c r="K851" s="49"/>
      <c r="L851" s="49"/>
      <c r="M851" s="49"/>
      <c r="N851" s="49"/>
      <c r="O851" s="49"/>
      <c r="P851" s="49"/>
      <c r="Q851" s="49"/>
      <c r="R851" s="49"/>
      <c r="S851" s="49"/>
      <c r="T851" s="49"/>
      <c r="U851" s="49"/>
      <c r="V851" s="49"/>
      <c r="W851" s="49"/>
      <c r="X851" s="49"/>
      <c r="Y851" s="49"/>
      <c r="Z851" s="49"/>
      <c r="AA851" s="49"/>
      <c r="AB851" s="49"/>
      <c r="AC851" s="49"/>
      <c r="AD851" s="49"/>
      <c r="AE851" s="49"/>
      <c r="AF851" s="49"/>
      <c r="AG851" s="49" t="str">
        <f>IFERROR(__xludf.DUMMYFUNCTION("""COMPUTED_VALUE"""),"Dragonscale Island")</f>
        <v>Dragonscale Island</v>
      </c>
      <c r="AH851" s="49" t="b">
        <f>IFERROR(__xludf.DUMMYFUNCTION("""COMPUTED_VALUE"""),FALSE)</f>
        <v>0</v>
      </c>
    </row>
    <row r="852">
      <c r="A852" s="49" t="str">
        <f>IFERROR(__xludf.DUMMYFUNCTION("""COMPUTED_VALUE"""),"Lizard Warrior's Scale Helm")</f>
        <v>Lizard Warrior's Scale Helm</v>
      </c>
      <c r="B852" s="49" t="str">
        <f>IFERROR(__xludf.DUMMYFUNCTION("""COMPUTED_VALUE"""),"Head")</f>
        <v>Head</v>
      </c>
      <c r="C852" s="49"/>
      <c r="D852" s="49" t="str">
        <f>IFERROR(__xludf.DUMMYFUNCTION("""COMPUTED_VALUE"""),"Item")</f>
        <v>Item</v>
      </c>
      <c r="E852" s="49">
        <f>IFERROR(__xludf.DUMMYFUNCTION("""COMPUTED_VALUE"""),3000.0)</f>
        <v>3000</v>
      </c>
      <c r="F852" s="112">
        <f>IFERROR(__xludf.DUMMYFUNCTION("""COMPUTED_VALUE"""),4.485E8)</f>
        <v>448500000</v>
      </c>
      <c r="G852" s="49" t="str">
        <f>IFERROR(__xludf.DUMMYFUNCTION("""COMPUTED_VALUE"""),"DEF")</f>
        <v>DEF</v>
      </c>
      <c r="H852" s="49">
        <f>IFERROR(__xludf.DUMMYFUNCTION("""COMPUTED_VALUE"""),100000.0)</f>
        <v>100000</v>
      </c>
      <c r="I852" s="49"/>
      <c r="J852" s="49"/>
      <c r="K852" s="49"/>
      <c r="L852" s="49"/>
      <c r="M852" s="49"/>
      <c r="N852" s="49"/>
      <c r="O852" s="49"/>
      <c r="P852" s="49"/>
      <c r="Q852" s="49"/>
      <c r="R852" s="49"/>
      <c r="S852" s="49">
        <f>IFERROR(__xludf.DUMMYFUNCTION("""COMPUTED_VALUE"""),50000.0)</f>
        <v>50000</v>
      </c>
      <c r="T852" s="49"/>
      <c r="U852" s="49"/>
      <c r="V852" s="49"/>
      <c r="W852" s="49"/>
      <c r="X852" s="49"/>
      <c r="Y852" s="49"/>
      <c r="Z852" s="49"/>
      <c r="AA852" s="49"/>
      <c r="AB852" s="49"/>
      <c r="AC852" s="49"/>
      <c r="AD852" s="49"/>
      <c r="AE852" s="49"/>
      <c r="AF852" s="49"/>
      <c r="AG852" s="49" t="str">
        <f>IFERROR(__xludf.DUMMYFUNCTION("""COMPUTED_VALUE"""),"Dragonscale Island")</f>
        <v>Dragonscale Island</v>
      </c>
      <c r="AH852" s="49" t="b">
        <f>IFERROR(__xludf.DUMMYFUNCTION("""COMPUTED_VALUE"""),FALSE)</f>
        <v>0</v>
      </c>
    </row>
    <row r="853">
      <c r="A853" s="49" t="str">
        <f>IFERROR(__xludf.DUMMYFUNCTION("""COMPUTED_VALUE"""),"Lizard Warrior's Scaled Pauldrons")</f>
        <v>Lizard Warrior's Scaled Pauldrons</v>
      </c>
      <c r="B853" s="49" t="str">
        <f>IFERROR(__xludf.DUMMYFUNCTION("""COMPUTED_VALUE"""),"Shoulders")</f>
        <v>Shoulders</v>
      </c>
      <c r="C853" s="49"/>
      <c r="D853" s="49" t="str">
        <f>IFERROR(__xludf.DUMMYFUNCTION("""COMPUTED_VALUE"""),"Item")</f>
        <v>Item</v>
      </c>
      <c r="E853" s="49">
        <f>IFERROR(__xludf.DUMMYFUNCTION("""COMPUTED_VALUE"""),3000.0)</f>
        <v>3000</v>
      </c>
      <c r="F853" s="112">
        <f>IFERROR(__xludf.DUMMYFUNCTION("""COMPUTED_VALUE"""),4.485E8)</f>
        <v>448500000</v>
      </c>
      <c r="G853" s="49" t="str">
        <f>IFERROR(__xludf.DUMMYFUNCTION("""COMPUTED_VALUE"""),"DEF")</f>
        <v>DEF</v>
      </c>
      <c r="H853" s="49">
        <f>IFERROR(__xludf.DUMMYFUNCTION("""COMPUTED_VALUE"""),100000.0)</f>
        <v>100000</v>
      </c>
      <c r="I853" s="49"/>
      <c r="J853" s="49"/>
      <c r="K853" s="49"/>
      <c r="L853" s="49"/>
      <c r="M853" s="49"/>
      <c r="N853" s="49"/>
      <c r="O853" s="49"/>
      <c r="P853" s="49"/>
      <c r="Q853" s="49"/>
      <c r="R853" s="49"/>
      <c r="S853" s="49">
        <f>IFERROR(__xludf.DUMMYFUNCTION("""COMPUTED_VALUE"""),50000.0)</f>
        <v>50000</v>
      </c>
      <c r="T853" s="49"/>
      <c r="U853" s="49"/>
      <c r="V853" s="49"/>
      <c r="W853" s="49"/>
      <c r="X853" s="49"/>
      <c r="Y853" s="49"/>
      <c r="Z853" s="49"/>
      <c r="AA853" s="49"/>
      <c r="AB853" s="49"/>
      <c r="AC853" s="49"/>
      <c r="AD853" s="49"/>
      <c r="AE853" s="49"/>
      <c r="AF853" s="49"/>
      <c r="AG853" s="49" t="str">
        <f>IFERROR(__xludf.DUMMYFUNCTION("""COMPUTED_VALUE"""),"Dragonscale Island")</f>
        <v>Dragonscale Island</v>
      </c>
      <c r="AH853" s="49" t="b">
        <f>IFERROR(__xludf.DUMMYFUNCTION("""COMPUTED_VALUE"""),FALSE)</f>
        <v>0</v>
      </c>
    </row>
    <row r="854">
      <c r="A854" s="49" t="str">
        <f>IFERROR(__xludf.DUMMYFUNCTION("""COMPUTED_VALUE"""),"Lizard Warrior's Scaled Chest")</f>
        <v>Lizard Warrior's Scaled Chest</v>
      </c>
      <c r="B854" s="49" t="str">
        <f>IFERROR(__xludf.DUMMYFUNCTION("""COMPUTED_VALUE"""),"Torso")</f>
        <v>Torso</v>
      </c>
      <c r="C854" s="49"/>
      <c r="D854" s="49" t="str">
        <f>IFERROR(__xludf.DUMMYFUNCTION("""COMPUTED_VALUE"""),"Item")</f>
        <v>Item</v>
      </c>
      <c r="E854" s="49">
        <f>IFERROR(__xludf.DUMMYFUNCTION("""COMPUTED_VALUE"""),3000.0)</f>
        <v>3000</v>
      </c>
      <c r="F854" s="112">
        <f>IFERROR(__xludf.DUMMYFUNCTION("""COMPUTED_VALUE"""),4.485E8)</f>
        <v>448500000</v>
      </c>
      <c r="G854" s="49" t="str">
        <f>IFERROR(__xludf.DUMMYFUNCTION("""COMPUTED_VALUE"""),"DEF")</f>
        <v>DEF</v>
      </c>
      <c r="H854" s="49">
        <f>IFERROR(__xludf.DUMMYFUNCTION("""COMPUTED_VALUE"""),100000.0)</f>
        <v>100000</v>
      </c>
      <c r="I854" s="49"/>
      <c r="J854" s="49"/>
      <c r="K854" s="49"/>
      <c r="L854" s="49"/>
      <c r="M854" s="49"/>
      <c r="N854" s="49"/>
      <c r="O854" s="49"/>
      <c r="P854" s="49"/>
      <c r="Q854" s="49"/>
      <c r="R854" s="49"/>
      <c r="S854" s="49">
        <f>IFERROR(__xludf.DUMMYFUNCTION("""COMPUTED_VALUE"""),50000.0)</f>
        <v>50000</v>
      </c>
      <c r="T854" s="49"/>
      <c r="U854" s="49"/>
      <c r="V854" s="49"/>
      <c r="W854" s="49"/>
      <c r="X854" s="49"/>
      <c r="Y854" s="49"/>
      <c r="Z854" s="49"/>
      <c r="AA854" s="49"/>
      <c r="AB854" s="49"/>
      <c r="AC854" s="49"/>
      <c r="AD854" s="49"/>
      <c r="AE854" s="49"/>
      <c r="AF854" s="49" t="str">
        <f>IFERROR(__xludf.DUMMYFUNCTION("""COMPUTED_VALUE"""),"++When the wearer is attacked, the one that attacked them takes 15000 poison for 3 rounds")</f>
        <v>++When the wearer is attacked, the one that attacked them takes 15000 poison for 3 rounds</v>
      </c>
      <c r="AG854" s="49" t="str">
        <f>IFERROR(__xludf.DUMMYFUNCTION("""COMPUTED_VALUE"""),"Dragonscale Island")</f>
        <v>Dragonscale Island</v>
      </c>
      <c r="AH854" s="49" t="b">
        <f>IFERROR(__xludf.DUMMYFUNCTION("""COMPUTED_VALUE"""),FALSE)</f>
        <v>0</v>
      </c>
    </row>
    <row r="855">
      <c r="A855" s="49" t="str">
        <f>IFERROR(__xludf.DUMMYFUNCTION("""COMPUTED_VALUE"""),"Lizard Warrior's Scaled Arms")</f>
        <v>Lizard Warrior's Scaled Arms</v>
      </c>
      <c r="B855" s="49" t="str">
        <f>IFERROR(__xludf.DUMMYFUNCTION("""COMPUTED_VALUE"""),"Arms")</f>
        <v>Arms</v>
      </c>
      <c r="C855" s="49"/>
      <c r="D855" s="49" t="str">
        <f>IFERROR(__xludf.DUMMYFUNCTION("""COMPUTED_VALUE"""),"Item")</f>
        <v>Item</v>
      </c>
      <c r="E855" s="49">
        <f>IFERROR(__xludf.DUMMYFUNCTION("""COMPUTED_VALUE"""),3000.0)</f>
        <v>3000</v>
      </c>
      <c r="F855" s="112">
        <f>IFERROR(__xludf.DUMMYFUNCTION("""COMPUTED_VALUE"""),4.485E8)</f>
        <v>448500000</v>
      </c>
      <c r="G855" s="49" t="str">
        <f>IFERROR(__xludf.DUMMYFUNCTION("""COMPUTED_VALUE"""),"DEF")</f>
        <v>DEF</v>
      </c>
      <c r="H855" s="49">
        <f>IFERROR(__xludf.DUMMYFUNCTION("""COMPUTED_VALUE"""),100000.0)</f>
        <v>100000</v>
      </c>
      <c r="I855" s="49"/>
      <c r="J855" s="49"/>
      <c r="K855" s="49"/>
      <c r="L855" s="49"/>
      <c r="M855" s="49"/>
      <c r="N855" s="49"/>
      <c r="O855" s="49"/>
      <c r="P855" s="49"/>
      <c r="Q855" s="49"/>
      <c r="R855" s="49"/>
      <c r="S855" s="49">
        <f>IFERROR(__xludf.DUMMYFUNCTION("""COMPUTED_VALUE"""),50000.0)</f>
        <v>50000</v>
      </c>
      <c r="T855" s="49"/>
      <c r="U855" s="49"/>
      <c r="V855" s="49"/>
      <c r="W855" s="49"/>
      <c r="X855" s="49"/>
      <c r="Y855" s="49"/>
      <c r="Z855" s="49"/>
      <c r="AA855" s="49"/>
      <c r="AB855" s="49"/>
      <c r="AC855" s="49"/>
      <c r="AD855" s="49"/>
      <c r="AE855" s="49"/>
      <c r="AF855" s="49" t="str">
        <f>IFERROR(__xludf.DUMMYFUNCTION("""COMPUTED_VALUE"""),"++7500 DEF for every enemy currently poisoned (Max 37500)")</f>
        <v>++7500 DEF for every enemy currently poisoned (Max 37500)</v>
      </c>
      <c r="AG855" s="49" t="str">
        <f>IFERROR(__xludf.DUMMYFUNCTION("""COMPUTED_VALUE"""),"Dragonscale Island")</f>
        <v>Dragonscale Island</v>
      </c>
      <c r="AH855" s="49" t="b">
        <f>IFERROR(__xludf.DUMMYFUNCTION("""COMPUTED_VALUE"""),FALSE)</f>
        <v>0</v>
      </c>
    </row>
    <row r="856">
      <c r="A856" s="49" t="str">
        <f>IFERROR(__xludf.DUMMYFUNCTION("""COMPUTED_VALUE"""),"Lizard Warrior's Bracelets")</f>
        <v>Lizard Warrior's Bracelets</v>
      </c>
      <c r="B856" s="49" t="str">
        <f>IFERROR(__xludf.DUMMYFUNCTION("""COMPUTED_VALUE"""),"Arms")</f>
        <v>Arms</v>
      </c>
      <c r="C856" s="49"/>
      <c r="D856" s="49" t="str">
        <f>IFERROR(__xludf.DUMMYFUNCTION("""COMPUTED_VALUE"""),"Item")</f>
        <v>Item</v>
      </c>
      <c r="E856" s="49">
        <f>IFERROR(__xludf.DUMMYFUNCTION("""COMPUTED_VALUE"""),3000.0)</f>
        <v>3000</v>
      </c>
      <c r="F856" s="112">
        <f>IFERROR(__xludf.DUMMYFUNCTION("""COMPUTED_VALUE"""),4.485E8)</f>
        <v>448500000</v>
      </c>
      <c r="G856" s="49" t="str">
        <f>IFERROR(__xludf.DUMMYFUNCTION("""COMPUTED_VALUE"""),"DEF")</f>
        <v>DEF</v>
      </c>
      <c r="H856" s="49">
        <f>IFERROR(__xludf.DUMMYFUNCTION("""COMPUTED_VALUE"""),100000.0)</f>
        <v>100000</v>
      </c>
      <c r="I856" s="49"/>
      <c r="J856" s="49"/>
      <c r="K856" s="49"/>
      <c r="L856" s="49"/>
      <c r="M856" s="49"/>
      <c r="N856" s="49"/>
      <c r="O856" s="49"/>
      <c r="P856" s="49"/>
      <c r="Q856" s="49"/>
      <c r="R856" s="49"/>
      <c r="S856" s="49">
        <f>IFERROR(__xludf.DUMMYFUNCTION("""COMPUTED_VALUE"""),50000.0)</f>
        <v>50000</v>
      </c>
      <c r="T856" s="49"/>
      <c r="U856" s="49"/>
      <c r="V856" s="49"/>
      <c r="W856" s="49"/>
      <c r="X856" s="49"/>
      <c r="Y856" s="49"/>
      <c r="Z856" s="49"/>
      <c r="AA856" s="49"/>
      <c r="AB856" s="49"/>
      <c r="AC856" s="49"/>
      <c r="AD856" s="49"/>
      <c r="AE856" s="49"/>
      <c r="AF856" s="49" t="str">
        <f>IFERROR(__xludf.DUMMYFUNCTION("""COMPUTED_VALUE"""),"++5000 ACC for every enemy currently poisoned (Max 25000)")</f>
        <v>++5000 ACC for every enemy currently poisoned (Max 25000)</v>
      </c>
      <c r="AG856" s="49" t="str">
        <f>IFERROR(__xludf.DUMMYFUNCTION("""COMPUTED_VALUE"""),"Dragonscale Island")</f>
        <v>Dragonscale Island</v>
      </c>
      <c r="AH856" s="49" t="b">
        <f>IFERROR(__xludf.DUMMYFUNCTION("""COMPUTED_VALUE"""),FALSE)</f>
        <v>0</v>
      </c>
    </row>
    <row r="857">
      <c r="A857" s="49" t="str">
        <f>IFERROR(__xludf.DUMMYFUNCTION("""COMPUTED_VALUE"""),"Lizard Warrior's Scaled Legs")</f>
        <v>Lizard Warrior's Scaled Legs</v>
      </c>
      <c r="B857" s="49" t="str">
        <f>IFERROR(__xludf.DUMMYFUNCTION("""COMPUTED_VALUE"""),"Legs")</f>
        <v>Legs</v>
      </c>
      <c r="C857" s="49"/>
      <c r="D857" s="49" t="str">
        <f>IFERROR(__xludf.DUMMYFUNCTION("""COMPUTED_VALUE"""),"Item")</f>
        <v>Item</v>
      </c>
      <c r="E857" s="49">
        <f>IFERROR(__xludf.DUMMYFUNCTION("""COMPUTED_VALUE"""),3000.0)</f>
        <v>3000</v>
      </c>
      <c r="F857" s="112">
        <f>IFERROR(__xludf.DUMMYFUNCTION("""COMPUTED_VALUE"""),4.485E8)</f>
        <v>448500000</v>
      </c>
      <c r="G857" s="49" t="str">
        <f>IFERROR(__xludf.DUMMYFUNCTION("""COMPUTED_VALUE"""),"DEF")</f>
        <v>DEF</v>
      </c>
      <c r="H857" s="49">
        <f>IFERROR(__xludf.DUMMYFUNCTION("""COMPUTED_VALUE"""),100000.0)</f>
        <v>100000</v>
      </c>
      <c r="I857" s="49"/>
      <c r="J857" s="49"/>
      <c r="K857" s="49"/>
      <c r="L857" s="49"/>
      <c r="M857" s="49"/>
      <c r="N857" s="49"/>
      <c r="O857" s="49"/>
      <c r="P857" s="49"/>
      <c r="Q857" s="49"/>
      <c r="R857" s="49"/>
      <c r="S857" s="49">
        <f>IFERROR(__xludf.DUMMYFUNCTION("""COMPUTED_VALUE"""),50000.0)</f>
        <v>50000</v>
      </c>
      <c r="T857" s="49"/>
      <c r="U857" s="49"/>
      <c r="V857" s="49"/>
      <c r="W857" s="49"/>
      <c r="X857" s="49"/>
      <c r="Y857" s="49"/>
      <c r="Z857" s="49"/>
      <c r="AA857" s="49"/>
      <c r="AB857" s="49"/>
      <c r="AC857" s="49"/>
      <c r="AD857" s="49"/>
      <c r="AE857" s="49"/>
      <c r="AF857" s="49" t="str">
        <f>IFERROR(__xludf.DUMMYFUNCTION("""COMPUTED_VALUE"""),"++5000 ATK for every enemy currently poisoned (Max 25000)")</f>
        <v>++5000 ATK for every enemy currently poisoned (Max 25000)</v>
      </c>
      <c r="AG857" s="49" t="str">
        <f>IFERROR(__xludf.DUMMYFUNCTION("""COMPUTED_VALUE"""),"Dragonscale Island")</f>
        <v>Dragonscale Island</v>
      </c>
      <c r="AH857" s="49" t="b">
        <f>IFERROR(__xludf.DUMMYFUNCTION("""COMPUTED_VALUE"""),FALSE)</f>
        <v>0</v>
      </c>
    </row>
    <row r="858">
      <c r="A858" s="49" t="str">
        <f>IFERROR(__xludf.DUMMYFUNCTION("""COMPUTED_VALUE"""),"Lizard Warrior's Scaled Boots")</f>
        <v>Lizard Warrior's Scaled Boots</v>
      </c>
      <c r="B858" s="49" t="str">
        <f>IFERROR(__xludf.DUMMYFUNCTION("""COMPUTED_VALUE"""),"Feet")</f>
        <v>Feet</v>
      </c>
      <c r="C858" s="49"/>
      <c r="D858" s="49" t="str">
        <f>IFERROR(__xludf.DUMMYFUNCTION("""COMPUTED_VALUE"""),"Item")</f>
        <v>Item</v>
      </c>
      <c r="E858" s="49">
        <f>IFERROR(__xludf.DUMMYFUNCTION("""COMPUTED_VALUE"""),3000.0)</f>
        <v>3000</v>
      </c>
      <c r="F858" s="112">
        <f>IFERROR(__xludf.DUMMYFUNCTION("""COMPUTED_VALUE"""),4.485E8)</f>
        <v>448500000</v>
      </c>
      <c r="G858" s="49" t="str">
        <f>IFERROR(__xludf.DUMMYFUNCTION("""COMPUTED_VALUE"""),"DEF")</f>
        <v>DEF</v>
      </c>
      <c r="H858" s="49">
        <f>IFERROR(__xludf.DUMMYFUNCTION("""COMPUTED_VALUE"""),100000.0)</f>
        <v>100000</v>
      </c>
      <c r="I858" s="49"/>
      <c r="J858" s="49"/>
      <c r="K858" s="49"/>
      <c r="L858" s="49"/>
      <c r="M858" s="49"/>
      <c r="N858" s="49"/>
      <c r="O858" s="49"/>
      <c r="P858" s="49"/>
      <c r="Q858" s="49"/>
      <c r="R858" s="49"/>
      <c r="S858" s="49">
        <f>IFERROR(__xludf.DUMMYFUNCTION("""COMPUTED_VALUE"""),50000.0)</f>
        <v>50000</v>
      </c>
      <c r="T858" s="49"/>
      <c r="U858" s="49"/>
      <c r="V858" s="49"/>
      <c r="W858" s="49"/>
      <c r="X858" s="49"/>
      <c r="Y858" s="49"/>
      <c r="Z858" s="49"/>
      <c r="AA858" s="49"/>
      <c r="AB858" s="49"/>
      <c r="AC858" s="49"/>
      <c r="AD858" s="49"/>
      <c r="AE858" s="49"/>
      <c r="AF858" s="49" t="str">
        <f>IFERROR(__xludf.DUMMYFUNCTION("""COMPUTED_VALUE"""),"++1 Mobility for every enemy currently poisoned (Max 5)")</f>
        <v>++1 Mobility for every enemy currently poisoned (Max 5)</v>
      </c>
      <c r="AG858" s="49" t="str">
        <f>IFERROR(__xludf.DUMMYFUNCTION("""COMPUTED_VALUE"""),"Dragonscale Island")</f>
        <v>Dragonscale Island</v>
      </c>
      <c r="AH858" s="49" t="b">
        <f>IFERROR(__xludf.DUMMYFUNCTION("""COMPUTED_VALUE"""),FALSE)</f>
        <v>0</v>
      </c>
    </row>
    <row r="859">
      <c r="A859" s="49" t="str">
        <f>IFERROR(__xludf.DUMMYFUNCTION("""COMPUTED_VALUE"""),"Lizard Warrior's Claw")</f>
        <v>Lizard Warrior's Claw</v>
      </c>
      <c r="B859" s="49" t="str">
        <f>IFERROR(__xludf.DUMMYFUNCTION("""COMPUTED_VALUE"""),"Hand")</f>
        <v>Hand</v>
      </c>
      <c r="C859" s="49"/>
      <c r="D859" s="49" t="str">
        <f>IFERROR(__xludf.DUMMYFUNCTION("""COMPUTED_VALUE"""),"Claw")</f>
        <v>Claw</v>
      </c>
      <c r="E859" s="49">
        <f>IFERROR(__xludf.DUMMYFUNCTION("""COMPUTED_VALUE"""),3000.0)</f>
        <v>3000</v>
      </c>
      <c r="F859" s="112">
        <f>IFERROR(__xludf.DUMMYFUNCTION("""COMPUTED_VALUE"""),4.485E8)</f>
        <v>448500000</v>
      </c>
      <c r="G859" s="49" t="str">
        <f>IFERROR(__xludf.DUMMYFUNCTION("""COMPUTED_VALUE"""),"DMG")</f>
        <v>DMG</v>
      </c>
      <c r="H859" s="49">
        <f>IFERROR(__xludf.DUMMYFUNCTION("""COMPUTED_VALUE"""),100000.0)</f>
        <v>100000</v>
      </c>
      <c r="I859" s="49"/>
      <c r="J859" s="49"/>
      <c r="K859" s="49"/>
      <c r="L859" s="49"/>
      <c r="M859" s="49"/>
      <c r="N859" s="49"/>
      <c r="O859" s="49"/>
      <c r="P859" s="49"/>
      <c r="Q859" s="49"/>
      <c r="R859" s="49"/>
      <c r="S859" s="49">
        <f>IFERROR(__xludf.DUMMYFUNCTION("""COMPUTED_VALUE"""),50000.0)</f>
        <v>50000</v>
      </c>
      <c r="T859" s="49"/>
      <c r="U859" s="49"/>
      <c r="V859" s="49"/>
      <c r="W859" s="49"/>
      <c r="X859" s="49"/>
      <c r="Y859" s="49"/>
      <c r="Z859" s="49"/>
      <c r="AA859" s="49"/>
      <c r="AB859" s="49"/>
      <c r="AC859" s="49"/>
      <c r="AD859" s="49"/>
      <c r="AE859" s="49"/>
      <c r="AF859" s="49"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49" t="str">
        <f>IFERROR(__xludf.DUMMYFUNCTION("""COMPUTED_VALUE"""),"Dragonscale Island")</f>
        <v>Dragonscale Island</v>
      </c>
      <c r="AH859" s="49" t="b">
        <f>IFERROR(__xludf.DUMMYFUNCTION("""COMPUTED_VALUE"""),FALSE)</f>
        <v>0</v>
      </c>
    </row>
    <row r="860">
      <c r="A860" s="49" t="str">
        <f>IFERROR(__xludf.DUMMYFUNCTION("""COMPUTED_VALUE"""),"Lizard Warrior Guantlet")</f>
        <v>Lizard Warrior Guantlet</v>
      </c>
      <c r="B860" s="49" t="str">
        <f>IFERROR(__xludf.DUMMYFUNCTION("""COMPUTED_VALUE"""),"Hand")</f>
        <v>Hand</v>
      </c>
      <c r="C860" s="49"/>
      <c r="D860" s="49" t="str">
        <f>IFERROR(__xludf.DUMMYFUNCTION("""COMPUTED_VALUE"""),"Gauntlet")</f>
        <v>Gauntlet</v>
      </c>
      <c r="E860" s="49">
        <f>IFERROR(__xludf.DUMMYFUNCTION("""COMPUTED_VALUE"""),3000.0)</f>
        <v>3000</v>
      </c>
      <c r="F860" s="112">
        <f>IFERROR(__xludf.DUMMYFUNCTION("""COMPUTED_VALUE"""),4.485E8)</f>
        <v>448500000</v>
      </c>
      <c r="G860" s="49" t="str">
        <f>IFERROR(__xludf.DUMMYFUNCTION("""COMPUTED_VALUE"""),"DEF")</f>
        <v>DEF</v>
      </c>
      <c r="H860" s="49">
        <f>IFERROR(__xludf.DUMMYFUNCTION("""COMPUTED_VALUE"""),100000.0)</f>
        <v>100000</v>
      </c>
      <c r="I860" s="49"/>
      <c r="J860" s="49"/>
      <c r="K860" s="49"/>
      <c r="L860" s="49"/>
      <c r="M860" s="49"/>
      <c r="N860" s="49"/>
      <c r="O860" s="49"/>
      <c r="P860" s="49"/>
      <c r="Q860" s="49"/>
      <c r="R860" s="49"/>
      <c r="S860" s="49">
        <f>IFERROR(__xludf.DUMMYFUNCTION("""COMPUTED_VALUE"""),50000.0)</f>
        <v>50000</v>
      </c>
      <c r="T860" s="49"/>
      <c r="U860" s="49"/>
      <c r="V860" s="49"/>
      <c r="W860" s="49"/>
      <c r="X860" s="49"/>
      <c r="Y860" s="49"/>
      <c r="Z860" s="49"/>
      <c r="AA860" s="49"/>
      <c r="AB860" s="49"/>
      <c r="AC860" s="49"/>
      <c r="AD860" s="49"/>
      <c r="AE860" s="49"/>
      <c r="AF860" s="49" t="str">
        <f>IFERROR(__xludf.DUMMYFUNCTION("""COMPUTED_VALUE"""),"++50% chance to be unaffected by a weapon attack from a poisoned enemy")</f>
        <v>++50% chance to be unaffected by a weapon attack from a poisoned enemy</v>
      </c>
      <c r="AG860" s="49" t="str">
        <f>IFERROR(__xludf.DUMMYFUNCTION("""COMPUTED_VALUE"""),"Dragonscale Island")</f>
        <v>Dragonscale Island</v>
      </c>
      <c r="AH860" s="49" t="b">
        <f>IFERROR(__xludf.DUMMYFUNCTION("""COMPUTED_VALUE"""),FALSE)</f>
        <v>0</v>
      </c>
    </row>
    <row r="861">
      <c r="A861" s="49" t="str">
        <f>IFERROR(__xludf.DUMMYFUNCTION("""COMPUTED_VALUE"""),"Igaunian Assassin's Cowl")</f>
        <v>Igaunian Assassin's Cowl</v>
      </c>
      <c r="B861" s="49" t="str">
        <f>IFERROR(__xludf.DUMMYFUNCTION("""COMPUTED_VALUE"""),"Head")</f>
        <v>Head</v>
      </c>
      <c r="C861" s="49"/>
      <c r="D861" s="49" t="str">
        <f>IFERROR(__xludf.DUMMYFUNCTION("""COMPUTED_VALUE"""),"Item")</f>
        <v>Item</v>
      </c>
      <c r="E861" s="49">
        <f>IFERROR(__xludf.DUMMYFUNCTION("""COMPUTED_VALUE"""),2000.0)</f>
        <v>2000</v>
      </c>
      <c r="F861" s="112">
        <f>IFERROR(__xludf.DUMMYFUNCTION("""COMPUTED_VALUE"""),1.99E8)</f>
        <v>199000000</v>
      </c>
      <c r="G861" s="49" t="str">
        <f>IFERROR(__xludf.DUMMYFUNCTION("""COMPUTED_VALUE"""),"DEF")</f>
        <v>DEF</v>
      </c>
      <c r="H861" s="49">
        <f>IFERROR(__xludf.DUMMYFUNCTION("""COMPUTED_VALUE"""),75000.0)</f>
        <v>75000</v>
      </c>
      <c r="I861" s="49"/>
      <c r="J861" s="49"/>
      <c r="K861" s="49"/>
      <c r="L861" s="49"/>
      <c r="M861" s="49"/>
      <c r="N861" s="49"/>
      <c r="O861" s="49"/>
      <c r="P861" s="49"/>
      <c r="Q861" s="49"/>
      <c r="R861" s="49"/>
      <c r="S861" s="49">
        <f>IFERROR(__xludf.DUMMYFUNCTION("""COMPUTED_VALUE"""),25000.0)</f>
        <v>25000</v>
      </c>
      <c r="T861" s="49"/>
      <c r="U861" s="49"/>
      <c r="V861" s="49"/>
      <c r="W861" s="49"/>
      <c r="X861" s="49"/>
      <c r="Y861" s="49"/>
      <c r="Z861" s="49"/>
      <c r="AA861" s="49"/>
      <c r="AB861" s="49"/>
      <c r="AC861" s="49"/>
      <c r="AD861" s="49"/>
      <c r="AE861" s="49"/>
      <c r="AF861" s="49" t="str">
        <f>IFERROR(__xludf.DUMMYFUNCTION("""COMPUTED_VALUE"""),"++15000 ATK and ACC ++X4 Knife and Boomerang damage ++5 to all weapon attacks if concealed")</f>
        <v>++15000 ATK and ACC ++X4 Knife and Boomerang damage ++5 to all weapon attacks if concealed</v>
      </c>
      <c r="AG861" s="49" t="str">
        <f>IFERROR(__xludf.DUMMYFUNCTION("""COMPUTED_VALUE"""),"Dragonscale Island")</f>
        <v>Dragonscale Island</v>
      </c>
      <c r="AH861" s="49" t="b">
        <f>IFERROR(__xludf.DUMMYFUNCTION("""COMPUTED_VALUE"""),FALSE)</f>
        <v>0</v>
      </c>
    </row>
    <row r="862">
      <c r="A862" s="49" t="str">
        <f>IFERROR(__xludf.DUMMYFUNCTION("""COMPUTED_VALUE"""),"Igaunian Assassin's Cloths")</f>
        <v>Igaunian Assassin's Cloths</v>
      </c>
      <c r="B862" s="49" t="str">
        <f>IFERROR(__xludf.DUMMYFUNCTION("""COMPUTED_VALUE"""),"Torso")</f>
        <v>Torso</v>
      </c>
      <c r="C862" s="49"/>
      <c r="D862" s="49" t="str">
        <f>IFERROR(__xludf.DUMMYFUNCTION("""COMPUTED_VALUE"""),"Item")</f>
        <v>Item</v>
      </c>
      <c r="E862" s="49">
        <f>IFERROR(__xludf.DUMMYFUNCTION("""COMPUTED_VALUE"""),2000.0)</f>
        <v>2000</v>
      </c>
      <c r="F862" s="112">
        <f>IFERROR(__xludf.DUMMYFUNCTION("""COMPUTED_VALUE"""),1.99E8)</f>
        <v>199000000</v>
      </c>
      <c r="G862" s="49" t="str">
        <f>IFERROR(__xludf.DUMMYFUNCTION("""COMPUTED_VALUE"""),"DEF")</f>
        <v>DEF</v>
      </c>
      <c r="H862" s="49">
        <f>IFERROR(__xludf.DUMMYFUNCTION("""COMPUTED_VALUE"""),75000.0)</f>
        <v>75000</v>
      </c>
      <c r="I862" s="49"/>
      <c r="J862" s="49"/>
      <c r="K862" s="49"/>
      <c r="L862" s="49"/>
      <c r="M862" s="49"/>
      <c r="N862" s="49"/>
      <c r="O862" s="49"/>
      <c r="P862" s="49"/>
      <c r="Q862" s="49"/>
      <c r="R862" s="49"/>
      <c r="S862" s="49">
        <f>IFERROR(__xludf.DUMMYFUNCTION("""COMPUTED_VALUE"""),25000.0)</f>
        <v>25000</v>
      </c>
      <c r="T862" s="49"/>
      <c r="U862" s="49"/>
      <c r="V862" s="49"/>
      <c r="W862" s="49"/>
      <c r="X862" s="49"/>
      <c r="Y862" s="49"/>
      <c r="Z862" s="49"/>
      <c r="AA862" s="49"/>
      <c r="AB862" s="49"/>
      <c r="AC862" s="49"/>
      <c r="AD862" s="49"/>
      <c r="AE862" s="49"/>
      <c r="AF862" s="49" t="str">
        <f>IFERROR(__xludf.DUMMYFUNCTION("""COMPUTED_VALUE"""),"++15000 ATK and ACC ++X4 Knife and Boomerang damage")</f>
        <v>++15000 ATK and ACC ++X4 Knife and Boomerang damage</v>
      </c>
      <c r="AG862" s="49" t="str">
        <f>IFERROR(__xludf.DUMMYFUNCTION("""COMPUTED_VALUE"""),"Dragonscale Island")</f>
        <v>Dragonscale Island</v>
      </c>
      <c r="AH862" s="49" t="b">
        <f>IFERROR(__xludf.DUMMYFUNCTION("""COMPUTED_VALUE"""),FALSE)</f>
        <v>0</v>
      </c>
    </row>
    <row r="863">
      <c r="A863" s="49" t="str">
        <f>IFERROR(__xludf.DUMMYFUNCTION("""COMPUTED_VALUE"""),"Iguanian Assassin's Pants")</f>
        <v>Iguanian Assassin's Pants</v>
      </c>
      <c r="B863" s="49" t="str">
        <f>IFERROR(__xludf.DUMMYFUNCTION("""COMPUTED_VALUE"""),"Legs")</f>
        <v>Legs</v>
      </c>
      <c r="C863" s="49"/>
      <c r="D863" s="49" t="str">
        <f>IFERROR(__xludf.DUMMYFUNCTION("""COMPUTED_VALUE"""),"Item")</f>
        <v>Item</v>
      </c>
      <c r="E863" s="49">
        <f>IFERROR(__xludf.DUMMYFUNCTION("""COMPUTED_VALUE"""),2000.0)</f>
        <v>2000</v>
      </c>
      <c r="F863" s="112">
        <f>IFERROR(__xludf.DUMMYFUNCTION("""COMPUTED_VALUE"""),1.99E8)</f>
        <v>199000000</v>
      </c>
      <c r="G863" s="49" t="str">
        <f>IFERROR(__xludf.DUMMYFUNCTION("""COMPUTED_VALUE"""),"DEF")</f>
        <v>DEF</v>
      </c>
      <c r="H863" s="49">
        <f>IFERROR(__xludf.DUMMYFUNCTION("""COMPUTED_VALUE"""),75000.0)</f>
        <v>75000</v>
      </c>
      <c r="I863" s="49"/>
      <c r="J863" s="49"/>
      <c r="K863" s="49"/>
      <c r="L863" s="49"/>
      <c r="M863" s="49"/>
      <c r="N863" s="49"/>
      <c r="O863" s="49"/>
      <c r="P863" s="49"/>
      <c r="Q863" s="49"/>
      <c r="R863" s="49"/>
      <c r="S863" s="49">
        <f>IFERROR(__xludf.DUMMYFUNCTION("""COMPUTED_VALUE"""),25000.0)</f>
        <v>25000</v>
      </c>
      <c r="T863" s="49"/>
      <c r="U863" s="49"/>
      <c r="V863" s="49"/>
      <c r="W863" s="49"/>
      <c r="X863" s="49"/>
      <c r="Y863" s="49"/>
      <c r="Z863" s="49"/>
      <c r="AA863" s="49"/>
      <c r="AB863" s="49"/>
      <c r="AC863" s="49"/>
      <c r="AD863" s="49"/>
      <c r="AE863" s="49"/>
      <c r="AF863" s="49" t="str">
        <f>IFERROR(__xludf.DUMMYFUNCTION("""COMPUTED_VALUE"""),"++15000 ATK and ACC ++X4 Knife and Boomerang damage")</f>
        <v>++15000 ATK and ACC ++X4 Knife and Boomerang damage</v>
      </c>
      <c r="AG863" s="49" t="str">
        <f>IFERROR(__xludf.DUMMYFUNCTION("""COMPUTED_VALUE"""),"Dragonscale Island")</f>
        <v>Dragonscale Island</v>
      </c>
      <c r="AH863" s="49" t="b">
        <f>IFERROR(__xludf.DUMMYFUNCTION("""COMPUTED_VALUE"""),FALSE)</f>
        <v>0</v>
      </c>
    </row>
    <row r="864">
      <c r="A864" s="49" t="str">
        <f>IFERROR(__xludf.DUMMYFUNCTION("""COMPUTED_VALUE"""),"Iguanian Assassin's Boots")</f>
        <v>Iguanian Assassin's Boots</v>
      </c>
      <c r="B864" s="49" t="str">
        <f>IFERROR(__xludf.DUMMYFUNCTION("""COMPUTED_VALUE"""),"Feet")</f>
        <v>Feet</v>
      </c>
      <c r="C864" s="49"/>
      <c r="D864" s="49" t="str">
        <f>IFERROR(__xludf.DUMMYFUNCTION("""COMPUTED_VALUE"""),"Item")</f>
        <v>Item</v>
      </c>
      <c r="E864" s="49">
        <f>IFERROR(__xludf.DUMMYFUNCTION("""COMPUTED_VALUE"""),2000.0)</f>
        <v>2000</v>
      </c>
      <c r="F864" s="112">
        <f>IFERROR(__xludf.DUMMYFUNCTION("""COMPUTED_VALUE"""),1.99E8)</f>
        <v>199000000</v>
      </c>
      <c r="G864" s="49" t="str">
        <f>IFERROR(__xludf.DUMMYFUNCTION("""COMPUTED_VALUE"""),"DEF")</f>
        <v>DEF</v>
      </c>
      <c r="H864" s="49">
        <f>IFERROR(__xludf.DUMMYFUNCTION("""COMPUTED_VALUE"""),75000.0)</f>
        <v>75000</v>
      </c>
      <c r="I864" s="49"/>
      <c r="J864" s="49"/>
      <c r="K864" s="49"/>
      <c r="L864" s="49"/>
      <c r="M864" s="49"/>
      <c r="N864" s="49"/>
      <c r="O864" s="49"/>
      <c r="P864" s="49"/>
      <c r="Q864" s="49"/>
      <c r="R864" s="49"/>
      <c r="S864" s="49">
        <f>IFERROR(__xludf.DUMMYFUNCTION("""COMPUTED_VALUE"""),25000.0)</f>
        <v>25000</v>
      </c>
      <c r="T864" s="49"/>
      <c r="U864" s="49"/>
      <c r="V864" s="49"/>
      <c r="W864" s="49"/>
      <c r="X864" s="49"/>
      <c r="Y864" s="49"/>
      <c r="Z864" s="49"/>
      <c r="AA864" s="49"/>
      <c r="AB864" s="49"/>
      <c r="AC864" s="49"/>
      <c r="AD864" s="49"/>
      <c r="AE864" s="49"/>
      <c r="AF864" s="49" t="str">
        <f>IFERROR(__xludf.DUMMYFUNCTION("""COMPUTED_VALUE"""),"++15000 ATK and ACC ++X4 Knife and Boomerang damage")</f>
        <v>++15000 ATK and ACC ++X4 Knife and Boomerang damage</v>
      </c>
      <c r="AG864" s="49" t="str">
        <f>IFERROR(__xludf.DUMMYFUNCTION("""COMPUTED_VALUE"""),"Dragonscale Island")</f>
        <v>Dragonscale Island</v>
      </c>
      <c r="AH864" s="49" t="b">
        <f>IFERROR(__xludf.DUMMYFUNCTION("""COMPUTED_VALUE"""),FALSE)</f>
        <v>0</v>
      </c>
    </row>
    <row r="865">
      <c r="A865" s="49" t="str">
        <f>IFERROR(__xludf.DUMMYFUNCTION("""COMPUTED_VALUE"""),"Iguanian Assassin's Chakram")</f>
        <v>Iguanian Assassin's Chakram</v>
      </c>
      <c r="B865" s="49" t="str">
        <f>IFERROR(__xludf.DUMMYFUNCTION("""COMPUTED_VALUE"""),"Hand")</f>
        <v>Hand</v>
      </c>
      <c r="C865" s="49"/>
      <c r="D865" s="49" t="str">
        <f>IFERROR(__xludf.DUMMYFUNCTION("""COMPUTED_VALUE"""),"Boomerang")</f>
        <v>Boomerang</v>
      </c>
      <c r="E865" s="49">
        <f>IFERROR(__xludf.DUMMYFUNCTION("""COMPUTED_VALUE"""),3000.0)</f>
        <v>3000</v>
      </c>
      <c r="F865" s="112">
        <f>IFERROR(__xludf.DUMMYFUNCTION("""COMPUTED_VALUE"""),4.485E8)</f>
        <v>448500000</v>
      </c>
      <c r="G865" s="49" t="str">
        <f>IFERROR(__xludf.DUMMYFUNCTION("""COMPUTED_VALUE"""),"DMG")</f>
        <v>DMG</v>
      </c>
      <c r="H865" s="49">
        <f>IFERROR(__xludf.DUMMYFUNCTION("""COMPUTED_VALUE"""),100000.0)</f>
        <v>100000</v>
      </c>
      <c r="I865" s="49"/>
      <c r="J865" s="49"/>
      <c r="K865" s="49"/>
      <c r="L865" s="49"/>
      <c r="M865" s="49"/>
      <c r="N865" s="49"/>
      <c r="O865" s="49"/>
      <c r="P865" s="49"/>
      <c r="Q865" s="49"/>
      <c r="R865" s="49"/>
      <c r="S865" s="49">
        <f>IFERROR(__xludf.DUMMYFUNCTION("""COMPUTED_VALUE"""),50000.0)</f>
        <v>50000</v>
      </c>
      <c r="T865" s="49"/>
      <c r="U865" s="49"/>
      <c r="V865" s="49"/>
      <c r="W865" s="49"/>
      <c r="X865" s="49"/>
      <c r="Y865" s="49"/>
      <c r="Z865" s="49"/>
      <c r="AA865" s="49"/>
      <c r="AB865" s="49"/>
      <c r="AC865" s="49"/>
      <c r="AD865" s="49"/>
      <c r="AE865" s="49"/>
      <c r="AF865" s="49" t="str">
        <f>IFERROR(__xludf.DUMMYFUNCTION("""COMPUTED_VALUE"""),"++Increases the weapon effect chance by 10%")</f>
        <v>++Increases the weapon effect chance by 10%</v>
      </c>
      <c r="AG865" s="49" t="str">
        <f>IFERROR(__xludf.DUMMYFUNCTION("""COMPUTED_VALUE"""),"Dragonscale Island")</f>
        <v>Dragonscale Island</v>
      </c>
      <c r="AH865" s="49" t="b">
        <f>IFERROR(__xludf.DUMMYFUNCTION("""COMPUTED_VALUE"""),FALSE)</f>
        <v>0</v>
      </c>
    </row>
    <row r="866">
      <c r="A866" s="49" t="str">
        <f>IFERROR(__xludf.DUMMYFUNCTION("""COMPUTED_VALUE"""),"Iguanian Assassin's Slicer")</f>
        <v>Iguanian Assassin's Slicer</v>
      </c>
      <c r="B866" s="49" t="str">
        <f>IFERROR(__xludf.DUMMYFUNCTION("""COMPUTED_VALUE"""),"Hand")</f>
        <v>Hand</v>
      </c>
      <c r="C866" s="49"/>
      <c r="D866" s="49" t="str">
        <f>IFERROR(__xludf.DUMMYFUNCTION("""COMPUTED_VALUE"""),"Knife")</f>
        <v>Knife</v>
      </c>
      <c r="E866" s="49">
        <f>IFERROR(__xludf.DUMMYFUNCTION("""COMPUTED_VALUE"""),3000.0)</f>
        <v>3000</v>
      </c>
      <c r="F866" s="112">
        <f>IFERROR(__xludf.DUMMYFUNCTION("""COMPUTED_VALUE"""),4.485E8)</f>
        <v>448500000</v>
      </c>
      <c r="G866" s="49" t="str">
        <f>IFERROR(__xludf.DUMMYFUNCTION("""COMPUTED_VALUE"""),"DMG")</f>
        <v>DMG</v>
      </c>
      <c r="H866" s="49">
        <f>IFERROR(__xludf.DUMMYFUNCTION("""COMPUTED_VALUE"""),100000.0)</f>
        <v>100000</v>
      </c>
      <c r="I866" s="49"/>
      <c r="J866" s="49"/>
      <c r="K866" s="49"/>
      <c r="L866" s="49"/>
      <c r="M866" s="49"/>
      <c r="N866" s="49"/>
      <c r="O866" s="49"/>
      <c r="P866" s="49"/>
      <c r="Q866" s="49"/>
      <c r="R866" s="49"/>
      <c r="S866" s="49">
        <f>IFERROR(__xludf.DUMMYFUNCTION("""COMPUTED_VALUE"""),50000.0)</f>
        <v>50000</v>
      </c>
      <c r="T866" s="49"/>
      <c r="U866" s="49"/>
      <c r="V866" s="49"/>
      <c r="W866" s="49"/>
      <c r="X866" s="49"/>
      <c r="Y866" s="49"/>
      <c r="Z866" s="49"/>
      <c r="AA866" s="49"/>
      <c r="AB866" s="49"/>
      <c r="AC866" s="49"/>
      <c r="AD866" s="49"/>
      <c r="AE866" s="49"/>
      <c r="AF866" s="49" t="str">
        <f>IFERROR(__xludf.DUMMYFUNCTION("""COMPUTED_VALUE"""),"++Guarantees the Bleed effect of the knife weapon type and doubles the bleed caused +-Cannot be Forged")</f>
        <v>++Guarantees the Bleed effect of the knife weapon type and doubles the bleed caused +-Cannot be Forged</v>
      </c>
      <c r="AG866" s="49" t="str">
        <f>IFERROR(__xludf.DUMMYFUNCTION("""COMPUTED_VALUE"""),"Dragonscale Island")</f>
        <v>Dragonscale Island</v>
      </c>
      <c r="AH866" s="49" t="b">
        <f>IFERROR(__xludf.DUMMYFUNCTION("""COMPUTED_VALUE"""),FALSE)</f>
        <v>0</v>
      </c>
    </row>
    <row r="867">
      <c r="A867" s="49" t="str">
        <f>IFERROR(__xludf.DUMMYFUNCTION("""COMPUTED_VALUE"""),"Wyverntooth Smasher")</f>
        <v>Wyverntooth Smasher</v>
      </c>
      <c r="B867" s="49" t="str">
        <f>IFERROR(__xludf.DUMMYFUNCTION("""COMPUTED_VALUE"""),"Hand")</f>
        <v>Hand</v>
      </c>
      <c r="C867" s="49"/>
      <c r="D867" s="49" t="str">
        <f>IFERROR(__xludf.DUMMYFUNCTION("""COMPUTED_VALUE"""),"Axe")</f>
        <v>Axe</v>
      </c>
      <c r="E867" s="49">
        <f>IFERROR(__xludf.DUMMYFUNCTION("""COMPUTED_VALUE"""),2400.0)</f>
        <v>2400</v>
      </c>
      <c r="F867" s="112">
        <f>IFERROR(__xludf.DUMMYFUNCTION("""COMPUTED_VALUE"""),2.868E8)</f>
        <v>286800000</v>
      </c>
      <c r="G867" s="49" t="str">
        <f>IFERROR(__xludf.DUMMYFUNCTION("""COMPUTED_VALUE"""),"DMG")</f>
        <v>DMG</v>
      </c>
      <c r="H867" s="49">
        <f>IFERROR(__xludf.DUMMYFUNCTION("""COMPUTED_VALUE"""),30000.0)</f>
        <v>30000</v>
      </c>
      <c r="I867" s="49"/>
      <c r="J867" s="49"/>
      <c r="K867" s="49"/>
      <c r="L867" s="49"/>
      <c r="M867" s="49"/>
      <c r="N867" s="49"/>
      <c r="O867" s="49"/>
      <c r="P867" s="49"/>
      <c r="Q867" s="49"/>
      <c r="R867" s="49">
        <f>IFERROR(__xludf.DUMMYFUNCTION("""COMPUTED_VALUE"""),90000.0)</f>
        <v>90000</v>
      </c>
      <c r="S867" s="49"/>
      <c r="T867" s="49"/>
      <c r="U867" s="49"/>
      <c r="V867" s="49"/>
      <c r="W867" s="49"/>
      <c r="X867" s="49"/>
      <c r="Y867" s="49"/>
      <c r="Z867" s="49"/>
      <c r="AA867" s="49"/>
      <c r="AB867" s="49"/>
      <c r="AC867" s="49"/>
      <c r="AD867" s="49"/>
      <c r="AE867" s="49"/>
      <c r="AF867" s="49"/>
      <c r="AG867" s="49" t="str">
        <f>IFERROR(__xludf.DUMMYFUNCTION("""COMPUTED_VALUE"""),"Dragonscale Island")</f>
        <v>Dragonscale Island</v>
      </c>
      <c r="AH867" s="49" t="b">
        <f>IFERROR(__xludf.DUMMYFUNCTION("""COMPUTED_VALUE"""),FALSE)</f>
        <v>0</v>
      </c>
    </row>
    <row r="868">
      <c r="A868" s="49" t="str">
        <f>IFERROR(__xludf.DUMMYFUNCTION("""COMPUTED_VALUE"""),"Wyvernblade")</f>
        <v>Wyvernblade</v>
      </c>
      <c r="B868" s="49" t="str">
        <f>IFERROR(__xludf.DUMMYFUNCTION("""COMPUTED_VALUE"""),"Hand")</f>
        <v>Hand</v>
      </c>
      <c r="C868" s="49"/>
      <c r="D868" s="49" t="str">
        <f>IFERROR(__xludf.DUMMYFUNCTION("""COMPUTED_VALUE"""),"Knife")</f>
        <v>Knife</v>
      </c>
      <c r="E868" s="49">
        <f>IFERROR(__xludf.DUMMYFUNCTION("""COMPUTED_VALUE"""),2600.0)</f>
        <v>2600</v>
      </c>
      <c r="F868" s="112">
        <f>IFERROR(__xludf.DUMMYFUNCTION("""COMPUTED_VALUE"""),3.367E8)</f>
        <v>336700000</v>
      </c>
      <c r="G868" s="49" t="str">
        <f>IFERROR(__xludf.DUMMYFUNCTION("""COMPUTED_VALUE"""),"DMG")</f>
        <v>DMG</v>
      </c>
      <c r="H868" s="49"/>
      <c r="I868" s="49"/>
      <c r="J868" s="49"/>
      <c r="K868" s="49"/>
      <c r="L868" s="49"/>
      <c r="M868" s="49"/>
      <c r="N868" s="49"/>
      <c r="O868" s="49"/>
      <c r="P868" s="49"/>
      <c r="Q868" s="49"/>
      <c r="R868" s="49"/>
      <c r="S868" s="49"/>
      <c r="T868" s="49">
        <f>IFERROR(__xludf.DUMMYFUNCTION("""COMPUTED_VALUE"""),130000.0)</f>
        <v>130000</v>
      </c>
      <c r="U868" s="49"/>
      <c r="V868" s="49"/>
      <c r="W868" s="49"/>
      <c r="X868" s="49"/>
      <c r="Y868" s="49"/>
      <c r="Z868" s="49"/>
      <c r="AA868" s="49"/>
      <c r="AB868" s="49"/>
      <c r="AC868" s="49"/>
      <c r="AD868" s="49"/>
      <c r="AE868" s="49"/>
      <c r="AF868" s="49"/>
      <c r="AG868" s="49" t="str">
        <f>IFERROR(__xludf.DUMMYFUNCTION("""COMPUTED_VALUE"""),"Dragonscale Island")</f>
        <v>Dragonscale Island</v>
      </c>
      <c r="AH868" s="49" t="b">
        <f>IFERROR(__xludf.DUMMYFUNCTION("""COMPUTED_VALUE"""),FALSE)</f>
        <v>0</v>
      </c>
    </row>
    <row r="869">
      <c r="A869" s="49" t="str">
        <f>IFERROR(__xludf.DUMMYFUNCTION("""COMPUTED_VALUE"""),"Wyvernscale Ring")</f>
        <v>Wyvernscale Ring</v>
      </c>
      <c r="B869" s="49" t="str">
        <f>IFERROR(__xludf.DUMMYFUNCTION("""COMPUTED_VALUE"""),"Finger")</f>
        <v>Finger</v>
      </c>
      <c r="C869" s="49"/>
      <c r="D869" s="49" t="str">
        <f>IFERROR(__xludf.DUMMYFUNCTION("""COMPUTED_VALUE"""),"Item")</f>
        <v>Item</v>
      </c>
      <c r="E869" s="49">
        <f>IFERROR(__xludf.DUMMYFUNCTION("""COMPUTED_VALUE"""),2000.0)</f>
        <v>2000</v>
      </c>
      <c r="F869" s="112">
        <f>IFERROR(__xludf.DUMMYFUNCTION("""COMPUTED_VALUE"""),1.99E8)</f>
        <v>199000000</v>
      </c>
      <c r="G869" s="49" t="str">
        <f>IFERROR(__xludf.DUMMYFUNCTION("""COMPUTED_VALUE"""),"DEF")</f>
        <v>DEF</v>
      </c>
      <c r="H869" s="49"/>
      <c r="I869" s="49"/>
      <c r="J869" s="49"/>
      <c r="K869" s="49"/>
      <c r="L869" s="49"/>
      <c r="M869" s="49"/>
      <c r="N869" s="49"/>
      <c r="O869" s="49"/>
      <c r="P869" s="49"/>
      <c r="Q869" s="49"/>
      <c r="R869" s="49"/>
      <c r="S869" s="49"/>
      <c r="T869" s="49">
        <f>IFERROR(__xludf.DUMMYFUNCTION("""COMPUTED_VALUE"""),100000.0)</f>
        <v>100000</v>
      </c>
      <c r="U869" s="49"/>
      <c r="V869" s="49"/>
      <c r="W869" s="49"/>
      <c r="X869" s="49"/>
      <c r="Y869" s="49"/>
      <c r="Z869" s="49"/>
      <c r="AA869" s="49"/>
      <c r="AB869" s="49"/>
      <c r="AC869" s="49"/>
      <c r="AD869" s="49"/>
      <c r="AE869" s="49"/>
      <c r="AF869" s="49" t="str">
        <f>IFERROR(__xludf.DUMMYFUNCTION("""COMPUTED_VALUE"""),"++50% chance to negate any damage from a wyvern +-Cannot be forged or duplicated")</f>
        <v>++50% chance to negate any damage from a wyvern +-Cannot be forged or duplicated</v>
      </c>
      <c r="AG869" s="49" t="str">
        <f>IFERROR(__xludf.DUMMYFUNCTION("""COMPUTED_VALUE"""),"Dragonscale Island")</f>
        <v>Dragonscale Island</v>
      </c>
      <c r="AH869" s="49" t="b">
        <f>IFERROR(__xludf.DUMMYFUNCTION("""COMPUTED_VALUE"""),FALSE)</f>
        <v>0</v>
      </c>
    </row>
    <row r="870">
      <c r="A870" s="49" t="str">
        <f>IFERROR(__xludf.DUMMYFUNCTION("""COMPUTED_VALUE"""),"Wyvern Hood")</f>
        <v>Wyvern Hood</v>
      </c>
      <c r="B870" s="49" t="str">
        <f>IFERROR(__xludf.DUMMYFUNCTION("""COMPUTED_VALUE"""),"Head")</f>
        <v>Head</v>
      </c>
      <c r="C870" s="49"/>
      <c r="D870" s="49" t="str">
        <f>IFERROR(__xludf.DUMMYFUNCTION("""COMPUTED_VALUE"""),"Item")</f>
        <v>Item</v>
      </c>
      <c r="E870" s="49">
        <f>IFERROR(__xludf.DUMMYFUNCTION("""COMPUTED_VALUE"""),1.0)</f>
        <v>1</v>
      </c>
      <c r="F870" s="112">
        <f>IFERROR(__xludf.DUMMYFUNCTION("""COMPUTED_VALUE"""),0.0)</f>
        <v>0</v>
      </c>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c r="AE870" s="49"/>
      <c r="AF870" s="49" t="str">
        <f>IFERROR(__xludf.DUMMYFUNCTION("""COMPUTED_VALUE"""),"++When in a party of 4 or more, enemy wyverns cannot target the wearer +-Cannot be forged or duplicated")</f>
        <v>++When in a party of 4 or more, enemy wyverns cannot target the wearer +-Cannot be forged or duplicated</v>
      </c>
      <c r="AG870" s="49" t="str">
        <f>IFERROR(__xludf.DUMMYFUNCTION("""COMPUTED_VALUE"""),"Dragonscale Island")</f>
        <v>Dragonscale Island</v>
      </c>
      <c r="AH870" s="49" t="b">
        <f>IFERROR(__xludf.DUMMYFUNCTION("""COMPUTED_VALUE"""),FALSE)</f>
        <v>0</v>
      </c>
    </row>
    <row r="871">
      <c r="A871" s="49" t="str">
        <f>IFERROR(__xludf.DUMMYFUNCTION("""COMPUTED_VALUE"""),"Wyvernarang")</f>
        <v>Wyvernarang</v>
      </c>
      <c r="B871" s="49" t="str">
        <f>IFERROR(__xludf.DUMMYFUNCTION("""COMPUTED_VALUE"""),"Hand")</f>
        <v>Hand</v>
      </c>
      <c r="C871" s="49"/>
      <c r="D871" s="49" t="str">
        <f>IFERROR(__xludf.DUMMYFUNCTION("""COMPUTED_VALUE"""),"Boomerang")</f>
        <v>Boomerang</v>
      </c>
      <c r="E871" s="49">
        <f>IFERROR(__xludf.DUMMYFUNCTION("""COMPUTED_VALUE"""),3000.0)</f>
        <v>3000</v>
      </c>
      <c r="F871" s="112">
        <f>IFERROR(__xludf.DUMMYFUNCTION("""COMPUTED_VALUE"""),4.485E8)</f>
        <v>448500000</v>
      </c>
      <c r="G871" s="49" t="str">
        <f>IFERROR(__xludf.DUMMYFUNCTION("""COMPUTED_VALUE"""),"DMG")</f>
        <v>DMG</v>
      </c>
      <c r="H871" s="49">
        <f>IFERROR(__xludf.DUMMYFUNCTION("""COMPUTED_VALUE"""),50000.0)</f>
        <v>50000</v>
      </c>
      <c r="I871" s="49"/>
      <c r="J871" s="49"/>
      <c r="K871" s="49"/>
      <c r="L871" s="49"/>
      <c r="M871" s="49"/>
      <c r="N871" s="49"/>
      <c r="O871" s="49"/>
      <c r="P871" s="49">
        <f>IFERROR(__xludf.DUMMYFUNCTION("""COMPUTED_VALUE"""),50000.0)</f>
        <v>50000</v>
      </c>
      <c r="Q871" s="49"/>
      <c r="R871" s="49">
        <f>IFERROR(__xludf.DUMMYFUNCTION("""COMPUTED_VALUE"""),50000.0)</f>
        <v>50000</v>
      </c>
      <c r="S871" s="49"/>
      <c r="T871" s="49"/>
      <c r="U871" s="49"/>
      <c r="V871" s="49"/>
      <c r="W871" s="49"/>
      <c r="X871" s="49"/>
      <c r="Y871" s="49"/>
      <c r="Z871" s="49"/>
      <c r="AA871" s="49"/>
      <c r="AB871" s="49"/>
      <c r="AC871" s="49"/>
      <c r="AD871" s="49"/>
      <c r="AE871" s="49"/>
      <c r="AF871" s="49"/>
      <c r="AG871" s="49" t="str">
        <f>IFERROR(__xludf.DUMMYFUNCTION("""COMPUTED_VALUE"""),"Dragonscale Island")</f>
        <v>Dragonscale Island</v>
      </c>
      <c r="AH871" s="49" t="b">
        <f>IFERROR(__xludf.DUMMYFUNCTION("""COMPUTED_VALUE"""),FALSE)</f>
        <v>0</v>
      </c>
    </row>
    <row r="872">
      <c r="A872" s="49" t="str">
        <f>IFERROR(__xludf.DUMMYFUNCTION("""COMPUTED_VALUE"""),"Iguanian Assassin's Memento")</f>
        <v>Iguanian Assassin's Memento</v>
      </c>
      <c r="B872" s="49" t="str">
        <f>IFERROR(__xludf.DUMMYFUNCTION("""COMPUTED_VALUE"""),"Neck")</f>
        <v>Neck</v>
      </c>
      <c r="C872" s="49" t="str">
        <f>IFERROR(__xludf.DUMMYFUNCTION("""COMPUTED_VALUE"""),"From this necklace hangs a series of teeth, each one taken from an iguanian assassin's victim.")</f>
        <v>From this necklace hangs a series of teeth, each one taken from an iguanian assassin's victim.</v>
      </c>
      <c r="D872" s="49"/>
      <c r="E872" s="49">
        <f>IFERROR(__xludf.DUMMYFUNCTION("""COMPUTED_VALUE"""),1.0)</f>
        <v>1</v>
      </c>
      <c r="F872" s="112">
        <f>IFERROR(__xludf.DUMMYFUNCTION("""COMPUTED_VALUE"""),0.0)</f>
        <v>0</v>
      </c>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c r="AE872" s="49"/>
      <c r="AF872" s="49" t="str">
        <f>IFERROR(__xludf.DUMMYFUNCTION("""COMPUTED_VALUE"""),"++For every enemy killed with this item equipped +1 permanent ATK (0/100000)")</f>
        <v>++For every enemy killed with this item equipped +1 permanent ATK (0/100000)</v>
      </c>
      <c r="AG872" s="49" t="str">
        <f>IFERROR(__xludf.DUMMYFUNCTION("""COMPUTED_VALUE"""),"Dragonscale Island")</f>
        <v>Dragonscale Island</v>
      </c>
      <c r="AH872" s="49" t="b">
        <f>IFERROR(__xludf.DUMMYFUNCTION("""COMPUTED_VALUE"""),FALSE)</f>
        <v>0</v>
      </c>
    </row>
    <row r="873">
      <c r="A873" s="49" t="str">
        <f>IFERROR(__xludf.DUMMYFUNCTION("""COMPUTED_VALUE"""),"Salamander Boots")</f>
        <v>Salamander Boots</v>
      </c>
      <c r="B873" s="49" t="str">
        <f>IFERROR(__xludf.DUMMYFUNCTION("""COMPUTED_VALUE"""),"Feet")</f>
        <v>Feet</v>
      </c>
      <c r="C873" s="49"/>
      <c r="D873" s="49" t="str">
        <f>IFERROR(__xludf.DUMMYFUNCTION("""COMPUTED_VALUE"""),"Item")</f>
        <v>Item</v>
      </c>
      <c r="E873" s="49">
        <f>IFERROR(__xludf.DUMMYFUNCTION("""COMPUTED_VALUE"""),2000.0)</f>
        <v>2000</v>
      </c>
      <c r="F873" s="112">
        <f>IFERROR(__xludf.DUMMYFUNCTION("""COMPUTED_VALUE"""),1.99E8)</f>
        <v>199000000</v>
      </c>
      <c r="G873" s="49" t="str">
        <f>IFERROR(__xludf.DUMMYFUNCTION("""COMPUTED_VALUE"""),"DEF")</f>
        <v>DEF</v>
      </c>
      <c r="H873" s="49"/>
      <c r="I873" s="49">
        <f>IFERROR(__xludf.DUMMYFUNCTION("""COMPUTED_VALUE"""),100000.0)</f>
        <v>100000</v>
      </c>
      <c r="J873" s="49"/>
      <c r="K873" s="49"/>
      <c r="L873" s="49"/>
      <c r="M873" s="49"/>
      <c r="N873" s="49"/>
      <c r="O873" s="49"/>
      <c r="P873" s="49"/>
      <c r="Q873" s="49"/>
      <c r="R873" s="49"/>
      <c r="S873" s="49"/>
      <c r="T873" s="49"/>
      <c r="U873" s="49"/>
      <c r="V873" s="49"/>
      <c r="W873" s="49"/>
      <c r="X873" s="49"/>
      <c r="Y873" s="49"/>
      <c r="Z873" s="49"/>
      <c r="AA873" s="49"/>
      <c r="AB873" s="49"/>
      <c r="AC873" s="49"/>
      <c r="AD873" s="49"/>
      <c r="AE873" s="49"/>
      <c r="AF873" s="49"/>
      <c r="AG873" s="49" t="str">
        <f>IFERROR(__xludf.DUMMYFUNCTION("""COMPUTED_VALUE"""),"Dragonscale Island")</f>
        <v>Dragonscale Island</v>
      </c>
      <c r="AH873" s="49" t="b">
        <f>IFERROR(__xludf.DUMMYFUNCTION("""COMPUTED_VALUE"""),FALSE)</f>
        <v>0</v>
      </c>
    </row>
    <row r="874">
      <c r="A874" s="49" t="str">
        <f>IFERROR(__xludf.DUMMYFUNCTION("""COMPUTED_VALUE"""),"Salamanderscale Chainmail")</f>
        <v>Salamanderscale Chainmail</v>
      </c>
      <c r="B874" s="49" t="str">
        <f>IFERROR(__xludf.DUMMYFUNCTION("""COMPUTED_VALUE"""),"Torso")</f>
        <v>Torso</v>
      </c>
      <c r="C874" s="49"/>
      <c r="D874" s="49" t="str">
        <f>IFERROR(__xludf.DUMMYFUNCTION("""COMPUTED_VALUE"""),"Item")</f>
        <v>Item</v>
      </c>
      <c r="E874" s="49">
        <f>IFERROR(__xludf.DUMMYFUNCTION("""COMPUTED_VALUE"""),2000.0)</f>
        <v>2000</v>
      </c>
      <c r="F874" s="112">
        <f>IFERROR(__xludf.DUMMYFUNCTION("""COMPUTED_VALUE"""),1.99E8)</f>
        <v>199000000</v>
      </c>
      <c r="G874" s="49" t="str">
        <f>IFERROR(__xludf.DUMMYFUNCTION("""COMPUTED_VALUE"""),"DEF")</f>
        <v>DEF</v>
      </c>
      <c r="H874" s="49"/>
      <c r="I874" s="49">
        <f>IFERROR(__xludf.DUMMYFUNCTION("""COMPUTED_VALUE"""),120000.0)</f>
        <v>120000</v>
      </c>
      <c r="J874" s="49"/>
      <c r="K874" s="49">
        <f>IFERROR(__xludf.DUMMYFUNCTION("""COMPUTED_VALUE"""),-10000.0)</f>
        <v>-10000</v>
      </c>
      <c r="L874" s="49">
        <f>IFERROR(__xludf.DUMMYFUNCTION("""COMPUTED_VALUE"""),-10000.0)</f>
        <v>-10000</v>
      </c>
      <c r="M874" s="49"/>
      <c r="N874" s="49"/>
      <c r="O874" s="49"/>
      <c r="P874" s="49"/>
      <c r="Q874" s="49"/>
      <c r="R874" s="49"/>
      <c r="S874" s="49"/>
      <c r="T874" s="49"/>
      <c r="U874" s="49"/>
      <c r="V874" s="49"/>
      <c r="W874" s="49"/>
      <c r="X874" s="49"/>
      <c r="Y874" s="49"/>
      <c r="Z874" s="49"/>
      <c r="AA874" s="49"/>
      <c r="AB874" s="49"/>
      <c r="AC874" s="49"/>
      <c r="AD874" s="49"/>
      <c r="AE874" s="49"/>
      <c r="AF874" s="49" t="str">
        <f>IFERROR(__xludf.DUMMYFUNCTION("""COMPUTED_VALUE"""),"+-Water and Storm deal additional 20000 damage to the wearer")</f>
        <v>+-Water and Storm deal additional 20000 damage to the wearer</v>
      </c>
      <c r="AG874" s="49" t="str">
        <f>IFERROR(__xludf.DUMMYFUNCTION("""COMPUTED_VALUE"""),"Dragonscale Island")</f>
        <v>Dragonscale Island</v>
      </c>
      <c r="AH874" s="49" t="b">
        <f>IFERROR(__xludf.DUMMYFUNCTION("""COMPUTED_VALUE"""),FALSE)</f>
        <v>0</v>
      </c>
    </row>
    <row r="875">
      <c r="A875" s="49" t="str">
        <f>IFERROR(__xludf.DUMMYFUNCTION("""COMPUTED_VALUE"""),"Iguanian Brawler's Headband")</f>
        <v>Iguanian Brawler's Headband</v>
      </c>
      <c r="B875" s="49" t="str">
        <f>IFERROR(__xludf.DUMMYFUNCTION("""COMPUTED_VALUE"""),"Head")</f>
        <v>Head</v>
      </c>
      <c r="C875" s="49"/>
      <c r="D875" s="49" t="str">
        <f>IFERROR(__xludf.DUMMYFUNCTION("""COMPUTED_VALUE"""),"Item")</f>
        <v>Item</v>
      </c>
      <c r="E875" s="49">
        <f>IFERROR(__xludf.DUMMYFUNCTION("""COMPUTED_VALUE"""),3000.0)</f>
        <v>3000</v>
      </c>
      <c r="F875" s="112">
        <f>IFERROR(__xludf.DUMMYFUNCTION("""COMPUTED_VALUE"""),4.485E8)</f>
        <v>448500000</v>
      </c>
      <c r="G875" s="49" t="str">
        <f>IFERROR(__xludf.DUMMYFUNCTION("""COMPUTED_VALUE"""),"DEF")</f>
        <v>DEF</v>
      </c>
      <c r="H875" s="49">
        <f>IFERROR(__xludf.DUMMYFUNCTION("""COMPUTED_VALUE"""),150000.0)</f>
        <v>150000</v>
      </c>
      <c r="I875" s="49"/>
      <c r="J875" s="49"/>
      <c r="K875" s="49">
        <f>IFERROR(__xludf.DUMMYFUNCTION("""COMPUTED_VALUE"""),50000.0)</f>
        <v>50000</v>
      </c>
      <c r="L875" s="49"/>
      <c r="M875" s="49"/>
      <c r="N875" s="49"/>
      <c r="O875" s="49"/>
      <c r="P875" s="49"/>
      <c r="Q875" s="49"/>
      <c r="R875" s="49"/>
      <c r="S875" s="49">
        <f>IFERROR(__xludf.DUMMYFUNCTION("""COMPUTED_VALUE"""),-50000.0)</f>
        <v>-50000</v>
      </c>
      <c r="T875" s="49"/>
      <c r="U875" s="49"/>
      <c r="V875" s="49"/>
      <c r="W875" s="49"/>
      <c r="X875" s="49"/>
      <c r="Y875" s="49"/>
      <c r="Z875" s="49"/>
      <c r="AA875" s="49"/>
      <c r="AB875" s="49"/>
      <c r="AC875" s="49"/>
      <c r="AD875" s="49"/>
      <c r="AE875" s="49"/>
      <c r="AF875" s="49"/>
      <c r="AG875" s="49" t="str">
        <f>IFERROR(__xludf.DUMMYFUNCTION("""COMPUTED_VALUE"""),"Dragonscale Island")</f>
        <v>Dragonscale Island</v>
      </c>
      <c r="AH875" s="49" t="b">
        <f>IFERROR(__xludf.DUMMYFUNCTION("""COMPUTED_VALUE"""),FALSE)</f>
        <v>0</v>
      </c>
    </row>
    <row r="876">
      <c r="A876" s="49" t="str">
        <f>IFERROR(__xludf.DUMMYFUNCTION("""COMPUTED_VALUE"""),"Iguanian Brawler's Cape")</f>
        <v>Iguanian Brawler's Cape</v>
      </c>
      <c r="B876" s="49" t="str">
        <f>IFERROR(__xludf.DUMMYFUNCTION("""COMPUTED_VALUE"""),"Shoulders")</f>
        <v>Shoulders</v>
      </c>
      <c r="C876" s="49"/>
      <c r="D876" s="49" t="str">
        <f>IFERROR(__xludf.DUMMYFUNCTION("""COMPUTED_VALUE"""),"Item")</f>
        <v>Item</v>
      </c>
      <c r="E876" s="49">
        <f>IFERROR(__xludf.DUMMYFUNCTION("""COMPUTED_VALUE"""),3000.0)</f>
        <v>3000</v>
      </c>
      <c r="F876" s="112">
        <f>IFERROR(__xludf.DUMMYFUNCTION("""COMPUTED_VALUE"""),4.485E8)</f>
        <v>448500000</v>
      </c>
      <c r="G876" s="49" t="str">
        <f>IFERROR(__xludf.DUMMYFUNCTION("""COMPUTED_VALUE"""),"DEF")</f>
        <v>DEF</v>
      </c>
      <c r="H876" s="49">
        <f>IFERROR(__xludf.DUMMYFUNCTION("""COMPUTED_VALUE"""),150000.0)</f>
        <v>150000</v>
      </c>
      <c r="I876" s="49"/>
      <c r="J876" s="49"/>
      <c r="K876" s="49">
        <f>IFERROR(__xludf.DUMMYFUNCTION("""COMPUTED_VALUE"""),50000.0)</f>
        <v>50000</v>
      </c>
      <c r="L876" s="49"/>
      <c r="M876" s="49"/>
      <c r="N876" s="49"/>
      <c r="O876" s="49"/>
      <c r="P876" s="49"/>
      <c r="Q876" s="49"/>
      <c r="R876" s="49"/>
      <c r="S876" s="49">
        <f>IFERROR(__xludf.DUMMYFUNCTION("""COMPUTED_VALUE"""),-50000.0)</f>
        <v>-50000</v>
      </c>
      <c r="T876" s="49"/>
      <c r="U876" s="49"/>
      <c r="V876" s="49"/>
      <c r="W876" s="49"/>
      <c r="X876" s="49"/>
      <c r="Y876" s="49"/>
      <c r="Z876" s="49"/>
      <c r="AA876" s="49"/>
      <c r="AB876" s="49"/>
      <c r="AC876" s="49"/>
      <c r="AD876" s="49"/>
      <c r="AE876" s="49"/>
      <c r="AF876" s="49"/>
      <c r="AG876" s="49" t="str">
        <f>IFERROR(__xludf.DUMMYFUNCTION("""COMPUTED_VALUE"""),"Dragonscale Island")</f>
        <v>Dragonscale Island</v>
      </c>
      <c r="AH876" s="49" t="b">
        <f>IFERROR(__xludf.DUMMYFUNCTION("""COMPUTED_VALUE"""),FALSE)</f>
        <v>0</v>
      </c>
    </row>
    <row r="877">
      <c r="A877" s="49" t="str">
        <f>IFERROR(__xludf.DUMMYFUNCTION("""COMPUTED_VALUE"""),"Iguanian Brawler's Sash")</f>
        <v>Iguanian Brawler's Sash</v>
      </c>
      <c r="B877" s="49" t="str">
        <f>IFERROR(__xludf.DUMMYFUNCTION("""COMPUTED_VALUE"""),"Torso")</f>
        <v>Torso</v>
      </c>
      <c r="C877" s="49"/>
      <c r="D877" s="49" t="str">
        <f>IFERROR(__xludf.DUMMYFUNCTION("""COMPUTED_VALUE"""),"Item")</f>
        <v>Item</v>
      </c>
      <c r="E877" s="49">
        <f>IFERROR(__xludf.DUMMYFUNCTION("""COMPUTED_VALUE"""),3000.0)</f>
        <v>3000</v>
      </c>
      <c r="F877" s="112">
        <f>IFERROR(__xludf.DUMMYFUNCTION("""COMPUTED_VALUE"""),4.485E8)</f>
        <v>448500000</v>
      </c>
      <c r="G877" s="49" t="str">
        <f>IFERROR(__xludf.DUMMYFUNCTION("""COMPUTED_VALUE"""),"DEF")</f>
        <v>DEF</v>
      </c>
      <c r="H877" s="49">
        <f>IFERROR(__xludf.DUMMYFUNCTION("""COMPUTED_VALUE"""),150000.0)</f>
        <v>150000</v>
      </c>
      <c r="I877" s="49"/>
      <c r="J877" s="49"/>
      <c r="K877" s="49">
        <f>IFERROR(__xludf.DUMMYFUNCTION("""COMPUTED_VALUE"""),50000.0)</f>
        <v>50000</v>
      </c>
      <c r="L877" s="49"/>
      <c r="M877" s="49"/>
      <c r="N877" s="49"/>
      <c r="O877" s="49"/>
      <c r="P877" s="49"/>
      <c r="Q877" s="49"/>
      <c r="R877" s="49"/>
      <c r="S877" s="49">
        <f>IFERROR(__xludf.DUMMYFUNCTION("""COMPUTED_VALUE"""),-50000.0)</f>
        <v>-50000</v>
      </c>
      <c r="T877" s="49"/>
      <c r="U877" s="49"/>
      <c r="V877" s="49"/>
      <c r="W877" s="49"/>
      <c r="X877" s="49"/>
      <c r="Y877" s="49"/>
      <c r="Z877" s="49"/>
      <c r="AA877" s="49"/>
      <c r="AB877" s="49"/>
      <c r="AC877" s="49"/>
      <c r="AD877" s="49"/>
      <c r="AE877" s="49"/>
      <c r="AF877" s="49"/>
      <c r="AG877" s="49" t="str">
        <f>IFERROR(__xludf.DUMMYFUNCTION("""COMPUTED_VALUE"""),"Dragonscale Island")</f>
        <v>Dragonscale Island</v>
      </c>
      <c r="AH877" s="49" t="b">
        <f>IFERROR(__xludf.DUMMYFUNCTION("""COMPUTED_VALUE"""),FALSE)</f>
        <v>0</v>
      </c>
    </row>
    <row r="878">
      <c r="A878" s="49" t="str">
        <f>IFERROR(__xludf.DUMMYFUNCTION("""COMPUTED_VALUE"""),"Iguanian Brawler's Arm Wraps")</f>
        <v>Iguanian Brawler's Arm Wraps</v>
      </c>
      <c r="B878" s="49" t="str">
        <f>IFERROR(__xludf.DUMMYFUNCTION("""COMPUTED_VALUE"""),"Arms")</f>
        <v>Arms</v>
      </c>
      <c r="C878" s="49"/>
      <c r="D878" s="49" t="str">
        <f>IFERROR(__xludf.DUMMYFUNCTION("""COMPUTED_VALUE"""),"Item")</f>
        <v>Item</v>
      </c>
      <c r="E878" s="49">
        <f>IFERROR(__xludf.DUMMYFUNCTION("""COMPUTED_VALUE"""),3000.0)</f>
        <v>3000</v>
      </c>
      <c r="F878" s="112">
        <f>IFERROR(__xludf.DUMMYFUNCTION("""COMPUTED_VALUE"""),4.485E8)</f>
        <v>448500000</v>
      </c>
      <c r="G878" s="49" t="str">
        <f>IFERROR(__xludf.DUMMYFUNCTION("""COMPUTED_VALUE"""),"DEF")</f>
        <v>DEF</v>
      </c>
      <c r="H878" s="49">
        <f>IFERROR(__xludf.DUMMYFUNCTION("""COMPUTED_VALUE"""),150000.0)</f>
        <v>150000</v>
      </c>
      <c r="I878" s="49"/>
      <c r="J878" s="49"/>
      <c r="K878" s="49">
        <f>IFERROR(__xludf.DUMMYFUNCTION("""COMPUTED_VALUE"""),50000.0)</f>
        <v>50000</v>
      </c>
      <c r="L878" s="49"/>
      <c r="M878" s="49"/>
      <c r="N878" s="49"/>
      <c r="O878" s="49"/>
      <c r="P878" s="49"/>
      <c r="Q878" s="49"/>
      <c r="R878" s="49"/>
      <c r="S878" s="49">
        <f>IFERROR(__xludf.DUMMYFUNCTION("""COMPUTED_VALUE"""),-50000.0)</f>
        <v>-50000</v>
      </c>
      <c r="T878" s="49"/>
      <c r="U878" s="49"/>
      <c r="V878" s="49"/>
      <c r="W878" s="49"/>
      <c r="X878" s="49"/>
      <c r="Y878" s="49"/>
      <c r="Z878" s="49"/>
      <c r="AA878" s="49"/>
      <c r="AB878" s="49"/>
      <c r="AC878" s="49"/>
      <c r="AD878" s="49"/>
      <c r="AE878" s="49"/>
      <c r="AF878" s="49"/>
      <c r="AG878" s="49" t="str">
        <f>IFERROR(__xludf.DUMMYFUNCTION("""COMPUTED_VALUE"""),"Dragonscale Island")</f>
        <v>Dragonscale Island</v>
      </c>
      <c r="AH878" s="49" t="b">
        <f>IFERROR(__xludf.DUMMYFUNCTION("""COMPUTED_VALUE"""),FALSE)</f>
        <v>0</v>
      </c>
    </row>
    <row r="879">
      <c r="A879" s="49" t="str">
        <f>IFERROR(__xludf.DUMMYFUNCTION("""COMPUTED_VALUE"""),"Iguanian Brawler's Shorts")</f>
        <v>Iguanian Brawler's Shorts</v>
      </c>
      <c r="B879" s="49" t="str">
        <f>IFERROR(__xludf.DUMMYFUNCTION("""COMPUTED_VALUE"""),"Legs")</f>
        <v>Legs</v>
      </c>
      <c r="C879" s="49"/>
      <c r="D879" s="49" t="str">
        <f>IFERROR(__xludf.DUMMYFUNCTION("""COMPUTED_VALUE"""),"Item")</f>
        <v>Item</v>
      </c>
      <c r="E879" s="49">
        <f>IFERROR(__xludf.DUMMYFUNCTION("""COMPUTED_VALUE"""),3000.0)</f>
        <v>3000</v>
      </c>
      <c r="F879" s="112">
        <f>IFERROR(__xludf.DUMMYFUNCTION("""COMPUTED_VALUE"""),4.485E8)</f>
        <v>448500000</v>
      </c>
      <c r="G879" s="49" t="str">
        <f>IFERROR(__xludf.DUMMYFUNCTION("""COMPUTED_VALUE"""),"DEF")</f>
        <v>DEF</v>
      </c>
      <c r="H879" s="49">
        <f>IFERROR(__xludf.DUMMYFUNCTION("""COMPUTED_VALUE"""),150000.0)</f>
        <v>150000</v>
      </c>
      <c r="I879" s="49"/>
      <c r="J879" s="49"/>
      <c r="K879" s="49">
        <f>IFERROR(__xludf.DUMMYFUNCTION("""COMPUTED_VALUE"""),50000.0)</f>
        <v>50000</v>
      </c>
      <c r="L879" s="49"/>
      <c r="M879" s="49"/>
      <c r="N879" s="49"/>
      <c r="O879" s="49"/>
      <c r="P879" s="49"/>
      <c r="Q879" s="49"/>
      <c r="R879" s="49"/>
      <c r="S879" s="49">
        <f>IFERROR(__xludf.DUMMYFUNCTION("""COMPUTED_VALUE"""),-50000.0)</f>
        <v>-50000</v>
      </c>
      <c r="T879" s="49"/>
      <c r="U879" s="49"/>
      <c r="V879" s="49"/>
      <c r="W879" s="49"/>
      <c r="X879" s="49"/>
      <c r="Y879" s="49"/>
      <c r="Z879" s="49"/>
      <c r="AA879" s="49"/>
      <c r="AB879" s="49"/>
      <c r="AC879" s="49"/>
      <c r="AD879" s="49"/>
      <c r="AE879" s="49"/>
      <c r="AF879" s="49"/>
      <c r="AG879" s="49" t="str">
        <f>IFERROR(__xludf.DUMMYFUNCTION("""COMPUTED_VALUE"""),"Dragonscale Island")</f>
        <v>Dragonscale Island</v>
      </c>
      <c r="AH879" s="49" t="b">
        <f>IFERROR(__xludf.DUMMYFUNCTION("""COMPUTED_VALUE"""),FALSE)</f>
        <v>0</v>
      </c>
    </row>
    <row r="880">
      <c r="A880" s="49" t="str">
        <f>IFERROR(__xludf.DUMMYFUNCTION("""COMPUTED_VALUE"""),"Iguanian Brawler's Sandals")</f>
        <v>Iguanian Brawler's Sandals</v>
      </c>
      <c r="B880" s="49" t="str">
        <f>IFERROR(__xludf.DUMMYFUNCTION("""COMPUTED_VALUE"""),"Feet")</f>
        <v>Feet</v>
      </c>
      <c r="C880" s="49"/>
      <c r="D880" s="49" t="str">
        <f>IFERROR(__xludf.DUMMYFUNCTION("""COMPUTED_VALUE"""),"Item")</f>
        <v>Item</v>
      </c>
      <c r="E880" s="49">
        <f>IFERROR(__xludf.DUMMYFUNCTION("""COMPUTED_VALUE"""),3000.0)</f>
        <v>3000</v>
      </c>
      <c r="F880" s="112">
        <f>IFERROR(__xludf.DUMMYFUNCTION("""COMPUTED_VALUE"""),4.485E8)</f>
        <v>448500000</v>
      </c>
      <c r="G880" s="49" t="str">
        <f>IFERROR(__xludf.DUMMYFUNCTION("""COMPUTED_VALUE"""),"DEF")</f>
        <v>DEF</v>
      </c>
      <c r="H880" s="49">
        <f>IFERROR(__xludf.DUMMYFUNCTION("""COMPUTED_VALUE"""),150000.0)</f>
        <v>150000</v>
      </c>
      <c r="I880" s="49"/>
      <c r="J880" s="49"/>
      <c r="K880" s="49">
        <f>IFERROR(__xludf.DUMMYFUNCTION("""COMPUTED_VALUE"""),50000.0)</f>
        <v>50000</v>
      </c>
      <c r="L880" s="49"/>
      <c r="M880" s="49"/>
      <c r="N880" s="49"/>
      <c r="O880" s="49"/>
      <c r="P880" s="49"/>
      <c r="Q880" s="49"/>
      <c r="R880" s="49"/>
      <c r="S880" s="49">
        <f>IFERROR(__xludf.DUMMYFUNCTION("""COMPUTED_VALUE"""),-50000.0)</f>
        <v>-50000</v>
      </c>
      <c r="T880" s="49"/>
      <c r="U880" s="49"/>
      <c r="V880" s="49"/>
      <c r="W880" s="49"/>
      <c r="X880" s="49"/>
      <c r="Y880" s="49"/>
      <c r="Z880" s="49"/>
      <c r="AA880" s="49"/>
      <c r="AB880" s="49"/>
      <c r="AC880" s="49"/>
      <c r="AD880" s="49"/>
      <c r="AE880" s="49"/>
      <c r="AF880" s="49"/>
      <c r="AG880" s="49" t="str">
        <f>IFERROR(__xludf.DUMMYFUNCTION("""COMPUTED_VALUE"""),"Dragonscale Island")</f>
        <v>Dragonscale Island</v>
      </c>
      <c r="AH880" s="49" t="b">
        <f>IFERROR(__xludf.DUMMYFUNCTION("""COMPUTED_VALUE"""),FALSE)</f>
        <v>0</v>
      </c>
    </row>
    <row r="881">
      <c r="A881" s="49" t="str">
        <f>IFERROR(__xludf.DUMMYFUNCTION("""COMPUTED_VALUE"""),"Iguanian Brawler's Knuckles")</f>
        <v>Iguanian Brawler's Knuckles</v>
      </c>
      <c r="B881" s="49" t="str">
        <f>IFERROR(__xludf.DUMMYFUNCTION("""COMPUTED_VALUE"""),"Hand")</f>
        <v>Hand</v>
      </c>
      <c r="C881" s="49"/>
      <c r="D881" s="49" t="str">
        <f>IFERROR(__xludf.DUMMYFUNCTION("""COMPUTED_VALUE"""),"Gauntlet")</f>
        <v>Gauntlet</v>
      </c>
      <c r="E881" s="49">
        <f>IFERROR(__xludf.DUMMYFUNCTION("""COMPUTED_VALUE"""),3000.0)</f>
        <v>3000</v>
      </c>
      <c r="F881" s="112">
        <f>IFERROR(__xludf.DUMMYFUNCTION("""COMPUTED_VALUE"""),4.485E8)</f>
        <v>448500000</v>
      </c>
      <c r="G881" s="49" t="str">
        <f>IFERROR(__xludf.DUMMYFUNCTION("""COMPUTED_VALUE"""),"DEF")</f>
        <v>DEF</v>
      </c>
      <c r="H881" s="49">
        <f>IFERROR(__xludf.DUMMYFUNCTION("""COMPUTED_VALUE"""),100000.0)</f>
        <v>100000</v>
      </c>
      <c r="I881" s="49"/>
      <c r="J881" s="49"/>
      <c r="K881" s="49">
        <f>IFERROR(__xludf.DUMMYFUNCTION("""COMPUTED_VALUE"""),50000.0)</f>
        <v>50000</v>
      </c>
      <c r="L881" s="49"/>
      <c r="M881" s="49"/>
      <c r="N881" s="49"/>
      <c r="O881" s="49"/>
      <c r="P881" s="49"/>
      <c r="Q881" s="49"/>
      <c r="R881" s="49"/>
      <c r="S881" s="49"/>
      <c r="T881" s="49"/>
      <c r="U881" s="49"/>
      <c r="V881" s="49"/>
      <c r="W881" s="49"/>
      <c r="X881" s="49"/>
      <c r="Y881" s="49"/>
      <c r="Z881" s="49"/>
      <c r="AA881" s="49"/>
      <c r="AB881" s="49"/>
      <c r="AC881" s="49"/>
      <c r="AD881" s="49"/>
      <c r="AE881" s="49"/>
      <c r="AF881" s="49"/>
      <c r="AG881" s="49" t="str">
        <f>IFERROR(__xludf.DUMMYFUNCTION("""COMPUTED_VALUE"""),"Dragonscale Island")</f>
        <v>Dragonscale Island</v>
      </c>
      <c r="AH881" s="49" t="b">
        <f>IFERROR(__xludf.DUMMYFUNCTION("""COMPUTED_VALUE"""),FALSE)</f>
        <v>0</v>
      </c>
    </row>
    <row r="882">
      <c r="A882" s="49" t="str">
        <f>IFERROR(__xludf.DUMMYFUNCTION("""COMPUTED_VALUE"""),"Iguanian Brawler's Ring")</f>
        <v>Iguanian Brawler's Ring</v>
      </c>
      <c r="B882" s="49" t="str">
        <f>IFERROR(__xludf.DUMMYFUNCTION("""COMPUTED_VALUE"""),"Finger")</f>
        <v>Finger</v>
      </c>
      <c r="C882" s="49"/>
      <c r="D882" s="49"/>
      <c r="E882" s="49">
        <f>IFERROR(__xludf.DUMMYFUNCTION("""COMPUTED_VALUE"""),1.0)</f>
        <v>1</v>
      </c>
      <c r="F882" s="112">
        <f>IFERROR(__xludf.DUMMYFUNCTION("""COMPUTED_VALUE"""),0.0)</f>
        <v>0</v>
      </c>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c r="AE882" s="49"/>
      <c r="AF882" s="49" t="str">
        <f>IFERROR(__xludf.DUMMYFUNCTION("""COMPUTED_VALUE"""),"++X10 Natural Attack damage")</f>
        <v>++X10 Natural Attack damage</v>
      </c>
      <c r="AG882" s="49" t="str">
        <f>IFERROR(__xludf.DUMMYFUNCTION("""COMPUTED_VALUE"""),"Dragonscale Island")</f>
        <v>Dragonscale Island</v>
      </c>
      <c r="AH882" s="49" t="b">
        <f>IFERROR(__xludf.DUMMYFUNCTION("""COMPUTED_VALUE"""),FALSE)</f>
        <v>0</v>
      </c>
    </row>
    <row r="883">
      <c r="A883" s="49" t="str">
        <f>IFERROR(__xludf.DUMMYFUNCTION("""COMPUTED_VALUE"""),"Cursed Ring of Sudden Death")</f>
        <v>Cursed Ring of Sudden Death</v>
      </c>
      <c r="B883" s="49" t="str">
        <f>IFERROR(__xludf.DUMMYFUNCTION("""COMPUTED_VALUE"""),"Finger")</f>
        <v>Finger</v>
      </c>
      <c r="C883" s="49"/>
      <c r="D883" s="49" t="str">
        <f>IFERROR(__xludf.DUMMYFUNCTION("""COMPUTED_VALUE"""),"Item")</f>
        <v>Item</v>
      </c>
      <c r="E883" s="49">
        <f>IFERROR(__xludf.DUMMYFUNCTION("""COMPUTED_VALUE"""),1.0)</f>
        <v>1</v>
      </c>
      <c r="F883" s="112">
        <f>IFERROR(__xludf.DUMMYFUNCTION("""COMPUTED_VALUE"""),0.0)</f>
        <v>0</v>
      </c>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c r="AE883" s="49"/>
      <c r="AF883" s="49"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49" t="str">
        <f>IFERROR(__xludf.DUMMYFUNCTION("""COMPUTED_VALUE"""),"Dragonscale Island")</f>
        <v>Dragonscale Island</v>
      </c>
      <c r="AH883" s="49" t="b">
        <f>IFERROR(__xludf.DUMMYFUNCTION("""COMPUTED_VALUE"""),FALSE)</f>
        <v>0</v>
      </c>
    </row>
    <row r="884">
      <c r="A884" s="49" t="str">
        <f>IFERROR(__xludf.DUMMYFUNCTION("""COMPUTED_VALUE"""),"Ring of Action")</f>
        <v>Ring of Action</v>
      </c>
      <c r="B884" s="49" t="str">
        <f>IFERROR(__xludf.DUMMYFUNCTION("""COMPUTED_VALUE"""),"Finger")</f>
        <v>Finger</v>
      </c>
      <c r="C884" s="49"/>
      <c r="D884" s="49" t="str">
        <f>IFERROR(__xludf.DUMMYFUNCTION("""COMPUTED_VALUE"""),"Item")</f>
        <v>Item</v>
      </c>
      <c r="E884" s="49">
        <f>IFERROR(__xludf.DUMMYFUNCTION("""COMPUTED_VALUE"""),1.0)</f>
        <v>1</v>
      </c>
      <c r="F884" s="112">
        <f>IFERROR(__xludf.DUMMYFUNCTION("""COMPUTED_VALUE"""),0.0)</f>
        <v>0</v>
      </c>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c r="AE884" s="49"/>
      <c r="AF884" s="49" t="str">
        <f>IFERROR(__xludf.DUMMYFUNCTION("""COMPUTED_VALUE"""),"++10000 SP")</f>
        <v>++10000 SP</v>
      </c>
      <c r="AG884" s="49" t="str">
        <f>IFERROR(__xludf.DUMMYFUNCTION("""COMPUTED_VALUE"""),"Dragonscale Island")</f>
        <v>Dragonscale Island</v>
      </c>
      <c r="AH884" s="49" t="b">
        <f>IFERROR(__xludf.DUMMYFUNCTION("""COMPUTED_VALUE"""),FALSE)</f>
        <v>0</v>
      </c>
    </row>
    <row r="885">
      <c r="A885" s="49" t="str">
        <f>IFERROR(__xludf.DUMMYFUNCTION("""COMPUTED_VALUE"""),"Iguanian Mage Hat")</f>
        <v>Iguanian Mage Hat</v>
      </c>
      <c r="B885" s="49"/>
      <c r="C885" s="49"/>
      <c r="D885" s="49" t="str">
        <f>IFERROR(__xludf.DUMMYFUNCTION("""COMPUTED_VALUE"""),"Item")</f>
        <v>Item</v>
      </c>
      <c r="E885" s="49">
        <f>IFERROR(__xludf.DUMMYFUNCTION("""COMPUTED_VALUE"""),1.0)</f>
        <v>1</v>
      </c>
      <c r="F885" s="112">
        <f>IFERROR(__xludf.DUMMYFUNCTION("""COMPUTED_VALUE"""),0.0)</f>
        <v>0</v>
      </c>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c r="AE885" s="49"/>
      <c r="AF885" s="49" t="str">
        <f>IFERROR(__xludf.DUMMYFUNCTION("""COMPUTED_VALUE"""),"++10000 hp and sp")</f>
        <v>++10000 hp and sp</v>
      </c>
      <c r="AG885" s="49" t="str">
        <f>IFERROR(__xludf.DUMMYFUNCTION("""COMPUTED_VALUE"""),"Dragonscale Island")</f>
        <v>Dragonscale Island</v>
      </c>
      <c r="AH885" s="49" t="b">
        <f>IFERROR(__xludf.DUMMYFUNCTION("""COMPUTED_VALUE"""),FALSE)</f>
        <v>0</v>
      </c>
    </row>
    <row r="886">
      <c r="A886" s="49" t="str">
        <f>IFERROR(__xludf.DUMMYFUNCTION("""COMPUTED_VALUE"""),"Iguanian Mage Robes")</f>
        <v>Iguanian Mage Robes</v>
      </c>
      <c r="B886" s="49"/>
      <c r="C886" s="49"/>
      <c r="D886" s="49" t="str">
        <f>IFERROR(__xludf.DUMMYFUNCTION("""COMPUTED_VALUE"""),"Item")</f>
        <v>Item</v>
      </c>
      <c r="E886" s="49">
        <f>IFERROR(__xludf.DUMMYFUNCTION("""COMPUTED_VALUE"""),1.0)</f>
        <v>1</v>
      </c>
      <c r="F886" s="112">
        <f>IFERROR(__xludf.DUMMYFUNCTION("""COMPUTED_VALUE"""),0.0)</f>
        <v>0</v>
      </c>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c r="AE886" s="49"/>
      <c r="AF886" s="49" t="str">
        <f>IFERROR(__xludf.DUMMYFUNCTION("""COMPUTED_VALUE"""),"++10000 hp and sp")</f>
        <v>++10000 hp and sp</v>
      </c>
      <c r="AG886" s="49" t="str">
        <f>IFERROR(__xludf.DUMMYFUNCTION("""COMPUTED_VALUE"""),"Dragonscale Island")</f>
        <v>Dragonscale Island</v>
      </c>
      <c r="AH886" s="49" t="b">
        <f>IFERROR(__xludf.DUMMYFUNCTION("""COMPUTED_VALUE"""),FALSE)</f>
        <v>0</v>
      </c>
    </row>
    <row r="887">
      <c r="A887" s="49" t="str">
        <f>IFERROR(__xludf.DUMMYFUNCTION("""COMPUTED_VALUE"""),"Iguanian Mage Leggings")</f>
        <v>Iguanian Mage Leggings</v>
      </c>
      <c r="B887" s="49"/>
      <c r="C887" s="49"/>
      <c r="D887" s="49" t="str">
        <f>IFERROR(__xludf.DUMMYFUNCTION("""COMPUTED_VALUE"""),"Item")</f>
        <v>Item</v>
      </c>
      <c r="E887" s="49">
        <f>IFERROR(__xludf.DUMMYFUNCTION("""COMPUTED_VALUE"""),1.0)</f>
        <v>1</v>
      </c>
      <c r="F887" s="112">
        <f>IFERROR(__xludf.DUMMYFUNCTION("""COMPUTED_VALUE"""),0.0)</f>
        <v>0</v>
      </c>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c r="AE887" s="49"/>
      <c r="AF887" s="49" t="str">
        <f>IFERROR(__xludf.DUMMYFUNCTION("""COMPUTED_VALUE"""),"++10000 hp and sp")</f>
        <v>++10000 hp and sp</v>
      </c>
      <c r="AG887" s="49" t="str">
        <f>IFERROR(__xludf.DUMMYFUNCTION("""COMPUTED_VALUE"""),"Dragonscale Island")</f>
        <v>Dragonscale Island</v>
      </c>
      <c r="AH887" s="49" t="b">
        <f>IFERROR(__xludf.DUMMYFUNCTION("""COMPUTED_VALUE"""),FALSE)</f>
        <v>0</v>
      </c>
    </row>
    <row r="888">
      <c r="A888" s="49" t="str">
        <f>IFERROR(__xludf.DUMMYFUNCTION("""COMPUTED_VALUE"""),"Iguanian Mage Pointed Shoes")</f>
        <v>Iguanian Mage Pointed Shoes</v>
      </c>
      <c r="B888" s="49"/>
      <c r="C888" s="49"/>
      <c r="D888" s="49" t="str">
        <f>IFERROR(__xludf.DUMMYFUNCTION("""COMPUTED_VALUE"""),"Item")</f>
        <v>Item</v>
      </c>
      <c r="E888" s="49">
        <f>IFERROR(__xludf.DUMMYFUNCTION("""COMPUTED_VALUE"""),1.0)</f>
        <v>1</v>
      </c>
      <c r="F888" s="112">
        <f>IFERROR(__xludf.DUMMYFUNCTION("""COMPUTED_VALUE"""),0.0)</f>
        <v>0</v>
      </c>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c r="AE888" s="49"/>
      <c r="AF888" s="49" t="str">
        <f>IFERROR(__xludf.DUMMYFUNCTION("""COMPUTED_VALUE"""),"++10000 hp and sp")</f>
        <v>++10000 hp and sp</v>
      </c>
      <c r="AG888" s="49" t="str">
        <f>IFERROR(__xludf.DUMMYFUNCTION("""COMPUTED_VALUE"""),"Dragonscale Island")</f>
        <v>Dragonscale Island</v>
      </c>
      <c r="AH888" s="49" t="b">
        <f>IFERROR(__xludf.DUMMYFUNCTION("""COMPUTED_VALUE"""),FALSE)</f>
        <v>0</v>
      </c>
    </row>
    <row r="889">
      <c r="A889" s="49" t="str">
        <f>IFERROR(__xludf.DUMMYFUNCTION("""COMPUTED_VALUE"""),"Iguanian Mage Staff of Hail")</f>
        <v>Iguanian Mage Staff of Hail</v>
      </c>
      <c r="B889" s="49"/>
      <c r="C889" s="49"/>
      <c r="D889" s="49" t="str">
        <f>IFERROR(__xludf.DUMMYFUNCTION("""COMPUTED_VALUE"""),"Staff")</f>
        <v>Staff</v>
      </c>
      <c r="E889" s="49">
        <f>IFERROR(__xludf.DUMMYFUNCTION("""COMPUTED_VALUE"""),1.0)</f>
        <v>1</v>
      </c>
      <c r="F889" s="112">
        <f>IFERROR(__xludf.DUMMYFUNCTION("""COMPUTED_VALUE"""),0.0)</f>
        <v>0</v>
      </c>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c r="AE889" s="49"/>
      <c r="AF889" s="49"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49" t="str">
        <f>IFERROR(__xludf.DUMMYFUNCTION("""COMPUTED_VALUE"""),"Dragonscale Island")</f>
        <v>Dragonscale Island</v>
      </c>
      <c r="AH889" s="49" t="b">
        <f>IFERROR(__xludf.DUMMYFUNCTION("""COMPUTED_VALUE"""),FALSE)</f>
        <v>0</v>
      </c>
    </row>
    <row r="890">
      <c r="A890" s="49"/>
      <c r="B890" s="49"/>
      <c r="C890" s="49"/>
      <c r="D890" s="49"/>
      <c r="E890" s="49">
        <f>IFERROR(__xludf.DUMMYFUNCTION("""COMPUTED_VALUE"""),1.0)</f>
        <v>1</v>
      </c>
      <c r="F890" s="112">
        <f>IFERROR(__xludf.DUMMYFUNCTION("""COMPUTED_VALUE"""),0.0)</f>
        <v>0</v>
      </c>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c r="AE890" s="49"/>
      <c r="AF890" s="49"/>
      <c r="AG890" s="49" t="str">
        <f>IFERROR(__xludf.DUMMYFUNCTION("""COMPUTED_VALUE"""),"Dragonscale Island")</f>
        <v>Dragonscale Island</v>
      </c>
      <c r="AH890" s="49" t="b">
        <f>IFERROR(__xludf.DUMMYFUNCTION("""COMPUTED_VALUE"""),FALSE)</f>
        <v>0</v>
      </c>
    </row>
    <row r="891">
      <c r="A891" s="49" t="str">
        <f>IFERROR(__xludf.DUMMYFUNCTION("""COMPUTED_VALUE"""),"Blood Finger Ring")</f>
        <v>Blood Finger Ring</v>
      </c>
      <c r="B891" s="49" t="str">
        <f>IFERROR(__xludf.DUMMYFUNCTION("""COMPUTED_VALUE"""),"Finger")</f>
        <v>Finger</v>
      </c>
      <c r="C891" s="49"/>
      <c r="D891" s="49" t="str">
        <f>IFERROR(__xludf.DUMMYFUNCTION("""COMPUTED_VALUE"""),"Item")</f>
        <v>Item</v>
      </c>
      <c r="E891" s="49">
        <f>IFERROR(__xludf.DUMMYFUNCTION("""COMPUTED_VALUE"""),1.0)</f>
        <v>1</v>
      </c>
      <c r="F891" s="112">
        <f>IFERROR(__xludf.DUMMYFUNCTION("""COMPUTED_VALUE"""),0.0)</f>
        <v>0</v>
      </c>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c r="AE891" s="49"/>
      <c r="AF891" s="49" t="str">
        <f>IFERROR(__xludf.DUMMYFUNCTION("""COMPUTED_VALUE"""),"++Once per battle, if HP&lt;110, heal 10000 HP +-Cannot be forged or duplicated")</f>
        <v>++Once per battle, if HP&lt;110, heal 10000 HP +-Cannot be forged or duplicated</v>
      </c>
      <c r="AG891" s="49" t="str">
        <f>IFERROR(__xludf.DUMMYFUNCTION("""COMPUTED_VALUE"""),"Dragonscale Island")</f>
        <v>Dragonscale Island</v>
      </c>
      <c r="AH891" s="49" t="b">
        <f>IFERROR(__xludf.DUMMYFUNCTION("""COMPUTED_VALUE"""),FALSE)</f>
        <v>0</v>
      </c>
    </row>
    <row r="892">
      <c r="A892" s="49" t="str">
        <f>IFERROR(__xludf.DUMMYFUNCTION("""COMPUTED_VALUE"""),"Finger Food Ring")</f>
        <v>Finger Food Ring</v>
      </c>
      <c r="B892" s="49" t="str">
        <f>IFERROR(__xludf.DUMMYFUNCTION("""COMPUTED_VALUE"""),"Finger")</f>
        <v>Finger</v>
      </c>
      <c r="C892" s="49"/>
      <c r="D892" s="49" t="str">
        <f>IFERROR(__xludf.DUMMYFUNCTION("""COMPUTED_VALUE"""),"Item")</f>
        <v>Item</v>
      </c>
      <c r="E892" s="49">
        <f>IFERROR(__xludf.DUMMYFUNCTION("""COMPUTED_VALUE"""),1.0)</f>
        <v>1</v>
      </c>
      <c r="F892" s="112">
        <f>IFERROR(__xludf.DUMMYFUNCTION("""COMPUTED_VALUE"""),0.0)</f>
        <v>0</v>
      </c>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c r="AE892" s="49"/>
      <c r="AF892" s="49"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49" t="str">
        <f>IFERROR(__xludf.DUMMYFUNCTION("""COMPUTED_VALUE"""),"Dragonscale Island")</f>
        <v>Dragonscale Island</v>
      </c>
      <c r="AH892" s="49" t="b">
        <f>IFERROR(__xludf.DUMMYFUNCTION("""COMPUTED_VALUE"""),FALSE)</f>
        <v>0</v>
      </c>
    </row>
    <row r="893">
      <c r="A893" s="49" t="str">
        <f>IFERROR(__xludf.DUMMYFUNCTION("""COMPUTED_VALUE"""),"Ring of Power")</f>
        <v>Ring of Power</v>
      </c>
      <c r="B893" s="49" t="str">
        <f>IFERROR(__xludf.DUMMYFUNCTION("""COMPUTED_VALUE"""),"Finger")</f>
        <v>Finger</v>
      </c>
      <c r="C893" s="49"/>
      <c r="D893" s="49" t="str">
        <f>IFERROR(__xludf.DUMMYFUNCTION("""COMPUTED_VALUE"""),"Item")</f>
        <v>Item</v>
      </c>
      <c r="E893" s="49">
        <f>IFERROR(__xludf.DUMMYFUNCTION("""COMPUTED_VALUE"""),1.0)</f>
        <v>1</v>
      </c>
      <c r="F893" s="112">
        <f>IFERROR(__xludf.DUMMYFUNCTION("""COMPUTED_VALUE"""),0.0)</f>
        <v>0</v>
      </c>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c r="AE893" s="49"/>
      <c r="AF893" s="49" t="str">
        <f>IFERROR(__xludf.DUMMYFUNCTION("""COMPUTED_VALUE"""),"++1500 ATK and ACC")</f>
        <v>++1500 ATK and ACC</v>
      </c>
      <c r="AG893" s="49" t="str">
        <f>IFERROR(__xludf.DUMMYFUNCTION("""COMPUTED_VALUE"""),"Dragonscale Island")</f>
        <v>Dragonscale Island</v>
      </c>
      <c r="AH893" s="49" t="b">
        <f>IFERROR(__xludf.DUMMYFUNCTION("""COMPUTED_VALUE"""),FALSE)</f>
        <v>0</v>
      </c>
    </row>
    <row r="894">
      <c r="A894" s="49" t="str">
        <f>IFERROR(__xludf.DUMMYFUNCTION("""COMPUTED_VALUE"""),"Axe of Red")</f>
        <v>Axe of Red</v>
      </c>
      <c r="B894" s="49" t="str">
        <f>IFERROR(__xludf.DUMMYFUNCTION("""COMPUTED_VALUE"""),"Hand")</f>
        <v>Hand</v>
      </c>
      <c r="C894" s="49"/>
      <c r="D894" s="49" t="str">
        <f>IFERROR(__xludf.DUMMYFUNCTION("""COMPUTED_VALUE"""),"Axe")</f>
        <v>Axe</v>
      </c>
      <c r="E894" s="49">
        <f>IFERROR(__xludf.DUMMYFUNCTION("""COMPUTED_VALUE"""),4500.0)</f>
        <v>4500</v>
      </c>
      <c r="F894" s="112">
        <f>IFERROR(__xludf.DUMMYFUNCTION("""COMPUTED_VALUE"""),1.01025E9)</f>
        <v>1010250000</v>
      </c>
      <c r="G894" s="49" t="str">
        <f>IFERROR(__xludf.DUMMYFUNCTION("""COMPUTED_VALUE"""),"DMG")</f>
        <v>DMG</v>
      </c>
      <c r="H894" s="49"/>
      <c r="I894" s="49">
        <f>IFERROR(__xludf.DUMMYFUNCTION("""COMPUTED_VALUE"""),75000.0)</f>
        <v>75000</v>
      </c>
      <c r="J894" s="49"/>
      <c r="K894" s="49"/>
      <c r="L894" s="49"/>
      <c r="M894" s="49"/>
      <c r="N894" s="49"/>
      <c r="O894" s="49"/>
      <c r="P894" s="49"/>
      <c r="Q894" s="49"/>
      <c r="R894" s="49">
        <f>IFERROR(__xludf.DUMMYFUNCTION("""COMPUTED_VALUE"""),75000.0)</f>
        <v>75000</v>
      </c>
      <c r="S894" s="49"/>
      <c r="T894" s="49"/>
      <c r="U894" s="49"/>
      <c r="V894" s="49"/>
      <c r="W894" s="49"/>
      <c r="X894" s="49"/>
      <c r="Y894" s="49">
        <f>IFERROR(__xludf.DUMMYFUNCTION("""COMPUTED_VALUE"""),75000.0)</f>
        <v>75000</v>
      </c>
      <c r="Z894" s="49"/>
      <c r="AA894" s="49"/>
      <c r="AB894" s="49"/>
      <c r="AC894" s="49"/>
      <c r="AD894" s="49"/>
      <c r="AE894" s="49"/>
      <c r="AF894" s="49"/>
      <c r="AG894" s="49" t="str">
        <f>IFERROR(__xludf.DUMMYFUNCTION("""COMPUTED_VALUE"""),"Dragonscale Island")</f>
        <v>Dragonscale Island</v>
      </c>
      <c r="AH894" s="49" t="b">
        <f>IFERROR(__xludf.DUMMYFUNCTION("""COMPUTED_VALUE"""),FALSE)</f>
        <v>0</v>
      </c>
    </row>
    <row r="895">
      <c r="A895" s="49" t="str">
        <f>IFERROR(__xludf.DUMMYFUNCTION("""COMPUTED_VALUE"""),"Wyrmscale Staff")</f>
        <v>Wyrmscale Staff</v>
      </c>
      <c r="B895" s="49" t="str">
        <f>IFERROR(__xludf.DUMMYFUNCTION("""COMPUTED_VALUE"""),"Hand")</f>
        <v>Hand</v>
      </c>
      <c r="C895" s="49"/>
      <c r="D895" s="49" t="str">
        <f>IFERROR(__xludf.DUMMYFUNCTION("""COMPUTED_VALUE"""),"Staff")</f>
        <v>Staff</v>
      </c>
      <c r="E895" s="49">
        <f>IFERROR(__xludf.DUMMYFUNCTION("""COMPUTED_VALUE"""),1.0)</f>
        <v>1</v>
      </c>
      <c r="F895" s="112">
        <f>IFERROR(__xludf.DUMMYFUNCTION("""COMPUTED_VALUE"""),0.0)</f>
        <v>0</v>
      </c>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c r="AE895" s="49"/>
      <c r="AF895" s="49" t="str">
        <f>IFERROR(__xludf.DUMMYFUNCTION("""COMPUTED_VALUE"""),"++Spells have double effect when cast on dragons +-Cannot be forged or duplicated")</f>
        <v>++Spells have double effect when cast on dragons +-Cannot be forged or duplicated</v>
      </c>
      <c r="AG895" s="49" t="str">
        <f>IFERROR(__xludf.DUMMYFUNCTION("""COMPUTED_VALUE"""),"Dragonscale Island")</f>
        <v>Dragonscale Island</v>
      </c>
      <c r="AH895" s="49" t="b">
        <f>IFERROR(__xludf.DUMMYFUNCTION("""COMPUTED_VALUE"""),FALSE)</f>
        <v>0</v>
      </c>
    </row>
    <row r="896">
      <c r="A896" s="49" t="str">
        <f>IFERROR(__xludf.DUMMYFUNCTION("""COMPUTED_VALUE"""),"Wyrmscale Wand")</f>
        <v>Wyrmscale Wand</v>
      </c>
      <c r="B896" s="49" t="str">
        <f>IFERROR(__xludf.DUMMYFUNCTION("""COMPUTED_VALUE"""),"Hand")</f>
        <v>Hand</v>
      </c>
      <c r="C896" s="49"/>
      <c r="D896" s="49" t="str">
        <f>IFERROR(__xludf.DUMMYFUNCTION("""COMPUTED_VALUE"""),"Wand")</f>
        <v>Wand</v>
      </c>
      <c r="E896" s="49">
        <f>IFERROR(__xludf.DUMMYFUNCTION("""COMPUTED_VALUE"""),1.0)</f>
        <v>1</v>
      </c>
      <c r="F896" s="112">
        <f>IFERROR(__xludf.DUMMYFUNCTION("""COMPUTED_VALUE"""),0.0)</f>
        <v>0</v>
      </c>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c r="AE896" s="49"/>
      <c r="AF896" s="49" t="str">
        <f>IFERROR(__xludf.DUMMYFUNCTION("""COMPUTED_VALUE"""),"++Half the SP/HP cost of spells when in the presence of a dragon +-Cannot be forged or duplicated")</f>
        <v>++Half the SP/HP cost of spells when in the presence of a dragon +-Cannot be forged or duplicated</v>
      </c>
      <c r="AG896" s="49" t="str">
        <f>IFERROR(__xludf.DUMMYFUNCTION("""COMPUTED_VALUE"""),"Dragonscale Island")</f>
        <v>Dragonscale Island</v>
      </c>
      <c r="AH896" s="49" t="b">
        <f>IFERROR(__xludf.DUMMYFUNCTION("""COMPUTED_VALUE"""),FALSE)</f>
        <v>0</v>
      </c>
    </row>
    <row r="897">
      <c r="A897" s="49"/>
      <c r="B897" s="49"/>
      <c r="C897" s="49"/>
      <c r="D897" s="49"/>
      <c r="E897" s="49">
        <f>IFERROR(__xludf.DUMMYFUNCTION("""COMPUTED_VALUE"""),1.0)</f>
        <v>1</v>
      </c>
      <c r="F897" s="112">
        <f>IFERROR(__xludf.DUMMYFUNCTION("""COMPUTED_VALUE"""),0.0)</f>
        <v>0</v>
      </c>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c r="AE897" s="49"/>
      <c r="AF897" s="49"/>
      <c r="AG897" s="49"/>
      <c r="AH897" s="49" t="b">
        <f>IFERROR(__xludf.DUMMYFUNCTION("""COMPUTED_VALUE"""),FALSE)</f>
        <v>0</v>
      </c>
    </row>
    <row r="898">
      <c r="A898" s="49"/>
      <c r="B898" s="49"/>
      <c r="C898" s="49"/>
      <c r="D898" s="49"/>
      <c r="E898" s="49">
        <f>IFERROR(__xludf.DUMMYFUNCTION("""COMPUTED_VALUE"""),1.0)</f>
        <v>1</v>
      </c>
      <c r="F898" s="112">
        <f>IFERROR(__xludf.DUMMYFUNCTION("""COMPUTED_VALUE"""),0.0)</f>
        <v>0</v>
      </c>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c r="AE898" s="49"/>
      <c r="AF898" s="49"/>
      <c r="AG898" s="49"/>
      <c r="AH898" s="49" t="b">
        <f>IFERROR(__xludf.DUMMYFUNCTION("""COMPUTED_VALUE"""),FALSE)</f>
        <v>0</v>
      </c>
    </row>
    <row r="899">
      <c r="A899" s="49"/>
      <c r="B899" s="49"/>
      <c r="C899" s="49"/>
      <c r="D899" s="49"/>
      <c r="E899" s="49">
        <f>IFERROR(__xludf.DUMMYFUNCTION("""COMPUTED_VALUE"""),1.0)</f>
        <v>1</v>
      </c>
      <c r="F899" s="112">
        <f>IFERROR(__xludf.DUMMYFUNCTION("""COMPUTED_VALUE"""),0.0)</f>
        <v>0</v>
      </c>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c r="AE899" s="49"/>
      <c r="AF899" s="49"/>
      <c r="AG899" s="49"/>
      <c r="AH899" s="49" t="b">
        <f>IFERROR(__xludf.DUMMYFUNCTION("""COMPUTED_VALUE"""),FALSE)</f>
        <v>0</v>
      </c>
    </row>
    <row r="900">
      <c r="A900" s="49"/>
      <c r="B900" s="49"/>
      <c r="C900" s="49"/>
      <c r="D900" s="49"/>
      <c r="E900" s="49">
        <f>IFERROR(__xludf.DUMMYFUNCTION("""COMPUTED_VALUE"""),1.0)</f>
        <v>1</v>
      </c>
      <c r="F900" s="112">
        <f>IFERROR(__xludf.DUMMYFUNCTION("""COMPUTED_VALUE"""),0.0)</f>
        <v>0</v>
      </c>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c r="AE900" s="49"/>
      <c r="AF900" s="49"/>
      <c r="AG900" s="49"/>
      <c r="AH900" s="49" t="b">
        <f>IFERROR(__xludf.DUMMYFUNCTION("""COMPUTED_VALUE"""),FALSE)</f>
        <v>0</v>
      </c>
    </row>
    <row r="901">
      <c r="A901" s="49"/>
      <c r="B901" s="49"/>
      <c r="C901" s="49"/>
      <c r="D901" s="49"/>
      <c r="E901" s="49">
        <f>IFERROR(__xludf.DUMMYFUNCTION("""COMPUTED_VALUE"""),1.0)</f>
        <v>1</v>
      </c>
      <c r="F901" s="112">
        <f>IFERROR(__xludf.DUMMYFUNCTION("""COMPUTED_VALUE"""),0.0)</f>
        <v>0</v>
      </c>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c r="AE901" s="49"/>
      <c r="AF901" s="49"/>
      <c r="AG901" s="49"/>
      <c r="AH901" s="49" t="b">
        <f>IFERROR(__xludf.DUMMYFUNCTION("""COMPUTED_VALUE"""),FALSE)</f>
        <v>0</v>
      </c>
    </row>
    <row r="902">
      <c r="A902" s="49"/>
      <c r="B902" s="49"/>
      <c r="C902" s="49"/>
      <c r="D902" s="49"/>
      <c r="E902" s="49">
        <f>IFERROR(__xludf.DUMMYFUNCTION("""COMPUTED_VALUE"""),1.0)</f>
        <v>1</v>
      </c>
      <c r="F902" s="112">
        <f>IFERROR(__xludf.DUMMYFUNCTION("""COMPUTED_VALUE"""),0.0)</f>
        <v>0</v>
      </c>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c r="AE902" s="49"/>
      <c r="AF902" s="49"/>
      <c r="AG902" s="49"/>
      <c r="AH902" s="49" t="b">
        <f>IFERROR(__xludf.DUMMYFUNCTION("""COMPUTED_VALUE"""),FALSE)</f>
        <v>0</v>
      </c>
    </row>
    <row r="903">
      <c r="A903" s="49"/>
      <c r="B903" s="49"/>
      <c r="C903" s="49"/>
      <c r="D903" s="49"/>
      <c r="E903" s="49">
        <f>IFERROR(__xludf.DUMMYFUNCTION("""COMPUTED_VALUE"""),1.0)</f>
        <v>1</v>
      </c>
      <c r="F903" s="112">
        <f>IFERROR(__xludf.DUMMYFUNCTION("""COMPUTED_VALUE"""),0.0)</f>
        <v>0</v>
      </c>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c r="AE903" s="49"/>
      <c r="AF903" s="49"/>
      <c r="AG903" s="49"/>
      <c r="AH903" s="49" t="b">
        <f>IFERROR(__xludf.DUMMYFUNCTION("""COMPUTED_VALUE"""),FALSE)</f>
        <v>0</v>
      </c>
    </row>
    <row r="904">
      <c r="A904" s="49"/>
      <c r="B904" s="49"/>
      <c r="C904" s="49"/>
      <c r="D904" s="49"/>
      <c r="E904" s="49">
        <f>IFERROR(__xludf.DUMMYFUNCTION("""COMPUTED_VALUE"""),1.0)</f>
        <v>1</v>
      </c>
      <c r="F904" s="112">
        <f>IFERROR(__xludf.DUMMYFUNCTION("""COMPUTED_VALUE"""),0.0)</f>
        <v>0</v>
      </c>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c r="AE904" s="49"/>
      <c r="AF904" s="49"/>
      <c r="AG904" s="49"/>
      <c r="AH904" s="49" t="b">
        <f>IFERROR(__xludf.DUMMYFUNCTION("""COMPUTED_VALUE"""),FALSE)</f>
        <v>0</v>
      </c>
    </row>
    <row r="905">
      <c r="A905" s="49"/>
      <c r="B905" s="49"/>
      <c r="C905" s="49"/>
      <c r="D905" s="49"/>
      <c r="E905" s="49">
        <f>IFERROR(__xludf.DUMMYFUNCTION("""COMPUTED_VALUE"""),1.0)</f>
        <v>1</v>
      </c>
      <c r="F905" s="112">
        <f>IFERROR(__xludf.DUMMYFUNCTION("""COMPUTED_VALUE"""),0.0)</f>
        <v>0</v>
      </c>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c r="AE905" s="49"/>
      <c r="AF905" s="49"/>
      <c r="AG905" s="49"/>
      <c r="AH905" s="49" t="b">
        <f>IFERROR(__xludf.DUMMYFUNCTION("""COMPUTED_VALUE"""),FALSE)</f>
        <v>0</v>
      </c>
    </row>
    <row r="906">
      <c r="A906" s="49"/>
      <c r="B906" s="49"/>
      <c r="C906" s="49"/>
      <c r="D906" s="49"/>
      <c r="E906" s="49">
        <f>IFERROR(__xludf.DUMMYFUNCTION("""COMPUTED_VALUE"""),1.0)</f>
        <v>1</v>
      </c>
      <c r="F906" s="112">
        <f>IFERROR(__xludf.DUMMYFUNCTION("""COMPUTED_VALUE"""),0.0)</f>
        <v>0</v>
      </c>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c r="AE906" s="49"/>
      <c r="AF906" s="49"/>
      <c r="AG906" s="49"/>
      <c r="AH906" s="49" t="b">
        <f>IFERROR(__xludf.DUMMYFUNCTION("""COMPUTED_VALUE"""),FALSE)</f>
        <v>0</v>
      </c>
    </row>
    <row r="907">
      <c r="A907" s="49"/>
      <c r="B907" s="49"/>
      <c r="C907" s="49"/>
      <c r="D907" s="49"/>
      <c r="E907" s="49">
        <f>IFERROR(__xludf.DUMMYFUNCTION("""COMPUTED_VALUE"""),1.0)</f>
        <v>1</v>
      </c>
      <c r="F907" s="112">
        <f>IFERROR(__xludf.DUMMYFUNCTION("""COMPUTED_VALUE"""),0.0)</f>
        <v>0</v>
      </c>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c r="AE907" s="49"/>
      <c r="AF907" s="49"/>
      <c r="AG907" s="49"/>
      <c r="AH907" s="49" t="b">
        <f>IFERROR(__xludf.DUMMYFUNCTION("""COMPUTED_VALUE"""),FALSE)</f>
        <v>0</v>
      </c>
    </row>
    <row r="908">
      <c r="A908" s="49"/>
      <c r="B908" s="49"/>
      <c r="C908" s="49"/>
      <c r="D908" s="49"/>
      <c r="E908" s="49">
        <f>IFERROR(__xludf.DUMMYFUNCTION("""COMPUTED_VALUE"""),1.0)</f>
        <v>1</v>
      </c>
      <c r="F908" s="112">
        <f>IFERROR(__xludf.DUMMYFUNCTION("""COMPUTED_VALUE"""),0.0)</f>
        <v>0</v>
      </c>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c r="AE908" s="49"/>
      <c r="AF908" s="49"/>
      <c r="AG908" s="49"/>
      <c r="AH908" s="49" t="b">
        <f>IFERROR(__xludf.DUMMYFUNCTION("""COMPUTED_VALUE"""),FALSE)</f>
        <v>0</v>
      </c>
    </row>
    <row r="909">
      <c r="A909" s="49"/>
      <c r="B909" s="49"/>
      <c r="C909" s="49"/>
      <c r="D909" s="49"/>
      <c r="E909" s="49">
        <f>IFERROR(__xludf.DUMMYFUNCTION("""COMPUTED_VALUE"""),1.0)</f>
        <v>1</v>
      </c>
      <c r="F909" s="112">
        <f>IFERROR(__xludf.DUMMYFUNCTION("""COMPUTED_VALUE"""),0.0)</f>
        <v>0</v>
      </c>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c r="AE909" s="49"/>
      <c r="AF909" s="49"/>
      <c r="AG909" s="49"/>
      <c r="AH909" s="49" t="b">
        <f>IFERROR(__xludf.DUMMYFUNCTION("""COMPUTED_VALUE"""),FALSE)</f>
        <v>0</v>
      </c>
    </row>
    <row r="910">
      <c r="A910" s="49"/>
      <c r="B910" s="49"/>
      <c r="C910" s="49"/>
      <c r="D910" s="49"/>
      <c r="E910" s="49">
        <f>IFERROR(__xludf.DUMMYFUNCTION("""COMPUTED_VALUE"""),1.0)</f>
        <v>1</v>
      </c>
      <c r="F910" s="112">
        <f>IFERROR(__xludf.DUMMYFUNCTION("""COMPUTED_VALUE"""),0.0)</f>
        <v>0</v>
      </c>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c r="AE910" s="49"/>
      <c r="AF910" s="49"/>
      <c r="AG910" s="49"/>
      <c r="AH910" s="49" t="b">
        <f>IFERROR(__xludf.DUMMYFUNCTION("""COMPUTED_VALUE"""),FALSE)</f>
        <v>0</v>
      </c>
    </row>
    <row r="911">
      <c r="A911" s="49"/>
      <c r="B911" s="49"/>
      <c r="C911" s="49"/>
      <c r="D911" s="49"/>
      <c r="E911" s="49">
        <f>IFERROR(__xludf.DUMMYFUNCTION("""COMPUTED_VALUE"""),1.0)</f>
        <v>1</v>
      </c>
      <c r="F911" s="112">
        <f>IFERROR(__xludf.DUMMYFUNCTION("""COMPUTED_VALUE"""),0.0)</f>
        <v>0</v>
      </c>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c r="AE911" s="49"/>
      <c r="AF911" s="49"/>
      <c r="AG911" s="49"/>
      <c r="AH911" s="49" t="b">
        <f>IFERROR(__xludf.DUMMYFUNCTION("""COMPUTED_VALUE"""),FALSE)</f>
        <v>0</v>
      </c>
    </row>
    <row r="912">
      <c r="A912" s="49"/>
      <c r="B912" s="49"/>
      <c r="C912" s="49"/>
      <c r="D912" s="49"/>
      <c r="E912" s="49">
        <f>IFERROR(__xludf.DUMMYFUNCTION("""COMPUTED_VALUE"""),1.0)</f>
        <v>1</v>
      </c>
      <c r="F912" s="112">
        <f>IFERROR(__xludf.DUMMYFUNCTION("""COMPUTED_VALUE"""),0.0)</f>
        <v>0</v>
      </c>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c r="AE912" s="49"/>
      <c r="AF912" s="49"/>
      <c r="AG912" s="49"/>
      <c r="AH912" s="49" t="b">
        <f>IFERROR(__xludf.DUMMYFUNCTION("""COMPUTED_VALUE"""),FALSE)</f>
        <v>0</v>
      </c>
    </row>
    <row r="913">
      <c r="A913" s="49"/>
      <c r="B913" s="49"/>
      <c r="C913" s="49"/>
      <c r="D913" s="49"/>
      <c r="E913" s="49">
        <f>IFERROR(__xludf.DUMMYFUNCTION("""COMPUTED_VALUE"""),1.0)</f>
        <v>1</v>
      </c>
      <c r="F913" s="112">
        <f>IFERROR(__xludf.DUMMYFUNCTION("""COMPUTED_VALUE"""),0.0)</f>
        <v>0</v>
      </c>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c r="AE913" s="49"/>
      <c r="AF913" s="49"/>
      <c r="AG913" s="49"/>
      <c r="AH913" s="49" t="b">
        <f>IFERROR(__xludf.DUMMYFUNCTION("""COMPUTED_VALUE"""),FALSE)</f>
        <v>0</v>
      </c>
    </row>
    <row r="914">
      <c r="A914" s="49"/>
      <c r="B914" s="49"/>
      <c r="C914" s="49"/>
      <c r="D914" s="49"/>
      <c r="E914" s="49">
        <f>IFERROR(__xludf.DUMMYFUNCTION("""COMPUTED_VALUE"""),1.0)</f>
        <v>1</v>
      </c>
      <c r="F914" s="112">
        <f>IFERROR(__xludf.DUMMYFUNCTION("""COMPUTED_VALUE"""),0.0)</f>
        <v>0</v>
      </c>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c r="AE914" s="49"/>
      <c r="AF914" s="49"/>
      <c r="AG914" s="49"/>
      <c r="AH914" s="49" t="b">
        <f>IFERROR(__xludf.DUMMYFUNCTION("""COMPUTED_VALUE"""),FALSE)</f>
        <v>0</v>
      </c>
    </row>
    <row r="915">
      <c r="A915" s="49"/>
      <c r="B915" s="49"/>
      <c r="C915" s="49"/>
      <c r="D915" s="49"/>
      <c r="E915" s="49">
        <f>IFERROR(__xludf.DUMMYFUNCTION("""COMPUTED_VALUE"""),1.0)</f>
        <v>1</v>
      </c>
      <c r="F915" s="112">
        <f>IFERROR(__xludf.DUMMYFUNCTION("""COMPUTED_VALUE"""),0.0)</f>
        <v>0</v>
      </c>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c r="AE915" s="49"/>
      <c r="AF915" s="49"/>
      <c r="AG915" s="49"/>
      <c r="AH915" s="49" t="b">
        <f>IFERROR(__xludf.DUMMYFUNCTION("""COMPUTED_VALUE"""),FALSE)</f>
        <v>0</v>
      </c>
    </row>
    <row r="916">
      <c r="A916" s="49"/>
      <c r="B916" s="49"/>
      <c r="C916" s="49"/>
      <c r="D916" s="49"/>
      <c r="E916" s="49">
        <f>IFERROR(__xludf.DUMMYFUNCTION("""COMPUTED_VALUE"""),1.0)</f>
        <v>1</v>
      </c>
      <c r="F916" s="112">
        <f>IFERROR(__xludf.DUMMYFUNCTION("""COMPUTED_VALUE"""),0.0)</f>
        <v>0</v>
      </c>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c r="AE916" s="49"/>
      <c r="AF916" s="49"/>
      <c r="AG916" s="49"/>
      <c r="AH916" s="49" t="b">
        <f>IFERROR(__xludf.DUMMYFUNCTION("""COMPUTED_VALUE"""),FALSE)</f>
        <v>0</v>
      </c>
    </row>
    <row r="917">
      <c r="A917" s="49"/>
      <c r="B917" s="49"/>
      <c r="C917" s="49"/>
      <c r="D917" s="49"/>
      <c r="E917" s="49">
        <f>IFERROR(__xludf.DUMMYFUNCTION("""COMPUTED_VALUE"""),1.0)</f>
        <v>1</v>
      </c>
      <c r="F917" s="112">
        <f>IFERROR(__xludf.DUMMYFUNCTION("""COMPUTED_VALUE"""),0.0)</f>
        <v>0</v>
      </c>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c r="AE917" s="49"/>
      <c r="AF917" s="49"/>
      <c r="AG917" s="49"/>
      <c r="AH917" s="49" t="b">
        <f>IFERROR(__xludf.DUMMYFUNCTION("""COMPUTED_VALUE"""),FALSE)</f>
        <v>0</v>
      </c>
    </row>
    <row r="918">
      <c r="A918" s="49"/>
      <c r="B918" s="49"/>
      <c r="C918" s="49"/>
      <c r="D918" s="49"/>
      <c r="E918" s="49">
        <f>IFERROR(__xludf.DUMMYFUNCTION("""COMPUTED_VALUE"""),1.0)</f>
        <v>1</v>
      </c>
      <c r="F918" s="112">
        <f>IFERROR(__xludf.DUMMYFUNCTION("""COMPUTED_VALUE"""),0.0)</f>
        <v>0</v>
      </c>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c r="AE918" s="49"/>
      <c r="AF918" s="49"/>
      <c r="AG918" s="49"/>
      <c r="AH918" s="49" t="b">
        <f>IFERROR(__xludf.DUMMYFUNCTION("""COMPUTED_VALUE"""),FALSE)</f>
        <v>0</v>
      </c>
    </row>
    <row r="919">
      <c r="A919" s="49"/>
      <c r="B919" s="49"/>
      <c r="C919" s="49"/>
      <c r="D919" s="49"/>
      <c r="E919" s="49">
        <f>IFERROR(__xludf.DUMMYFUNCTION("""COMPUTED_VALUE"""),1.0)</f>
        <v>1</v>
      </c>
      <c r="F919" s="112">
        <f>IFERROR(__xludf.DUMMYFUNCTION("""COMPUTED_VALUE"""),0.0)</f>
        <v>0</v>
      </c>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c r="AE919" s="49"/>
      <c r="AF919" s="49"/>
      <c r="AG919" s="49"/>
      <c r="AH919" s="49" t="b">
        <f>IFERROR(__xludf.DUMMYFUNCTION("""COMPUTED_VALUE"""),FALSE)</f>
        <v>0</v>
      </c>
    </row>
    <row r="920">
      <c r="A920" s="49"/>
      <c r="B920" s="49"/>
      <c r="C920" s="49"/>
      <c r="D920" s="49"/>
      <c r="E920" s="49">
        <f>IFERROR(__xludf.DUMMYFUNCTION("""COMPUTED_VALUE"""),1.0)</f>
        <v>1</v>
      </c>
      <c r="F920" s="112">
        <f>IFERROR(__xludf.DUMMYFUNCTION("""COMPUTED_VALUE"""),0.0)</f>
        <v>0</v>
      </c>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c r="AE920" s="49"/>
      <c r="AF920" s="49"/>
      <c r="AG920" s="49"/>
      <c r="AH920" s="49" t="b">
        <f>IFERROR(__xludf.DUMMYFUNCTION("""COMPUTED_VALUE"""),FALSE)</f>
        <v>0</v>
      </c>
    </row>
    <row r="921">
      <c r="A921" s="49"/>
      <c r="B921" s="49"/>
      <c r="C921" s="49"/>
      <c r="D921" s="49"/>
      <c r="E921" s="49">
        <f>IFERROR(__xludf.DUMMYFUNCTION("""COMPUTED_VALUE"""),1.0)</f>
        <v>1</v>
      </c>
      <c r="F921" s="112">
        <f>IFERROR(__xludf.DUMMYFUNCTION("""COMPUTED_VALUE"""),0.0)</f>
        <v>0</v>
      </c>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c r="AE921" s="49"/>
      <c r="AF921" s="49"/>
      <c r="AG921" s="49"/>
      <c r="AH921" s="49" t="b">
        <f>IFERROR(__xludf.DUMMYFUNCTION("""COMPUTED_VALUE"""),FALSE)</f>
        <v>0</v>
      </c>
    </row>
    <row r="922">
      <c r="A922" s="49"/>
      <c r="B922" s="49"/>
      <c r="C922" s="49"/>
      <c r="D922" s="49"/>
      <c r="E922" s="49">
        <f>IFERROR(__xludf.DUMMYFUNCTION("""COMPUTED_VALUE"""),1.0)</f>
        <v>1</v>
      </c>
      <c r="F922" s="112">
        <f>IFERROR(__xludf.DUMMYFUNCTION("""COMPUTED_VALUE"""),0.0)</f>
        <v>0</v>
      </c>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c r="AE922" s="49"/>
      <c r="AF922" s="49"/>
      <c r="AG922" s="49"/>
      <c r="AH922" s="49" t="b">
        <f>IFERROR(__xludf.DUMMYFUNCTION("""COMPUTED_VALUE"""),FALSE)</f>
        <v>0</v>
      </c>
    </row>
    <row r="923">
      <c r="A923" s="49"/>
      <c r="B923" s="49"/>
      <c r="C923" s="49"/>
      <c r="D923" s="49"/>
      <c r="E923" s="49">
        <f>IFERROR(__xludf.DUMMYFUNCTION("""COMPUTED_VALUE"""),1.0)</f>
        <v>1</v>
      </c>
      <c r="F923" s="112">
        <f>IFERROR(__xludf.DUMMYFUNCTION("""COMPUTED_VALUE"""),0.0)</f>
        <v>0</v>
      </c>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c r="AE923" s="49"/>
      <c r="AF923" s="49"/>
      <c r="AG923" s="49"/>
      <c r="AH923" s="49" t="b">
        <f>IFERROR(__xludf.DUMMYFUNCTION("""COMPUTED_VALUE"""),FALSE)</f>
        <v>0</v>
      </c>
    </row>
    <row r="924">
      <c r="A924" s="49"/>
      <c r="B924" s="49"/>
      <c r="C924" s="49"/>
      <c r="D924" s="49"/>
      <c r="E924" s="49">
        <f>IFERROR(__xludf.DUMMYFUNCTION("""COMPUTED_VALUE"""),1.0)</f>
        <v>1</v>
      </c>
      <c r="F924" s="112">
        <f>IFERROR(__xludf.DUMMYFUNCTION("""COMPUTED_VALUE"""),0.0)</f>
        <v>0</v>
      </c>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c r="AE924" s="49"/>
      <c r="AF924" s="49"/>
      <c r="AG924" s="49"/>
      <c r="AH924" s="49" t="b">
        <f>IFERROR(__xludf.DUMMYFUNCTION("""COMPUTED_VALUE"""),FALSE)</f>
        <v>0</v>
      </c>
    </row>
    <row r="925">
      <c r="A925" s="49"/>
      <c r="B925" s="49"/>
      <c r="C925" s="49"/>
      <c r="D925" s="49"/>
      <c r="E925" s="49">
        <f>IFERROR(__xludf.DUMMYFUNCTION("""COMPUTED_VALUE"""),1.0)</f>
        <v>1</v>
      </c>
      <c r="F925" s="112">
        <f>IFERROR(__xludf.DUMMYFUNCTION("""COMPUTED_VALUE"""),0.0)</f>
        <v>0</v>
      </c>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c r="AE925" s="49"/>
      <c r="AF925" s="49"/>
      <c r="AG925" s="49"/>
      <c r="AH925" s="49" t="b">
        <f>IFERROR(__xludf.DUMMYFUNCTION("""COMPUTED_VALUE"""),FALSE)</f>
        <v>0</v>
      </c>
    </row>
    <row r="926">
      <c r="A926" s="49"/>
      <c r="B926" s="49"/>
      <c r="C926" s="49"/>
      <c r="D926" s="49"/>
      <c r="E926" s="49">
        <f>IFERROR(__xludf.DUMMYFUNCTION("""COMPUTED_VALUE"""),1.0)</f>
        <v>1</v>
      </c>
      <c r="F926" s="112">
        <f>IFERROR(__xludf.DUMMYFUNCTION("""COMPUTED_VALUE"""),0.0)</f>
        <v>0</v>
      </c>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c r="AE926" s="49"/>
      <c r="AF926" s="49"/>
      <c r="AG926" s="49"/>
      <c r="AH926" s="49" t="b">
        <f>IFERROR(__xludf.DUMMYFUNCTION("""COMPUTED_VALUE"""),FALSE)</f>
        <v>0</v>
      </c>
    </row>
    <row r="927">
      <c r="A927" s="49"/>
      <c r="B927" s="49"/>
      <c r="C927" s="49"/>
      <c r="D927" s="49"/>
      <c r="E927" s="49">
        <f>IFERROR(__xludf.DUMMYFUNCTION("""COMPUTED_VALUE"""),1.0)</f>
        <v>1</v>
      </c>
      <c r="F927" s="112">
        <f>IFERROR(__xludf.DUMMYFUNCTION("""COMPUTED_VALUE"""),0.0)</f>
        <v>0</v>
      </c>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c r="AE927" s="49"/>
      <c r="AF927" s="49"/>
      <c r="AG927" s="49"/>
      <c r="AH927" s="49" t="b">
        <f>IFERROR(__xludf.DUMMYFUNCTION("""COMPUTED_VALUE"""),FALSE)</f>
        <v>0</v>
      </c>
    </row>
    <row r="928">
      <c r="A928" s="49"/>
      <c r="B928" s="49"/>
      <c r="C928" s="49"/>
      <c r="D928" s="49"/>
      <c r="E928" s="49">
        <f>IFERROR(__xludf.DUMMYFUNCTION("""COMPUTED_VALUE"""),1.0)</f>
        <v>1</v>
      </c>
      <c r="F928" s="112">
        <f>IFERROR(__xludf.DUMMYFUNCTION("""COMPUTED_VALUE"""),0.0)</f>
        <v>0</v>
      </c>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c r="AE928" s="49"/>
      <c r="AF928" s="49"/>
      <c r="AG928" s="49"/>
      <c r="AH928" s="49" t="b">
        <f>IFERROR(__xludf.DUMMYFUNCTION("""COMPUTED_VALUE"""),FALSE)</f>
        <v>0</v>
      </c>
    </row>
    <row r="929">
      <c r="A929" s="49"/>
      <c r="B929" s="49"/>
      <c r="C929" s="49"/>
      <c r="D929" s="49"/>
      <c r="E929" s="49">
        <f>IFERROR(__xludf.DUMMYFUNCTION("""COMPUTED_VALUE"""),1.0)</f>
        <v>1</v>
      </c>
      <c r="F929" s="112">
        <f>IFERROR(__xludf.DUMMYFUNCTION("""COMPUTED_VALUE"""),0.0)</f>
        <v>0</v>
      </c>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c r="AE929" s="49"/>
      <c r="AF929" s="49"/>
      <c r="AG929" s="49"/>
      <c r="AH929" s="49" t="b">
        <f>IFERROR(__xludf.DUMMYFUNCTION("""COMPUTED_VALUE"""),FALSE)</f>
        <v>0</v>
      </c>
    </row>
    <row r="930">
      <c r="A930" s="49"/>
      <c r="B930" s="49"/>
      <c r="C930" s="49"/>
      <c r="D930" s="49"/>
      <c r="E930" s="49">
        <f>IFERROR(__xludf.DUMMYFUNCTION("""COMPUTED_VALUE"""),1.0)</f>
        <v>1</v>
      </c>
      <c r="F930" s="112">
        <f>IFERROR(__xludf.DUMMYFUNCTION("""COMPUTED_VALUE"""),0.0)</f>
        <v>0</v>
      </c>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c r="AE930" s="49"/>
      <c r="AF930" s="49"/>
      <c r="AG930" s="49"/>
      <c r="AH930" s="49" t="b">
        <f>IFERROR(__xludf.DUMMYFUNCTION("""COMPUTED_VALUE"""),FALSE)</f>
        <v>0</v>
      </c>
    </row>
    <row r="931">
      <c r="A931" s="49"/>
      <c r="B931" s="49"/>
      <c r="C931" s="49"/>
      <c r="D931" s="49"/>
      <c r="E931" s="49">
        <f>IFERROR(__xludf.DUMMYFUNCTION("""COMPUTED_VALUE"""),1.0)</f>
        <v>1</v>
      </c>
      <c r="F931" s="112">
        <f>IFERROR(__xludf.DUMMYFUNCTION("""COMPUTED_VALUE"""),0.0)</f>
        <v>0</v>
      </c>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c r="AE931" s="49"/>
      <c r="AF931" s="49"/>
      <c r="AG931" s="49"/>
      <c r="AH931" s="49" t="b">
        <f>IFERROR(__xludf.DUMMYFUNCTION("""COMPUTED_VALUE"""),FALSE)</f>
        <v>0</v>
      </c>
    </row>
    <row r="932">
      <c r="A932" s="49"/>
      <c r="B932" s="49"/>
      <c r="C932" s="49"/>
      <c r="D932" s="49"/>
      <c r="E932" s="49">
        <f>IFERROR(__xludf.DUMMYFUNCTION("""COMPUTED_VALUE"""),1.0)</f>
        <v>1</v>
      </c>
      <c r="F932" s="112">
        <f>IFERROR(__xludf.DUMMYFUNCTION("""COMPUTED_VALUE"""),0.0)</f>
        <v>0</v>
      </c>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c r="AE932" s="49"/>
      <c r="AF932" s="49"/>
      <c r="AG932" s="49"/>
      <c r="AH932" s="49" t="b">
        <f>IFERROR(__xludf.DUMMYFUNCTION("""COMPUTED_VALUE"""),FALSE)</f>
        <v>0</v>
      </c>
    </row>
    <row r="933">
      <c r="A933" s="49"/>
      <c r="B933" s="49"/>
      <c r="C933" s="49"/>
      <c r="D933" s="49"/>
      <c r="E933" s="49">
        <f>IFERROR(__xludf.DUMMYFUNCTION("""COMPUTED_VALUE"""),1.0)</f>
        <v>1</v>
      </c>
      <c r="F933" s="112">
        <f>IFERROR(__xludf.DUMMYFUNCTION("""COMPUTED_VALUE"""),0.0)</f>
        <v>0</v>
      </c>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c r="AE933" s="49"/>
      <c r="AF933" s="49"/>
      <c r="AG933" s="49"/>
      <c r="AH933" s="49" t="b">
        <f>IFERROR(__xludf.DUMMYFUNCTION("""COMPUTED_VALUE"""),FALSE)</f>
        <v>0</v>
      </c>
    </row>
    <row r="934">
      <c r="A934" s="49"/>
      <c r="B934" s="49"/>
      <c r="C934" s="49"/>
      <c r="D934" s="49"/>
      <c r="E934" s="49">
        <f>IFERROR(__xludf.DUMMYFUNCTION("""COMPUTED_VALUE"""),1.0)</f>
        <v>1</v>
      </c>
      <c r="F934" s="112">
        <f>IFERROR(__xludf.DUMMYFUNCTION("""COMPUTED_VALUE"""),0.0)</f>
        <v>0</v>
      </c>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c r="AE934" s="49"/>
      <c r="AF934" s="49"/>
      <c r="AG934" s="49"/>
      <c r="AH934" s="49" t="b">
        <f>IFERROR(__xludf.DUMMYFUNCTION("""COMPUTED_VALUE"""),FALSE)</f>
        <v>0</v>
      </c>
    </row>
    <row r="935">
      <c r="A935" s="49"/>
      <c r="B935" s="49"/>
      <c r="C935" s="49"/>
      <c r="D935" s="49"/>
      <c r="E935" s="49">
        <f>IFERROR(__xludf.DUMMYFUNCTION("""COMPUTED_VALUE"""),1.0)</f>
        <v>1</v>
      </c>
      <c r="F935" s="112">
        <f>IFERROR(__xludf.DUMMYFUNCTION("""COMPUTED_VALUE"""),0.0)</f>
        <v>0</v>
      </c>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c r="AE935" s="49"/>
      <c r="AF935" s="49"/>
      <c r="AG935" s="49"/>
      <c r="AH935" s="49" t="b">
        <f>IFERROR(__xludf.DUMMYFUNCTION("""COMPUTED_VALUE"""),FALSE)</f>
        <v>0</v>
      </c>
    </row>
    <row r="936">
      <c r="A936" s="49"/>
      <c r="B936" s="49"/>
      <c r="C936" s="49"/>
      <c r="D936" s="49"/>
      <c r="E936" s="49">
        <f>IFERROR(__xludf.DUMMYFUNCTION("""COMPUTED_VALUE"""),1.0)</f>
        <v>1</v>
      </c>
      <c r="F936" s="112">
        <f>IFERROR(__xludf.DUMMYFUNCTION("""COMPUTED_VALUE"""),0.0)</f>
        <v>0</v>
      </c>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c r="AE936" s="49"/>
      <c r="AF936" s="49"/>
      <c r="AG936" s="49"/>
      <c r="AH936" s="49" t="b">
        <f>IFERROR(__xludf.DUMMYFUNCTION("""COMPUTED_VALUE"""),FALSE)</f>
        <v>0</v>
      </c>
    </row>
    <row r="937">
      <c r="A937" s="49"/>
      <c r="B937" s="49"/>
      <c r="C937" s="49"/>
      <c r="D937" s="49"/>
      <c r="E937" s="49">
        <f>IFERROR(__xludf.DUMMYFUNCTION("""COMPUTED_VALUE"""),1.0)</f>
        <v>1</v>
      </c>
      <c r="F937" s="112">
        <f>IFERROR(__xludf.DUMMYFUNCTION("""COMPUTED_VALUE"""),0.0)</f>
        <v>0</v>
      </c>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c r="AE937" s="49"/>
      <c r="AF937" s="49"/>
      <c r="AG937" s="49"/>
      <c r="AH937" s="49" t="b">
        <f>IFERROR(__xludf.DUMMYFUNCTION("""COMPUTED_VALUE"""),FALSE)</f>
        <v>0</v>
      </c>
    </row>
    <row r="938">
      <c r="A938" s="49"/>
      <c r="B938" s="49"/>
      <c r="C938" s="49"/>
      <c r="D938" s="49"/>
      <c r="E938" s="49">
        <f>IFERROR(__xludf.DUMMYFUNCTION("""COMPUTED_VALUE"""),1.0)</f>
        <v>1</v>
      </c>
      <c r="F938" s="112">
        <f>IFERROR(__xludf.DUMMYFUNCTION("""COMPUTED_VALUE"""),0.0)</f>
        <v>0</v>
      </c>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c r="AE938" s="49"/>
      <c r="AF938" s="49"/>
      <c r="AG938" s="49"/>
      <c r="AH938" s="49" t="b">
        <f>IFERROR(__xludf.DUMMYFUNCTION("""COMPUTED_VALUE"""),FALSE)</f>
        <v>0</v>
      </c>
    </row>
    <row r="939">
      <c r="A939" s="49"/>
      <c r="B939" s="49"/>
      <c r="C939" s="49"/>
      <c r="D939" s="49"/>
      <c r="E939" s="49">
        <f>IFERROR(__xludf.DUMMYFUNCTION("""COMPUTED_VALUE"""),1.0)</f>
        <v>1</v>
      </c>
      <c r="F939" s="112">
        <f>IFERROR(__xludf.DUMMYFUNCTION("""COMPUTED_VALUE"""),0.0)</f>
        <v>0</v>
      </c>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c r="AE939" s="49"/>
      <c r="AF939" s="49"/>
      <c r="AG939" s="49"/>
      <c r="AH939" s="49" t="b">
        <f>IFERROR(__xludf.DUMMYFUNCTION("""COMPUTED_VALUE"""),FALSE)</f>
        <v>0</v>
      </c>
    </row>
    <row r="940">
      <c r="A940" s="49"/>
      <c r="B940" s="49"/>
      <c r="C940" s="49"/>
      <c r="D940" s="49"/>
      <c r="E940" s="49">
        <f>IFERROR(__xludf.DUMMYFUNCTION("""COMPUTED_VALUE"""),1.0)</f>
        <v>1</v>
      </c>
      <c r="F940" s="112">
        <f>IFERROR(__xludf.DUMMYFUNCTION("""COMPUTED_VALUE"""),0.0)</f>
        <v>0</v>
      </c>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c r="AE940" s="49"/>
      <c r="AF940" s="49"/>
      <c r="AG940" s="49"/>
      <c r="AH940" s="49" t="b">
        <f>IFERROR(__xludf.DUMMYFUNCTION("""COMPUTED_VALUE"""),FALSE)</f>
        <v>0</v>
      </c>
    </row>
    <row r="941">
      <c r="A941" s="49"/>
      <c r="B941" s="49"/>
      <c r="C941" s="49"/>
      <c r="D941" s="49"/>
      <c r="E941" s="49">
        <f>IFERROR(__xludf.DUMMYFUNCTION("""COMPUTED_VALUE"""),1.0)</f>
        <v>1</v>
      </c>
      <c r="F941" s="112">
        <f>IFERROR(__xludf.DUMMYFUNCTION("""COMPUTED_VALUE"""),0.0)</f>
        <v>0</v>
      </c>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c r="AE941" s="49"/>
      <c r="AF941" s="49"/>
      <c r="AG941" s="49"/>
      <c r="AH941" s="49" t="b">
        <f>IFERROR(__xludf.DUMMYFUNCTION("""COMPUTED_VALUE"""),FALSE)</f>
        <v>0</v>
      </c>
    </row>
    <row r="942">
      <c r="A942" s="49"/>
      <c r="B942" s="49"/>
      <c r="C942" s="49"/>
      <c r="D942" s="49"/>
      <c r="E942" s="49">
        <f>IFERROR(__xludf.DUMMYFUNCTION("""COMPUTED_VALUE"""),1.0)</f>
        <v>1</v>
      </c>
      <c r="F942" s="112">
        <f>IFERROR(__xludf.DUMMYFUNCTION("""COMPUTED_VALUE"""),0.0)</f>
        <v>0</v>
      </c>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c r="AE942" s="49"/>
      <c r="AF942" s="49"/>
      <c r="AG942" s="49"/>
      <c r="AH942" s="49" t="b">
        <f>IFERROR(__xludf.DUMMYFUNCTION("""COMPUTED_VALUE"""),FALSE)</f>
        <v>0</v>
      </c>
    </row>
    <row r="943">
      <c r="A943" s="49"/>
      <c r="B943" s="49"/>
      <c r="C943" s="49"/>
      <c r="D943" s="49"/>
      <c r="E943" s="49">
        <f>IFERROR(__xludf.DUMMYFUNCTION("""COMPUTED_VALUE"""),1.0)</f>
        <v>1</v>
      </c>
      <c r="F943" s="112">
        <f>IFERROR(__xludf.DUMMYFUNCTION("""COMPUTED_VALUE"""),0.0)</f>
        <v>0</v>
      </c>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c r="AE943" s="49"/>
      <c r="AF943" s="49"/>
      <c r="AG943" s="49"/>
      <c r="AH943" s="49" t="b">
        <f>IFERROR(__xludf.DUMMYFUNCTION("""COMPUTED_VALUE"""),FALSE)</f>
        <v>0</v>
      </c>
    </row>
    <row r="944">
      <c r="A944" s="49"/>
      <c r="B944" s="49"/>
      <c r="C944" s="49"/>
      <c r="D944" s="49"/>
      <c r="E944" s="49">
        <f>IFERROR(__xludf.DUMMYFUNCTION("""COMPUTED_VALUE"""),1.0)</f>
        <v>1</v>
      </c>
      <c r="F944" s="112">
        <f>IFERROR(__xludf.DUMMYFUNCTION("""COMPUTED_VALUE"""),0.0)</f>
        <v>0</v>
      </c>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c r="AE944" s="49"/>
      <c r="AF944" s="49"/>
      <c r="AG944" s="49"/>
      <c r="AH944" s="49" t="b">
        <f>IFERROR(__xludf.DUMMYFUNCTION("""COMPUTED_VALUE"""),FALSE)</f>
        <v>0</v>
      </c>
    </row>
    <row r="945">
      <c r="A945" s="49"/>
      <c r="B945" s="49"/>
      <c r="C945" s="49"/>
      <c r="D945" s="49"/>
      <c r="E945" s="49">
        <f>IFERROR(__xludf.DUMMYFUNCTION("""COMPUTED_VALUE"""),1.0)</f>
        <v>1</v>
      </c>
      <c r="F945" s="112">
        <f>IFERROR(__xludf.DUMMYFUNCTION("""COMPUTED_VALUE"""),0.0)</f>
        <v>0</v>
      </c>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c r="AE945" s="49"/>
      <c r="AF945" s="49"/>
      <c r="AG945" s="49"/>
      <c r="AH945" s="49" t="b">
        <f>IFERROR(__xludf.DUMMYFUNCTION("""COMPUTED_VALUE"""),FALSE)</f>
        <v>0</v>
      </c>
    </row>
    <row r="946">
      <c r="A946" s="49"/>
      <c r="B946" s="49"/>
      <c r="C946" s="49"/>
      <c r="D946" s="49"/>
      <c r="E946" s="49">
        <f>IFERROR(__xludf.DUMMYFUNCTION("""COMPUTED_VALUE"""),1.0)</f>
        <v>1</v>
      </c>
      <c r="F946" s="112">
        <f>IFERROR(__xludf.DUMMYFUNCTION("""COMPUTED_VALUE"""),0.0)</f>
        <v>0</v>
      </c>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c r="AE946" s="49"/>
      <c r="AF946" s="49"/>
      <c r="AG946" s="49"/>
      <c r="AH946" s="49" t="b">
        <f>IFERROR(__xludf.DUMMYFUNCTION("""COMPUTED_VALUE"""),FALSE)</f>
        <v>0</v>
      </c>
    </row>
    <row r="947">
      <c r="A947" s="49"/>
      <c r="B947" s="49"/>
      <c r="C947" s="49"/>
      <c r="D947" s="49"/>
      <c r="E947" s="49">
        <f>IFERROR(__xludf.DUMMYFUNCTION("""COMPUTED_VALUE"""),1.0)</f>
        <v>1</v>
      </c>
      <c r="F947" s="112">
        <f>IFERROR(__xludf.DUMMYFUNCTION("""COMPUTED_VALUE"""),0.0)</f>
        <v>0</v>
      </c>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c r="AE947" s="49"/>
      <c r="AF947" s="49"/>
      <c r="AG947" s="49"/>
      <c r="AH947" s="49" t="b">
        <f>IFERROR(__xludf.DUMMYFUNCTION("""COMPUTED_VALUE"""),FALSE)</f>
        <v>0</v>
      </c>
    </row>
    <row r="948">
      <c r="A948" s="49"/>
      <c r="B948" s="49"/>
      <c r="C948" s="49"/>
      <c r="D948" s="49"/>
      <c r="E948" s="49">
        <f>IFERROR(__xludf.DUMMYFUNCTION("""COMPUTED_VALUE"""),1.0)</f>
        <v>1</v>
      </c>
      <c r="F948" s="112">
        <f>IFERROR(__xludf.DUMMYFUNCTION("""COMPUTED_VALUE"""),0.0)</f>
        <v>0</v>
      </c>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c r="AE948" s="49"/>
      <c r="AF948" s="49"/>
      <c r="AG948" s="49"/>
      <c r="AH948" s="49" t="b">
        <f>IFERROR(__xludf.DUMMYFUNCTION("""COMPUTED_VALUE"""),FALSE)</f>
        <v>0</v>
      </c>
    </row>
    <row r="949">
      <c r="A949" s="49"/>
      <c r="B949" s="49"/>
      <c r="C949" s="49"/>
      <c r="D949" s="49"/>
      <c r="E949" s="49">
        <f>IFERROR(__xludf.DUMMYFUNCTION("""COMPUTED_VALUE"""),1.0)</f>
        <v>1</v>
      </c>
      <c r="F949" s="112">
        <f>IFERROR(__xludf.DUMMYFUNCTION("""COMPUTED_VALUE"""),0.0)</f>
        <v>0</v>
      </c>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c r="AE949" s="49"/>
      <c r="AF949" s="49"/>
      <c r="AG949" s="49"/>
      <c r="AH949" s="49" t="b">
        <f>IFERROR(__xludf.DUMMYFUNCTION("""COMPUTED_VALUE"""),FALSE)</f>
        <v>0</v>
      </c>
    </row>
    <row r="950">
      <c r="A950" s="49"/>
      <c r="B950" s="49"/>
      <c r="C950" s="49"/>
      <c r="D950" s="49"/>
      <c r="E950" s="49">
        <f>IFERROR(__xludf.DUMMYFUNCTION("""COMPUTED_VALUE"""),1.0)</f>
        <v>1</v>
      </c>
      <c r="F950" s="112">
        <f>IFERROR(__xludf.DUMMYFUNCTION("""COMPUTED_VALUE"""),0.0)</f>
        <v>0</v>
      </c>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c r="AE950" s="49"/>
      <c r="AF950" s="49"/>
      <c r="AG950" s="49"/>
      <c r="AH950" s="49" t="b">
        <f>IFERROR(__xludf.DUMMYFUNCTION("""COMPUTED_VALUE"""),FALSE)</f>
        <v>0</v>
      </c>
    </row>
    <row r="951">
      <c r="A951" s="49"/>
      <c r="B951" s="49"/>
      <c r="C951" s="49"/>
      <c r="D951" s="49"/>
      <c r="E951" s="49">
        <f>IFERROR(__xludf.DUMMYFUNCTION("""COMPUTED_VALUE"""),1.0)</f>
        <v>1</v>
      </c>
      <c r="F951" s="112">
        <f>IFERROR(__xludf.DUMMYFUNCTION("""COMPUTED_VALUE"""),0.0)</f>
        <v>0</v>
      </c>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c r="AE951" s="49"/>
      <c r="AF951" s="49"/>
      <c r="AG951" s="49"/>
      <c r="AH951" s="49" t="b">
        <f>IFERROR(__xludf.DUMMYFUNCTION("""COMPUTED_VALUE"""),FALSE)</f>
        <v>0</v>
      </c>
    </row>
    <row r="952">
      <c r="A952" s="49"/>
      <c r="B952" s="49"/>
      <c r="C952" s="49"/>
      <c r="D952" s="49"/>
      <c r="E952" s="49">
        <f>IFERROR(__xludf.DUMMYFUNCTION("""COMPUTED_VALUE"""),1.0)</f>
        <v>1</v>
      </c>
      <c r="F952" s="112">
        <f>IFERROR(__xludf.DUMMYFUNCTION("""COMPUTED_VALUE"""),0.0)</f>
        <v>0</v>
      </c>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c r="AE952" s="49"/>
      <c r="AF952" s="49"/>
      <c r="AG952" s="49"/>
      <c r="AH952" s="49" t="b">
        <f>IFERROR(__xludf.DUMMYFUNCTION("""COMPUTED_VALUE"""),FALSE)</f>
        <v>0</v>
      </c>
    </row>
    <row r="953">
      <c r="A953" s="49"/>
      <c r="B953" s="49"/>
      <c r="C953" s="49"/>
      <c r="D953" s="49"/>
      <c r="E953" s="49">
        <f>IFERROR(__xludf.DUMMYFUNCTION("""COMPUTED_VALUE"""),1.0)</f>
        <v>1</v>
      </c>
      <c r="F953" s="112">
        <f>IFERROR(__xludf.DUMMYFUNCTION("""COMPUTED_VALUE"""),0.0)</f>
        <v>0</v>
      </c>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c r="AE953" s="49"/>
      <c r="AF953" s="49"/>
      <c r="AG953" s="49"/>
      <c r="AH953" s="49" t="b">
        <f>IFERROR(__xludf.DUMMYFUNCTION("""COMPUTED_VALUE"""),FALSE)</f>
        <v>0</v>
      </c>
    </row>
    <row r="954">
      <c r="A954" s="49"/>
      <c r="B954" s="49"/>
      <c r="C954" s="49"/>
      <c r="D954" s="49"/>
      <c r="E954" s="49">
        <f>IFERROR(__xludf.DUMMYFUNCTION("""COMPUTED_VALUE"""),1.0)</f>
        <v>1</v>
      </c>
      <c r="F954" s="112">
        <f>IFERROR(__xludf.DUMMYFUNCTION("""COMPUTED_VALUE"""),0.0)</f>
        <v>0</v>
      </c>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c r="AE954" s="49"/>
      <c r="AF954" s="49"/>
      <c r="AG954" s="49"/>
      <c r="AH954" s="49" t="b">
        <f>IFERROR(__xludf.DUMMYFUNCTION("""COMPUTED_VALUE"""),FALSE)</f>
        <v>0</v>
      </c>
    </row>
    <row r="955">
      <c r="A955" s="49"/>
      <c r="B955" s="49"/>
      <c r="C955" s="49"/>
      <c r="D955" s="49"/>
      <c r="E955" s="49">
        <f>IFERROR(__xludf.DUMMYFUNCTION("""COMPUTED_VALUE"""),1.0)</f>
        <v>1</v>
      </c>
      <c r="F955" s="112">
        <f>IFERROR(__xludf.DUMMYFUNCTION("""COMPUTED_VALUE"""),0.0)</f>
        <v>0</v>
      </c>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c r="AE955" s="49"/>
      <c r="AF955" s="49"/>
      <c r="AG955" s="49"/>
      <c r="AH955" s="49" t="b">
        <f>IFERROR(__xludf.DUMMYFUNCTION("""COMPUTED_VALUE"""),FALSE)</f>
        <v>0</v>
      </c>
    </row>
    <row r="956">
      <c r="A956" s="49"/>
      <c r="B956" s="49"/>
      <c r="C956" s="49"/>
      <c r="D956" s="49"/>
      <c r="E956" s="49">
        <f>IFERROR(__xludf.DUMMYFUNCTION("""COMPUTED_VALUE"""),1.0)</f>
        <v>1</v>
      </c>
      <c r="F956" s="112">
        <f>IFERROR(__xludf.DUMMYFUNCTION("""COMPUTED_VALUE"""),0.0)</f>
        <v>0</v>
      </c>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c r="AE956" s="49"/>
      <c r="AF956" s="49"/>
      <c r="AG956" s="49"/>
      <c r="AH956" s="49" t="b">
        <f>IFERROR(__xludf.DUMMYFUNCTION("""COMPUTED_VALUE"""),FALSE)</f>
        <v>0</v>
      </c>
    </row>
    <row r="957">
      <c r="A957" s="49"/>
      <c r="B957" s="49"/>
      <c r="C957" s="49"/>
      <c r="D957" s="49"/>
      <c r="E957" s="49">
        <f>IFERROR(__xludf.DUMMYFUNCTION("""COMPUTED_VALUE"""),1.0)</f>
        <v>1</v>
      </c>
      <c r="F957" s="112">
        <f>IFERROR(__xludf.DUMMYFUNCTION("""COMPUTED_VALUE"""),0.0)</f>
        <v>0</v>
      </c>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c r="AE957" s="49"/>
      <c r="AF957" s="49"/>
      <c r="AG957" s="49"/>
      <c r="AH957" s="49" t="b">
        <f>IFERROR(__xludf.DUMMYFUNCTION("""COMPUTED_VALUE"""),FALSE)</f>
        <v>0</v>
      </c>
    </row>
    <row r="958">
      <c r="A958" s="49"/>
      <c r="B958" s="49"/>
      <c r="C958" s="49"/>
      <c r="D958" s="49"/>
      <c r="E958" s="49">
        <f>IFERROR(__xludf.DUMMYFUNCTION("""COMPUTED_VALUE"""),1.0)</f>
        <v>1</v>
      </c>
      <c r="F958" s="112">
        <f>IFERROR(__xludf.DUMMYFUNCTION("""COMPUTED_VALUE"""),0.0)</f>
        <v>0</v>
      </c>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c r="AE958" s="49"/>
      <c r="AF958" s="49"/>
      <c r="AG958" s="49"/>
      <c r="AH958" s="49" t="b">
        <f>IFERROR(__xludf.DUMMYFUNCTION("""COMPUTED_VALUE"""),FALSE)</f>
        <v>0</v>
      </c>
    </row>
    <row r="959">
      <c r="A959" s="49"/>
      <c r="B959" s="49"/>
      <c r="C959" s="49"/>
      <c r="D959" s="49"/>
      <c r="E959" s="49">
        <f>IFERROR(__xludf.DUMMYFUNCTION("""COMPUTED_VALUE"""),1.0)</f>
        <v>1</v>
      </c>
      <c r="F959" s="112">
        <f>IFERROR(__xludf.DUMMYFUNCTION("""COMPUTED_VALUE"""),0.0)</f>
        <v>0</v>
      </c>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c r="AE959" s="49"/>
      <c r="AF959" s="49"/>
      <c r="AG959" s="49"/>
      <c r="AH959" s="49" t="b">
        <f>IFERROR(__xludf.DUMMYFUNCTION("""COMPUTED_VALUE"""),FALSE)</f>
        <v>0</v>
      </c>
    </row>
    <row r="960">
      <c r="A960" s="49"/>
      <c r="B960" s="49"/>
      <c r="C960" s="49"/>
      <c r="D960" s="49"/>
      <c r="E960" s="49">
        <f>IFERROR(__xludf.DUMMYFUNCTION("""COMPUTED_VALUE"""),1.0)</f>
        <v>1</v>
      </c>
      <c r="F960" s="112">
        <f>IFERROR(__xludf.DUMMYFUNCTION("""COMPUTED_VALUE"""),0.0)</f>
        <v>0</v>
      </c>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c r="AE960" s="49"/>
      <c r="AF960" s="49"/>
      <c r="AG960" s="49"/>
      <c r="AH960" s="49" t="b">
        <f>IFERROR(__xludf.DUMMYFUNCTION("""COMPUTED_VALUE"""),FALSE)</f>
        <v>0</v>
      </c>
    </row>
    <row r="961">
      <c r="A961" s="49"/>
      <c r="B961" s="49"/>
      <c r="C961" s="49"/>
      <c r="D961" s="49"/>
      <c r="E961" s="49">
        <f>IFERROR(__xludf.DUMMYFUNCTION("""COMPUTED_VALUE"""),1.0)</f>
        <v>1</v>
      </c>
      <c r="F961" s="112">
        <f>IFERROR(__xludf.DUMMYFUNCTION("""COMPUTED_VALUE"""),0.0)</f>
        <v>0</v>
      </c>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c r="AE961" s="49"/>
      <c r="AF961" s="49"/>
      <c r="AG961" s="49"/>
      <c r="AH961" s="49" t="b">
        <f>IFERROR(__xludf.DUMMYFUNCTION("""COMPUTED_VALUE"""),FALSE)</f>
        <v>0</v>
      </c>
    </row>
    <row r="962">
      <c r="A962" s="49"/>
      <c r="B962" s="49"/>
      <c r="C962" s="49"/>
      <c r="D962" s="49"/>
      <c r="E962" s="49">
        <f>IFERROR(__xludf.DUMMYFUNCTION("""COMPUTED_VALUE"""),1.0)</f>
        <v>1</v>
      </c>
      <c r="F962" s="112">
        <f>IFERROR(__xludf.DUMMYFUNCTION("""COMPUTED_VALUE"""),0.0)</f>
        <v>0</v>
      </c>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c r="AE962" s="49"/>
      <c r="AF962" s="49"/>
      <c r="AG962" s="49"/>
      <c r="AH962" s="49" t="b">
        <f>IFERROR(__xludf.DUMMYFUNCTION("""COMPUTED_VALUE"""),FALSE)</f>
        <v>0</v>
      </c>
    </row>
    <row r="963">
      <c r="A963" s="49"/>
      <c r="B963" s="49"/>
      <c r="C963" s="49"/>
      <c r="D963" s="49"/>
      <c r="E963" s="49">
        <f>IFERROR(__xludf.DUMMYFUNCTION("""COMPUTED_VALUE"""),1.0)</f>
        <v>1</v>
      </c>
      <c r="F963" s="112">
        <f>IFERROR(__xludf.DUMMYFUNCTION("""COMPUTED_VALUE"""),0.0)</f>
        <v>0</v>
      </c>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c r="AE963" s="49"/>
      <c r="AF963" s="49"/>
      <c r="AG963" s="49"/>
      <c r="AH963" s="49" t="b">
        <f>IFERROR(__xludf.DUMMYFUNCTION("""COMPUTED_VALUE"""),FALSE)</f>
        <v>0</v>
      </c>
    </row>
    <row r="964">
      <c r="A964" s="49"/>
      <c r="B964" s="49"/>
      <c r="C964" s="49"/>
      <c r="D964" s="49"/>
      <c r="E964" s="49">
        <f>IFERROR(__xludf.DUMMYFUNCTION("""COMPUTED_VALUE"""),1.0)</f>
        <v>1</v>
      </c>
      <c r="F964" s="112">
        <f>IFERROR(__xludf.DUMMYFUNCTION("""COMPUTED_VALUE"""),0.0)</f>
        <v>0</v>
      </c>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c r="AE964" s="49"/>
      <c r="AF964" s="49"/>
      <c r="AG964" s="49"/>
      <c r="AH964" s="49" t="b">
        <f>IFERROR(__xludf.DUMMYFUNCTION("""COMPUTED_VALUE"""),FALSE)</f>
        <v>0</v>
      </c>
    </row>
    <row r="965">
      <c r="A965" s="49"/>
      <c r="B965" s="49"/>
      <c r="C965" s="49"/>
      <c r="D965" s="49"/>
      <c r="E965" s="49">
        <f>IFERROR(__xludf.DUMMYFUNCTION("""COMPUTED_VALUE"""),1.0)</f>
        <v>1</v>
      </c>
      <c r="F965" s="112">
        <f>IFERROR(__xludf.DUMMYFUNCTION("""COMPUTED_VALUE"""),0.0)</f>
        <v>0</v>
      </c>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c r="AE965" s="49"/>
      <c r="AF965" s="49"/>
      <c r="AG965" s="49"/>
      <c r="AH965" s="49" t="b">
        <f>IFERROR(__xludf.DUMMYFUNCTION("""COMPUTED_VALUE"""),FALSE)</f>
        <v>0</v>
      </c>
    </row>
    <row r="966">
      <c r="A966" s="49"/>
      <c r="B966" s="49"/>
      <c r="C966" s="49"/>
      <c r="D966" s="49"/>
      <c r="E966" s="49">
        <f>IFERROR(__xludf.DUMMYFUNCTION("""COMPUTED_VALUE"""),1.0)</f>
        <v>1</v>
      </c>
      <c r="F966" s="112">
        <f>IFERROR(__xludf.DUMMYFUNCTION("""COMPUTED_VALUE"""),0.0)</f>
        <v>0</v>
      </c>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c r="AE966" s="49"/>
      <c r="AF966" s="49"/>
      <c r="AG966" s="49"/>
      <c r="AH966" s="49" t="b">
        <f>IFERROR(__xludf.DUMMYFUNCTION("""COMPUTED_VALUE"""),FALSE)</f>
        <v>0</v>
      </c>
    </row>
    <row r="967">
      <c r="A967" s="49"/>
      <c r="B967" s="49"/>
      <c r="C967" s="49"/>
      <c r="D967" s="49"/>
      <c r="E967" s="49">
        <f>IFERROR(__xludf.DUMMYFUNCTION("""COMPUTED_VALUE"""),1.0)</f>
        <v>1</v>
      </c>
      <c r="F967" s="112">
        <f>IFERROR(__xludf.DUMMYFUNCTION("""COMPUTED_VALUE"""),0.0)</f>
        <v>0</v>
      </c>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c r="AE967" s="49"/>
      <c r="AF967" s="49"/>
      <c r="AG967" s="49"/>
      <c r="AH967" s="49" t="b">
        <f>IFERROR(__xludf.DUMMYFUNCTION("""COMPUTED_VALUE"""),FALSE)</f>
        <v>0</v>
      </c>
    </row>
    <row r="968">
      <c r="A968" s="49"/>
      <c r="B968" s="49"/>
      <c r="C968" s="49"/>
      <c r="D968" s="49"/>
      <c r="E968" s="49">
        <f>IFERROR(__xludf.DUMMYFUNCTION("""COMPUTED_VALUE"""),1.0)</f>
        <v>1</v>
      </c>
      <c r="F968" s="112">
        <f>IFERROR(__xludf.DUMMYFUNCTION("""COMPUTED_VALUE"""),0.0)</f>
        <v>0</v>
      </c>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c r="AE968" s="49"/>
      <c r="AF968" s="49"/>
      <c r="AG968" s="49"/>
      <c r="AH968" s="49" t="b">
        <f>IFERROR(__xludf.DUMMYFUNCTION("""COMPUTED_VALUE"""),FALSE)</f>
        <v>0</v>
      </c>
    </row>
    <row r="969">
      <c r="A969" s="49"/>
      <c r="B969" s="49"/>
      <c r="C969" s="49"/>
      <c r="D969" s="49"/>
      <c r="E969" s="49">
        <f>IFERROR(__xludf.DUMMYFUNCTION("""COMPUTED_VALUE"""),1.0)</f>
        <v>1</v>
      </c>
      <c r="F969" s="112">
        <f>IFERROR(__xludf.DUMMYFUNCTION("""COMPUTED_VALUE"""),0.0)</f>
        <v>0</v>
      </c>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c r="AE969" s="49"/>
      <c r="AF969" s="49"/>
      <c r="AG969" s="49"/>
      <c r="AH969" s="49" t="b">
        <f>IFERROR(__xludf.DUMMYFUNCTION("""COMPUTED_VALUE"""),FALSE)</f>
        <v>0</v>
      </c>
    </row>
    <row r="970">
      <c r="A970" s="49"/>
      <c r="B970" s="49"/>
      <c r="C970" s="49"/>
      <c r="D970" s="49"/>
      <c r="E970" s="49">
        <f>IFERROR(__xludf.DUMMYFUNCTION("""COMPUTED_VALUE"""),1.0)</f>
        <v>1</v>
      </c>
      <c r="F970" s="112">
        <f>IFERROR(__xludf.DUMMYFUNCTION("""COMPUTED_VALUE"""),0.0)</f>
        <v>0</v>
      </c>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c r="AE970" s="49"/>
      <c r="AF970" s="49"/>
      <c r="AG970" s="49"/>
      <c r="AH970" s="49" t="b">
        <f>IFERROR(__xludf.DUMMYFUNCTION("""COMPUTED_VALUE"""),FALSE)</f>
        <v>0</v>
      </c>
    </row>
    <row r="971">
      <c r="A971" s="49"/>
      <c r="B971" s="49"/>
      <c r="C971" s="49"/>
      <c r="D971" s="49"/>
      <c r="E971" s="49">
        <f>IFERROR(__xludf.DUMMYFUNCTION("""COMPUTED_VALUE"""),1.0)</f>
        <v>1</v>
      </c>
      <c r="F971" s="112">
        <f>IFERROR(__xludf.DUMMYFUNCTION("""COMPUTED_VALUE"""),0.0)</f>
        <v>0</v>
      </c>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c r="AE971" s="49"/>
      <c r="AF971" s="49"/>
      <c r="AG971" s="49"/>
      <c r="AH971" s="49" t="b">
        <f>IFERROR(__xludf.DUMMYFUNCTION("""COMPUTED_VALUE"""),FALSE)</f>
        <v>0</v>
      </c>
    </row>
    <row r="972">
      <c r="A972" s="49"/>
      <c r="B972" s="49"/>
      <c r="C972" s="49"/>
      <c r="D972" s="49"/>
      <c r="E972" s="49">
        <f>IFERROR(__xludf.DUMMYFUNCTION("""COMPUTED_VALUE"""),1.0)</f>
        <v>1</v>
      </c>
      <c r="F972" s="112">
        <f>IFERROR(__xludf.DUMMYFUNCTION("""COMPUTED_VALUE"""),0.0)</f>
        <v>0</v>
      </c>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c r="AE972" s="49"/>
      <c r="AF972" s="49"/>
      <c r="AG972" s="49"/>
      <c r="AH972" s="49" t="b">
        <f>IFERROR(__xludf.DUMMYFUNCTION("""COMPUTED_VALUE"""),FALSE)</f>
        <v>0</v>
      </c>
    </row>
    <row r="973">
      <c r="A973" s="49"/>
      <c r="B973" s="49"/>
      <c r="C973" s="49"/>
      <c r="D973" s="49"/>
      <c r="E973" s="49">
        <f>IFERROR(__xludf.DUMMYFUNCTION("""COMPUTED_VALUE"""),1.0)</f>
        <v>1</v>
      </c>
      <c r="F973" s="112">
        <f>IFERROR(__xludf.DUMMYFUNCTION("""COMPUTED_VALUE"""),0.0)</f>
        <v>0</v>
      </c>
      <c r="G973" s="49"/>
      <c r="H973" s="49"/>
      <c r="I973" s="49"/>
      <c r="J973" s="49"/>
      <c r="K973" s="49"/>
      <c r="L973" s="49"/>
      <c r="M973" s="49"/>
      <c r="N973" s="49"/>
      <c r="O973" s="49"/>
      <c r="P973" s="49"/>
      <c r="Q973" s="49"/>
      <c r="R973" s="49"/>
      <c r="S973" s="49"/>
      <c r="T973" s="49"/>
      <c r="U973" s="49"/>
      <c r="V973" s="49"/>
      <c r="W973" s="49"/>
      <c r="X973" s="49"/>
      <c r="Y973" s="49"/>
      <c r="Z973" s="49"/>
      <c r="AA973" s="49"/>
      <c r="AB973" s="49"/>
      <c r="AC973" s="49"/>
      <c r="AD973" s="49"/>
      <c r="AE973" s="49"/>
      <c r="AF973" s="49"/>
      <c r="AG973" s="49"/>
      <c r="AH973" s="49" t="b">
        <f>IFERROR(__xludf.DUMMYFUNCTION("""COMPUTED_VALUE"""),FALSE)</f>
        <v>0</v>
      </c>
    </row>
    <row r="974">
      <c r="A974" s="49"/>
      <c r="B974" s="49"/>
      <c r="C974" s="49"/>
      <c r="D974" s="49"/>
      <c r="E974" s="49">
        <f>IFERROR(__xludf.DUMMYFUNCTION("""COMPUTED_VALUE"""),1.0)</f>
        <v>1</v>
      </c>
      <c r="F974" s="112">
        <f>IFERROR(__xludf.DUMMYFUNCTION("""COMPUTED_VALUE"""),0.0)</f>
        <v>0</v>
      </c>
      <c r="G974" s="49"/>
      <c r="H974" s="49"/>
      <c r="I974" s="49"/>
      <c r="J974" s="49"/>
      <c r="K974" s="49"/>
      <c r="L974" s="49"/>
      <c r="M974" s="49"/>
      <c r="N974" s="49"/>
      <c r="O974" s="49"/>
      <c r="P974" s="49"/>
      <c r="Q974" s="49"/>
      <c r="R974" s="49"/>
      <c r="S974" s="49"/>
      <c r="T974" s="49"/>
      <c r="U974" s="49"/>
      <c r="V974" s="49"/>
      <c r="W974" s="49"/>
      <c r="X974" s="49"/>
      <c r="Y974" s="49"/>
      <c r="Z974" s="49"/>
      <c r="AA974" s="49"/>
      <c r="AB974" s="49"/>
      <c r="AC974" s="49"/>
      <c r="AD974" s="49"/>
      <c r="AE974" s="49"/>
      <c r="AF974" s="49"/>
      <c r="AG974" s="49"/>
      <c r="AH974" s="49" t="b">
        <f>IFERROR(__xludf.DUMMYFUNCTION("""COMPUTED_VALUE"""),FALSE)</f>
        <v>0</v>
      </c>
    </row>
    <row r="975">
      <c r="A975" s="49"/>
      <c r="B975" s="49"/>
      <c r="C975" s="49"/>
      <c r="D975" s="49"/>
      <c r="E975" s="49">
        <f>IFERROR(__xludf.DUMMYFUNCTION("""COMPUTED_VALUE"""),1.0)</f>
        <v>1</v>
      </c>
      <c r="F975" s="112">
        <f>IFERROR(__xludf.DUMMYFUNCTION("""COMPUTED_VALUE"""),0.0)</f>
        <v>0</v>
      </c>
      <c r="G975" s="49"/>
      <c r="H975" s="49"/>
      <c r="I975" s="49"/>
      <c r="J975" s="49"/>
      <c r="K975" s="49"/>
      <c r="L975" s="49"/>
      <c r="M975" s="49"/>
      <c r="N975" s="49"/>
      <c r="O975" s="49"/>
      <c r="P975" s="49"/>
      <c r="Q975" s="49"/>
      <c r="R975" s="49"/>
      <c r="S975" s="49"/>
      <c r="T975" s="49"/>
      <c r="U975" s="49"/>
      <c r="V975" s="49"/>
      <c r="W975" s="49"/>
      <c r="X975" s="49"/>
      <c r="Y975" s="49"/>
      <c r="Z975" s="49"/>
      <c r="AA975" s="49"/>
      <c r="AB975" s="49"/>
      <c r="AC975" s="49"/>
      <c r="AD975" s="49"/>
      <c r="AE975" s="49"/>
      <c r="AF975" s="49"/>
      <c r="AG975" s="49"/>
      <c r="AH975" s="49" t="b">
        <f>IFERROR(__xludf.DUMMYFUNCTION("""COMPUTED_VALUE"""),FALSE)</f>
        <v>0</v>
      </c>
    </row>
    <row r="976">
      <c r="A976" s="49"/>
      <c r="B976" s="49"/>
      <c r="C976" s="49"/>
      <c r="D976" s="49"/>
      <c r="E976" s="49">
        <f>IFERROR(__xludf.DUMMYFUNCTION("""COMPUTED_VALUE"""),1.0)</f>
        <v>1</v>
      </c>
      <c r="F976" s="112">
        <f>IFERROR(__xludf.DUMMYFUNCTION("""COMPUTED_VALUE"""),0.0)</f>
        <v>0</v>
      </c>
      <c r="G976" s="49"/>
      <c r="H976" s="49"/>
      <c r="I976" s="49"/>
      <c r="J976" s="49"/>
      <c r="K976" s="49"/>
      <c r="L976" s="49"/>
      <c r="M976" s="49"/>
      <c r="N976" s="49"/>
      <c r="O976" s="49"/>
      <c r="P976" s="49"/>
      <c r="Q976" s="49"/>
      <c r="R976" s="49"/>
      <c r="S976" s="49"/>
      <c r="T976" s="49"/>
      <c r="U976" s="49"/>
      <c r="V976" s="49"/>
      <c r="W976" s="49"/>
      <c r="X976" s="49"/>
      <c r="Y976" s="49"/>
      <c r="Z976" s="49"/>
      <c r="AA976" s="49"/>
      <c r="AB976" s="49"/>
      <c r="AC976" s="49"/>
      <c r="AD976" s="49"/>
      <c r="AE976" s="49"/>
      <c r="AF976" s="49"/>
      <c r="AG976" s="49"/>
      <c r="AH976" s="49" t="b">
        <f>IFERROR(__xludf.DUMMYFUNCTION("""COMPUTED_VALUE"""),FALSE)</f>
        <v>0</v>
      </c>
    </row>
    <row r="977">
      <c r="A977" s="49"/>
      <c r="B977" s="49"/>
      <c r="C977" s="49"/>
      <c r="D977" s="49"/>
      <c r="E977" s="49">
        <f>IFERROR(__xludf.DUMMYFUNCTION("""COMPUTED_VALUE"""),1.0)</f>
        <v>1</v>
      </c>
      <c r="F977" s="112">
        <f>IFERROR(__xludf.DUMMYFUNCTION("""COMPUTED_VALUE"""),0.0)</f>
        <v>0</v>
      </c>
      <c r="G977" s="49"/>
      <c r="H977" s="49"/>
      <c r="I977" s="49"/>
      <c r="J977" s="49"/>
      <c r="K977" s="49"/>
      <c r="L977" s="49"/>
      <c r="M977" s="49"/>
      <c r="N977" s="49"/>
      <c r="O977" s="49"/>
      <c r="P977" s="49"/>
      <c r="Q977" s="49"/>
      <c r="R977" s="49"/>
      <c r="S977" s="49"/>
      <c r="T977" s="49"/>
      <c r="U977" s="49"/>
      <c r="V977" s="49"/>
      <c r="W977" s="49"/>
      <c r="X977" s="49"/>
      <c r="Y977" s="49"/>
      <c r="Z977" s="49"/>
      <c r="AA977" s="49"/>
      <c r="AB977" s="49"/>
      <c r="AC977" s="49"/>
      <c r="AD977" s="49"/>
      <c r="AE977" s="49"/>
      <c r="AF977" s="49"/>
      <c r="AG977" s="49"/>
      <c r="AH977" s="49" t="b">
        <f>IFERROR(__xludf.DUMMYFUNCTION("""COMPUTED_VALUE"""),FALSE)</f>
        <v>0</v>
      </c>
    </row>
    <row r="978">
      <c r="A978" s="49"/>
      <c r="B978" s="49"/>
      <c r="C978" s="49"/>
      <c r="D978" s="49"/>
      <c r="E978" s="49">
        <f>IFERROR(__xludf.DUMMYFUNCTION("""COMPUTED_VALUE"""),1.0)</f>
        <v>1</v>
      </c>
      <c r="F978" s="112">
        <f>IFERROR(__xludf.DUMMYFUNCTION("""COMPUTED_VALUE"""),0.0)</f>
        <v>0</v>
      </c>
      <c r="G978" s="49"/>
      <c r="H978" s="49"/>
      <c r="I978" s="49"/>
      <c r="J978" s="49"/>
      <c r="K978" s="49"/>
      <c r="L978" s="49"/>
      <c r="M978" s="49"/>
      <c r="N978" s="49"/>
      <c r="O978" s="49"/>
      <c r="P978" s="49"/>
      <c r="Q978" s="49"/>
      <c r="R978" s="49"/>
      <c r="S978" s="49"/>
      <c r="T978" s="49"/>
      <c r="U978" s="49"/>
      <c r="V978" s="49"/>
      <c r="W978" s="49"/>
      <c r="X978" s="49"/>
      <c r="Y978" s="49"/>
      <c r="Z978" s="49"/>
      <c r="AA978" s="49"/>
      <c r="AB978" s="49"/>
      <c r="AC978" s="49"/>
      <c r="AD978" s="49"/>
      <c r="AE978" s="49"/>
      <c r="AF978" s="49"/>
      <c r="AG978" s="49"/>
      <c r="AH978" s="49" t="b">
        <f>IFERROR(__xludf.DUMMYFUNCTION("""COMPUTED_VALUE"""),FALSE)</f>
        <v>0</v>
      </c>
    </row>
    <row r="979">
      <c r="A979" s="49"/>
      <c r="B979" s="49"/>
      <c r="C979" s="49"/>
      <c r="D979" s="49"/>
      <c r="E979" s="49">
        <f>IFERROR(__xludf.DUMMYFUNCTION("""COMPUTED_VALUE"""),1.0)</f>
        <v>1</v>
      </c>
      <c r="F979" s="112">
        <f>IFERROR(__xludf.DUMMYFUNCTION("""COMPUTED_VALUE"""),0.0)</f>
        <v>0</v>
      </c>
      <c r="G979" s="49"/>
      <c r="H979" s="49"/>
      <c r="I979" s="49"/>
      <c r="J979" s="49"/>
      <c r="K979" s="49"/>
      <c r="L979" s="49"/>
      <c r="M979" s="49"/>
      <c r="N979" s="49"/>
      <c r="O979" s="49"/>
      <c r="P979" s="49"/>
      <c r="Q979" s="49"/>
      <c r="R979" s="49"/>
      <c r="S979" s="49"/>
      <c r="T979" s="49"/>
      <c r="U979" s="49"/>
      <c r="V979" s="49"/>
      <c r="W979" s="49"/>
      <c r="X979" s="49"/>
      <c r="Y979" s="49"/>
      <c r="Z979" s="49"/>
      <c r="AA979" s="49"/>
      <c r="AB979" s="49"/>
      <c r="AC979" s="49"/>
      <c r="AD979" s="49"/>
      <c r="AE979" s="49"/>
      <c r="AF979" s="49"/>
      <c r="AG979" s="49"/>
      <c r="AH979" s="49" t="b">
        <f>IFERROR(__xludf.DUMMYFUNCTION("""COMPUTED_VALUE"""),FALSE)</f>
        <v>0</v>
      </c>
    </row>
    <row r="980">
      <c r="A980" s="49"/>
      <c r="B980" s="49"/>
      <c r="C980" s="49"/>
      <c r="D980" s="49"/>
      <c r="E980" s="49">
        <f>IFERROR(__xludf.DUMMYFUNCTION("""COMPUTED_VALUE"""),1.0)</f>
        <v>1</v>
      </c>
      <c r="F980" s="112">
        <f>IFERROR(__xludf.DUMMYFUNCTION("""COMPUTED_VALUE"""),0.0)</f>
        <v>0</v>
      </c>
      <c r="G980" s="49"/>
      <c r="H980" s="49"/>
      <c r="I980" s="49"/>
      <c r="J980" s="49"/>
      <c r="K980" s="49"/>
      <c r="L980" s="49"/>
      <c r="M980" s="49"/>
      <c r="N980" s="49"/>
      <c r="O980" s="49"/>
      <c r="P980" s="49"/>
      <c r="Q980" s="49"/>
      <c r="R980" s="49"/>
      <c r="S980" s="49"/>
      <c r="T980" s="49"/>
      <c r="U980" s="49"/>
      <c r="V980" s="49"/>
      <c r="W980" s="49"/>
      <c r="X980" s="49"/>
      <c r="Y980" s="49"/>
      <c r="Z980" s="49"/>
      <c r="AA980" s="49"/>
      <c r="AB980" s="49"/>
      <c r="AC980" s="49"/>
      <c r="AD980" s="49"/>
      <c r="AE980" s="49"/>
      <c r="AF980" s="49"/>
      <c r="AG980" s="49"/>
      <c r="AH980" s="49" t="b">
        <f>IFERROR(__xludf.DUMMYFUNCTION("""COMPUTED_VALUE"""),FALSE)</f>
        <v>0</v>
      </c>
    </row>
    <row r="981">
      <c r="A981" s="49"/>
      <c r="B981" s="49"/>
      <c r="C981" s="49"/>
      <c r="D981" s="49"/>
      <c r="E981" s="49">
        <f>IFERROR(__xludf.DUMMYFUNCTION("""COMPUTED_VALUE"""),1.0)</f>
        <v>1</v>
      </c>
      <c r="F981" s="112">
        <f>IFERROR(__xludf.DUMMYFUNCTION("""COMPUTED_VALUE"""),0.0)</f>
        <v>0</v>
      </c>
      <c r="G981" s="49"/>
      <c r="H981" s="49"/>
      <c r="I981" s="49"/>
      <c r="J981" s="49"/>
      <c r="K981" s="49"/>
      <c r="L981" s="49"/>
      <c r="M981" s="49"/>
      <c r="N981" s="49"/>
      <c r="O981" s="49"/>
      <c r="P981" s="49"/>
      <c r="Q981" s="49"/>
      <c r="R981" s="49"/>
      <c r="S981" s="49"/>
      <c r="T981" s="49"/>
      <c r="U981" s="49"/>
      <c r="V981" s="49"/>
      <c r="W981" s="49"/>
      <c r="X981" s="49"/>
      <c r="Y981" s="49"/>
      <c r="Z981" s="49"/>
      <c r="AA981" s="49"/>
      <c r="AB981" s="49"/>
      <c r="AC981" s="49"/>
      <c r="AD981" s="49"/>
      <c r="AE981" s="49"/>
      <c r="AF981" s="49"/>
      <c r="AG981" s="49"/>
      <c r="AH981" s="49" t="b">
        <f>IFERROR(__xludf.DUMMYFUNCTION("""COMPUTED_VALUE"""),FALSE)</f>
        <v>0</v>
      </c>
    </row>
    <row r="982">
      <c r="A982" s="49"/>
      <c r="B982" s="49"/>
      <c r="C982" s="49"/>
      <c r="D982" s="49"/>
      <c r="E982" s="49">
        <f>IFERROR(__xludf.DUMMYFUNCTION("""COMPUTED_VALUE"""),1.0)</f>
        <v>1</v>
      </c>
      <c r="F982" s="112">
        <f>IFERROR(__xludf.DUMMYFUNCTION("""COMPUTED_VALUE"""),0.0)</f>
        <v>0</v>
      </c>
      <c r="G982" s="49"/>
      <c r="H982" s="49"/>
      <c r="I982" s="49"/>
      <c r="J982" s="49"/>
      <c r="K982" s="49"/>
      <c r="L982" s="49"/>
      <c r="M982" s="49"/>
      <c r="N982" s="49"/>
      <c r="O982" s="49"/>
      <c r="P982" s="49"/>
      <c r="Q982" s="49"/>
      <c r="R982" s="49"/>
      <c r="S982" s="49"/>
      <c r="T982" s="49"/>
      <c r="U982" s="49"/>
      <c r="V982" s="49"/>
      <c r="W982" s="49"/>
      <c r="X982" s="49"/>
      <c r="Y982" s="49"/>
      <c r="Z982" s="49"/>
      <c r="AA982" s="49"/>
      <c r="AB982" s="49"/>
      <c r="AC982" s="49"/>
      <c r="AD982" s="49"/>
      <c r="AE982" s="49"/>
      <c r="AF982" s="49"/>
      <c r="AG982" s="49"/>
      <c r="AH982" s="49" t="b">
        <f>IFERROR(__xludf.DUMMYFUNCTION("""COMPUTED_VALUE"""),FALSE)</f>
        <v>0</v>
      </c>
    </row>
    <row r="983">
      <c r="A983" s="49"/>
      <c r="B983" s="49"/>
      <c r="C983" s="49"/>
      <c r="D983" s="49"/>
      <c r="E983" s="49">
        <f>IFERROR(__xludf.DUMMYFUNCTION("""COMPUTED_VALUE"""),1.0)</f>
        <v>1</v>
      </c>
      <c r="F983" s="112">
        <f>IFERROR(__xludf.DUMMYFUNCTION("""COMPUTED_VALUE"""),0.0)</f>
        <v>0</v>
      </c>
      <c r="G983" s="49"/>
      <c r="H983" s="49"/>
      <c r="I983" s="49"/>
      <c r="J983" s="49"/>
      <c r="K983" s="49"/>
      <c r="L983" s="49"/>
      <c r="M983" s="49"/>
      <c r="N983" s="49"/>
      <c r="O983" s="49"/>
      <c r="P983" s="49"/>
      <c r="Q983" s="49"/>
      <c r="R983" s="49"/>
      <c r="S983" s="49"/>
      <c r="T983" s="49"/>
      <c r="U983" s="49"/>
      <c r="V983" s="49"/>
      <c r="W983" s="49"/>
      <c r="X983" s="49"/>
      <c r="Y983" s="49"/>
      <c r="Z983" s="49"/>
      <c r="AA983" s="49"/>
      <c r="AB983" s="49"/>
      <c r="AC983" s="49"/>
      <c r="AD983" s="49"/>
      <c r="AE983" s="49"/>
      <c r="AF983" s="49"/>
      <c r="AG983" s="49"/>
      <c r="AH983" s="49" t="b">
        <f>IFERROR(__xludf.DUMMYFUNCTION("""COMPUTED_VALUE"""),FALSE)</f>
        <v>0</v>
      </c>
    </row>
    <row r="984">
      <c r="A984" s="49"/>
      <c r="B984" s="49"/>
      <c r="C984" s="49"/>
      <c r="D984" s="49"/>
      <c r="E984" s="49">
        <f>IFERROR(__xludf.DUMMYFUNCTION("""COMPUTED_VALUE"""),1.0)</f>
        <v>1</v>
      </c>
      <c r="F984" s="112">
        <f>IFERROR(__xludf.DUMMYFUNCTION("""COMPUTED_VALUE"""),0.0)</f>
        <v>0</v>
      </c>
      <c r="G984" s="49"/>
      <c r="H984" s="49"/>
      <c r="I984" s="49"/>
      <c r="J984" s="49"/>
      <c r="K984" s="49"/>
      <c r="L984" s="49"/>
      <c r="M984" s="49"/>
      <c r="N984" s="49"/>
      <c r="O984" s="49"/>
      <c r="P984" s="49"/>
      <c r="Q984" s="49"/>
      <c r="R984" s="49"/>
      <c r="S984" s="49"/>
      <c r="T984" s="49"/>
      <c r="U984" s="49"/>
      <c r="V984" s="49"/>
      <c r="W984" s="49"/>
      <c r="X984" s="49"/>
      <c r="Y984" s="49"/>
      <c r="Z984" s="49"/>
      <c r="AA984" s="49"/>
      <c r="AB984" s="49"/>
      <c r="AC984" s="49"/>
      <c r="AD984" s="49"/>
      <c r="AE984" s="49"/>
      <c r="AF984" s="49"/>
      <c r="AG984" s="49"/>
      <c r="AH984" s="49" t="b">
        <f>IFERROR(__xludf.DUMMYFUNCTION("""COMPUTED_VALUE"""),FALSE)</f>
        <v>0</v>
      </c>
    </row>
    <row r="985">
      <c r="A985" s="49"/>
      <c r="B985" s="49"/>
      <c r="C985" s="49"/>
      <c r="D985" s="49"/>
      <c r="E985" s="49">
        <f>IFERROR(__xludf.DUMMYFUNCTION("""COMPUTED_VALUE"""),1.0)</f>
        <v>1</v>
      </c>
      <c r="F985" s="112">
        <f>IFERROR(__xludf.DUMMYFUNCTION("""COMPUTED_VALUE"""),0.0)</f>
        <v>0</v>
      </c>
      <c r="G985" s="49"/>
      <c r="H985" s="49"/>
      <c r="I985" s="49"/>
      <c r="J985" s="49"/>
      <c r="K985" s="49"/>
      <c r="L985" s="49"/>
      <c r="M985" s="49"/>
      <c r="N985" s="49"/>
      <c r="O985" s="49"/>
      <c r="P985" s="49"/>
      <c r="Q985" s="49"/>
      <c r="R985" s="49"/>
      <c r="S985" s="49"/>
      <c r="T985" s="49"/>
      <c r="U985" s="49"/>
      <c r="V985" s="49"/>
      <c r="W985" s="49"/>
      <c r="X985" s="49"/>
      <c r="Y985" s="49"/>
      <c r="Z985" s="49"/>
      <c r="AA985" s="49"/>
      <c r="AB985" s="49"/>
      <c r="AC985" s="49"/>
      <c r="AD985" s="49"/>
      <c r="AE985" s="49"/>
      <c r="AF985" s="49"/>
      <c r="AG985" s="49"/>
      <c r="AH985" s="49" t="b">
        <f>IFERROR(__xludf.DUMMYFUNCTION("""COMPUTED_VALUE"""),FALSE)</f>
        <v>0</v>
      </c>
    </row>
    <row r="986">
      <c r="A986" s="49"/>
      <c r="B986" s="49"/>
      <c r="C986" s="49"/>
      <c r="D986" s="49"/>
      <c r="E986" s="49">
        <f>IFERROR(__xludf.DUMMYFUNCTION("""COMPUTED_VALUE"""),1.0)</f>
        <v>1</v>
      </c>
      <c r="F986" s="112">
        <f>IFERROR(__xludf.DUMMYFUNCTION("""COMPUTED_VALUE"""),0.0)</f>
        <v>0</v>
      </c>
      <c r="G986" s="49"/>
      <c r="H986" s="49"/>
      <c r="I986" s="49"/>
      <c r="J986" s="49"/>
      <c r="K986" s="49"/>
      <c r="L986" s="49"/>
      <c r="M986" s="49"/>
      <c r="N986" s="49"/>
      <c r="O986" s="49"/>
      <c r="P986" s="49"/>
      <c r="Q986" s="49"/>
      <c r="R986" s="49"/>
      <c r="S986" s="49"/>
      <c r="T986" s="49"/>
      <c r="U986" s="49"/>
      <c r="V986" s="49"/>
      <c r="W986" s="49"/>
      <c r="X986" s="49"/>
      <c r="Y986" s="49"/>
      <c r="Z986" s="49"/>
      <c r="AA986" s="49"/>
      <c r="AB986" s="49"/>
      <c r="AC986" s="49"/>
      <c r="AD986" s="49"/>
      <c r="AE986" s="49"/>
      <c r="AF986" s="49"/>
      <c r="AG986" s="49"/>
      <c r="AH986" s="49" t="b">
        <f>IFERROR(__xludf.DUMMYFUNCTION("""COMPUTED_VALUE"""),FALSE)</f>
        <v>0</v>
      </c>
    </row>
    <row r="987">
      <c r="A987" s="49"/>
      <c r="B987" s="49"/>
      <c r="C987" s="49"/>
      <c r="D987" s="49"/>
      <c r="E987" s="49">
        <f>IFERROR(__xludf.DUMMYFUNCTION("""COMPUTED_VALUE"""),1.0)</f>
        <v>1</v>
      </c>
      <c r="F987" s="112">
        <f>IFERROR(__xludf.DUMMYFUNCTION("""COMPUTED_VALUE"""),0.0)</f>
        <v>0</v>
      </c>
      <c r="G987" s="49"/>
      <c r="H987" s="49"/>
      <c r="I987" s="49"/>
      <c r="J987" s="49"/>
      <c r="K987" s="49"/>
      <c r="L987" s="49"/>
      <c r="M987" s="49"/>
      <c r="N987" s="49"/>
      <c r="O987" s="49"/>
      <c r="P987" s="49"/>
      <c r="Q987" s="49"/>
      <c r="R987" s="49"/>
      <c r="S987" s="49"/>
      <c r="T987" s="49"/>
      <c r="U987" s="49"/>
      <c r="V987" s="49"/>
      <c r="W987" s="49"/>
      <c r="X987" s="49"/>
      <c r="Y987" s="49"/>
      <c r="Z987" s="49"/>
      <c r="AA987" s="49"/>
      <c r="AB987" s="49"/>
      <c r="AC987" s="49"/>
      <c r="AD987" s="49"/>
      <c r="AE987" s="49"/>
      <c r="AF987" s="49"/>
      <c r="AG987" s="49"/>
      <c r="AH987" s="49" t="b">
        <f>IFERROR(__xludf.DUMMYFUNCTION("""COMPUTED_VALUE"""),FALSE)</f>
        <v>0</v>
      </c>
    </row>
    <row r="988">
      <c r="A988" s="49"/>
      <c r="B988" s="49"/>
      <c r="C988" s="49"/>
      <c r="D988" s="49"/>
      <c r="E988" s="49">
        <f>IFERROR(__xludf.DUMMYFUNCTION("""COMPUTED_VALUE"""),1.0)</f>
        <v>1</v>
      </c>
      <c r="F988" s="112">
        <f>IFERROR(__xludf.DUMMYFUNCTION("""COMPUTED_VALUE"""),0.0)</f>
        <v>0</v>
      </c>
      <c r="G988" s="49"/>
      <c r="H988" s="49"/>
      <c r="I988" s="49"/>
      <c r="J988" s="49"/>
      <c r="K988" s="49"/>
      <c r="L988" s="49"/>
      <c r="M988" s="49"/>
      <c r="N988" s="49"/>
      <c r="O988" s="49"/>
      <c r="P988" s="49"/>
      <c r="Q988" s="49"/>
      <c r="R988" s="49"/>
      <c r="S988" s="49"/>
      <c r="T988" s="49"/>
      <c r="U988" s="49"/>
      <c r="V988" s="49"/>
      <c r="W988" s="49"/>
      <c r="X988" s="49"/>
      <c r="Y988" s="49"/>
      <c r="Z988" s="49"/>
      <c r="AA988" s="49"/>
      <c r="AB988" s="49"/>
      <c r="AC988" s="49"/>
      <c r="AD988" s="49"/>
      <c r="AE988" s="49"/>
      <c r="AF988" s="49"/>
      <c r="AG988" s="49"/>
      <c r="AH988" s="49" t="b">
        <f>IFERROR(__xludf.DUMMYFUNCTION("""COMPUTED_VALUE"""),FALSE)</f>
        <v>0</v>
      </c>
    </row>
    <row r="989">
      <c r="A989" s="49"/>
      <c r="B989" s="49"/>
      <c r="C989" s="49"/>
      <c r="D989" s="49"/>
      <c r="E989" s="49">
        <f>IFERROR(__xludf.DUMMYFUNCTION("""COMPUTED_VALUE"""),1.0)</f>
        <v>1</v>
      </c>
      <c r="F989" s="112">
        <f>IFERROR(__xludf.DUMMYFUNCTION("""COMPUTED_VALUE"""),0.0)</f>
        <v>0</v>
      </c>
      <c r="G989" s="49"/>
      <c r="H989" s="49"/>
      <c r="I989" s="49"/>
      <c r="J989" s="49"/>
      <c r="K989" s="49"/>
      <c r="L989" s="49"/>
      <c r="M989" s="49"/>
      <c r="N989" s="49"/>
      <c r="O989" s="49"/>
      <c r="P989" s="49"/>
      <c r="Q989" s="49"/>
      <c r="R989" s="49"/>
      <c r="S989" s="49"/>
      <c r="T989" s="49"/>
      <c r="U989" s="49"/>
      <c r="V989" s="49"/>
      <c r="W989" s="49"/>
      <c r="X989" s="49"/>
      <c r="Y989" s="49"/>
      <c r="Z989" s="49"/>
      <c r="AA989" s="49"/>
      <c r="AB989" s="49"/>
      <c r="AC989" s="49"/>
      <c r="AD989" s="49"/>
      <c r="AE989" s="49"/>
      <c r="AF989" s="49"/>
      <c r="AG989" s="49"/>
      <c r="AH989" s="49" t="b">
        <f>IFERROR(__xludf.DUMMYFUNCTION("""COMPUTED_VALUE"""),FALSE)</f>
        <v>0</v>
      </c>
    </row>
    <row r="990">
      <c r="A990" s="49"/>
      <c r="B990" s="49"/>
      <c r="C990" s="49"/>
      <c r="D990" s="49"/>
      <c r="E990" s="49">
        <f>IFERROR(__xludf.DUMMYFUNCTION("""COMPUTED_VALUE"""),1.0)</f>
        <v>1</v>
      </c>
      <c r="F990" s="112">
        <f>IFERROR(__xludf.DUMMYFUNCTION("""COMPUTED_VALUE"""),0.0)</f>
        <v>0</v>
      </c>
      <c r="G990" s="49"/>
      <c r="H990" s="49"/>
      <c r="I990" s="49"/>
      <c r="J990" s="49"/>
      <c r="K990" s="49"/>
      <c r="L990" s="49"/>
      <c r="M990" s="49"/>
      <c r="N990" s="49"/>
      <c r="O990" s="49"/>
      <c r="P990" s="49"/>
      <c r="Q990" s="49"/>
      <c r="R990" s="49"/>
      <c r="S990" s="49"/>
      <c r="T990" s="49"/>
      <c r="U990" s="49"/>
      <c r="V990" s="49"/>
      <c r="W990" s="49"/>
      <c r="X990" s="49"/>
      <c r="Y990" s="49"/>
      <c r="Z990" s="49"/>
      <c r="AA990" s="49"/>
      <c r="AB990" s="49"/>
      <c r="AC990" s="49"/>
      <c r="AD990" s="49"/>
      <c r="AE990" s="49"/>
      <c r="AF990" s="49"/>
      <c r="AG990" s="49"/>
      <c r="AH990" s="49" t="b">
        <f>IFERROR(__xludf.DUMMYFUNCTION("""COMPUTED_VALUE"""),FALSE)</f>
        <v>0</v>
      </c>
    </row>
    <row r="991">
      <c r="A991" s="49"/>
      <c r="B991" s="49"/>
      <c r="C991" s="49"/>
      <c r="D991" s="49"/>
      <c r="E991" s="49">
        <f>IFERROR(__xludf.DUMMYFUNCTION("""COMPUTED_VALUE"""),1.0)</f>
        <v>1</v>
      </c>
      <c r="F991" s="112">
        <f>IFERROR(__xludf.DUMMYFUNCTION("""COMPUTED_VALUE"""),0.0)</f>
        <v>0</v>
      </c>
      <c r="G991" s="49"/>
      <c r="H991" s="49"/>
      <c r="I991" s="49"/>
      <c r="J991" s="49"/>
      <c r="K991" s="49"/>
      <c r="L991" s="49"/>
      <c r="M991" s="49"/>
      <c r="N991" s="49"/>
      <c r="O991" s="49"/>
      <c r="P991" s="49"/>
      <c r="Q991" s="49"/>
      <c r="R991" s="49"/>
      <c r="S991" s="49"/>
      <c r="T991" s="49"/>
      <c r="U991" s="49"/>
      <c r="V991" s="49"/>
      <c r="W991" s="49"/>
      <c r="X991" s="49"/>
      <c r="Y991" s="49"/>
      <c r="Z991" s="49"/>
      <c r="AA991" s="49"/>
      <c r="AB991" s="49"/>
      <c r="AC991" s="49"/>
      <c r="AD991" s="49"/>
      <c r="AE991" s="49"/>
      <c r="AF991" s="49"/>
      <c r="AG991" s="49"/>
      <c r="AH991" s="49" t="b">
        <f>IFERROR(__xludf.DUMMYFUNCTION("""COMPUTED_VALUE"""),FALSE)</f>
        <v>0</v>
      </c>
    </row>
    <row r="992">
      <c r="A992" s="49"/>
      <c r="B992" s="49"/>
      <c r="C992" s="49"/>
      <c r="D992" s="49"/>
      <c r="E992" s="49">
        <f>IFERROR(__xludf.DUMMYFUNCTION("""COMPUTED_VALUE"""),1.0)</f>
        <v>1</v>
      </c>
      <c r="F992" s="112">
        <f>IFERROR(__xludf.DUMMYFUNCTION("""COMPUTED_VALUE"""),0.0)</f>
        <v>0</v>
      </c>
      <c r="G992" s="49"/>
      <c r="H992" s="49"/>
      <c r="I992" s="49"/>
      <c r="J992" s="49"/>
      <c r="K992" s="49"/>
      <c r="L992" s="49"/>
      <c r="M992" s="49"/>
      <c r="N992" s="49"/>
      <c r="O992" s="49"/>
      <c r="P992" s="49"/>
      <c r="Q992" s="49"/>
      <c r="R992" s="49"/>
      <c r="S992" s="49"/>
      <c r="T992" s="49"/>
      <c r="U992" s="49"/>
      <c r="V992" s="49"/>
      <c r="W992" s="49"/>
      <c r="X992" s="49"/>
      <c r="Y992" s="49"/>
      <c r="Z992" s="49"/>
      <c r="AA992" s="49"/>
      <c r="AB992" s="49"/>
      <c r="AC992" s="49"/>
      <c r="AD992" s="49"/>
      <c r="AE992" s="49"/>
      <c r="AF992" s="49"/>
      <c r="AG992" s="49"/>
      <c r="AH992" s="49" t="b">
        <f>IFERROR(__xludf.DUMMYFUNCTION("""COMPUTED_VALUE"""),FALSE)</f>
        <v>0</v>
      </c>
    </row>
    <row r="993">
      <c r="A993" s="49"/>
      <c r="B993" s="49"/>
      <c r="C993" s="49"/>
      <c r="D993" s="49"/>
      <c r="E993" s="49">
        <f>IFERROR(__xludf.DUMMYFUNCTION("""COMPUTED_VALUE"""),1.0)</f>
        <v>1</v>
      </c>
      <c r="F993" s="112">
        <f>IFERROR(__xludf.DUMMYFUNCTION("""COMPUTED_VALUE"""),0.0)</f>
        <v>0</v>
      </c>
      <c r="G993" s="49"/>
      <c r="H993" s="49"/>
      <c r="I993" s="49"/>
      <c r="J993" s="49"/>
      <c r="K993" s="49"/>
      <c r="L993" s="49"/>
      <c r="M993" s="49"/>
      <c r="N993" s="49"/>
      <c r="O993" s="49"/>
      <c r="P993" s="49"/>
      <c r="Q993" s="49"/>
      <c r="R993" s="49"/>
      <c r="S993" s="49"/>
      <c r="T993" s="49"/>
      <c r="U993" s="49"/>
      <c r="V993" s="49"/>
      <c r="W993" s="49"/>
      <c r="X993" s="49"/>
      <c r="Y993" s="49"/>
      <c r="Z993" s="49"/>
      <c r="AA993" s="49"/>
      <c r="AB993" s="49"/>
      <c r="AC993" s="49"/>
      <c r="AD993" s="49"/>
      <c r="AE993" s="49"/>
      <c r="AF993" s="49"/>
      <c r="AG993" s="49"/>
      <c r="AH993" s="49" t="b">
        <f>IFERROR(__xludf.DUMMYFUNCTION("""COMPUTED_VALUE"""),FALSE)</f>
        <v>0</v>
      </c>
    </row>
    <row r="994">
      <c r="A994" s="49"/>
      <c r="B994" s="49"/>
      <c r="C994" s="49"/>
      <c r="D994" s="49"/>
      <c r="E994" s="49">
        <f>IFERROR(__xludf.DUMMYFUNCTION("""COMPUTED_VALUE"""),1.0)</f>
        <v>1</v>
      </c>
      <c r="F994" s="112">
        <f>IFERROR(__xludf.DUMMYFUNCTION("""COMPUTED_VALUE"""),0.0)</f>
        <v>0</v>
      </c>
      <c r="G994" s="49"/>
      <c r="H994" s="49"/>
      <c r="I994" s="49"/>
      <c r="J994" s="49"/>
      <c r="K994" s="49"/>
      <c r="L994" s="49"/>
      <c r="M994" s="49"/>
      <c r="N994" s="49"/>
      <c r="O994" s="49"/>
      <c r="P994" s="49"/>
      <c r="Q994" s="49"/>
      <c r="R994" s="49"/>
      <c r="S994" s="49"/>
      <c r="T994" s="49"/>
      <c r="U994" s="49"/>
      <c r="V994" s="49"/>
      <c r="W994" s="49"/>
      <c r="X994" s="49"/>
      <c r="Y994" s="49"/>
      <c r="Z994" s="49"/>
      <c r="AA994" s="49"/>
      <c r="AB994" s="49"/>
      <c r="AC994" s="49"/>
      <c r="AD994" s="49"/>
      <c r="AE994" s="49"/>
      <c r="AF994" s="49"/>
      <c r="AG994" s="49"/>
      <c r="AH994" s="49" t="b">
        <f>IFERROR(__xludf.DUMMYFUNCTION("""COMPUTED_VALUE"""),FALSE)</f>
        <v>0</v>
      </c>
    </row>
    <row r="995">
      <c r="A995" s="49"/>
      <c r="B995" s="49"/>
      <c r="C995" s="49"/>
      <c r="D995" s="49"/>
      <c r="E995" s="49">
        <f>IFERROR(__xludf.DUMMYFUNCTION("""COMPUTED_VALUE"""),1.0)</f>
        <v>1</v>
      </c>
      <c r="F995" s="112">
        <f>IFERROR(__xludf.DUMMYFUNCTION("""COMPUTED_VALUE"""),0.0)</f>
        <v>0</v>
      </c>
      <c r="G995" s="49"/>
      <c r="H995" s="49"/>
      <c r="I995" s="49"/>
      <c r="J995" s="49"/>
      <c r="K995" s="49"/>
      <c r="L995" s="49"/>
      <c r="M995" s="49"/>
      <c r="N995" s="49"/>
      <c r="O995" s="49"/>
      <c r="P995" s="49"/>
      <c r="Q995" s="49"/>
      <c r="R995" s="49"/>
      <c r="S995" s="49"/>
      <c r="T995" s="49"/>
      <c r="U995" s="49"/>
      <c r="V995" s="49"/>
      <c r="W995" s="49"/>
      <c r="X995" s="49"/>
      <c r="Y995" s="49"/>
      <c r="Z995" s="49"/>
      <c r="AA995" s="49"/>
      <c r="AB995" s="49"/>
      <c r="AC995" s="49"/>
      <c r="AD995" s="49"/>
      <c r="AE995" s="49"/>
      <c r="AF995" s="49"/>
      <c r="AG995" s="49"/>
      <c r="AH995" s="49" t="b">
        <f>IFERROR(__xludf.DUMMYFUNCTION("""COMPUTED_VALUE"""),FALSE)</f>
        <v>0</v>
      </c>
    </row>
    <row r="996">
      <c r="A996" s="49"/>
      <c r="B996" s="49"/>
      <c r="C996" s="49"/>
      <c r="D996" s="49"/>
      <c r="E996" s="49">
        <f>IFERROR(__xludf.DUMMYFUNCTION("""COMPUTED_VALUE"""),1.0)</f>
        <v>1</v>
      </c>
      <c r="F996" s="112">
        <f>IFERROR(__xludf.DUMMYFUNCTION("""COMPUTED_VALUE"""),0.0)</f>
        <v>0</v>
      </c>
      <c r="G996" s="49"/>
      <c r="H996" s="49"/>
      <c r="I996" s="49"/>
      <c r="J996" s="49"/>
      <c r="K996" s="49"/>
      <c r="L996" s="49"/>
      <c r="M996" s="49"/>
      <c r="N996" s="49"/>
      <c r="O996" s="49"/>
      <c r="P996" s="49"/>
      <c r="Q996" s="49"/>
      <c r="R996" s="49"/>
      <c r="S996" s="49"/>
      <c r="T996" s="49"/>
      <c r="U996" s="49"/>
      <c r="V996" s="49"/>
      <c r="W996" s="49"/>
      <c r="X996" s="49"/>
      <c r="Y996" s="49"/>
      <c r="Z996" s="49"/>
      <c r="AA996" s="49"/>
      <c r="AB996" s="49"/>
      <c r="AC996" s="49"/>
      <c r="AD996" s="49"/>
      <c r="AE996" s="49"/>
      <c r="AF996" s="49"/>
      <c r="AG996" s="49"/>
      <c r="AH996" s="49" t="b">
        <f>IFERROR(__xludf.DUMMYFUNCTION("""COMPUTED_VALUE"""),FALSE)</f>
        <v>0</v>
      </c>
    </row>
    <row r="997">
      <c r="A997" s="49"/>
      <c r="B997" s="49"/>
      <c r="C997" s="49"/>
      <c r="D997" s="49"/>
      <c r="E997" s="49">
        <f>IFERROR(__xludf.DUMMYFUNCTION("""COMPUTED_VALUE"""),1.0)</f>
        <v>1</v>
      </c>
      <c r="F997" s="112">
        <f>IFERROR(__xludf.DUMMYFUNCTION("""COMPUTED_VALUE"""),0.0)</f>
        <v>0</v>
      </c>
      <c r="G997" s="49"/>
      <c r="H997" s="49"/>
      <c r="I997" s="49"/>
      <c r="J997" s="49"/>
      <c r="K997" s="49"/>
      <c r="L997" s="49"/>
      <c r="M997" s="49"/>
      <c r="N997" s="49"/>
      <c r="O997" s="49"/>
      <c r="P997" s="49"/>
      <c r="Q997" s="49"/>
      <c r="R997" s="49"/>
      <c r="S997" s="49"/>
      <c r="T997" s="49"/>
      <c r="U997" s="49"/>
      <c r="V997" s="49"/>
      <c r="W997" s="49"/>
      <c r="X997" s="49"/>
      <c r="Y997" s="49"/>
      <c r="Z997" s="49"/>
      <c r="AA997" s="49"/>
      <c r="AB997" s="49"/>
      <c r="AC997" s="49"/>
      <c r="AD997" s="49"/>
      <c r="AE997" s="49"/>
      <c r="AF997" s="49"/>
      <c r="AG997" s="49"/>
      <c r="AH997" s="49" t="b">
        <f>IFERROR(__xludf.DUMMYFUNCTION("""COMPUTED_VALUE"""),FALSE)</f>
        <v>0</v>
      </c>
    </row>
    <row r="998">
      <c r="A998" s="49"/>
      <c r="B998" s="49"/>
      <c r="C998" s="49"/>
      <c r="D998" s="49"/>
      <c r="E998" s="49">
        <f>IFERROR(__xludf.DUMMYFUNCTION("""COMPUTED_VALUE"""),1.0)</f>
        <v>1</v>
      </c>
      <c r="F998" s="112">
        <f>IFERROR(__xludf.DUMMYFUNCTION("""COMPUTED_VALUE"""),0.0)</f>
        <v>0</v>
      </c>
      <c r="G998" s="49"/>
      <c r="H998" s="49"/>
      <c r="I998" s="49"/>
      <c r="J998" s="49"/>
      <c r="K998" s="49"/>
      <c r="L998" s="49"/>
      <c r="M998" s="49"/>
      <c r="N998" s="49"/>
      <c r="O998" s="49"/>
      <c r="P998" s="49"/>
      <c r="Q998" s="49"/>
      <c r="R998" s="49"/>
      <c r="S998" s="49"/>
      <c r="T998" s="49"/>
      <c r="U998" s="49"/>
      <c r="V998" s="49"/>
      <c r="W998" s="49"/>
      <c r="X998" s="49"/>
      <c r="Y998" s="49"/>
      <c r="Z998" s="49"/>
      <c r="AA998" s="49"/>
      <c r="AB998" s="49"/>
      <c r="AC998" s="49"/>
      <c r="AD998" s="49"/>
      <c r="AE998" s="49"/>
      <c r="AF998" s="49"/>
      <c r="AG998" s="49"/>
      <c r="AH998" s="49" t="b">
        <f>IFERROR(__xludf.DUMMYFUNCTION("""COMPUTED_VALUE"""),FALSE)</f>
        <v>0</v>
      </c>
    </row>
    <row r="999">
      <c r="A999" s="49"/>
      <c r="B999" s="49"/>
      <c r="C999" s="49"/>
      <c r="D999" s="49"/>
      <c r="E999" s="49">
        <f>IFERROR(__xludf.DUMMYFUNCTION("""COMPUTED_VALUE"""),1.0)</f>
        <v>1</v>
      </c>
      <c r="F999" s="112">
        <f>IFERROR(__xludf.DUMMYFUNCTION("""COMPUTED_VALUE"""),0.0)</f>
        <v>0</v>
      </c>
      <c r="G999" s="49"/>
      <c r="H999" s="49"/>
      <c r="I999" s="49"/>
      <c r="J999" s="49"/>
      <c r="K999" s="49"/>
      <c r="L999" s="49"/>
      <c r="M999" s="49"/>
      <c r="N999" s="49"/>
      <c r="O999" s="49"/>
      <c r="P999" s="49"/>
      <c r="Q999" s="49"/>
      <c r="R999" s="49"/>
      <c r="S999" s="49"/>
      <c r="T999" s="49"/>
      <c r="U999" s="49"/>
      <c r="V999" s="49"/>
      <c r="W999" s="49"/>
      <c r="X999" s="49"/>
      <c r="Y999" s="49"/>
      <c r="Z999" s="49"/>
      <c r="AA999" s="49"/>
      <c r="AB999" s="49"/>
      <c r="AC999" s="49"/>
      <c r="AD999" s="49"/>
      <c r="AE999" s="49"/>
      <c r="AF999" s="49"/>
      <c r="AG999" s="49"/>
      <c r="AH999" s="49" t="b">
        <f>IFERROR(__xludf.DUMMYFUNCTION("""COMPUTED_VALUE"""),FALSE)</f>
        <v>0</v>
      </c>
    </row>
    <row r="1000">
      <c r="A1000" s="49"/>
      <c r="B1000" s="49"/>
      <c r="C1000" s="49"/>
      <c r="D1000" s="49"/>
      <c r="E1000" s="49">
        <f>IFERROR(__xludf.DUMMYFUNCTION("""COMPUTED_VALUE"""),1.0)</f>
        <v>1</v>
      </c>
      <c r="F1000" s="112">
        <f>IFERROR(__xludf.DUMMYFUNCTION("""COMPUTED_VALUE"""),0.0)</f>
        <v>0</v>
      </c>
      <c r="G1000" s="49"/>
      <c r="H1000" s="49"/>
      <c r="I1000" s="49"/>
      <c r="J1000" s="49"/>
      <c r="K1000" s="49"/>
      <c r="L1000" s="49"/>
      <c r="M1000" s="49"/>
      <c r="N1000" s="49"/>
      <c r="O1000" s="49"/>
      <c r="P1000" s="49"/>
      <c r="Q1000" s="49"/>
      <c r="R1000" s="49"/>
      <c r="S1000" s="49"/>
      <c r="T1000" s="49"/>
      <c r="U1000" s="49"/>
      <c r="V1000" s="49"/>
      <c r="W1000" s="49"/>
      <c r="X1000" s="49"/>
      <c r="Y1000" s="49"/>
      <c r="Z1000" s="49"/>
      <c r="AA1000" s="49"/>
      <c r="AB1000" s="49"/>
      <c r="AC1000" s="49"/>
      <c r="AD1000" s="49"/>
      <c r="AE1000" s="49"/>
      <c r="AF1000" s="49"/>
      <c r="AG1000" s="49"/>
      <c r="AH1000" s="49" t="b">
        <f>IFERROR(__xludf.DUMMYFUNCTION("""COMPUTED_VALUE"""),FALSE)</f>
        <v>0</v>
      </c>
    </row>
    <row r="1001">
      <c r="A1001" s="49"/>
      <c r="B1001" s="49"/>
      <c r="C1001" s="49"/>
      <c r="D1001" s="49"/>
      <c r="E1001" s="49">
        <f>IFERROR(__xludf.DUMMYFUNCTION("""COMPUTED_VALUE"""),1.0)</f>
        <v>1</v>
      </c>
      <c r="F1001" s="112">
        <f>IFERROR(__xludf.DUMMYFUNCTION("""COMPUTED_VALUE"""),0.0)</f>
        <v>0</v>
      </c>
      <c r="G1001" s="49"/>
      <c r="H1001" s="49"/>
      <c r="I1001" s="49"/>
      <c r="J1001" s="49"/>
      <c r="K1001" s="49"/>
      <c r="L1001" s="49"/>
      <c r="M1001" s="49"/>
      <c r="N1001" s="49"/>
      <c r="O1001" s="49"/>
      <c r="P1001" s="49"/>
      <c r="Q1001" s="49"/>
      <c r="R1001" s="49"/>
      <c r="S1001" s="49"/>
      <c r="T1001" s="49"/>
      <c r="U1001" s="49"/>
      <c r="V1001" s="49"/>
      <c r="W1001" s="49"/>
      <c r="X1001" s="49"/>
      <c r="Y1001" s="49"/>
      <c r="Z1001" s="49"/>
      <c r="AA1001" s="49"/>
      <c r="AB1001" s="49"/>
      <c r="AC1001" s="49"/>
      <c r="AD1001" s="49"/>
      <c r="AE1001" s="49"/>
      <c r="AF1001" s="49"/>
      <c r="AG1001" s="49"/>
      <c r="AH1001" s="49" t="b">
        <f>IFERROR(__xludf.DUMMYFUNCTION("""COMPUTED_VALUE"""),FALSE)</f>
        <v>0</v>
      </c>
    </row>
    <row r="1002">
      <c r="A1002" s="49"/>
      <c r="B1002" s="49"/>
      <c r="C1002" s="49"/>
      <c r="D1002" s="49"/>
      <c r="E1002" s="49">
        <f>IFERROR(__xludf.DUMMYFUNCTION("""COMPUTED_VALUE"""),1.0)</f>
        <v>1</v>
      </c>
      <c r="F1002" s="112">
        <f>IFERROR(__xludf.DUMMYFUNCTION("""COMPUTED_VALUE"""),0.0)</f>
        <v>0</v>
      </c>
      <c r="G1002" s="49"/>
      <c r="H1002" s="49"/>
      <c r="I1002" s="49"/>
      <c r="J1002" s="49"/>
      <c r="K1002" s="49"/>
      <c r="L1002" s="49"/>
      <c r="M1002" s="49"/>
      <c r="N1002" s="49"/>
      <c r="O1002" s="49"/>
      <c r="P1002" s="49"/>
      <c r="Q1002" s="49"/>
      <c r="R1002" s="49"/>
      <c r="S1002" s="49"/>
      <c r="T1002" s="49"/>
      <c r="U1002" s="49"/>
      <c r="V1002" s="49"/>
      <c r="W1002" s="49"/>
      <c r="X1002" s="49"/>
      <c r="Y1002" s="49"/>
      <c r="Z1002" s="49"/>
      <c r="AA1002" s="49"/>
      <c r="AB1002" s="49"/>
      <c r="AC1002" s="49"/>
      <c r="AD1002" s="49"/>
      <c r="AE1002" s="49"/>
      <c r="AF1002" s="49"/>
      <c r="AG1002" s="49"/>
      <c r="AH1002" s="49" t="b">
        <f>IFERROR(__xludf.DUMMYFUNCTION("""COMPUTED_VALUE"""),FALSE)</f>
        <v>0</v>
      </c>
    </row>
    <row r="1003">
      <c r="A1003" s="49"/>
      <c r="B1003" s="49"/>
      <c r="C1003" s="49"/>
      <c r="D1003" s="49"/>
      <c r="E1003" s="49">
        <f>IFERROR(__xludf.DUMMYFUNCTION("""COMPUTED_VALUE"""),1.0)</f>
        <v>1</v>
      </c>
      <c r="F1003" s="112">
        <f>IFERROR(__xludf.DUMMYFUNCTION("""COMPUTED_VALUE"""),0.0)</f>
        <v>0</v>
      </c>
      <c r="G1003" s="49"/>
      <c r="H1003" s="49"/>
      <c r="I1003" s="49"/>
      <c r="J1003" s="49"/>
      <c r="K1003" s="49"/>
      <c r="L1003" s="49"/>
      <c r="M1003" s="49"/>
      <c r="N1003" s="49"/>
      <c r="O1003" s="49"/>
      <c r="P1003" s="49"/>
      <c r="Q1003" s="49"/>
      <c r="R1003" s="49"/>
      <c r="S1003" s="49"/>
      <c r="T1003" s="49"/>
      <c r="U1003" s="49"/>
      <c r="V1003" s="49"/>
      <c r="W1003" s="49"/>
      <c r="X1003" s="49"/>
      <c r="Y1003" s="49"/>
      <c r="Z1003" s="49"/>
      <c r="AA1003" s="49"/>
      <c r="AB1003" s="49"/>
      <c r="AC1003" s="49"/>
      <c r="AD1003" s="49"/>
      <c r="AE1003" s="49"/>
      <c r="AF1003" s="49"/>
      <c r="AG1003" s="49"/>
      <c r="AH1003" s="49" t="b">
        <f>IFERROR(__xludf.DUMMYFUNCTION("""COMPUTED_VALUE"""),FALSE)</f>
        <v>0</v>
      </c>
    </row>
    <row r="1004">
      <c r="A1004" s="49"/>
      <c r="B1004" s="49"/>
      <c r="C1004" s="49"/>
      <c r="D1004" s="49"/>
      <c r="E1004" s="49">
        <f>IFERROR(__xludf.DUMMYFUNCTION("""COMPUTED_VALUE"""),1.0)</f>
        <v>1</v>
      </c>
      <c r="F1004" s="112">
        <f>IFERROR(__xludf.DUMMYFUNCTION("""COMPUTED_VALUE"""),0.0)</f>
        <v>0</v>
      </c>
      <c r="G1004" s="49"/>
      <c r="H1004" s="49"/>
      <c r="I1004" s="49"/>
      <c r="J1004" s="49"/>
      <c r="K1004" s="49"/>
      <c r="L1004" s="49"/>
      <c r="M1004" s="49"/>
      <c r="N1004" s="49"/>
      <c r="O1004" s="49"/>
      <c r="P1004" s="49"/>
      <c r="Q1004" s="49"/>
      <c r="R1004" s="49"/>
      <c r="S1004" s="49"/>
      <c r="T1004" s="49"/>
      <c r="U1004" s="49"/>
      <c r="V1004" s="49"/>
      <c r="W1004" s="49"/>
      <c r="X1004" s="49"/>
      <c r="Y1004" s="49"/>
      <c r="Z1004" s="49"/>
      <c r="AA1004" s="49"/>
      <c r="AB1004" s="49"/>
      <c r="AC1004" s="49"/>
      <c r="AD1004" s="49"/>
      <c r="AE1004" s="49"/>
      <c r="AF1004" s="49"/>
      <c r="AG1004" s="49"/>
      <c r="AH1004" s="49" t="b">
        <f>IFERROR(__xludf.DUMMYFUNCTION("""COMPUTED_VALUE"""),FALSE)</f>
        <v>0</v>
      </c>
    </row>
    <row r="1005">
      <c r="A1005" s="49"/>
      <c r="B1005" s="49"/>
      <c r="C1005" s="49"/>
      <c r="D1005" s="49"/>
      <c r="E1005" s="49">
        <f>IFERROR(__xludf.DUMMYFUNCTION("""COMPUTED_VALUE"""),1.0)</f>
        <v>1</v>
      </c>
      <c r="F1005" s="112">
        <f>IFERROR(__xludf.DUMMYFUNCTION("""COMPUTED_VALUE"""),0.0)</f>
        <v>0</v>
      </c>
      <c r="G1005" s="49"/>
      <c r="H1005" s="49"/>
      <c r="I1005" s="49"/>
      <c r="J1005" s="49"/>
      <c r="K1005" s="49"/>
      <c r="L1005" s="49"/>
      <c r="M1005" s="49"/>
      <c r="N1005" s="49"/>
      <c r="O1005" s="49"/>
      <c r="P1005" s="49"/>
      <c r="Q1005" s="49"/>
      <c r="R1005" s="49"/>
      <c r="S1005" s="49"/>
      <c r="T1005" s="49"/>
      <c r="U1005" s="49"/>
      <c r="V1005" s="49"/>
      <c r="W1005" s="49"/>
      <c r="X1005" s="49"/>
      <c r="Y1005" s="49"/>
      <c r="Z1005" s="49"/>
      <c r="AA1005" s="49"/>
      <c r="AB1005" s="49"/>
      <c r="AC1005" s="49"/>
      <c r="AD1005" s="49"/>
      <c r="AE1005" s="49"/>
      <c r="AF1005" s="49"/>
      <c r="AG1005" s="49"/>
      <c r="AH1005" s="49" t="b">
        <f>IFERROR(__xludf.DUMMYFUNCTION("""COMPUTED_VALUE"""),FALSE)</f>
        <v>0</v>
      </c>
    </row>
    <row r="1006">
      <c r="A1006" s="49"/>
      <c r="B1006" s="49"/>
      <c r="C1006" s="49"/>
      <c r="D1006" s="49"/>
      <c r="E1006" s="49">
        <f>IFERROR(__xludf.DUMMYFUNCTION("""COMPUTED_VALUE"""),1.0)</f>
        <v>1</v>
      </c>
      <c r="F1006" s="112">
        <f>IFERROR(__xludf.DUMMYFUNCTION("""COMPUTED_VALUE"""),0.0)</f>
        <v>0</v>
      </c>
      <c r="G1006" s="49"/>
      <c r="H1006" s="49"/>
      <c r="I1006" s="49"/>
      <c r="J1006" s="49"/>
      <c r="K1006" s="49"/>
      <c r="L1006" s="49"/>
      <c r="M1006" s="49"/>
      <c r="N1006" s="49"/>
      <c r="O1006" s="49"/>
      <c r="P1006" s="49"/>
      <c r="Q1006" s="49"/>
      <c r="R1006" s="49"/>
      <c r="S1006" s="49"/>
      <c r="T1006" s="49"/>
      <c r="U1006" s="49"/>
      <c r="V1006" s="49"/>
      <c r="W1006" s="49"/>
      <c r="X1006" s="49"/>
      <c r="Y1006" s="49"/>
      <c r="Z1006" s="49"/>
      <c r="AA1006" s="49"/>
      <c r="AB1006" s="49"/>
      <c r="AC1006" s="49"/>
      <c r="AD1006" s="49"/>
      <c r="AE1006" s="49"/>
      <c r="AF1006" s="49"/>
      <c r="AG1006" s="49"/>
      <c r="AH1006" s="49" t="b">
        <f>IFERROR(__xludf.DUMMYFUNCTION("""COMPUTED_VALUE"""),FALSE)</f>
        <v>0</v>
      </c>
    </row>
    <row r="1007">
      <c r="A1007" s="49"/>
      <c r="B1007" s="49"/>
      <c r="C1007" s="49"/>
      <c r="D1007" s="49"/>
      <c r="E1007" s="49">
        <f>IFERROR(__xludf.DUMMYFUNCTION("""COMPUTED_VALUE"""),1.0)</f>
        <v>1</v>
      </c>
      <c r="F1007" s="112">
        <f>IFERROR(__xludf.DUMMYFUNCTION("""COMPUTED_VALUE"""),0.0)</f>
        <v>0</v>
      </c>
      <c r="G1007" s="49"/>
      <c r="H1007" s="49"/>
      <c r="I1007" s="49"/>
      <c r="J1007" s="49"/>
      <c r="K1007" s="49"/>
      <c r="L1007" s="49"/>
      <c r="M1007" s="49"/>
      <c r="N1007" s="49"/>
      <c r="O1007" s="49"/>
      <c r="P1007" s="49"/>
      <c r="Q1007" s="49"/>
      <c r="R1007" s="49"/>
      <c r="S1007" s="49"/>
      <c r="T1007" s="49"/>
      <c r="U1007" s="49"/>
      <c r="V1007" s="49"/>
      <c r="W1007" s="49"/>
      <c r="X1007" s="49"/>
      <c r="Y1007" s="49"/>
      <c r="Z1007" s="49"/>
      <c r="AA1007" s="49"/>
      <c r="AB1007" s="49"/>
      <c r="AC1007" s="49"/>
      <c r="AD1007" s="49"/>
      <c r="AE1007" s="49"/>
      <c r="AF1007" s="49"/>
      <c r="AG1007" s="49"/>
      <c r="AH1007" s="49" t="b">
        <f>IFERROR(__xludf.DUMMYFUNCTION("""COMPUTED_VALUE"""),FALSE)</f>
        <v>0</v>
      </c>
    </row>
    <row r="1008">
      <c r="A1008" s="49"/>
      <c r="B1008" s="49"/>
      <c r="C1008" s="49"/>
      <c r="D1008" s="49"/>
      <c r="E1008" s="49">
        <f>IFERROR(__xludf.DUMMYFUNCTION("""COMPUTED_VALUE"""),1.0)</f>
        <v>1</v>
      </c>
      <c r="F1008" s="112">
        <f>IFERROR(__xludf.DUMMYFUNCTION("""COMPUTED_VALUE"""),0.0)</f>
        <v>0</v>
      </c>
      <c r="G1008" s="49"/>
      <c r="H1008" s="49"/>
      <c r="I1008" s="49"/>
      <c r="J1008" s="49"/>
      <c r="K1008" s="49"/>
      <c r="L1008" s="49"/>
      <c r="M1008" s="49"/>
      <c r="N1008" s="49"/>
      <c r="O1008" s="49"/>
      <c r="P1008" s="49"/>
      <c r="Q1008" s="49"/>
      <c r="R1008" s="49"/>
      <c r="S1008" s="49"/>
      <c r="T1008" s="49"/>
      <c r="U1008" s="49"/>
      <c r="V1008" s="49"/>
      <c r="W1008" s="49"/>
      <c r="X1008" s="49"/>
      <c r="Y1008" s="49"/>
      <c r="Z1008" s="49"/>
      <c r="AA1008" s="49"/>
      <c r="AB1008" s="49"/>
      <c r="AC1008" s="49"/>
      <c r="AD1008" s="49"/>
      <c r="AE1008" s="49"/>
      <c r="AF1008" s="49"/>
      <c r="AG1008" s="49"/>
      <c r="AH1008" s="49" t="b">
        <f>IFERROR(__xludf.DUMMYFUNCTION("""COMPUTED_VALUE"""),FALSE)</f>
        <v>0</v>
      </c>
    </row>
    <row r="1009">
      <c r="A1009" s="49"/>
      <c r="B1009" s="49"/>
      <c r="C1009" s="49"/>
      <c r="D1009" s="49"/>
      <c r="E1009" s="49">
        <f>IFERROR(__xludf.DUMMYFUNCTION("""COMPUTED_VALUE"""),1.0)</f>
        <v>1</v>
      </c>
      <c r="F1009" s="112">
        <f>IFERROR(__xludf.DUMMYFUNCTION("""COMPUTED_VALUE"""),0.0)</f>
        <v>0</v>
      </c>
      <c r="G1009" s="49"/>
      <c r="H1009" s="49"/>
      <c r="I1009" s="49"/>
      <c r="J1009" s="49"/>
      <c r="K1009" s="49"/>
      <c r="L1009" s="49"/>
      <c r="M1009" s="49"/>
      <c r="N1009" s="49"/>
      <c r="O1009" s="49"/>
      <c r="P1009" s="49"/>
      <c r="Q1009" s="49"/>
      <c r="R1009" s="49"/>
      <c r="S1009" s="49"/>
      <c r="T1009" s="49"/>
      <c r="U1009" s="49"/>
      <c r="V1009" s="49"/>
      <c r="W1009" s="49"/>
      <c r="X1009" s="49"/>
      <c r="Y1009" s="49"/>
      <c r="Z1009" s="49"/>
      <c r="AA1009" s="49"/>
      <c r="AB1009" s="49"/>
      <c r="AC1009" s="49"/>
      <c r="AD1009" s="49"/>
      <c r="AE1009" s="49"/>
      <c r="AF1009" s="49"/>
      <c r="AG1009" s="49"/>
      <c r="AH1009" s="49" t="b">
        <f>IFERROR(__xludf.DUMMYFUNCTION("""COMPUTED_VALUE"""),FALSE)</f>
        <v>0</v>
      </c>
    </row>
    <row r="1010">
      <c r="A1010" s="49"/>
      <c r="B1010" s="49"/>
      <c r="C1010" s="49"/>
      <c r="D1010" s="49"/>
      <c r="E1010" s="49">
        <f>IFERROR(__xludf.DUMMYFUNCTION("""COMPUTED_VALUE"""),1.0)</f>
        <v>1</v>
      </c>
      <c r="F1010" s="112">
        <f>IFERROR(__xludf.DUMMYFUNCTION("""COMPUTED_VALUE"""),0.0)</f>
        <v>0</v>
      </c>
      <c r="G1010" s="49"/>
      <c r="H1010" s="49"/>
      <c r="I1010" s="49"/>
      <c r="J1010" s="49"/>
      <c r="K1010" s="49"/>
      <c r="L1010" s="49"/>
      <c r="M1010" s="49"/>
      <c r="N1010" s="49"/>
      <c r="O1010" s="49"/>
      <c r="P1010" s="49"/>
      <c r="Q1010" s="49"/>
      <c r="R1010" s="49"/>
      <c r="S1010" s="49"/>
      <c r="T1010" s="49"/>
      <c r="U1010" s="49"/>
      <c r="V1010" s="49"/>
      <c r="W1010" s="49"/>
      <c r="X1010" s="49"/>
      <c r="Y1010" s="49"/>
      <c r="Z1010" s="49"/>
      <c r="AA1010" s="49"/>
      <c r="AB1010" s="49"/>
      <c r="AC1010" s="49"/>
      <c r="AD1010" s="49"/>
      <c r="AE1010" s="49"/>
      <c r="AF1010" s="49"/>
      <c r="AG1010" s="49"/>
      <c r="AH1010" s="49" t="b">
        <f>IFERROR(__xludf.DUMMYFUNCTION("""COMPUTED_VALUE"""),FALSE)</f>
        <v>0</v>
      </c>
    </row>
    <row r="1011">
      <c r="A1011" s="49"/>
      <c r="B1011" s="49"/>
      <c r="C1011" s="49"/>
      <c r="D1011" s="49"/>
      <c r="E1011" s="49">
        <f>IFERROR(__xludf.DUMMYFUNCTION("""COMPUTED_VALUE"""),1.0)</f>
        <v>1</v>
      </c>
      <c r="F1011" s="112">
        <f>IFERROR(__xludf.DUMMYFUNCTION("""COMPUTED_VALUE"""),0.0)</f>
        <v>0</v>
      </c>
      <c r="G1011" s="49"/>
      <c r="H1011" s="49"/>
      <c r="I1011" s="49"/>
      <c r="J1011" s="49"/>
      <c r="K1011" s="49"/>
      <c r="L1011" s="49"/>
      <c r="M1011" s="49"/>
      <c r="N1011" s="49"/>
      <c r="O1011" s="49"/>
      <c r="P1011" s="49"/>
      <c r="Q1011" s="49"/>
      <c r="R1011" s="49"/>
      <c r="S1011" s="49"/>
      <c r="T1011" s="49"/>
      <c r="U1011" s="49"/>
      <c r="V1011" s="49"/>
      <c r="W1011" s="49"/>
      <c r="X1011" s="49"/>
      <c r="Y1011" s="49"/>
      <c r="Z1011" s="49"/>
      <c r="AA1011" s="49"/>
      <c r="AB1011" s="49"/>
      <c r="AC1011" s="49"/>
      <c r="AD1011" s="49"/>
      <c r="AE1011" s="49"/>
      <c r="AF1011" s="49"/>
      <c r="AG1011" s="49"/>
      <c r="AH1011" s="49" t="b">
        <f>IFERROR(__xludf.DUMMYFUNCTION("""COMPUTED_VALUE"""),FALSE)</f>
        <v>0</v>
      </c>
    </row>
    <row r="1012">
      <c r="A1012" s="49"/>
      <c r="B1012" s="49"/>
      <c r="C1012" s="49"/>
      <c r="D1012" s="49"/>
      <c r="E1012" s="49">
        <f>IFERROR(__xludf.DUMMYFUNCTION("""COMPUTED_VALUE"""),1.0)</f>
        <v>1</v>
      </c>
      <c r="F1012" s="112">
        <f>IFERROR(__xludf.DUMMYFUNCTION("""COMPUTED_VALUE"""),0.0)</f>
        <v>0</v>
      </c>
      <c r="G1012" s="49"/>
      <c r="H1012" s="49"/>
      <c r="I1012" s="49"/>
      <c r="J1012" s="49"/>
      <c r="K1012" s="49"/>
      <c r="L1012" s="49"/>
      <c r="M1012" s="49"/>
      <c r="N1012" s="49"/>
      <c r="O1012" s="49"/>
      <c r="P1012" s="49"/>
      <c r="Q1012" s="49"/>
      <c r="R1012" s="49"/>
      <c r="S1012" s="49"/>
      <c r="T1012" s="49"/>
      <c r="U1012" s="49"/>
      <c r="V1012" s="49"/>
      <c r="W1012" s="49"/>
      <c r="X1012" s="49"/>
      <c r="Y1012" s="49"/>
      <c r="Z1012" s="49"/>
      <c r="AA1012" s="49"/>
      <c r="AB1012" s="49"/>
      <c r="AC1012" s="49"/>
      <c r="AD1012" s="49"/>
      <c r="AE1012" s="49"/>
      <c r="AF1012" s="49"/>
      <c r="AG1012" s="49"/>
      <c r="AH1012" s="49" t="b">
        <f>IFERROR(__xludf.DUMMYFUNCTION("""COMPUTED_VALUE"""),FALSE)</f>
        <v>0</v>
      </c>
    </row>
    <row r="1013">
      <c r="A1013" s="49"/>
      <c r="B1013" s="49"/>
      <c r="C1013" s="49"/>
      <c r="D1013" s="49"/>
      <c r="E1013" s="49">
        <f>IFERROR(__xludf.DUMMYFUNCTION("""COMPUTED_VALUE"""),1.0)</f>
        <v>1</v>
      </c>
      <c r="F1013" s="112">
        <f>IFERROR(__xludf.DUMMYFUNCTION("""COMPUTED_VALUE"""),0.0)</f>
        <v>0</v>
      </c>
      <c r="G1013" s="49"/>
      <c r="H1013" s="49"/>
      <c r="I1013" s="49"/>
      <c r="J1013" s="49"/>
      <c r="K1013" s="49"/>
      <c r="L1013" s="49"/>
      <c r="M1013" s="49"/>
      <c r="N1013" s="49"/>
      <c r="O1013" s="49"/>
      <c r="P1013" s="49"/>
      <c r="Q1013" s="49"/>
      <c r="R1013" s="49"/>
      <c r="S1013" s="49"/>
      <c r="T1013" s="49"/>
      <c r="U1013" s="49"/>
      <c r="V1013" s="49"/>
      <c r="W1013" s="49"/>
      <c r="X1013" s="49"/>
      <c r="Y1013" s="49"/>
      <c r="Z1013" s="49"/>
      <c r="AA1013" s="49"/>
      <c r="AB1013" s="49"/>
      <c r="AC1013" s="49"/>
      <c r="AD1013" s="49"/>
      <c r="AE1013" s="49"/>
      <c r="AF1013" s="49"/>
      <c r="AG1013" s="49"/>
      <c r="AH1013" s="49" t="b">
        <f>IFERROR(__xludf.DUMMYFUNCTION("""COMPUTED_VALUE"""),FALSE)</f>
        <v>0</v>
      </c>
    </row>
    <row r="1014">
      <c r="A1014" s="49"/>
      <c r="B1014" s="49"/>
      <c r="C1014" s="49"/>
      <c r="D1014" s="49"/>
      <c r="E1014" s="49">
        <f>IFERROR(__xludf.DUMMYFUNCTION("""COMPUTED_VALUE"""),1.0)</f>
        <v>1</v>
      </c>
      <c r="F1014" s="112">
        <f>IFERROR(__xludf.DUMMYFUNCTION("""COMPUTED_VALUE"""),0.0)</f>
        <v>0</v>
      </c>
      <c r="G1014" s="49"/>
      <c r="H1014" s="49"/>
      <c r="I1014" s="49"/>
      <c r="J1014" s="49"/>
      <c r="K1014" s="49"/>
      <c r="L1014" s="49"/>
      <c r="M1014" s="49"/>
      <c r="N1014" s="49"/>
      <c r="O1014" s="49"/>
      <c r="P1014" s="49"/>
      <c r="Q1014" s="49"/>
      <c r="R1014" s="49"/>
      <c r="S1014" s="49"/>
      <c r="T1014" s="49"/>
      <c r="U1014" s="49"/>
      <c r="V1014" s="49"/>
      <c r="W1014" s="49"/>
      <c r="X1014" s="49"/>
      <c r="Y1014" s="49"/>
      <c r="Z1014" s="49"/>
      <c r="AA1014" s="49"/>
      <c r="AB1014" s="49"/>
      <c r="AC1014" s="49"/>
      <c r="AD1014" s="49"/>
      <c r="AE1014" s="49"/>
      <c r="AF1014" s="49"/>
      <c r="AG1014" s="49"/>
      <c r="AH1014" s="49" t="b">
        <f>IFERROR(__xludf.DUMMYFUNCTION("""COMPUTED_VALUE"""),FALSE)</f>
        <v>0</v>
      </c>
    </row>
    <row r="1015">
      <c r="A1015" s="49"/>
      <c r="B1015" s="49"/>
      <c r="C1015" s="49"/>
      <c r="D1015" s="49"/>
      <c r="E1015" s="49">
        <f>IFERROR(__xludf.DUMMYFUNCTION("""COMPUTED_VALUE"""),1.0)</f>
        <v>1</v>
      </c>
      <c r="F1015" s="112">
        <f>IFERROR(__xludf.DUMMYFUNCTION("""COMPUTED_VALUE"""),0.0)</f>
        <v>0</v>
      </c>
      <c r="G1015" s="49"/>
      <c r="H1015" s="49"/>
      <c r="I1015" s="49"/>
      <c r="J1015" s="49"/>
      <c r="K1015" s="49"/>
      <c r="L1015" s="49"/>
      <c r="M1015" s="49"/>
      <c r="N1015" s="49"/>
      <c r="O1015" s="49"/>
      <c r="P1015" s="49"/>
      <c r="Q1015" s="49"/>
      <c r="R1015" s="49"/>
      <c r="S1015" s="49"/>
      <c r="T1015" s="49"/>
      <c r="U1015" s="49"/>
      <c r="V1015" s="49"/>
      <c r="W1015" s="49"/>
      <c r="X1015" s="49"/>
      <c r="Y1015" s="49"/>
      <c r="Z1015" s="49"/>
      <c r="AA1015" s="49"/>
      <c r="AB1015" s="49"/>
      <c r="AC1015" s="49"/>
      <c r="AD1015" s="49"/>
      <c r="AE1015" s="49"/>
      <c r="AF1015" s="49"/>
      <c r="AG1015" s="49"/>
      <c r="AH1015" s="49" t="b">
        <f>IFERROR(__xludf.DUMMYFUNCTION("""COMPUTED_VALUE"""),FALSE)</f>
        <v>0</v>
      </c>
    </row>
    <row r="1016">
      <c r="A1016" s="49"/>
      <c r="B1016" s="49"/>
      <c r="C1016" s="49"/>
      <c r="D1016" s="49"/>
      <c r="E1016" s="49">
        <f>IFERROR(__xludf.DUMMYFUNCTION("""COMPUTED_VALUE"""),1.0)</f>
        <v>1</v>
      </c>
      <c r="F1016" s="112">
        <f>IFERROR(__xludf.DUMMYFUNCTION("""COMPUTED_VALUE"""),0.0)</f>
        <v>0</v>
      </c>
      <c r="G1016" s="49"/>
      <c r="H1016" s="49"/>
      <c r="I1016" s="49"/>
      <c r="J1016" s="49"/>
      <c r="K1016" s="49"/>
      <c r="L1016" s="49"/>
      <c r="M1016" s="49"/>
      <c r="N1016" s="49"/>
      <c r="O1016" s="49"/>
      <c r="P1016" s="49"/>
      <c r="Q1016" s="49"/>
      <c r="R1016" s="49"/>
      <c r="S1016" s="49"/>
      <c r="T1016" s="49"/>
      <c r="U1016" s="49"/>
      <c r="V1016" s="49"/>
      <c r="W1016" s="49"/>
      <c r="X1016" s="49"/>
      <c r="Y1016" s="49"/>
      <c r="Z1016" s="49"/>
      <c r="AA1016" s="49"/>
      <c r="AB1016" s="49"/>
      <c r="AC1016" s="49"/>
      <c r="AD1016" s="49"/>
      <c r="AE1016" s="49"/>
      <c r="AF1016" s="49"/>
      <c r="AG1016" s="49"/>
      <c r="AH1016" s="49" t="b">
        <f>IFERROR(__xludf.DUMMYFUNCTION("""COMPUTED_VALUE"""),FALSE)</f>
        <v>0</v>
      </c>
    </row>
    <row r="1017">
      <c r="A1017" s="49"/>
      <c r="B1017" s="49"/>
      <c r="C1017" s="49"/>
      <c r="D1017" s="49"/>
      <c r="E1017" s="49">
        <f>IFERROR(__xludf.DUMMYFUNCTION("""COMPUTED_VALUE"""),1.0)</f>
        <v>1</v>
      </c>
      <c r="F1017" s="112">
        <f>IFERROR(__xludf.DUMMYFUNCTION("""COMPUTED_VALUE"""),0.0)</f>
        <v>0</v>
      </c>
      <c r="G1017" s="49"/>
      <c r="H1017" s="49"/>
      <c r="I1017" s="49"/>
      <c r="J1017" s="49"/>
      <c r="K1017" s="49"/>
      <c r="L1017" s="49"/>
      <c r="M1017" s="49"/>
      <c r="N1017" s="49"/>
      <c r="O1017" s="49"/>
      <c r="P1017" s="49"/>
      <c r="Q1017" s="49"/>
      <c r="R1017" s="49"/>
      <c r="S1017" s="49"/>
      <c r="T1017" s="49"/>
      <c r="U1017" s="49"/>
      <c r="V1017" s="49"/>
      <c r="W1017" s="49"/>
      <c r="X1017" s="49"/>
      <c r="Y1017" s="49"/>
      <c r="Z1017" s="49"/>
      <c r="AA1017" s="49"/>
      <c r="AB1017" s="49"/>
      <c r="AC1017" s="49"/>
      <c r="AD1017" s="49"/>
      <c r="AE1017" s="49"/>
      <c r="AF1017" s="49"/>
      <c r="AG1017" s="49"/>
      <c r="AH1017" s="49" t="b">
        <f>IFERROR(__xludf.DUMMYFUNCTION("""COMPUTED_VALUE"""),FALSE)</f>
        <v>0</v>
      </c>
    </row>
    <row r="1018">
      <c r="A1018" s="49"/>
      <c r="B1018" s="49"/>
      <c r="C1018" s="49"/>
      <c r="D1018" s="49"/>
      <c r="E1018" s="49">
        <f>IFERROR(__xludf.DUMMYFUNCTION("""COMPUTED_VALUE"""),1.0)</f>
        <v>1</v>
      </c>
      <c r="F1018" s="112">
        <f>IFERROR(__xludf.DUMMYFUNCTION("""COMPUTED_VALUE"""),0.0)</f>
        <v>0</v>
      </c>
      <c r="G1018" s="49"/>
      <c r="H1018" s="49"/>
      <c r="I1018" s="49"/>
      <c r="J1018" s="49"/>
      <c r="K1018" s="49"/>
      <c r="L1018" s="49"/>
      <c r="M1018" s="49"/>
      <c r="N1018" s="49"/>
      <c r="O1018" s="49"/>
      <c r="P1018" s="49"/>
      <c r="Q1018" s="49"/>
      <c r="R1018" s="49"/>
      <c r="S1018" s="49"/>
      <c r="T1018" s="49"/>
      <c r="U1018" s="49"/>
      <c r="V1018" s="49"/>
      <c r="W1018" s="49"/>
      <c r="X1018" s="49"/>
      <c r="Y1018" s="49"/>
      <c r="Z1018" s="49"/>
      <c r="AA1018" s="49"/>
      <c r="AB1018" s="49"/>
      <c r="AC1018" s="49"/>
      <c r="AD1018" s="49"/>
      <c r="AE1018" s="49"/>
      <c r="AF1018" s="49"/>
      <c r="AG1018" s="49"/>
      <c r="AH1018" s="49" t="b">
        <f>IFERROR(__xludf.DUMMYFUNCTION("""COMPUTED_VALUE"""),FALSE)</f>
        <v>0</v>
      </c>
    </row>
    <row r="1019">
      <c r="A1019" s="49"/>
      <c r="B1019" s="49"/>
      <c r="C1019" s="49"/>
      <c r="D1019" s="49"/>
      <c r="E1019" s="49">
        <f>IFERROR(__xludf.DUMMYFUNCTION("""COMPUTED_VALUE"""),1.0)</f>
        <v>1</v>
      </c>
      <c r="F1019" s="112">
        <f>IFERROR(__xludf.DUMMYFUNCTION("""COMPUTED_VALUE"""),0.0)</f>
        <v>0</v>
      </c>
      <c r="G1019" s="49"/>
      <c r="H1019" s="49"/>
      <c r="I1019" s="49"/>
      <c r="J1019" s="49"/>
      <c r="K1019" s="49"/>
      <c r="L1019" s="49"/>
      <c r="M1019" s="49"/>
      <c r="N1019" s="49"/>
      <c r="O1019" s="49"/>
      <c r="P1019" s="49"/>
      <c r="Q1019" s="49"/>
      <c r="R1019" s="49"/>
      <c r="S1019" s="49"/>
      <c r="T1019" s="49"/>
      <c r="U1019" s="49"/>
      <c r="V1019" s="49"/>
      <c r="W1019" s="49"/>
      <c r="X1019" s="49"/>
      <c r="Y1019" s="49"/>
      <c r="Z1019" s="49"/>
      <c r="AA1019" s="49"/>
      <c r="AB1019" s="49"/>
      <c r="AC1019" s="49"/>
      <c r="AD1019" s="49"/>
      <c r="AE1019" s="49"/>
      <c r="AF1019" s="49"/>
      <c r="AG1019" s="49"/>
      <c r="AH1019" s="49" t="b">
        <f>IFERROR(__xludf.DUMMYFUNCTION("""COMPUTED_VALUE"""),FALSE)</f>
        <v>0</v>
      </c>
    </row>
    <row r="1020">
      <c r="A1020" s="49"/>
      <c r="B1020" s="49"/>
      <c r="C1020" s="49"/>
      <c r="D1020" s="49"/>
      <c r="E1020" s="49">
        <f>IFERROR(__xludf.DUMMYFUNCTION("""COMPUTED_VALUE"""),1.0)</f>
        <v>1</v>
      </c>
      <c r="F1020" s="112">
        <f>IFERROR(__xludf.DUMMYFUNCTION("""COMPUTED_VALUE"""),0.0)</f>
        <v>0</v>
      </c>
      <c r="G1020" s="49"/>
      <c r="H1020" s="49"/>
      <c r="I1020" s="49"/>
      <c r="J1020" s="49"/>
      <c r="K1020" s="49"/>
      <c r="L1020" s="49"/>
      <c r="M1020" s="49"/>
      <c r="N1020" s="49"/>
      <c r="O1020" s="49"/>
      <c r="P1020" s="49"/>
      <c r="Q1020" s="49"/>
      <c r="R1020" s="49"/>
      <c r="S1020" s="49"/>
      <c r="T1020" s="49"/>
      <c r="U1020" s="49"/>
      <c r="V1020" s="49"/>
      <c r="W1020" s="49"/>
      <c r="X1020" s="49"/>
      <c r="Y1020" s="49"/>
      <c r="Z1020" s="49"/>
      <c r="AA1020" s="49"/>
      <c r="AB1020" s="49"/>
      <c r="AC1020" s="49"/>
      <c r="AD1020" s="49"/>
      <c r="AE1020" s="49"/>
      <c r="AF1020" s="49"/>
      <c r="AG1020" s="49"/>
      <c r="AH1020" s="49" t="b">
        <f>IFERROR(__xludf.DUMMYFUNCTION("""COMPUTED_VALUE"""),FALSE)</f>
        <v>0</v>
      </c>
    </row>
    <row r="1021">
      <c r="A1021" s="49"/>
      <c r="B1021" s="49"/>
      <c r="C1021" s="49"/>
      <c r="D1021" s="49"/>
      <c r="E1021" s="49">
        <f>IFERROR(__xludf.DUMMYFUNCTION("""COMPUTED_VALUE"""),1.0)</f>
        <v>1</v>
      </c>
      <c r="F1021" s="112">
        <f>IFERROR(__xludf.DUMMYFUNCTION("""COMPUTED_VALUE"""),0.0)</f>
        <v>0</v>
      </c>
      <c r="G1021" s="49"/>
      <c r="H1021" s="49"/>
      <c r="I1021" s="49"/>
      <c r="J1021" s="49"/>
      <c r="K1021" s="49"/>
      <c r="L1021" s="49"/>
      <c r="M1021" s="49"/>
      <c r="N1021" s="49"/>
      <c r="O1021" s="49"/>
      <c r="P1021" s="49"/>
      <c r="Q1021" s="49"/>
      <c r="R1021" s="49"/>
      <c r="S1021" s="49"/>
      <c r="T1021" s="49"/>
      <c r="U1021" s="49"/>
      <c r="V1021" s="49"/>
      <c r="W1021" s="49"/>
      <c r="X1021" s="49"/>
      <c r="Y1021" s="49"/>
      <c r="Z1021" s="49"/>
      <c r="AA1021" s="49"/>
      <c r="AB1021" s="49"/>
      <c r="AC1021" s="49"/>
      <c r="AD1021" s="49"/>
      <c r="AE1021" s="49"/>
      <c r="AF1021" s="49"/>
      <c r="AG1021" s="49"/>
      <c r="AH1021" s="49" t="b">
        <f>IFERROR(__xludf.DUMMYFUNCTION("""COMPUTED_VALUE"""),FALSE)</f>
        <v>0</v>
      </c>
    </row>
    <row r="1022">
      <c r="A1022" s="49"/>
      <c r="B1022" s="49"/>
      <c r="C1022" s="49"/>
      <c r="D1022" s="49"/>
      <c r="E1022" s="49">
        <f>IFERROR(__xludf.DUMMYFUNCTION("""COMPUTED_VALUE"""),1.0)</f>
        <v>1</v>
      </c>
      <c r="F1022" s="112">
        <f>IFERROR(__xludf.DUMMYFUNCTION("""COMPUTED_VALUE"""),0.0)</f>
        <v>0</v>
      </c>
      <c r="G1022" s="49"/>
      <c r="H1022" s="49"/>
      <c r="I1022" s="49"/>
      <c r="J1022" s="49"/>
      <c r="K1022" s="49"/>
      <c r="L1022" s="49"/>
      <c r="M1022" s="49"/>
      <c r="N1022" s="49"/>
      <c r="O1022" s="49"/>
      <c r="P1022" s="49"/>
      <c r="Q1022" s="49"/>
      <c r="R1022" s="49"/>
      <c r="S1022" s="49"/>
      <c r="T1022" s="49"/>
      <c r="U1022" s="49"/>
      <c r="V1022" s="49"/>
      <c r="W1022" s="49"/>
      <c r="X1022" s="49"/>
      <c r="Y1022" s="49"/>
      <c r="Z1022" s="49"/>
      <c r="AA1022" s="49"/>
      <c r="AB1022" s="49"/>
      <c r="AC1022" s="49"/>
      <c r="AD1022" s="49"/>
      <c r="AE1022" s="49"/>
      <c r="AF1022" s="49"/>
      <c r="AG1022" s="49"/>
      <c r="AH1022" s="49" t="b">
        <f>IFERROR(__xludf.DUMMYFUNCTION("""COMPUTED_VALUE"""),FALSE)</f>
        <v>0</v>
      </c>
    </row>
    <row r="1023">
      <c r="A1023" s="49"/>
      <c r="B1023" s="49"/>
      <c r="C1023" s="49"/>
      <c r="D1023" s="49"/>
      <c r="E1023" s="49">
        <f>IFERROR(__xludf.DUMMYFUNCTION("""COMPUTED_VALUE"""),1.0)</f>
        <v>1</v>
      </c>
      <c r="F1023" s="112">
        <f>IFERROR(__xludf.DUMMYFUNCTION("""COMPUTED_VALUE"""),0.0)</f>
        <v>0</v>
      </c>
      <c r="G1023" s="49"/>
      <c r="H1023" s="49"/>
      <c r="I1023" s="49"/>
      <c r="J1023" s="49"/>
      <c r="K1023" s="49"/>
      <c r="L1023" s="49"/>
      <c r="M1023" s="49"/>
      <c r="N1023" s="49"/>
      <c r="O1023" s="49"/>
      <c r="P1023" s="49"/>
      <c r="Q1023" s="49"/>
      <c r="R1023" s="49"/>
      <c r="S1023" s="49"/>
      <c r="T1023" s="49"/>
      <c r="U1023" s="49"/>
      <c r="V1023" s="49"/>
      <c r="W1023" s="49"/>
      <c r="X1023" s="49"/>
      <c r="Y1023" s="49"/>
      <c r="Z1023" s="49"/>
      <c r="AA1023" s="49"/>
      <c r="AB1023" s="49"/>
      <c r="AC1023" s="49"/>
      <c r="AD1023" s="49"/>
      <c r="AE1023" s="49"/>
      <c r="AF1023" s="49"/>
      <c r="AG1023" s="49"/>
      <c r="AH1023" s="49" t="b">
        <f>IFERROR(__xludf.DUMMYFUNCTION("""COMPUTED_VALUE"""),FALSE)</f>
        <v>0</v>
      </c>
    </row>
    <row r="1024">
      <c r="A1024" s="49"/>
      <c r="B1024" s="49"/>
      <c r="C1024" s="49"/>
      <c r="D1024" s="49"/>
      <c r="E1024" s="49">
        <f>IFERROR(__xludf.DUMMYFUNCTION("""COMPUTED_VALUE"""),1.0)</f>
        <v>1</v>
      </c>
      <c r="F1024" s="112">
        <f>IFERROR(__xludf.DUMMYFUNCTION("""COMPUTED_VALUE"""),0.0)</f>
        <v>0</v>
      </c>
      <c r="G1024" s="49"/>
      <c r="H1024" s="49"/>
      <c r="I1024" s="49"/>
      <c r="J1024" s="49"/>
      <c r="K1024" s="49"/>
      <c r="L1024" s="49"/>
      <c r="M1024" s="49"/>
      <c r="N1024" s="49"/>
      <c r="O1024" s="49"/>
      <c r="P1024" s="49"/>
      <c r="Q1024" s="49"/>
      <c r="R1024" s="49"/>
      <c r="S1024" s="49"/>
      <c r="T1024" s="49"/>
      <c r="U1024" s="49"/>
      <c r="V1024" s="49"/>
      <c r="W1024" s="49"/>
      <c r="X1024" s="49"/>
      <c r="Y1024" s="49"/>
      <c r="Z1024" s="49"/>
      <c r="AA1024" s="49"/>
      <c r="AB1024" s="49"/>
      <c r="AC1024" s="49"/>
      <c r="AD1024" s="49"/>
      <c r="AE1024" s="49"/>
      <c r="AF1024" s="49"/>
      <c r="AG1024" s="49"/>
      <c r="AH1024" s="49" t="b">
        <f>IFERROR(__xludf.DUMMYFUNCTION("""COMPUTED_VALUE"""),FALSE)</f>
        <v>0</v>
      </c>
    </row>
    <row r="1025">
      <c r="A1025" s="49"/>
      <c r="B1025" s="49"/>
      <c r="C1025" s="49"/>
      <c r="D1025" s="49"/>
      <c r="E1025" s="49">
        <f>IFERROR(__xludf.DUMMYFUNCTION("""COMPUTED_VALUE"""),1.0)</f>
        <v>1</v>
      </c>
      <c r="F1025" s="112">
        <f>IFERROR(__xludf.DUMMYFUNCTION("""COMPUTED_VALUE"""),0.0)</f>
        <v>0</v>
      </c>
      <c r="G1025" s="49"/>
      <c r="H1025" s="49"/>
      <c r="I1025" s="49"/>
      <c r="J1025" s="49"/>
      <c r="K1025" s="49"/>
      <c r="L1025" s="49"/>
      <c r="M1025" s="49"/>
      <c r="N1025" s="49"/>
      <c r="O1025" s="49"/>
      <c r="P1025" s="49"/>
      <c r="Q1025" s="49"/>
      <c r="R1025" s="49"/>
      <c r="S1025" s="49"/>
      <c r="T1025" s="49"/>
      <c r="U1025" s="49"/>
      <c r="V1025" s="49"/>
      <c r="W1025" s="49"/>
      <c r="X1025" s="49"/>
      <c r="Y1025" s="49"/>
      <c r="Z1025" s="49"/>
      <c r="AA1025" s="49"/>
      <c r="AB1025" s="49"/>
      <c r="AC1025" s="49"/>
      <c r="AD1025" s="49"/>
      <c r="AE1025" s="49"/>
      <c r="AF1025" s="49"/>
      <c r="AG1025" s="49"/>
      <c r="AH1025" s="49" t="b">
        <f>IFERROR(__xludf.DUMMYFUNCTION("""COMPUTED_VALUE"""),FALSE)</f>
        <v>0</v>
      </c>
    </row>
    <row r="1026">
      <c r="A1026" s="49"/>
      <c r="B1026" s="49"/>
      <c r="C1026" s="49"/>
      <c r="D1026" s="49"/>
      <c r="E1026" s="49">
        <f>IFERROR(__xludf.DUMMYFUNCTION("""COMPUTED_VALUE"""),1.0)</f>
        <v>1</v>
      </c>
      <c r="F1026" s="112">
        <f>IFERROR(__xludf.DUMMYFUNCTION("""COMPUTED_VALUE"""),0.0)</f>
        <v>0</v>
      </c>
      <c r="G1026" s="49"/>
      <c r="H1026" s="49"/>
      <c r="I1026" s="49"/>
      <c r="J1026" s="49"/>
      <c r="K1026" s="49"/>
      <c r="L1026" s="49"/>
      <c r="M1026" s="49"/>
      <c r="N1026" s="49"/>
      <c r="O1026" s="49"/>
      <c r="P1026" s="49"/>
      <c r="Q1026" s="49"/>
      <c r="R1026" s="49"/>
      <c r="S1026" s="49"/>
      <c r="T1026" s="49"/>
      <c r="U1026" s="49"/>
      <c r="V1026" s="49"/>
      <c r="W1026" s="49"/>
      <c r="X1026" s="49"/>
      <c r="Y1026" s="49"/>
      <c r="Z1026" s="49"/>
      <c r="AA1026" s="49"/>
      <c r="AB1026" s="49"/>
      <c r="AC1026" s="49"/>
      <c r="AD1026" s="49"/>
      <c r="AE1026" s="49"/>
      <c r="AF1026" s="49"/>
      <c r="AG1026" s="49"/>
      <c r="AH1026" s="49" t="b">
        <f>IFERROR(__xludf.DUMMYFUNCTION("""COMPUTED_VALUE"""),FALSE)</f>
        <v>0</v>
      </c>
    </row>
    <row r="1027">
      <c r="A1027" s="49"/>
      <c r="B1027" s="49"/>
      <c r="C1027" s="49"/>
      <c r="D1027" s="49"/>
      <c r="E1027" s="49">
        <f>IFERROR(__xludf.DUMMYFUNCTION("""COMPUTED_VALUE"""),1.0)</f>
        <v>1</v>
      </c>
      <c r="F1027" s="112">
        <f>IFERROR(__xludf.DUMMYFUNCTION("""COMPUTED_VALUE"""),0.0)</f>
        <v>0</v>
      </c>
      <c r="G1027" s="49"/>
      <c r="H1027" s="49"/>
      <c r="I1027" s="49"/>
      <c r="J1027" s="49"/>
      <c r="K1027" s="49"/>
      <c r="L1027" s="49"/>
      <c r="M1027" s="49"/>
      <c r="N1027" s="49"/>
      <c r="O1027" s="49"/>
      <c r="P1027" s="49"/>
      <c r="Q1027" s="49"/>
      <c r="R1027" s="49"/>
      <c r="S1027" s="49"/>
      <c r="T1027" s="49"/>
      <c r="U1027" s="49"/>
      <c r="V1027" s="49"/>
      <c r="W1027" s="49"/>
      <c r="X1027" s="49"/>
      <c r="Y1027" s="49"/>
      <c r="Z1027" s="49"/>
      <c r="AA1027" s="49"/>
      <c r="AB1027" s="49"/>
      <c r="AC1027" s="49"/>
      <c r="AD1027" s="49"/>
      <c r="AE1027" s="49"/>
      <c r="AF1027" s="49"/>
      <c r="AG1027" s="49"/>
      <c r="AH1027" s="49" t="b">
        <f>IFERROR(__xludf.DUMMYFUNCTION("""COMPUTED_VALUE"""),FALSE)</f>
        <v>0</v>
      </c>
    </row>
    <row r="1028">
      <c r="A1028" s="49"/>
      <c r="B1028" s="49"/>
      <c r="C1028" s="49"/>
      <c r="D1028" s="49"/>
      <c r="E1028" s="49">
        <f>IFERROR(__xludf.DUMMYFUNCTION("""COMPUTED_VALUE"""),1.0)</f>
        <v>1</v>
      </c>
      <c r="F1028" s="112">
        <f>IFERROR(__xludf.DUMMYFUNCTION("""COMPUTED_VALUE"""),0.0)</f>
        <v>0</v>
      </c>
      <c r="G1028" s="49"/>
      <c r="H1028" s="49"/>
      <c r="I1028" s="49"/>
      <c r="J1028" s="49"/>
      <c r="K1028" s="49"/>
      <c r="L1028" s="49"/>
      <c r="M1028" s="49"/>
      <c r="N1028" s="49"/>
      <c r="O1028" s="49"/>
      <c r="P1028" s="49"/>
      <c r="Q1028" s="49"/>
      <c r="R1028" s="49"/>
      <c r="S1028" s="49"/>
      <c r="T1028" s="49"/>
      <c r="U1028" s="49"/>
      <c r="V1028" s="49"/>
      <c r="W1028" s="49"/>
      <c r="X1028" s="49"/>
      <c r="Y1028" s="49"/>
      <c r="Z1028" s="49"/>
      <c r="AA1028" s="49"/>
      <c r="AB1028" s="49"/>
      <c r="AC1028" s="49"/>
      <c r="AD1028" s="49"/>
      <c r="AE1028" s="49"/>
      <c r="AF1028" s="49"/>
      <c r="AG1028" s="49"/>
      <c r="AH1028" s="49" t="b">
        <f>IFERROR(__xludf.DUMMYFUNCTION("""COMPUTED_VALUE"""),FALSE)</f>
        <v>0</v>
      </c>
    </row>
    <row r="1029">
      <c r="A1029" s="49"/>
      <c r="B1029" s="49"/>
      <c r="C1029" s="49"/>
      <c r="D1029" s="49"/>
      <c r="E1029" s="49">
        <f>IFERROR(__xludf.DUMMYFUNCTION("""COMPUTED_VALUE"""),1.0)</f>
        <v>1</v>
      </c>
      <c r="F1029" s="112">
        <f>IFERROR(__xludf.DUMMYFUNCTION("""COMPUTED_VALUE"""),0.0)</f>
        <v>0</v>
      </c>
      <c r="G1029" s="49"/>
      <c r="H1029" s="49"/>
      <c r="I1029" s="49"/>
      <c r="J1029" s="49"/>
      <c r="K1029" s="49"/>
      <c r="L1029" s="49"/>
      <c r="M1029" s="49"/>
      <c r="N1029" s="49"/>
      <c r="O1029" s="49"/>
      <c r="P1029" s="49"/>
      <c r="Q1029" s="49"/>
      <c r="R1029" s="49"/>
      <c r="S1029" s="49"/>
      <c r="T1029" s="49"/>
      <c r="U1029" s="49"/>
      <c r="V1029" s="49"/>
      <c r="W1029" s="49"/>
      <c r="X1029" s="49"/>
      <c r="Y1029" s="49"/>
      <c r="Z1029" s="49"/>
      <c r="AA1029" s="49"/>
      <c r="AB1029" s="49"/>
      <c r="AC1029" s="49"/>
      <c r="AD1029" s="49"/>
      <c r="AE1029" s="49"/>
      <c r="AF1029" s="49"/>
      <c r="AG1029" s="49"/>
      <c r="AH1029" s="49" t="b">
        <f>IFERROR(__xludf.DUMMYFUNCTION("""COMPUTED_VALUE"""),FALSE)</f>
        <v>0</v>
      </c>
    </row>
    <row r="1030">
      <c r="A1030" s="49"/>
      <c r="B1030" s="49"/>
      <c r="C1030" s="49"/>
      <c r="D1030" s="49"/>
      <c r="E1030" s="49">
        <f>IFERROR(__xludf.DUMMYFUNCTION("""COMPUTED_VALUE"""),1.0)</f>
        <v>1</v>
      </c>
      <c r="F1030" s="112">
        <f>IFERROR(__xludf.DUMMYFUNCTION("""COMPUTED_VALUE"""),0.0)</f>
        <v>0</v>
      </c>
      <c r="G1030" s="49"/>
      <c r="H1030" s="49"/>
      <c r="I1030" s="49"/>
      <c r="J1030" s="49"/>
      <c r="K1030" s="49"/>
      <c r="L1030" s="49"/>
      <c r="M1030" s="49"/>
      <c r="N1030" s="49"/>
      <c r="O1030" s="49"/>
      <c r="P1030" s="49"/>
      <c r="Q1030" s="49"/>
      <c r="R1030" s="49"/>
      <c r="S1030" s="49"/>
      <c r="T1030" s="49"/>
      <c r="U1030" s="49"/>
      <c r="V1030" s="49"/>
      <c r="W1030" s="49"/>
      <c r="X1030" s="49"/>
      <c r="Y1030" s="49"/>
      <c r="Z1030" s="49"/>
      <c r="AA1030" s="49"/>
      <c r="AB1030" s="49"/>
      <c r="AC1030" s="49"/>
      <c r="AD1030" s="49"/>
      <c r="AE1030" s="49"/>
      <c r="AF1030" s="49"/>
      <c r="AG1030" s="49"/>
      <c r="AH1030" s="49" t="b">
        <f>IFERROR(__xludf.DUMMYFUNCTION("""COMPUTED_VALUE"""),FALSE)</f>
        <v>0</v>
      </c>
    </row>
    <row r="1031">
      <c r="A1031" s="49"/>
      <c r="B1031" s="49"/>
      <c r="C1031" s="49"/>
      <c r="D1031" s="49"/>
      <c r="E1031" s="49">
        <f>IFERROR(__xludf.DUMMYFUNCTION("""COMPUTED_VALUE"""),1.0)</f>
        <v>1</v>
      </c>
      <c r="F1031" s="112">
        <f>IFERROR(__xludf.DUMMYFUNCTION("""COMPUTED_VALUE"""),0.0)</f>
        <v>0</v>
      </c>
      <c r="G1031" s="49"/>
      <c r="H1031" s="49"/>
      <c r="I1031" s="49"/>
      <c r="J1031" s="49"/>
      <c r="K1031" s="49"/>
      <c r="L1031" s="49"/>
      <c r="M1031" s="49"/>
      <c r="N1031" s="49"/>
      <c r="O1031" s="49"/>
      <c r="P1031" s="49"/>
      <c r="Q1031" s="49"/>
      <c r="R1031" s="49"/>
      <c r="S1031" s="49"/>
      <c r="T1031" s="49"/>
      <c r="U1031" s="49"/>
      <c r="V1031" s="49"/>
      <c r="W1031" s="49"/>
      <c r="X1031" s="49"/>
      <c r="Y1031" s="49"/>
      <c r="Z1031" s="49"/>
      <c r="AA1031" s="49"/>
      <c r="AB1031" s="49"/>
      <c r="AC1031" s="49"/>
      <c r="AD1031" s="49"/>
      <c r="AE1031" s="49"/>
      <c r="AF1031" s="49"/>
      <c r="AG1031" s="49"/>
      <c r="AH1031" s="49" t="b">
        <f>IFERROR(__xludf.DUMMYFUNCTION("""COMPUTED_VALUE"""),FALSE)</f>
        <v>0</v>
      </c>
    </row>
    <row r="1032">
      <c r="A1032" s="49"/>
      <c r="B1032" s="49"/>
      <c r="C1032" s="49"/>
      <c r="D1032" s="49"/>
      <c r="E1032" s="49">
        <f>IFERROR(__xludf.DUMMYFUNCTION("""COMPUTED_VALUE"""),1.0)</f>
        <v>1</v>
      </c>
      <c r="F1032" s="112">
        <f>IFERROR(__xludf.DUMMYFUNCTION("""COMPUTED_VALUE"""),0.0)</f>
        <v>0</v>
      </c>
      <c r="G1032" s="49"/>
      <c r="H1032" s="49"/>
      <c r="I1032" s="49"/>
      <c r="J1032" s="49"/>
      <c r="K1032" s="49"/>
      <c r="L1032" s="49"/>
      <c r="M1032" s="49"/>
      <c r="N1032" s="49"/>
      <c r="O1032" s="49"/>
      <c r="P1032" s="49"/>
      <c r="Q1032" s="49"/>
      <c r="R1032" s="49"/>
      <c r="S1032" s="49"/>
      <c r="T1032" s="49"/>
      <c r="U1032" s="49"/>
      <c r="V1032" s="49"/>
      <c r="W1032" s="49"/>
      <c r="X1032" s="49"/>
      <c r="Y1032" s="49"/>
      <c r="Z1032" s="49"/>
      <c r="AA1032" s="49"/>
      <c r="AB1032" s="49"/>
      <c r="AC1032" s="49"/>
      <c r="AD1032" s="49"/>
      <c r="AE1032" s="49"/>
      <c r="AF1032" s="49"/>
      <c r="AG1032" s="49"/>
      <c r="AH1032" s="49" t="b">
        <f>IFERROR(__xludf.DUMMYFUNCTION("""COMPUTED_VALUE"""),FALSE)</f>
        <v>0</v>
      </c>
    </row>
    <row r="1033">
      <c r="A1033" s="49"/>
      <c r="B1033" s="49"/>
      <c r="C1033" s="49"/>
      <c r="D1033" s="49"/>
      <c r="E1033" s="49">
        <f>IFERROR(__xludf.DUMMYFUNCTION("""COMPUTED_VALUE"""),1.0)</f>
        <v>1</v>
      </c>
      <c r="F1033" s="112">
        <f>IFERROR(__xludf.DUMMYFUNCTION("""COMPUTED_VALUE"""),0.0)</f>
        <v>0</v>
      </c>
      <c r="G1033" s="49"/>
      <c r="H1033" s="49"/>
      <c r="I1033" s="49"/>
      <c r="J1033" s="49"/>
      <c r="K1033" s="49"/>
      <c r="L1033" s="49"/>
      <c r="M1033" s="49"/>
      <c r="N1033" s="49"/>
      <c r="O1033" s="49"/>
      <c r="P1033" s="49"/>
      <c r="Q1033" s="49"/>
      <c r="R1033" s="49"/>
      <c r="S1033" s="49"/>
      <c r="T1033" s="49"/>
      <c r="U1033" s="49"/>
      <c r="V1033" s="49"/>
      <c r="W1033" s="49"/>
      <c r="X1033" s="49"/>
      <c r="Y1033" s="49"/>
      <c r="Z1033" s="49"/>
      <c r="AA1033" s="49"/>
      <c r="AB1033" s="49"/>
      <c r="AC1033" s="49"/>
      <c r="AD1033" s="49"/>
      <c r="AE1033" s="49"/>
      <c r="AF1033" s="49"/>
      <c r="AG1033" s="49"/>
      <c r="AH1033" s="49" t="b">
        <f>IFERROR(__xludf.DUMMYFUNCTION("""COMPUTED_VALUE"""),FALSE)</f>
        <v>0</v>
      </c>
    </row>
    <row r="1034">
      <c r="A1034" s="49"/>
      <c r="B1034" s="49"/>
      <c r="C1034" s="49"/>
      <c r="D1034" s="49"/>
      <c r="E1034" s="49">
        <f>IFERROR(__xludf.DUMMYFUNCTION("""COMPUTED_VALUE"""),1.0)</f>
        <v>1</v>
      </c>
      <c r="F1034" s="112">
        <f>IFERROR(__xludf.DUMMYFUNCTION("""COMPUTED_VALUE"""),0.0)</f>
        <v>0</v>
      </c>
      <c r="G1034" s="49"/>
      <c r="H1034" s="49"/>
      <c r="I1034" s="49"/>
      <c r="J1034" s="49"/>
      <c r="K1034" s="49"/>
      <c r="L1034" s="49"/>
      <c r="M1034" s="49"/>
      <c r="N1034" s="49"/>
      <c r="O1034" s="49"/>
      <c r="P1034" s="49"/>
      <c r="Q1034" s="49"/>
      <c r="R1034" s="49"/>
      <c r="S1034" s="49"/>
      <c r="T1034" s="49"/>
      <c r="U1034" s="49"/>
      <c r="V1034" s="49"/>
      <c r="W1034" s="49"/>
      <c r="X1034" s="49"/>
      <c r="Y1034" s="49"/>
      <c r="Z1034" s="49"/>
      <c r="AA1034" s="49"/>
      <c r="AB1034" s="49"/>
      <c r="AC1034" s="49"/>
      <c r="AD1034" s="49"/>
      <c r="AE1034" s="49"/>
      <c r="AF1034" s="49"/>
      <c r="AG1034" s="49"/>
      <c r="AH1034" s="49" t="b">
        <f>IFERROR(__xludf.DUMMYFUNCTION("""COMPUTED_VALUE"""),FALSE)</f>
        <v>0</v>
      </c>
    </row>
    <row r="1035">
      <c r="A1035" s="49"/>
      <c r="B1035" s="49"/>
      <c r="C1035" s="49"/>
      <c r="D1035" s="49"/>
      <c r="E1035" s="49">
        <f>IFERROR(__xludf.DUMMYFUNCTION("""COMPUTED_VALUE"""),1.0)</f>
        <v>1</v>
      </c>
      <c r="F1035" s="112">
        <f>IFERROR(__xludf.DUMMYFUNCTION("""COMPUTED_VALUE"""),0.0)</f>
        <v>0</v>
      </c>
      <c r="G1035" s="49"/>
      <c r="H1035" s="49"/>
      <c r="I1035" s="49"/>
      <c r="J1035" s="49"/>
      <c r="K1035" s="49"/>
      <c r="L1035" s="49"/>
      <c r="M1035" s="49"/>
      <c r="N1035" s="49"/>
      <c r="O1035" s="49"/>
      <c r="P1035" s="49"/>
      <c r="Q1035" s="49"/>
      <c r="R1035" s="49"/>
      <c r="S1035" s="49"/>
      <c r="T1035" s="49"/>
      <c r="U1035" s="49"/>
      <c r="V1035" s="49"/>
      <c r="W1035" s="49"/>
      <c r="X1035" s="49"/>
      <c r="Y1035" s="49"/>
      <c r="Z1035" s="49"/>
      <c r="AA1035" s="49"/>
      <c r="AB1035" s="49"/>
      <c r="AC1035" s="49"/>
      <c r="AD1035" s="49"/>
      <c r="AE1035" s="49"/>
      <c r="AF1035" s="49"/>
      <c r="AG1035" s="49"/>
      <c r="AH1035" s="49" t="b">
        <f>IFERROR(__xludf.DUMMYFUNCTION("""COMPUTED_VALUE"""),FALSE)</f>
        <v>0</v>
      </c>
    </row>
    <row r="1036">
      <c r="A1036" s="49"/>
      <c r="B1036" s="49"/>
      <c r="C1036" s="49"/>
      <c r="D1036" s="49"/>
      <c r="E1036" s="49">
        <f>IFERROR(__xludf.DUMMYFUNCTION("""COMPUTED_VALUE"""),1.0)</f>
        <v>1</v>
      </c>
      <c r="F1036" s="112">
        <f>IFERROR(__xludf.DUMMYFUNCTION("""COMPUTED_VALUE"""),0.0)</f>
        <v>0</v>
      </c>
      <c r="G1036" s="49"/>
      <c r="H1036" s="49"/>
      <c r="I1036" s="49"/>
      <c r="J1036" s="49"/>
      <c r="K1036" s="49"/>
      <c r="L1036" s="49"/>
      <c r="M1036" s="49"/>
      <c r="N1036" s="49"/>
      <c r="O1036" s="49"/>
      <c r="P1036" s="49"/>
      <c r="Q1036" s="49"/>
      <c r="R1036" s="49"/>
      <c r="S1036" s="49"/>
      <c r="T1036" s="49"/>
      <c r="U1036" s="49"/>
      <c r="V1036" s="49"/>
      <c r="W1036" s="49"/>
      <c r="X1036" s="49"/>
      <c r="Y1036" s="49"/>
      <c r="Z1036" s="49"/>
      <c r="AA1036" s="49"/>
      <c r="AB1036" s="49"/>
      <c r="AC1036" s="49"/>
      <c r="AD1036" s="49"/>
      <c r="AE1036" s="49"/>
      <c r="AF1036" s="49"/>
      <c r="AG1036" s="49"/>
      <c r="AH1036" s="49" t="b">
        <f>IFERROR(__xludf.DUMMYFUNCTION("""COMPUTED_VALUE"""),FALSE)</f>
        <v>0</v>
      </c>
    </row>
    <row r="1037">
      <c r="A1037" s="49"/>
      <c r="B1037" s="49"/>
      <c r="C1037" s="49"/>
      <c r="D1037" s="49"/>
      <c r="E1037" s="49">
        <f>IFERROR(__xludf.DUMMYFUNCTION("""COMPUTED_VALUE"""),1.0)</f>
        <v>1</v>
      </c>
      <c r="F1037" s="112">
        <f>IFERROR(__xludf.DUMMYFUNCTION("""COMPUTED_VALUE"""),0.0)</f>
        <v>0</v>
      </c>
      <c r="G1037" s="49"/>
      <c r="H1037" s="49"/>
      <c r="I1037" s="49"/>
      <c r="J1037" s="49"/>
      <c r="K1037" s="49"/>
      <c r="L1037" s="49"/>
      <c r="M1037" s="49"/>
      <c r="N1037" s="49"/>
      <c r="O1037" s="49"/>
      <c r="P1037" s="49"/>
      <c r="Q1037" s="49"/>
      <c r="R1037" s="49"/>
      <c r="S1037" s="49"/>
      <c r="T1037" s="49"/>
      <c r="U1037" s="49"/>
      <c r="V1037" s="49"/>
      <c r="W1037" s="49"/>
      <c r="X1037" s="49"/>
      <c r="Y1037" s="49"/>
      <c r="Z1037" s="49"/>
      <c r="AA1037" s="49"/>
      <c r="AB1037" s="49"/>
      <c r="AC1037" s="49"/>
      <c r="AD1037" s="49"/>
      <c r="AE1037" s="49"/>
      <c r="AF1037" s="49"/>
      <c r="AG1037" s="49"/>
      <c r="AH1037" s="49" t="b">
        <f>IFERROR(__xludf.DUMMYFUNCTION("""COMPUTED_VALUE"""),FALSE)</f>
        <v>0</v>
      </c>
    </row>
    <row r="1038">
      <c r="A1038" s="49"/>
      <c r="B1038" s="49"/>
      <c r="C1038" s="49"/>
      <c r="D1038" s="49"/>
      <c r="E1038" s="49">
        <f>IFERROR(__xludf.DUMMYFUNCTION("""COMPUTED_VALUE"""),1.0)</f>
        <v>1</v>
      </c>
      <c r="F1038" s="112">
        <f>IFERROR(__xludf.DUMMYFUNCTION("""COMPUTED_VALUE"""),0.0)</f>
        <v>0</v>
      </c>
      <c r="G1038" s="49"/>
      <c r="H1038" s="49"/>
      <c r="I1038" s="49"/>
      <c r="J1038" s="49"/>
      <c r="K1038" s="49"/>
      <c r="L1038" s="49"/>
      <c r="M1038" s="49"/>
      <c r="N1038" s="49"/>
      <c r="O1038" s="49"/>
      <c r="P1038" s="49"/>
      <c r="Q1038" s="49"/>
      <c r="R1038" s="49"/>
      <c r="S1038" s="49"/>
      <c r="T1038" s="49"/>
      <c r="U1038" s="49"/>
      <c r="V1038" s="49"/>
      <c r="W1038" s="49"/>
      <c r="X1038" s="49"/>
      <c r="Y1038" s="49"/>
      <c r="Z1038" s="49"/>
      <c r="AA1038" s="49"/>
      <c r="AB1038" s="49"/>
      <c r="AC1038" s="49"/>
      <c r="AD1038" s="49"/>
      <c r="AE1038" s="49"/>
      <c r="AF1038" s="49"/>
      <c r="AG1038" s="49"/>
      <c r="AH1038" s="49" t="b">
        <f>IFERROR(__xludf.DUMMYFUNCTION("""COMPUTED_VALUE"""),FALSE)</f>
        <v>0</v>
      </c>
    </row>
    <row r="1039">
      <c r="A1039" s="49"/>
      <c r="B1039" s="49"/>
      <c r="C1039" s="49"/>
      <c r="D1039" s="49"/>
      <c r="E1039" s="49">
        <f>IFERROR(__xludf.DUMMYFUNCTION("""COMPUTED_VALUE"""),1.0)</f>
        <v>1</v>
      </c>
      <c r="F1039" s="112">
        <f>IFERROR(__xludf.DUMMYFUNCTION("""COMPUTED_VALUE"""),0.0)</f>
        <v>0</v>
      </c>
      <c r="G1039" s="49"/>
      <c r="H1039" s="49"/>
      <c r="I1039" s="49"/>
      <c r="J1039" s="49"/>
      <c r="K1039" s="49"/>
      <c r="L1039" s="49"/>
      <c r="M1039" s="49"/>
      <c r="N1039" s="49"/>
      <c r="O1039" s="49"/>
      <c r="P1039" s="49"/>
      <c r="Q1039" s="49"/>
      <c r="R1039" s="49"/>
      <c r="S1039" s="49"/>
      <c r="T1039" s="49"/>
      <c r="U1039" s="49"/>
      <c r="V1039" s="49"/>
      <c r="W1039" s="49"/>
      <c r="X1039" s="49"/>
      <c r="Y1039" s="49"/>
      <c r="Z1039" s="49"/>
      <c r="AA1039" s="49"/>
      <c r="AB1039" s="49"/>
      <c r="AC1039" s="49"/>
      <c r="AD1039" s="49"/>
      <c r="AE1039" s="49"/>
      <c r="AF1039" s="49"/>
      <c r="AG1039" s="49"/>
      <c r="AH1039" s="49" t="b">
        <f>IFERROR(__xludf.DUMMYFUNCTION("""COMPUTED_VALUE"""),FALSE)</f>
        <v>0</v>
      </c>
    </row>
    <row r="1040">
      <c r="A1040" s="49"/>
      <c r="B1040" s="49"/>
      <c r="C1040" s="49"/>
      <c r="D1040" s="49"/>
      <c r="E1040" s="49">
        <f>IFERROR(__xludf.DUMMYFUNCTION("""COMPUTED_VALUE"""),1.0)</f>
        <v>1</v>
      </c>
      <c r="F1040" s="112">
        <f>IFERROR(__xludf.DUMMYFUNCTION("""COMPUTED_VALUE"""),0.0)</f>
        <v>0</v>
      </c>
      <c r="G1040" s="49"/>
      <c r="H1040" s="49"/>
      <c r="I1040" s="49"/>
      <c r="J1040" s="49"/>
      <c r="K1040" s="49"/>
      <c r="L1040" s="49"/>
      <c r="M1040" s="49"/>
      <c r="N1040" s="49"/>
      <c r="O1040" s="49"/>
      <c r="P1040" s="49"/>
      <c r="Q1040" s="49"/>
      <c r="R1040" s="49"/>
      <c r="S1040" s="49"/>
      <c r="T1040" s="49"/>
      <c r="U1040" s="49"/>
      <c r="V1040" s="49"/>
      <c r="W1040" s="49"/>
      <c r="X1040" s="49"/>
      <c r="Y1040" s="49"/>
      <c r="Z1040" s="49"/>
      <c r="AA1040" s="49"/>
      <c r="AB1040" s="49"/>
      <c r="AC1040" s="49"/>
      <c r="AD1040" s="49"/>
      <c r="AE1040" s="49"/>
      <c r="AF1040" s="49"/>
      <c r="AG1040" s="49"/>
      <c r="AH1040" s="49" t="b">
        <f>IFERROR(__xludf.DUMMYFUNCTION("""COMPUTED_VALUE"""),FALSE)</f>
        <v>0</v>
      </c>
    </row>
    <row r="1041">
      <c r="A1041" s="49"/>
      <c r="B1041" s="49"/>
      <c r="C1041" s="49"/>
      <c r="D1041" s="49"/>
      <c r="E1041" s="49">
        <f>IFERROR(__xludf.DUMMYFUNCTION("""COMPUTED_VALUE"""),1.0)</f>
        <v>1</v>
      </c>
      <c r="F1041" s="112">
        <f>IFERROR(__xludf.DUMMYFUNCTION("""COMPUTED_VALUE"""),0.0)</f>
        <v>0</v>
      </c>
      <c r="G1041" s="49"/>
      <c r="H1041" s="49"/>
      <c r="I1041" s="49"/>
      <c r="J1041" s="49"/>
      <c r="K1041" s="49"/>
      <c r="L1041" s="49"/>
      <c r="M1041" s="49"/>
      <c r="N1041" s="49"/>
      <c r="O1041" s="49"/>
      <c r="P1041" s="49"/>
      <c r="Q1041" s="49"/>
      <c r="R1041" s="49"/>
      <c r="S1041" s="49"/>
      <c r="T1041" s="49"/>
      <c r="U1041" s="49"/>
      <c r="V1041" s="49"/>
      <c r="W1041" s="49"/>
      <c r="X1041" s="49"/>
      <c r="Y1041" s="49"/>
      <c r="Z1041" s="49"/>
      <c r="AA1041" s="49"/>
      <c r="AB1041" s="49"/>
      <c r="AC1041" s="49"/>
      <c r="AD1041" s="49"/>
      <c r="AE1041" s="49"/>
      <c r="AF1041" s="49"/>
      <c r="AG1041" s="49"/>
      <c r="AH1041" s="49" t="b">
        <f>IFERROR(__xludf.DUMMYFUNCTION("""COMPUTED_VALUE"""),FALSE)</f>
        <v>0</v>
      </c>
    </row>
    <row r="1042">
      <c r="A1042" s="49"/>
      <c r="B1042" s="49"/>
      <c r="C1042" s="49"/>
      <c r="D1042" s="49"/>
      <c r="E1042" s="49">
        <f>IFERROR(__xludf.DUMMYFUNCTION("""COMPUTED_VALUE"""),1.0)</f>
        <v>1</v>
      </c>
      <c r="F1042" s="112">
        <f>IFERROR(__xludf.DUMMYFUNCTION("""COMPUTED_VALUE"""),0.0)</f>
        <v>0</v>
      </c>
      <c r="G1042" s="49"/>
      <c r="H1042" s="49"/>
      <c r="I1042" s="49"/>
      <c r="J1042" s="49"/>
      <c r="K1042" s="49"/>
      <c r="L1042" s="49"/>
      <c r="M1042" s="49"/>
      <c r="N1042" s="49"/>
      <c r="O1042" s="49"/>
      <c r="P1042" s="49"/>
      <c r="Q1042" s="49"/>
      <c r="R1042" s="49"/>
      <c r="S1042" s="49"/>
      <c r="T1042" s="49"/>
      <c r="U1042" s="49"/>
      <c r="V1042" s="49"/>
      <c r="W1042" s="49"/>
      <c r="X1042" s="49"/>
      <c r="Y1042" s="49"/>
      <c r="Z1042" s="49"/>
      <c r="AA1042" s="49"/>
      <c r="AB1042" s="49"/>
      <c r="AC1042" s="49"/>
      <c r="AD1042" s="49"/>
      <c r="AE1042" s="49"/>
      <c r="AF1042" s="49"/>
      <c r="AG1042" s="49"/>
      <c r="AH1042" s="49" t="b">
        <f>IFERROR(__xludf.DUMMYFUNCTION("""COMPUTED_VALUE"""),FALSE)</f>
        <v>0</v>
      </c>
    </row>
    <row r="1043">
      <c r="A1043" s="49"/>
      <c r="B1043" s="49"/>
      <c r="C1043" s="49"/>
      <c r="D1043" s="49"/>
      <c r="E1043" s="49">
        <f>IFERROR(__xludf.DUMMYFUNCTION("""COMPUTED_VALUE"""),1.0)</f>
        <v>1</v>
      </c>
      <c r="F1043" s="112">
        <f>IFERROR(__xludf.DUMMYFUNCTION("""COMPUTED_VALUE"""),0.0)</f>
        <v>0</v>
      </c>
      <c r="G1043" s="49"/>
      <c r="H1043" s="49"/>
      <c r="I1043" s="49"/>
      <c r="J1043" s="49"/>
      <c r="K1043" s="49"/>
      <c r="L1043" s="49"/>
      <c r="M1043" s="49"/>
      <c r="N1043" s="49"/>
      <c r="O1043" s="49"/>
      <c r="P1043" s="49"/>
      <c r="Q1043" s="49"/>
      <c r="R1043" s="49"/>
      <c r="S1043" s="49"/>
      <c r="T1043" s="49"/>
      <c r="U1043" s="49"/>
      <c r="V1043" s="49"/>
      <c r="W1043" s="49"/>
      <c r="X1043" s="49"/>
      <c r="Y1043" s="49"/>
      <c r="Z1043" s="49"/>
      <c r="AA1043" s="49"/>
      <c r="AB1043" s="49"/>
      <c r="AC1043" s="49"/>
      <c r="AD1043" s="49"/>
      <c r="AE1043" s="49"/>
      <c r="AF1043" s="49"/>
      <c r="AG1043" s="49"/>
      <c r="AH1043" s="49" t="b">
        <f>IFERROR(__xludf.DUMMYFUNCTION("""COMPUTED_VALUE"""),FALSE)</f>
        <v>0</v>
      </c>
    </row>
    <row r="1044">
      <c r="A1044" s="49"/>
      <c r="B1044" s="49"/>
      <c r="C1044" s="49"/>
      <c r="D1044" s="49"/>
      <c r="E1044" s="49">
        <f>IFERROR(__xludf.DUMMYFUNCTION("""COMPUTED_VALUE"""),1.0)</f>
        <v>1</v>
      </c>
      <c r="F1044" s="112">
        <f>IFERROR(__xludf.DUMMYFUNCTION("""COMPUTED_VALUE"""),0.0)</f>
        <v>0</v>
      </c>
      <c r="G1044" s="49"/>
      <c r="H1044" s="49"/>
      <c r="I1044" s="49"/>
      <c r="J1044" s="49"/>
      <c r="K1044" s="49"/>
      <c r="L1044" s="49"/>
      <c r="M1044" s="49"/>
      <c r="N1044" s="49"/>
      <c r="O1044" s="49"/>
      <c r="P1044" s="49"/>
      <c r="Q1044" s="49"/>
      <c r="R1044" s="49"/>
      <c r="S1044" s="49"/>
      <c r="T1044" s="49"/>
      <c r="U1044" s="49"/>
      <c r="V1044" s="49"/>
      <c r="W1044" s="49"/>
      <c r="X1044" s="49"/>
      <c r="Y1044" s="49"/>
      <c r="Z1044" s="49"/>
      <c r="AA1044" s="49"/>
      <c r="AB1044" s="49"/>
      <c r="AC1044" s="49"/>
      <c r="AD1044" s="49"/>
      <c r="AE1044" s="49"/>
      <c r="AF1044" s="49"/>
      <c r="AG1044" s="49"/>
      <c r="AH1044" s="49" t="b">
        <f>IFERROR(__xludf.DUMMYFUNCTION("""COMPUTED_VALUE"""),FALSE)</f>
        <v>0</v>
      </c>
    </row>
    <row r="1045">
      <c r="A1045" s="49"/>
      <c r="B1045" s="49"/>
      <c r="C1045" s="49"/>
      <c r="D1045" s="49"/>
      <c r="E1045" s="49">
        <f>IFERROR(__xludf.DUMMYFUNCTION("""COMPUTED_VALUE"""),1.0)</f>
        <v>1</v>
      </c>
      <c r="F1045" s="112">
        <f>IFERROR(__xludf.DUMMYFUNCTION("""COMPUTED_VALUE"""),0.0)</f>
        <v>0</v>
      </c>
      <c r="G1045" s="49"/>
      <c r="H1045" s="49"/>
      <c r="I1045" s="49"/>
      <c r="J1045" s="49"/>
      <c r="K1045" s="49"/>
      <c r="L1045" s="49"/>
      <c r="M1045" s="49"/>
      <c r="N1045" s="49"/>
      <c r="O1045" s="49"/>
      <c r="P1045" s="49"/>
      <c r="Q1045" s="49"/>
      <c r="R1045" s="49"/>
      <c r="S1045" s="49"/>
      <c r="T1045" s="49"/>
      <c r="U1045" s="49"/>
      <c r="V1045" s="49"/>
      <c r="W1045" s="49"/>
      <c r="X1045" s="49"/>
      <c r="Y1045" s="49"/>
      <c r="Z1045" s="49"/>
      <c r="AA1045" s="49"/>
      <c r="AB1045" s="49"/>
      <c r="AC1045" s="49"/>
      <c r="AD1045" s="49"/>
      <c r="AE1045" s="49"/>
      <c r="AF1045" s="49"/>
      <c r="AG1045" s="49"/>
      <c r="AH1045" s="49" t="b">
        <f>IFERROR(__xludf.DUMMYFUNCTION("""COMPUTED_VALUE"""),FALSE)</f>
        <v>0</v>
      </c>
    </row>
    <row r="1046">
      <c r="A1046" s="49"/>
      <c r="B1046" s="49"/>
      <c r="C1046" s="49"/>
      <c r="D1046" s="49"/>
      <c r="E1046" s="49">
        <f>IFERROR(__xludf.DUMMYFUNCTION("""COMPUTED_VALUE"""),1.0)</f>
        <v>1</v>
      </c>
      <c r="F1046" s="112">
        <f>IFERROR(__xludf.DUMMYFUNCTION("""COMPUTED_VALUE"""),0.0)</f>
        <v>0</v>
      </c>
      <c r="G1046" s="49"/>
      <c r="H1046" s="49"/>
      <c r="I1046" s="49"/>
      <c r="J1046" s="49"/>
      <c r="K1046" s="49"/>
      <c r="L1046" s="49"/>
      <c r="M1046" s="49"/>
      <c r="N1046" s="49"/>
      <c r="O1046" s="49"/>
      <c r="P1046" s="49"/>
      <c r="Q1046" s="49"/>
      <c r="R1046" s="49"/>
      <c r="S1046" s="49"/>
      <c r="T1046" s="49"/>
      <c r="U1046" s="49"/>
      <c r="V1046" s="49"/>
      <c r="W1046" s="49"/>
      <c r="X1046" s="49"/>
      <c r="Y1046" s="49"/>
      <c r="Z1046" s="49"/>
      <c r="AA1046" s="49"/>
      <c r="AB1046" s="49"/>
      <c r="AC1046" s="49"/>
      <c r="AD1046" s="49"/>
      <c r="AE1046" s="49"/>
      <c r="AF1046" s="49"/>
      <c r="AG1046" s="49"/>
      <c r="AH1046" s="49" t="b">
        <f>IFERROR(__xludf.DUMMYFUNCTION("""COMPUTED_VALUE"""),FALSE)</f>
        <v>0</v>
      </c>
    </row>
    <row r="1047">
      <c r="A1047" s="49"/>
      <c r="B1047" s="49"/>
      <c r="C1047" s="49"/>
      <c r="D1047" s="49"/>
      <c r="E1047" s="49">
        <f>IFERROR(__xludf.DUMMYFUNCTION("""COMPUTED_VALUE"""),1.0)</f>
        <v>1</v>
      </c>
      <c r="F1047" s="112">
        <f>IFERROR(__xludf.DUMMYFUNCTION("""COMPUTED_VALUE"""),0.0)</f>
        <v>0</v>
      </c>
      <c r="G1047" s="49"/>
      <c r="H1047" s="49"/>
      <c r="I1047" s="49"/>
      <c r="J1047" s="49"/>
      <c r="K1047" s="49"/>
      <c r="L1047" s="49"/>
      <c r="M1047" s="49"/>
      <c r="N1047" s="49"/>
      <c r="O1047" s="49"/>
      <c r="P1047" s="49"/>
      <c r="Q1047" s="49"/>
      <c r="R1047" s="49"/>
      <c r="S1047" s="49"/>
      <c r="T1047" s="49"/>
      <c r="U1047" s="49"/>
      <c r="V1047" s="49"/>
      <c r="W1047" s="49"/>
      <c r="X1047" s="49"/>
      <c r="Y1047" s="49"/>
      <c r="Z1047" s="49"/>
      <c r="AA1047" s="49"/>
      <c r="AB1047" s="49"/>
      <c r="AC1047" s="49"/>
      <c r="AD1047" s="49"/>
      <c r="AE1047" s="49"/>
      <c r="AF1047" s="49"/>
      <c r="AG1047" s="49"/>
      <c r="AH1047" s="49" t="b">
        <f>IFERROR(__xludf.DUMMYFUNCTION("""COMPUTED_VALUE"""),FALSE)</f>
        <v>0</v>
      </c>
    </row>
    <row r="1048">
      <c r="A1048" s="49"/>
      <c r="B1048" s="49"/>
      <c r="C1048" s="49"/>
      <c r="D1048" s="49"/>
      <c r="E1048" s="49">
        <f>IFERROR(__xludf.DUMMYFUNCTION("""COMPUTED_VALUE"""),1.0)</f>
        <v>1</v>
      </c>
      <c r="F1048" s="112">
        <f>IFERROR(__xludf.DUMMYFUNCTION("""COMPUTED_VALUE"""),0.0)</f>
        <v>0</v>
      </c>
      <c r="G1048" s="49"/>
      <c r="H1048" s="49"/>
      <c r="I1048" s="49"/>
      <c r="J1048" s="49"/>
      <c r="K1048" s="49"/>
      <c r="L1048" s="49"/>
      <c r="M1048" s="49"/>
      <c r="N1048" s="49"/>
      <c r="O1048" s="49"/>
      <c r="P1048" s="49"/>
      <c r="Q1048" s="49"/>
      <c r="R1048" s="49"/>
      <c r="S1048" s="49"/>
      <c r="T1048" s="49"/>
      <c r="U1048" s="49"/>
      <c r="V1048" s="49"/>
      <c r="W1048" s="49"/>
      <c r="X1048" s="49"/>
      <c r="Y1048" s="49"/>
      <c r="Z1048" s="49"/>
      <c r="AA1048" s="49"/>
      <c r="AB1048" s="49"/>
      <c r="AC1048" s="49"/>
      <c r="AD1048" s="49"/>
      <c r="AE1048" s="49"/>
      <c r="AF1048" s="49"/>
      <c r="AG1048" s="49"/>
      <c r="AH1048" s="49" t="b">
        <f>IFERROR(__xludf.DUMMYFUNCTION("""COMPUTED_VALUE"""),FALSE)</f>
        <v>0</v>
      </c>
    </row>
    <row r="1049">
      <c r="A1049" s="49"/>
      <c r="B1049" s="49"/>
      <c r="C1049" s="49"/>
      <c r="D1049" s="49"/>
      <c r="E1049" s="49">
        <f>IFERROR(__xludf.DUMMYFUNCTION("""COMPUTED_VALUE"""),1.0)</f>
        <v>1</v>
      </c>
      <c r="F1049" s="112">
        <f>IFERROR(__xludf.DUMMYFUNCTION("""COMPUTED_VALUE"""),0.0)</f>
        <v>0</v>
      </c>
      <c r="G1049" s="49"/>
      <c r="H1049" s="49"/>
      <c r="I1049" s="49"/>
      <c r="J1049" s="49"/>
      <c r="K1049" s="49"/>
      <c r="L1049" s="49"/>
      <c r="M1049" s="49"/>
      <c r="N1049" s="49"/>
      <c r="O1049" s="49"/>
      <c r="P1049" s="49"/>
      <c r="Q1049" s="49"/>
      <c r="R1049" s="49"/>
      <c r="S1049" s="49"/>
      <c r="T1049" s="49"/>
      <c r="U1049" s="49"/>
      <c r="V1049" s="49"/>
      <c r="W1049" s="49"/>
      <c r="X1049" s="49"/>
      <c r="Y1049" s="49"/>
      <c r="Z1049" s="49"/>
      <c r="AA1049" s="49"/>
      <c r="AB1049" s="49"/>
      <c r="AC1049" s="49"/>
      <c r="AD1049" s="49"/>
      <c r="AE1049" s="49"/>
      <c r="AF1049" s="49"/>
      <c r="AG1049" s="49"/>
      <c r="AH1049" s="49" t="b">
        <f>IFERROR(__xludf.DUMMYFUNCTION("""COMPUTED_VALUE"""),FALSE)</f>
        <v>0</v>
      </c>
    </row>
    <row r="1050">
      <c r="A1050" s="49"/>
      <c r="B1050" s="49"/>
      <c r="C1050" s="49"/>
      <c r="D1050" s="49"/>
      <c r="E1050" s="49">
        <f>IFERROR(__xludf.DUMMYFUNCTION("""COMPUTED_VALUE"""),1.0)</f>
        <v>1</v>
      </c>
      <c r="F1050" s="112">
        <f>IFERROR(__xludf.DUMMYFUNCTION("""COMPUTED_VALUE"""),0.0)</f>
        <v>0</v>
      </c>
      <c r="G1050" s="49"/>
      <c r="H1050" s="49"/>
      <c r="I1050" s="49"/>
      <c r="J1050" s="49"/>
      <c r="K1050" s="49"/>
      <c r="L1050" s="49"/>
      <c r="M1050" s="49"/>
      <c r="N1050" s="49"/>
      <c r="O1050" s="49"/>
      <c r="P1050" s="49"/>
      <c r="Q1050" s="49"/>
      <c r="R1050" s="49"/>
      <c r="S1050" s="49"/>
      <c r="T1050" s="49"/>
      <c r="U1050" s="49"/>
      <c r="V1050" s="49"/>
      <c r="W1050" s="49"/>
      <c r="X1050" s="49"/>
      <c r="Y1050" s="49"/>
      <c r="Z1050" s="49"/>
      <c r="AA1050" s="49"/>
      <c r="AB1050" s="49"/>
      <c r="AC1050" s="49"/>
      <c r="AD1050" s="49"/>
      <c r="AE1050" s="49"/>
      <c r="AF1050" s="49"/>
      <c r="AG1050" s="49"/>
      <c r="AH1050" s="49" t="b">
        <f>IFERROR(__xludf.DUMMYFUNCTION("""COMPUTED_VALUE"""),FALSE)</f>
        <v>0</v>
      </c>
    </row>
    <row r="1051">
      <c r="A1051" s="49"/>
      <c r="B1051" s="49"/>
      <c r="C1051" s="49"/>
      <c r="D1051" s="49"/>
      <c r="E1051" s="49">
        <f>IFERROR(__xludf.DUMMYFUNCTION("""COMPUTED_VALUE"""),1.0)</f>
        <v>1</v>
      </c>
      <c r="F1051" s="112">
        <f>IFERROR(__xludf.DUMMYFUNCTION("""COMPUTED_VALUE"""),0.0)</f>
        <v>0</v>
      </c>
      <c r="G1051" s="49"/>
      <c r="H1051" s="49"/>
      <c r="I1051" s="49"/>
      <c r="J1051" s="49"/>
      <c r="K1051" s="49"/>
      <c r="L1051" s="49"/>
      <c r="M1051" s="49"/>
      <c r="N1051" s="49"/>
      <c r="O1051" s="49"/>
      <c r="P1051" s="49"/>
      <c r="Q1051" s="49"/>
      <c r="R1051" s="49"/>
      <c r="S1051" s="49"/>
      <c r="T1051" s="49"/>
      <c r="U1051" s="49"/>
      <c r="V1051" s="49"/>
      <c r="W1051" s="49"/>
      <c r="X1051" s="49"/>
      <c r="Y1051" s="49"/>
      <c r="Z1051" s="49"/>
      <c r="AA1051" s="49"/>
      <c r="AB1051" s="49"/>
      <c r="AC1051" s="49"/>
      <c r="AD1051" s="49"/>
      <c r="AE1051" s="49"/>
      <c r="AF1051" s="49"/>
      <c r="AG1051" s="49"/>
      <c r="AH1051" s="49" t="b">
        <f>IFERROR(__xludf.DUMMYFUNCTION("""COMPUTED_VALUE"""),FALSE)</f>
        <v>0</v>
      </c>
    </row>
    <row r="1052">
      <c r="A1052" s="49"/>
      <c r="B1052" s="49"/>
      <c r="C1052" s="49"/>
      <c r="D1052" s="49"/>
      <c r="E1052" s="49">
        <f>IFERROR(__xludf.DUMMYFUNCTION("""COMPUTED_VALUE"""),1.0)</f>
        <v>1</v>
      </c>
      <c r="F1052" s="112">
        <f>IFERROR(__xludf.DUMMYFUNCTION("""COMPUTED_VALUE"""),0.0)</f>
        <v>0</v>
      </c>
      <c r="G1052" s="49"/>
      <c r="H1052" s="49"/>
      <c r="I1052" s="49"/>
      <c r="J1052" s="49"/>
      <c r="K1052" s="49"/>
      <c r="L1052" s="49"/>
      <c r="M1052" s="49"/>
      <c r="N1052" s="49"/>
      <c r="O1052" s="49"/>
      <c r="P1052" s="49"/>
      <c r="Q1052" s="49"/>
      <c r="R1052" s="49"/>
      <c r="S1052" s="49"/>
      <c r="T1052" s="49"/>
      <c r="U1052" s="49"/>
      <c r="V1052" s="49"/>
      <c r="W1052" s="49"/>
      <c r="X1052" s="49"/>
      <c r="Y1052" s="49"/>
      <c r="Z1052" s="49"/>
      <c r="AA1052" s="49"/>
      <c r="AB1052" s="49"/>
      <c r="AC1052" s="49"/>
      <c r="AD1052" s="49"/>
      <c r="AE1052" s="49"/>
      <c r="AF1052" s="49"/>
      <c r="AG1052" s="49"/>
      <c r="AH1052" s="49" t="b">
        <f>IFERROR(__xludf.DUMMYFUNCTION("""COMPUTED_VALUE"""),FALSE)</f>
        <v>0</v>
      </c>
    </row>
    <row r="1053">
      <c r="A1053" s="49"/>
      <c r="B1053" s="49"/>
      <c r="C1053" s="49"/>
      <c r="D1053" s="49"/>
      <c r="E1053" s="49">
        <f>IFERROR(__xludf.DUMMYFUNCTION("""COMPUTED_VALUE"""),1.0)</f>
        <v>1</v>
      </c>
      <c r="F1053" s="112">
        <f>IFERROR(__xludf.DUMMYFUNCTION("""COMPUTED_VALUE"""),0.0)</f>
        <v>0</v>
      </c>
      <c r="G1053" s="49"/>
      <c r="H1053" s="49"/>
      <c r="I1053" s="49"/>
      <c r="J1053" s="49"/>
      <c r="K1053" s="49"/>
      <c r="L1053" s="49"/>
      <c r="M1053" s="49"/>
      <c r="N1053" s="49"/>
      <c r="O1053" s="49"/>
      <c r="P1053" s="49"/>
      <c r="Q1053" s="49"/>
      <c r="R1053" s="49"/>
      <c r="S1053" s="49"/>
      <c r="T1053" s="49"/>
      <c r="U1053" s="49"/>
      <c r="V1053" s="49"/>
      <c r="W1053" s="49"/>
      <c r="X1053" s="49"/>
      <c r="Y1053" s="49"/>
      <c r="Z1053" s="49"/>
      <c r="AA1053" s="49"/>
      <c r="AB1053" s="49"/>
      <c r="AC1053" s="49"/>
      <c r="AD1053" s="49"/>
      <c r="AE1053" s="49"/>
      <c r="AF1053" s="49"/>
      <c r="AG1053" s="49"/>
      <c r="AH1053" s="49" t="b">
        <f>IFERROR(__xludf.DUMMYFUNCTION("""COMPUTED_VALUE"""),FALSE)</f>
        <v>0</v>
      </c>
    </row>
    <row r="1054">
      <c r="A1054" s="49"/>
      <c r="B1054" s="49"/>
      <c r="C1054" s="49"/>
      <c r="D1054" s="49"/>
      <c r="E1054" s="49">
        <f>IFERROR(__xludf.DUMMYFUNCTION("""COMPUTED_VALUE"""),1.0)</f>
        <v>1</v>
      </c>
      <c r="F1054" s="112">
        <f>IFERROR(__xludf.DUMMYFUNCTION("""COMPUTED_VALUE"""),0.0)</f>
        <v>0</v>
      </c>
      <c r="G1054" s="49"/>
      <c r="H1054" s="49"/>
      <c r="I1054" s="49"/>
      <c r="J1054" s="49"/>
      <c r="K1054" s="49"/>
      <c r="L1054" s="49"/>
      <c r="M1054" s="49"/>
      <c r="N1054" s="49"/>
      <c r="O1054" s="49"/>
      <c r="P1054" s="49"/>
      <c r="Q1054" s="49"/>
      <c r="R1054" s="49"/>
      <c r="S1054" s="49"/>
      <c r="T1054" s="49"/>
      <c r="U1054" s="49"/>
      <c r="V1054" s="49"/>
      <c r="W1054" s="49"/>
      <c r="X1054" s="49"/>
      <c r="Y1054" s="49"/>
      <c r="Z1054" s="49"/>
      <c r="AA1054" s="49"/>
      <c r="AB1054" s="49"/>
      <c r="AC1054" s="49"/>
      <c r="AD1054" s="49"/>
      <c r="AE1054" s="49"/>
      <c r="AF1054" s="49"/>
      <c r="AG1054" s="49"/>
      <c r="AH1054" s="49" t="b">
        <f>IFERROR(__xludf.DUMMYFUNCTION("""COMPUTED_VALUE"""),FALSE)</f>
        <v>0</v>
      </c>
    </row>
    <row r="1055">
      <c r="A1055" s="49"/>
      <c r="B1055" s="49"/>
      <c r="C1055" s="49"/>
      <c r="D1055" s="49"/>
      <c r="E1055" s="49">
        <f>IFERROR(__xludf.DUMMYFUNCTION("""COMPUTED_VALUE"""),1.0)</f>
        <v>1</v>
      </c>
      <c r="F1055" s="112">
        <f>IFERROR(__xludf.DUMMYFUNCTION("""COMPUTED_VALUE"""),0.0)</f>
        <v>0</v>
      </c>
      <c r="G1055" s="49"/>
      <c r="H1055" s="49"/>
      <c r="I1055" s="49"/>
      <c r="J1055" s="49"/>
      <c r="K1055" s="49"/>
      <c r="L1055" s="49"/>
      <c r="M1055" s="49"/>
      <c r="N1055" s="49"/>
      <c r="O1055" s="49"/>
      <c r="P1055" s="49"/>
      <c r="Q1055" s="49"/>
      <c r="R1055" s="49"/>
      <c r="S1055" s="49"/>
      <c r="T1055" s="49"/>
      <c r="U1055" s="49"/>
      <c r="V1055" s="49"/>
      <c r="W1055" s="49"/>
      <c r="X1055" s="49"/>
      <c r="Y1055" s="49"/>
      <c r="Z1055" s="49"/>
      <c r="AA1055" s="49"/>
      <c r="AB1055" s="49"/>
      <c r="AC1055" s="49"/>
      <c r="AD1055" s="49"/>
      <c r="AE1055" s="49"/>
      <c r="AF1055" s="49"/>
      <c r="AG1055" s="49"/>
      <c r="AH1055" s="49" t="b">
        <f>IFERROR(__xludf.DUMMYFUNCTION("""COMPUTED_VALUE"""),FALSE)</f>
        <v>0</v>
      </c>
    </row>
    <row r="1056">
      <c r="A1056" s="49"/>
      <c r="B1056" s="49"/>
      <c r="C1056" s="49"/>
      <c r="D1056" s="49"/>
      <c r="E1056" s="49">
        <f>IFERROR(__xludf.DUMMYFUNCTION("""COMPUTED_VALUE"""),1.0)</f>
        <v>1</v>
      </c>
      <c r="F1056" s="112">
        <f>IFERROR(__xludf.DUMMYFUNCTION("""COMPUTED_VALUE"""),0.0)</f>
        <v>0</v>
      </c>
      <c r="G1056" s="49"/>
      <c r="H1056" s="49"/>
      <c r="I1056" s="49"/>
      <c r="J1056" s="49"/>
      <c r="K1056" s="49"/>
      <c r="L1056" s="49"/>
      <c r="M1056" s="49"/>
      <c r="N1056" s="49"/>
      <c r="O1056" s="49"/>
      <c r="P1056" s="49"/>
      <c r="Q1056" s="49"/>
      <c r="R1056" s="49"/>
      <c r="S1056" s="49"/>
      <c r="T1056" s="49"/>
      <c r="U1056" s="49"/>
      <c r="V1056" s="49"/>
      <c r="W1056" s="49"/>
      <c r="X1056" s="49"/>
      <c r="Y1056" s="49"/>
      <c r="Z1056" s="49"/>
      <c r="AA1056" s="49"/>
      <c r="AB1056" s="49"/>
      <c r="AC1056" s="49"/>
      <c r="AD1056" s="49"/>
      <c r="AE1056" s="49"/>
      <c r="AF1056" s="49"/>
      <c r="AG1056" s="49"/>
      <c r="AH1056" s="49" t="b">
        <f>IFERROR(__xludf.DUMMYFUNCTION("""COMPUTED_VALUE"""),FALSE)</f>
        <v>0</v>
      </c>
    </row>
    <row r="1057">
      <c r="A1057" s="49"/>
      <c r="B1057" s="49"/>
      <c r="C1057" s="49"/>
      <c r="D1057" s="49"/>
      <c r="E1057" s="49">
        <f>IFERROR(__xludf.DUMMYFUNCTION("""COMPUTED_VALUE"""),1.0)</f>
        <v>1</v>
      </c>
      <c r="F1057" s="112">
        <f>IFERROR(__xludf.DUMMYFUNCTION("""COMPUTED_VALUE"""),0.0)</f>
        <v>0</v>
      </c>
      <c r="G1057" s="49"/>
      <c r="H1057" s="49"/>
      <c r="I1057" s="49"/>
      <c r="J1057" s="49"/>
      <c r="K1057" s="49"/>
      <c r="L1057" s="49"/>
      <c r="M1057" s="49"/>
      <c r="N1057" s="49"/>
      <c r="O1057" s="49"/>
      <c r="P1057" s="49"/>
      <c r="Q1057" s="49"/>
      <c r="R1057" s="49"/>
      <c r="S1057" s="49"/>
      <c r="T1057" s="49"/>
      <c r="U1057" s="49"/>
      <c r="V1057" s="49"/>
      <c r="W1057" s="49"/>
      <c r="X1057" s="49"/>
      <c r="Y1057" s="49"/>
      <c r="Z1057" s="49"/>
      <c r="AA1057" s="49"/>
      <c r="AB1057" s="49"/>
      <c r="AC1057" s="49"/>
      <c r="AD1057" s="49"/>
      <c r="AE1057" s="49"/>
      <c r="AF1057" s="49"/>
      <c r="AG1057" s="49"/>
      <c r="AH1057" s="49" t="b">
        <f>IFERROR(__xludf.DUMMYFUNCTION("""COMPUTED_VALUE"""),FALSE)</f>
        <v>0</v>
      </c>
    </row>
    <row r="1058">
      <c r="A1058" s="49"/>
      <c r="B1058" s="49"/>
      <c r="C1058" s="49"/>
      <c r="D1058" s="49"/>
      <c r="E1058" s="49">
        <f>IFERROR(__xludf.DUMMYFUNCTION("""COMPUTED_VALUE"""),1.0)</f>
        <v>1</v>
      </c>
      <c r="F1058" s="112">
        <f>IFERROR(__xludf.DUMMYFUNCTION("""COMPUTED_VALUE"""),0.0)</f>
        <v>0</v>
      </c>
      <c r="G1058" s="49"/>
      <c r="H1058" s="49"/>
      <c r="I1058" s="49"/>
      <c r="J1058" s="49"/>
      <c r="K1058" s="49"/>
      <c r="L1058" s="49"/>
      <c r="M1058" s="49"/>
      <c r="N1058" s="49"/>
      <c r="O1058" s="49"/>
      <c r="P1058" s="49"/>
      <c r="Q1058" s="49"/>
      <c r="R1058" s="49"/>
      <c r="S1058" s="49"/>
      <c r="T1058" s="49"/>
      <c r="U1058" s="49"/>
      <c r="V1058" s="49"/>
      <c r="W1058" s="49"/>
      <c r="X1058" s="49"/>
      <c r="Y1058" s="49"/>
      <c r="Z1058" s="49"/>
      <c r="AA1058" s="49"/>
      <c r="AB1058" s="49"/>
      <c r="AC1058" s="49"/>
      <c r="AD1058" s="49"/>
      <c r="AE1058" s="49"/>
      <c r="AF1058" s="49"/>
      <c r="AG1058" s="49"/>
      <c r="AH1058" s="49" t="b">
        <f>IFERROR(__xludf.DUMMYFUNCTION("""COMPUTED_VALUE"""),FALSE)</f>
        <v>0</v>
      </c>
    </row>
    <row r="1059">
      <c r="A1059" s="49"/>
      <c r="B1059" s="49"/>
      <c r="C1059" s="49"/>
      <c r="D1059" s="49"/>
      <c r="E1059" s="49">
        <f>IFERROR(__xludf.DUMMYFUNCTION("""COMPUTED_VALUE"""),1.0)</f>
        <v>1</v>
      </c>
      <c r="F1059" s="112">
        <f>IFERROR(__xludf.DUMMYFUNCTION("""COMPUTED_VALUE"""),0.0)</f>
        <v>0</v>
      </c>
      <c r="G1059" s="49"/>
      <c r="H1059" s="49"/>
      <c r="I1059" s="49"/>
      <c r="J1059" s="49"/>
      <c r="K1059" s="49"/>
      <c r="L1059" s="49"/>
      <c r="M1059" s="49"/>
      <c r="N1059" s="49"/>
      <c r="O1059" s="49"/>
      <c r="P1059" s="49"/>
      <c r="Q1059" s="49"/>
      <c r="R1059" s="49"/>
      <c r="S1059" s="49"/>
      <c r="T1059" s="49"/>
      <c r="U1059" s="49"/>
      <c r="V1059" s="49"/>
      <c r="W1059" s="49"/>
      <c r="X1059" s="49"/>
      <c r="Y1059" s="49"/>
      <c r="Z1059" s="49"/>
      <c r="AA1059" s="49"/>
      <c r="AB1059" s="49"/>
      <c r="AC1059" s="49"/>
      <c r="AD1059" s="49"/>
      <c r="AE1059" s="49"/>
      <c r="AF1059" s="49"/>
      <c r="AG1059" s="49"/>
      <c r="AH1059" s="49" t="b">
        <f>IFERROR(__xludf.DUMMYFUNCTION("""COMPUTED_VALUE"""),FALSE)</f>
        <v>0</v>
      </c>
    </row>
    <row r="1060">
      <c r="A1060" s="49"/>
      <c r="B1060" s="49"/>
      <c r="C1060" s="49"/>
      <c r="D1060" s="49"/>
      <c r="E1060" s="49">
        <f>IFERROR(__xludf.DUMMYFUNCTION("""COMPUTED_VALUE"""),1.0)</f>
        <v>1</v>
      </c>
      <c r="F1060" s="112">
        <f>IFERROR(__xludf.DUMMYFUNCTION("""COMPUTED_VALUE"""),0.0)</f>
        <v>0</v>
      </c>
      <c r="G1060" s="49"/>
      <c r="H1060" s="49"/>
      <c r="I1060" s="49"/>
      <c r="J1060" s="49"/>
      <c r="K1060" s="49"/>
      <c r="L1060" s="49"/>
      <c r="M1060" s="49"/>
      <c r="N1060" s="49"/>
      <c r="O1060" s="49"/>
      <c r="P1060" s="49"/>
      <c r="Q1060" s="49"/>
      <c r="R1060" s="49"/>
      <c r="S1060" s="49"/>
      <c r="T1060" s="49"/>
      <c r="U1060" s="49"/>
      <c r="V1060" s="49"/>
      <c r="W1060" s="49"/>
      <c r="X1060" s="49"/>
      <c r="Y1060" s="49"/>
      <c r="Z1060" s="49"/>
      <c r="AA1060" s="49"/>
      <c r="AB1060" s="49"/>
      <c r="AC1060" s="49"/>
      <c r="AD1060" s="49"/>
      <c r="AE1060" s="49"/>
      <c r="AF1060" s="49"/>
      <c r="AG1060" s="49"/>
      <c r="AH1060" s="49" t="b">
        <f>IFERROR(__xludf.DUMMYFUNCTION("""COMPUTED_VALUE"""),FALSE)</f>
        <v>0</v>
      </c>
    </row>
    <row r="1061">
      <c r="A1061" s="49"/>
      <c r="B1061" s="49"/>
      <c r="C1061" s="49"/>
      <c r="D1061" s="49"/>
      <c r="E1061" s="49">
        <f>IFERROR(__xludf.DUMMYFUNCTION("""COMPUTED_VALUE"""),1.0)</f>
        <v>1</v>
      </c>
      <c r="F1061" s="112">
        <f>IFERROR(__xludf.DUMMYFUNCTION("""COMPUTED_VALUE"""),0.0)</f>
        <v>0</v>
      </c>
      <c r="G1061" s="49"/>
      <c r="H1061" s="49"/>
      <c r="I1061" s="49"/>
      <c r="J1061" s="49"/>
      <c r="K1061" s="49"/>
      <c r="L1061" s="49"/>
      <c r="M1061" s="49"/>
      <c r="N1061" s="49"/>
      <c r="O1061" s="49"/>
      <c r="P1061" s="49"/>
      <c r="Q1061" s="49"/>
      <c r="R1061" s="49"/>
      <c r="S1061" s="49"/>
      <c r="T1061" s="49"/>
      <c r="U1061" s="49"/>
      <c r="V1061" s="49"/>
      <c r="W1061" s="49"/>
      <c r="X1061" s="49"/>
      <c r="Y1061" s="49"/>
      <c r="Z1061" s="49"/>
      <c r="AA1061" s="49"/>
      <c r="AB1061" s="49"/>
      <c r="AC1061" s="49"/>
      <c r="AD1061" s="49"/>
      <c r="AE1061" s="49"/>
      <c r="AF1061" s="49"/>
      <c r="AG1061" s="49"/>
      <c r="AH1061" s="49" t="b">
        <f>IFERROR(__xludf.DUMMYFUNCTION("""COMPUTED_VALUE"""),FALSE)</f>
        <v>0</v>
      </c>
    </row>
    <row r="1062">
      <c r="A1062" s="49"/>
      <c r="B1062" s="49"/>
      <c r="C1062" s="49"/>
      <c r="D1062" s="49"/>
      <c r="E1062" s="49">
        <f>IFERROR(__xludf.DUMMYFUNCTION("""COMPUTED_VALUE"""),1.0)</f>
        <v>1</v>
      </c>
      <c r="F1062" s="112">
        <f>IFERROR(__xludf.DUMMYFUNCTION("""COMPUTED_VALUE"""),0.0)</f>
        <v>0</v>
      </c>
      <c r="G1062" s="49"/>
      <c r="H1062" s="49"/>
      <c r="I1062" s="49"/>
      <c r="J1062" s="49"/>
      <c r="K1062" s="49"/>
      <c r="L1062" s="49"/>
      <c r="M1062" s="49"/>
      <c r="N1062" s="49"/>
      <c r="O1062" s="49"/>
      <c r="P1062" s="49"/>
      <c r="Q1062" s="49"/>
      <c r="R1062" s="49"/>
      <c r="S1062" s="49"/>
      <c r="T1062" s="49"/>
      <c r="U1062" s="49"/>
      <c r="V1062" s="49"/>
      <c r="W1062" s="49"/>
      <c r="X1062" s="49"/>
      <c r="Y1062" s="49"/>
      <c r="Z1062" s="49"/>
      <c r="AA1062" s="49"/>
      <c r="AB1062" s="49"/>
      <c r="AC1062" s="49"/>
      <c r="AD1062" s="49"/>
      <c r="AE1062" s="49"/>
      <c r="AF1062" s="49"/>
      <c r="AG1062" s="49"/>
      <c r="AH1062" s="49" t="b">
        <f>IFERROR(__xludf.DUMMYFUNCTION("""COMPUTED_VALUE"""),FALSE)</f>
        <v>0</v>
      </c>
    </row>
    <row r="1063">
      <c r="A1063" s="49"/>
      <c r="B1063" s="49"/>
      <c r="C1063" s="49"/>
      <c r="D1063" s="49"/>
      <c r="E1063" s="49">
        <f>IFERROR(__xludf.DUMMYFUNCTION("""COMPUTED_VALUE"""),1.0)</f>
        <v>1</v>
      </c>
      <c r="F1063" s="112">
        <f>IFERROR(__xludf.DUMMYFUNCTION("""COMPUTED_VALUE"""),0.0)</f>
        <v>0</v>
      </c>
      <c r="G1063" s="49"/>
      <c r="H1063" s="49"/>
      <c r="I1063" s="49"/>
      <c r="J1063" s="49"/>
      <c r="K1063" s="49"/>
      <c r="L1063" s="49"/>
      <c r="M1063" s="49"/>
      <c r="N1063" s="49"/>
      <c r="O1063" s="49"/>
      <c r="P1063" s="49"/>
      <c r="Q1063" s="49"/>
      <c r="R1063" s="49"/>
      <c r="S1063" s="49"/>
      <c r="T1063" s="49"/>
      <c r="U1063" s="49"/>
      <c r="V1063" s="49"/>
      <c r="W1063" s="49"/>
      <c r="X1063" s="49"/>
      <c r="Y1063" s="49"/>
      <c r="Z1063" s="49"/>
      <c r="AA1063" s="49"/>
      <c r="AB1063" s="49"/>
      <c r="AC1063" s="49"/>
      <c r="AD1063" s="49"/>
      <c r="AE1063" s="49"/>
      <c r="AF1063" s="49"/>
      <c r="AG1063" s="49"/>
      <c r="AH1063" s="49" t="b">
        <f>IFERROR(__xludf.DUMMYFUNCTION("""COMPUTED_VALUE"""),FALSE)</f>
        <v>0</v>
      </c>
    </row>
    <row r="1064">
      <c r="A1064" s="49"/>
      <c r="B1064" s="49"/>
      <c r="C1064" s="49"/>
      <c r="D1064" s="49"/>
      <c r="E1064" s="49">
        <f>IFERROR(__xludf.DUMMYFUNCTION("""COMPUTED_VALUE"""),1.0)</f>
        <v>1</v>
      </c>
      <c r="F1064" s="112">
        <f>IFERROR(__xludf.DUMMYFUNCTION("""COMPUTED_VALUE"""),0.0)</f>
        <v>0</v>
      </c>
      <c r="G1064" s="49"/>
      <c r="H1064" s="49"/>
      <c r="I1064" s="49"/>
      <c r="J1064" s="49"/>
      <c r="K1064" s="49"/>
      <c r="L1064" s="49"/>
      <c r="M1064" s="49"/>
      <c r="N1064" s="49"/>
      <c r="O1064" s="49"/>
      <c r="P1064" s="49"/>
      <c r="Q1064" s="49"/>
      <c r="R1064" s="49"/>
      <c r="S1064" s="49"/>
      <c r="T1064" s="49"/>
      <c r="U1064" s="49"/>
      <c r="V1064" s="49"/>
      <c r="W1064" s="49"/>
      <c r="X1064" s="49"/>
      <c r="Y1064" s="49"/>
      <c r="Z1064" s="49"/>
      <c r="AA1064" s="49"/>
      <c r="AB1064" s="49"/>
      <c r="AC1064" s="49"/>
      <c r="AD1064" s="49"/>
      <c r="AE1064" s="49"/>
      <c r="AF1064" s="49"/>
      <c r="AG1064" s="49"/>
      <c r="AH1064" s="49" t="b">
        <f>IFERROR(__xludf.DUMMYFUNCTION("""COMPUTED_VALUE"""),FALSE)</f>
        <v>0</v>
      </c>
    </row>
    <row r="1065">
      <c r="A1065" s="49"/>
      <c r="B1065" s="49"/>
      <c r="C1065" s="49"/>
      <c r="D1065" s="49"/>
      <c r="E1065" s="49">
        <f>IFERROR(__xludf.DUMMYFUNCTION("""COMPUTED_VALUE"""),1.0)</f>
        <v>1</v>
      </c>
      <c r="F1065" s="112">
        <f>IFERROR(__xludf.DUMMYFUNCTION("""COMPUTED_VALUE"""),0.0)</f>
        <v>0</v>
      </c>
      <c r="G1065" s="49"/>
      <c r="H1065" s="49"/>
      <c r="I1065" s="49"/>
      <c r="J1065" s="49"/>
      <c r="K1065" s="49"/>
      <c r="L1065" s="49"/>
      <c r="M1065" s="49"/>
      <c r="N1065" s="49"/>
      <c r="O1065" s="49"/>
      <c r="P1065" s="49"/>
      <c r="Q1065" s="49"/>
      <c r="R1065" s="49"/>
      <c r="S1065" s="49"/>
      <c r="T1065" s="49"/>
      <c r="U1065" s="49"/>
      <c r="V1065" s="49"/>
      <c r="W1065" s="49"/>
      <c r="X1065" s="49"/>
      <c r="Y1065" s="49"/>
      <c r="Z1065" s="49"/>
      <c r="AA1065" s="49"/>
      <c r="AB1065" s="49"/>
      <c r="AC1065" s="49"/>
      <c r="AD1065" s="49"/>
      <c r="AE1065" s="49"/>
      <c r="AF1065" s="49"/>
      <c r="AG1065" s="49"/>
      <c r="AH1065" s="49" t="b">
        <f>IFERROR(__xludf.DUMMYFUNCTION("""COMPUTED_VALUE"""),FALSE)</f>
        <v>0</v>
      </c>
    </row>
    <row r="1066">
      <c r="A1066" s="49"/>
      <c r="B1066" s="49"/>
      <c r="C1066" s="49"/>
      <c r="D1066" s="49"/>
      <c r="E1066" s="49">
        <f>IFERROR(__xludf.DUMMYFUNCTION("""COMPUTED_VALUE"""),1.0)</f>
        <v>1</v>
      </c>
      <c r="F1066" s="112">
        <f>IFERROR(__xludf.DUMMYFUNCTION("""COMPUTED_VALUE"""),0.0)</f>
        <v>0</v>
      </c>
      <c r="G1066" s="49"/>
      <c r="H1066" s="49"/>
      <c r="I1066" s="49"/>
      <c r="J1066" s="49"/>
      <c r="K1066" s="49"/>
      <c r="L1066" s="49"/>
      <c r="M1066" s="49"/>
      <c r="N1066" s="49"/>
      <c r="O1066" s="49"/>
      <c r="P1066" s="49"/>
      <c r="Q1066" s="49"/>
      <c r="R1066" s="49"/>
      <c r="S1066" s="49"/>
      <c r="T1066" s="49"/>
      <c r="U1066" s="49"/>
      <c r="V1066" s="49"/>
      <c r="W1066" s="49"/>
      <c r="X1066" s="49"/>
      <c r="Y1066" s="49"/>
      <c r="Z1066" s="49"/>
      <c r="AA1066" s="49"/>
      <c r="AB1066" s="49"/>
      <c r="AC1066" s="49"/>
      <c r="AD1066" s="49"/>
      <c r="AE1066" s="49"/>
      <c r="AF1066" s="49"/>
      <c r="AG1066" s="49"/>
      <c r="AH1066" s="49" t="b">
        <f>IFERROR(__xludf.DUMMYFUNCTION("""COMPUTED_VALUE"""),FALSE)</f>
        <v>0</v>
      </c>
    </row>
    <row r="1067">
      <c r="A1067" s="49"/>
      <c r="B1067" s="49"/>
      <c r="C1067" s="49"/>
      <c r="D1067" s="49"/>
      <c r="E1067" s="49">
        <f>IFERROR(__xludf.DUMMYFUNCTION("""COMPUTED_VALUE"""),1.0)</f>
        <v>1</v>
      </c>
      <c r="F1067" s="112">
        <f>IFERROR(__xludf.DUMMYFUNCTION("""COMPUTED_VALUE"""),0.0)</f>
        <v>0</v>
      </c>
      <c r="G1067" s="49"/>
      <c r="H1067" s="49"/>
      <c r="I1067" s="49"/>
      <c r="J1067" s="49"/>
      <c r="K1067" s="49"/>
      <c r="L1067" s="49"/>
      <c r="M1067" s="49"/>
      <c r="N1067" s="49"/>
      <c r="O1067" s="49"/>
      <c r="P1067" s="49"/>
      <c r="Q1067" s="49"/>
      <c r="R1067" s="49"/>
      <c r="S1067" s="49"/>
      <c r="T1067" s="49"/>
      <c r="U1067" s="49"/>
      <c r="V1067" s="49"/>
      <c r="W1067" s="49"/>
      <c r="X1067" s="49"/>
      <c r="Y1067" s="49"/>
      <c r="Z1067" s="49"/>
      <c r="AA1067" s="49"/>
      <c r="AB1067" s="49"/>
      <c r="AC1067" s="49"/>
      <c r="AD1067" s="49"/>
      <c r="AE1067" s="49"/>
      <c r="AF1067" s="49"/>
      <c r="AG1067" s="49"/>
      <c r="AH1067" s="49" t="b">
        <f>IFERROR(__xludf.DUMMYFUNCTION("""COMPUTED_VALUE"""),FALSE)</f>
        <v>0</v>
      </c>
    </row>
    <row r="1068">
      <c r="A1068" s="49"/>
      <c r="B1068" s="49"/>
      <c r="C1068" s="49"/>
      <c r="D1068" s="49"/>
      <c r="E1068" s="49">
        <f>IFERROR(__xludf.DUMMYFUNCTION("""COMPUTED_VALUE"""),1.0)</f>
        <v>1</v>
      </c>
      <c r="F1068" s="112">
        <f>IFERROR(__xludf.DUMMYFUNCTION("""COMPUTED_VALUE"""),0.0)</f>
        <v>0</v>
      </c>
      <c r="G1068" s="49"/>
      <c r="H1068" s="49"/>
      <c r="I1068" s="49"/>
      <c r="J1068" s="49"/>
      <c r="K1068" s="49"/>
      <c r="L1068" s="49"/>
      <c r="M1068" s="49"/>
      <c r="N1068" s="49"/>
      <c r="O1068" s="49"/>
      <c r="P1068" s="49"/>
      <c r="Q1068" s="49"/>
      <c r="R1068" s="49"/>
      <c r="S1068" s="49"/>
      <c r="T1068" s="49"/>
      <c r="U1068" s="49"/>
      <c r="V1068" s="49"/>
      <c r="W1068" s="49"/>
      <c r="X1068" s="49"/>
      <c r="Y1068" s="49"/>
      <c r="Z1068" s="49"/>
      <c r="AA1068" s="49"/>
      <c r="AB1068" s="49"/>
      <c r="AC1068" s="49"/>
      <c r="AD1068" s="49"/>
      <c r="AE1068" s="49"/>
      <c r="AF1068" s="49"/>
      <c r="AG1068" s="49"/>
      <c r="AH1068" s="49" t="b">
        <f>IFERROR(__xludf.DUMMYFUNCTION("""COMPUTED_VALUE"""),FALSE)</f>
        <v>0</v>
      </c>
    </row>
    <row r="1069">
      <c r="A1069" s="49"/>
      <c r="B1069" s="49"/>
      <c r="C1069" s="49"/>
      <c r="D1069" s="49"/>
      <c r="E1069" s="49">
        <f>IFERROR(__xludf.DUMMYFUNCTION("""COMPUTED_VALUE"""),1.0)</f>
        <v>1</v>
      </c>
      <c r="F1069" s="112">
        <f>IFERROR(__xludf.DUMMYFUNCTION("""COMPUTED_VALUE"""),0.0)</f>
        <v>0</v>
      </c>
      <c r="G1069" s="49"/>
      <c r="H1069" s="49"/>
      <c r="I1069" s="49"/>
      <c r="J1069" s="49"/>
      <c r="K1069" s="49"/>
      <c r="L1069" s="49"/>
      <c r="M1069" s="49"/>
      <c r="N1069" s="49"/>
      <c r="O1069" s="49"/>
      <c r="P1069" s="49"/>
      <c r="Q1069" s="49"/>
      <c r="R1069" s="49"/>
      <c r="S1069" s="49"/>
      <c r="T1069" s="49"/>
      <c r="U1069" s="49"/>
      <c r="V1069" s="49"/>
      <c r="W1069" s="49"/>
      <c r="X1069" s="49"/>
      <c r="Y1069" s="49"/>
      <c r="Z1069" s="49"/>
      <c r="AA1069" s="49"/>
      <c r="AB1069" s="49"/>
      <c r="AC1069" s="49"/>
      <c r="AD1069" s="49"/>
      <c r="AE1069" s="49"/>
      <c r="AF1069" s="49"/>
      <c r="AG1069" s="49"/>
      <c r="AH1069" s="49" t="b">
        <f>IFERROR(__xludf.DUMMYFUNCTION("""COMPUTED_VALUE"""),FALSE)</f>
        <v>0</v>
      </c>
    </row>
    <row r="1070">
      <c r="A1070" s="49"/>
      <c r="B1070" s="49"/>
      <c r="C1070" s="49"/>
      <c r="D1070" s="49"/>
      <c r="E1070" s="49">
        <f>IFERROR(__xludf.DUMMYFUNCTION("""COMPUTED_VALUE"""),1.0)</f>
        <v>1</v>
      </c>
      <c r="F1070" s="112">
        <f>IFERROR(__xludf.DUMMYFUNCTION("""COMPUTED_VALUE"""),0.0)</f>
        <v>0</v>
      </c>
      <c r="G1070" s="49"/>
      <c r="H1070" s="49"/>
      <c r="I1070" s="49"/>
      <c r="J1070" s="49"/>
      <c r="K1070" s="49"/>
      <c r="L1070" s="49"/>
      <c r="M1070" s="49"/>
      <c r="N1070" s="49"/>
      <c r="O1070" s="49"/>
      <c r="P1070" s="49"/>
      <c r="Q1070" s="49"/>
      <c r="R1070" s="49"/>
      <c r="S1070" s="49"/>
      <c r="T1070" s="49"/>
      <c r="U1070" s="49"/>
      <c r="V1070" s="49"/>
      <c r="W1070" s="49"/>
      <c r="X1070" s="49"/>
      <c r="Y1070" s="49"/>
      <c r="Z1070" s="49"/>
      <c r="AA1070" s="49"/>
      <c r="AB1070" s="49"/>
      <c r="AC1070" s="49"/>
      <c r="AD1070" s="49"/>
      <c r="AE1070" s="49"/>
      <c r="AF1070" s="49"/>
      <c r="AG1070" s="49"/>
      <c r="AH1070" s="49" t="b">
        <f>IFERROR(__xludf.DUMMYFUNCTION("""COMPUTED_VALUE"""),FALSE)</f>
        <v>0</v>
      </c>
    </row>
    <row r="1071">
      <c r="A1071" s="49"/>
      <c r="B1071" s="49"/>
      <c r="C1071" s="49"/>
      <c r="D1071" s="49"/>
      <c r="E1071" s="49">
        <f>IFERROR(__xludf.DUMMYFUNCTION("""COMPUTED_VALUE"""),1.0)</f>
        <v>1</v>
      </c>
      <c r="F1071" s="112">
        <f>IFERROR(__xludf.DUMMYFUNCTION("""COMPUTED_VALUE"""),0.0)</f>
        <v>0</v>
      </c>
      <c r="G1071" s="49"/>
      <c r="H1071" s="49"/>
      <c r="I1071" s="49"/>
      <c r="J1071" s="49"/>
      <c r="K1071" s="49"/>
      <c r="L1071" s="49"/>
      <c r="M1071" s="49"/>
      <c r="N1071" s="49"/>
      <c r="O1071" s="49"/>
      <c r="P1071" s="49"/>
      <c r="Q1071" s="49"/>
      <c r="R1071" s="49"/>
      <c r="S1071" s="49"/>
      <c r="T1071" s="49"/>
      <c r="U1071" s="49"/>
      <c r="V1071" s="49"/>
      <c r="W1071" s="49"/>
      <c r="X1071" s="49"/>
      <c r="Y1071" s="49"/>
      <c r="Z1071" s="49"/>
      <c r="AA1071" s="49"/>
      <c r="AB1071" s="49"/>
      <c r="AC1071" s="49"/>
      <c r="AD1071" s="49"/>
      <c r="AE1071" s="49"/>
      <c r="AF1071" s="49"/>
      <c r="AG1071" s="49"/>
      <c r="AH1071" s="49" t="b">
        <f>IFERROR(__xludf.DUMMYFUNCTION("""COMPUTED_VALUE"""),FALSE)</f>
        <v>0</v>
      </c>
    </row>
    <row r="1072">
      <c r="A1072" s="49"/>
      <c r="B1072" s="49"/>
      <c r="C1072" s="49"/>
      <c r="D1072" s="49"/>
      <c r="E1072" s="49">
        <f>IFERROR(__xludf.DUMMYFUNCTION("""COMPUTED_VALUE"""),1.0)</f>
        <v>1</v>
      </c>
      <c r="F1072" s="112">
        <f>IFERROR(__xludf.DUMMYFUNCTION("""COMPUTED_VALUE"""),0.0)</f>
        <v>0</v>
      </c>
      <c r="G1072" s="49"/>
      <c r="H1072" s="49"/>
      <c r="I1072" s="49"/>
      <c r="J1072" s="49"/>
      <c r="K1072" s="49"/>
      <c r="L1072" s="49"/>
      <c r="M1072" s="49"/>
      <c r="N1072" s="49"/>
      <c r="O1072" s="49"/>
      <c r="P1072" s="49"/>
      <c r="Q1072" s="49"/>
      <c r="R1072" s="49"/>
      <c r="S1072" s="49"/>
      <c r="T1072" s="49"/>
      <c r="U1072" s="49"/>
      <c r="V1072" s="49"/>
      <c r="W1072" s="49"/>
      <c r="X1072" s="49"/>
      <c r="Y1072" s="49"/>
      <c r="Z1072" s="49"/>
      <c r="AA1072" s="49"/>
      <c r="AB1072" s="49"/>
      <c r="AC1072" s="49"/>
      <c r="AD1072" s="49"/>
      <c r="AE1072" s="49"/>
      <c r="AF1072" s="49"/>
      <c r="AG1072" s="49"/>
      <c r="AH1072" s="49" t="b">
        <f>IFERROR(__xludf.DUMMYFUNCTION("""COMPUTED_VALUE"""),FALSE)</f>
        <v>0</v>
      </c>
    </row>
    <row r="1073">
      <c r="A1073" s="49"/>
      <c r="B1073" s="49"/>
      <c r="C1073" s="49"/>
      <c r="D1073" s="49"/>
      <c r="E1073" s="49">
        <f>IFERROR(__xludf.DUMMYFUNCTION("""COMPUTED_VALUE"""),1.0)</f>
        <v>1</v>
      </c>
      <c r="F1073" s="112">
        <f>IFERROR(__xludf.DUMMYFUNCTION("""COMPUTED_VALUE"""),0.0)</f>
        <v>0</v>
      </c>
      <c r="G1073" s="49"/>
      <c r="H1073" s="49"/>
      <c r="I1073" s="49"/>
      <c r="J1073" s="49"/>
      <c r="K1073" s="49"/>
      <c r="L1073" s="49"/>
      <c r="M1073" s="49"/>
      <c r="N1073" s="49"/>
      <c r="O1073" s="49"/>
      <c r="P1073" s="49"/>
      <c r="Q1073" s="49"/>
      <c r="R1073" s="49"/>
      <c r="S1073" s="49"/>
      <c r="T1073" s="49"/>
      <c r="U1073" s="49"/>
      <c r="V1073" s="49"/>
      <c r="W1073" s="49"/>
      <c r="X1073" s="49"/>
      <c r="Y1073" s="49"/>
      <c r="Z1073" s="49"/>
      <c r="AA1073" s="49"/>
      <c r="AB1073" s="49"/>
      <c r="AC1073" s="49"/>
      <c r="AD1073" s="49"/>
      <c r="AE1073" s="49"/>
      <c r="AF1073" s="49"/>
      <c r="AG1073" s="49"/>
      <c r="AH1073" s="49" t="b">
        <f>IFERROR(__xludf.DUMMYFUNCTION("""COMPUTED_VALUE"""),FALSE)</f>
        <v>0</v>
      </c>
    </row>
    <row r="1074">
      <c r="A1074" s="49"/>
      <c r="B1074" s="49"/>
      <c r="C1074" s="49"/>
      <c r="D1074" s="49"/>
      <c r="E1074" s="49">
        <f>IFERROR(__xludf.DUMMYFUNCTION("""COMPUTED_VALUE"""),1.0)</f>
        <v>1</v>
      </c>
      <c r="F1074" s="112">
        <f>IFERROR(__xludf.DUMMYFUNCTION("""COMPUTED_VALUE"""),0.0)</f>
        <v>0</v>
      </c>
      <c r="G1074" s="49"/>
      <c r="H1074" s="49"/>
      <c r="I1074" s="49"/>
      <c r="J1074" s="49"/>
      <c r="K1074" s="49"/>
      <c r="L1074" s="49"/>
      <c r="M1074" s="49"/>
      <c r="N1074" s="49"/>
      <c r="O1074" s="49"/>
      <c r="P1074" s="49"/>
      <c r="Q1074" s="49"/>
      <c r="R1074" s="49"/>
      <c r="S1074" s="49"/>
      <c r="T1074" s="49"/>
      <c r="U1074" s="49"/>
      <c r="V1074" s="49"/>
      <c r="W1074" s="49"/>
      <c r="X1074" s="49"/>
      <c r="Y1074" s="49"/>
      <c r="Z1074" s="49"/>
      <c r="AA1074" s="49"/>
      <c r="AB1074" s="49"/>
      <c r="AC1074" s="49"/>
      <c r="AD1074" s="49"/>
      <c r="AE1074" s="49"/>
      <c r="AF1074" s="49"/>
      <c r="AG1074" s="49"/>
      <c r="AH1074" s="49" t="b">
        <f>IFERROR(__xludf.DUMMYFUNCTION("""COMPUTED_VALUE"""),FALSE)</f>
        <v>0</v>
      </c>
    </row>
    <row r="1075">
      <c r="A1075" s="49"/>
      <c r="B1075" s="49"/>
      <c r="C1075" s="49"/>
      <c r="D1075" s="49"/>
      <c r="E1075" s="49">
        <f>IFERROR(__xludf.DUMMYFUNCTION("""COMPUTED_VALUE"""),1.0)</f>
        <v>1</v>
      </c>
      <c r="F1075" s="112">
        <f>IFERROR(__xludf.DUMMYFUNCTION("""COMPUTED_VALUE"""),0.0)</f>
        <v>0</v>
      </c>
      <c r="G1075" s="49"/>
      <c r="H1075" s="49"/>
      <c r="I1075" s="49"/>
      <c r="J1075" s="49"/>
      <c r="K1075" s="49"/>
      <c r="L1075" s="49"/>
      <c r="M1075" s="49"/>
      <c r="N1075" s="49"/>
      <c r="O1075" s="49"/>
      <c r="P1075" s="49"/>
      <c r="Q1075" s="49"/>
      <c r="R1075" s="49"/>
      <c r="S1075" s="49"/>
      <c r="T1075" s="49"/>
      <c r="U1075" s="49"/>
      <c r="V1075" s="49"/>
      <c r="W1075" s="49"/>
      <c r="X1075" s="49"/>
      <c r="Y1075" s="49"/>
      <c r="Z1075" s="49"/>
      <c r="AA1075" s="49"/>
      <c r="AB1075" s="49"/>
      <c r="AC1075" s="49"/>
      <c r="AD1075" s="49"/>
      <c r="AE1075" s="49"/>
      <c r="AF1075" s="49"/>
      <c r="AG1075" s="49"/>
      <c r="AH1075" s="49" t="b">
        <f>IFERROR(__xludf.DUMMYFUNCTION("""COMPUTED_VALUE"""),FALSE)</f>
        <v>0</v>
      </c>
    </row>
    <row r="1076">
      <c r="A1076" s="49"/>
      <c r="B1076" s="49"/>
      <c r="C1076" s="49"/>
      <c r="D1076" s="49"/>
      <c r="E1076" s="49">
        <f>IFERROR(__xludf.DUMMYFUNCTION("""COMPUTED_VALUE"""),1.0)</f>
        <v>1</v>
      </c>
      <c r="F1076" s="112">
        <f>IFERROR(__xludf.DUMMYFUNCTION("""COMPUTED_VALUE"""),0.0)</f>
        <v>0</v>
      </c>
      <c r="G1076" s="49"/>
      <c r="H1076" s="49"/>
      <c r="I1076" s="49"/>
      <c r="J1076" s="49"/>
      <c r="K1076" s="49"/>
      <c r="L1076" s="49"/>
      <c r="M1076" s="49"/>
      <c r="N1076" s="49"/>
      <c r="O1076" s="49"/>
      <c r="P1076" s="49"/>
      <c r="Q1076" s="49"/>
      <c r="R1076" s="49"/>
      <c r="S1076" s="49"/>
      <c r="T1076" s="49"/>
      <c r="U1076" s="49"/>
      <c r="V1076" s="49"/>
      <c r="W1076" s="49"/>
      <c r="X1076" s="49"/>
      <c r="Y1076" s="49"/>
      <c r="Z1076" s="49"/>
      <c r="AA1076" s="49"/>
      <c r="AB1076" s="49"/>
      <c r="AC1076" s="49"/>
      <c r="AD1076" s="49"/>
      <c r="AE1076" s="49"/>
      <c r="AF1076" s="49"/>
      <c r="AG1076" s="49"/>
      <c r="AH1076" s="49" t="b">
        <f>IFERROR(__xludf.DUMMYFUNCTION("""COMPUTED_VALUE"""),FALSE)</f>
        <v>0</v>
      </c>
    </row>
    <row r="1077">
      <c r="A1077" s="49"/>
      <c r="B1077" s="49"/>
      <c r="C1077" s="49"/>
      <c r="D1077" s="49"/>
      <c r="E1077" s="49">
        <f>IFERROR(__xludf.DUMMYFUNCTION("""COMPUTED_VALUE"""),1.0)</f>
        <v>1</v>
      </c>
      <c r="F1077" s="112">
        <f>IFERROR(__xludf.DUMMYFUNCTION("""COMPUTED_VALUE"""),0.0)</f>
        <v>0</v>
      </c>
      <c r="G1077" s="49"/>
      <c r="H1077" s="49"/>
      <c r="I1077" s="49"/>
      <c r="J1077" s="49"/>
      <c r="K1077" s="49"/>
      <c r="L1077" s="49"/>
      <c r="M1077" s="49"/>
      <c r="N1077" s="49"/>
      <c r="O1077" s="49"/>
      <c r="P1077" s="49"/>
      <c r="Q1077" s="49"/>
      <c r="R1077" s="49"/>
      <c r="S1077" s="49"/>
      <c r="T1077" s="49"/>
      <c r="U1077" s="49"/>
      <c r="V1077" s="49"/>
      <c r="W1077" s="49"/>
      <c r="X1077" s="49"/>
      <c r="Y1077" s="49"/>
      <c r="Z1077" s="49"/>
      <c r="AA1077" s="49"/>
      <c r="AB1077" s="49"/>
      <c r="AC1077" s="49"/>
      <c r="AD1077" s="49"/>
      <c r="AE1077" s="49"/>
      <c r="AF1077" s="49"/>
      <c r="AG1077" s="49"/>
      <c r="AH1077" s="49" t="b">
        <f>IFERROR(__xludf.DUMMYFUNCTION("""COMPUTED_VALUE"""),FALSE)</f>
        <v>0</v>
      </c>
    </row>
    <row r="1078">
      <c r="A1078" s="49"/>
      <c r="B1078" s="49"/>
      <c r="C1078" s="49"/>
      <c r="D1078" s="49"/>
      <c r="E1078" s="49">
        <f>IFERROR(__xludf.DUMMYFUNCTION("""COMPUTED_VALUE"""),1.0)</f>
        <v>1</v>
      </c>
      <c r="F1078" s="112">
        <f>IFERROR(__xludf.DUMMYFUNCTION("""COMPUTED_VALUE"""),0.0)</f>
        <v>0</v>
      </c>
      <c r="G1078" s="49"/>
      <c r="H1078" s="49"/>
      <c r="I1078" s="49"/>
      <c r="J1078" s="49"/>
      <c r="K1078" s="49"/>
      <c r="L1078" s="49"/>
      <c r="M1078" s="49"/>
      <c r="N1078" s="49"/>
      <c r="O1078" s="49"/>
      <c r="P1078" s="49"/>
      <c r="Q1078" s="49"/>
      <c r="R1078" s="49"/>
      <c r="S1078" s="49"/>
      <c r="T1078" s="49"/>
      <c r="U1078" s="49"/>
      <c r="V1078" s="49"/>
      <c r="W1078" s="49"/>
      <c r="X1078" s="49"/>
      <c r="Y1078" s="49"/>
      <c r="Z1078" s="49"/>
      <c r="AA1078" s="49"/>
      <c r="AB1078" s="49"/>
      <c r="AC1078" s="49"/>
      <c r="AD1078" s="49"/>
      <c r="AE1078" s="49"/>
      <c r="AF1078" s="49"/>
      <c r="AG1078" s="49"/>
      <c r="AH1078" s="49" t="b">
        <f>IFERROR(__xludf.DUMMYFUNCTION("""COMPUTED_VALUE"""),FALSE)</f>
        <v>0</v>
      </c>
    </row>
    <row r="1079">
      <c r="A1079" s="49"/>
      <c r="B1079" s="49"/>
      <c r="C1079" s="49"/>
      <c r="D1079" s="49"/>
      <c r="E1079" s="49">
        <f>IFERROR(__xludf.DUMMYFUNCTION("""COMPUTED_VALUE"""),1.0)</f>
        <v>1</v>
      </c>
      <c r="F1079" s="112">
        <f>IFERROR(__xludf.DUMMYFUNCTION("""COMPUTED_VALUE"""),0.0)</f>
        <v>0</v>
      </c>
      <c r="G1079" s="49"/>
      <c r="H1079" s="49"/>
      <c r="I1079" s="49"/>
      <c r="J1079" s="49"/>
      <c r="K1079" s="49"/>
      <c r="L1079" s="49"/>
      <c r="M1079" s="49"/>
      <c r="N1079" s="49"/>
      <c r="O1079" s="49"/>
      <c r="P1079" s="49"/>
      <c r="Q1079" s="49"/>
      <c r="R1079" s="49"/>
      <c r="S1079" s="49"/>
      <c r="T1079" s="49"/>
      <c r="U1079" s="49"/>
      <c r="V1079" s="49"/>
      <c r="W1079" s="49"/>
      <c r="X1079" s="49"/>
      <c r="Y1079" s="49"/>
      <c r="Z1079" s="49"/>
      <c r="AA1079" s="49"/>
      <c r="AB1079" s="49"/>
      <c r="AC1079" s="49"/>
      <c r="AD1079" s="49"/>
      <c r="AE1079" s="49"/>
      <c r="AF1079" s="49"/>
      <c r="AG1079" s="49"/>
      <c r="AH1079" s="49" t="b">
        <f>IFERROR(__xludf.DUMMYFUNCTION("""COMPUTED_VALUE"""),FALSE)</f>
        <v>0</v>
      </c>
    </row>
    <row r="1080">
      <c r="A1080" s="49"/>
      <c r="B1080" s="49"/>
      <c r="C1080" s="49"/>
      <c r="D1080" s="49"/>
      <c r="E1080" s="49">
        <f>IFERROR(__xludf.DUMMYFUNCTION("""COMPUTED_VALUE"""),1.0)</f>
        <v>1</v>
      </c>
      <c r="F1080" s="112">
        <f>IFERROR(__xludf.DUMMYFUNCTION("""COMPUTED_VALUE"""),0.0)</f>
        <v>0</v>
      </c>
      <c r="G1080" s="49"/>
      <c r="H1080" s="49"/>
      <c r="I1080" s="49"/>
      <c r="J1080" s="49"/>
      <c r="K1080" s="49"/>
      <c r="L1080" s="49"/>
      <c r="M1080" s="49"/>
      <c r="N1080" s="49"/>
      <c r="O1080" s="49"/>
      <c r="P1080" s="49"/>
      <c r="Q1080" s="49"/>
      <c r="R1080" s="49"/>
      <c r="S1080" s="49"/>
      <c r="T1080" s="49"/>
      <c r="U1080" s="49"/>
      <c r="V1080" s="49"/>
      <c r="W1080" s="49"/>
      <c r="X1080" s="49"/>
      <c r="Y1080" s="49"/>
      <c r="Z1080" s="49"/>
      <c r="AA1080" s="49"/>
      <c r="AB1080" s="49"/>
      <c r="AC1080" s="49"/>
      <c r="AD1080" s="49"/>
      <c r="AE1080" s="49"/>
      <c r="AF1080" s="49"/>
      <c r="AG1080" s="49"/>
      <c r="AH1080" s="49" t="b">
        <f>IFERROR(__xludf.DUMMYFUNCTION("""COMPUTED_VALUE"""),FALSE)</f>
        <v>0</v>
      </c>
    </row>
    <row r="1081">
      <c r="A1081" s="49"/>
      <c r="B1081" s="49"/>
      <c r="C1081" s="49"/>
      <c r="D1081" s="49"/>
      <c r="E1081" s="49">
        <f>IFERROR(__xludf.DUMMYFUNCTION("""COMPUTED_VALUE"""),1.0)</f>
        <v>1</v>
      </c>
      <c r="F1081" s="112">
        <f>IFERROR(__xludf.DUMMYFUNCTION("""COMPUTED_VALUE"""),0.0)</f>
        <v>0</v>
      </c>
      <c r="G1081" s="49"/>
      <c r="H1081" s="49"/>
      <c r="I1081" s="49"/>
      <c r="J1081" s="49"/>
      <c r="K1081" s="49"/>
      <c r="L1081" s="49"/>
      <c r="M1081" s="49"/>
      <c r="N1081" s="49"/>
      <c r="O1081" s="49"/>
      <c r="P1081" s="49"/>
      <c r="Q1081" s="49"/>
      <c r="R1081" s="49"/>
      <c r="S1081" s="49"/>
      <c r="T1081" s="49"/>
      <c r="U1081" s="49"/>
      <c r="V1081" s="49"/>
      <c r="W1081" s="49"/>
      <c r="X1081" s="49"/>
      <c r="Y1081" s="49"/>
      <c r="Z1081" s="49"/>
      <c r="AA1081" s="49"/>
      <c r="AB1081" s="49"/>
      <c r="AC1081" s="49"/>
      <c r="AD1081" s="49"/>
      <c r="AE1081" s="49"/>
      <c r="AF1081" s="49"/>
      <c r="AG1081" s="49"/>
      <c r="AH1081" s="49" t="b">
        <f>IFERROR(__xludf.DUMMYFUNCTION("""COMPUTED_VALUE"""),FALSE)</f>
        <v>0</v>
      </c>
    </row>
    <row r="1082">
      <c r="A1082" s="49"/>
      <c r="B1082" s="49"/>
      <c r="C1082" s="49"/>
      <c r="D1082" s="49"/>
      <c r="E1082" s="49">
        <f>IFERROR(__xludf.DUMMYFUNCTION("""COMPUTED_VALUE"""),1.0)</f>
        <v>1</v>
      </c>
      <c r="F1082" s="112">
        <f>IFERROR(__xludf.DUMMYFUNCTION("""COMPUTED_VALUE"""),0.0)</f>
        <v>0</v>
      </c>
      <c r="G1082" s="49"/>
      <c r="H1082" s="49"/>
      <c r="I1082" s="49"/>
      <c r="J1082" s="49"/>
      <c r="K1082" s="49"/>
      <c r="L1082" s="49"/>
      <c r="M1082" s="49"/>
      <c r="N1082" s="49"/>
      <c r="O1082" s="49"/>
      <c r="P1082" s="49"/>
      <c r="Q1082" s="49"/>
      <c r="R1082" s="49"/>
      <c r="S1082" s="49"/>
      <c r="T1082" s="49"/>
      <c r="U1082" s="49"/>
      <c r="V1082" s="49"/>
      <c r="W1082" s="49"/>
      <c r="X1082" s="49"/>
      <c r="Y1082" s="49"/>
      <c r="Z1082" s="49"/>
      <c r="AA1082" s="49"/>
      <c r="AB1082" s="49"/>
      <c r="AC1082" s="49"/>
      <c r="AD1082" s="49"/>
      <c r="AE1082" s="49"/>
      <c r="AF1082" s="49"/>
      <c r="AG1082" s="49"/>
      <c r="AH1082" s="49" t="b">
        <f>IFERROR(__xludf.DUMMYFUNCTION("""COMPUTED_VALUE"""),FALSE)</f>
        <v>0</v>
      </c>
    </row>
    <row r="1083">
      <c r="A1083" s="49"/>
      <c r="B1083" s="49"/>
      <c r="C1083" s="49"/>
      <c r="D1083" s="49"/>
      <c r="E1083" s="49">
        <f>IFERROR(__xludf.DUMMYFUNCTION("""COMPUTED_VALUE"""),1.0)</f>
        <v>1</v>
      </c>
      <c r="F1083" s="112">
        <f>IFERROR(__xludf.DUMMYFUNCTION("""COMPUTED_VALUE"""),0.0)</f>
        <v>0</v>
      </c>
      <c r="G1083" s="49"/>
      <c r="H1083" s="49"/>
      <c r="I1083" s="49"/>
      <c r="J1083" s="49"/>
      <c r="K1083" s="49"/>
      <c r="L1083" s="49"/>
      <c r="M1083" s="49"/>
      <c r="N1083" s="49"/>
      <c r="O1083" s="49"/>
      <c r="P1083" s="49"/>
      <c r="Q1083" s="49"/>
      <c r="R1083" s="49"/>
      <c r="S1083" s="49"/>
      <c r="T1083" s="49"/>
      <c r="U1083" s="49"/>
      <c r="V1083" s="49"/>
      <c r="W1083" s="49"/>
      <c r="X1083" s="49"/>
      <c r="Y1083" s="49"/>
      <c r="Z1083" s="49"/>
      <c r="AA1083" s="49"/>
      <c r="AB1083" s="49"/>
      <c r="AC1083" s="49"/>
      <c r="AD1083" s="49"/>
      <c r="AE1083" s="49"/>
      <c r="AF1083" s="49"/>
      <c r="AG1083" s="49"/>
      <c r="AH1083" s="49" t="b">
        <f>IFERROR(__xludf.DUMMYFUNCTION("""COMPUTED_VALUE"""),FALSE)</f>
        <v>0</v>
      </c>
    </row>
    <row r="1084">
      <c r="A1084" s="49"/>
      <c r="B1084" s="49"/>
      <c r="C1084" s="49"/>
      <c r="D1084" s="49"/>
      <c r="E1084" s="49">
        <f>IFERROR(__xludf.DUMMYFUNCTION("""COMPUTED_VALUE"""),1.0)</f>
        <v>1</v>
      </c>
      <c r="F1084" s="112">
        <f>IFERROR(__xludf.DUMMYFUNCTION("""COMPUTED_VALUE"""),0.0)</f>
        <v>0</v>
      </c>
      <c r="G1084" s="49"/>
      <c r="H1084" s="49"/>
      <c r="I1084" s="49"/>
      <c r="J1084" s="49"/>
      <c r="K1084" s="49"/>
      <c r="L1084" s="49"/>
      <c r="M1084" s="49"/>
      <c r="N1084" s="49"/>
      <c r="O1084" s="49"/>
      <c r="P1084" s="49"/>
      <c r="Q1084" s="49"/>
      <c r="R1084" s="49"/>
      <c r="S1084" s="49"/>
      <c r="T1084" s="49"/>
      <c r="U1084" s="49"/>
      <c r="V1084" s="49"/>
      <c r="W1084" s="49"/>
      <c r="X1084" s="49"/>
      <c r="Y1084" s="49"/>
      <c r="Z1084" s="49"/>
      <c r="AA1084" s="49"/>
      <c r="AB1084" s="49"/>
      <c r="AC1084" s="49"/>
      <c r="AD1084" s="49"/>
      <c r="AE1084" s="49"/>
      <c r="AF1084" s="49"/>
      <c r="AG1084" s="49"/>
      <c r="AH1084" s="49" t="b">
        <f>IFERROR(__xludf.DUMMYFUNCTION("""COMPUTED_VALUE"""),FALSE)</f>
        <v>0</v>
      </c>
    </row>
    <row r="1085">
      <c r="A1085" s="49"/>
      <c r="B1085" s="49"/>
      <c r="C1085" s="49"/>
      <c r="D1085" s="49"/>
      <c r="E1085" s="49">
        <f>IFERROR(__xludf.DUMMYFUNCTION("""COMPUTED_VALUE"""),1.0)</f>
        <v>1</v>
      </c>
      <c r="F1085" s="112">
        <f>IFERROR(__xludf.DUMMYFUNCTION("""COMPUTED_VALUE"""),0.0)</f>
        <v>0</v>
      </c>
      <c r="G1085" s="49"/>
      <c r="H1085" s="49"/>
      <c r="I1085" s="49"/>
      <c r="J1085" s="49"/>
      <c r="K1085" s="49"/>
      <c r="L1085" s="49"/>
      <c r="M1085" s="49"/>
      <c r="N1085" s="49"/>
      <c r="O1085" s="49"/>
      <c r="P1085" s="49"/>
      <c r="Q1085" s="49"/>
      <c r="R1085" s="49"/>
      <c r="S1085" s="49"/>
      <c r="T1085" s="49"/>
      <c r="U1085" s="49"/>
      <c r="V1085" s="49"/>
      <c r="W1085" s="49"/>
      <c r="X1085" s="49"/>
      <c r="Y1085" s="49"/>
      <c r="Z1085" s="49"/>
      <c r="AA1085" s="49"/>
      <c r="AB1085" s="49"/>
      <c r="AC1085" s="49"/>
      <c r="AD1085" s="49"/>
      <c r="AE1085" s="49"/>
      <c r="AF1085" s="49"/>
      <c r="AG1085" s="49"/>
      <c r="AH1085" s="49" t="b">
        <f>IFERROR(__xludf.DUMMYFUNCTION("""COMPUTED_VALUE"""),FALSE)</f>
        <v>0</v>
      </c>
    </row>
    <row r="1086">
      <c r="A1086" s="49"/>
      <c r="B1086" s="49"/>
      <c r="C1086" s="49"/>
      <c r="D1086" s="49"/>
      <c r="E1086" s="49">
        <f>IFERROR(__xludf.DUMMYFUNCTION("""COMPUTED_VALUE"""),1.0)</f>
        <v>1</v>
      </c>
      <c r="F1086" s="112">
        <f>IFERROR(__xludf.DUMMYFUNCTION("""COMPUTED_VALUE"""),0.0)</f>
        <v>0</v>
      </c>
      <c r="G1086" s="49"/>
      <c r="H1086" s="49"/>
      <c r="I1086" s="49"/>
      <c r="J1086" s="49"/>
      <c r="K1086" s="49"/>
      <c r="L1086" s="49"/>
      <c r="M1086" s="49"/>
      <c r="N1086" s="49"/>
      <c r="O1086" s="49"/>
      <c r="P1086" s="49"/>
      <c r="Q1086" s="49"/>
      <c r="R1086" s="49"/>
      <c r="S1086" s="49"/>
      <c r="T1086" s="49"/>
      <c r="U1086" s="49"/>
      <c r="V1086" s="49"/>
      <c r="W1086" s="49"/>
      <c r="X1086" s="49"/>
      <c r="Y1086" s="49"/>
      <c r="Z1086" s="49"/>
      <c r="AA1086" s="49"/>
      <c r="AB1086" s="49"/>
      <c r="AC1086" s="49"/>
      <c r="AD1086" s="49"/>
      <c r="AE1086" s="49"/>
      <c r="AF1086" s="49"/>
      <c r="AG1086" s="49"/>
      <c r="AH1086" s="49" t="b">
        <f>IFERROR(__xludf.DUMMYFUNCTION("""COMPUTED_VALUE"""),FALSE)</f>
        <v>0</v>
      </c>
    </row>
    <row r="1087">
      <c r="A1087" s="49"/>
      <c r="B1087" s="49"/>
      <c r="C1087" s="49"/>
      <c r="D1087" s="49"/>
      <c r="E1087" s="49">
        <f>IFERROR(__xludf.DUMMYFUNCTION("""COMPUTED_VALUE"""),1.0)</f>
        <v>1</v>
      </c>
      <c r="F1087" s="112">
        <f>IFERROR(__xludf.DUMMYFUNCTION("""COMPUTED_VALUE"""),0.0)</f>
        <v>0</v>
      </c>
      <c r="G1087" s="49"/>
      <c r="H1087" s="49"/>
      <c r="I1087" s="49"/>
      <c r="J1087" s="49"/>
      <c r="K1087" s="49"/>
      <c r="L1087" s="49"/>
      <c r="M1087" s="49"/>
      <c r="N1087" s="49"/>
      <c r="O1087" s="49"/>
      <c r="P1087" s="49"/>
      <c r="Q1087" s="49"/>
      <c r="R1087" s="49"/>
      <c r="S1087" s="49"/>
      <c r="T1087" s="49"/>
      <c r="U1087" s="49"/>
      <c r="V1087" s="49"/>
      <c r="W1087" s="49"/>
      <c r="X1087" s="49"/>
      <c r="Y1087" s="49"/>
      <c r="Z1087" s="49"/>
      <c r="AA1087" s="49"/>
      <c r="AB1087" s="49"/>
      <c r="AC1087" s="49"/>
      <c r="AD1087" s="49"/>
      <c r="AE1087" s="49"/>
      <c r="AF1087" s="49"/>
      <c r="AG1087" s="49"/>
      <c r="AH1087" s="49" t="b">
        <f>IFERROR(__xludf.DUMMYFUNCTION("""COMPUTED_VALUE"""),FALSE)</f>
        <v>0</v>
      </c>
    </row>
    <row r="1088">
      <c r="A1088" s="49"/>
      <c r="B1088" s="49"/>
      <c r="C1088" s="49"/>
      <c r="D1088" s="49"/>
      <c r="E1088" s="49">
        <f>IFERROR(__xludf.DUMMYFUNCTION("""COMPUTED_VALUE"""),1.0)</f>
        <v>1</v>
      </c>
      <c r="F1088" s="112">
        <f>IFERROR(__xludf.DUMMYFUNCTION("""COMPUTED_VALUE"""),0.0)</f>
        <v>0</v>
      </c>
      <c r="G1088" s="49"/>
      <c r="H1088" s="49"/>
      <c r="I1088" s="49"/>
      <c r="J1088" s="49"/>
      <c r="K1088" s="49"/>
      <c r="L1088" s="49"/>
      <c r="M1088" s="49"/>
      <c r="N1088" s="49"/>
      <c r="O1088" s="49"/>
      <c r="P1088" s="49"/>
      <c r="Q1088" s="49"/>
      <c r="R1088" s="49"/>
      <c r="S1088" s="49"/>
      <c r="T1088" s="49"/>
      <c r="U1088" s="49"/>
      <c r="V1088" s="49"/>
      <c r="W1088" s="49"/>
      <c r="X1088" s="49"/>
      <c r="Y1088" s="49"/>
      <c r="Z1088" s="49"/>
      <c r="AA1088" s="49"/>
      <c r="AB1088" s="49"/>
      <c r="AC1088" s="49"/>
      <c r="AD1088" s="49"/>
      <c r="AE1088" s="49"/>
      <c r="AF1088" s="49"/>
      <c r="AG1088" s="49"/>
      <c r="AH1088" s="49" t="b">
        <f>IFERROR(__xludf.DUMMYFUNCTION("""COMPUTED_VALUE"""),FALSE)</f>
        <v>0</v>
      </c>
    </row>
    <row r="1089">
      <c r="A1089" s="49"/>
      <c r="B1089" s="49"/>
      <c r="C1089" s="49"/>
      <c r="D1089" s="49"/>
      <c r="E1089" s="49">
        <f>IFERROR(__xludf.DUMMYFUNCTION("""COMPUTED_VALUE"""),1.0)</f>
        <v>1</v>
      </c>
      <c r="F1089" s="112">
        <f>IFERROR(__xludf.DUMMYFUNCTION("""COMPUTED_VALUE"""),0.0)</f>
        <v>0</v>
      </c>
      <c r="G1089" s="49"/>
      <c r="H1089" s="49"/>
      <c r="I1089" s="49"/>
      <c r="J1089" s="49"/>
      <c r="K1089" s="49"/>
      <c r="L1089" s="49"/>
      <c r="M1089" s="49"/>
      <c r="N1089" s="49"/>
      <c r="O1089" s="49"/>
      <c r="P1089" s="49"/>
      <c r="Q1089" s="49"/>
      <c r="R1089" s="49"/>
      <c r="S1089" s="49"/>
      <c r="T1089" s="49"/>
      <c r="U1089" s="49"/>
      <c r="V1089" s="49"/>
      <c r="W1089" s="49"/>
      <c r="X1089" s="49"/>
      <c r="Y1089" s="49"/>
      <c r="Z1089" s="49"/>
      <c r="AA1089" s="49"/>
      <c r="AB1089" s="49"/>
      <c r="AC1089" s="49"/>
      <c r="AD1089" s="49"/>
      <c r="AE1089" s="49"/>
      <c r="AF1089" s="49"/>
      <c r="AG1089" s="49"/>
      <c r="AH1089" s="49" t="b">
        <f>IFERROR(__xludf.DUMMYFUNCTION("""COMPUTED_VALUE"""),FALSE)</f>
        <v>0</v>
      </c>
    </row>
    <row r="1090">
      <c r="A1090" s="49"/>
      <c r="B1090" s="49"/>
      <c r="C1090" s="49"/>
      <c r="D1090" s="49"/>
      <c r="E1090" s="49">
        <f>IFERROR(__xludf.DUMMYFUNCTION("""COMPUTED_VALUE"""),1.0)</f>
        <v>1</v>
      </c>
      <c r="F1090" s="112">
        <f>IFERROR(__xludf.DUMMYFUNCTION("""COMPUTED_VALUE"""),0.0)</f>
        <v>0</v>
      </c>
      <c r="G1090" s="49"/>
      <c r="H1090" s="49"/>
      <c r="I1090" s="49"/>
      <c r="J1090" s="49"/>
      <c r="K1090" s="49"/>
      <c r="L1090" s="49"/>
      <c r="M1090" s="49"/>
      <c r="N1090" s="49"/>
      <c r="O1090" s="49"/>
      <c r="P1090" s="49"/>
      <c r="Q1090" s="49"/>
      <c r="R1090" s="49"/>
      <c r="S1090" s="49"/>
      <c r="T1090" s="49"/>
      <c r="U1090" s="49"/>
      <c r="V1090" s="49"/>
      <c r="W1090" s="49"/>
      <c r="X1090" s="49"/>
      <c r="Y1090" s="49"/>
      <c r="Z1090" s="49"/>
      <c r="AA1090" s="49"/>
      <c r="AB1090" s="49"/>
      <c r="AC1090" s="49"/>
      <c r="AD1090" s="49"/>
      <c r="AE1090" s="49"/>
      <c r="AF1090" s="49"/>
      <c r="AG1090" s="49"/>
      <c r="AH1090" s="49" t="b">
        <f>IFERROR(__xludf.DUMMYFUNCTION("""COMPUTED_VALUE"""),FALSE)</f>
        <v>0</v>
      </c>
    </row>
    <row r="1091">
      <c r="A1091" s="49"/>
      <c r="B1091" s="49"/>
      <c r="C1091" s="49"/>
      <c r="D1091" s="49"/>
      <c r="E1091" s="49">
        <f>IFERROR(__xludf.DUMMYFUNCTION("""COMPUTED_VALUE"""),1.0)</f>
        <v>1</v>
      </c>
      <c r="F1091" s="112">
        <f>IFERROR(__xludf.DUMMYFUNCTION("""COMPUTED_VALUE"""),0.0)</f>
        <v>0</v>
      </c>
      <c r="G1091" s="49"/>
      <c r="H1091" s="49"/>
      <c r="I1091" s="49"/>
      <c r="J1091" s="49"/>
      <c r="K1091" s="49"/>
      <c r="L1091" s="49"/>
      <c r="M1091" s="49"/>
      <c r="N1091" s="49"/>
      <c r="O1091" s="49"/>
      <c r="P1091" s="49"/>
      <c r="Q1091" s="49"/>
      <c r="R1091" s="49"/>
      <c r="S1091" s="49"/>
      <c r="T1091" s="49"/>
      <c r="U1091" s="49"/>
      <c r="V1091" s="49"/>
      <c r="W1091" s="49"/>
      <c r="X1091" s="49"/>
      <c r="Y1091" s="49"/>
      <c r="Z1091" s="49"/>
      <c r="AA1091" s="49"/>
      <c r="AB1091" s="49"/>
      <c r="AC1091" s="49"/>
      <c r="AD1091" s="49"/>
      <c r="AE1091" s="49"/>
      <c r="AF1091" s="49"/>
      <c r="AG1091" s="49"/>
      <c r="AH1091" s="49" t="b">
        <f>IFERROR(__xludf.DUMMYFUNCTION("""COMPUTED_VALUE"""),FALSE)</f>
        <v>0</v>
      </c>
    </row>
    <row r="1092">
      <c r="A1092" s="49"/>
      <c r="B1092" s="49"/>
      <c r="C1092" s="49"/>
      <c r="D1092" s="49"/>
      <c r="E1092" s="49">
        <f>IFERROR(__xludf.DUMMYFUNCTION("""COMPUTED_VALUE"""),1.0)</f>
        <v>1</v>
      </c>
      <c r="F1092" s="112">
        <f>IFERROR(__xludf.DUMMYFUNCTION("""COMPUTED_VALUE"""),0.0)</f>
        <v>0</v>
      </c>
      <c r="G1092" s="49"/>
      <c r="H1092" s="49"/>
      <c r="I1092" s="49"/>
      <c r="J1092" s="49"/>
      <c r="K1092" s="49"/>
      <c r="L1092" s="49"/>
      <c r="M1092" s="49"/>
      <c r="N1092" s="49"/>
      <c r="O1092" s="49"/>
      <c r="P1092" s="49"/>
      <c r="Q1092" s="49"/>
      <c r="R1092" s="49"/>
      <c r="S1092" s="49"/>
      <c r="T1092" s="49"/>
      <c r="U1092" s="49"/>
      <c r="V1092" s="49"/>
      <c r="W1092" s="49"/>
      <c r="X1092" s="49"/>
      <c r="Y1092" s="49"/>
      <c r="Z1092" s="49"/>
      <c r="AA1092" s="49"/>
      <c r="AB1092" s="49"/>
      <c r="AC1092" s="49"/>
      <c r="AD1092" s="49"/>
      <c r="AE1092" s="49"/>
      <c r="AF1092" s="49"/>
      <c r="AG1092" s="49"/>
      <c r="AH1092" s="49" t="b">
        <f>IFERROR(__xludf.DUMMYFUNCTION("""COMPUTED_VALUE"""),FALSE)</f>
        <v>0</v>
      </c>
    </row>
    <row r="1093">
      <c r="A1093" s="49"/>
      <c r="B1093" s="49"/>
      <c r="C1093" s="49"/>
      <c r="D1093" s="49"/>
      <c r="E1093" s="49">
        <f>IFERROR(__xludf.DUMMYFUNCTION("""COMPUTED_VALUE"""),1.0)</f>
        <v>1</v>
      </c>
      <c r="F1093" s="112">
        <f>IFERROR(__xludf.DUMMYFUNCTION("""COMPUTED_VALUE"""),0.0)</f>
        <v>0</v>
      </c>
      <c r="G1093" s="49"/>
      <c r="H1093" s="49"/>
      <c r="I1093" s="49"/>
      <c r="J1093" s="49"/>
      <c r="K1093" s="49"/>
      <c r="L1093" s="49"/>
      <c r="M1093" s="49"/>
      <c r="N1093" s="49"/>
      <c r="O1093" s="49"/>
      <c r="P1093" s="49"/>
      <c r="Q1093" s="49"/>
      <c r="R1093" s="49"/>
      <c r="S1093" s="49"/>
      <c r="T1093" s="49"/>
      <c r="U1093" s="49"/>
      <c r="V1093" s="49"/>
      <c r="W1093" s="49"/>
      <c r="X1093" s="49"/>
      <c r="Y1093" s="49"/>
      <c r="Z1093" s="49"/>
      <c r="AA1093" s="49"/>
      <c r="AB1093" s="49"/>
      <c r="AC1093" s="49"/>
      <c r="AD1093" s="49"/>
      <c r="AE1093" s="49"/>
      <c r="AF1093" s="49"/>
      <c r="AG1093" s="49"/>
      <c r="AH1093" s="49" t="b">
        <f>IFERROR(__xludf.DUMMYFUNCTION("""COMPUTED_VALUE"""),FALSE)</f>
        <v>0</v>
      </c>
    </row>
    <row r="1094">
      <c r="A1094" s="49"/>
      <c r="B1094" s="49"/>
      <c r="C1094" s="49"/>
      <c r="D1094" s="49"/>
      <c r="E1094" s="49">
        <f>IFERROR(__xludf.DUMMYFUNCTION("""COMPUTED_VALUE"""),1.0)</f>
        <v>1</v>
      </c>
      <c r="F1094" s="112">
        <f>IFERROR(__xludf.DUMMYFUNCTION("""COMPUTED_VALUE"""),0.0)</f>
        <v>0</v>
      </c>
      <c r="G1094" s="49"/>
      <c r="H1094" s="49"/>
      <c r="I1094" s="49"/>
      <c r="J1094" s="49"/>
      <c r="K1094" s="49"/>
      <c r="L1094" s="49"/>
      <c r="M1094" s="49"/>
      <c r="N1094" s="49"/>
      <c r="O1094" s="49"/>
      <c r="P1094" s="49"/>
      <c r="Q1094" s="49"/>
      <c r="R1094" s="49"/>
      <c r="S1094" s="49"/>
      <c r="T1094" s="49"/>
      <c r="U1094" s="49"/>
      <c r="V1094" s="49"/>
      <c r="W1094" s="49"/>
      <c r="X1094" s="49"/>
      <c r="Y1094" s="49"/>
      <c r="Z1094" s="49"/>
      <c r="AA1094" s="49"/>
      <c r="AB1094" s="49"/>
      <c r="AC1094" s="49"/>
      <c r="AD1094" s="49"/>
      <c r="AE1094" s="49"/>
      <c r="AF1094" s="49"/>
      <c r="AG1094" s="49"/>
      <c r="AH1094" s="49" t="b">
        <f>IFERROR(__xludf.DUMMYFUNCTION("""COMPUTED_VALUE"""),FALSE)</f>
        <v>0</v>
      </c>
    </row>
    <row r="1095">
      <c r="A1095" s="49"/>
      <c r="B1095" s="49"/>
      <c r="C1095" s="49"/>
      <c r="D1095" s="49"/>
      <c r="E1095" s="49">
        <f>IFERROR(__xludf.DUMMYFUNCTION("""COMPUTED_VALUE"""),1.0)</f>
        <v>1</v>
      </c>
      <c r="F1095" s="112">
        <f>IFERROR(__xludf.DUMMYFUNCTION("""COMPUTED_VALUE"""),0.0)</f>
        <v>0</v>
      </c>
      <c r="G1095" s="49"/>
      <c r="H1095" s="49"/>
      <c r="I1095" s="49"/>
      <c r="J1095" s="49"/>
      <c r="K1095" s="49"/>
      <c r="L1095" s="49"/>
      <c r="M1095" s="49"/>
      <c r="N1095" s="49"/>
      <c r="O1095" s="49"/>
      <c r="P1095" s="49"/>
      <c r="Q1095" s="49"/>
      <c r="R1095" s="49"/>
      <c r="S1095" s="49"/>
      <c r="T1095" s="49"/>
      <c r="U1095" s="49"/>
      <c r="V1095" s="49"/>
      <c r="W1095" s="49"/>
      <c r="X1095" s="49"/>
      <c r="Y1095" s="49"/>
      <c r="Z1095" s="49"/>
      <c r="AA1095" s="49"/>
      <c r="AB1095" s="49"/>
      <c r="AC1095" s="49"/>
      <c r="AD1095" s="49"/>
      <c r="AE1095" s="49"/>
      <c r="AF1095" s="49"/>
      <c r="AG1095" s="49"/>
      <c r="AH1095" s="49" t="b">
        <f>IFERROR(__xludf.DUMMYFUNCTION("""COMPUTED_VALUE"""),FALSE)</f>
        <v>0</v>
      </c>
    </row>
    <row r="1096">
      <c r="A1096" s="49"/>
      <c r="B1096" s="49"/>
      <c r="C1096" s="49"/>
      <c r="D1096" s="49"/>
      <c r="E1096" s="49">
        <f>IFERROR(__xludf.DUMMYFUNCTION("""COMPUTED_VALUE"""),1.0)</f>
        <v>1</v>
      </c>
      <c r="F1096" s="112">
        <f>IFERROR(__xludf.DUMMYFUNCTION("""COMPUTED_VALUE"""),0.0)</f>
        <v>0</v>
      </c>
      <c r="G1096" s="49"/>
      <c r="H1096" s="49"/>
      <c r="I1096" s="49"/>
      <c r="J1096" s="49"/>
      <c r="K1096" s="49"/>
      <c r="L1096" s="49"/>
      <c r="M1096" s="49"/>
      <c r="N1096" s="49"/>
      <c r="O1096" s="49"/>
      <c r="P1096" s="49"/>
      <c r="Q1096" s="49"/>
      <c r="R1096" s="49"/>
      <c r="S1096" s="49"/>
      <c r="T1096" s="49"/>
      <c r="U1096" s="49"/>
      <c r="V1096" s="49"/>
      <c r="W1096" s="49"/>
      <c r="X1096" s="49"/>
      <c r="Y1096" s="49"/>
      <c r="Z1096" s="49"/>
      <c r="AA1096" s="49"/>
      <c r="AB1096" s="49"/>
      <c r="AC1096" s="49"/>
      <c r="AD1096" s="49"/>
      <c r="AE1096" s="49"/>
      <c r="AF1096" s="49"/>
      <c r="AG1096" s="49"/>
      <c r="AH1096" s="49" t="b">
        <f>IFERROR(__xludf.DUMMYFUNCTION("""COMPUTED_VALUE"""),FALSE)</f>
        <v>0</v>
      </c>
    </row>
    <row r="1097">
      <c r="A1097" s="49"/>
      <c r="B1097" s="49"/>
      <c r="C1097" s="49"/>
      <c r="D1097" s="49"/>
      <c r="E1097" s="49">
        <f>IFERROR(__xludf.DUMMYFUNCTION("""COMPUTED_VALUE"""),1.0)</f>
        <v>1</v>
      </c>
      <c r="F1097" s="112">
        <f>IFERROR(__xludf.DUMMYFUNCTION("""COMPUTED_VALUE"""),0.0)</f>
        <v>0</v>
      </c>
      <c r="G1097" s="49"/>
      <c r="H1097" s="49"/>
      <c r="I1097" s="49"/>
      <c r="J1097" s="49"/>
      <c r="K1097" s="49"/>
      <c r="L1097" s="49"/>
      <c r="M1097" s="49"/>
      <c r="N1097" s="49"/>
      <c r="O1097" s="49"/>
      <c r="P1097" s="49"/>
      <c r="Q1097" s="49"/>
      <c r="R1097" s="49"/>
      <c r="S1097" s="49"/>
      <c r="T1097" s="49"/>
      <c r="U1097" s="49"/>
      <c r="V1097" s="49"/>
      <c r="W1097" s="49"/>
      <c r="X1097" s="49"/>
      <c r="Y1097" s="49"/>
      <c r="Z1097" s="49"/>
      <c r="AA1097" s="49"/>
      <c r="AB1097" s="49"/>
      <c r="AC1097" s="49"/>
      <c r="AD1097" s="49"/>
      <c r="AE1097" s="49"/>
      <c r="AF1097" s="49"/>
      <c r="AG1097" s="49"/>
      <c r="AH1097" s="49" t="b">
        <f>IFERROR(__xludf.DUMMYFUNCTION("""COMPUTED_VALUE"""),FALSE)</f>
        <v>0</v>
      </c>
    </row>
    <row r="1098">
      <c r="A1098" s="49"/>
      <c r="B1098" s="49"/>
      <c r="C1098" s="49"/>
      <c r="D1098" s="49"/>
      <c r="E1098" s="49">
        <f>IFERROR(__xludf.DUMMYFUNCTION("""COMPUTED_VALUE"""),1.0)</f>
        <v>1</v>
      </c>
      <c r="F1098" s="112">
        <f>IFERROR(__xludf.DUMMYFUNCTION("""COMPUTED_VALUE"""),0.0)</f>
        <v>0</v>
      </c>
      <c r="G1098" s="49"/>
      <c r="H1098" s="49"/>
      <c r="I1098" s="49"/>
      <c r="J1098" s="49"/>
      <c r="K1098" s="49"/>
      <c r="L1098" s="49"/>
      <c r="M1098" s="49"/>
      <c r="N1098" s="49"/>
      <c r="O1098" s="49"/>
      <c r="P1098" s="49"/>
      <c r="Q1098" s="49"/>
      <c r="R1098" s="49"/>
      <c r="S1098" s="49"/>
      <c r="T1098" s="49"/>
      <c r="U1098" s="49"/>
      <c r="V1098" s="49"/>
      <c r="W1098" s="49"/>
      <c r="X1098" s="49"/>
      <c r="Y1098" s="49"/>
      <c r="Z1098" s="49"/>
      <c r="AA1098" s="49"/>
      <c r="AB1098" s="49"/>
      <c r="AC1098" s="49"/>
      <c r="AD1098" s="49"/>
      <c r="AE1098" s="49"/>
      <c r="AF1098" s="49"/>
      <c r="AG1098" s="49"/>
      <c r="AH1098" s="49" t="b">
        <f>IFERROR(__xludf.DUMMYFUNCTION("""COMPUTED_VALUE"""),FALSE)</f>
        <v>0</v>
      </c>
    </row>
    <row r="1099">
      <c r="A1099" s="49"/>
      <c r="B1099" s="49"/>
      <c r="C1099" s="49"/>
      <c r="D1099" s="49"/>
      <c r="E1099" s="49">
        <f>IFERROR(__xludf.DUMMYFUNCTION("""COMPUTED_VALUE"""),1.0)</f>
        <v>1</v>
      </c>
      <c r="F1099" s="112">
        <f>IFERROR(__xludf.DUMMYFUNCTION("""COMPUTED_VALUE"""),0.0)</f>
        <v>0</v>
      </c>
      <c r="G1099" s="49"/>
      <c r="H1099" s="49"/>
      <c r="I1099" s="49"/>
      <c r="J1099" s="49"/>
      <c r="K1099" s="49"/>
      <c r="L1099" s="49"/>
      <c r="M1099" s="49"/>
      <c r="N1099" s="49"/>
      <c r="O1099" s="49"/>
      <c r="P1099" s="49"/>
      <c r="Q1099" s="49"/>
      <c r="R1099" s="49"/>
      <c r="S1099" s="49"/>
      <c r="T1099" s="49"/>
      <c r="U1099" s="49"/>
      <c r="V1099" s="49"/>
      <c r="W1099" s="49"/>
      <c r="X1099" s="49"/>
      <c r="Y1099" s="49"/>
      <c r="Z1099" s="49"/>
      <c r="AA1099" s="49"/>
      <c r="AB1099" s="49"/>
      <c r="AC1099" s="49"/>
      <c r="AD1099" s="49"/>
      <c r="AE1099" s="49"/>
      <c r="AF1099" s="49"/>
      <c r="AG1099" s="49"/>
      <c r="AH1099" s="49" t="b">
        <f>IFERROR(__xludf.DUMMYFUNCTION("""COMPUTED_VALUE"""),FALSE)</f>
        <v>0</v>
      </c>
    </row>
    <row r="1100">
      <c r="A1100" s="49"/>
      <c r="B1100" s="49"/>
      <c r="C1100" s="49"/>
      <c r="D1100" s="49"/>
      <c r="E1100" s="49">
        <f>IFERROR(__xludf.DUMMYFUNCTION("""COMPUTED_VALUE"""),1.0)</f>
        <v>1</v>
      </c>
      <c r="F1100" s="112">
        <f>IFERROR(__xludf.DUMMYFUNCTION("""COMPUTED_VALUE"""),0.0)</f>
        <v>0</v>
      </c>
      <c r="G1100" s="49"/>
      <c r="H1100" s="49"/>
      <c r="I1100" s="49"/>
      <c r="J1100" s="49"/>
      <c r="K1100" s="49"/>
      <c r="L1100" s="49"/>
      <c r="M1100" s="49"/>
      <c r="N1100" s="49"/>
      <c r="O1100" s="49"/>
      <c r="P1100" s="49"/>
      <c r="Q1100" s="49"/>
      <c r="R1100" s="49"/>
      <c r="S1100" s="49"/>
      <c r="T1100" s="49"/>
      <c r="U1100" s="49"/>
      <c r="V1100" s="49"/>
      <c r="W1100" s="49"/>
      <c r="X1100" s="49"/>
      <c r="Y1100" s="49"/>
      <c r="Z1100" s="49"/>
      <c r="AA1100" s="49"/>
      <c r="AB1100" s="49"/>
      <c r="AC1100" s="49"/>
      <c r="AD1100" s="49"/>
      <c r="AE1100" s="49"/>
      <c r="AF1100" s="49"/>
      <c r="AG1100" s="49"/>
      <c r="AH1100" s="49" t="b">
        <f>IFERROR(__xludf.DUMMYFUNCTION("""COMPUTED_VALUE"""),FALSE)</f>
        <v>0</v>
      </c>
    </row>
    <row r="1101">
      <c r="A1101" s="49"/>
      <c r="B1101" s="49"/>
      <c r="C1101" s="49"/>
      <c r="D1101" s="49"/>
      <c r="E1101" s="49">
        <f>IFERROR(__xludf.DUMMYFUNCTION("""COMPUTED_VALUE"""),1.0)</f>
        <v>1</v>
      </c>
      <c r="F1101" s="112">
        <f>IFERROR(__xludf.DUMMYFUNCTION("""COMPUTED_VALUE"""),0.0)</f>
        <v>0</v>
      </c>
      <c r="G1101" s="49"/>
      <c r="H1101" s="49"/>
      <c r="I1101" s="49"/>
      <c r="J1101" s="49"/>
      <c r="K1101" s="49"/>
      <c r="L1101" s="49"/>
      <c r="M1101" s="49"/>
      <c r="N1101" s="49"/>
      <c r="O1101" s="49"/>
      <c r="P1101" s="49"/>
      <c r="Q1101" s="49"/>
      <c r="R1101" s="49"/>
      <c r="S1101" s="49"/>
      <c r="T1101" s="49"/>
      <c r="U1101" s="49"/>
      <c r="V1101" s="49"/>
      <c r="W1101" s="49"/>
      <c r="X1101" s="49"/>
      <c r="Y1101" s="49"/>
      <c r="Z1101" s="49"/>
      <c r="AA1101" s="49"/>
      <c r="AB1101" s="49"/>
      <c r="AC1101" s="49"/>
      <c r="AD1101" s="49"/>
      <c r="AE1101" s="49"/>
      <c r="AF1101" s="49"/>
      <c r="AG1101" s="49"/>
      <c r="AH1101" s="49" t="b">
        <f>IFERROR(__xludf.DUMMYFUNCTION("""COMPUTED_VALUE"""),FALSE)</f>
        <v>0</v>
      </c>
    </row>
    <row r="1102">
      <c r="A1102" s="49"/>
      <c r="B1102" s="49"/>
      <c r="C1102" s="49"/>
      <c r="D1102" s="49"/>
      <c r="E1102" s="49">
        <f>IFERROR(__xludf.DUMMYFUNCTION("""COMPUTED_VALUE"""),1.0)</f>
        <v>1</v>
      </c>
      <c r="F1102" s="112">
        <f>IFERROR(__xludf.DUMMYFUNCTION("""COMPUTED_VALUE"""),0.0)</f>
        <v>0</v>
      </c>
      <c r="G1102" s="49"/>
      <c r="H1102" s="49"/>
      <c r="I1102" s="49"/>
      <c r="J1102" s="49"/>
      <c r="K1102" s="49"/>
      <c r="L1102" s="49"/>
      <c r="M1102" s="49"/>
      <c r="N1102" s="49"/>
      <c r="O1102" s="49"/>
      <c r="P1102" s="49"/>
      <c r="Q1102" s="49"/>
      <c r="R1102" s="49"/>
      <c r="S1102" s="49"/>
      <c r="T1102" s="49"/>
      <c r="U1102" s="49"/>
      <c r="V1102" s="49"/>
      <c r="W1102" s="49"/>
      <c r="X1102" s="49"/>
      <c r="Y1102" s="49"/>
      <c r="Z1102" s="49"/>
      <c r="AA1102" s="49"/>
      <c r="AB1102" s="49"/>
      <c r="AC1102" s="49"/>
      <c r="AD1102" s="49"/>
      <c r="AE1102" s="49"/>
      <c r="AF1102" s="49"/>
      <c r="AG1102" s="49"/>
      <c r="AH1102" s="49" t="b">
        <f>IFERROR(__xludf.DUMMYFUNCTION("""COMPUTED_VALUE"""),FALSE)</f>
        <v>0</v>
      </c>
    </row>
    <row r="1103">
      <c r="A1103" s="49"/>
      <c r="B1103" s="49"/>
      <c r="C1103" s="49"/>
      <c r="D1103" s="49"/>
      <c r="E1103" s="49">
        <f>IFERROR(__xludf.DUMMYFUNCTION("""COMPUTED_VALUE"""),1.0)</f>
        <v>1</v>
      </c>
      <c r="F1103" s="112">
        <f>IFERROR(__xludf.DUMMYFUNCTION("""COMPUTED_VALUE"""),0.0)</f>
        <v>0</v>
      </c>
      <c r="G1103" s="49"/>
      <c r="H1103" s="49"/>
      <c r="I1103" s="49"/>
      <c r="J1103" s="49"/>
      <c r="K1103" s="49"/>
      <c r="L1103" s="49"/>
      <c r="M1103" s="49"/>
      <c r="N1103" s="49"/>
      <c r="O1103" s="49"/>
      <c r="P1103" s="49"/>
      <c r="Q1103" s="49"/>
      <c r="R1103" s="49"/>
      <c r="S1103" s="49"/>
      <c r="T1103" s="49"/>
      <c r="U1103" s="49"/>
      <c r="V1103" s="49"/>
      <c r="W1103" s="49"/>
      <c r="X1103" s="49"/>
      <c r="Y1103" s="49"/>
      <c r="Z1103" s="49"/>
      <c r="AA1103" s="49"/>
      <c r="AB1103" s="49"/>
      <c r="AC1103" s="49"/>
      <c r="AD1103" s="49"/>
      <c r="AE1103" s="49"/>
      <c r="AF1103" s="49"/>
      <c r="AG1103" s="49"/>
      <c r="AH1103" s="49" t="b">
        <f>IFERROR(__xludf.DUMMYFUNCTION("""COMPUTED_VALUE"""),FALSE)</f>
        <v>0</v>
      </c>
    </row>
    <row r="1104">
      <c r="A1104" s="49"/>
      <c r="B1104" s="49"/>
      <c r="C1104" s="49"/>
      <c r="D1104" s="49"/>
      <c r="E1104" s="49">
        <f>IFERROR(__xludf.DUMMYFUNCTION("""COMPUTED_VALUE"""),1.0)</f>
        <v>1</v>
      </c>
      <c r="F1104" s="112">
        <f>IFERROR(__xludf.DUMMYFUNCTION("""COMPUTED_VALUE"""),0.0)</f>
        <v>0</v>
      </c>
      <c r="G1104" s="49"/>
      <c r="H1104" s="49"/>
      <c r="I1104" s="49"/>
      <c r="J1104" s="49"/>
      <c r="K1104" s="49"/>
      <c r="L1104" s="49"/>
      <c r="M1104" s="49"/>
      <c r="N1104" s="49"/>
      <c r="O1104" s="49"/>
      <c r="P1104" s="49"/>
      <c r="Q1104" s="49"/>
      <c r="R1104" s="49"/>
      <c r="S1104" s="49"/>
      <c r="T1104" s="49"/>
      <c r="U1104" s="49"/>
      <c r="V1104" s="49"/>
      <c r="W1104" s="49"/>
      <c r="X1104" s="49"/>
      <c r="Y1104" s="49"/>
      <c r="Z1104" s="49"/>
      <c r="AA1104" s="49"/>
      <c r="AB1104" s="49"/>
      <c r="AC1104" s="49"/>
      <c r="AD1104" s="49"/>
      <c r="AE1104" s="49"/>
      <c r="AF1104" s="49"/>
      <c r="AG1104" s="49"/>
      <c r="AH1104" s="49" t="b">
        <f>IFERROR(__xludf.DUMMYFUNCTION("""COMPUTED_VALUE"""),FALSE)</f>
        <v>0</v>
      </c>
    </row>
    <row r="1105">
      <c r="A1105" s="49"/>
      <c r="B1105" s="49"/>
      <c r="C1105" s="49"/>
      <c r="D1105" s="49"/>
      <c r="E1105" s="49">
        <f>IFERROR(__xludf.DUMMYFUNCTION("""COMPUTED_VALUE"""),1.0)</f>
        <v>1</v>
      </c>
      <c r="F1105" s="112">
        <f>IFERROR(__xludf.DUMMYFUNCTION("""COMPUTED_VALUE"""),0.0)</f>
        <v>0</v>
      </c>
      <c r="G1105" s="49"/>
      <c r="H1105" s="49"/>
      <c r="I1105" s="49"/>
      <c r="J1105" s="49"/>
      <c r="K1105" s="49"/>
      <c r="L1105" s="49"/>
      <c r="M1105" s="49"/>
      <c r="N1105" s="49"/>
      <c r="O1105" s="49"/>
      <c r="P1105" s="49"/>
      <c r="Q1105" s="49"/>
      <c r="R1105" s="49"/>
      <c r="S1105" s="49"/>
      <c r="T1105" s="49"/>
      <c r="U1105" s="49"/>
      <c r="V1105" s="49"/>
      <c r="W1105" s="49"/>
      <c r="X1105" s="49"/>
      <c r="Y1105" s="49"/>
      <c r="Z1105" s="49"/>
      <c r="AA1105" s="49"/>
      <c r="AB1105" s="49"/>
      <c r="AC1105" s="49"/>
      <c r="AD1105" s="49"/>
      <c r="AE1105" s="49"/>
      <c r="AF1105" s="49"/>
      <c r="AG1105" s="49"/>
      <c r="AH1105" s="49" t="b">
        <f>IFERROR(__xludf.DUMMYFUNCTION("""COMPUTED_VALUE"""),FALSE)</f>
        <v>0</v>
      </c>
    </row>
    <row r="1106">
      <c r="A1106" s="49"/>
      <c r="B1106" s="49"/>
      <c r="C1106" s="49"/>
      <c r="D1106" s="49"/>
      <c r="E1106" s="49">
        <f>IFERROR(__xludf.DUMMYFUNCTION("""COMPUTED_VALUE"""),1.0)</f>
        <v>1</v>
      </c>
      <c r="F1106" s="112">
        <f>IFERROR(__xludf.DUMMYFUNCTION("""COMPUTED_VALUE"""),0.0)</f>
        <v>0</v>
      </c>
      <c r="G1106" s="49"/>
      <c r="H1106" s="49"/>
      <c r="I1106" s="49"/>
      <c r="J1106" s="49"/>
      <c r="K1106" s="49"/>
      <c r="L1106" s="49"/>
      <c r="M1106" s="49"/>
      <c r="N1106" s="49"/>
      <c r="O1106" s="49"/>
      <c r="P1106" s="49"/>
      <c r="Q1106" s="49"/>
      <c r="R1106" s="49"/>
      <c r="S1106" s="49"/>
      <c r="T1106" s="49"/>
      <c r="U1106" s="49"/>
      <c r="V1106" s="49"/>
      <c r="W1106" s="49"/>
      <c r="X1106" s="49"/>
      <c r="Y1106" s="49"/>
      <c r="Z1106" s="49"/>
      <c r="AA1106" s="49"/>
      <c r="AB1106" s="49"/>
      <c r="AC1106" s="49"/>
      <c r="AD1106" s="49"/>
      <c r="AE1106" s="49"/>
      <c r="AF1106" s="49"/>
      <c r="AG1106" s="49"/>
      <c r="AH1106" s="49" t="b">
        <f>IFERROR(__xludf.DUMMYFUNCTION("""COMPUTED_VALUE"""),FALSE)</f>
        <v>0</v>
      </c>
    </row>
    <row r="1107">
      <c r="A1107" s="49"/>
      <c r="B1107" s="49"/>
      <c r="C1107" s="49"/>
      <c r="D1107" s="49"/>
      <c r="E1107" s="49">
        <f>IFERROR(__xludf.DUMMYFUNCTION("""COMPUTED_VALUE"""),1.0)</f>
        <v>1</v>
      </c>
      <c r="F1107" s="112">
        <f>IFERROR(__xludf.DUMMYFUNCTION("""COMPUTED_VALUE"""),0.0)</f>
        <v>0</v>
      </c>
      <c r="G1107" s="49"/>
      <c r="H1107" s="49"/>
      <c r="I1107" s="49"/>
      <c r="J1107" s="49"/>
      <c r="K1107" s="49"/>
      <c r="L1107" s="49"/>
      <c r="M1107" s="49"/>
      <c r="N1107" s="49"/>
      <c r="O1107" s="49"/>
      <c r="P1107" s="49"/>
      <c r="Q1107" s="49"/>
      <c r="R1107" s="49"/>
      <c r="S1107" s="49"/>
      <c r="T1107" s="49"/>
      <c r="U1107" s="49"/>
      <c r="V1107" s="49"/>
      <c r="W1107" s="49"/>
      <c r="X1107" s="49"/>
      <c r="Y1107" s="49"/>
      <c r="Z1107" s="49"/>
      <c r="AA1107" s="49"/>
      <c r="AB1107" s="49"/>
      <c r="AC1107" s="49"/>
      <c r="AD1107" s="49"/>
      <c r="AE1107" s="49"/>
      <c r="AF1107" s="49"/>
      <c r="AG1107" s="49"/>
      <c r="AH1107" s="49" t="b">
        <f>IFERROR(__xludf.DUMMYFUNCTION("""COMPUTED_VALUE"""),FALSE)</f>
        <v>0</v>
      </c>
    </row>
    <row r="1108">
      <c r="A1108" s="49"/>
      <c r="B1108" s="49"/>
      <c r="C1108" s="49"/>
      <c r="D1108" s="49"/>
      <c r="E1108" s="49">
        <f>IFERROR(__xludf.DUMMYFUNCTION("""COMPUTED_VALUE"""),1.0)</f>
        <v>1</v>
      </c>
      <c r="F1108" s="112">
        <f>IFERROR(__xludf.DUMMYFUNCTION("""COMPUTED_VALUE"""),0.0)</f>
        <v>0</v>
      </c>
      <c r="G1108" s="49"/>
      <c r="H1108" s="49"/>
      <c r="I1108" s="49"/>
      <c r="J1108" s="49"/>
      <c r="K1108" s="49"/>
      <c r="L1108" s="49"/>
      <c r="M1108" s="49"/>
      <c r="N1108" s="49"/>
      <c r="O1108" s="49"/>
      <c r="P1108" s="49"/>
      <c r="Q1108" s="49"/>
      <c r="R1108" s="49"/>
      <c r="S1108" s="49"/>
      <c r="T1108" s="49"/>
      <c r="U1108" s="49"/>
      <c r="V1108" s="49"/>
      <c r="W1108" s="49"/>
      <c r="X1108" s="49"/>
      <c r="Y1108" s="49"/>
      <c r="Z1108" s="49"/>
      <c r="AA1108" s="49"/>
      <c r="AB1108" s="49"/>
      <c r="AC1108" s="49"/>
      <c r="AD1108" s="49"/>
      <c r="AE1108" s="49"/>
      <c r="AF1108" s="49"/>
      <c r="AG1108" s="49"/>
      <c r="AH1108" s="49" t="b">
        <f>IFERROR(__xludf.DUMMYFUNCTION("""COMPUTED_VALUE"""),FALSE)</f>
        <v>0</v>
      </c>
    </row>
    <row r="1109">
      <c r="A1109" s="49"/>
      <c r="B1109" s="49"/>
      <c r="C1109" s="49"/>
      <c r="D1109" s="49"/>
      <c r="E1109" s="49">
        <f>IFERROR(__xludf.DUMMYFUNCTION("""COMPUTED_VALUE"""),1.0)</f>
        <v>1</v>
      </c>
      <c r="F1109" s="112">
        <f>IFERROR(__xludf.DUMMYFUNCTION("""COMPUTED_VALUE"""),0.0)</f>
        <v>0</v>
      </c>
      <c r="G1109" s="49"/>
      <c r="H1109" s="49"/>
      <c r="I1109" s="49"/>
      <c r="J1109" s="49"/>
      <c r="K1109" s="49"/>
      <c r="L1109" s="49"/>
      <c r="M1109" s="49"/>
      <c r="N1109" s="49"/>
      <c r="O1109" s="49"/>
      <c r="P1109" s="49"/>
      <c r="Q1109" s="49"/>
      <c r="R1109" s="49"/>
      <c r="S1109" s="49"/>
      <c r="T1109" s="49"/>
      <c r="U1109" s="49"/>
      <c r="V1109" s="49"/>
      <c r="W1109" s="49"/>
      <c r="X1109" s="49"/>
      <c r="Y1109" s="49"/>
      <c r="Z1109" s="49"/>
      <c r="AA1109" s="49"/>
      <c r="AB1109" s="49"/>
      <c r="AC1109" s="49"/>
      <c r="AD1109" s="49"/>
      <c r="AE1109" s="49"/>
      <c r="AF1109" s="49"/>
      <c r="AG1109" s="49"/>
      <c r="AH1109" s="49" t="b">
        <f>IFERROR(__xludf.DUMMYFUNCTION("""COMPUTED_VALUE"""),FALSE)</f>
        <v>0</v>
      </c>
    </row>
    <row r="1110">
      <c r="A1110" s="49"/>
      <c r="B1110" s="49"/>
      <c r="C1110" s="49"/>
      <c r="D1110" s="49"/>
      <c r="E1110" s="49">
        <f>IFERROR(__xludf.DUMMYFUNCTION("""COMPUTED_VALUE"""),1.0)</f>
        <v>1</v>
      </c>
      <c r="F1110" s="112">
        <f>IFERROR(__xludf.DUMMYFUNCTION("""COMPUTED_VALUE"""),0.0)</f>
        <v>0</v>
      </c>
      <c r="G1110" s="49"/>
      <c r="H1110" s="49"/>
      <c r="I1110" s="49"/>
      <c r="J1110" s="49"/>
      <c r="K1110" s="49"/>
      <c r="L1110" s="49"/>
      <c r="M1110" s="49"/>
      <c r="N1110" s="49"/>
      <c r="O1110" s="49"/>
      <c r="P1110" s="49"/>
      <c r="Q1110" s="49"/>
      <c r="R1110" s="49"/>
      <c r="S1110" s="49"/>
      <c r="T1110" s="49"/>
      <c r="U1110" s="49"/>
      <c r="V1110" s="49"/>
      <c r="W1110" s="49"/>
      <c r="X1110" s="49"/>
      <c r="Y1110" s="49"/>
      <c r="Z1110" s="49"/>
      <c r="AA1110" s="49"/>
      <c r="AB1110" s="49"/>
      <c r="AC1110" s="49"/>
      <c r="AD1110" s="49"/>
      <c r="AE1110" s="49"/>
      <c r="AF1110" s="49"/>
      <c r="AG1110" s="49"/>
      <c r="AH1110" s="49" t="b">
        <f>IFERROR(__xludf.DUMMYFUNCTION("""COMPUTED_VALUE"""),FALSE)</f>
        <v>0</v>
      </c>
    </row>
    <row r="1111">
      <c r="A1111" s="49"/>
      <c r="B1111" s="49"/>
      <c r="C1111" s="49"/>
      <c r="D1111" s="49"/>
      <c r="E1111" s="49">
        <f>IFERROR(__xludf.DUMMYFUNCTION("""COMPUTED_VALUE"""),1.0)</f>
        <v>1</v>
      </c>
      <c r="F1111" s="112">
        <f>IFERROR(__xludf.DUMMYFUNCTION("""COMPUTED_VALUE"""),0.0)</f>
        <v>0</v>
      </c>
      <c r="G1111" s="49"/>
      <c r="H1111" s="49"/>
      <c r="I1111" s="49"/>
      <c r="J1111" s="49"/>
      <c r="K1111" s="49"/>
      <c r="L1111" s="49"/>
      <c r="M1111" s="49"/>
      <c r="N1111" s="49"/>
      <c r="O1111" s="49"/>
      <c r="P1111" s="49"/>
      <c r="Q1111" s="49"/>
      <c r="R1111" s="49"/>
      <c r="S1111" s="49"/>
      <c r="T1111" s="49"/>
      <c r="U1111" s="49"/>
      <c r="V1111" s="49"/>
      <c r="W1111" s="49"/>
      <c r="X1111" s="49"/>
      <c r="Y1111" s="49"/>
      <c r="Z1111" s="49"/>
      <c r="AA1111" s="49"/>
      <c r="AB1111" s="49"/>
      <c r="AC1111" s="49"/>
      <c r="AD1111" s="49"/>
      <c r="AE1111" s="49"/>
      <c r="AF1111" s="49"/>
      <c r="AG1111" s="49"/>
      <c r="AH1111" s="49" t="b">
        <f>IFERROR(__xludf.DUMMYFUNCTION("""COMPUTED_VALUE"""),FALSE)</f>
        <v>0</v>
      </c>
    </row>
    <row r="1112">
      <c r="A1112" s="49"/>
      <c r="B1112" s="49"/>
      <c r="C1112" s="49"/>
      <c r="D1112" s="49"/>
      <c r="E1112" s="49">
        <f>IFERROR(__xludf.DUMMYFUNCTION("""COMPUTED_VALUE"""),1.0)</f>
        <v>1</v>
      </c>
      <c r="F1112" s="112">
        <f>IFERROR(__xludf.DUMMYFUNCTION("""COMPUTED_VALUE"""),0.0)</f>
        <v>0</v>
      </c>
      <c r="G1112" s="49"/>
      <c r="H1112" s="49"/>
      <c r="I1112" s="49"/>
      <c r="J1112" s="49"/>
      <c r="K1112" s="49"/>
      <c r="L1112" s="49"/>
      <c r="M1112" s="49"/>
      <c r="N1112" s="49"/>
      <c r="O1112" s="49"/>
      <c r="P1112" s="49"/>
      <c r="Q1112" s="49"/>
      <c r="R1112" s="49"/>
      <c r="S1112" s="49"/>
      <c r="T1112" s="49"/>
      <c r="U1112" s="49"/>
      <c r="V1112" s="49"/>
      <c r="W1112" s="49"/>
      <c r="X1112" s="49"/>
      <c r="Y1112" s="49"/>
      <c r="Z1112" s="49"/>
      <c r="AA1112" s="49"/>
      <c r="AB1112" s="49"/>
      <c r="AC1112" s="49"/>
      <c r="AD1112" s="49"/>
      <c r="AE1112" s="49"/>
      <c r="AF1112" s="49"/>
      <c r="AG1112" s="49"/>
      <c r="AH1112" s="49" t="b">
        <f>IFERROR(__xludf.DUMMYFUNCTION("""COMPUTED_VALUE"""),FALSE)</f>
        <v>0</v>
      </c>
    </row>
    <row r="1113">
      <c r="A1113" s="49"/>
      <c r="B1113" s="49"/>
      <c r="C1113" s="49"/>
      <c r="D1113" s="49"/>
      <c r="E1113" s="49">
        <f>IFERROR(__xludf.DUMMYFUNCTION("""COMPUTED_VALUE"""),1.0)</f>
        <v>1</v>
      </c>
      <c r="F1113" s="112">
        <f>IFERROR(__xludf.DUMMYFUNCTION("""COMPUTED_VALUE"""),0.0)</f>
        <v>0</v>
      </c>
      <c r="G1113" s="49"/>
      <c r="H1113" s="49"/>
      <c r="I1113" s="49"/>
      <c r="J1113" s="49"/>
      <c r="K1113" s="49"/>
      <c r="L1113" s="49"/>
      <c r="M1113" s="49"/>
      <c r="N1113" s="49"/>
      <c r="O1113" s="49"/>
      <c r="P1113" s="49"/>
      <c r="Q1113" s="49"/>
      <c r="R1113" s="49"/>
      <c r="S1113" s="49"/>
      <c r="T1113" s="49"/>
      <c r="U1113" s="49"/>
      <c r="V1113" s="49"/>
      <c r="W1113" s="49"/>
      <c r="X1113" s="49"/>
      <c r="Y1113" s="49"/>
      <c r="Z1113" s="49"/>
      <c r="AA1113" s="49"/>
      <c r="AB1113" s="49"/>
      <c r="AC1113" s="49"/>
      <c r="AD1113" s="49"/>
      <c r="AE1113" s="49"/>
      <c r="AF1113" s="49"/>
      <c r="AG1113" s="49"/>
      <c r="AH1113" s="49" t="b">
        <f>IFERROR(__xludf.DUMMYFUNCTION("""COMPUTED_VALUE"""),FALSE)</f>
        <v>0</v>
      </c>
    </row>
    <row r="1114">
      <c r="A1114" s="49"/>
      <c r="B1114" s="49"/>
      <c r="C1114" s="49"/>
      <c r="D1114" s="49"/>
      <c r="E1114" s="49">
        <f>IFERROR(__xludf.DUMMYFUNCTION("""COMPUTED_VALUE"""),1.0)</f>
        <v>1</v>
      </c>
      <c r="F1114" s="112">
        <f>IFERROR(__xludf.DUMMYFUNCTION("""COMPUTED_VALUE"""),0.0)</f>
        <v>0</v>
      </c>
      <c r="G1114" s="49"/>
      <c r="H1114" s="49"/>
      <c r="I1114" s="49"/>
      <c r="J1114" s="49"/>
      <c r="K1114" s="49"/>
      <c r="L1114" s="49"/>
      <c r="M1114" s="49"/>
      <c r="N1114" s="49"/>
      <c r="O1114" s="49"/>
      <c r="P1114" s="49"/>
      <c r="Q1114" s="49"/>
      <c r="R1114" s="49"/>
      <c r="S1114" s="49"/>
      <c r="T1114" s="49"/>
      <c r="U1114" s="49"/>
      <c r="V1114" s="49"/>
      <c r="W1114" s="49"/>
      <c r="X1114" s="49"/>
      <c r="Y1114" s="49"/>
      <c r="Z1114" s="49"/>
      <c r="AA1114" s="49"/>
      <c r="AB1114" s="49"/>
      <c r="AC1114" s="49"/>
      <c r="AD1114" s="49"/>
      <c r="AE1114" s="49"/>
      <c r="AF1114" s="49"/>
      <c r="AG1114" s="49"/>
      <c r="AH1114" s="49" t="b">
        <f>IFERROR(__xludf.DUMMYFUNCTION("""COMPUTED_VALUE"""),FALSE)</f>
        <v>0</v>
      </c>
    </row>
    <row r="1115">
      <c r="A1115" s="49"/>
      <c r="B1115" s="49"/>
      <c r="C1115" s="49"/>
      <c r="D1115" s="49"/>
      <c r="E1115" s="49">
        <f>IFERROR(__xludf.DUMMYFUNCTION("""COMPUTED_VALUE"""),1.0)</f>
        <v>1</v>
      </c>
      <c r="F1115" s="112">
        <f>IFERROR(__xludf.DUMMYFUNCTION("""COMPUTED_VALUE"""),0.0)</f>
        <v>0</v>
      </c>
      <c r="G1115" s="49"/>
      <c r="H1115" s="49"/>
      <c r="I1115" s="49"/>
      <c r="J1115" s="49"/>
      <c r="K1115" s="49"/>
      <c r="L1115" s="49"/>
      <c r="M1115" s="49"/>
      <c r="N1115" s="49"/>
      <c r="O1115" s="49"/>
      <c r="P1115" s="49"/>
      <c r="Q1115" s="49"/>
      <c r="R1115" s="49"/>
      <c r="S1115" s="49"/>
      <c r="T1115" s="49"/>
      <c r="U1115" s="49"/>
      <c r="V1115" s="49"/>
      <c r="W1115" s="49"/>
      <c r="X1115" s="49"/>
      <c r="Y1115" s="49"/>
      <c r="Z1115" s="49"/>
      <c r="AA1115" s="49"/>
      <c r="AB1115" s="49"/>
      <c r="AC1115" s="49"/>
      <c r="AD1115" s="49"/>
      <c r="AE1115" s="49"/>
      <c r="AF1115" s="49"/>
      <c r="AG1115" s="49"/>
      <c r="AH1115" s="49" t="b">
        <f>IFERROR(__xludf.DUMMYFUNCTION("""COMPUTED_VALUE"""),FALSE)</f>
        <v>0</v>
      </c>
    </row>
    <row r="1116">
      <c r="A1116" s="49"/>
      <c r="B1116" s="49"/>
      <c r="C1116" s="49"/>
      <c r="D1116" s="49"/>
      <c r="E1116" s="49">
        <f>IFERROR(__xludf.DUMMYFUNCTION("""COMPUTED_VALUE"""),1.0)</f>
        <v>1</v>
      </c>
      <c r="F1116" s="112">
        <f>IFERROR(__xludf.DUMMYFUNCTION("""COMPUTED_VALUE"""),0.0)</f>
        <v>0</v>
      </c>
      <c r="G1116" s="49"/>
      <c r="H1116" s="49"/>
      <c r="I1116" s="49"/>
      <c r="J1116" s="49"/>
      <c r="K1116" s="49"/>
      <c r="L1116" s="49"/>
      <c r="M1116" s="49"/>
      <c r="N1116" s="49"/>
      <c r="O1116" s="49"/>
      <c r="P1116" s="49"/>
      <c r="Q1116" s="49"/>
      <c r="R1116" s="49"/>
      <c r="S1116" s="49"/>
      <c r="T1116" s="49"/>
      <c r="U1116" s="49"/>
      <c r="V1116" s="49"/>
      <c r="W1116" s="49"/>
      <c r="X1116" s="49"/>
      <c r="Y1116" s="49"/>
      <c r="Z1116" s="49"/>
      <c r="AA1116" s="49"/>
      <c r="AB1116" s="49"/>
      <c r="AC1116" s="49"/>
      <c r="AD1116" s="49"/>
      <c r="AE1116" s="49"/>
      <c r="AF1116" s="49"/>
      <c r="AG1116" s="49"/>
      <c r="AH1116" s="49" t="b">
        <f>IFERROR(__xludf.DUMMYFUNCTION("""COMPUTED_VALUE"""),FALSE)</f>
        <v>0</v>
      </c>
    </row>
    <row r="1117">
      <c r="A1117" s="49"/>
      <c r="B1117" s="49"/>
      <c r="C1117" s="49"/>
      <c r="D1117" s="49"/>
      <c r="E1117" s="49">
        <f>IFERROR(__xludf.DUMMYFUNCTION("""COMPUTED_VALUE"""),1.0)</f>
        <v>1</v>
      </c>
      <c r="F1117" s="112">
        <f>IFERROR(__xludf.DUMMYFUNCTION("""COMPUTED_VALUE"""),0.0)</f>
        <v>0</v>
      </c>
      <c r="G1117" s="49"/>
      <c r="H1117" s="49"/>
      <c r="I1117" s="49"/>
      <c r="J1117" s="49"/>
      <c r="K1117" s="49"/>
      <c r="L1117" s="49"/>
      <c r="M1117" s="49"/>
      <c r="N1117" s="49"/>
      <c r="O1117" s="49"/>
      <c r="P1117" s="49"/>
      <c r="Q1117" s="49"/>
      <c r="R1117" s="49"/>
      <c r="S1117" s="49"/>
      <c r="T1117" s="49"/>
      <c r="U1117" s="49"/>
      <c r="V1117" s="49"/>
      <c r="W1117" s="49"/>
      <c r="X1117" s="49"/>
      <c r="Y1117" s="49"/>
      <c r="Z1117" s="49"/>
      <c r="AA1117" s="49"/>
      <c r="AB1117" s="49"/>
      <c r="AC1117" s="49"/>
      <c r="AD1117" s="49"/>
      <c r="AE1117" s="49"/>
      <c r="AF1117" s="49"/>
      <c r="AG1117" s="49"/>
      <c r="AH1117" s="49" t="b">
        <f>IFERROR(__xludf.DUMMYFUNCTION("""COMPUTED_VALUE"""),FALSE)</f>
        <v>0</v>
      </c>
    </row>
    <row r="1118">
      <c r="A1118" s="49"/>
      <c r="B1118" s="49"/>
      <c r="C1118" s="49"/>
      <c r="D1118" s="49"/>
      <c r="E1118" s="49">
        <f>IFERROR(__xludf.DUMMYFUNCTION("""COMPUTED_VALUE"""),1.0)</f>
        <v>1</v>
      </c>
      <c r="F1118" s="112">
        <f>IFERROR(__xludf.DUMMYFUNCTION("""COMPUTED_VALUE"""),0.0)</f>
        <v>0</v>
      </c>
      <c r="G1118" s="49"/>
      <c r="H1118" s="49"/>
      <c r="I1118" s="49"/>
      <c r="J1118" s="49"/>
      <c r="K1118" s="49"/>
      <c r="L1118" s="49"/>
      <c r="M1118" s="49"/>
      <c r="N1118" s="49"/>
      <c r="O1118" s="49"/>
      <c r="P1118" s="49"/>
      <c r="Q1118" s="49"/>
      <c r="R1118" s="49"/>
      <c r="S1118" s="49"/>
      <c r="T1118" s="49"/>
      <c r="U1118" s="49"/>
      <c r="V1118" s="49"/>
      <c r="W1118" s="49"/>
      <c r="X1118" s="49"/>
      <c r="Y1118" s="49"/>
      <c r="Z1118" s="49"/>
      <c r="AA1118" s="49"/>
      <c r="AB1118" s="49"/>
      <c r="AC1118" s="49"/>
      <c r="AD1118" s="49"/>
      <c r="AE1118" s="49"/>
      <c r="AF1118" s="49"/>
      <c r="AG1118" s="49"/>
      <c r="AH1118" s="49" t="b">
        <f>IFERROR(__xludf.DUMMYFUNCTION("""COMPUTED_VALUE"""),FALSE)</f>
        <v>0</v>
      </c>
    </row>
    <row r="1119">
      <c r="A1119" s="49"/>
      <c r="B1119" s="49"/>
      <c r="C1119" s="49"/>
      <c r="D1119" s="49"/>
      <c r="E1119" s="49">
        <f>IFERROR(__xludf.DUMMYFUNCTION("""COMPUTED_VALUE"""),1.0)</f>
        <v>1</v>
      </c>
      <c r="F1119" s="112">
        <f>IFERROR(__xludf.DUMMYFUNCTION("""COMPUTED_VALUE"""),0.0)</f>
        <v>0</v>
      </c>
      <c r="G1119" s="49"/>
      <c r="H1119" s="49"/>
      <c r="I1119" s="49"/>
      <c r="J1119" s="49"/>
      <c r="K1119" s="49"/>
      <c r="L1119" s="49"/>
      <c r="M1119" s="49"/>
      <c r="N1119" s="49"/>
      <c r="O1119" s="49"/>
      <c r="P1119" s="49"/>
      <c r="Q1119" s="49"/>
      <c r="R1119" s="49"/>
      <c r="S1119" s="49"/>
      <c r="T1119" s="49"/>
      <c r="U1119" s="49"/>
      <c r="V1119" s="49"/>
      <c r="W1119" s="49"/>
      <c r="X1119" s="49"/>
      <c r="Y1119" s="49"/>
      <c r="Z1119" s="49"/>
      <c r="AA1119" s="49"/>
      <c r="AB1119" s="49"/>
      <c r="AC1119" s="49"/>
      <c r="AD1119" s="49"/>
      <c r="AE1119" s="49"/>
      <c r="AF1119" s="49"/>
      <c r="AG1119" s="49"/>
      <c r="AH1119" s="49" t="b">
        <f>IFERROR(__xludf.DUMMYFUNCTION("""COMPUTED_VALUE"""),FALSE)</f>
        <v>0</v>
      </c>
    </row>
    <row r="1120">
      <c r="A1120" s="49"/>
      <c r="B1120" s="49"/>
      <c r="C1120" s="49"/>
      <c r="D1120" s="49"/>
      <c r="E1120" s="49">
        <f>IFERROR(__xludf.DUMMYFUNCTION("""COMPUTED_VALUE"""),1.0)</f>
        <v>1</v>
      </c>
      <c r="F1120" s="112">
        <f>IFERROR(__xludf.DUMMYFUNCTION("""COMPUTED_VALUE"""),0.0)</f>
        <v>0</v>
      </c>
      <c r="G1120" s="49"/>
      <c r="H1120" s="49"/>
      <c r="I1120" s="49"/>
      <c r="J1120" s="49"/>
      <c r="K1120" s="49"/>
      <c r="L1120" s="49"/>
      <c r="M1120" s="49"/>
      <c r="N1120" s="49"/>
      <c r="O1120" s="49"/>
      <c r="P1120" s="49"/>
      <c r="Q1120" s="49"/>
      <c r="R1120" s="49"/>
      <c r="S1120" s="49"/>
      <c r="T1120" s="49"/>
      <c r="U1120" s="49"/>
      <c r="V1120" s="49"/>
      <c r="W1120" s="49"/>
      <c r="X1120" s="49"/>
      <c r="Y1120" s="49"/>
      <c r="Z1120" s="49"/>
      <c r="AA1120" s="49"/>
      <c r="AB1120" s="49"/>
      <c r="AC1120" s="49"/>
      <c r="AD1120" s="49"/>
      <c r="AE1120" s="49"/>
      <c r="AF1120" s="49"/>
      <c r="AG1120" s="49"/>
      <c r="AH1120" s="49" t="b">
        <f>IFERROR(__xludf.DUMMYFUNCTION("""COMPUTED_VALUE"""),FALSE)</f>
        <v>0</v>
      </c>
    </row>
    <row r="1121">
      <c r="A1121" s="49"/>
      <c r="B1121" s="49"/>
      <c r="C1121" s="49"/>
      <c r="D1121" s="49"/>
      <c r="E1121" s="49">
        <f>IFERROR(__xludf.DUMMYFUNCTION("""COMPUTED_VALUE"""),1.0)</f>
        <v>1</v>
      </c>
      <c r="F1121" s="112">
        <f>IFERROR(__xludf.DUMMYFUNCTION("""COMPUTED_VALUE"""),0.0)</f>
        <v>0</v>
      </c>
      <c r="G1121" s="49"/>
      <c r="H1121" s="49"/>
      <c r="I1121" s="49"/>
      <c r="J1121" s="49"/>
      <c r="K1121" s="49"/>
      <c r="L1121" s="49"/>
      <c r="M1121" s="49"/>
      <c r="N1121" s="49"/>
      <c r="O1121" s="49"/>
      <c r="P1121" s="49"/>
      <c r="Q1121" s="49"/>
      <c r="R1121" s="49"/>
      <c r="S1121" s="49"/>
      <c r="T1121" s="49"/>
      <c r="U1121" s="49"/>
      <c r="V1121" s="49"/>
      <c r="W1121" s="49"/>
      <c r="X1121" s="49"/>
      <c r="Y1121" s="49"/>
      <c r="Z1121" s="49"/>
      <c r="AA1121" s="49"/>
      <c r="AB1121" s="49"/>
      <c r="AC1121" s="49"/>
      <c r="AD1121" s="49"/>
      <c r="AE1121" s="49"/>
      <c r="AF1121" s="49"/>
      <c r="AG1121" s="49"/>
      <c r="AH1121" s="49" t="b">
        <f>IFERROR(__xludf.DUMMYFUNCTION("""COMPUTED_VALUE"""),FALSE)</f>
        <v>0</v>
      </c>
    </row>
    <row r="1122">
      <c r="A1122" s="49"/>
      <c r="B1122" s="49"/>
      <c r="C1122" s="49"/>
      <c r="D1122" s="49"/>
      <c r="E1122" s="49">
        <f>IFERROR(__xludf.DUMMYFUNCTION("""COMPUTED_VALUE"""),1.0)</f>
        <v>1</v>
      </c>
      <c r="F1122" s="112">
        <f>IFERROR(__xludf.DUMMYFUNCTION("""COMPUTED_VALUE"""),0.0)</f>
        <v>0</v>
      </c>
      <c r="G1122" s="49"/>
      <c r="H1122" s="49"/>
      <c r="I1122" s="49"/>
      <c r="J1122" s="49"/>
      <c r="K1122" s="49"/>
      <c r="L1122" s="49"/>
      <c r="M1122" s="49"/>
      <c r="N1122" s="49"/>
      <c r="O1122" s="49"/>
      <c r="P1122" s="49"/>
      <c r="Q1122" s="49"/>
      <c r="R1122" s="49"/>
      <c r="S1122" s="49"/>
      <c r="T1122" s="49"/>
      <c r="U1122" s="49"/>
      <c r="V1122" s="49"/>
      <c r="W1122" s="49"/>
      <c r="X1122" s="49"/>
      <c r="Y1122" s="49"/>
      <c r="Z1122" s="49"/>
      <c r="AA1122" s="49"/>
      <c r="AB1122" s="49"/>
      <c r="AC1122" s="49"/>
      <c r="AD1122" s="49"/>
      <c r="AE1122" s="49"/>
      <c r="AF1122" s="49"/>
      <c r="AG1122" s="49"/>
      <c r="AH1122" s="49" t="b">
        <f>IFERROR(__xludf.DUMMYFUNCTION("""COMPUTED_VALUE"""),FALSE)</f>
        <v>0</v>
      </c>
    </row>
    <row r="1123">
      <c r="A1123" s="49"/>
      <c r="B1123" s="49"/>
      <c r="C1123" s="49"/>
      <c r="D1123" s="49"/>
      <c r="E1123" s="49">
        <f>IFERROR(__xludf.DUMMYFUNCTION("""COMPUTED_VALUE"""),1.0)</f>
        <v>1</v>
      </c>
      <c r="F1123" s="112">
        <f>IFERROR(__xludf.DUMMYFUNCTION("""COMPUTED_VALUE"""),0.0)</f>
        <v>0</v>
      </c>
      <c r="G1123" s="49"/>
      <c r="H1123" s="49"/>
      <c r="I1123" s="49"/>
      <c r="J1123" s="49"/>
      <c r="K1123" s="49"/>
      <c r="L1123" s="49"/>
      <c r="M1123" s="49"/>
      <c r="N1123" s="49"/>
      <c r="O1123" s="49"/>
      <c r="P1123" s="49"/>
      <c r="Q1123" s="49"/>
      <c r="R1123" s="49"/>
      <c r="S1123" s="49"/>
      <c r="T1123" s="49"/>
      <c r="U1123" s="49"/>
      <c r="V1123" s="49"/>
      <c r="W1123" s="49"/>
      <c r="X1123" s="49"/>
      <c r="Y1123" s="49"/>
      <c r="Z1123" s="49"/>
      <c r="AA1123" s="49"/>
      <c r="AB1123" s="49"/>
      <c r="AC1123" s="49"/>
      <c r="AD1123" s="49"/>
      <c r="AE1123" s="49"/>
      <c r="AF1123" s="49"/>
      <c r="AG1123" s="49"/>
      <c r="AH1123" s="49" t="b">
        <f>IFERROR(__xludf.DUMMYFUNCTION("""COMPUTED_VALUE"""),FALSE)</f>
        <v>0</v>
      </c>
    </row>
    <row r="1124">
      <c r="A1124" s="49"/>
      <c r="B1124" s="49"/>
      <c r="C1124" s="49"/>
      <c r="D1124" s="49"/>
      <c r="E1124" s="49">
        <f>IFERROR(__xludf.DUMMYFUNCTION("""COMPUTED_VALUE"""),1.0)</f>
        <v>1</v>
      </c>
      <c r="F1124" s="112">
        <f>IFERROR(__xludf.DUMMYFUNCTION("""COMPUTED_VALUE"""),0.0)</f>
        <v>0</v>
      </c>
      <c r="G1124" s="49"/>
      <c r="H1124" s="49"/>
      <c r="I1124" s="49"/>
      <c r="J1124" s="49"/>
      <c r="K1124" s="49"/>
      <c r="L1124" s="49"/>
      <c r="M1124" s="49"/>
      <c r="N1124" s="49"/>
      <c r="O1124" s="49"/>
      <c r="P1124" s="49"/>
      <c r="Q1124" s="49"/>
      <c r="R1124" s="49"/>
      <c r="S1124" s="49"/>
      <c r="T1124" s="49"/>
      <c r="U1124" s="49"/>
      <c r="V1124" s="49"/>
      <c r="W1124" s="49"/>
      <c r="X1124" s="49"/>
      <c r="Y1124" s="49"/>
      <c r="Z1124" s="49"/>
      <c r="AA1124" s="49"/>
      <c r="AB1124" s="49"/>
      <c r="AC1124" s="49"/>
      <c r="AD1124" s="49"/>
      <c r="AE1124" s="49"/>
      <c r="AF1124" s="49"/>
      <c r="AG1124" s="49"/>
      <c r="AH1124" s="49" t="b">
        <f>IFERROR(__xludf.DUMMYFUNCTION("""COMPUTED_VALUE"""),FALSE)</f>
        <v>0</v>
      </c>
    </row>
    <row r="1125">
      <c r="A1125" s="49"/>
      <c r="B1125" s="49"/>
      <c r="C1125" s="49"/>
      <c r="D1125" s="49"/>
      <c r="E1125" s="49">
        <f>IFERROR(__xludf.DUMMYFUNCTION("""COMPUTED_VALUE"""),1.0)</f>
        <v>1</v>
      </c>
      <c r="F1125" s="112">
        <f>IFERROR(__xludf.DUMMYFUNCTION("""COMPUTED_VALUE"""),0.0)</f>
        <v>0</v>
      </c>
      <c r="G1125" s="49"/>
      <c r="H1125" s="49"/>
      <c r="I1125" s="49"/>
      <c r="J1125" s="49"/>
      <c r="K1125" s="49"/>
      <c r="L1125" s="49"/>
      <c r="M1125" s="49"/>
      <c r="N1125" s="49"/>
      <c r="O1125" s="49"/>
      <c r="P1125" s="49"/>
      <c r="Q1125" s="49"/>
      <c r="R1125" s="49"/>
      <c r="S1125" s="49"/>
      <c r="T1125" s="49"/>
      <c r="U1125" s="49"/>
      <c r="V1125" s="49"/>
      <c r="W1125" s="49"/>
      <c r="X1125" s="49"/>
      <c r="Y1125" s="49"/>
      <c r="Z1125" s="49"/>
      <c r="AA1125" s="49"/>
      <c r="AB1125" s="49"/>
      <c r="AC1125" s="49"/>
      <c r="AD1125" s="49"/>
      <c r="AE1125" s="49"/>
      <c r="AF1125" s="49"/>
      <c r="AG1125" s="49"/>
      <c r="AH1125" s="49" t="b">
        <f>IFERROR(__xludf.DUMMYFUNCTION("""COMPUTED_VALUE"""),FALSE)</f>
        <v>0</v>
      </c>
    </row>
    <row r="1126">
      <c r="A1126" s="49"/>
      <c r="B1126" s="49"/>
      <c r="C1126" s="49"/>
      <c r="D1126" s="49"/>
      <c r="E1126" s="49">
        <f>IFERROR(__xludf.DUMMYFUNCTION("""COMPUTED_VALUE"""),1.0)</f>
        <v>1</v>
      </c>
      <c r="F1126" s="112">
        <f>IFERROR(__xludf.DUMMYFUNCTION("""COMPUTED_VALUE"""),0.0)</f>
        <v>0</v>
      </c>
      <c r="G1126" s="49"/>
      <c r="H1126" s="49"/>
      <c r="I1126" s="49"/>
      <c r="J1126" s="49"/>
      <c r="K1126" s="49"/>
      <c r="L1126" s="49"/>
      <c r="M1126" s="49"/>
      <c r="N1126" s="49"/>
      <c r="O1126" s="49"/>
      <c r="P1126" s="49"/>
      <c r="Q1126" s="49"/>
      <c r="R1126" s="49"/>
      <c r="S1126" s="49"/>
      <c r="T1126" s="49"/>
      <c r="U1126" s="49"/>
      <c r="V1126" s="49"/>
      <c r="W1126" s="49"/>
      <c r="X1126" s="49"/>
      <c r="Y1126" s="49"/>
      <c r="Z1126" s="49"/>
      <c r="AA1126" s="49"/>
      <c r="AB1126" s="49"/>
      <c r="AC1126" s="49"/>
      <c r="AD1126" s="49"/>
      <c r="AE1126" s="49"/>
      <c r="AF1126" s="49"/>
      <c r="AG1126" s="49"/>
      <c r="AH1126" s="49" t="b">
        <f>IFERROR(__xludf.DUMMYFUNCTION("""COMPUTED_VALUE"""),FALSE)</f>
        <v>0</v>
      </c>
    </row>
    <row r="1127">
      <c r="A1127" s="49"/>
      <c r="B1127" s="49"/>
      <c r="C1127" s="49"/>
      <c r="D1127" s="49"/>
      <c r="E1127" s="49">
        <f>IFERROR(__xludf.DUMMYFUNCTION("""COMPUTED_VALUE"""),1.0)</f>
        <v>1</v>
      </c>
      <c r="F1127" s="112">
        <f>IFERROR(__xludf.DUMMYFUNCTION("""COMPUTED_VALUE"""),0.0)</f>
        <v>0</v>
      </c>
      <c r="G1127" s="49"/>
      <c r="H1127" s="49"/>
      <c r="I1127" s="49"/>
      <c r="J1127" s="49"/>
      <c r="K1127" s="49"/>
      <c r="L1127" s="49"/>
      <c r="M1127" s="49"/>
      <c r="N1127" s="49"/>
      <c r="O1127" s="49"/>
      <c r="P1127" s="49"/>
      <c r="Q1127" s="49"/>
      <c r="R1127" s="49"/>
      <c r="S1127" s="49"/>
      <c r="T1127" s="49"/>
      <c r="U1127" s="49"/>
      <c r="V1127" s="49"/>
      <c r="W1127" s="49"/>
      <c r="X1127" s="49"/>
      <c r="Y1127" s="49"/>
      <c r="Z1127" s="49"/>
      <c r="AA1127" s="49"/>
      <c r="AB1127" s="49"/>
      <c r="AC1127" s="49"/>
      <c r="AD1127" s="49"/>
      <c r="AE1127" s="49"/>
      <c r="AF1127" s="49"/>
      <c r="AG1127" s="49"/>
      <c r="AH1127" s="49" t="b">
        <f>IFERROR(__xludf.DUMMYFUNCTION("""COMPUTED_VALUE"""),FALSE)</f>
        <v>0</v>
      </c>
    </row>
    <row r="1128">
      <c r="A1128" s="49"/>
      <c r="B1128" s="49"/>
      <c r="C1128" s="49"/>
      <c r="D1128" s="49"/>
      <c r="E1128" s="49">
        <f>IFERROR(__xludf.DUMMYFUNCTION("""COMPUTED_VALUE"""),1.0)</f>
        <v>1</v>
      </c>
      <c r="F1128" s="112">
        <f>IFERROR(__xludf.DUMMYFUNCTION("""COMPUTED_VALUE"""),0.0)</f>
        <v>0</v>
      </c>
      <c r="G1128" s="49"/>
      <c r="H1128" s="49"/>
      <c r="I1128" s="49"/>
      <c r="J1128" s="49"/>
      <c r="K1128" s="49"/>
      <c r="L1128" s="49"/>
      <c r="M1128" s="49"/>
      <c r="N1128" s="49"/>
      <c r="O1128" s="49"/>
      <c r="P1128" s="49"/>
      <c r="Q1128" s="49"/>
      <c r="R1128" s="49"/>
      <c r="S1128" s="49"/>
      <c r="T1128" s="49"/>
      <c r="U1128" s="49"/>
      <c r="V1128" s="49"/>
      <c r="W1128" s="49"/>
      <c r="X1128" s="49"/>
      <c r="Y1128" s="49"/>
      <c r="Z1128" s="49"/>
      <c r="AA1128" s="49"/>
      <c r="AB1128" s="49"/>
      <c r="AC1128" s="49"/>
      <c r="AD1128" s="49"/>
      <c r="AE1128" s="49"/>
      <c r="AF1128" s="49"/>
      <c r="AG1128" s="49"/>
      <c r="AH1128" s="49" t="b">
        <f>IFERROR(__xludf.DUMMYFUNCTION("""COMPUTED_VALUE"""),FALSE)</f>
        <v>0</v>
      </c>
    </row>
    <row r="1129">
      <c r="A1129" s="49"/>
      <c r="B1129" s="49"/>
      <c r="C1129" s="49"/>
      <c r="D1129" s="49"/>
      <c r="E1129" s="49">
        <f>IFERROR(__xludf.DUMMYFUNCTION("""COMPUTED_VALUE"""),1.0)</f>
        <v>1</v>
      </c>
      <c r="F1129" s="112">
        <f>IFERROR(__xludf.DUMMYFUNCTION("""COMPUTED_VALUE"""),0.0)</f>
        <v>0</v>
      </c>
      <c r="G1129" s="49"/>
      <c r="H1129" s="49"/>
      <c r="I1129" s="49"/>
      <c r="J1129" s="49"/>
      <c r="K1129" s="49"/>
      <c r="L1129" s="49"/>
      <c r="M1129" s="49"/>
      <c r="N1129" s="49"/>
      <c r="O1129" s="49"/>
      <c r="P1129" s="49"/>
      <c r="Q1129" s="49"/>
      <c r="R1129" s="49"/>
      <c r="S1129" s="49"/>
      <c r="T1129" s="49"/>
      <c r="U1129" s="49"/>
      <c r="V1129" s="49"/>
      <c r="W1129" s="49"/>
      <c r="X1129" s="49"/>
      <c r="Y1129" s="49"/>
      <c r="Z1129" s="49"/>
      <c r="AA1129" s="49"/>
      <c r="AB1129" s="49"/>
      <c r="AC1129" s="49"/>
      <c r="AD1129" s="49"/>
      <c r="AE1129" s="49"/>
      <c r="AF1129" s="49"/>
      <c r="AG1129" s="49"/>
      <c r="AH1129" s="49" t="b">
        <f>IFERROR(__xludf.DUMMYFUNCTION("""COMPUTED_VALUE"""),FALSE)</f>
        <v>0</v>
      </c>
    </row>
    <row r="1130">
      <c r="A1130" s="49"/>
      <c r="B1130" s="49"/>
      <c r="C1130" s="49"/>
      <c r="D1130" s="49"/>
      <c r="E1130" s="49">
        <f>IFERROR(__xludf.DUMMYFUNCTION("""COMPUTED_VALUE"""),1.0)</f>
        <v>1</v>
      </c>
      <c r="F1130" s="112">
        <f>IFERROR(__xludf.DUMMYFUNCTION("""COMPUTED_VALUE"""),0.0)</f>
        <v>0</v>
      </c>
      <c r="G1130" s="49"/>
      <c r="H1130" s="49"/>
      <c r="I1130" s="49"/>
      <c r="J1130" s="49"/>
      <c r="K1130" s="49"/>
      <c r="L1130" s="49"/>
      <c r="M1130" s="49"/>
      <c r="N1130" s="49"/>
      <c r="O1130" s="49"/>
      <c r="P1130" s="49"/>
      <c r="Q1130" s="49"/>
      <c r="R1130" s="49"/>
      <c r="S1130" s="49"/>
      <c r="T1130" s="49"/>
      <c r="U1130" s="49"/>
      <c r="V1130" s="49"/>
      <c r="W1130" s="49"/>
      <c r="X1130" s="49"/>
      <c r="Y1130" s="49"/>
      <c r="Z1130" s="49"/>
      <c r="AA1130" s="49"/>
      <c r="AB1130" s="49"/>
      <c r="AC1130" s="49"/>
      <c r="AD1130" s="49"/>
      <c r="AE1130" s="49"/>
      <c r="AF1130" s="49"/>
      <c r="AG1130" s="49"/>
      <c r="AH1130" s="49" t="b">
        <f>IFERROR(__xludf.DUMMYFUNCTION("""COMPUTED_VALUE"""),FALSE)</f>
        <v>0</v>
      </c>
    </row>
    <row r="1131">
      <c r="A1131" s="49"/>
      <c r="B1131" s="49"/>
      <c r="C1131" s="49"/>
      <c r="D1131" s="49"/>
      <c r="E1131" s="49">
        <f>IFERROR(__xludf.DUMMYFUNCTION("""COMPUTED_VALUE"""),1.0)</f>
        <v>1</v>
      </c>
      <c r="F1131" s="112">
        <f>IFERROR(__xludf.DUMMYFUNCTION("""COMPUTED_VALUE"""),0.0)</f>
        <v>0</v>
      </c>
      <c r="G1131" s="49"/>
      <c r="H1131" s="49"/>
      <c r="I1131" s="49"/>
      <c r="J1131" s="49"/>
      <c r="K1131" s="49"/>
      <c r="L1131" s="49"/>
      <c r="M1131" s="49"/>
      <c r="N1131" s="49"/>
      <c r="O1131" s="49"/>
      <c r="P1131" s="49"/>
      <c r="Q1131" s="49"/>
      <c r="R1131" s="49"/>
      <c r="S1131" s="49"/>
      <c r="T1131" s="49"/>
      <c r="U1131" s="49"/>
      <c r="V1131" s="49"/>
      <c r="W1131" s="49"/>
      <c r="X1131" s="49"/>
      <c r="Y1131" s="49"/>
      <c r="Z1131" s="49"/>
      <c r="AA1131" s="49"/>
      <c r="AB1131" s="49"/>
      <c r="AC1131" s="49"/>
      <c r="AD1131" s="49"/>
      <c r="AE1131" s="49"/>
      <c r="AF1131" s="49"/>
      <c r="AG1131" s="49"/>
      <c r="AH1131" s="49" t="b">
        <f>IFERROR(__xludf.DUMMYFUNCTION("""COMPUTED_VALUE"""),FALSE)</f>
        <v>0</v>
      </c>
    </row>
    <row r="1132">
      <c r="A1132" s="49"/>
      <c r="B1132" s="49"/>
      <c r="C1132" s="49"/>
      <c r="D1132" s="49"/>
      <c r="E1132" s="49">
        <f>IFERROR(__xludf.DUMMYFUNCTION("""COMPUTED_VALUE"""),1.0)</f>
        <v>1</v>
      </c>
      <c r="F1132" s="112">
        <f>IFERROR(__xludf.DUMMYFUNCTION("""COMPUTED_VALUE"""),0.0)</f>
        <v>0</v>
      </c>
      <c r="G1132" s="49"/>
      <c r="H1132" s="49"/>
      <c r="I1132" s="49"/>
      <c r="J1132" s="49"/>
      <c r="K1132" s="49"/>
      <c r="L1132" s="49"/>
      <c r="M1132" s="49"/>
      <c r="N1132" s="49"/>
      <c r="O1132" s="49"/>
      <c r="P1132" s="49"/>
      <c r="Q1132" s="49"/>
      <c r="R1132" s="49"/>
      <c r="S1132" s="49"/>
      <c r="T1132" s="49"/>
      <c r="U1132" s="49"/>
      <c r="V1132" s="49"/>
      <c r="W1132" s="49"/>
      <c r="X1132" s="49"/>
      <c r="Y1132" s="49"/>
      <c r="Z1132" s="49"/>
      <c r="AA1132" s="49"/>
      <c r="AB1132" s="49"/>
      <c r="AC1132" s="49"/>
      <c r="AD1132" s="49"/>
      <c r="AE1132" s="49"/>
      <c r="AF1132" s="49"/>
      <c r="AG1132" s="49"/>
      <c r="AH1132" s="49" t="b">
        <f>IFERROR(__xludf.DUMMYFUNCTION("""COMPUTED_VALUE"""),FALSE)</f>
        <v>0</v>
      </c>
    </row>
    <row r="1133">
      <c r="A1133" s="49"/>
      <c r="B1133" s="49"/>
      <c r="C1133" s="49"/>
      <c r="D1133" s="49"/>
      <c r="E1133" s="49">
        <f>IFERROR(__xludf.DUMMYFUNCTION("""COMPUTED_VALUE"""),1.0)</f>
        <v>1</v>
      </c>
      <c r="F1133" s="112">
        <f>IFERROR(__xludf.DUMMYFUNCTION("""COMPUTED_VALUE"""),0.0)</f>
        <v>0</v>
      </c>
      <c r="G1133" s="49"/>
      <c r="H1133" s="49"/>
      <c r="I1133" s="49"/>
      <c r="J1133" s="49"/>
      <c r="K1133" s="49"/>
      <c r="L1133" s="49"/>
      <c r="M1133" s="49"/>
      <c r="N1133" s="49"/>
      <c r="O1133" s="49"/>
      <c r="P1133" s="49"/>
      <c r="Q1133" s="49"/>
      <c r="R1133" s="49"/>
      <c r="S1133" s="49"/>
      <c r="T1133" s="49"/>
      <c r="U1133" s="49"/>
      <c r="V1133" s="49"/>
      <c r="W1133" s="49"/>
      <c r="X1133" s="49"/>
      <c r="Y1133" s="49"/>
      <c r="Z1133" s="49"/>
      <c r="AA1133" s="49"/>
      <c r="AB1133" s="49"/>
      <c r="AC1133" s="49"/>
      <c r="AD1133" s="49"/>
      <c r="AE1133" s="49"/>
      <c r="AF1133" s="49"/>
      <c r="AG1133" s="49"/>
      <c r="AH1133" s="49" t="b">
        <f>IFERROR(__xludf.DUMMYFUNCTION("""COMPUTED_VALUE"""),FALSE)</f>
        <v>0</v>
      </c>
    </row>
    <row r="1134">
      <c r="A1134" s="49"/>
      <c r="B1134" s="49"/>
      <c r="C1134" s="49"/>
      <c r="D1134" s="49"/>
      <c r="E1134" s="49">
        <f>IFERROR(__xludf.DUMMYFUNCTION("""COMPUTED_VALUE"""),1.0)</f>
        <v>1</v>
      </c>
      <c r="F1134" s="112">
        <f>IFERROR(__xludf.DUMMYFUNCTION("""COMPUTED_VALUE"""),0.0)</f>
        <v>0</v>
      </c>
      <c r="G1134" s="49"/>
      <c r="H1134" s="49"/>
      <c r="I1134" s="49"/>
      <c r="J1134" s="49"/>
      <c r="K1134" s="49"/>
      <c r="L1134" s="49"/>
      <c r="M1134" s="49"/>
      <c r="N1134" s="49"/>
      <c r="O1134" s="49"/>
      <c r="P1134" s="49"/>
      <c r="Q1134" s="49"/>
      <c r="R1134" s="49"/>
      <c r="S1134" s="49"/>
      <c r="T1134" s="49"/>
      <c r="U1134" s="49"/>
      <c r="V1134" s="49"/>
      <c r="W1134" s="49"/>
      <c r="X1134" s="49"/>
      <c r="Y1134" s="49"/>
      <c r="Z1134" s="49"/>
      <c r="AA1134" s="49"/>
      <c r="AB1134" s="49"/>
      <c r="AC1134" s="49"/>
      <c r="AD1134" s="49"/>
      <c r="AE1134" s="49"/>
      <c r="AF1134" s="49"/>
      <c r="AG1134" s="49"/>
      <c r="AH1134" s="49" t="b">
        <f>IFERROR(__xludf.DUMMYFUNCTION("""COMPUTED_VALUE"""),FALSE)</f>
        <v>0</v>
      </c>
    </row>
    <row r="1135">
      <c r="A1135" s="49"/>
      <c r="B1135" s="49"/>
      <c r="C1135" s="49"/>
      <c r="D1135" s="49"/>
      <c r="E1135" s="49">
        <f>IFERROR(__xludf.DUMMYFUNCTION("""COMPUTED_VALUE"""),1.0)</f>
        <v>1</v>
      </c>
      <c r="F1135" s="112">
        <f>IFERROR(__xludf.DUMMYFUNCTION("""COMPUTED_VALUE"""),0.0)</f>
        <v>0</v>
      </c>
      <c r="G1135" s="49"/>
      <c r="H1135" s="49"/>
      <c r="I1135" s="49"/>
      <c r="J1135" s="49"/>
      <c r="K1135" s="49"/>
      <c r="L1135" s="49"/>
      <c r="M1135" s="49"/>
      <c r="N1135" s="49"/>
      <c r="O1135" s="49"/>
      <c r="P1135" s="49"/>
      <c r="Q1135" s="49"/>
      <c r="R1135" s="49"/>
      <c r="S1135" s="49"/>
      <c r="T1135" s="49"/>
      <c r="U1135" s="49"/>
      <c r="V1135" s="49"/>
      <c r="W1135" s="49"/>
      <c r="X1135" s="49"/>
      <c r="Y1135" s="49"/>
      <c r="Z1135" s="49"/>
      <c r="AA1135" s="49"/>
      <c r="AB1135" s="49"/>
      <c r="AC1135" s="49"/>
      <c r="AD1135" s="49"/>
      <c r="AE1135" s="49"/>
      <c r="AF1135" s="49"/>
      <c r="AG1135" s="49"/>
      <c r="AH1135" s="49" t="b">
        <f>IFERROR(__xludf.DUMMYFUNCTION("""COMPUTED_VALUE"""),FALSE)</f>
        <v>0</v>
      </c>
    </row>
    <row r="1136">
      <c r="A1136" s="49"/>
      <c r="B1136" s="49"/>
      <c r="C1136" s="49"/>
      <c r="D1136" s="49"/>
      <c r="E1136" s="49">
        <f>IFERROR(__xludf.DUMMYFUNCTION("""COMPUTED_VALUE"""),1.0)</f>
        <v>1</v>
      </c>
      <c r="F1136" s="112">
        <f>IFERROR(__xludf.DUMMYFUNCTION("""COMPUTED_VALUE"""),0.0)</f>
        <v>0</v>
      </c>
      <c r="G1136" s="49"/>
      <c r="H1136" s="49"/>
      <c r="I1136" s="49"/>
      <c r="J1136" s="49"/>
      <c r="K1136" s="49"/>
      <c r="L1136" s="49"/>
      <c r="M1136" s="49"/>
      <c r="N1136" s="49"/>
      <c r="O1136" s="49"/>
      <c r="P1136" s="49"/>
      <c r="Q1136" s="49"/>
      <c r="R1136" s="49"/>
      <c r="S1136" s="49"/>
      <c r="T1136" s="49"/>
      <c r="U1136" s="49"/>
      <c r="V1136" s="49"/>
      <c r="W1136" s="49"/>
      <c r="X1136" s="49"/>
      <c r="Y1136" s="49"/>
      <c r="Z1136" s="49"/>
      <c r="AA1136" s="49"/>
      <c r="AB1136" s="49"/>
      <c r="AC1136" s="49"/>
      <c r="AD1136" s="49"/>
      <c r="AE1136" s="49"/>
      <c r="AF1136" s="49"/>
      <c r="AG1136" s="49"/>
      <c r="AH1136" s="49" t="b">
        <f>IFERROR(__xludf.DUMMYFUNCTION("""COMPUTED_VALUE"""),FALSE)</f>
        <v>0</v>
      </c>
    </row>
    <row r="1137">
      <c r="A1137" s="49"/>
      <c r="B1137" s="49"/>
      <c r="C1137" s="49"/>
      <c r="D1137" s="49"/>
      <c r="E1137" s="49">
        <f>IFERROR(__xludf.DUMMYFUNCTION("""COMPUTED_VALUE"""),1.0)</f>
        <v>1</v>
      </c>
      <c r="F1137" s="112">
        <f>IFERROR(__xludf.DUMMYFUNCTION("""COMPUTED_VALUE"""),0.0)</f>
        <v>0</v>
      </c>
      <c r="G1137" s="49"/>
      <c r="H1137" s="49"/>
      <c r="I1137" s="49"/>
      <c r="J1137" s="49"/>
      <c r="K1137" s="49"/>
      <c r="L1137" s="49"/>
      <c r="M1137" s="49"/>
      <c r="N1137" s="49"/>
      <c r="O1137" s="49"/>
      <c r="P1137" s="49"/>
      <c r="Q1137" s="49"/>
      <c r="R1137" s="49"/>
      <c r="S1137" s="49"/>
      <c r="T1137" s="49"/>
      <c r="U1137" s="49"/>
      <c r="V1137" s="49"/>
      <c r="W1137" s="49"/>
      <c r="X1137" s="49"/>
      <c r="Y1137" s="49"/>
      <c r="Z1137" s="49"/>
      <c r="AA1137" s="49"/>
      <c r="AB1137" s="49"/>
      <c r="AC1137" s="49"/>
      <c r="AD1137" s="49"/>
      <c r="AE1137" s="49"/>
      <c r="AF1137" s="49"/>
      <c r="AG1137" s="49"/>
      <c r="AH1137" s="49" t="b">
        <f>IFERROR(__xludf.DUMMYFUNCTION("""COMPUTED_VALUE"""),FALSE)</f>
        <v>0</v>
      </c>
    </row>
    <row r="1138">
      <c r="A1138" s="49"/>
      <c r="B1138" s="49"/>
      <c r="C1138" s="49"/>
      <c r="D1138" s="49"/>
      <c r="E1138" s="49">
        <f>IFERROR(__xludf.DUMMYFUNCTION("""COMPUTED_VALUE"""),1.0)</f>
        <v>1</v>
      </c>
      <c r="F1138" s="112">
        <f>IFERROR(__xludf.DUMMYFUNCTION("""COMPUTED_VALUE"""),0.0)</f>
        <v>0</v>
      </c>
      <c r="G1138" s="49"/>
      <c r="H1138" s="49"/>
      <c r="I1138" s="49"/>
      <c r="J1138" s="49"/>
      <c r="K1138" s="49"/>
      <c r="L1138" s="49"/>
      <c r="M1138" s="49"/>
      <c r="N1138" s="49"/>
      <c r="O1138" s="49"/>
      <c r="P1138" s="49"/>
      <c r="Q1138" s="49"/>
      <c r="R1138" s="49"/>
      <c r="S1138" s="49"/>
      <c r="T1138" s="49"/>
      <c r="U1138" s="49"/>
      <c r="V1138" s="49"/>
      <c r="W1138" s="49"/>
      <c r="X1138" s="49"/>
      <c r="Y1138" s="49"/>
      <c r="Z1138" s="49"/>
      <c r="AA1138" s="49"/>
      <c r="AB1138" s="49"/>
      <c r="AC1138" s="49"/>
      <c r="AD1138" s="49"/>
      <c r="AE1138" s="49"/>
      <c r="AF1138" s="49"/>
      <c r="AG1138" s="49"/>
      <c r="AH1138" s="49" t="b">
        <f>IFERROR(__xludf.DUMMYFUNCTION("""COMPUTED_VALUE"""),FALSE)</f>
        <v>0</v>
      </c>
    </row>
    <row r="1139">
      <c r="A1139" s="49"/>
      <c r="B1139" s="49"/>
      <c r="C1139" s="49"/>
      <c r="D1139" s="49"/>
      <c r="E1139" s="49">
        <f>IFERROR(__xludf.DUMMYFUNCTION("""COMPUTED_VALUE"""),1.0)</f>
        <v>1</v>
      </c>
      <c r="F1139" s="112">
        <f>IFERROR(__xludf.DUMMYFUNCTION("""COMPUTED_VALUE"""),0.0)</f>
        <v>0</v>
      </c>
      <c r="G1139" s="49"/>
      <c r="H1139" s="49"/>
      <c r="I1139" s="49"/>
      <c r="J1139" s="49"/>
      <c r="K1139" s="49"/>
      <c r="L1139" s="49"/>
      <c r="M1139" s="49"/>
      <c r="N1139" s="49"/>
      <c r="O1139" s="49"/>
      <c r="P1139" s="49"/>
      <c r="Q1139" s="49"/>
      <c r="R1139" s="49"/>
      <c r="S1139" s="49"/>
      <c r="T1139" s="49"/>
      <c r="U1139" s="49"/>
      <c r="V1139" s="49"/>
      <c r="W1139" s="49"/>
      <c r="X1139" s="49"/>
      <c r="Y1139" s="49"/>
      <c r="Z1139" s="49"/>
      <c r="AA1139" s="49"/>
      <c r="AB1139" s="49"/>
      <c r="AC1139" s="49"/>
      <c r="AD1139" s="49"/>
      <c r="AE1139" s="49"/>
      <c r="AF1139" s="49"/>
      <c r="AG1139" s="49"/>
      <c r="AH1139" s="49" t="b">
        <f>IFERROR(__xludf.DUMMYFUNCTION("""COMPUTED_VALUE"""),FALSE)</f>
        <v>0</v>
      </c>
    </row>
    <row r="1140">
      <c r="A1140" s="49"/>
      <c r="B1140" s="49"/>
      <c r="C1140" s="49"/>
      <c r="D1140" s="49"/>
      <c r="E1140" s="49">
        <f>IFERROR(__xludf.DUMMYFUNCTION("""COMPUTED_VALUE"""),1.0)</f>
        <v>1</v>
      </c>
      <c r="F1140" s="112">
        <f>IFERROR(__xludf.DUMMYFUNCTION("""COMPUTED_VALUE"""),0.0)</f>
        <v>0</v>
      </c>
      <c r="G1140" s="49"/>
      <c r="H1140" s="49"/>
      <c r="I1140" s="49"/>
      <c r="J1140" s="49"/>
      <c r="K1140" s="49"/>
      <c r="L1140" s="49"/>
      <c r="M1140" s="49"/>
      <c r="N1140" s="49"/>
      <c r="O1140" s="49"/>
      <c r="P1140" s="49"/>
      <c r="Q1140" s="49"/>
      <c r="R1140" s="49"/>
      <c r="S1140" s="49"/>
      <c r="T1140" s="49"/>
      <c r="U1140" s="49"/>
      <c r="V1140" s="49"/>
      <c r="W1140" s="49"/>
      <c r="X1140" s="49"/>
      <c r="Y1140" s="49"/>
      <c r="Z1140" s="49"/>
      <c r="AA1140" s="49"/>
      <c r="AB1140" s="49"/>
      <c r="AC1140" s="49"/>
      <c r="AD1140" s="49"/>
      <c r="AE1140" s="49"/>
      <c r="AF1140" s="49"/>
      <c r="AG1140" s="49"/>
      <c r="AH1140" s="49" t="b">
        <f>IFERROR(__xludf.DUMMYFUNCTION("""COMPUTED_VALUE"""),FALSE)</f>
        <v>0</v>
      </c>
    </row>
    <row r="1141">
      <c r="A1141" s="49"/>
      <c r="B1141" s="49"/>
      <c r="C1141" s="49"/>
      <c r="D1141" s="49"/>
      <c r="E1141" s="49">
        <f>IFERROR(__xludf.DUMMYFUNCTION("""COMPUTED_VALUE"""),1.0)</f>
        <v>1</v>
      </c>
      <c r="F1141" s="112">
        <f>IFERROR(__xludf.DUMMYFUNCTION("""COMPUTED_VALUE"""),0.0)</f>
        <v>0</v>
      </c>
      <c r="G1141" s="49"/>
      <c r="H1141" s="49"/>
      <c r="I1141" s="49"/>
      <c r="J1141" s="49"/>
      <c r="K1141" s="49"/>
      <c r="L1141" s="49"/>
      <c r="M1141" s="49"/>
      <c r="N1141" s="49"/>
      <c r="O1141" s="49"/>
      <c r="P1141" s="49"/>
      <c r="Q1141" s="49"/>
      <c r="R1141" s="49"/>
      <c r="S1141" s="49"/>
      <c r="T1141" s="49"/>
      <c r="U1141" s="49"/>
      <c r="V1141" s="49"/>
      <c r="W1141" s="49"/>
      <c r="X1141" s="49"/>
      <c r="Y1141" s="49"/>
      <c r="Z1141" s="49"/>
      <c r="AA1141" s="49"/>
      <c r="AB1141" s="49"/>
      <c r="AC1141" s="49"/>
      <c r="AD1141" s="49"/>
      <c r="AE1141" s="49"/>
      <c r="AF1141" s="49"/>
      <c r="AG1141" s="49"/>
      <c r="AH1141" s="49" t="b">
        <f>IFERROR(__xludf.DUMMYFUNCTION("""COMPUTED_VALUE"""),FALSE)</f>
        <v>0</v>
      </c>
    </row>
    <row r="1142">
      <c r="A1142" s="49"/>
      <c r="B1142" s="49"/>
      <c r="C1142" s="49"/>
      <c r="D1142" s="49"/>
      <c r="E1142" s="49">
        <f>IFERROR(__xludf.DUMMYFUNCTION("""COMPUTED_VALUE"""),1.0)</f>
        <v>1</v>
      </c>
      <c r="F1142" s="112">
        <f>IFERROR(__xludf.DUMMYFUNCTION("""COMPUTED_VALUE"""),0.0)</f>
        <v>0</v>
      </c>
      <c r="G1142" s="49"/>
      <c r="H1142" s="49"/>
      <c r="I1142" s="49"/>
      <c r="J1142" s="49"/>
      <c r="K1142" s="49"/>
      <c r="L1142" s="49"/>
      <c r="M1142" s="49"/>
      <c r="N1142" s="49"/>
      <c r="O1142" s="49"/>
      <c r="P1142" s="49"/>
      <c r="Q1142" s="49"/>
      <c r="R1142" s="49"/>
      <c r="S1142" s="49"/>
      <c r="T1142" s="49"/>
      <c r="U1142" s="49"/>
      <c r="V1142" s="49"/>
      <c r="W1142" s="49"/>
      <c r="X1142" s="49"/>
      <c r="Y1142" s="49"/>
      <c r="Z1142" s="49"/>
      <c r="AA1142" s="49"/>
      <c r="AB1142" s="49"/>
      <c r="AC1142" s="49"/>
      <c r="AD1142" s="49"/>
      <c r="AE1142" s="49"/>
      <c r="AF1142" s="49"/>
      <c r="AG1142" s="49"/>
      <c r="AH1142" s="49" t="b">
        <f>IFERROR(__xludf.DUMMYFUNCTION("""COMPUTED_VALUE"""),FALSE)</f>
        <v>0</v>
      </c>
    </row>
    <row r="1143">
      <c r="A1143" s="49"/>
      <c r="B1143" s="49"/>
      <c r="C1143" s="49"/>
      <c r="D1143" s="49"/>
      <c r="E1143" s="49">
        <f>IFERROR(__xludf.DUMMYFUNCTION("""COMPUTED_VALUE"""),1.0)</f>
        <v>1</v>
      </c>
      <c r="F1143" s="112">
        <f>IFERROR(__xludf.DUMMYFUNCTION("""COMPUTED_VALUE"""),0.0)</f>
        <v>0</v>
      </c>
      <c r="G1143" s="49"/>
      <c r="H1143" s="49"/>
      <c r="I1143" s="49"/>
      <c r="J1143" s="49"/>
      <c r="K1143" s="49"/>
      <c r="L1143" s="49"/>
      <c r="M1143" s="49"/>
      <c r="N1143" s="49"/>
      <c r="O1143" s="49"/>
      <c r="P1143" s="49"/>
      <c r="Q1143" s="49"/>
      <c r="R1143" s="49"/>
      <c r="S1143" s="49"/>
      <c r="T1143" s="49"/>
      <c r="U1143" s="49"/>
      <c r="V1143" s="49"/>
      <c r="W1143" s="49"/>
      <c r="X1143" s="49"/>
      <c r="Y1143" s="49"/>
      <c r="Z1143" s="49"/>
      <c r="AA1143" s="49"/>
      <c r="AB1143" s="49"/>
      <c r="AC1143" s="49"/>
      <c r="AD1143" s="49"/>
      <c r="AE1143" s="49"/>
      <c r="AF1143" s="49"/>
      <c r="AG1143" s="49"/>
      <c r="AH1143" s="49" t="b">
        <f>IFERROR(__xludf.DUMMYFUNCTION("""COMPUTED_VALUE"""),FALSE)</f>
        <v>0</v>
      </c>
    </row>
    <row r="1144">
      <c r="A1144" s="49"/>
      <c r="B1144" s="49"/>
      <c r="C1144" s="49"/>
      <c r="D1144" s="49"/>
      <c r="E1144" s="49">
        <f>IFERROR(__xludf.DUMMYFUNCTION("""COMPUTED_VALUE"""),1.0)</f>
        <v>1</v>
      </c>
      <c r="F1144" s="112">
        <f>IFERROR(__xludf.DUMMYFUNCTION("""COMPUTED_VALUE"""),0.0)</f>
        <v>0</v>
      </c>
      <c r="G1144" s="49"/>
      <c r="H1144" s="49"/>
      <c r="I1144" s="49"/>
      <c r="J1144" s="49"/>
      <c r="K1144" s="49"/>
      <c r="L1144" s="49"/>
      <c r="M1144" s="49"/>
      <c r="N1144" s="49"/>
      <c r="O1144" s="49"/>
      <c r="P1144" s="49"/>
      <c r="Q1144" s="49"/>
      <c r="R1144" s="49"/>
      <c r="S1144" s="49"/>
      <c r="T1144" s="49"/>
      <c r="U1144" s="49"/>
      <c r="V1144" s="49"/>
      <c r="W1144" s="49"/>
      <c r="X1144" s="49"/>
      <c r="Y1144" s="49"/>
      <c r="Z1144" s="49"/>
      <c r="AA1144" s="49"/>
      <c r="AB1144" s="49"/>
      <c r="AC1144" s="49"/>
      <c r="AD1144" s="49"/>
      <c r="AE1144" s="49"/>
      <c r="AF1144" s="49"/>
      <c r="AG1144" s="49"/>
      <c r="AH1144" s="49" t="b">
        <f>IFERROR(__xludf.DUMMYFUNCTION("""COMPUTED_VALUE"""),FALSE)</f>
        <v>0</v>
      </c>
    </row>
    <row r="1145">
      <c r="A1145" s="49"/>
      <c r="B1145" s="49"/>
      <c r="C1145" s="49"/>
      <c r="D1145" s="49"/>
      <c r="E1145" s="49">
        <f>IFERROR(__xludf.DUMMYFUNCTION("""COMPUTED_VALUE"""),1.0)</f>
        <v>1</v>
      </c>
      <c r="F1145" s="112">
        <f>IFERROR(__xludf.DUMMYFUNCTION("""COMPUTED_VALUE"""),0.0)</f>
        <v>0</v>
      </c>
      <c r="G1145" s="49"/>
      <c r="H1145" s="49"/>
      <c r="I1145" s="49"/>
      <c r="J1145" s="49"/>
      <c r="K1145" s="49"/>
      <c r="L1145" s="49"/>
      <c r="M1145" s="49"/>
      <c r="N1145" s="49"/>
      <c r="O1145" s="49"/>
      <c r="P1145" s="49"/>
      <c r="Q1145" s="49"/>
      <c r="R1145" s="49"/>
      <c r="S1145" s="49"/>
      <c r="T1145" s="49"/>
      <c r="U1145" s="49"/>
      <c r="V1145" s="49"/>
      <c r="W1145" s="49"/>
      <c r="X1145" s="49"/>
      <c r="Y1145" s="49"/>
      <c r="Z1145" s="49"/>
      <c r="AA1145" s="49"/>
      <c r="AB1145" s="49"/>
      <c r="AC1145" s="49"/>
      <c r="AD1145" s="49"/>
      <c r="AE1145" s="49"/>
      <c r="AF1145" s="49"/>
      <c r="AG1145" s="49"/>
      <c r="AH1145" s="49" t="b">
        <f>IFERROR(__xludf.DUMMYFUNCTION("""COMPUTED_VALUE"""),FALSE)</f>
        <v>0</v>
      </c>
    </row>
    <row r="1146">
      <c r="A1146" s="49"/>
      <c r="B1146" s="49"/>
      <c r="C1146" s="49"/>
      <c r="D1146" s="49"/>
      <c r="E1146" s="49">
        <f>IFERROR(__xludf.DUMMYFUNCTION("""COMPUTED_VALUE"""),1.0)</f>
        <v>1</v>
      </c>
      <c r="F1146" s="112">
        <f>IFERROR(__xludf.DUMMYFUNCTION("""COMPUTED_VALUE"""),0.0)</f>
        <v>0</v>
      </c>
      <c r="G1146" s="49"/>
      <c r="H1146" s="49"/>
      <c r="I1146" s="49"/>
      <c r="J1146" s="49"/>
      <c r="K1146" s="49"/>
      <c r="L1146" s="49"/>
      <c r="M1146" s="49"/>
      <c r="N1146" s="49"/>
      <c r="O1146" s="49"/>
      <c r="P1146" s="49"/>
      <c r="Q1146" s="49"/>
      <c r="R1146" s="49"/>
      <c r="S1146" s="49"/>
      <c r="T1146" s="49"/>
      <c r="U1146" s="49"/>
      <c r="V1146" s="49"/>
      <c r="W1146" s="49"/>
      <c r="X1146" s="49"/>
      <c r="Y1146" s="49"/>
      <c r="Z1146" s="49"/>
      <c r="AA1146" s="49"/>
      <c r="AB1146" s="49"/>
      <c r="AC1146" s="49"/>
      <c r="AD1146" s="49"/>
      <c r="AE1146" s="49"/>
      <c r="AF1146" s="49"/>
      <c r="AG1146" s="49"/>
      <c r="AH1146" s="49" t="b">
        <f>IFERROR(__xludf.DUMMYFUNCTION("""COMPUTED_VALUE"""),FALSE)</f>
        <v>0</v>
      </c>
    </row>
    <row r="1147">
      <c r="A1147" s="49"/>
      <c r="B1147" s="49"/>
      <c r="C1147" s="49"/>
      <c r="D1147" s="49"/>
      <c r="E1147" s="49">
        <f>IFERROR(__xludf.DUMMYFUNCTION("""COMPUTED_VALUE"""),1.0)</f>
        <v>1</v>
      </c>
      <c r="F1147" s="112">
        <f>IFERROR(__xludf.DUMMYFUNCTION("""COMPUTED_VALUE"""),0.0)</f>
        <v>0</v>
      </c>
      <c r="G1147" s="49"/>
      <c r="H1147" s="49"/>
      <c r="I1147" s="49"/>
      <c r="J1147" s="49"/>
      <c r="K1147" s="49"/>
      <c r="L1147" s="49"/>
      <c r="M1147" s="49"/>
      <c r="N1147" s="49"/>
      <c r="O1147" s="49"/>
      <c r="P1147" s="49"/>
      <c r="Q1147" s="49"/>
      <c r="R1147" s="49"/>
      <c r="S1147" s="49"/>
      <c r="T1147" s="49"/>
      <c r="U1147" s="49"/>
      <c r="V1147" s="49"/>
      <c r="W1147" s="49"/>
      <c r="X1147" s="49"/>
      <c r="Y1147" s="49"/>
      <c r="Z1147" s="49"/>
      <c r="AA1147" s="49"/>
      <c r="AB1147" s="49"/>
      <c r="AC1147" s="49"/>
      <c r="AD1147" s="49"/>
      <c r="AE1147" s="49"/>
      <c r="AF1147" s="49"/>
      <c r="AG1147" s="49"/>
      <c r="AH1147" s="49" t="b">
        <f>IFERROR(__xludf.DUMMYFUNCTION("""COMPUTED_VALUE"""),FALSE)</f>
        <v>0</v>
      </c>
    </row>
    <row r="1148">
      <c r="A1148" s="49"/>
      <c r="B1148" s="49"/>
      <c r="C1148" s="49"/>
      <c r="D1148" s="49"/>
      <c r="E1148" s="49">
        <f>IFERROR(__xludf.DUMMYFUNCTION("""COMPUTED_VALUE"""),1.0)</f>
        <v>1</v>
      </c>
      <c r="F1148" s="112">
        <f>IFERROR(__xludf.DUMMYFUNCTION("""COMPUTED_VALUE"""),0.0)</f>
        <v>0</v>
      </c>
      <c r="G1148" s="49"/>
      <c r="H1148" s="49"/>
      <c r="I1148" s="49"/>
      <c r="J1148" s="49"/>
      <c r="K1148" s="49"/>
      <c r="L1148" s="49"/>
      <c r="M1148" s="49"/>
      <c r="N1148" s="49"/>
      <c r="O1148" s="49"/>
      <c r="P1148" s="49"/>
      <c r="Q1148" s="49"/>
      <c r="R1148" s="49"/>
      <c r="S1148" s="49"/>
      <c r="T1148" s="49"/>
      <c r="U1148" s="49"/>
      <c r="V1148" s="49"/>
      <c r="W1148" s="49"/>
      <c r="X1148" s="49"/>
      <c r="Y1148" s="49"/>
      <c r="Z1148" s="49"/>
      <c r="AA1148" s="49"/>
      <c r="AB1148" s="49"/>
      <c r="AC1148" s="49"/>
      <c r="AD1148" s="49"/>
      <c r="AE1148" s="49"/>
      <c r="AF1148" s="49"/>
      <c r="AG1148" s="49"/>
      <c r="AH1148" s="49" t="b">
        <f>IFERROR(__xludf.DUMMYFUNCTION("""COMPUTED_VALUE"""),FALSE)</f>
        <v>0</v>
      </c>
    </row>
    <row r="1149">
      <c r="A1149" s="49"/>
      <c r="B1149" s="49"/>
      <c r="C1149" s="49"/>
      <c r="D1149" s="49"/>
      <c r="E1149" s="49">
        <f>IFERROR(__xludf.DUMMYFUNCTION("""COMPUTED_VALUE"""),1.0)</f>
        <v>1</v>
      </c>
      <c r="F1149" s="112">
        <f>IFERROR(__xludf.DUMMYFUNCTION("""COMPUTED_VALUE"""),0.0)</f>
        <v>0</v>
      </c>
      <c r="G1149" s="49"/>
      <c r="H1149" s="49"/>
      <c r="I1149" s="49"/>
      <c r="J1149" s="49"/>
      <c r="K1149" s="49"/>
      <c r="L1149" s="49"/>
      <c r="M1149" s="49"/>
      <c r="N1149" s="49"/>
      <c r="O1149" s="49"/>
      <c r="P1149" s="49"/>
      <c r="Q1149" s="49"/>
      <c r="R1149" s="49"/>
      <c r="S1149" s="49"/>
      <c r="T1149" s="49"/>
      <c r="U1149" s="49"/>
      <c r="V1149" s="49"/>
      <c r="W1149" s="49"/>
      <c r="X1149" s="49"/>
      <c r="Y1149" s="49"/>
      <c r="Z1149" s="49"/>
      <c r="AA1149" s="49"/>
      <c r="AB1149" s="49"/>
      <c r="AC1149" s="49"/>
      <c r="AD1149" s="49"/>
      <c r="AE1149" s="49"/>
      <c r="AF1149" s="49"/>
      <c r="AG1149" s="49"/>
      <c r="AH1149" s="49" t="b">
        <f>IFERROR(__xludf.DUMMYFUNCTION("""COMPUTED_VALUE"""),FALSE)</f>
        <v>0</v>
      </c>
    </row>
    <row r="1150">
      <c r="A1150" s="49"/>
      <c r="B1150" s="49"/>
      <c r="C1150" s="49"/>
      <c r="D1150" s="49"/>
      <c r="E1150" s="49">
        <f>IFERROR(__xludf.DUMMYFUNCTION("""COMPUTED_VALUE"""),1.0)</f>
        <v>1</v>
      </c>
      <c r="F1150" s="112">
        <f>IFERROR(__xludf.DUMMYFUNCTION("""COMPUTED_VALUE"""),0.0)</f>
        <v>0</v>
      </c>
      <c r="G1150" s="49"/>
      <c r="H1150" s="49"/>
      <c r="I1150" s="49"/>
      <c r="J1150" s="49"/>
      <c r="K1150" s="49"/>
      <c r="L1150" s="49"/>
      <c r="M1150" s="49"/>
      <c r="N1150" s="49"/>
      <c r="O1150" s="49"/>
      <c r="P1150" s="49"/>
      <c r="Q1150" s="49"/>
      <c r="R1150" s="49"/>
      <c r="S1150" s="49"/>
      <c r="T1150" s="49"/>
      <c r="U1150" s="49"/>
      <c r="V1150" s="49"/>
      <c r="W1150" s="49"/>
      <c r="X1150" s="49"/>
      <c r="Y1150" s="49"/>
      <c r="Z1150" s="49"/>
      <c r="AA1150" s="49"/>
      <c r="AB1150" s="49"/>
      <c r="AC1150" s="49"/>
      <c r="AD1150" s="49"/>
      <c r="AE1150" s="49"/>
      <c r="AF1150" s="49"/>
      <c r="AG1150" s="49"/>
      <c r="AH1150" s="49" t="b">
        <f>IFERROR(__xludf.DUMMYFUNCTION("""COMPUTED_VALUE"""),FALSE)</f>
        <v>0</v>
      </c>
    </row>
    <row r="1151">
      <c r="A1151" s="49"/>
      <c r="B1151" s="49"/>
      <c r="C1151" s="49"/>
      <c r="D1151" s="49"/>
      <c r="E1151" s="49">
        <f>IFERROR(__xludf.DUMMYFUNCTION("""COMPUTED_VALUE"""),1.0)</f>
        <v>1</v>
      </c>
      <c r="F1151" s="112">
        <f>IFERROR(__xludf.DUMMYFUNCTION("""COMPUTED_VALUE"""),0.0)</f>
        <v>0</v>
      </c>
      <c r="G1151" s="49"/>
      <c r="H1151" s="49"/>
      <c r="I1151" s="49"/>
      <c r="J1151" s="49"/>
      <c r="K1151" s="49"/>
      <c r="L1151" s="49"/>
      <c r="M1151" s="49"/>
      <c r="N1151" s="49"/>
      <c r="O1151" s="49"/>
      <c r="P1151" s="49"/>
      <c r="Q1151" s="49"/>
      <c r="R1151" s="49"/>
      <c r="S1151" s="49"/>
      <c r="T1151" s="49"/>
      <c r="U1151" s="49"/>
      <c r="V1151" s="49"/>
      <c r="W1151" s="49"/>
      <c r="X1151" s="49"/>
      <c r="Y1151" s="49"/>
      <c r="Z1151" s="49"/>
      <c r="AA1151" s="49"/>
      <c r="AB1151" s="49"/>
      <c r="AC1151" s="49"/>
      <c r="AD1151" s="49"/>
      <c r="AE1151" s="49"/>
      <c r="AF1151" s="49"/>
      <c r="AG1151" s="49"/>
      <c r="AH1151" s="49" t="b">
        <f>IFERROR(__xludf.DUMMYFUNCTION("""COMPUTED_VALUE"""),FALSE)</f>
        <v>0</v>
      </c>
    </row>
    <row r="1152">
      <c r="A1152" s="49"/>
      <c r="B1152" s="49"/>
      <c r="C1152" s="49"/>
      <c r="D1152" s="49"/>
      <c r="E1152" s="49">
        <f>IFERROR(__xludf.DUMMYFUNCTION("""COMPUTED_VALUE"""),1.0)</f>
        <v>1</v>
      </c>
      <c r="F1152" s="112">
        <f>IFERROR(__xludf.DUMMYFUNCTION("""COMPUTED_VALUE"""),0.0)</f>
        <v>0</v>
      </c>
      <c r="G1152" s="49"/>
      <c r="H1152" s="49"/>
      <c r="I1152" s="49"/>
      <c r="J1152" s="49"/>
      <c r="K1152" s="49"/>
      <c r="L1152" s="49"/>
      <c r="M1152" s="49"/>
      <c r="N1152" s="49"/>
      <c r="O1152" s="49"/>
      <c r="P1152" s="49"/>
      <c r="Q1152" s="49"/>
      <c r="R1152" s="49"/>
      <c r="S1152" s="49"/>
      <c r="T1152" s="49"/>
      <c r="U1152" s="49"/>
      <c r="V1152" s="49"/>
      <c r="W1152" s="49"/>
      <c r="X1152" s="49"/>
      <c r="Y1152" s="49"/>
      <c r="Z1152" s="49"/>
      <c r="AA1152" s="49"/>
      <c r="AB1152" s="49"/>
      <c r="AC1152" s="49"/>
      <c r="AD1152" s="49"/>
      <c r="AE1152" s="49"/>
      <c r="AF1152" s="49"/>
      <c r="AG1152" s="49"/>
      <c r="AH1152" s="49" t="b">
        <f>IFERROR(__xludf.DUMMYFUNCTION("""COMPUTED_VALUE"""),FALSE)</f>
        <v>0</v>
      </c>
    </row>
    <row r="1153">
      <c r="A1153" s="49"/>
      <c r="B1153" s="49"/>
      <c r="C1153" s="49"/>
      <c r="D1153" s="49"/>
      <c r="E1153" s="49">
        <f>IFERROR(__xludf.DUMMYFUNCTION("""COMPUTED_VALUE"""),1.0)</f>
        <v>1</v>
      </c>
      <c r="F1153" s="112">
        <f>IFERROR(__xludf.DUMMYFUNCTION("""COMPUTED_VALUE"""),0.0)</f>
        <v>0</v>
      </c>
      <c r="G1153" s="49"/>
      <c r="H1153" s="49"/>
      <c r="I1153" s="49"/>
      <c r="J1153" s="49"/>
      <c r="K1153" s="49"/>
      <c r="L1153" s="49"/>
      <c r="M1153" s="49"/>
      <c r="N1153" s="49"/>
      <c r="O1153" s="49"/>
      <c r="P1153" s="49"/>
      <c r="Q1153" s="49"/>
      <c r="R1153" s="49"/>
      <c r="S1153" s="49"/>
      <c r="T1153" s="49"/>
      <c r="U1153" s="49"/>
      <c r="V1153" s="49"/>
      <c r="W1153" s="49"/>
      <c r="X1153" s="49"/>
      <c r="Y1153" s="49"/>
      <c r="Z1153" s="49"/>
      <c r="AA1153" s="49"/>
      <c r="AB1153" s="49"/>
      <c r="AC1153" s="49"/>
      <c r="AD1153" s="49"/>
      <c r="AE1153" s="49"/>
      <c r="AF1153" s="49"/>
      <c r="AG1153" s="49"/>
      <c r="AH1153" s="49" t="b">
        <f>IFERROR(__xludf.DUMMYFUNCTION("""COMPUTED_VALUE"""),FALSE)</f>
        <v>0</v>
      </c>
    </row>
    <row r="1154">
      <c r="A1154" s="49"/>
      <c r="B1154" s="49"/>
      <c r="C1154" s="49"/>
      <c r="D1154" s="49"/>
      <c r="E1154" s="49">
        <f>IFERROR(__xludf.DUMMYFUNCTION("""COMPUTED_VALUE"""),1.0)</f>
        <v>1</v>
      </c>
      <c r="F1154" s="112">
        <f>IFERROR(__xludf.DUMMYFUNCTION("""COMPUTED_VALUE"""),0.0)</f>
        <v>0</v>
      </c>
      <c r="G1154" s="49"/>
      <c r="H1154" s="49"/>
      <c r="I1154" s="49"/>
      <c r="J1154" s="49"/>
      <c r="K1154" s="49"/>
      <c r="L1154" s="49"/>
      <c r="M1154" s="49"/>
      <c r="N1154" s="49"/>
      <c r="O1154" s="49"/>
      <c r="P1154" s="49"/>
      <c r="Q1154" s="49"/>
      <c r="R1154" s="49"/>
      <c r="S1154" s="49"/>
      <c r="T1154" s="49"/>
      <c r="U1154" s="49"/>
      <c r="V1154" s="49"/>
      <c r="W1154" s="49"/>
      <c r="X1154" s="49"/>
      <c r="Y1154" s="49"/>
      <c r="Z1154" s="49"/>
      <c r="AA1154" s="49"/>
      <c r="AB1154" s="49"/>
      <c r="AC1154" s="49"/>
      <c r="AD1154" s="49"/>
      <c r="AE1154" s="49"/>
      <c r="AF1154" s="49"/>
      <c r="AG1154" s="49"/>
      <c r="AH1154" s="49" t="b">
        <f>IFERROR(__xludf.DUMMYFUNCTION("""COMPUTED_VALUE"""),FALSE)</f>
        <v>0</v>
      </c>
    </row>
    <row r="1155">
      <c r="A1155" s="49"/>
      <c r="B1155" s="49"/>
      <c r="C1155" s="49"/>
      <c r="D1155" s="49"/>
      <c r="E1155" s="49">
        <f>IFERROR(__xludf.DUMMYFUNCTION("""COMPUTED_VALUE"""),1.0)</f>
        <v>1</v>
      </c>
      <c r="F1155" s="112">
        <f>IFERROR(__xludf.DUMMYFUNCTION("""COMPUTED_VALUE"""),0.0)</f>
        <v>0</v>
      </c>
      <c r="G1155" s="49"/>
      <c r="H1155" s="49"/>
      <c r="I1155" s="49"/>
      <c r="J1155" s="49"/>
      <c r="K1155" s="49"/>
      <c r="L1155" s="49"/>
      <c r="M1155" s="49"/>
      <c r="N1155" s="49"/>
      <c r="O1155" s="49"/>
      <c r="P1155" s="49"/>
      <c r="Q1155" s="49"/>
      <c r="R1155" s="49"/>
      <c r="S1155" s="49"/>
      <c r="T1155" s="49"/>
      <c r="U1155" s="49"/>
      <c r="V1155" s="49"/>
      <c r="W1155" s="49"/>
      <c r="X1155" s="49"/>
      <c r="Y1155" s="49"/>
      <c r="Z1155" s="49"/>
      <c r="AA1155" s="49"/>
      <c r="AB1155" s="49"/>
      <c r="AC1155" s="49"/>
      <c r="AD1155" s="49"/>
      <c r="AE1155" s="49"/>
      <c r="AF1155" s="49"/>
      <c r="AG1155" s="49"/>
      <c r="AH1155" s="49" t="b">
        <f>IFERROR(__xludf.DUMMYFUNCTION("""COMPUTED_VALUE"""),FALSE)</f>
        <v>0</v>
      </c>
    </row>
    <row r="1156">
      <c r="A1156" s="49"/>
      <c r="B1156" s="49"/>
      <c r="C1156" s="49"/>
      <c r="D1156" s="49"/>
      <c r="E1156" s="49">
        <f>IFERROR(__xludf.DUMMYFUNCTION("""COMPUTED_VALUE"""),1.0)</f>
        <v>1</v>
      </c>
      <c r="F1156" s="112">
        <f>IFERROR(__xludf.DUMMYFUNCTION("""COMPUTED_VALUE"""),0.0)</f>
        <v>0</v>
      </c>
      <c r="G1156" s="49"/>
      <c r="H1156" s="49"/>
      <c r="I1156" s="49"/>
      <c r="J1156" s="49"/>
      <c r="K1156" s="49"/>
      <c r="L1156" s="49"/>
      <c r="M1156" s="49"/>
      <c r="N1156" s="49"/>
      <c r="O1156" s="49"/>
      <c r="P1156" s="49"/>
      <c r="Q1156" s="49"/>
      <c r="R1156" s="49"/>
      <c r="S1156" s="49"/>
      <c r="T1156" s="49"/>
      <c r="U1156" s="49"/>
      <c r="V1156" s="49"/>
      <c r="W1156" s="49"/>
      <c r="X1156" s="49"/>
      <c r="Y1156" s="49"/>
      <c r="Z1156" s="49"/>
      <c r="AA1156" s="49"/>
      <c r="AB1156" s="49"/>
      <c r="AC1156" s="49"/>
      <c r="AD1156" s="49"/>
      <c r="AE1156" s="49"/>
      <c r="AF1156" s="49"/>
      <c r="AG1156" s="49"/>
      <c r="AH1156" s="49" t="b">
        <f>IFERROR(__xludf.DUMMYFUNCTION("""COMPUTED_VALUE"""),FALSE)</f>
        <v>0</v>
      </c>
    </row>
    <row r="1157">
      <c r="A1157" s="49"/>
      <c r="B1157" s="49"/>
      <c r="C1157" s="49"/>
      <c r="D1157" s="49"/>
      <c r="E1157" s="49">
        <f>IFERROR(__xludf.DUMMYFUNCTION("""COMPUTED_VALUE"""),1.0)</f>
        <v>1</v>
      </c>
      <c r="F1157" s="112">
        <f>IFERROR(__xludf.DUMMYFUNCTION("""COMPUTED_VALUE"""),0.0)</f>
        <v>0</v>
      </c>
      <c r="G1157" s="49"/>
      <c r="H1157" s="49"/>
      <c r="I1157" s="49"/>
      <c r="J1157" s="49"/>
      <c r="K1157" s="49"/>
      <c r="L1157" s="49"/>
      <c r="M1157" s="49"/>
      <c r="N1157" s="49"/>
      <c r="O1157" s="49"/>
      <c r="P1157" s="49"/>
      <c r="Q1157" s="49"/>
      <c r="R1157" s="49"/>
      <c r="S1157" s="49"/>
      <c r="T1157" s="49"/>
      <c r="U1157" s="49"/>
      <c r="V1157" s="49"/>
      <c r="W1157" s="49"/>
      <c r="X1157" s="49"/>
      <c r="Y1157" s="49"/>
      <c r="Z1157" s="49"/>
      <c r="AA1157" s="49"/>
      <c r="AB1157" s="49"/>
      <c r="AC1157" s="49"/>
      <c r="AD1157" s="49"/>
      <c r="AE1157" s="49"/>
      <c r="AF1157" s="49"/>
      <c r="AG1157" s="49"/>
      <c r="AH1157" s="49" t="b">
        <f>IFERROR(__xludf.DUMMYFUNCTION("""COMPUTED_VALUE"""),FALSE)</f>
        <v>0</v>
      </c>
    </row>
    <row r="1158">
      <c r="A1158" s="49"/>
      <c r="B1158" s="49"/>
      <c r="C1158" s="49"/>
      <c r="D1158" s="49"/>
      <c r="E1158" s="49">
        <f>IFERROR(__xludf.DUMMYFUNCTION("""COMPUTED_VALUE"""),1.0)</f>
        <v>1</v>
      </c>
      <c r="F1158" s="112">
        <f>IFERROR(__xludf.DUMMYFUNCTION("""COMPUTED_VALUE"""),0.0)</f>
        <v>0</v>
      </c>
      <c r="G1158" s="49"/>
      <c r="H1158" s="49"/>
      <c r="I1158" s="49"/>
      <c r="J1158" s="49"/>
      <c r="K1158" s="49"/>
      <c r="L1158" s="49"/>
      <c r="M1158" s="49"/>
      <c r="N1158" s="49"/>
      <c r="O1158" s="49"/>
      <c r="P1158" s="49"/>
      <c r="Q1158" s="49"/>
      <c r="R1158" s="49"/>
      <c r="S1158" s="49"/>
      <c r="T1158" s="49"/>
      <c r="U1158" s="49"/>
      <c r="V1158" s="49"/>
      <c r="W1158" s="49"/>
      <c r="X1158" s="49"/>
      <c r="Y1158" s="49"/>
      <c r="Z1158" s="49"/>
      <c r="AA1158" s="49"/>
      <c r="AB1158" s="49"/>
      <c r="AC1158" s="49"/>
      <c r="AD1158" s="49"/>
      <c r="AE1158" s="49"/>
      <c r="AF1158" s="49"/>
      <c r="AG1158" s="49"/>
      <c r="AH1158" s="49" t="b">
        <f>IFERROR(__xludf.DUMMYFUNCTION("""COMPUTED_VALUE"""),FALSE)</f>
        <v>0</v>
      </c>
    </row>
    <row r="1159">
      <c r="A1159" s="49"/>
      <c r="B1159" s="49"/>
      <c r="C1159" s="49"/>
      <c r="D1159" s="49"/>
      <c r="E1159" s="49">
        <f>IFERROR(__xludf.DUMMYFUNCTION("""COMPUTED_VALUE"""),1.0)</f>
        <v>1</v>
      </c>
      <c r="F1159" s="112">
        <f>IFERROR(__xludf.DUMMYFUNCTION("""COMPUTED_VALUE"""),0.0)</f>
        <v>0</v>
      </c>
      <c r="G1159" s="49"/>
      <c r="H1159" s="49"/>
      <c r="I1159" s="49"/>
      <c r="J1159" s="49"/>
      <c r="K1159" s="49"/>
      <c r="L1159" s="49"/>
      <c r="M1159" s="49"/>
      <c r="N1159" s="49"/>
      <c r="O1159" s="49"/>
      <c r="P1159" s="49"/>
      <c r="Q1159" s="49"/>
      <c r="R1159" s="49"/>
      <c r="S1159" s="49"/>
      <c r="T1159" s="49"/>
      <c r="U1159" s="49"/>
      <c r="V1159" s="49"/>
      <c r="W1159" s="49"/>
      <c r="X1159" s="49"/>
      <c r="Y1159" s="49"/>
      <c r="Z1159" s="49"/>
      <c r="AA1159" s="49"/>
      <c r="AB1159" s="49"/>
      <c r="AC1159" s="49"/>
      <c r="AD1159" s="49"/>
      <c r="AE1159" s="49"/>
      <c r="AF1159" s="49"/>
      <c r="AG1159" s="49"/>
      <c r="AH1159" s="49" t="b">
        <f>IFERROR(__xludf.DUMMYFUNCTION("""COMPUTED_VALUE"""),FALSE)</f>
        <v>0</v>
      </c>
    </row>
    <row r="1160">
      <c r="A1160" s="49"/>
      <c r="B1160" s="49"/>
      <c r="C1160" s="49"/>
      <c r="D1160" s="49"/>
      <c r="E1160" s="49">
        <f>IFERROR(__xludf.DUMMYFUNCTION("""COMPUTED_VALUE"""),1.0)</f>
        <v>1</v>
      </c>
      <c r="F1160" s="112">
        <f>IFERROR(__xludf.DUMMYFUNCTION("""COMPUTED_VALUE"""),0.0)</f>
        <v>0</v>
      </c>
      <c r="G1160" s="49"/>
      <c r="H1160" s="49"/>
      <c r="I1160" s="49"/>
      <c r="J1160" s="49"/>
      <c r="K1160" s="49"/>
      <c r="L1160" s="49"/>
      <c r="M1160" s="49"/>
      <c r="N1160" s="49"/>
      <c r="O1160" s="49"/>
      <c r="P1160" s="49"/>
      <c r="Q1160" s="49"/>
      <c r="R1160" s="49"/>
      <c r="S1160" s="49"/>
      <c r="T1160" s="49"/>
      <c r="U1160" s="49"/>
      <c r="V1160" s="49"/>
      <c r="W1160" s="49"/>
      <c r="X1160" s="49"/>
      <c r="Y1160" s="49"/>
      <c r="Z1160" s="49"/>
      <c r="AA1160" s="49"/>
      <c r="AB1160" s="49"/>
      <c r="AC1160" s="49"/>
      <c r="AD1160" s="49"/>
      <c r="AE1160" s="49"/>
      <c r="AF1160" s="49"/>
      <c r="AG1160" s="49"/>
      <c r="AH1160" s="49" t="b">
        <f>IFERROR(__xludf.DUMMYFUNCTION("""COMPUTED_VALUE"""),FALSE)</f>
        <v>0</v>
      </c>
    </row>
    <row r="1161">
      <c r="A1161" s="49"/>
      <c r="B1161" s="49"/>
      <c r="C1161" s="49"/>
      <c r="D1161" s="49"/>
      <c r="E1161" s="49">
        <f>IFERROR(__xludf.DUMMYFUNCTION("""COMPUTED_VALUE"""),1.0)</f>
        <v>1</v>
      </c>
      <c r="F1161" s="112">
        <f>IFERROR(__xludf.DUMMYFUNCTION("""COMPUTED_VALUE"""),0.0)</f>
        <v>0</v>
      </c>
      <c r="G1161" s="49"/>
      <c r="H1161" s="49"/>
      <c r="I1161" s="49"/>
      <c r="J1161" s="49"/>
      <c r="K1161" s="49"/>
      <c r="L1161" s="49"/>
      <c r="M1161" s="49"/>
      <c r="N1161" s="49"/>
      <c r="O1161" s="49"/>
      <c r="P1161" s="49"/>
      <c r="Q1161" s="49"/>
      <c r="R1161" s="49"/>
      <c r="S1161" s="49"/>
      <c r="T1161" s="49"/>
      <c r="U1161" s="49"/>
      <c r="V1161" s="49"/>
      <c r="W1161" s="49"/>
      <c r="X1161" s="49"/>
      <c r="Y1161" s="49"/>
      <c r="Z1161" s="49"/>
      <c r="AA1161" s="49"/>
      <c r="AB1161" s="49"/>
      <c r="AC1161" s="49"/>
      <c r="AD1161" s="49"/>
      <c r="AE1161" s="49"/>
      <c r="AF1161" s="49"/>
      <c r="AG1161" s="49"/>
      <c r="AH1161" s="49" t="b">
        <f>IFERROR(__xludf.DUMMYFUNCTION("""COMPUTED_VALUE"""),FALSE)</f>
        <v>0</v>
      </c>
    </row>
    <row r="1162">
      <c r="A1162" s="49"/>
      <c r="B1162" s="49"/>
      <c r="C1162" s="49"/>
      <c r="D1162" s="49"/>
      <c r="E1162" s="49">
        <f>IFERROR(__xludf.DUMMYFUNCTION("""COMPUTED_VALUE"""),1.0)</f>
        <v>1</v>
      </c>
      <c r="F1162" s="112">
        <f>IFERROR(__xludf.DUMMYFUNCTION("""COMPUTED_VALUE"""),0.0)</f>
        <v>0</v>
      </c>
      <c r="G1162" s="49"/>
      <c r="H1162" s="49"/>
      <c r="I1162" s="49"/>
      <c r="J1162" s="49"/>
      <c r="K1162" s="49"/>
      <c r="L1162" s="49"/>
      <c r="M1162" s="49"/>
      <c r="N1162" s="49"/>
      <c r="O1162" s="49"/>
      <c r="P1162" s="49"/>
      <c r="Q1162" s="49"/>
      <c r="R1162" s="49"/>
      <c r="S1162" s="49"/>
      <c r="T1162" s="49"/>
      <c r="U1162" s="49"/>
      <c r="V1162" s="49"/>
      <c r="W1162" s="49"/>
      <c r="X1162" s="49"/>
      <c r="Y1162" s="49"/>
      <c r="Z1162" s="49"/>
      <c r="AA1162" s="49"/>
      <c r="AB1162" s="49"/>
      <c r="AC1162" s="49"/>
      <c r="AD1162" s="49"/>
      <c r="AE1162" s="49"/>
      <c r="AF1162" s="49"/>
      <c r="AG1162" s="49"/>
      <c r="AH1162" s="49" t="b">
        <f>IFERROR(__xludf.DUMMYFUNCTION("""COMPUTED_VALUE"""),FALSE)</f>
        <v>0</v>
      </c>
    </row>
    <row r="1163">
      <c r="A1163" s="49"/>
      <c r="B1163" s="49"/>
      <c r="C1163" s="49"/>
      <c r="D1163" s="49"/>
      <c r="E1163" s="49">
        <f>IFERROR(__xludf.DUMMYFUNCTION("""COMPUTED_VALUE"""),1.0)</f>
        <v>1</v>
      </c>
      <c r="F1163" s="112">
        <f>IFERROR(__xludf.DUMMYFUNCTION("""COMPUTED_VALUE"""),0.0)</f>
        <v>0</v>
      </c>
      <c r="G1163" s="49"/>
      <c r="H1163" s="49"/>
      <c r="I1163" s="49"/>
      <c r="J1163" s="49"/>
      <c r="K1163" s="49"/>
      <c r="L1163" s="49"/>
      <c r="M1163" s="49"/>
      <c r="N1163" s="49"/>
      <c r="O1163" s="49"/>
      <c r="P1163" s="49"/>
      <c r="Q1163" s="49"/>
      <c r="R1163" s="49"/>
      <c r="S1163" s="49"/>
      <c r="T1163" s="49"/>
      <c r="U1163" s="49"/>
      <c r="V1163" s="49"/>
      <c r="W1163" s="49"/>
      <c r="X1163" s="49"/>
      <c r="Y1163" s="49"/>
      <c r="Z1163" s="49"/>
      <c r="AA1163" s="49"/>
      <c r="AB1163" s="49"/>
      <c r="AC1163" s="49"/>
      <c r="AD1163" s="49"/>
      <c r="AE1163" s="49"/>
      <c r="AF1163" s="49"/>
      <c r="AG1163" s="49"/>
      <c r="AH1163" s="49" t="b">
        <f>IFERROR(__xludf.DUMMYFUNCTION("""COMPUTED_VALUE"""),FALSE)</f>
        <v>0</v>
      </c>
    </row>
    <row r="1164">
      <c r="A1164" s="49"/>
      <c r="B1164" s="49"/>
      <c r="C1164" s="49"/>
      <c r="D1164" s="49"/>
      <c r="E1164" s="49">
        <f>IFERROR(__xludf.DUMMYFUNCTION("""COMPUTED_VALUE"""),1.0)</f>
        <v>1</v>
      </c>
      <c r="F1164" s="112">
        <f>IFERROR(__xludf.DUMMYFUNCTION("""COMPUTED_VALUE"""),0.0)</f>
        <v>0</v>
      </c>
      <c r="G1164" s="49"/>
      <c r="H1164" s="49"/>
      <c r="I1164" s="49"/>
      <c r="J1164" s="49"/>
      <c r="K1164" s="49"/>
      <c r="L1164" s="49"/>
      <c r="M1164" s="49"/>
      <c r="N1164" s="49"/>
      <c r="O1164" s="49"/>
      <c r="P1164" s="49"/>
      <c r="Q1164" s="49"/>
      <c r="R1164" s="49"/>
      <c r="S1164" s="49"/>
      <c r="T1164" s="49"/>
      <c r="U1164" s="49"/>
      <c r="V1164" s="49"/>
      <c r="W1164" s="49"/>
      <c r="X1164" s="49"/>
      <c r="Y1164" s="49"/>
      <c r="Z1164" s="49"/>
      <c r="AA1164" s="49"/>
      <c r="AB1164" s="49"/>
      <c r="AC1164" s="49"/>
      <c r="AD1164" s="49"/>
      <c r="AE1164" s="49"/>
      <c r="AF1164" s="49"/>
      <c r="AG1164" s="49"/>
      <c r="AH1164" s="49" t="b">
        <f>IFERROR(__xludf.DUMMYFUNCTION("""COMPUTED_VALUE"""),FALSE)</f>
        <v>0</v>
      </c>
    </row>
    <row r="1165">
      <c r="A1165" s="49"/>
      <c r="B1165" s="49"/>
      <c r="C1165" s="49"/>
      <c r="D1165" s="49"/>
      <c r="E1165" s="49">
        <f>IFERROR(__xludf.DUMMYFUNCTION("""COMPUTED_VALUE"""),1.0)</f>
        <v>1</v>
      </c>
      <c r="F1165" s="112">
        <f>IFERROR(__xludf.DUMMYFUNCTION("""COMPUTED_VALUE"""),0.0)</f>
        <v>0</v>
      </c>
      <c r="G1165" s="49"/>
      <c r="H1165" s="49"/>
      <c r="I1165" s="49"/>
      <c r="J1165" s="49"/>
      <c r="K1165" s="49"/>
      <c r="L1165" s="49"/>
      <c r="M1165" s="49"/>
      <c r="N1165" s="49"/>
      <c r="O1165" s="49"/>
      <c r="P1165" s="49"/>
      <c r="Q1165" s="49"/>
      <c r="R1165" s="49"/>
      <c r="S1165" s="49"/>
      <c r="T1165" s="49"/>
      <c r="U1165" s="49"/>
      <c r="V1165" s="49"/>
      <c r="W1165" s="49"/>
      <c r="X1165" s="49"/>
      <c r="Y1165" s="49"/>
      <c r="Z1165" s="49"/>
      <c r="AA1165" s="49"/>
      <c r="AB1165" s="49"/>
      <c r="AC1165" s="49"/>
      <c r="AD1165" s="49"/>
      <c r="AE1165" s="49"/>
      <c r="AF1165" s="49"/>
      <c r="AG1165" s="49"/>
      <c r="AH1165" s="49" t="b">
        <f>IFERROR(__xludf.DUMMYFUNCTION("""COMPUTED_VALUE"""),FALSE)</f>
        <v>0</v>
      </c>
    </row>
    <row r="1166">
      <c r="A1166" s="49"/>
      <c r="B1166" s="49"/>
      <c r="C1166" s="49"/>
      <c r="D1166" s="49"/>
      <c r="E1166" s="49">
        <f>IFERROR(__xludf.DUMMYFUNCTION("""COMPUTED_VALUE"""),1.0)</f>
        <v>1</v>
      </c>
      <c r="F1166" s="112">
        <f>IFERROR(__xludf.DUMMYFUNCTION("""COMPUTED_VALUE"""),0.0)</f>
        <v>0</v>
      </c>
      <c r="G1166" s="49"/>
      <c r="H1166" s="49"/>
      <c r="I1166" s="49"/>
      <c r="J1166" s="49"/>
      <c r="K1166" s="49"/>
      <c r="L1166" s="49"/>
      <c r="M1166" s="49"/>
      <c r="N1166" s="49"/>
      <c r="O1166" s="49"/>
      <c r="P1166" s="49"/>
      <c r="Q1166" s="49"/>
      <c r="R1166" s="49"/>
      <c r="S1166" s="49"/>
      <c r="T1166" s="49"/>
      <c r="U1166" s="49"/>
      <c r="V1166" s="49"/>
      <c r="W1166" s="49"/>
      <c r="X1166" s="49"/>
      <c r="Y1166" s="49"/>
      <c r="Z1166" s="49"/>
      <c r="AA1166" s="49"/>
      <c r="AB1166" s="49"/>
      <c r="AC1166" s="49"/>
      <c r="AD1166" s="49"/>
      <c r="AE1166" s="49"/>
      <c r="AF1166" s="49"/>
      <c r="AG1166" s="49"/>
      <c r="AH1166" s="49" t="b">
        <f>IFERROR(__xludf.DUMMYFUNCTION("""COMPUTED_VALUE"""),FALSE)</f>
        <v>0</v>
      </c>
    </row>
    <row r="1167">
      <c r="A1167" s="49"/>
      <c r="B1167" s="49"/>
      <c r="C1167" s="49"/>
      <c r="D1167" s="49"/>
      <c r="E1167" s="49">
        <f>IFERROR(__xludf.DUMMYFUNCTION("""COMPUTED_VALUE"""),1.0)</f>
        <v>1</v>
      </c>
      <c r="F1167" s="112">
        <f>IFERROR(__xludf.DUMMYFUNCTION("""COMPUTED_VALUE"""),0.0)</f>
        <v>0</v>
      </c>
      <c r="G1167" s="49"/>
      <c r="H1167" s="49"/>
      <c r="I1167" s="49"/>
      <c r="J1167" s="49"/>
      <c r="K1167" s="49"/>
      <c r="L1167" s="49"/>
      <c r="M1167" s="49"/>
      <c r="N1167" s="49"/>
      <c r="O1167" s="49"/>
      <c r="P1167" s="49"/>
      <c r="Q1167" s="49"/>
      <c r="R1167" s="49"/>
      <c r="S1167" s="49"/>
      <c r="T1167" s="49"/>
      <c r="U1167" s="49"/>
      <c r="V1167" s="49"/>
      <c r="W1167" s="49"/>
      <c r="X1167" s="49"/>
      <c r="Y1167" s="49"/>
      <c r="Z1167" s="49"/>
      <c r="AA1167" s="49"/>
      <c r="AB1167" s="49"/>
      <c r="AC1167" s="49"/>
      <c r="AD1167" s="49"/>
      <c r="AE1167" s="49"/>
      <c r="AF1167" s="49"/>
      <c r="AG1167" s="49"/>
      <c r="AH1167" s="49" t="b">
        <f>IFERROR(__xludf.DUMMYFUNCTION("""COMPUTED_VALUE"""),FALSE)</f>
        <v>0</v>
      </c>
    </row>
    <row r="1168">
      <c r="A1168" s="49"/>
      <c r="B1168" s="49"/>
      <c r="C1168" s="49"/>
      <c r="D1168" s="49"/>
      <c r="E1168" s="49">
        <f>IFERROR(__xludf.DUMMYFUNCTION("""COMPUTED_VALUE"""),1.0)</f>
        <v>1</v>
      </c>
      <c r="F1168" s="112">
        <f>IFERROR(__xludf.DUMMYFUNCTION("""COMPUTED_VALUE"""),0.0)</f>
        <v>0</v>
      </c>
      <c r="G1168" s="49"/>
      <c r="H1168" s="49"/>
      <c r="I1168" s="49"/>
      <c r="J1168" s="49"/>
      <c r="K1168" s="49"/>
      <c r="L1168" s="49"/>
      <c r="M1168" s="49"/>
      <c r="N1168" s="49"/>
      <c r="O1168" s="49"/>
      <c r="P1168" s="49"/>
      <c r="Q1168" s="49"/>
      <c r="R1168" s="49"/>
      <c r="S1168" s="49"/>
      <c r="T1168" s="49"/>
      <c r="U1168" s="49"/>
      <c r="V1168" s="49"/>
      <c r="W1168" s="49"/>
      <c r="X1168" s="49"/>
      <c r="Y1168" s="49"/>
      <c r="Z1168" s="49"/>
      <c r="AA1168" s="49"/>
      <c r="AB1168" s="49"/>
      <c r="AC1168" s="49"/>
      <c r="AD1168" s="49"/>
      <c r="AE1168" s="49"/>
      <c r="AF1168" s="49"/>
      <c r="AG1168" s="49"/>
      <c r="AH1168" s="49" t="b">
        <f>IFERROR(__xludf.DUMMYFUNCTION("""COMPUTED_VALUE"""),FALSE)</f>
        <v>0</v>
      </c>
    </row>
    <row r="1169">
      <c r="A1169" s="49"/>
      <c r="B1169" s="49"/>
      <c r="C1169" s="49"/>
      <c r="D1169" s="49"/>
      <c r="E1169" s="49">
        <f>IFERROR(__xludf.DUMMYFUNCTION("""COMPUTED_VALUE"""),1.0)</f>
        <v>1</v>
      </c>
      <c r="F1169" s="112">
        <f>IFERROR(__xludf.DUMMYFUNCTION("""COMPUTED_VALUE"""),0.0)</f>
        <v>0</v>
      </c>
      <c r="G1169" s="49"/>
      <c r="H1169" s="49"/>
      <c r="I1169" s="49"/>
      <c r="J1169" s="49"/>
      <c r="K1169" s="49"/>
      <c r="L1169" s="49"/>
      <c r="M1169" s="49"/>
      <c r="N1169" s="49"/>
      <c r="O1169" s="49"/>
      <c r="P1169" s="49"/>
      <c r="Q1169" s="49"/>
      <c r="R1169" s="49"/>
      <c r="S1169" s="49"/>
      <c r="T1169" s="49"/>
      <c r="U1169" s="49"/>
      <c r="V1169" s="49"/>
      <c r="W1169" s="49"/>
      <c r="X1169" s="49"/>
      <c r="Y1169" s="49"/>
      <c r="Z1169" s="49"/>
      <c r="AA1169" s="49"/>
      <c r="AB1169" s="49"/>
      <c r="AC1169" s="49"/>
      <c r="AD1169" s="49"/>
      <c r="AE1169" s="49"/>
      <c r="AF1169" s="49"/>
      <c r="AG1169" s="49"/>
      <c r="AH1169" s="49" t="b">
        <f>IFERROR(__xludf.DUMMYFUNCTION("""COMPUTED_VALUE"""),FALSE)</f>
        <v>0</v>
      </c>
    </row>
    <row r="1170">
      <c r="A1170" s="49"/>
      <c r="B1170" s="49"/>
      <c r="C1170" s="49"/>
      <c r="D1170" s="49"/>
      <c r="E1170" s="49">
        <f>IFERROR(__xludf.DUMMYFUNCTION("""COMPUTED_VALUE"""),1.0)</f>
        <v>1</v>
      </c>
      <c r="F1170" s="112">
        <f>IFERROR(__xludf.DUMMYFUNCTION("""COMPUTED_VALUE"""),0.0)</f>
        <v>0</v>
      </c>
      <c r="G1170" s="49"/>
      <c r="H1170" s="49"/>
      <c r="I1170" s="49"/>
      <c r="J1170" s="49"/>
      <c r="K1170" s="49"/>
      <c r="L1170" s="49"/>
      <c r="M1170" s="49"/>
      <c r="N1170" s="49"/>
      <c r="O1170" s="49"/>
      <c r="P1170" s="49"/>
      <c r="Q1170" s="49"/>
      <c r="R1170" s="49"/>
      <c r="S1170" s="49"/>
      <c r="T1170" s="49"/>
      <c r="U1170" s="49"/>
      <c r="V1170" s="49"/>
      <c r="W1170" s="49"/>
      <c r="X1170" s="49"/>
      <c r="Y1170" s="49"/>
      <c r="Z1170" s="49"/>
      <c r="AA1170" s="49"/>
      <c r="AB1170" s="49"/>
      <c r="AC1170" s="49"/>
      <c r="AD1170" s="49"/>
      <c r="AE1170" s="49"/>
      <c r="AF1170" s="49"/>
      <c r="AG1170" s="49"/>
      <c r="AH1170" s="49" t="b">
        <f>IFERROR(__xludf.DUMMYFUNCTION("""COMPUTED_VALUE"""),FALSE)</f>
        <v>0</v>
      </c>
    </row>
    <row r="1171">
      <c r="A1171" s="49"/>
      <c r="B1171" s="49"/>
      <c r="C1171" s="49"/>
      <c r="D1171" s="49"/>
      <c r="E1171" s="49">
        <f>IFERROR(__xludf.DUMMYFUNCTION("""COMPUTED_VALUE"""),1.0)</f>
        <v>1</v>
      </c>
      <c r="F1171" s="112">
        <f>IFERROR(__xludf.DUMMYFUNCTION("""COMPUTED_VALUE"""),0.0)</f>
        <v>0</v>
      </c>
      <c r="G1171" s="49"/>
      <c r="H1171" s="49"/>
      <c r="I1171" s="49"/>
      <c r="J1171" s="49"/>
      <c r="K1171" s="49"/>
      <c r="L1171" s="49"/>
      <c r="M1171" s="49"/>
      <c r="N1171" s="49"/>
      <c r="O1171" s="49"/>
      <c r="P1171" s="49"/>
      <c r="Q1171" s="49"/>
      <c r="R1171" s="49"/>
      <c r="S1171" s="49"/>
      <c r="T1171" s="49"/>
      <c r="U1171" s="49"/>
      <c r="V1171" s="49"/>
      <c r="W1171" s="49"/>
      <c r="X1171" s="49"/>
      <c r="Y1171" s="49"/>
      <c r="Z1171" s="49"/>
      <c r="AA1171" s="49"/>
      <c r="AB1171" s="49"/>
      <c r="AC1171" s="49"/>
      <c r="AD1171" s="49"/>
      <c r="AE1171" s="49"/>
      <c r="AF1171" s="49"/>
      <c r="AG1171" s="49"/>
      <c r="AH1171" s="49" t="b">
        <f>IFERROR(__xludf.DUMMYFUNCTION("""COMPUTED_VALUE"""),FALSE)</f>
        <v>0</v>
      </c>
    </row>
    <row r="1172">
      <c r="A1172" s="49"/>
      <c r="B1172" s="49"/>
      <c r="C1172" s="49"/>
      <c r="D1172" s="49"/>
      <c r="E1172" s="49">
        <f>IFERROR(__xludf.DUMMYFUNCTION("""COMPUTED_VALUE"""),1.0)</f>
        <v>1</v>
      </c>
      <c r="F1172" s="112">
        <f>IFERROR(__xludf.DUMMYFUNCTION("""COMPUTED_VALUE"""),0.0)</f>
        <v>0</v>
      </c>
      <c r="G1172" s="49"/>
      <c r="H1172" s="49"/>
      <c r="I1172" s="49"/>
      <c r="J1172" s="49"/>
      <c r="K1172" s="49"/>
      <c r="L1172" s="49"/>
      <c r="M1172" s="49"/>
      <c r="N1172" s="49"/>
      <c r="O1172" s="49"/>
      <c r="P1172" s="49"/>
      <c r="Q1172" s="49"/>
      <c r="R1172" s="49"/>
      <c r="S1172" s="49"/>
      <c r="T1172" s="49"/>
      <c r="U1172" s="49"/>
      <c r="V1172" s="49"/>
      <c r="W1172" s="49"/>
      <c r="X1172" s="49"/>
      <c r="Y1172" s="49"/>
      <c r="Z1172" s="49"/>
      <c r="AA1172" s="49"/>
      <c r="AB1172" s="49"/>
      <c r="AC1172" s="49"/>
      <c r="AD1172" s="49"/>
      <c r="AE1172" s="49"/>
      <c r="AF1172" s="49"/>
      <c r="AG1172" s="49"/>
      <c r="AH1172" s="49" t="b">
        <f>IFERROR(__xludf.DUMMYFUNCTION("""COMPUTED_VALUE"""),FALSE)</f>
        <v>0</v>
      </c>
    </row>
    <row r="1173">
      <c r="A1173" s="49"/>
      <c r="B1173" s="49"/>
      <c r="C1173" s="49"/>
      <c r="D1173" s="49"/>
      <c r="E1173" s="49">
        <f>IFERROR(__xludf.DUMMYFUNCTION("""COMPUTED_VALUE"""),1.0)</f>
        <v>1</v>
      </c>
      <c r="F1173" s="112">
        <f>IFERROR(__xludf.DUMMYFUNCTION("""COMPUTED_VALUE"""),0.0)</f>
        <v>0</v>
      </c>
      <c r="G1173" s="49"/>
      <c r="H1173" s="49"/>
      <c r="I1173" s="49"/>
      <c r="J1173" s="49"/>
      <c r="K1173" s="49"/>
      <c r="L1173" s="49"/>
      <c r="M1173" s="49"/>
      <c r="N1173" s="49"/>
      <c r="O1173" s="49"/>
      <c r="P1173" s="49"/>
      <c r="Q1173" s="49"/>
      <c r="R1173" s="49"/>
      <c r="S1173" s="49"/>
      <c r="T1173" s="49"/>
      <c r="U1173" s="49"/>
      <c r="V1173" s="49"/>
      <c r="W1173" s="49"/>
      <c r="X1173" s="49"/>
      <c r="Y1173" s="49"/>
      <c r="Z1173" s="49"/>
      <c r="AA1173" s="49"/>
      <c r="AB1173" s="49"/>
      <c r="AC1173" s="49"/>
      <c r="AD1173" s="49"/>
      <c r="AE1173" s="49"/>
      <c r="AF1173" s="49"/>
      <c r="AG1173" s="49"/>
      <c r="AH1173" s="49" t="b">
        <f>IFERROR(__xludf.DUMMYFUNCTION("""COMPUTED_VALUE"""),FALSE)</f>
        <v>0</v>
      </c>
    </row>
    <row r="1174">
      <c r="A1174" s="49"/>
      <c r="B1174" s="49"/>
      <c r="C1174" s="49"/>
      <c r="D1174" s="49"/>
      <c r="E1174" s="49">
        <f>IFERROR(__xludf.DUMMYFUNCTION("""COMPUTED_VALUE"""),1.0)</f>
        <v>1</v>
      </c>
      <c r="F1174" s="112">
        <f>IFERROR(__xludf.DUMMYFUNCTION("""COMPUTED_VALUE"""),0.0)</f>
        <v>0</v>
      </c>
      <c r="G1174" s="49"/>
      <c r="H1174" s="49"/>
      <c r="I1174" s="49"/>
      <c r="J1174" s="49"/>
      <c r="K1174" s="49"/>
      <c r="L1174" s="49"/>
      <c r="M1174" s="49"/>
      <c r="N1174" s="49"/>
      <c r="O1174" s="49"/>
      <c r="P1174" s="49"/>
      <c r="Q1174" s="49"/>
      <c r="R1174" s="49"/>
      <c r="S1174" s="49"/>
      <c r="T1174" s="49"/>
      <c r="U1174" s="49"/>
      <c r="V1174" s="49"/>
      <c r="W1174" s="49"/>
      <c r="X1174" s="49"/>
      <c r="Y1174" s="49"/>
      <c r="Z1174" s="49"/>
      <c r="AA1174" s="49"/>
      <c r="AB1174" s="49"/>
      <c r="AC1174" s="49"/>
      <c r="AD1174" s="49"/>
      <c r="AE1174" s="49"/>
      <c r="AF1174" s="49"/>
      <c r="AG1174" s="49"/>
      <c r="AH1174" s="49" t="b">
        <f>IFERROR(__xludf.DUMMYFUNCTION("""COMPUTED_VALUE"""),FALSE)</f>
        <v>0</v>
      </c>
    </row>
    <row r="1175">
      <c r="A1175" s="49"/>
      <c r="B1175" s="49"/>
      <c r="C1175" s="49"/>
      <c r="D1175" s="49"/>
      <c r="E1175" s="49">
        <f>IFERROR(__xludf.DUMMYFUNCTION("""COMPUTED_VALUE"""),1.0)</f>
        <v>1</v>
      </c>
      <c r="F1175" s="112">
        <f>IFERROR(__xludf.DUMMYFUNCTION("""COMPUTED_VALUE"""),0.0)</f>
        <v>0</v>
      </c>
      <c r="G1175" s="49"/>
      <c r="H1175" s="49"/>
      <c r="I1175" s="49"/>
      <c r="J1175" s="49"/>
      <c r="K1175" s="49"/>
      <c r="L1175" s="49"/>
      <c r="M1175" s="49"/>
      <c r="N1175" s="49"/>
      <c r="O1175" s="49"/>
      <c r="P1175" s="49"/>
      <c r="Q1175" s="49"/>
      <c r="R1175" s="49"/>
      <c r="S1175" s="49"/>
      <c r="T1175" s="49"/>
      <c r="U1175" s="49"/>
      <c r="V1175" s="49"/>
      <c r="W1175" s="49"/>
      <c r="X1175" s="49"/>
      <c r="Y1175" s="49"/>
      <c r="Z1175" s="49"/>
      <c r="AA1175" s="49"/>
      <c r="AB1175" s="49"/>
      <c r="AC1175" s="49"/>
      <c r="AD1175" s="49"/>
      <c r="AE1175" s="49"/>
      <c r="AF1175" s="49"/>
      <c r="AG1175" s="49"/>
      <c r="AH1175" s="49" t="b">
        <f>IFERROR(__xludf.DUMMYFUNCTION("""COMPUTED_VALUE"""),FALSE)</f>
        <v>0</v>
      </c>
    </row>
    <row r="1176">
      <c r="A1176" s="49"/>
      <c r="B1176" s="49"/>
      <c r="C1176" s="49"/>
      <c r="D1176" s="49"/>
      <c r="E1176" s="49">
        <f>IFERROR(__xludf.DUMMYFUNCTION("""COMPUTED_VALUE"""),1.0)</f>
        <v>1</v>
      </c>
      <c r="F1176" s="112">
        <f>IFERROR(__xludf.DUMMYFUNCTION("""COMPUTED_VALUE"""),0.0)</f>
        <v>0</v>
      </c>
      <c r="G1176" s="49"/>
      <c r="H1176" s="49"/>
      <c r="I1176" s="49"/>
      <c r="J1176" s="49"/>
      <c r="K1176" s="49"/>
      <c r="L1176" s="49"/>
      <c r="M1176" s="49"/>
      <c r="N1176" s="49"/>
      <c r="O1176" s="49"/>
      <c r="P1176" s="49"/>
      <c r="Q1176" s="49"/>
      <c r="R1176" s="49"/>
      <c r="S1176" s="49"/>
      <c r="T1176" s="49"/>
      <c r="U1176" s="49"/>
      <c r="V1176" s="49"/>
      <c r="W1176" s="49"/>
      <c r="X1176" s="49"/>
      <c r="Y1176" s="49"/>
      <c r="Z1176" s="49"/>
      <c r="AA1176" s="49"/>
      <c r="AB1176" s="49"/>
      <c r="AC1176" s="49"/>
      <c r="AD1176" s="49"/>
      <c r="AE1176" s="49"/>
      <c r="AF1176" s="49"/>
      <c r="AG1176" s="49"/>
      <c r="AH1176" s="49" t="b">
        <f>IFERROR(__xludf.DUMMYFUNCTION("""COMPUTED_VALUE"""),FALSE)</f>
        <v>0</v>
      </c>
    </row>
    <row r="1177">
      <c r="A1177" s="49"/>
      <c r="B1177" s="49"/>
      <c r="C1177" s="49"/>
      <c r="D1177" s="49"/>
      <c r="E1177" s="49">
        <f>IFERROR(__xludf.DUMMYFUNCTION("""COMPUTED_VALUE"""),1.0)</f>
        <v>1</v>
      </c>
      <c r="F1177" s="112">
        <f>IFERROR(__xludf.DUMMYFUNCTION("""COMPUTED_VALUE"""),0.0)</f>
        <v>0</v>
      </c>
      <c r="G1177" s="49"/>
      <c r="H1177" s="49"/>
      <c r="I1177" s="49"/>
      <c r="J1177" s="49"/>
      <c r="K1177" s="49"/>
      <c r="L1177" s="49"/>
      <c r="M1177" s="49"/>
      <c r="N1177" s="49"/>
      <c r="O1177" s="49"/>
      <c r="P1177" s="49"/>
      <c r="Q1177" s="49"/>
      <c r="R1177" s="49"/>
      <c r="S1177" s="49"/>
      <c r="T1177" s="49"/>
      <c r="U1177" s="49"/>
      <c r="V1177" s="49"/>
      <c r="W1177" s="49"/>
      <c r="X1177" s="49"/>
      <c r="Y1177" s="49"/>
      <c r="Z1177" s="49"/>
      <c r="AA1177" s="49"/>
      <c r="AB1177" s="49"/>
      <c r="AC1177" s="49"/>
      <c r="AD1177" s="49"/>
      <c r="AE1177" s="49"/>
      <c r="AF1177" s="49"/>
      <c r="AG1177" s="49"/>
      <c r="AH1177" s="49" t="b">
        <f>IFERROR(__xludf.DUMMYFUNCTION("""COMPUTED_VALUE"""),FALSE)</f>
        <v>0</v>
      </c>
    </row>
    <row r="1178">
      <c r="A1178" s="49"/>
      <c r="B1178" s="49"/>
      <c r="C1178" s="49"/>
      <c r="D1178" s="49"/>
      <c r="E1178" s="49">
        <f>IFERROR(__xludf.DUMMYFUNCTION("""COMPUTED_VALUE"""),1.0)</f>
        <v>1</v>
      </c>
      <c r="F1178" s="112">
        <f>IFERROR(__xludf.DUMMYFUNCTION("""COMPUTED_VALUE"""),0.0)</f>
        <v>0</v>
      </c>
      <c r="G1178" s="49"/>
      <c r="H1178" s="49"/>
      <c r="I1178" s="49"/>
      <c r="J1178" s="49"/>
      <c r="K1178" s="49"/>
      <c r="L1178" s="49"/>
      <c r="M1178" s="49"/>
      <c r="N1178" s="49"/>
      <c r="O1178" s="49"/>
      <c r="P1178" s="49"/>
      <c r="Q1178" s="49"/>
      <c r="R1178" s="49"/>
      <c r="S1178" s="49"/>
      <c r="T1178" s="49"/>
      <c r="U1178" s="49"/>
      <c r="V1178" s="49"/>
      <c r="W1178" s="49"/>
      <c r="X1178" s="49"/>
      <c r="Y1178" s="49"/>
      <c r="Z1178" s="49"/>
      <c r="AA1178" s="49"/>
      <c r="AB1178" s="49"/>
      <c r="AC1178" s="49"/>
      <c r="AD1178" s="49"/>
      <c r="AE1178" s="49"/>
      <c r="AF1178" s="49"/>
      <c r="AG1178" s="49"/>
      <c r="AH1178" s="49" t="b">
        <f>IFERROR(__xludf.DUMMYFUNCTION("""COMPUTED_VALUE"""),FALSE)</f>
        <v>0</v>
      </c>
    </row>
    <row r="1179">
      <c r="A1179" s="49"/>
      <c r="B1179" s="49"/>
      <c r="C1179" s="49"/>
      <c r="D1179" s="49"/>
      <c r="E1179" s="49">
        <f>IFERROR(__xludf.DUMMYFUNCTION("""COMPUTED_VALUE"""),1.0)</f>
        <v>1</v>
      </c>
      <c r="F1179" s="112">
        <f>IFERROR(__xludf.DUMMYFUNCTION("""COMPUTED_VALUE"""),0.0)</f>
        <v>0</v>
      </c>
      <c r="G1179" s="49"/>
      <c r="H1179" s="49"/>
      <c r="I1179" s="49"/>
      <c r="J1179" s="49"/>
      <c r="K1179" s="49"/>
      <c r="L1179" s="49"/>
      <c r="M1179" s="49"/>
      <c r="N1179" s="49"/>
      <c r="O1179" s="49"/>
      <c r="P1179" s="49"/>
      <c r="Q1179" s="49"/>
      <c r="R1179" s="49"/>
      <c r="S1179" s="49"/>
      <c r="T1179" s="49"/>
      <c r="U1179" s="49"/>
      <c r="V1179" s="49"/>
      <c r="W1179" s="49"/>
      <c r="X1179" s="49"/>
      <c r="Y1179" s="49"/>
      <c r="Z1179" s="49"/>
      <c r="AA1179" s="49"/>
      <c r="AB1179" s="49"/>
      <c r="AC1179" s="49"/>
      <c r="AD1179" s="49"/>
      <c r="AE1179" s="49"/>
      <c r="AF1179" s="49"/>
      <c r="AG1179" s="49"/>
      <c r="AH1179" s="49" t="b">
        <f>IFERROR(__xludf.DUMMYFUNCTION("""COMPUTED_VALUE"""),FALSE)</f>
        <v>0</v>
      </c>
    </row>
    <row r="1180">
      <c r="A1180" s="49"/>
      <c r="B1180" s="49"/>
      <c r="C1180" s="49"/>
      <c r="D1180" s="49"/>
      <c r="E1180" s="49">
        <f>IFERROR(__xludf.DUMMYFUNCTION("""COMPUTED_VALUE"""),1.0)</f>
        <v>1</v>
      </c>
      <c r="F1180" s="112">
        <f>IFERROR(__xludf.DUMMYFUNCTION("""COMPUTED_VALUE"""),0.0)</f>
        <v>0</v>
      </c>
      <c r="G1180" s="49"/>
      <c r="H1180" s="49"/>
      <c r="I1180" s="49"/>
      <c r="J1180" s="49"/>
      <c r="K1180" s="49"/>
      <c r="L1180" s="49"/>
      <c r="M1180" s="49"/>
      <c r="N1180" s="49"/>
      <c r="O1180" s="49"/>
      <c r="P1180" s="49"/>
      <c r="Q1180" s="49"/>
      <c r="R1180" s="49"/>
      <c r="S1180" s="49"/>
      <c r="T1180" s="49"/>
      <c r="U1180" s="49"/>
      <c r="V1180" s="49"/>
      <c r="W1180" s="49"/>
      <c r="X1180" s="49"/>
      <c r="Y1180" s="49"/>
      <c r="Z1180" s="49"/>
      <c r="AA1180" s="49"/>
      <c r="AB1180" s="49"/>
      <c r="AC1180" s="49"/>
      <c r="AD1180" s="49"/>
      <c r="AE1180" s="49"/>
      <c r="AF1180" s="49"/>
      <c r="AG1180" s="49"/>
      <c r="AH1180" s="49" t="b">
        <f>IFERROR(__xludf.DUMMYFUNCTION("""COMPUTED_VALUE"""),FALSE)</f>
        <v>0</v>
      </c>
    </row>
    <row r="1181">
      <c r="A1181" s="49"/>
      <c r="B1181" s="49"/>
      <c r="C1181" s="49"/>
      <c r="D1181" s="49"/>
      <c r="E1181" s="49">
        <f>IFERROR(__xludf.DUMMYFUNCTION("""COMPUTED_VALUE"""),1.0)</f>
        <v>1</v>
      </c>
      <c r="F1181" s="112">
        <f>IFERROR(__xludf.DUMMYFUNCTION("""COMPUTED_VALUE"""),0.0)</f>
        <v>0</v>
      </c>
      <c r="G1181" s="49"/>
      <c r="H1181" s="49"/>
      <c r="I1181" s="49"/>
      <c r="J1181" s="49"/>
      <c r="K1181" s="49"/>
      <c r="L1181" s="49"/>
      <c r="M1181" s="49"/>
      <c r="N1181" s="49"/>
      <c r="O1181" s="49"/>
      <c r="P1181" s="49"/>
      <c r="Q1181" s="49"/>
      <c r="R1181" s="49"/>
      <c r="S1181" s="49"/>
      <c r="T1181" s="49"/>
      <c r="U1181" s="49"/>
      <c r="V1181" s="49"/>
      <c r="W1181" s="49"/>
      <c r="X1181" s="49"/>
      <c r="Y1181" s="49"/>
      <c r="Z1181" s="49"/>
      <c r="AA1181" s="49"/>
      <c r="AB1181" s="49"/>
      <c r="AC1181" s="49"/>
      <c r="AD1181" s="49"/>
      <c r="AE1181" s="49"/>
      <c r="AF1181" s="49"/>
      <c r="AG1181" s="49"/>
      <c r="AH1181" s="49" t="b">
        <f>IFERROR(__xludf.DUMMYFUNCTION("""COMPUTED_VALUE"""),FALSE)</f>
        <v>0</v>
      </c>
    </row>
    <row r="1182">
      <c r="A1182" s="49"/>
      <c r="B1182" s="49"/>
      <c r="C1182" s="49"/>
      <c r="D1182" s="49"/>
      <c r="E1182" s="49">
        <f>IFERROR(__xludf.DUMMYFUNCTION("""COMPUTED_VALUE"""),1.0)</f>
        <v>1</v>
      </c>
      <c r="F1182" s="112">
        <f>IFERROR(__xludf.DUMMYFUNCTION("""COMPUTED_VALUE"""),0.0)</f>
        <v>0</v>
      </c>
      <c r="G1182" s="49"/>
      <c r="H1182" s="49"/>
      <c r="I1182" s="49"/>
      <c r="J1182" s="49"/>
      <c r="K1182" s="49"/>
      <c r="L1182" s="49"/>
      <c r="M1182" s="49"/>
      <c r="N1182" s="49"/>
      <c r="O1182" s="49"/>
      <c r="P1182" s="49"/>
      <c r="Q1182" s="49"/>
      <c r="R1182" s="49"/>
      <c r="S1182" s="49"/>
      <c r="T1182" s="49"/>
      <c r="U1182" s="49"/>
      <c r="V1182" s="49"/>
      <c r="W1182" s="49"/>
      <c r="X1182" s="49"/>
      <c r="Y1182" s="49"/>
      <c r="Z1182" s="49"/>
      <c r="AA1182" s="49"/>
      <c r="AB1182" s="49"/>
      <c r="AC1182" s="49"/>
      <c r="AD1182" s="49"/>
      <c r="AE1182" s="49"/>
      <c r="AF1182" s="49"/>
      <c r="AG1182" s="49"/>
      <c r="AH1182" s="49" t="b">
        <f>IFERROR(__xludf.DUMMYFUNCTION("""COMPUTED_VALUE"""),FALSE)</f>
        <v>0</v>
      </c>
    </row>
    <row r="1183">
      <c r="A1183" s="49"/>
      <c r="B1183" s="49"/>
      <c r="C1183" s="49"/>
      <c r="D1183" s="49"/>
      <c r="E1183" s="49">
        <f>IFERROR(__xludf.DUMMYFUNCTION("""COMPUTED_VALUE"""),1.0)</f>
        <v>1</v>
      </c>
      <c r="F1183" s="112">
        <f>IFERROR(__xludf.DUMMYFUNCTION("""COMPUTED_VALUE"""),0.0)</f>
        <v>0</v>
      </c>
      <c r="G1183" s="49"/>
      <c r="H1183" s="49"/>
      <c r="I1183" s="49"/>
      <c r="J1183" s="49"/>
      <c r="K1183" s="49"/>
      <c r="L1183" s="49"/>
      <c r="M1183" s="49"/>
      <c r="N1183" s="49"/>
      <c r="O1183" s="49"/>
      <c r="P1183" s="49"/>
      <c r="Q1183" s="49"/>
      <c r="R1183" s="49"/>
      <c r="S1183" s="49"/>
      <c r="T1183" s="49"/>
      <c r="U1183" s="49"/>
      <c r="V1183" s="49"/>
      <c r="W1183" s="49"/>
      <c r="X1183" s="49"/>
      <c r="Y1183" s="49"/>
      <c r="Z1183" s="49"/>
      <c r="AA1183" s="49"/>
      <c r="AB1183" s="49"/>
      <c r="AC1183" s="49"/>
      <c r="AD1183" s="49"/>
      <c r="AE1183" s="49"/>
      <c r="AF1183" s="49"/>
      <c r="AG1183" s="49"/>
      <c r="AH1183" s="49" t="b">
        <f>IFERROR(__xludf.DUMMYFUNCTION("""COMPUTED_VALUE"""),FALSE)</f>
        <v>0</v>
      </c>
    </row>
    <row r="1184">
      <c r="A1184" s="49"/>
      <c r="B1184" s="49"/>
      <c r="C1184" s="49"/>
      <c r="D1184" s="49"/>
      <c r="E1184" s="49">
        <f>IFERROR(__xludf.DUMMYFUNCTION("""COMPUTED_VALUE"""),1.0)</f>
        <v>1</v>
      </c>
      <c r="F1184" s="112">
        <f>IFERROR(__xludf.DUMMYFUNCTION("""COMPUTED_VALUE"""),0.0)</f>
        <v>0</v>
      </c>
      <c r="G1184" s="49"/>
      <c r="H1184" s="49"/>
      <c r="I1184" s="49"/>
      <c r="J1184" s="49"/>
      <c r="K1184" s="49"/>
      <c r="L1184" s="49"/>
      <c r="M1184" s="49"/>
      <c r="N1184" s="49"/>
      <c r="O1184" s="49"/>
      <c r="P1184" s="49"/>
      <c r="Q1184" s="49"/>
      <c r="R1184" s="49"/>
      <c r="S1184" s="49"/>
      <c r="T1184" s="49"/>
      <c r="U1184" s="49"/>
      <c r="V1184" s="49"/>
      <c r="W1184" s="49"/>
      <c r="X1184" s="49"/>
      <c r="Y1184" s="49"/>
      <c r="Z1184" s="49"/>
      <c r="AA1184" s="49"/>
      <c r="AB1184" s="49"/>
      <c r="AC1184" s="49"/>
      <c r="AD1184" s="49"/>
      <c r="AE1184" s="49"/>
      <c r="AF1184" s="49"/>
      <c r="AG1184" s="49"/>
      <c r="AH1184" s="49" t="b">
        <f>IFERROR(__xludf.DUMMYFUNCTION("""COMPUTED_VALUE"""),FALSE)</f>
        <v>0</v>
      </c>
    </row>
    <row r="1185">
      <c r="A1185" s="49"/>
      <c r="B1185" s="49"/>
      <c r="C1185" s="49"/>
      <c r="D1185" s="49"/>
      <c r="E1185" s="49">
        <f>IFERROR(__xludf.DUMMYFUNCTION("""COMPUTED_VALUE"""),1.0)</f>
        <v>1</v>
      </c>
      <c r="F1185" s="112">
        <f>IFERROR(__xludf.DUMMYFUNCTION("""COMPUTED_VALUE"""),0.0)</f>
        <v>0</v>
      </c>
      <c r="G1185" s="49"/>
      <c r="H1185" s="49"/>
      <c r="I1185" s="49"/>
      <c r="J1185" s="49"/>
      <c r="K1185" s="49"/>
      <c r="L1185" s="49"/>
      <c r="M1185" s="49"/>
      <c r="N1185" s="49"/>
      <c r="O1185" s="49"/>
      <c r="P1185" s="49"/>
      <c r="Q1185" s="49"/>
      <c r="R1185" s="49"/>
      <c r="S1185" s="49"/>
      <c r="T1185" s="49"/>
      <c r="U1185" s="49"/>
      <c r="V1185" s="49"/>
      <c r="W1185" s="49"/>
      <c r="X1185" s="49"/>
      <c r="Y1185" s="49"/>
      <c r="Z1185" s="49"/>
      <c r="AA1185" s="49"/>
      <c r="AB1185" s="49"/>
      <c r="AC1185" s="49"/>
      <c r="AD1185" s="49"/>
      <c r="AE1185" s="49"/>
      <c r="AF1185" s="49"/>
      <c r="AG1185" s="49"/>
      <c r="AH1185" s="49" t="b">
        <f>IFERROR(__xludf.DUMMYFUNCTION("""COMPUTED_VALUE"""),FALSE)</f>
        <v>0</v>
      </c>
    </row>
    <row r="1186">
      <c r="A1186" s="49"/>
      <c r="B1186" s="49"/>
      <c r="C1186" s="49"/>
      <c r="D1186" s="49"/>
      <c r="E1186" s="49">
        <f>IFERROR(__xludf.DUMMYFUNCTION("""COMPUTED_VALUE"""),1.0)</f>
        <v>1</v>
      </c>
      <c r="F1186" s="112">
        <f>IFERROR(__xludf.DUMMYFUNCTION("""COMPUTED_VALUE"""),0.0)</f>
        <v>0</v>
      </c>
      <c r="G1186" s="49"/>
      <c r="H1186" s="49"/>
      <c r="I1186" s="49"/>
      <c r="J1186" s="49"/>
      <c r="K1186" s="49"/>
      <c r="L1186" s="49"/>
      <c r="M1186" s="49"/>
      <c r="N1186" s="49"/>
      <c r="O1186" s="49"/>
      <c r="P1186" s="49"/>
      <c r="Q1186" s="49"/>
      <c r="R1186" s="49"/>
      <c r="S1186" s="49"/>
      <c r="T1186" s="49"/>
      <c r="U1186" s="49"/>
      <c r="V1186" s="49"/>
      <c r="W1186" s="49"/>
      <c r="X1186" s="49"/>
      <c r="Y1186" s="49"/>
      <c r="Z1186" s="49"/>
      <c r="AA1186" s="49"/>
      <c r="AB1186" s="49"/>
      <c r="AC1186" s="49"/>
      <c r="AD1186" s="49"/>
      <c r="AE1186" s="49"/>
      <c r="AF1186" s="49"/>
      <c r="AG1186" s="49"/>
      <c r="AH1186" s="49" t="b">
        <f>IFERROR(__xludf.DUMMYFUNCTION("""COMPUTED_VALUE"""),FALSE)</f>
        <v>0</v>
      </c>
    </row>
    <row r="1187">
      <c r="A1187" s="49"/>
      <c r="B1187" s="49"/>
      <c r="C1187" s="49"/>
      <c r="D1187" s="49"/>
      <c r="E1187" s="49">
        <f>IFERROR(__xludf.DUMMYFUNCTION("""COMPUTED_VALUE"""),1.0)</f>
        <v>1</v>
      </c>
      <c r="F1187" s="112">
        <f>IFERROR(__xludf.DUMMYFUNCTION("""COMPUTED_VALUE"""),0.0)</f>
        <v>0</v>
      </c>
      <c r="G1187" s="49"/>
      <c r="H1187" s="49"/>
      <c r="I1187" s="49"/>
      <c r="J1187" s="49"/>
      <c r="K1187" s="49"/>
      <c r="L1187" s="49"/>
      <c r="M1187" s="49"/>
      <c r="N1187" s="49"/>
      <c r="O1187" s="49"/>
      <c r="P1187" s="49"/>
      <c r="Q1187" s="49"/>
      <c r="R1187" s="49"/>
      <c r="S1187" s="49"/>
      <c r="T1187" s="49"/>
      <c r="U1187" s="49"/>
      <c r="V1187" s="49"/>
      <c r="W1187" s="49"/>
      <c r="X1187" s="49"/>
      <c r="Y1187" s="49"/>
      <c r="Z1187" s="49"/>
      <c r="AA1187" s="49"/>
      <c r="AB1187" s="49"/>
      <c r="AC1187" s="49"/>
      <c r="AD1187" s="49"/>
      <c r="AE1187" s="49"/>
      <c r="AF1187" s="49"/>
      <c r="AG1187" s="49"/>
      <c r="AH1187" s="49" t="b">
        <f>IFERROR(__xludf.DUMMYFUNCTION("""COMPUTED_VALUE"""),FALSE)</f>
        <v>0</v>
      </c>
    </row>
    <row r="1188">
      <c r="A1188" s="49"/>
      <c r="B1188" s="49"/>
      <c r="C1188" s="49"/>
      <c r="D1188" s="49"/>
      <c r="E1188" s="49">
        <f>IFERROR(__xludf.DUMMYFUNCTION("""COMPUTED_VALUE"""),1.0)</f>
        <v>1</v>
      </c>
      <c r="F1188" s="112">
        <f>IFERROR(__xludf.DUMMYFUNCTION("""COMPUTED_VALUE"""),0.0)</f>
        <v>0</v>
      </c>
      <c r="G1188" s="49"/>
      <c r="H1188" s="49"/>
      <c r="I1188" s="49"/>
      <c r="J1188" s="49"/>
      <c r="K1188" s="49"/>
      <c r="L1188" s="49"/>
      <c r="M1188" s="49"/>
      <c r="N1188" s="49"/>
      <c r="O1188" s="49"/>
      <c r="P1188" s="49"/>
      <c r="Q1188" s="49"/>
      <c r="R1188" s="49"/>
      <c r="S1188" s="49"/>
      <c r="T1188" s="49"/>
      <c r="U1188" s="49"/>
      <c r="V1188" s="49"/>
      <c r="W1188" s="49"/>
      <c r="X1188" s="49"/>
      <c r="Y1188" s="49"/>
      <c r="Z1188" s="49"/>
      <c r="AA1188" s="49"/>
      <c r="AB1188" s="49"/>
      <c r="AC1188" s="49"/>
      <c r="AD1188" s="49"/>
      <c r="AE1188" s="49"/>
      <c r="AF1188" s="49"/>
      <c r="AG1188" s="49"/>
      <c r="AH1188" s="49" t="b">
        <f>IFERROR(__xludf.DUMMYFUNCTION("""COMPUTED_VALUE"""),FALSE)</f>
        <v>0</v>
      </c>
    </row>
    <row r="1189">
      <c r="A1189" s="49"/>
      <c r="B1189" s="49"/>
      <c r="C1189" s="49"/>
      <c r="D1189" s="49"/>
      <c r="E1189" s="49">
        <f>IFERROR(__xludf.DUMMYFUNCTION("""COMPUTED_VALUE"""),1.0)</f>
        <v>1</v>
      </c>
      <c r="F1189" s="112">
        <f>IFERROR(__xludf.DUMMYFUNCTION("""COMPUTED_VALUE"""),0.0)</f>
        <v>0</v>
      </c>
      <c r="G1189" s="49"/>
      <c r="H1189" s="49"/>
      <c r="I1189" s="49"/>
      <c r="J1189" s="49"/>
      <c r="K1189" s="49"/>
      <c r="L1189" s="49"/>
      <c r="M1189" s="49"/>
      <c r="N1189" s="49"/>
      <c r="O1189" s="49"/>
      <c r="P1189" s="49"/>
      <c r="Q1189" s="49"/>
      <c r="R1189" s="49"/>
      <c r="S1189" s="49"/>
      <c r="T1189" s="49"/>
      <c r="U1189" s="49"/>
      <c r="V1189" s="49"/>
      <c r="W1189" s="49"/>
      <c r="X1189" s="49"/>
      <c r="Y1189" s="49"/>
      <c r="Z1189" s="49"/>
      <c r="AA1189" s="49"/>
      <c r="AB1189" s="49"/>
      <c r="AC1189" s="49"/>
      <c r="AD1189" s="49"/>
      <c r="AE1189" s="49"/>
      <c r="AF1189" s="49"/>
      <c r="AG1189" s="49"/>
      <c r="AH1189" s="49" t="b">
        <f>IFERROR(__xludf.DUMMYFUNCTION("""COMPUTED_VALUE"""),FALSE)</f>
        <v>0</v>
      </c>
    </row>
    <row r="1190">
      <c r="A1190" s="49"/>
      <c r="B1190" s="49"/>
      <c r="C1190" s="49"/>
      <c r="D1190" s="49"/>
      <c r="E1190" s="49">
        <f>IFERROR(__xludf.DUMMYFUNCTION("""COMPUTED_VALUE"""),1.0)</f>
        <v>1</v>
      </c>
      <c r="F1190" s="112">
        <f>IFERROR(__xludf.DUMMYFUNCTION("""COMPUTED_VALUE"""),0.0)</f>
        <v>0</v>
      </c>
      <c r="G1190" s="49"/>
      <c r="H1190" s="49"/>
      <c r="I1190" s="49"/>
      <c r="J1190" s="49"/>
      <c r="K1190" s="49"/>
      <c r="L1190" s="49"/>
      <c r="M1190" s="49"/>
      <c r="N1190" s="49"/>
      <c r="O1190" s="49"/>
      <c r="P1190" s="49"/>
      <c r="Q1190" s="49"/>
      <c r="R1190" s="49"/>
      <c r="S1190" s="49"/>
      <c r="T1190" s="49"/>
      <c r="U1190" s="49"/>
      <c r="V1190" s="49"/>
      <c r="W1190" s="49"/>
      <c r="X1190" s="49"/>
      <c r="Y1190" s="49"/>
      <c r="Z1190" s="49"/>
      <c r="AA1190" s="49"/>
      <c r="AB1190" s="49"/>
      <c r="AC1190" s="49"/>
      <c r="AD1190" s="49"/>
      <c r="AE1190" s="49"/>
      <c r="AF1190" s="49"/>
      <c r="AG1190" s="49"/>
      <c r="AH1190" s="49" t="b">
        <f>IFERROR(__xludf.DUMMYFUNCTION("""COMPUTED_VALUE"""),FALSE)</f>
        <v>0</v>
      </c>
    </row>
    <row r="1191">
      <c r="A1191" s="49"/>
      <c r="B1191" s="49"/>
      <c r="C1191" s="49"/>
      <c r="D1191" s="49"/>
      <c r="E1191" s="49">
        <f>IFERROR(__xludf.DUMMYFUNCTION("""COMPUTED_VALUE"""),1.0)</f>
        <v>1</v>
      </c>
      <c r="F1191" s="112">
        <f>IFERROR(__xludf.DUMMYFUNCTION("""COMPUTED_VALUE"""),0.0)</f>
        <v>0</v>
      </c>
      <c r="G1191" s="49"/>
      <c r="H1191" s="49"/>
      <c r="I1191" s="49"/>
      <c r="J1191" s="49"/>
      <c r="K1191" s="49"/>
      <c r="L1191" s="49"/>
      <c r="M1191" s="49"/>
      <c r="N1191" s="49"/>
      <c r="O1191" s="49"/>
      <c r="P1191" s="49"/>
      <c r="Q1191" s="49"/>
      <c r="R1191" s="49"/>
      <c r="S1191" s="49"/>
      <c r="T1191" s="49"/>
      <c r="U1191" s="49"/>
      <c r="V1191" s="49"/>
      <c r="W1191" s="49"/>
      <c r="X1191" s="49"/>
      <c r="Y1191" s="49"/>
      <c r="Z1191" s="49"/>
      <c r="AA1191" s="49"/>
      <c r="AB1191" s="49"/>
      <c r="AC1191" s="49"/>
      <c r="AD1191" s="49"/>
      <c r="AE1191" s="49"/>
      <c r="AF1191" s="49"/>
      <c r="AG1191" s="49"/>
      <c r="AH1191" s="49" t="b">
        <f>IFERROR(__xludf.DUMMYFUNCTION("""COMPUTED_VALUE"""),FALSE)</f>
        <v>0</v>
      </c>
    </row>
    <row r="1192">
      <c r="A1192" s="49"/>
      <c r="B1192" s="49"/>
      <c r="C1192" s="49"/>
      <c r="D1192" s="49"/>
      <c r="E1192" s="49">
        <f>IFERROR(__xludf.DUMMYFUNCTION("""COMPUTED_VALUE"""),1.0)</f>
        <v>1</v>
      </c>
      <c r="F1192" s="112">
        <f>IFERROR(__xludf.DUMMYFUNCTION("""COMPUTED_VALUE"""),0.0)</f>
        <v>0</v>
      </c>
      <c r="G1192" s="49"/>
      <c r="H1192" s="49"/>
      <c r="I1192" s="49"/>
      <c r="J1192" s="49"/>
      <c r="K1192" s="49"/>
      <c r="L1192" s="49"/>
      <c r="M1192" s="49"/>
      <c r="N1192" s="49"/>
      <c r="O1192" s="49"/>
      <c r="P1192" s="49"/>
      <c r="Q1192" s="49"/>
      <c r="R1192" s="49"/>
      <c r="S1192" s="49"/>
      <c r="T1192" s="49"/>
      <c r="U1192" s="49"/>
      <c r="V1192" s="49"/>
      <c r="W1192" s="49"/>
      <c r="X1192" s="49"/>
      <c r="Y1192" s="49"/>
      <c r="Z1192" s="49"/>
      <c r="AA1192" s="49"/>
      <c r="AB1192" s="49"/>
      <c r="AC1192" s="49"/>
      <c r="AD1192" s="49"/>
      <c r="AE1192" s="49"/>
      <c r="AF1192" s="49"/>
      <c r="AG1192" s="49"/>
      <c r="AH1192" s="49" t="b">
        <f>IFERROR(__xludf.DUMMYFUNCTION("""COMPUTED_VALUE"""),FALSE)</f>
        <v>0</v>
      </c>
    </row>
    <row r="1193">
      <c r="A1193" s="49"/>
      <c r="B1193" s="49"/>
      <c r="C1193" s="49"/>
      <c r="D1193" s="49"/>
      <c r="E1193" s="49">
        <f>IFERROR(__xludf.DUMMYFUNCTION("""COMPUTED_VALUE"""),1.0)</f>
        <v>1</v>
      </c>
      <c r="F1193" s="112">
        <f>IFERROR(__xludf.DUMMYFUNCTION("""COMPUTED_VALUE"""),0.0)</f>
        <v>0</v>
      </c>
      <c r="G1193" s="49"/>
      <c r="H1193" s="49"/>
      <c r="I1193" s="49"/>
      <c r="J1193" s="49"/>
      <c r="K1193" s="49"/>
      <c r="L1193" s="49"/>
      <c r="M1193" s="49"/>
      <c r="N1193" s="49"/>
      <c r="O1193" s="49"/>
      <c r="P1193" s="49"/>
      <c r="Q1193" s="49"/>
      <c r="R1193" s="49"/>
      <c r="S1193" s="49"/>
      <c r="T1193" s="49"/>
      <c r="U1193" s="49"/>
      <c r="V1193" s="49"/>
      <c r="W1193" s="49"/>
      <c r="X1193" s="49"/>
      <c r="Y1193" s="49"/>
      <c r="Z1193" s="49"/>
      <c r="AA1193" s="49"/>
      <c r="AB1193" s="49"/>
      <c r="AC1193" s="49"/>
      <c r="AD1193" s="49"/>
      <c r="AE1193" s="49"/>
      <c r="AF1193" s="49"/>
      <c r="AG1193" s="49"/>
      <c r="AH1193" s="49" t="b">
        <f>IFERROR(__xludf.DUMMYFUNCTION("""COMPUTED_VALUE"""),FALSE)</f>
        <v>0</v>
      </c>
    </row>
    <row r="1194">
      <c r="A1194" s="49"/>
      <c r="B1194" s="49"/>
      <c r="C1194" s="49"/>
      <c r="D1194" s="49"/>
      <c r="E1194" s="49">
        <f>IFERROR(__xludf.DUMMYFUNCTION("""COMPUTED_VALUE"""),1.0)</f>
        <v>1</v>
      </c>
      <c r="F1194" s="112">
        <f>IFERROR(__xludf.DUMMYFUNCTION("""COMPUTED_VALUE"""),0.0)</f>
        <v>0</v>
      </c>
      <c r="G1194" s="49"/>
      <c r="H1194" s="49"/>
      <c r="I1194" s="49"/>
      <c r="J1194" s="49"/>
      <c r="K1194" s="49"/>
      <c r="L1194" s="49"/>
      <c r="M1194" s="49"/>
      <c r="N1194" s="49"/>
      <c r="O1194" s="49"/>
      <c r="P1194" s="49"/>
      <c r="Q1194" s="49"/>
      <c r="R1194" s="49"/>
      <c r="S1194" s="49"/>
      <c r="T1194" s="49"/>
      <c r="U1194" s="49"/>
      <c r="V1194" s="49"/>
      <c r="W1194" s="49"/>
      <c r="X1194" s="49"/>
      <c r="Y1194" s="49"/>
      <c r="Z1194" s="49"/>
      <c r="AA1194" s="49"/>
      <c r="AB1194" s="49"/>
      <c r="AC1194" s="49"/>
      <c r="AD1194" s="49"/>
      <c r="AE1194" s="49"/>
      <c r="AF1194" s="49"/>
      <c r="AG1194" s="49"/>
      <c r="AH1194" s="49" t="b">
        <f>IFERROR(__xludf.DUMMYFUNCTION("""COMPUTED_VALUE"""),FALSE)</f>
        <v>0</v>
      </c>
    </row>
    <row r="1195">
      <c r="A1195" s="49"/>
      <c r="B1195" s="49"/>
      <c r="C1195" s="49"/>
      <c r="D1195" s="49"/>
      <c r="E1195" s="49">
        <f>IFERROR(__xludf.DUMMYFUNCTION("""COMPUTED_VALUE"""),1.0)</f>
        <v>1</v>
      </c>
      <c r="F1195" s="112">
        <f>IFERROR(__xludf.DUMMYFUNCTION("""COMPUTED_VALUE"""),0.0)</f>
        <v>0</v>
      </c>
      <c r="G1195" s="49"/>
      <c r="H1195" s="49"/>
      <c r="I1195" s="49"/>
      <c r="J1195" s="49"/>
      <c r="K1195" s="49"/>
      <c r="L1195" s="49"/>
      <c r="M1195" s="49"/>
      <c r="N1195" s="49"/>
      <c r="O1195" s="49"/>
      <c r="P1195" s="49"/>
      <c r="Q1195" s="49"/>
      <c r="R1195" s="49"/>
      <c r="S1195" s="49"/>
      <c r="T1195" s="49"/>
      <c r="U1195" s="49"/>
      <c r="V1195" s="49"/>
      <c r="W1195" s="49"/>
      <c r="X1195" s="49"/>
      <c r="Y1195" s="49"/>
      <c r="Z1195" s="49"/>
      <c r="AA1195" s="49"/>
      <c r="AB1195" s="49"/>
      <c r="AC1195" s="49"/>
      <c r="AD1195" s="49"/>
      <c r="AE1195" s="49"/>
      <c r="AF1195" s="49"/>
      <c r="AG1195" s="49"/>
      <c r="AH1195" s="49" t="b">
        <f>IFERROR(__xludf.DUMMYFUNCTION("""COMPUTED_VALUE"""),FALSE)</f>
        <v>0</v>
      </c>
    </row>
    <row r="1196">
      <c r="A1196" s="49"/>
      <c r="B1196" s="49"/>
      <c r="C1196" s="49"/>
      <c r="D1196" s="49"/>
      <c r="E1196" s="49">
        <f>IFERROR(__xludf.DUMMYFUNCTION("""COMPUTED_VALUE"""),1.0)</f>
        <v>1</v>
      </c>
      <c r="F1196" s="112">
        <f>IFERROR(__xludf.DUMMYFUNCTION("""COMPUTED_VALUE"""),0.0)</f>
        <v>0</v>
      </c>
      <c r="G1196" s="49"/>
      <c r="H1196" s="49"/>
      <c r="I1196" s="49"/>
      <c r="J1196" s="49"/>
      <c r="K1196" s="49"/>
      <c r="L1196" s="49"/>
      <c r="M1196" s="49"/>
      <c r="N1196" s="49"/>
      <c r="O1196" s="49"/>
      <c r="P1196" s="49"/>
      <c r="Q1196" s="49"/>
      <c r="R1196" s="49"/>
      <c r="S1196" s="49"/>
      <c r="T1196" s="49"/>
      <c r="U1196" s="49"/>
      <c r="V1196" s="49"/>
      <c r="W1196" s="49"/>
      <c r="X1196" s="49"/>
      <c r="Y1196" s="49"/>
      <c r="Z1196" s="49"/>
      <c r="AA1196" s="49"/>
      <c r="AB1196" s="49"/>
      <c r="AC1196" s="49"/>
      <c r="AD1196" s="49"/>
      <c r="AE1196" s="49"/>
      <c r="AF1196" s="49"/>
      <c r="AG1196" s="49"/>
      <c r="AH1196" s="49" t="b">
        <f>IFERROR(__xludf.DUMMYFUNCTION("""COMPUTED_VALUE"""),FALSE)</f>
        <v>0</v>
      </c>
    </row>
    <row r="1197">
      <c r="A1197" s="49"/>
      <c r="B1197" s="49"/>
      <c r="C1197" s="49"/>
      <c r="D1197" s="49"/>
      <c r="E1197" s="49">
        <f>IFERROR(__xludf.DUMMYFUNCTION("""COMPUTED_VALUE"""),1.0)</f>
        <v>1</v>
      </c>
      <c r="F1197" s="112">
        <f>IFERROR(__xludf.DUMMYFUNCTION("""COMPUTED_VALUE"""),0.0)</f>
        <v>0</v>
      </c>
      <c r="G1197" s="49"/>
      <c r="H1197" s="49"/>
      <c r="I1197" s="49"/>
      <c r="J1197" s="49"/>
      <c r="K1197" s="49"/>
      <c r="L1197" s="49"/>
      <c r="M1197" s="49"/>
      <c r="N1197" s="49"/>
      <c r="O1197" s="49"/>
      <c r="P1197" s="49"/>
      <c r="Q1197" s="49"/>
      <c r="R1197" s="49"/>
      <c r="S1197" s="49"/>
      <c r="T1197" s="49"/>
      <c r="U1197" s="49"/>
      <c r="V1197" s="49"/>
      <c r="W1197" s="49"/>
      <c r="X1197" s="49"/>
      <c r="Y1197" s="49"/>
      <c r="Z1197" s="49"/>
      <c r="AA1197" s="49"/>
      <c r="AB1197" s="49"/>
      <c r="AC1197" s="49"/>
      <c r="AD1197" s="49"/>
      <c r="AE1197" s="49"/>
      <c r="AF1197" s="49"/>
      <c r="AG1197" s="49"/>
      <c r="AH1197" s="49" t="b">
        <f>IFERROR(__xludf.DUMMYFUNCTION("""COMPUTED_VALUE"""),FALSE)</f>
        <v>0</v>
      </c>
    </row>
    <row r="1198">
      <c r="A1198" s="49"/>
      <c r="B1198" s="49"/>
      <c r="C1198" s="49"/>
      <c r="D1198" s="49"/>
      <c r="E1198" s="49">
        <f>IFERROR(__xludf.DUMMYFUNCTION("""COMPUTED_VALUE"""),1.0)</f>
        <v>1</v>
      </c>
      <c r="F1198" s="112">
        <f>IFERROR(__xludf.DUMMYFUNCTION("""COMPUTED_VALUE"""),0.0)</f>
        <v>0</v>
      </c>
      <c r="G1198" s="49"/>
      <c r="H1198" s="49"/>
      <c r="I1198" s="49"/>
      <c r="J1198" s="49"/>
      <c r="K1198" s="49"/>
      <c r="L1198" s="49"/>
      <c r="M1198" s="49"/>
      <c r="N1198" s="49"/>
      <c r="O1198" s="49"/>
      <c r="P1198" s="49"/>
      <c r="Q1198" s="49"/>
      <c r="R1198" s="49"/>
      <c r="S1198" s="49"/>
      <c r="T1198" s="49"/>
      <c r="U1198" s="49"/>
      <c r="V1198" s="49"/>
      <c r="W1198" s="49"/>
      <c r="X1198" s="49"/>
      <c r="Y1198" s="49"/>
      <c r="Z1198" s="49"/>
      <c r="AA1198" s="49"/>
      <c r="AB1198" s="49"/>
      <c r="AC1198" s="49"/>
      <c r="AD1198" s="49"/>
      <c r="AE1198" s="49"/>
      <c r="AF1198" s="49"/>
      <c r="AG1198" s="49"/>
      <c r="AH1198" s="49" t="b">
        <f>IFERROR(__xludf.DUMMYFUNCTION("""COMPUTED_VALUE"""),FALSE)</f>
        <v>0</v>
      </c>
    </row>
    <row r="1199">
      <c r="A1199" s="49"/>
      <c r="B1199" s="49"/>
      <c r="C1199" s="49"/>
      <c r="D1199" s="49"/>
      <c r="E1199" s="49">
        <f>IFERROR(__xludf.DUMMYFUNCTION("""COMPUTED_VALUE"""),1.0)</f>
        <v>1</v>
      </c>
      <c r="F1199" s="112">
        <f>IFERROR(__xludf.DUMMYFUNCTION("""COMPUTED_VALUE"""),0.0)</f>
        <v>0</v>
      </c>
      <c r="G1199" s="49"/>
      <c r="H1199" s="49"/>
      <c r="I1199" s="49"/>
      <c r="J1199" s="49"/>
      <c r="K1199" s="49"/>
      <c r="L1199" s="49"/>
      <c r="M1199" s="49"/>
      <c r="N1199" s="49"/>
      <c r="O1199" s="49"/>
      <c r="P1199" s="49"/>
      <c r="Q1199" s="49"/>
      <c r="R1199" s="49"/>
      <c r="S1199" s="49"/>
      <c r="T1199" s="49"/>
      <c r="U1199" s="49"/>
      <c r="V1199" s="49"/>
      <c r="W1199" s="49"/>
      <c r="X1199" s="49"/>
      <c r="Y1199" s="49"/>
      <c r="Z1199" s="49"/>
      <c r="AA1199" s="49"/>
      <c r="AB1199" s="49"/>
      <c r="AC1199" s="49"/>
      <c r="AD1199" s="49"/>
      <c r="AE1199" s="49"/>
      <c r="AF1199" s="49"/>
      <c r="AG1199" s="49"/>
      <c r="AH1199" s="49" t="b">
        <f>IFERROR(__xludf.DUMMYFUNCTION("""COMPUTED_VALUE"""),FALSE)</f>
        <v>0</v>
      </c>
    </row>
    <row r="1200">
      <c r="A1200" s="49"/>
      <c r="B1200" s="49"/>
      <c r="C1200" s="49"/>
      <c r="D1200" s="49"/>
      <c r="E1200" s="49">
        <f>IFERROR(__xludf.DUMMYFUNCTION("""COMPUTED_VALUE"""),1.0)</f>
        <v>1</v>
      </c>
      <c r="F1200" s="112">
        <f>IFERROR(__xludf.DUMMYFUNCTION("""COMPUTED_VALUE"""),0.0)</f>
        <v>0</v>
      </c>
      <c r="G1200" s="49"/>
      <c r="H1200" s="49"/>
      <c r="I1200" s="49"/>
      <c r="J1200" s="49"/>
      <c r="K1200" s="49"/>
      <c r="L1200" s="49"/>
      <c r="M1200" s="49"/>
      <c r="N1200" s="49"/>
      <c r="O1200" s="49"/>
      <c r="P1200" s="49"/>
      <c r="Q1200" s="49"/>
      <c r="R1200" s="49"/>
      <c r="S1200" s="49"/>
      <c r="T1200" s="49"/>
      <c r="U1200" s="49"/>
      <c r="V1200" s="49"/>
      <c r="W1200" s="49"/>
      <c r="X1200" s="49"/>
      <c r="Y1200" s="49"/>
      <c r="Z1200" s="49"/>
      <c r="AA1200" s="49"/>
      <c r="AB1200" s="49"/>
      <c r="AC1200" s="49"/>
      <c r="AD1200" s="49"/>
      <c r="AE1200" s="49"/>
      <c r="AF1200" s="49"/>
      <c r="AG1200" s="49"/>
      <c r="AH1200" s="49" t="b">
        <f>IFERROR(__xludf.DUMMYFUNCTION("""COMPUTED_VALUE"""),FALSE)</f>
        <v>0</v>
      </c>
    </row>
    <row r="1201">
      <c r="A1201" s="49"/>
      <c r="B1201" s="49"/>
      <c r="C1201" s="49"/>
      <c r="D1201" s="49"/>
      <c r="E1201" s="49">
        <f>IFERROR(__xludf.DUMMYFUNCTION("""COMPUTED_VALUE"""),1.0)</f>
        <v>1</v>
      </c>
      <c r="F1201" s="112">
        <f>IFERROR(__xludf.DUMMYFUNCTION("""COMPUTED_VALUE"""),0.0)</f>
        <v>0</v>
      </c>
      <c r="G1201" s="49"/>
      <c r="H1201" s="49"/>
      <c r="I1201" s="49"/>
      <c r="J1201" s="49"/>
      <c r="K1201" s="49"/>
      <c r="L1201" s="49"/>
      <c r="M1201" s="49"/>
      <c r="N1201" s="49"/>
      <c r="O1201" s="49"/>
      <c r="P1201" s="49"/>
      <c r="Q1201" s="49"/>
      <c r="R1201" s="49"/>
      <c r="S1201" s="49"/>
      <c r="T1201" s="49"/>
      <c r="U1201" s="49"/>
      <c r="V1201" s="49"/>
      <c r="W1201" s="49"/>
      <c r="X1201" s="49"/>
      <c r="Y1201" s="49"/>
      <c r="Z1201" s="49"/>
      <c r="AA1201" s="49"/>
      <c r="AB1201" s="49"/>
      <c r="AC1201" s="49"/>
      <c r="AD1201" s="49"/>
      <c r="AE1201" s="49"/>
      <c r="AF1201" s="49"/>
      <c r="AG1201" s="49"/>
      <c r="AH1201" s="49" t="b">
        <f>IFERROR(__xludf.DUMMYFUNCTION("""COMPUTED_VALUE"""),FALSE)</f>
        <v>0</v>
      </c>
    </row>
    <row r="1202">
      <c r="A1202" s="49"/>
      <c r="B1202" s="49"/>
      <c r="C1202" s="49"/>
      <c r="D1202" s="49"/>
      <c r="E1202" s="49">
        <f>IFERROR(__xludf.DUMMYFUNCTION("""COMPUTED_VALUE"""),1.0)</f>
        <v>1</v>
      </c>
      <c r="F1202" s="112">
        <f>IFERROR(__xludf.DUMMYFUNCTION("""COMPUTED_VALUE"""),0.0)</f>
        <v>0</v>
      </c>
      <c r="G1202" s="49"/>
      <c r="H1202" s="49"/>
      <c r="I1202" s="49"/>
      <c r="J1202" s="49"/>
      <c r="K1202" s="49"/>
      <c r="L1202" s="49"/>
      <c r="M1202" s="49"/>
      <c r="N1202" s="49"/>
      <c r="O1202" s="49"/>
      <c r="P1202" s="49"/>
      <c r="Q1202" s="49"/>
      <c r="R1202" s="49"/>
      <c r="S1202" s="49"/>
      <c r="T1202" s="49"/>
      <c r="U1202" s="49"/>
      <c r="V1202" s="49"/>
      <c r="W1202" s="49"/>
      <c r="X1202" s="49"/>
      <c r="Y1202" s="49"/>
      <c r="Z1202" s="49"/>
      <c r="AA1202" s="49"/>
      <c r="AB1202" s="49"/>
      <c r="AC1202" s="49"/>
      <c r="AD1202" s="49"/>
      <c r="AE1202" s="49"/>
      <c r="AF1202" s="49"/>
      <c r="AG1202" s="49"/>
      <c r="AH1202" s="49" t="b">
        <f>IFERROR(__xludf.DUMMYFUNCTION("""COMPUTED_VALUE"""),FALSE)</f>
        <v>0</v>
      </c>
    </row>
    <row r="1203">
      <c r="A1203" s="49"/>
      <c r="B1203" s="49"/>
      <c r="C1203" s="49"/>
      <c r="D1203" s="49"/>
      <c r="E1203" s="49">
        <f>IFERROR(__xludf.DUMMYFUNCTION("""COMPUTED_VALUE"""),1.0)</f>
        <v>1</v>
      </c>
      <c r="F1203" s="112">
        <f>IFERROR(__xludf.DUMMYFUNCTION("""COMPUTED_VALUE"""),0.0)</f>
        <v>0</v>
      </c>
      <c r="G1203" s="49"/>
      <c r="H1203" s="49"/>
      <c r="I1203" s="49"/>
      <c r="J1203" s="49"/>
      <c r="K1203" s="49"/>
      <c r="L1203" s="49"/>
      <c r="M1203" s="49"/>
      <c r="N1203" s="49"/>
      <c r="O1203" s="49"/>
      <c r="P1203" s="49"/>
      <c r="Q1203" s="49"/>
      <c r="R1203" s="49"/>
      <c r="S1203" s="49"/>
      <c r="T1203" s="49"/>
      <c r="U1203" s="49"/>
      <c r="V1203" s="49"/>
      <c r="W1203" s="49"/>
      <c r="X1203" s="49"/>
      <c r="Y1203" s="49"/>
      <c r="Z1203" s="49"/>
      <c r="AA1203" s="49"/>
      <c r="AB1203" s="49"/>
      <c r="AC1203" s="49"/>
      <c r="AD1203" s="49"/>
      <c r="AE1203" s="49"/>
      <c r="AF1203" s="49"/>
      <c r="AG1203" s="49"/>
      <c r="AH1203" s="49" t="b">
        <f>IFERROR(__xludf.DUMMYFUNCTION("""COMPUTED_VALUE"""),FALSE)</f>
        <v>0</v>
      </c>
    </row>
    <row r="1204">
      <c r="A1204" s="49"/>
      <c r="B1204" s="49"/>
      <c r="C1204" s="49"/>
      <c r="D1204" s="49"/>
      <c r="E1204" s="49">
        <f>IFERROR(__xludf.DUMMYFUNCTION("""COMPUTED_VALUE"""),1.0)</f>
        <v>1</v>
      </c>
      <c r="F1204" s="112">
        <f>IFERROR(__xludf.DUMMYFUNCTION("""COMPUTED_VALUE"""),0.0)</f>
        <v>0</v>
      </c>
      <c r="G1204" s="49"/>
      <c r="H1204" s="49"/>
      <c r="I1204" s="49"/>
      <c r="J1204" s="49"/>
      <c r="K1204" s="49"/>
      <c r="L1204" s="49"/>
      <c r="M1204" s="49"/>
      <c r="N1204" s="49"/>
      <c r="O1204" s="49"/>
      <c r="P1204" s="49"/>
      <c r="Q1204" s="49"/>
      <c r="R1204" s="49"/>
      <c r="S1204" s="49"/>
      <c r="T1204" s="49"/>
      <c r="U1204" s="49"/>
      <c r="V1204" s="49"/>
      <c r="W1204" s="49"/>
      <c r="X1204" s="49"/>
      <c r="Y1204" s="49"/>
      <c r="Z1204" s="49"/>
      <c r="AA1204" s="49"/>
      <c r="AB1204" s="49"/>
      <c r="AC1204" s="49"/>
      <c r="AD1204" s="49"/>
      <c r="AE1204" s="49"/>
      <c r="AF1204" s="49"/>
      <c r="AG1204" s="49"/>
      <c r="AH1204" s="49" t="b">
        <f>IFERROR(__xludf.DUMMYFUNCTION("""COMPUTED_VALUE"""),FALSE)</f>
        <v>0</v>
      </c>
    </row>
    <row r="1205">
      <c r="A1205" s="49"/>
      <c r="B1205" s="49"/>
      <c r="C1205" s="49"/>
      <c r="D1205" s="49"/>
      <c r="E1205" s="49">
        <f>IFERROR(__xludf.DUMMYFUNCTION("""COMPUTED_VALUE"""),1.0)</f>
        <v>1</v>
      </c>
      <c r="F1205" s="112">
        <f>IFERROR(__xludf.DUMMYFUNCTION("""COMPUTED_VALUE"""),0.0)</f>
        <v>0</v>
      </c>
      <c r="G1205" s="49"/>
      <c r="H1205" s="49"/>
      <c r="I1205" s="49"/>
      <c r="J1205" s="49"/>
      <c r="K1205" s="49"/>
      <c r="L1205" s="49"/>
      <c r="M1205" s="49"/>
      <c r="N1205" s="49"/>
      <c r="O1205" s="49"/>
      <c r="P1205" s="49"/>
      <c r="Q1205" s="49"/>
      <c r="R1205" s="49"/>
      <c r="S1205" s="49"/>
      <c r="T1205" s="49"/>
      <c r="U1205" s="49"/>
      <c r="V1205" s="49"/>
      <c r="W1205" s="49"/>
      <c r="X1205" s="49"/>
      <c r="Y1205" s="49"/>
      <c r="Z1205" s="49"/>
      <c r="AA1205" s="49"/>
      <c r="AB1205" s="49"/>
      <c r="AC1205" s="49"/>
      <c r="AD1205" s="49"/>
      <c r="AE1205" s="49"/>
      <c r="AF1205" s="49"/>
      <c r="AG1205" s="49"/>
      <c r="AH1205" s="49" t="b">
        <f>IFERROR(__xludf.DUMMYFUNCTION("""COMPUTED_VALUE"""),FALSE)</f>
        <v>0</v>
      </c>
    </row>
    <row r="1206">
      <c r="A1206" s="49"/>
      <c r="B1206" s="49"/>
      <c r="C1206" s="49"/>
      <c r="D1206" s="49"/>
      <c r="E1206" s="49">
        <f>IFERROR(__xludf.DUMMYFUNCTION("""COMPUTED_VALUE"""),1.0)</f>
        <v>1</v>
      </c>
      <c r="F1206" s="112">
        <f>IFERROR(__xludf.DUMMYFUNCTION("""COMPUTED_VALUE"""),0.0)</f>
        <v>0</v>
      </c>
      <c r="G1206" s="49"/>
      <c r="H1206" s="49"/>
      <c r="I1206" s="49"/>
      <c r="J1206" s="49"/>
      <c r="K1206" s="49"/>
      <c r="L1206" s="49"/>
      <c r="M1206" s="49"/>
      <c r="N1206" s="49"/>
      <c r="O1206" s="49"/>
      <c r="P1206" s="49"/>
      <c r="Q1206" s="49"/>
      <c r="R1206" s="49"/>
      <c r="S1206" s="49"/>
      <c r="T1206" s="49"/>
      <c r="U1206" s="49"/>
      <c r="V1206" s="49"/>
      <c r="W1206" s="49"/>
      <c r="X1206" s="49"/>
      <c r="Y1206" s="49"/>
      <c r="Z1206" s="49"/>
      <c r="AA1206" s="49"/>
      <c r="AB1206" s="49"/>
      <c r="AC1206" s="49"/>
      <c r="AD1206" s="49"/>
      <c r="AE1206" s="49"/>
      <c r="AF1206" s="49"/>
      <c r="AG1206" s="49"/>
      <c r="AH1206" s="49" t="b">
        <f>IFERROR(__xludf.DUMMYFUNCTION("""COMPUTED_VALUE"""),FALSE)</f>
        <v>0</v>
      </c>
    </row>
    <row r="1207">
      <c r="A1207" s="49"/>
      <c r="B1207" s="49"/>
      <c r="C1207" s="49"/>
      <c r="D1207" s="49"/>
      <c r="E1207" s="49">
        <f>IFERROR(__xludf.DUMMYFUNCTION("""COMPUTED_VALUE"""),1.0)</f>
        <v>1</v>
      </c>
      <c r="F1207" s="112">
        <f>IFERROR(__xludf.DUMMYFUNCTION("""COMPUTED_VALUE"""),0.0)</f>
        <v>0</v>
      </c>
      <c r="G1207" s="49"/>
      <c r="H1207" s="49"/>
      <c r="I1207" s="49"/>
      <c r="J1207" s="49"/>
      <c r="K1207" s="49"/>
      <c r="L1207" s="49"/>
      <c r="M1207" s="49"/>
      <c r="N1207" s="49"/>
      <c r="O1207" s="49"/>
      <c r="P1207" s="49"/>
      <c r="Q1207" s="49"/>
      <c r="R1207" s="49"/>
      <c r="S1207" s="49"/>
      <c r="T1207" s="49"/>
      <c r="U1207" s="49"/>
      <c r="V1207" s="49"/>
      <c r="W1207" s="49"/>
      <c r="X1207" s="49"/>
      <c r="Y1207" s="49"/>
      <c r="Z1207" s="49"/>
      <c r="AA1207" s="49"/>
      <c r="AB1207" s="49"/>
      <c r="AC1207" s="49"/>
      <c r="AD1207" s="49"/>
      <c r="AE1207" s="49"/>
      <c r="AF1207" s="49"/>
      <c r="AG1207" s="49"/>
      <c r="AH1207" s="49" t="b">
        <f>IFERROR(__xludf.DUMMYFUNCTION("""COMPUTED_VALUE"""),FALSE)</f>
        <v>0</v>
      </c>
    </row>
    <row r="1208">
      <c r="A1208" s="49"/>
      <c r="B1208" s="49"/>
      <c r="C1208" s="49"/>
      <c r="D1208" s="49"/>
      <c r="E1208" s="49">
        <f>IFERROR(__xludf.DUMMYFUNCTION("""COMPUTED_VALUE"""),1.0)</f>
        <v>1</v>
      </c>
      <c r="F1208" s="112">
        <f>IFERROR(__xludf.DUMMYFUNCTION("""COMPUTED_VALUE"""),0.0)</f>
        <v>0</v>
      </c>
      <c r="G1208" s="49"/>
      <c r="H1208" s="49"/>
      <c r="I1208" s="49"/>
      <c r="J1208" s="49"/>
      <c r="K1208" s="49"/>
      <c r="L1208" s="49"/>
      <c r="M1208" s="49"/>
      <c r="N1208" s="49"/>
      <c r="O1208" s="49"/>
      <c r="P1208" s="49"/>
      <c r="Q1208" s="49"/>
      <c r="R1208" s="49"/>
      <c r="S1208" s="49"/>
      <c r="T1208" s="49"/>
      <c r="U1208" s="49"/>
      <c r="V1208" s="49"/>
      <c r="W1208" s="49"/>
      <c r="X1208" s="49"/>
      <c r="Y1208" s="49"/>
      <c r="Z1208" s="49"/>
      <c r="AA1208" s="49"/>
      <c r="AB1208" s="49"/>
      <c r="AC1208" s="49"/>
      <c r="AD1208" s="49"/>
      <c r="AE1208" s="49"/>
      <c r="AF1208" s="49"/>
      <c r="AG1208" s="49"/>
      <c r="AH1208" s="49" t="b">
        <f>IFERROR(__xludf.DUMMYFUNCTION("""COMPUTED_VALUE"""),FALSE)</f>
        <v>0</v>
      </c>
    </row>
    <row r="1209">
      <c r="A1209" s="49"/>
      <c r="B1209" s="49"/>
      <c r="C1209" s="49"/>
      <c r="D1209" s="49"/>
      <c r="E1209" s="49">
        <f>IFERROR(__xludf.DUMMYFUNCTION("""COMPUTED_VALUE"""),1.0)</f>
        <v>1</v>
      </c>
      <c r="F1209" s="112">
        <f>IFERROR(__xludf.DUMMYFUNCTION("""COMPUTED_VALUE"""),0.0)</f>
        <v>0</v>
      </c>
      <c r="G1209" s="49"/>
      <c r="H1209" s="49"/>
      <c r="I1209" s="49"/>
      <c r="J1209" s="49"/>
      <c r="K1209" s="49"/>
      <c r="L1209" s="49"/>
      <c r="M1209" s="49"/>
      <c r="N1209" s="49"/>
      <c r="O1209" s="49"/>
      <c r="P1209" s="49"/>
      <c r="Q1209" s="49"/>
      <c r="R1209" s="49"/>
      <c r="S1209" s="49"/>
      <c r="T1209" s="49"/>
      <c r="U1209" s="49"/>
      <c r="V1209" s="49"/>
      <c r="W1209" s="49"/>
      <c r="X1209" s="49"/>
      <c r="Y1209" s="49"/>
      <c r="Z1209" s="49"/>
      <c r="AA1209" s="49"/>
      <c r="AB1209" s="49"/>
      <c r="AC1209" s="49"/>
      <c r="AD1209" s="49"/>
      <c r="AE1209" s="49"/>
      <c r="AF1209" s="49"/>
      <c r="AG1209" s="49"/>
      <c r="AH1209" s="49" t="b">
        <f>IFERROR(__xludf.DUMMYFUNCTION("""COMPUTED_VALUE"""),FALSE)</f>
        <v>0</v>
      </c>
    </row>
    <row r="1210">
      <c r="A1210" s="49"/>
      <c r="B1210" s="49"/>
      <c r="C1210" s="49"/>
      <c r="D1210" s="49"/>
      <c r="E1210" s="49">
        <f>IFERROR(__xludf.DUMMYFUNCTION("""COMPUTED_VALUE"""),1.0)</f>
        <v>1</v>
      </c>
      <c r="F1210" s="112">
        <f>IFERROR(__xludf.DUMMYFUNCTION("""COMPUTED_VALUE"""),0.0)</f>
        <v>0</v>
      </c>
      <c r="G1210" s="49"/>
      <c r="H1210" s="49"/>
      <c r="I1210" s="49"/>
      <c r="J1210" s="49"/>
      <c r="K1210" s="49"/>
      <c r="L1210" s="49"/>
      <c r="M1210" s="49"/>
      <c r="N1210" s="49"/>
      <c r="O1210" s="49"/>
      <c r="P1210" s="49"/>
      <c r="Q1210" s="49"/>
      <c r="R1210" s="49"/>
      <c r="S1210" s="49"/>
      <c r="T1210" s="49"/>
      <c r="U1210" s="49"/>
      <c r="V1210" s="49"/>
      <c r="W1210" s="49"/>
      <c r="X1210" s="49"/>
      <c r="Y1210" s="49"/>
      <c r="Z1210" s="49"/>
      <c r="AA1210" s="49"/>
      <c r="AB1210" s="49"/>
      <c r="AC1210" s="49"/>
      <c r="AD1210" s="49"/>
      <c r="AE1210" s="49"/>
      <c r="AF1210" s="49"/>
      <c r="AG1210" s="49"/>
      <c r="AH1210" s="49" t="b">
        <f>IFERROR(__xludf.DUMMYFUNCTION("""COMPUTED_VALUE"""),FALSE)</f>
        <v>0</v>
      </c>
    </row>
    <row r="1211">
      <c r="A1211" s="49"/>
      <c r="B1211" s="49"/>
      <c r="C1211" s="49"/>
      <c r="D1211" s="49"/>
      <c r="E1211" s="49">
        <f>IFERROR(__xludf.DUMMYFUNCTION("""COMPUTED_VALUE"""),1.0)</f>
        <v>1</v>
      </c>
      <c r="F1211" s="112">
        <f>IFERROR(__xludf.DUMMYFUNCTION("""COMPUTED_VALUE"""),0.0)</f>
        <v>0</v>
      </c>
      <c r="G1211" s="49"/>
      <c r="H1211" s="49"/>
      <c r="I1211" s="49"/>
      <c r="J1211" s="49"/>
      <c r="K1211" s="49"/>
      <c r="L1211" s="49"/>
      <c r="M1211" s="49"/>
      <c r="N1211" s="49"/>
      <c r="O1211" s="49"/>
      <c r="P1211" s="49"/>
      <c r="Q1211" s="49"/>
      <c r="R1211" s="49"/>
      <c r="S1211" s="49"/>
      <c r="T1211" s="49"/>
      <c r="U1211" s="49"/>
      <c r="V1211" s="49"/>
      <c r="W1211" s="49"/>
      <c r="X1211" s="49"/>
      <c r="Y1211" s="49"/>
      <c r="Z1211" s="49"/>
      <c r="AA1211" s="49"/>
      <c r="AB1211" s="49"/>
      <c r="AC1211" s="49"/>
      <c r="AD1211" s="49"/>
      <c r="AE1211" s="49"/>
      <c r="AF1211" s="49"/>
      <c r="AG1211" s="49"/>
      <c r="AH1211" s="49" t="b">
        <f>IFERROR(__xludf.DUMMYFUNCTION("""COMPUTED_VALUE"""),FALSE)</f>
        <v>0</v>
      </c>
    </row>
    <row r="1212">
      <c r="A1212" s="49"/>
      <c r="B1212" s="49"/>
      <c r="C1212" s="49"/>
      <c r="D1212" s="49"/>
      <c r="E1212" s="49">
        <f>IFERROR(__xludf.DUMMYFUNCTION("""COMPUTED_VALUE"""),1.0)</f>
        <v>1</v>
      </c>
      <c r="F1212" s="112">
        <f>IFERROR(__xludf.DUMMYFUNCTION("""COMPUTED_VALUE"""),0.0)</f>
        <v>0</v>
      </c>
      <c r="G1212" s="49"/>
      <c r="H1212" s="49"/>
      <c r="I1212" s="49"/>
      <c r="J1212" s="49"/>
      <c r="K1212" s="49"/>
      <c r="L1212" s="49"/>
      <c r="M1212" s="49"/>
      <c r="N1212" s="49"/>
      <c r="O1212" s="49"/>
      <c r="P1212" s="49"/>
      <c r="Q1212" s="49"/>
      <c r="R1212" s="49"/>
      <c r="S1212" s="49"/>
      <c r="T1212" s="49"/>
      <c r="U1212" s="49"/>
      <c r="V1212" s="49"/>
      <c r="W1212" s="49"/>
      <c r="X1212" s="49"/>
      <c r="Y1212" s="49"/>
      <c r="Z1212" s="49"/>
      <c r="AA1212" s="49"/>
      <c r="AB1212" s="49"/>
      <c r="AC1212" s="49"/>
      <c r="AD1212" s="49"/>
      <c r="AE1212" s="49"/>
      <c r="AF1212" s="49"/>
      <c r="AG1212" s="49"/>
      <c r="AH1212" s="49" t="b">
        <f>IFERROR(__xludf.DUMMYFUNCTION("""COMPUTED_VALUE"""),FALSE)</f>
        <v>0</v>
      </c>
    </row>
    <row r="1213">
      <c r="A1213" s="49"/>
      <c r="B1213" s="49"/>
      <c r="C1213" s="49"/>
      <c r="D1213" s="49"/>
      <c r="E1213" s="49">
        <f>IFERROR(__xludf.DUMMYFUNCTION("""COMPUTED_VALUE"""),1.0)</f>
        <v>1</v>
      </c>
      <c r="F1213" s="112">
        <f>IFERROR(__xludf.DUMMYFUNCTION("""COMPUTED_VALUE"""),0.0)</f>
        <v>0</v>
      </c>
      <c r="G1213" s="49"/>
      <c r="H1213" s="49"/>
      <c r="I1213" s="49"/>
      <c r="J1213" s="49"/>
      <c r="K1213" s="49"/>
      <c r="L1213" s="49"/>
      <c r="M1213" s="49"/>
      <c r="N1213" s="49"/>
      <c r="O1213" s="49"/>
      <c r="P1213" s="49"/>
      <c r="Q1213" s="49"/>
      <c r="R1213" s="49"/>
      <c r="S1213" s="49"/>
      <c r="T1213" s="49"/>
      <c r="U1213" s="49"/>
      <c r="V1213" s="49"/>
      <c r="W1213" s="49"/>
      <c r="X1213" s="49"/>
      <c r="Y1213" s="49"/>
      <c r="Z1213" s="49"/>
      <c r="AA1213" s="49"/>
      <c r="AB1213" s="49"/>
      <c r="AC1213" s="49"/>
      <c r="AD1213" s="49"/>
      <c r="AE1213" s="49"/>
      <c r="AF1213" s="49"/>
      <c r="AG1213" s="49"/>
      <c r="AH1213" s="49" t="b">
        <f>IFERROR(__xludf.DUMMYFUNCTION("""COMPUTED_VALUE"""),FALSE)</f>
        <v>0</v>
      </c>
    </row>
    <row r="1214">
      <c r="A1214" s="49"/>
      <c r="B1214" s="49"/>
      <c r="C1214" s="49"/>
      <c r="D1214" s="49"/>
      <c r="E1214" s="49">
        <f>IFERROR(__xludf.DUMMYFUNCTION("""COMPUTED_VALUE"""),1.0)</f>
        <v>1</v>
      </c>
      <c r="F1214" s="112">
        <f>IFERROR(__xludf.DUMMYFUNCTION("""COMPUTED_VALUE"""),0.0)</f>
        <v>0</v>
      </c>
      <c r="G1214" s="49"/>
      <c r="H1214" s="49"/>
      <c r="I1214" s="49"/>
      <c r="J1214" s="49"/>
      <c r="K1214" s="49"/>
      <c r="L1214" s="49"/>
      <c r="M1214" s="49"/>
      <c r="N1214" s="49"/>
      <c r="O1214" s="49"/>
      <c r="P1214" s="49"/>
      <c r="Q1214" s="49"/>
      <c r="R1214" s="49"/>
      <c r="S1214" s="49"/>
      <c r="T1214" s="49"/>
      <c r="U1214" s="49"/>
      <c r="V1214" s="49"/>
      <c r="W1214" s="49"/>
      <c r="X1214" s="49"/>
      <c r="Y1214" s="49"/>
      <c r="Z1214" s="49"/>
      <c r="AA1214" s="49"/>
      <c r="AB1214" s="49"/>
      <c r="AC1214" s="49"/>
      <c r="AD1214" s="49"/>
      <c r="AE1214" s="49"/>
      <c r="AF1214" s="49"/>
      <c r="AG1214" s="49"/>
      <c r="AH1214" s="49" t="b">
        <f>IFERROR(__xludf.DUMMYFUNCTION("""COMPUTED_VALUE"""),FALSE)</f>
        <v>0</v>
      </c>
    </row>
    <row r="1215">
      <c r="A1215" s="49"/>
      <c r="B1215" s="49"/>
      <c r="C1215" s="49"/>
      <c r="D1215" s="49"/>
      <c r="E1215" s="49">
        <f>IFERROR(__xludf.DUMMYFUNCTION("""COMPUTED_VALUE"""),1.0)</f>
        <v>1</v>
      </c>
      <c r="F1215" s="112">
        <f>IFERROR(__xludf.DUMMYFUNCTION("""COMPUTED_VALUE"""),0.0)</f>
        <v>0</v>
      </c>
      <c r="G1215" s="49"/>
      <c r="H1215" s="49"/>
      <c r="I1215" s="49"/>
      <c r="J1215" s="49"/>
      <c r="K1215" s="49"/>
      <c r="L1215" s="49"/>
      <c r="M1215" s="49"/>
      <c r="N1215" s="49"/>
      <c r="O1215" s="49"/>
      <c r="P1215" s="49"/>
      <c r="Q1215" s="49"/>
      <c r="R1215" s="49"/>
      <c r="S1215" s="49"/>
      <c r="T1215" s="49"/>
      <c r="U1215" s="49"/>
      <c r="V1215" s="49"/>
      <c r="W1215" s="49"/>
      <c r="X1215" s="49"/>
      <c r="Y1215" s="49"/>
      <c r="Z1215" s="49"/>
      <c r="AA1215" s="49"/>
      <c r="AB1215" s="49"/>
      <c r="AC1215" s="49"/>
      <c r="AD1215" s="49"/>
      <c r="AE1215" s="49"/>
      <c r="AF1215" s="49"/>
      <c r="AG1215" s="49"/>
      <c r="AH1215" s="49" t="b">
        <f>IFERROR(__xludf.DUMMYFUNCTION("""COMPUTED_VALUE"""),FALSE)</f>
        <v>0</v>
      </c>
    </row>
    <row r="1216">
      <c r="A1216" s="49"/>
      <c r="B1216" s="49"/>
      <c r="C1216" s="49"/>
      <c r="D1216" s="49"/>
      <c r="E1216" s="49">
        <f>IFERROR(__xludf.DUMMYFUNCTION("""COMPUTED_VALUE"""),1.0)</f>
        <v>1</v>
      </c>
      <c r="F1216" s="112">
        <f>IFERROR(__xludf.DUMMYFUNCTION("""COMPUTED_VALUE"""),0.0)</f>
        <v>0</v>
      </c>
      <c r="G1216" s="49"/>
      <c r="H1216" s="49"/>
      <c r="I1216" s="49"/>
      <c r="J1216" s="49"/>
      <c r="K1216" s="49"/>
      <c r="L1216" s="49"/>
      <c r="M1216" s="49"/>
      <c r="N1216" s="49"/>
      <c r="O1216" s="49"/>
      <c r="P1216" s="49"/>
      <c r="Q1216" s="49"/>
      <c r="R1216" s="49"/>
      <c r="S1216" s="49"/>
      <c r="T1216" s="49"/>
      <c r="U1216" s="49"/>
      <c r="V1216" s="49"/>
      <c r="W1216" s="49"/>
      <c r="X1216" s="49"/>
      <c r="Y1216" s="49"/>
      <c r="Z1216" s="49"/>
      <c r="AA1216" s="49"/>
      <c r="AB1216" s="49"/>
      <c r="AC1216" s="49"/>
      <c r="AD1216" s="49"/>
      <c r="AE1216" s="49"/>
      <c r="AF1216" s="49"/>
      <c r="AG1216" s="49"/>
      <c r="AH1216" s="49" t="b">
        <f>IFERROR(__xludf.DUMMYFUNCTION("""COMPUTED_VALUE"""),FALSE)</f>
        <v>0</v>
      </c>
    </row>
    <row r="1217">
      <c r="A1217" s="49"/>
      <c r="B1217" s="49"/>
      <c r="C1217" s="49"/>
      <c r="D1217" s="49"/>
      <c r="E1217" s="49">
        <f>IFERROR(__xludf.DUMMYFUNCTION("""COMPUTED_VALUE"""),1.0)</f>
        <v>1</v>
      </c>
      <c r="F1217" s="112">
        <f>IFERROR(__xludf.DUMMYFUNCTION("""COMPUTED_VALUE"""),0.0)</f>
        <v>0</v>
      </c>
      <c r="G1217" s="49"/>
      <c r="H1217" s="49"/>
      <c r="I1217" s="49"/>
      <c r="J1217" s="49"/>
      <c r="K1217" s="49"/>
      <c r="L1217" s="49"/>
      <c r="M1217" s="49"/>
      <c r="N1217" s="49"/>
      <c r="O1217" s="49"/>
      <c r="P1217" s="49"/>
      <c r="Q1217" s="49"/>
      <c r="R1217" s="49"/>
      <c r="S1217" s="49"/>
      <c r="T1217" s="49"/>
      <c r="U1217" s="49"/>
      <c r="V1217" s="49"/>
      <c r="W1217" s="49"/>
      <c r="X1217" s="49"/>
      <c r="Y1217" s="49"/>
      <c r="Z1217" s="49"/>
      <c r="AA1217" s="49"/>
      <c r="AB1217" s="49"/>
      <c r="AC1217" s="49"/>
      <c r="AD1217" s="49"/>
      <c r="AE1217" s="49"/>
      <c r="AF1217" s="49"/>
      <c r="AG1217" s="49"/>
      <c r="AH1217" s="49" t="b">
        <f>IFERROR(__xludf.DUMMYFUNCTION("""COMPUTED_VALUE"""),FALSE)</f>
        <v>0</v>
      </c>
    </row>
    <row r="1218">
      <c r="A1218" s="49"/>
      <c r="B1218" s="49"/>
      <c r="C1218" s="49"/>
      <c r="D1218" s="49"/>
      <c r="E1218" s="49">
        <f>IFERROR(__xludf.DUMMYFUNCTION("""COMPUTED_VALUE"""),1.0)</f>
        <v>1</v>
      </c>
      <c r="F1218" s="112">
        <f>IFERROR(__xludf.DUMMYFUNCTION("""COMPUTED_VALUE"""),0.0)</f>
        <v>0</v>
      </c>
      <c r="G1218" s="49"/>
      <c r="H1218" s="49"/>
      <c r="I1218" s="49"/>
      <c r="J1218" s="49"/>
      <c r="K1218" s="49"/>
      <c r="L1218" s="49"/>
      <c r="M1218" s="49"/>
      <c r="N1218" s="49"/>
      <c r="O1218" s="49"/>
      <c r="P1218" s="49"/>
      <c r="Q1218" s="49"/>
      <c r="R1218" s="49"/>
      <c r="S1218" s="49"/>
      <c r="T1218" s="49"/>
      <c r="U1218" s="49"/>
      <c r="V1218" s="49"/>
      <c r="W1218" s="49"/>
      <c r="X1218" s="49"/>
      <c r="Y1218" s="49"/>
      <c r="Z1218" s="49"/>
      <c r="AA1218" s="49"/>
      <c r="AB1218" s="49"/>
      <c r="AC1218" s="49"/>
      <c r="AD1218" s="49"/>
      <c r="AE1218" s="49"/>
      <c r="AF1218" s="49"/>
      <c r="AG1218" s="49"/>
      <c r="AH1218" s="49" t="b">
        <f>IFERROR(__xludf.DUMMYFUNCTION("""COMPUTED_VALUE"""),FALSE)</f>
        <v>0</v>
      </c>
    </row>
    <row r="1219">
      <c r="A1219" s="49"/>
      <c r="B1219" s="49"/>
      <c r="C1219" s="49"/>
      <c r="D1219" s="49"/>
      <c r="E1219" s="49">
        <f>IFERROR(__xludf.DUMMYFUNCTION("""COMPUTED_VALUE"""),1.0)</f>
        <v>1</v>
      </c>
      <c r="F1219" s="112">
        <f>IFERROR(__xludf.DUMMYFUNCTION("""COMPUTED_VALUE"""),0.0)</f>
        <v>0</v>
      </c>
      <c r="G1219" s="49"/>
      <c r="H1219" s="49"/>
      <c r="I1219" s="49"/>
      <c r="J1219" s="49"/>
      <c r="K1219" s="49"/>
      <c r="L1219" s="49"/>
      <c r="M1219" s="49"/>
      <c r="N1219" s="49"/>
      <c r="O1219" s="49"/>
      <c r="P1219" s="49"/>
      <c r="Q1219" s="49"/>
      <c r="R1219" s="49"/>
      <c r="S1219" s="49"/>
      <c r="T1219" s="49"/>
      <c r="U1219" s="49"/>
      <c r="V1219" s="49"/>
      <c r="W1219" s="49"/>
      <c r="X1219" s="49"/>
      <c r="Y1219" s="49"/>
      <c r="Z1219" s="49"/>
      <c r="AA1219" s="49"/>
      <c r="AB1219" s="49"/>
      <c r="AC1219" s="49"/>
      <c r="AD1219" s="49"/>
      <c r="AE1219" s="49"/>
      <c r="AF1219" s="49"/>
      <c r="AG1219" s="49"/>
      <c r="AH1219" s="49" t="b">
        <f>IFERROR(__xludf.DUMMYFUNCTION("""COMPUTED_VALUE"""),FALSE)</f>
        <v>0</v>
      </c>
    </row>
    <row r="1220">
      <c r="A1220" s="49"/>
      <c r="B1220" s="49"/>
      <c r="C1220" s="49"/>
      <c r="D1220" s="49"/>
      <c r="E1220" s="49">
        <f>IFERROR(__xludf.DUMMYFUNCTION("""COMPUTED_VALUE"""),1.0)</f>
        <v>1</v>
      </c>
      <c r="F1220" s="112">
        <f>IFERROR(__xludf.DUMMYFUNCTION("""COMPUTED_VALUE"""),0.0)</f>
        <v>0</v>
      </c>
      <c r="G1220" s="49"/>
      <c r="H1220" s="49"/>
      <c r="I1220" s="49"/>
      <c r="J1220" s="49"/>
      <c r="K1220" s="49"/>
      <c r="L1220" s="49"/>
      <c r="M1220" s="49"/>
      <c r="N1220" s="49"/>
      <c r="O1220" s="49"/>
      <c r="P1220" s="49"/>
      <c r="Q1220" s="49"/>
      <c r="R1220" s="49"/>
      <c r="S1220" s="49"/>
      <c r="T1220" s="49"/>
      <c r="U1220" s="49"/>
      <c r="V1220" s="49"/>
      <c r="W1220" s="49"/>
      <c r="X1220" s="49"/>
      <c r="Y1220" s="49"/>
      <c r="Z1220" s="49"/>
      <c r="AA1220" s="49"/>
      <c r="AB1220" s="49"/>
      <c r="AC1220" s="49"/>
      <c r="AD1220" s="49"/>
      <c r="AE1220" s="49"/>
      <c r="AF1220" s="49"/>
      <c r="AG1220" s="49"/>
      <c r="AH1220" s="49" t="b">
        <f>IFERROR(__xludf.DUMMYFUNCTION("""COMPUTED_VALUE"""),FALSE)</f>
        <v>0</v>
      </c>
    </row>
    <row r="1221">
      <c r="A1221" s="49"/>
      <c r="B1221" s="49"/>
      <c r="C1221" s="49"/>
      <c r="D1221" s="49"/>
      <c r="E1221" s="49">
        <f>IFERROR(__xludf.DUMMYFUNCTION("""COMPUTED_VALUE"""),1.0)</f>
        <v>1</v>
      </c>
      <c r="F1221" s="112">
        <f>IFERROR(__xludf.DUMMYFUNCTION("""COMPUTED_VALUE"""),0.0)</f>
        <v>0</v>
      </c>
      <c r="G1221" s="49"/>
      <c r="H1221" s="49"/>
      <c r="I1221" s="49"/>
      <c r="J1221" s="49"/>
      <c r="K1221" s="49"/>
      <c r="L1221" s="49"/>
      <c r="M1221" s="49"/>
      <c r="N1221" s="49"/>
      <c r="O1221" s="49"/>
      <c r="P1221" s="49"/>
      <c r="Q1221" s="49"/>
      <c r="R1221" s="49"/>
      <c r="S1221" s="49"/>
      <c r="T1221" s="49"/>
      <c r="U1221" s="49"/>
      <c r="V1221" s="49"/>
      <c r="W1221" s="49"/>
      <c r="X1221" s="49"/>
      <c r="Y1221" s="49"/>
      <c r="Z1221" s="49"/>
      <c r="AA1221" s="49"/>
      <c r="AB1221" s="49"/>
      <c r="AC1221" s="49"/>
      <c r="AD1221" s="49"/>
      <c r="AE1221" s="49"/>
      <c r="AF1221" s="49"/>
      <c r="AG1221" s="49"/>
      <c r="AH1221" s="49" t="b">
        <f>IFERROR(__xludf.DUMMYFUNCTION("""COMPUTED_VALUE"""),FALSE)</f>
        <v>0</v>
      </c>
    </row>
    <row r="1222">
      <c r="A1222" s="49"/>
      <c r="B1222" s="49"/>
      <c r="C1222" s="49"/>
      <c r="D1222" s="49"/>
      <c r="E1222" s="49">
        <f>IFERROR(__xludf.DUMMYFUNCTION("""COMPUTED_VALUE"""),1.0)</f>
        <v>1</v>
      </c>
      <c r="F1222" s="112">
        <f>IFERROR(__xludf.DUMMYFUNCTION("""COMPUTED_VALUE"""),0.0)</f>
        <v>0</v>
      </c>
      <c r="G1222" s="49"/>
      <c r="H1222" s="49"/>
      <c r="I1222" s="49"/>
      <c r="J1222" s="49"/>
      <c r="K1222" s="49"/>
      <c r="L1222" s="49"/>
      <c r="M1222" s="49"/>
      <c r="N1222" s="49"/>
      <c r="O1222" s="49"/>
      <c r="P1222" s="49"/>
      <c r="Q1222" s="49"/>
      <c r="R1222" s="49"/>
      <c r="S1222" s="49"/>
      <c r="T1222" s="49"/>
      <c r="U1222" s="49"/>
      <c r="V1222" s="49"/>
      <c r="W1222" s="49"/>
      <c r="X1222" s="49"/>
      <c r="Y1222" s="49"/>
      <c r="Z1222" s="49"/>
      <c r="AA1222" s="49"/>
      <c r="AB1222" s="49"/>
      <c r="AC1222" s="49"/>
      <c r="AD1222" s="49"/>
      <c r="AE1222" s="49"/>
      <c r="AF1222" s="49"/>
      <c r="AG1222" s="49"/>
      <c r="AH1222" s="49" t="b">
        <f>IFERROR(__xludf.DUMMYFUNCTION("""COMPUTED_VALUE"""),FALSE)</f>
        <v>0</v>
      </c>
    </row>
    <row r="1223">
      <c r="A1223" s="49"/>
      <c r="B1223" s="49"/>
      <c r="C1223" s="49"/>
      <c r="D1223" s="49"/>
      <c r="E1223" s="49">
        <f>IFERROR(__xludf.DUMMYFUNCTION("""COMPUTED_VALUE"""),1.0)</f>
        <v>1</v>
      </c>
      <c r="F1223" s="112">
        <f>IFERROR(__xludf.DUMMYFUNCTION("""COMPUTED_VALUE"""),0.0)</f>
        <v>0</v>
      </c>
      <c r="G1223" s="49"/>
      <c r="H1223" s="49"/>
      <c r="I1223" s="49"/>
      <c r="J1223" s="49"/>
      <c r="K1223" s="49"/>
      <c r="L1223" s="49"/>
      <c r="M1223" s="49"/>
      <c r="N1223" s="49"/>
      <c r="O1223" s="49"/>
      <c r="P1223" s="49"/>
      <c r="Q1223" s="49"/>
      <c r="R1223" s="49"/>
      <c r="S1223" s="49"/>
      <c r="T1223" s="49"/>
      <c r="U1223" s="49"/>
      <c r="V1223" s="49"/>
      <c r="W1223" s="49"/>
      <c r="X1223" s="49"/>
      <c r="Y1223" s="49"/>
      <c r="Z1223" s="49"/>
      <c r="AA1223" s="49"/>
      <c r="AB1223" s="49"/>
      <c r="AC1223" s="49"/>
      <c r="AD1223" s="49"/>
      <c r="AE1223" s="49"/>
      <c r="AF1223" s="49"/>
      <c r="AG1223" s="49"/>
      <c r="AH1223" s="49" t="b">
        <f>IFERROR(__xludf.DUMMYFUNCTION("""COMPUTED_VALUE"""),FALSE)</f>
        <v>0</v>
      </c>
    </row>
    <row r="1224">
      <c r="A1224" s="49"/>
      <c r="B1224" s="49"/>
      <c r="C1224" s="49"/>
      <c r="D1224" s="49"/>
      <c r="E1224" s="49">
        <f>IFERROR(__xludf.DUMMYFUNCTION("""COMPUTED_VALUE"""),1.0)</f>
        <v>1</v>
      </c>
      <c r="F1224" s="112">
        <f>IFERROR(__xludf.DUMMYFUNCTION("""COMPUTED_VALUE"""),0.0)</f>
        <v>0</v>
      </c>
      <c r="G1224" s="49"/>
      <c r="H1224" s="49"/>
      <c r="I1224" s="49"/>
      <c r="J1224" s="49"/>
      <c r="K1224" s="49"/>
      <c r="L1224" s="49"/>
      <c r="M1224" s="49"/>
      <c r="N1224" s="49"/>
      <c r="O1224" s="49"/>
      <c r="P1224" s="49"/>
      <c r="Q1224" s="49"/>
      <c r="R1224" s="49"/>
      <c r="S1224" s="49"/>
      <c r="T1224" s="49"/>
      <c r="U1224" s="49"/>
      <c r="V1224" s="49"/>
      <c r="W1224" s="49"/>
      <c r="X1224" s="49"/>
      <c r="Y1224" s="49"/>
      <c r="Z1224" s="49"/>
      <c r="AA1224" s="49"/>
      <c r="AB1224" s="49"/>
      <c r="AC1224" s="49"/>
      <c r="AD1224" s="49"/>
      <c r="AE1224" s="49"/>
      <c r="AF1224" s="49"/>
      <c r="AG1224" s="49"/>
      <c r="AH1224" s="49" t="b">
        <f>IFERROR(__xludf.DUMMYFUNCTION("""COMPUTED_VALUE"""),FALSE)</f>
        <v>0</v>
      </c>
    </row>
    <row r="1225">
      <c r="A1225" s="49"/>
      <c r="B1225" s="49"/>
      <c r="C1225" s="49"/>
      <c r="D1225" s="49"/>
      <c r="E1225" s="49">
        <f>IFERROR(__xludf.DUMMYFUNCTION("""COMPUTED_VALUE"""),1.0)</f>
        <v>1</v>
      </c>
      <c r="F1225" s="112">
        <f>IFERROR(__xludf.DUMMYFUNCTION("""COMPUTED_VALUE"""),0.0)</f>
        <v>0</v>
      </c>
      <c r="G1225" s="49"/>
      <c r="H1225" s="49"/>
      <c r="I1225" s="49"/>
      <c r="J1225" s="49"/>
      <c r="K1225" s="49"/>
      <c r="L1225" s="49"/>
      <c r="M1225" s="49"/>
      <c r="N1225" s="49"/>
      <c r="O1225" s="49"/>
      <c r="P1225" s="49"/>
      <c r="Q1225" s="49"/>
      <c r="R1225" s="49"/>
      <c r="S1225" s="49"/>
      <c r="T1225" s="49"/>
      <c r="U1225" s="49"/>
      <c r="V1225" s="49"/>
      <c r="W1225" s="49"/>
      <c r="X1225" s="49"/>
      <c r="Y1225" s="49"/>
      <c r="Z1225" s="49"/>
      <c r="AA1225" s="49"/>
      <c r="AB1225" s="49"/>
      <c r="AC1225" s="49"/>
      <c r="AD1225" s="49"/>
      <c r="AE1225" s="49"/>
      <c r="AF1225" s="49"/>
      <c r="AG1225" s="49"/>
      <c r="AH1225" s="49" t="b">
        <f>IFERROR(__xludf.DUMMYFUNCTION("""COMPUTED_VALUE"""),FALSE)</f>
        <v>0</v>
      </c>
    </row>
    <row r="1226">
      <c r="A1226" s="49"/>
      <c r="B1226" s="49"/>
      <c r="C1226" s="49"/>
      <c r="D1226" s="49"/>
      <c r="E1226" s="49">
        <f>IFERROR(__xludf.DUMMYFUNCTION("""COMPUTED_VALUE"""),1.0)</f>
        <v>1</v>
      </c>
      <c r="F1226" s="112">
        <f>IFERROR(__xludf.DUMMYFUNCTION("""COMPUTED_VALUE"""),0.0)</f>
        <v>0</v>
      </c>
      <c r="G1226" s="49"/>
      <c r="H1226" s="49"/>
      <c r="I1226" s="49"/>
      <c r="J1226" s="49"/>
      <c r="K1226" s="49"/>
      <c r="L1226" s="49"/>
      <c r="M1226" s="49"/>
      <c r="N1226" s="49"/>
      <c r="O1226" s="49"/>
      <c r="P1226" s="49"/>
      <c r="Q1226" s="49"/>
      <c r="R1226" s="49"/>
      <c r="S1226" s="49"/>
      <c r="T1226" s="49"/>
      <c r="U1226" s="49"/>
      <c r="V1226" s="49"/>
      <c r="W1226" s="49"/>
      <c r="X1226" s="49"/>
      <c r="Y1226" s="49"/>
      <c r="Z1226" s="49"/>
      <c r="AA1226" s="49"/>
      <c r="AB1226" s="49"/>
      <c r="AC1226" s="49"/>
      <c r="AD1226" s="49"/>
      <c r="AE1226" s="49"/>
      <c r="AF1226" s="49"/>
      <c r="AG1226" s="49"/>
      <c r="AH1226" s="49" t="b">
        <f>IFERROR(__xludf.DUMMYFUNCTION("""COMPUTED_VALUE"""),FALSE)</f>
        <v>0</v>
      </c>
    </row>
    <row r="1227">
      <c r="A1227" s="49"/>
      <c r="B1227" s="49"/>
      <c r="C1227" s="49"/>
      <c r="D1227" s="49"/>
      <c r="E1227" s="49">
        <f>IFERROR(__xludf.DUMMYFUNCTION("""COMPUTED_VALUE"""),1.0)</f>
        <v>1</v>
      </c>
      <c r="F1227" s="112">
        <f>IFERROR(__xludf.DUMMYFUNCTION("""COMPUTED_VALUE"""),0.0)</f>
        <v>0</v>
      </c>
      <c r="G1227" s="49"/>
      <c r="H1227" s="49"/>
      <c r="I1227" s="49"/>
      <c r="J1227" s="49"/>
      <c r="K1227" s="49"/>
      <c r="L1227" s="49"/>
      <c r="M1227" s="49"/>
      <c r="N1227" s="49"/>
      <c r="O1227" s="49"/>
      <c r="P1227" s="49"/>
      <c r="Q1227" s="49"/>
      <c r="R1227" s="49"/>
      <c r="S1227" s="49"/>
      <c r="T1227" s="49"/>
      <c r="U1227" s="49"/>
      <c r="V1227" s="49"/>
      <c r="W1227" s="49"/>
      <c r="X1227" s="49"/>
      <c r="Y1227" s="49"/>
      <c r="Z1227" s="49"/>
      <c r="AA1227" s="49"/>
      <c r="AB1227" s="49"/>
      <c r="AC1227" s="49"/>
      <c r="AD1227" s="49"/>
      <c r="AE1227" s="49"/>
      <c r="AF1227" s="49"/>
      <c r="AG1227" s="49"/>
      <c r="AH1227" s="49" t="b">
        <f>IFERROR(__xludf.DUMMYFUNCTION("""COMPUTED_VALUE"""),FALSE)</f>
        <v>0</v>
      </c>
    </row>
    <row r="1228">
      <c r="A1228" s="49"/>
      <c r="B1228" s="49"/>
      <c r="C1228" s="49"/>
      <c r="D1228" s="49"/>
      <c r="E1228" s="49">
        <f>IFERROR(__xludf.DUMMYFUNCTION("""COMPUTED_VALUE"""),1.0)</f>
        <v>1</v>
      </c>
      <c r="F1228" s="112">
        <f>IFERROR(__xludf.DUMMYFUNCTION("""COMPUTED_VALUE"""),0.0)</f>
        <v>0</v>
      </c>
      <c r="G1228" s="49"/>
      <c r="H1228" s="49"/>
      <c r="I1228" s="49"/>
      <c r="J1228" s="49"/>
      <c r="K1228" s="49"/>
      <c r="L1228" s="49"/>
      <c r="M1228" s="49"/>
      <c r="N1228" s="49"/>
      <c r="O1228" s="49"/>
      <c r="P1228" s="49"/>
      <c r="Q1228" s="49"/>
      <c r="R1228" s="49"/>
      <c r="S1228" s="49"/>
      <c r="T1228" s="49"/>
      <c r="U1228" s="49"/>
      <c r="V1228" s="49"/>
      <c r="W1228" s="49"/>
      <c r="X1228" s="49"/>
      <c r="Y1228" s="49"/>
      <c r="Z1228" s="49"/>
      <c r="AA1228" s="49"/>
      <c r="AB1228" s="49"/>
      <c r="AC1228" s="49"/>
      <c r="AD1228" s="49"/>
      <c r="AE1228" s="49"/>
      <c r="AF1228" s="49"/>
      <c r="AG1228" s="49"/>
      <c r="AH1228" s="49" t="b">
        <f>IFERROR(__xludf.DUMMYFUNCTION("""COMPUTED_VALUE"""),FALSE)</f>
        <v>0</v>
      </c>
    </row>
    <row r="1229">
      <c r="A1229" s="49"/>
      <c r="B1229" s="49"/>
      <c r="C1229" s="49"/>
      <c r="D1229" s="49"/>
      <c r="E1229" s="49">
        <f>IFERROR(__xludf.DUMMYFUNCTION("""COMPUTED_VALUE"""),1.0)</f>
        <v>1</v>
      </c>
      <c r="F1229" s="112">
        <f>IFERROR(__xludf.DUMMYFUNCTION("""COMPUTED_VALUE"""),0.0)</f>
        <v>0</v>
      </c>
      <c r="G1229" s="49"/>
      <c r="H1229" s="49"/>
      <c r="I1229" s="49"/>
      <c r="J1229" s="49"/>
      <c r="K1229" s="49"/>
      <c r="L1229" s="49"/>
      <c r="M1229" s="49"/>
      <c r="N1229" s="49"/>
      <c r="O1229" s="49"/>
      <c r="P1229" s="49"/>
      <c r="Q1229" s="49"/>
      <c r="R1229" s="49"/>
      <c r="S1229" s="49"/>
      <c r="T1229" s="49"/>
      <c r="U1229" s="49"/>
      <c r="V1229" s="49"/>
      <c r="W1229" s="49"/>
      <c r="X1229" s="49"/>
      <c r="Y1229" s="49"/>
      <c r="Z1229" s="49"/>
      <c r="AA1229" s="49"/>
      <c r="AB1229" s="49"/>
      <c r="AC1229" s="49"/>
      <c r="AD1229" s="49"/>
      <c r="AE1229" s="49"/>
      <c r="AF1229" s="49"/>
      <c r="AG1229" s="49"/>
      <c r="AH1229" s="49" t="b">
        <f>IFERROR(__xludf.DUMMYFUNCTION("""COMPUTED_VALUE"""),FALSE)</f>
        <v>0</v>
      </c>
    </row>
    <row r="1230">
      <c r="A1230" s="49"/>
      <c r="B1230" s="49"/>
      <c r="C1230" s="49"/>
      <c r="D1230" s="49"/>
      <c r="E1230" s="49">
        <f>IFERROR(__xludf.DUMMYFUNCTION("""COMPUTED_VALUE"""),1.0)</f>
        <v>1</v>
      </c>
      <c r="F1230" s="112">
        <f>IFERROR(__xludf.DUMMYFUNCTION("""COMPUTED_VALUE"""),0.0)</f>
        <v>0</v>
      </c>
      <c r="G1230" s="49"/>
      <c r="H1230" s="49"/>
      <c r="I1230" s="49"/>
      <c r="J1230" s="49"/>
      <c r="K1230" s="49"/>
      <c r="L1230" s="49"/>
      <c r="M1230" s="49"/>
      <c r="N1230" s="49"/>
      <c r="O1230" s="49"/>
      <c r="P1230" s="49"/>
      <c r="Q1230" s="49"/>
      <c r="R1230" s="49"/>
      <c r="S1230" s="49"/>
      <c r="T1230" s="49"/>
      <c r="U1230" s="49"/>
      <c r="V1230" s="49"/>
      <c r="W1230" s="49"/>
      <c r="X1230" s="49"/>
      <c r="Y1230" s="49"/>
      <c r="Z1230" s="49"/>
      <c r="AA1230" s="49"/>
      <c r="AB1230" s="49"/>
      <c r="AC1230" s="49"/>
      <c r="AD1230" s="49"/>
      <c r="AE1230" s="49"/>
      <c r="AF1230" s="49"/>
      <c r="AG1230" s="49"/>
      <c r="AH1230" s="49" t="b">
        <f>IFERROR(__xludf.DUMMYFUNCTION("""COMPUTED_VALUE"""),FALSE)</f>
        <v>0</v>
      </c>
    </row>
    <row r="1231">
      <c r="A1231" s="49"/>
      <c r="B1231" s="49"/>
      <c r="C1231" s="49"/>
      <c r="D1231" s="49"/>
      <c r="E1231" s="49">
        <f>IFERROR(__xludf.DUMMYFUNCTION("""COMPUTED_VALUE"""),1.0)</f>
        <v>1</v>
      </c>
      <c r="F1231" s="112">
        <f>IFERROR(__xludf.DUMMYFUNCTION("""COMPUTED_VALUE"""),0.0)</f>
        <v>0</v>
      </c>
      <c r="G1231" s="49"/>
      <c r="H1231" s="49"/>
      <c r="I1231" s="49"/>
      <c r="J1231" s="49"/>
      <c r="K1231" s="49"/>
      <c r="L1231" s="49"/>
      <c r="M1231" s="49"/>
      <c r="N1231" s="49"/>
      <c r="O1231" s="49"/>
      <c r="P1231" s="49"/>
      <c r="Q1231" s="49"/>
      <c r="R1231" s="49"/>
      <c r="S1231" s="49"/>
      <c r="T1231" s="49"/>
      <c r="U1231" s="49"/>
      <c r="V1231" s="49"/>
      <c r="W1231" s="49"/>
      <c r="X1231" s="49"/>
      <c r="Y1231" s="49"/>
      <c r="Z1231" s="49"/>
      <c r="AA1231" s="49"/>
      <c r="AB1231" s="49"/>
      <c r="AC1231" s="49"/>
      <c r="AD1231" s="49"/>
      <c r="AE1231" s="49"/>
      <c r="AF1231" s="49"/>
      <c r="AG1231" s="49"/>
      <c r="AH1231" s="49" t="b">
        <f>IFERROR(__xludf.DUMMYFUNCTION("""COMPUTED_VALUE"""),FALSE)</f>
        <v>0</v>
      </c>
    </row>
    <row r="1232">
      <c r="A1232" s="49"/>
      <c r="B1232" s="49"/>
      <c r="C1232" s="49"/>
      <c r="D1232" s="49"/>
      <c r="E1232" s="49">
        <f>IFERROR(__xludf.DUMMYFUNCTION("""COMPUTED_VALUE"""),1.0)</f>
        <v>1</v>
      </c>
      <c r="F1232" s="112">
        <f>IFERROR(__xludf.DUMMYFUNCTION("""COMPUTED_VALUE"""),0.0)</f>
        <v>0</v>
      </c>
      <c r="G1232" s="49"/>
      <c r="H1232" s="49"/>
      <c r="I1232" s="49"/>
      <c r="J1232" s="49"/>
      <c r="K1232" s="49"/>
      <c r="L1232" s="49"/>
      <c r="M1232" s="49"/>
      <c r="N1232" s="49"/>
      <c r="O1232" s="49"/>
      <c r="P1232" s="49"/>
      <c r="Q1232" s="49"/>
      <c r="R1232" s="49"/>
      <c r="S1232" s="49"/>
      <c r="T1232" s="49"/>
      <c r="U1232" s="49"/>
      <c r="V1232" s="49"/>
      <c r="W1232" s="49"/>
      <c r="X1232" s="49"/>
      <c r="Y1232" s="49"/>
      <c r="Z1232" s="49"/>
      <c r="AA1232" s="49"/>
      <c r="AB1232" s="49"/>
      <c r="AC1232" s="49"/>
      <c r="AD1232" s="49"/>
      <c r="AE1232" s="49"/>
      <c r="AF1232" s="49"/>
      <c r="AG1232" s="49"/>
      <c r="AH1232" s="49" t="b">
        <f>IFERROR(__xludf.DUMMYFUNCTION("""COMPUTED_VALUE"""),FALSE)</f>
        <v>0</v>
      </c>
    </row>
    <row r="1233">
      <c r="A1233" s="49"/>
      <c r="B1233" s="49"/>
      <c r="C1233" s="49"/>
      <c r="D1233" s="49"/>
      <c r="E1233" s="49">
        <f>IFERROR(__xludf.DUMMYFUNCTION("""COMPUTED_VALUE"""),1.0)</f>
        <v>1</v>
      </c>
      <c r="F1233" s="112">
        <f>IFERROR(__xludf.DUMMYFUNCTION("""COMPUTED_VALUE"""),0.0)</f>
        <v>0</v>
      </c>
      <c r="G1233" s="49"/>
      <c r="H1233" s="49"/>
      <c r="I1233" s="49"/>
      <c r="J1233" s="49"/>
      <c r="K1233" s="49"/>
      <c r="L1233" s="49"/>
      <c r="M1233" s="49"/>
      <c r="N1233" s="49"/>
      <c r="O1233" s="49"/>
      <c r="P1233" s="49"/>
      <c r="Q1233" s="49"/>
      <c r="R1233" s="49"/>
      <c r="S1233" s="49"/>
      <c r="T1233" s="49"/>
      <c r="U1233" s="49"/>
      <c r="V1233" s="49"/>
      <c r="W1233" s="49"/>
      <c r="X1233" s="49"/>
      <c r="Y1233" s="49"/>
      <c r="Z1233" s="49"/>
      <c r="AA1233" s="49"/>
      <c r="AB1233" s="49"/>
      <c r="AC1233" s="49"/>
      <c r="AD1233" s="49"/>
      <c r="AE1233" s="49"/>
      <c r="AF1233" s="49"/>
      <c r="AG1233" s="49"/>
      <c r="AH1233" s="49" t="b">
        <f>IFERROR(__xludf.DUMMYFUNCTION("""COMPUTED_VALUE"""),FALSE)</f>
        <v>0</v>
      </c>
    </row>
    <row r="1234">
      <c r="A1234" s="49"/>
      <c r="B1234" s="49"/>
      <c r="C1234" s="49"/>
      <c r="D1234" s="49"/>
      <c r="E1234" s="49">
        <f>IFERROR(__xludf.DUMMYFUNCTION("""COMPUTED_VALUE"""),1.0)</f>
        <v>1</v>
      </c>
      <c r="F1234" s="112">
        <f>IFERROR(__xludf.DUMMYFUNCTION("""COMPUTED_VALUE"""),0.0)</f>
        <v>0</v>
      </c>
      <c r="G1234" s="49"/>
      <c r="H1234" s="49"/>
      <c r="I1234" s="49"/>
      <c r="J1234" s="49"/>
      <c r="K1234" s="49"/>
      <c r="L1234" s="49"/>
      <c r="M1234" s="49"/>
      <c r="N1234" s="49"/>
      <c r="O1234" s="49"/>
      <c r="P1234" s="49"/>
      <c r="Q1234" s="49"/>
      <c r="R1234" s="49"/>
      <c r="S1234" s="49"/>
      <c r="T1234" s="49"/>
      <c r="U1234" s="49"/>
      <c r="V1234" s="49"/>
      <c r="W1234" s="49"/>
      <c r="X1234" s="49"/>
      <c r="Y1234" s="49"/>
      <c r="Z1234" s="49"/>
      <c r="AA1234" s="49"/>
      <c r="AB1234" s="49"/>
      <c r="AC1234" s="49"/>
      <c r="AD1234" s="49"/>
      <c r="AE1234" s="49"/>
      <c r="AF1234" s="49"/>
      <c r="AG1234" s="49"/>
      <c r="AH1234" s="49" t="b">
        <f>IFERROR(__xludf.DUMMYFUNCTION("""COMPUTED_VALUE"""),FALSE)</f>
        <v>0</v>
      </c>
    </row>
    <row r="1235">
      <c r="A1235" s="49"/>
      <c r="B1235" s="49"/>
      <c r="C1235" s="49"/>
      <c r="D1235" s="49"/>
      <c r="E1235" s="49">
        <f>IFERROR(__xludf.DUMMYFUNCTION("""COMPUTED_VALUE"""),1.0)</f>
        <v>1</v>
      </c>
      <c r="F1235" s="112">
        <f>IFERROR(__xludf.DUMMYFUNCTION("""COMPUTED_VALUE"""),0.0)</f>
        <v>0</v>
      </c>
      <c r="G1235" s="49"/>
      <c r="H1235" s="49"/>
      <c r="I1235" s="49"/>
      <c r="J1235" s="49"/>
      <c r="K1235" s="49"/>
      <c r="L1235" s="49"/>
      <c r="M1235" s="49"/>
      <c r="N1235" s="49"/>
      <c r="O1235" s="49"/>
      <c r="P1235" s="49"/>
      <c r="Q1235" s="49"/>
      <c r="R1235" s="49"/>
      <c r="S1235" s="49"/>
      <c r="T1235" s="49"/>
      <c r="U1235" s="49"/>
      <c r="V1235" s="49"/>
      <c r="W1235" s="49"/>
      <c r="X1235" s="49"/>
      <c r="Y1235" s="49"/>
      <c r="Z1235" s="49"/>
      <c r="AA1235" s="49"/>
      <c r="AB1235" s="49"/>
      <c r="AC1235" s="49"/>
      <c r="AD1235" s="49"/>
      <c r="AE1235" s="49"/>
      <c r="AF1235" s="49"/>
      <c r="AG1235" s="49"/>
      <c r="AH1235" s="49" t="b">
        <f>IFERROR(__xludf.DUMMYFUNCTION("""COMPUTED_VALUE"""),FALSE)</f>
        <v>0</v>
      </c>
    </row>
    <row r="1236">
      <c r="A1236" s="49"/>
      <c r="B1236" s="49"/>
      <c r="C1236" s="49"/>
      <c r="D1236" s="49"/>
      <c r="E1236" s="49">
        <f>IFERROR(__xludf.DUMMYFUNCTION("""COMPUTED_VALUE"""),1.0)</f>
        <v>1</v>
      </c>
      <c r="F1236" s="112">
        <f>IFERROR(__xludf.DUMMYFUNCTION("""COMPUTED_VALUE"""),0.0)</f>
        <v>0</v>
      </c>
      <c r="G1236" s="49"/>
      <c r="H1236" s="49"/>
      <c r="I1236" s="49"/>
      <c r="J1236" s="49"/>
      <c r="K1236" s="49"/>
      <c r="L1236" s="49"/>
      <c r="M1236" s="49"/>
      <c r="N1236" s="49"/>
      <c r="O1236" s="49"/>
      <c r="P1236" s="49"/>
      <c r="Q1236" s="49"/>
      <c r="R1236" s="49"/>
      <c r="S1236" s="49"/>
      <c r="T1236" s="49"/>
      <c r="U1236" s="49"/>
      <c r="V1236" s="49"/>
      <c r="W1236" s="49"/>
      <c r="X1236" s="49"/>
      <c r="Y1236" s="49"/>
      <c r="Z1236" s="49"/>
      <c r="AA1236" s="49"/>
      <c r="AB1236" s="49"/>
      <c r="AC1236" s="49"/>
      <c r="AD1236" s="49"/>
      <c r="AE1236" s="49"/>
      <c r="AF1236" s="49"/>
      <c r="AG1236" s="49"/>
      <c r="AH1236" s="49" t="b">
        <f>IFERROR(__xludf.DUMMYFUNCTION("""COMPUTED_VALUE"""),FALSE)</f>
        <v>0</v>
      </c>
    </row>
    <row r="1237">
      <c r="A1237" s="49"/>
      <c r="B1237" s="49"/>
      <c r="C1237" s="49"/>
      <c r="D1237" s="49"/>
      <c r="E1237" s="49">
        <f>IFERROR(__xludf.DUMMYFUNCTION("""COMPUTED_VALUE"""),1.0)</f>
        <v>1</v>
      </c>
      <c r="F1237" s="112">
        <f>IFERROR(__xludf.DUMMYFUNCTION("""COMPUTED_VALUE"""),0.0)</f>
        <v>0</v>
      </c>
      <c r="G1237" s="49"/>
      <c r="H1237" s="49"/>
      <c r="I1237" s="49"/>
      <c r="J1237" s="49"/>
      <c r="K1237" s="49"/>
      <c r="L1237" s="49"/>
      <c r="M1237" s="49"/>
      <c r="N1237" s="49"/>
      <c r="O1237" s="49"/>
      <c r="P1237" s="49"/>
      <c r="Q1237" s="49"/>
      <c r="R1237" s="49"/>
      <c r="S1237" s="49"/>
      <c r="T1237" s="49"/>
      <c r="U1237" s="49"/>
      <c r="V1237" s="49"/>
      <c r="W1237" s="49"/>
      <c r="X1237" s="49"/>
      <c r="Y1237" s="49"/>
      <c r="Z1237" s="49"/>
      <c r="AA1237" s="49"/>
      <c r="AB1237" s="49"/>
      <c r="AC1237" s="49"/>
      <c r="AD1237" s="49"/>
      <c r="AE1237" s="49"/>
      <c r="AF1237" s="49"/>
      <c r="AG1237" s="49"/>
      <c r="AH1237" s="49" t="b">
        <f>IFERROR(__xludf.DUMMYFUNCTION("""COMPUTED_VALUE"""),FALSE)</f>
        <v>0</v>
      </c>
    </row>
    <row r="1238">
      <c r="A1238" s="49"/>
      <c r="B1238" s="49"/>
      <c r="C1238" s="49"/>
      <c r="D1238" s="49"/>
      <c r="E1238" s="49">
        <f>IFERROR(__xludf.DUMMYFUNCTION("""COMPUTED_VALUE"""),1.0)</f>
        <v>1</v>
      </c>
      <c r="F1238" s="112">
        <f>IFERROR(__xludf.DUMMYFUNCTION("""COMPUTED_VALUE"""),0.0)</f>
        <v>0</v>
      </c>
      <c r="G1238" s="49"/>
      <c r="H1238" s="49"/>
      <c r="I1238" s="49"/>
      <c r="J1238" s="49"/>
      <c r="K1238" s="49"/>
      <c r="L1238" s="49"/>
      <c r="M1238" s="49"/>
      <c r="N1238" s="49"/>
      <c r="O1238" s="49"/>
      <c r="P1238" s="49"/>
      <c r="Q1238" s="49"/>
      <c r="R1238" s="49"/>
      <c r="S1238" s="49"/>
      <c r="T1238" s="49"/>
      <c r="U1238" s="49"/>
      <c r="V1238" s="49"/>
      <c r="W1238" s="49"/>
      <c r="X1238" s="49"/>
      <c r="Y1238" s="49"/>
      <c r="Z1238" s="49"/>
      <c r="AA1238" s="49"/>
      <c r="AB1238" s="49"/>
      <c r="AC1238" s="49"/>
      <c r="AD1238" s="49"/>
      <c r="AE1238" s="49"/>
      <c r="AF1238" s="49"/>
      <c r="AG1238" s="49"/>
      <c r="AH1238" s="49" t="b">
        <f>IFERROR(__xludf.DUMMYFUNCTION("""COMPUTED_VALUE"""),FALSE)</f>
        <v>0</v>
      </c>
    </row>
    <row r="1239">
      <c r="A1239" s="49"/>
      <c r="B1239" s="49"/>
      <c r="C1239" s="49"/>
      <c r="D1239" s="49"/>
      <c r="E1239" s="49">
        <f>IFERROR(__xludf.DUMMYFUNCTION("""COMPUTED_VALUE"""),1.0)</f>
        <v>1</v>
      </c>
      <c r="F1239" s="112">
        <f>IFERROR(__xludf.DUMMYFUNCTION("""COMPUTED_VALUE"""),0.0)</f>
        <v>0</v>
      </c>
      <c r="G1239" s="49"/>
      <c r="H1239" s="49"/>
      <c r="I1239" s="49"/>
      <c r="J1239" s="49"/>
      <c r="K1239" s="49"/>
      <c r="L1239" s="49"/>
      <c r="M1239" s="49"/>
      <c r="N1239" s="49"/>
      <c r="O1239" s="49"/>
      <c r="P1239" s="49"/>
      <c r="Q1239" s="49"/>
      <c r="R1239" s="49"/>
      <c r="S1239" s="49"/>
      <c r="T1239" s="49"/>
      <c r="U1239" s="49"/>
      <c r="V1239" s="49"/>
      <c r="W1239" s="49"/>
      <c r="X1239" s="49"/>
      <c r="Y1239" s="49"/>
      <c r="Z1239" s="49"/>
      <c r="AA1239" s="49"/>
      <c r="AB1239" s="49"/>
      <c r="AC1239" s="49"/>
      <c r="AD1239" s="49"/>
      <c r="AE1239" s="49"/>
      <c r="AF1239" s="49"/>
      <c r="AG1239" s="49"/>
      <c r="AH1239" s="49" t="b">
        <f>IFERROR(__xludf.DUMMYFUNCTION("""COMPUTED_VALUE"""),FALSE)</f>
        <v>0</v>
      </c>
    </row>
    <row r="1240">
      <c r="A1240" s="49"/>
      <c r="B1240" s="49"/>
      <c r="C1240" s="49"/>
      <c r="D1240" s="49"/>
      <c r="E1240" s="49">
        <f>IFERROR(__xludf.DUMMYFUNCTION("""COMPUTED_VALUE"""),1.0)</f>
        <v>1</v>
      </c>
      <c r="F1240" s="112">
        <f>IFERROR(__xludf.DUMMYFUNCTION("""COMPUTED_VALUE"""),0.0)</f>
        <v>0</v>
      </c>
      <c r="G1240" s="49"/>
      <c r="H1240" s="49"/>
      <c r="I1240" s="49"/>
      <c r="J1240" s="49"/>
      <c r="K1240" s="49"/>
      <c r="L1240" s="49"/>
      <c r="M1240" s="49"/>
      <c r="N1240" s="49"/>
      <c r="O1240" s="49"/>
      <c r="P1240" s="49"/>
      <c r="Q1240" s="49"/>
      <c r="R1240" s="49"/>
      <c r="S1240" s="49"/>
      <c r="T1240" s="49"/>
      <c r="U1240" s="49"/>
      <c r="V1240" s="49"/>
      <c r="W1240" s="49"/>
      <c r="X1240" s="49"/>
      <c r="Y1240" s="49"/>
      <c r="Z1240" s="49"/>
      <c r="AA1240" s="49"/>
      <c r="AB1240" s="49"/>
      <c r="AC1240" s="49"/>
      <c r="AD1240" s="49"/>
      <c r="AE1240" s="49"/>
      <c r="AF1240" s="49"/>
      <c r="AG1240" s="49"/>
      <c r="AH1240" s="49" t="b">
        <f>IFERROR(__xludf.DUMMYFUNCTION("""COMPUTED_VALUE"""),FALSE)</f>
        <v>0</v>
      </c>
    </row>
    <row r="1241">
      <c r="A1241" s="49"/>
      <c r="B1241" s="49"/>
      <c r="C1241" s="49"/>
      <c r="D1241" s="49"/>
      <c r="E1241" s="49">
        <f>IFERROR(__xludf.DUMMYFUNCTION("""COMPUTED_VALUE"""),1.0)</f>
        <v>1</v>
      </c>
      <c r="F1241" s="112">
        <f>IFERROR(__xludf.DUMMYFUNCTION("""COMPUTED_VALUE"""),0.0)</f>
        <v>0</v>
      </c>
      <c r="G1241" s="49"/>
      <c r="H1241" s="49"/>
      <c r="I1241" s="49"/>
      <c r="J1241" s="49"/>
      <c r="K1241" s="49"/>
      <c r="L1241" s="49"/>
      <c r="M1241" s="49"/>
      <c r="N1241" s="49"/>
      <c r="O1241" s="49"/>
      <c r="P1241" s="49"/>
      <c r="Q1241" s="49"/>
      <c r="R1241" s="49"/>
      <c r="S1241" s="49"/>
      <c r="T1241" s="49"/>
      <c r="U1241" s="49"/>
      <c r="V1241" s="49"/>
      <c r="W1241" s="49"/>
      <c r="X1241" s="49"/>
      <c r="Y1241" s="49"/>
      <c r="Z1241" s="49"/>
      <c r="AA1241" s="49"/>
      <c r="AB1241" s="49"/>
      <c r="AC1241" s="49"/>
      <c r="AD1241" s="49"/>
      <c r="AE1241" s="49"/>
      <c r="AF1241" s="49"/>
      <c r="AG1241" s="49"/>
      <c r="AH1241" s="49" t="b">
        <f>IFERROR(__xludf.DUMMYFUNCTION("""COMPUTED_VALUE"""),FALSE)</f>
        <v>0</v>
      </c>
    </row>
    <row r="1242">
      <c r="A1242" s="49"/>
      <c r="B1242" s="49"/>
      <c r="C1242" s="49"/>
      <c r="D1242" s="49"/>
      <c r="E1242" s="49">
        <f>IFERROR(__xludf.DUMMYFUNCTION("""COMPUTED_VALUE"""),1.0)</f>
        <v>1</v>
      </c>
      <c r="F1242" s="112">
        <f>IFERROR(__xludf.DUMMYFUNCTION("""COMPUTED_VALUE"""),0.0)</f>
        <v>0</v>
      </c>
      <c r="G1242" s="49"/>
      <c r="H1242" s="49"/>
      <c r="I1242" s="49"/>
      <c r="J1242" s="49"/>
      <c r="K1242" s="49"/>
      <c r="L1242" s="49"/>
      <c r="M1242" s="49"/>
      <c r="N1242" s="49"/>
      <c r="O1242" s="49"/>
      <c r="P1242" s="49"/>
      <c r="Q1242" s="49"/>
      <c r="R1242" s="49"/>
      <c r="S1242" s="49"/>
      <c r="T1242" s="49"/>
      <c r="U1242" s="49"/>
      <c r="V1242" s="49"/>
      <c r="W1242" s="49"/>
      <c r="X1242" s="49"/>
      <c r="Y1242" s="49"/>
      <c r="Z1242" s="49"/>
      <c r="AA1242" s="49"/>
      <c r="AB1242" s="49"/>
      <c r="AC1242" s="49"/>
      <c r="AD1242" s="49"/>
      <c r="AE1242" s="49"/>
      <c r="AF1242" s="49"/>
      <c r="AG1242" s="49"/>
      <c r="AH1242" s="49" t="b">
        <f>IFERROR(__xludf.DUMMYFUNCTION("""COMPUTED_VALUE"""),FALSE)</f>
        <v>0</v>
      </c>
    </row>
    <row r="1243">
      <c r="A1243" s="49"/>
      <c r="B1243" s="49"/>
      <c r="C1243" s="49"/>
      <c r="D1243" s="49"/>
      <c r="E1243" s="49">
        <f>IFERROR(__xludf.DUMMYFUNCTION("""COMPUTED_VALUE"""),1.0)</f>
        <v>1</v>
      </c>
      <c r="F1243" s="112">
        <f>IFERROR(__xludf.DUMMYFUNCTION("""COMPUTED_VALUE"""),0.0)</f>
        <v>0</v>
      </c>
      <c r="G1243" s="49"/>
      <c r="H1243" s="49"/>
      <c r="I1243" s="49"/>
      <c r="J1243" s="49"/>
      <c r="K1243" s="49"/>
      <c r="L1243" s="49"/>
      <c r="M1243" s="49"/>
      <c r="N1243" s="49"/>
      <c r="O1243" s="49"/>
      <c r="P1243" s="49"/>
      <c r="Q1243" s="49"/>
      <c r="R1243" s="49"/>
      <c r="S1243" s="49"/>
      <c r="T1243" s="49"/>
      <c r="U1243" s="49"/>
      <c r="V1243" s="49"/>
      <c r="W1243" s="49"/>
      <c r="X1243" s="49"/>
      <c r="Y1243" s="49"/>
      <c r="Z1243" s="49"/>
      <c r="AA1243" s="49"/>
      <c r="AB1243" s="49"/>
      <c r="AC1243" s="49"/>
      <c r="AD1243" s="49"/>
      <c r="AE1243" s="49"/>
      <c r="AF1243" s="49"/>
      <c r="AG1243" s="49"/>
      <c r="AH1243" s="49" t="b">
        <f>IFERROR(__xludf.DUMMYFUNCTION("""COMPUTED_VALUE"""),FALSE)</f>
        <v>0</v>
      </c>
    </row>
    <row r="1244">
      <c r="A1244" s="49"/>
      <c r="B1244" s="49"/>
      <c r="C1244" s="49"/>
      <c r="D1244" s="49"/>
      <c r="E1244" s="49">
        <f>IFERROR(__xludf.DUMMYFUNCTION("""COMPUTED_VALUE"""),1.0)</f>
        <v>1</v>
      </c>
      <c r="F1244" s="112">
        <f>IFERROR(__xludf.DUMMYFUNCTION("""COMPUTED_VALUE"""),0.0)</f>
        <v>0</v>
      </c>
      <c r="G1244" s="49"/>
      <c r="H1244" s="49"/>
      <c r="I1244" s="49"/>
      <c r="J1244" s="49"/>
      <c r="K1244" s="49"/>
      <c r="L1244" s="49"/>
      <c r="M1244" s="49"/>
      <c r="N1244" s="49"/>
      <c r="O1244" s="49"/>
      <c r="P1244" s="49"/>
      <c r="Q1244" s="49"/>
      <c r="R1244" s="49"/>
      <c r="S1244" s="49"/>
      <c r="T1244" s="49"/>
      <c r="U1244" s="49"/>
      <c r="V1244" s="49"/>
      <c r="W1244" s="49"/>
      <c r="X1244" s="49"/>
      <c r="Y1244" s="49"/>
      <c r="Z1244" s="49"/>
      <c r="AA1244" s="49"/>
      <c r="AB1244" s="49"/>
      <c r="AC1244" s="49"/>
      <c r="AD1244" s="49"/>
      <c r="AE1244" s="49"/>
      <c r="AF1244" s="49"/>
      <c r="AG1244" s="49"/>
      <c r="AH1244" s="49" t="b">
        <f>IFERROR(__xludf.DUMMYFUNCTION("""COMPUTED_VALUE"""),FALSE)</f>
        <v>0</v>
      </c>
    </row>
    <row r="1245">
      <c r="A1245" s="49"/>
      <c r="B1245" s="49"/>
      <c r="C1245" s="49"/>
      <c r="D1245" s="49"/>
      <c r="E1245" s="49">
        <f>IFERROR(__xludf.DUMMYFUNCTION("""COMPUTED_VALUE"""),1.0)</f>
        <v>1</v>
      </c>
      <c r="F1245" s="112">
        <f>IFERROR(__xludf.DUMMYFUNCTION("""COMPUTED_VALUE"""),0.0)</f>
        <v>0</v>
      </c>
      <c r="G1245" s="49"/>
      <c r="H1245" s="49"/>
      <c r="I1245" s="49"/>
      <c r="J1245" s="49"/>
      <c r="K1245" s="49"/>
      <c r="L1245" s="49"/>
      <c r="M1245" s="49"/>
      <c r="N1245" s="49"/>
      <c r="O1245" s="49"/>
      <c r="P1245" s="49"/>
      <c r="Q1245" s="49"/>
      <c r="R1245" s="49"/>
      <c r="S1245" s="49"/>
      <c r="T1245" s="49"/>
      <c r="U1245" s="49"/>
      <c r="V1245" s="49"/>
      <c r="W1245" s="49"/>
      <c r="X1245" s="49"/>
      <c r="Y1245" s="49"/>
      <c r="Z1245" s="49"/>
      <c r="AA1245" s="49"/>
      <c r="AB1245" s="49"/>
      <c r="AC1245" s="49"/>
      <c r="AD1245" s="49"/>
      <c r="AE1245" s="49"/>
      <c r="AF1245" s="49"/>
      <c r="AG1245" s="49"/>
      <c r="AH1245" s="49" t="b">
        <f>IFERROR(__xludf.DUMMYFUNCTION("""COMPUTED_VALUE"""),FALSE)</f>
        <v>0</v>
      </c>
    </row>
    <row r="1246">
      <c r="A1246" s="49"/>
      <c r="B1246" s="49"/>
      <c r="C1246" s="49"/>
      <c r="D1246" s="49"/>
      <c r="E1246" s="49">
        <f>IFERROR(__xludf.DUMMYFUNCTION("""COMPUTED_VALUE"""),1.0)</f>
        <v>1</v>
      </c>
      <c r="F1246" s="112">
        <f>IFERROR(__xludf.DUMMYFUNCTION("""COMPUTED_VALUE"""),0.0)</f>
        <v>0</v>
      </c>
      <c r="G1246" s="49"/>
      <c r="H1246" s="49"/>
      <c r="I1246" s="49"/>
      <c r="J1246" s="49"/>
      <c r="K1246" s="49"/>
      <c r="L1246" s="49"/>
      <c r="M1246" s="49"/>
      <c r="N1246" s="49"/>
      <c r="O1246" s="49"/>
      <c r="P1246" s="49"/>
      <c r="Q1246" s="49"/>
      <c r="R1246" s="49"/>
      <c r="S1246" s="49"/>
      <c r="T1246" s="49"/>
      <c r="U1246" s="49"/>
      <c r="V1246" s="49"/>
      <c r="W1246" s="49"/>
      <c r="X1246" s="49"/>
      <c r="Y1246" s="49"/>
      <c r="Z1246" s="49"/>
      <c r="AA1246" s="49"/>
      <c r="AB1246" s="49"/>
      <c r="AC1246" s="49"/>
      <c r="AD1246" s="49"/>
      <c r="AE1246" s="49"/>
      <c r="AF1246" s="49"/>
      <c r="AG1246" s="49"/>
      <c r="AH1246" s="49" t="b">
        <f>IFERROR(__xludf.DUMMYFUNCTION("""COMPUTED_VALUE"""),FALSE)</f>
        <v>0</v>
      </c>
    </row>
    <row r="1247">
      <c r="A1247" s="49"/>
      <c r="B1247" s="49"/>
      <c r="C1247" s="49"/>
      <c r="D1247" s="49"/>
      <c r="E1247" s="49">
        <f>IFERROR(__xludf.DUMMYFUNCTION("""COMPUTED_VALUE"""),1.0)</f>
        <v>1</v>
      </c>
      <c r="F1247" s="112">
        <f>IFERROR(__xludf.DUMMYFUNCTION("""COMPUTED_VALUE"""),0.0)</f>
        <v>0</v>
      </c>
      <c r="G1247" s="49"/>
      <c r="H1247" s="49"/>
      <c r="I1247" s="49"/>
      <c r="J1247" s="49"/>
      <c r="K1247" s="49"/>
      <c r="L1247" s="49"/>
      <c r="M1247" s="49"/>
      <c r="N1247" s="49"/>
      <c r="O1247" s="49"/>
      <c r="P1247" s="49"/>
      <c r="Q1247" s="49"/>
      <c r="R1247" s="49"/>
      <c r="S1247" s="49"/>
      <c r="T1247" s="49"/>
      <c r="U1247" s="49"/>
      <c r="V1247" s="49"/>
      <c r="W1247" s="49"/>
      <c r="X1247" s="49"/>
      <c r="Y1247" s="49"/>
      <c r="Z1247" s="49"/>
      <c r="AA1247" s="49"/>
      <c r="AB1247" s="49"/>
      <c r="AC1247" s="49"/>
      <c r="AD1247" s="49"/>
      <c r="AE1247" s="49"/>
      <c r="AF1247" s="49"/>
      <c r="AG1247" s="49"/>
      <c r="AH1247" s="49" t="b">
        <f>IFERROR(__xludf.DUMMYFUNCTION("""COMPUTED_VALUE"""),FALSE)</f>
        <v>0</v>
      </c>
    </row>
    <row r="1248">
      <c r="A1248" s="49"/>
      <c r="B1248" s="49"/>
      <c r="C1248" s="49"/>
      <c r="D1248" s="49"/>
      <c r="E1248" s="49">
        <f>IFERROR(__xludf.DUMMYFUNCTION("""COMPUTED_VALUE"""),1.0)</f>
        <v>1</v>
      </c>
      <c r="F1248" s="112">
        <f>IFERROR(__xludf.DUMMYFUNCTION("""COMPUTED_VALUE"""),0.0)</f>
        <v>0</v>
      </c>
      <c r="G1248" s="49"/>
      <c r="H1248" s="49"/>
      <c r="I1248" s="49"/>
      <c r="J1248" s="49"/>
      <c r="K1248" s="49"/>
      <c r="L1248" s="49"/>
      <c r="M1248" s="49"/>
      <c r="N1248" s="49"/>
      <c r="O1248" s="49"/>
      <c r="P1248" s="49"/>
      <c r="Q1248" s="49"/>
      <c r="R1248" s="49"/>
      <c r="S1248" s="49"/>
      <c r="T1248" s="49"/>
      <c r="U1248" s="49"/>
      <c r="V1248" s="49"/>
      <c r="W1248" s="49"/>
      <c r="X1248" s="49"/>
      <c r="Y1248" s="49"/>
      <c r="Z1248" s="49"/>
      <c r="AA1248" s="49"/>
      <c r="AB1248" s="49"/>
      <c r="AC1248" s="49"/>
      <c r="AD1248" s="49"/>
      <c r="AE1248" s="49"/>
      <c r="AF1248" s="49"/>
      <c r="AG1248" s="49"/>
      <c r="AH1248" s="49" t="b">
        <f>IFERROR(__xludf.DUMMYFUNCTION("""COMPUTED_VALUE"""),FALSE)</f>
        <v>0</v>
      </c>
    </row>
    <row r="1249">
      <c r="A1249" s="49"/>
      <c r="B1249" s="49"/>
      <c r="C1249" s="49"/>
      <c r="D1249" s="49"/>
      <c r="E1249" s="49">
        <f>IFERROR(__xludf.DUMMYFUNCTION("""COMPUTED_VALUE"""),1.0)</f>
        <v>1</v>
      </c>
      <c r="F1249" s="112">
        <f>IFERROR(__xludf.DUMMYFUNCTION("""COMPUTED_VALUE"""),0.0)</f>
        <v>0</v>
      </c>
      <c r="G1249" s="49"/>
      <c r="H1249" s="49"/>
      <c r="I1249" s="49"/>
      <c r="J1249" s="49"/>
      <c r="K1249" s="49"/>
      <c r="L1249" s="49"/>
      <c r="M1249" s="49"/>
      <c r="N1249" s="49"/>
      <c r="O1249" s="49"/>
      <c r="P1249" s="49"/>
      <c r="Q1249" s="49"/>
      <c r="R1249" s="49"/>
      <c r="S1249" s="49"/>
      <c r="T1249" s="49"/>
      <c r="U1249" s="49"/>
      <c r="V1249" s="49"/>
      <c r="W1249" s="49"/>
      <c r="X1249" s="49"/>
      <c r="Y1249" s="49"/>
      <c r="Z1249" s="49"/>
      <c r="AA1249" s="49"/>
      <c r="AB1249" s="49"/>
      <c r="AC1249" s="49"/>
      <c r="AD1249" s="49"/>
      <c r="AE1249" s="49"/>
      <c r="AF1249" s="49"/>
      <c r="AG1249" s="49"/>
      <c r="AH1249" s="49" t="b">
        <f>IFERROR(__xludf.DUMMYFUNCTION("""COMPUTED_VALUE"""),FALSE)</f>
        <v>0</v>
      </c>
    </row>
    <row r="1250">
      <c r="A1250" s="49"/>
      <c r="B1250" s="49"/>
      <c r="C1250" s="49"/>
      <c r="D1250" s="49"/>
      <c r="E1250" s="49">
        <f>IFERROR(__xludf.DUMMYFUNCTION("""COMPUTED_VALUE"""),1.0)</f>
        <v>1</v>
      </c>
      <c r="F1250" s="112">
        <f>IFERROR(__xludf.DUMMYFUNCTION("""COMPUTED_VALUE"""),0.0)</f>
        <v>0</v>
      </c>
      <c r="G1250" s="49"/>
      <c r="H1250" s="49"/>
      <c r="I1250" s="49"/>
      <c r="J1250" s="49"/>
      <c r="K1250" s="49"/>
      <c r="L1250" s="49"/>
      <c r="M1250" s="49"/>
      <c r="N1250" s="49"/>
      <c r="O1250" s="49"/>
      <c r="P1250" s="49"/>
      <c r="Q1250" s="49"/>
      <c r="R1250" s="49"/>
      <c r="S1250" s="49"/>
      <c r="T1250" s="49"/>
      <c r="U1250" s="49"/>
      <c r="V1250" s="49"/>
      <c r="W1250" s="49"/>
      <c r="X1250" s="49"/>
      <c r="Y1250" s="49"/>
      <c r="Z1250" s="49"/>
      <c r="AA1250" s="49"/>
      <c r="AB1250" s="49"/>
      <c r="AC1250" s="49"/>
      <c r="AD1250" s="49"/>
      <c r="AE1250" s="49"/>
      <c r="AF1250" s="49"/>
      <c r="AG1250" s="49"/>
      <c r="AH1250" s="49" t="b">
        <f>IFERROR(__xludf.DUMMYFUNCTION("""COMPUTED_VALUE"""),FALSE)</f>
        <v>0</v>
      </c>
    </row>
    <row r="1251">
      <c r="A1251" s="49"/>
      <c r="B1251" s="49"/>
      <c r="C1251" s="49"/>
      <c r="D1251" s="49"/>
      <c r="E1251" s="49">
        <f>IFERROR(__xludf.DUMMYFUNCTION("""COMPUTED_VALUE"""),1.0)</f>
        <v>1</v>
      </c>
      <c r="F1251" s="112">
        <f>IFERROR(__xludf.DUMMYFUNCTION("""COMPUTED_VALUE"""),0.0)</f>
        <v>0</v>
      </c>
      <c r="G1251" s="49"/>
      <c r="H1251" s="49"/>
      <c r="I1251" s="49"/>
      <c r="J1251" s="49"/>
      <c r="K1251" s="49"/>
      <c r="L1251" s="49"/>
      <c r="M1251" s="49"/>
      <c r="N1251" s="49"/>
      <c r="O1251" s="49"/>
      <c r="P1251" s="49"/>
      <c r="Q1251" s="49"/>
      <c r="R1251" s="49"/>
      <c r="S1251" s="49"/>
      <c r="T1251" s="49"/>
      <c r="U1251" s="49"/>
      <c r="V1251" s="49"/>
      <c r="W1251" s="49"/>
      <c r="X1251" s="49"/>
      <c r="Y1251" s="49"/>
      <c r="Z1251" s="49"/>
      <c r="AA1251" s="49"/>
      <c r="AB1251" s="49"/>
      <c r="AC1251" s="49"/>
      <c r="AD1251" s="49"/>
      <c r="AE1251" s="49"/>
      <c r="AF1251" s="49"/>
      <c r="AG1251" s="49"/>
      <c r="AH1251" s="49" t="b">
        <f>IFERROR(__xludf.DUMMYFUNCTION("""COMPUTED_VALUE"""),FALSE)</f>
        <v>0</v>
      </c>
    </row>
    <row r="1252">
      <c r="A1252" s="49"/>
      <c r="B1252" s="49"/>
      <c r="C1252" s="49"/>
      <c r="D1252" s="49"/>
      <c r="E1252" s="49">
        <f>IFERROR(__xludf.DUMMYFUNCTION("""COMPUTED_VALUE"""),1.0)</f>
        <v>1</v>
      </c>
      <c r="F1252" s="112">
        <f>IFERROR(__xludf.DUMMYFUNCTION("""COMPUTED_VALUE"""),0.0)</f>
        <v>0</v>
      </c>
      <c r="G1252" s="49"/>
      <c r="H1252" s="49"/>
      <c r="I1252" s="49"/>
      <c r="J1252" s="49"/>
      <c r="K1252" s="49"/>
      <c r="L1252" s="49"/>
      <c r="M1252" s="49"/>
      <c r="N1252" s="49"/>
      <c r="O1252" s="49"/>
      <c r="P1252" s="49"/>
      <c r="Q1252" s="49"/>
      <c r="R1252" s="49"/>
      <c r="S1252" s="49"/>
      <c r="T1252" s="49"/>
      <c r="U1252" s="49"/>
      <c r="V1252" s="49"/>
      <c r="W1252" s="49"/>
      <c r="X1252" s="49"/>
      <c r="Y1252" s="49"/>
      <c r="Z1252" s="49"/>
      <c r="AA1252" s="49"/>
      <c r="AB1252" s="49"/>
      <c r="AC1252" s="49"/>
      <c r="AD1252" s="49"/>
      <c r="AE1252" s="49"/>
      <c r="AF1252" s="49"/>
      <c r="AG1252" s="49"/>
      <c r="AH1252" s="49" t="b">
        <f>IFERROR(__xludf.DUMMYFUNCTION("""COMPUTED_VALUE"""),FALSE)</f>
        <v>0</v>
      </c>
    </row>
    <row r="1253">
      <c r="A1253" s="49"/>
      <c r="B1253" s="49"/>
      <c r="C1253" s="49"/>
      <c r="D1253" s="49"/>
      <c r="E1253" s="49">
        <f>IFERROR(__xludf.DUMMYFUNCTION("""COMPUTED_VALUE"""),1.0)</f>
        <v>1</v>
      </c>
      <c r="F1253" s="112">
        <f>IFERROR(__xludf.DUMMYFUNCTION("""COMPUTED_VALUE"""),0.0)</f>
        <v>0</v>
      </c>
      <c r="G1253" s="49"/>
      <c r="H1253" s="49"/>
      <c r="I1253" s="49"/>
      <c r="J1253" s="49"/>
      <c r="K1253" s="49"/>
      <c r="L1253" s="49"/>
      <c r="M1253" s="49"/>
      <c r="N1253" s="49"/>
      <c r="O1253" s="49"/>
      <c r="P1253" s="49"/>
      <c r="Q1253" s="49"/>
      <c r="R1253" s="49"/>
      <c r="S1253" s="49"/>
      <c r="T1253" s="49"/>
      <c r="U1253" s="49"/>
      <c r="V1253" s="49"/>
      <c r="W1253" s="49"/>
      <c r="X1253" s="49"/>
      <c r="Y1253" s="49"/>
      <c r="Z1253" s="49"/>
      <c r="AA1253" s="49"/>
      <c r="AB1253" s="49"/>
      <c r="AC1253" s="49"/>
      <c r="AD1253" s="49"/>
      <c r="AE1253" s="49"/>
      <c r="AF1253" s="49"/>
      <c r="AG1253" s="49"/>
      <c r="AH1253" s="49" t="b">
        <f>IFERROR(__xludf.DUMMYFUNCTION("""COMPUTED_VALUE"""),FALSE)</f>
        <v>0</v>
      </c>
    </row>
    <row r="1254">
      <c r="A1254" s="49"/>
      <c r="B1254" s="49"/>
      <c r="C1254" s="49"/>
      <c r="D1254" s="49"/>
      <c r="E1254" s="49">
        <f>IFERROR(__xludf.DUMMYFUNCTION("""COMPUTED_VALUE"""),1.0)</f>
        <v>1</v>
      </c>
      <c r="F1254" s="112">
        <f>IFERROR(__xludf.DUMMYFUNCTION("""COMPUTED_VALUE"""),0.0)</f>
        <v>0</v>
      </c>
      <c r="G1254" s="49"/>
      <c r="H1254" s="49"/>
      <c r="I1254" s="49"/>
      <c r="J1254" s="49"/>
      <c r="K1254" s="49"/>
      <c r="L1254" s="49"/>
      <c r="M1254" s="49"/>
      <c r="N1254" s="49"/>
      <c r="O1254" s="49"/>
      <c r="P1254" s="49"/>
      <c r="Q1254" s="49"/>
      <c r="R1254" s="49"/>
      <c r="S1254" s="49"/>
      <c r="T1254" s="49"/>
      <c r="U1254" s="49"/>
      <c r="V1254" s="49"/>
      <c r="W1254" s="49"/>
      <c r="X1254" s="49"/>
      <c r="Y1254" s="49"/>
      <c r="Z1254" s="49"/>
      <c r="AA1254" s="49"/>
      <c r="AB1254" s="49"/>
      <c r="AC1254" s="49"/>
      <c r="AD1254" s="49"/>
      <c r="AE1254" s="49"/>
      <c r="AF1254" s="49"/>
      <c r="AG1254" s="49"/>
      <c r="AH1254" s="49" t="b">
        <f>IFERROR(__xludf.DUMMYFUNCTION("""COMPUTED_VALUE"""),FALSE)</f>
        <v>0</v>
      </c>
    </row>
    <row r="1255">
      <c r="A1255" s="49"/>
      <c r="B1255" s="49"/>
      <c r="C1255" s="49"/>
      <c r="D1255" s="49"/>
      <c r="E1255" s="49">
        <f>IFERROR(__xludf.DUMMYFUNCTION("""COMPUTED_VALUE"""),1.0)</f>
        <v>1</v>
      </c>
      <c r="F1255" s="112">
        <f>IFERROR(__xludf.DUMMYFUNCTION("""COMPUTED_VALUE"""),0.0)</f>
        <v>0</v>
      </c>
      <c r="G1255" s="49"/>
      <c r="H1255" s="49"/>
      <c r="I1255" s="49"/>
      <c r="J1255" s="49"/>
      <c r="K1255" s="49"/>
      <c r="L1255" s="49"/>
      <c r="M1255" s="49"/>
      <c r="N1255" s="49"/>
      <c r="O1255" s="49"/>
      <c r="P1255" s="49"/>
      <c r="Q1255" s="49"/>
      <c r="R1255" s="49"/>
      <c r="S1255" s="49"/>
      <c r="T1255" s="49"/>
      <c r="U1255" s="49"/>
      <c r="V1255" s="49"/>
      <c r="W1255" s="49"/>
      <c r="X1255" s="49"/>
      <c r="Y1255" s="49"/>
      <c r="Z1255" s="49"/>
      <c r="AA1255" s="49"/>
      <c r="AB1255" s="49"/>
      <c r="AC1255" s="49"/>
      <c r="AD1255" s="49"/>
      <c r="AE1255" s="49"/>
      <c r="AF1255" s="49"/>
      <c r="AG1255" s="49"/>
      <c r="AH1255" s="49" t="b">
        <f>IFERROR(__xludf.DUMMYFUNCTION("""COMPUTED_VALUE"""),FALSE)</f>
        <v>0</v>
      </c>
    </row>
    <row r="1256">
      <c r="A1256" s="49"/>
      <c r="B1256" s="49"/>
      <c r="C1256" s="49"/>
      <c r="D1256" s="49"/>
      <c r="E1256" s="49">
        <f>IFERROR(__xludf.DUMMYFUNCTION("""COMPUTED_VALUE"""),1.0)</f>
        <v>1</v>
      </c>
      <c r="F1256" s="112">
        <f>IFERROR(__xludf.DUMMYFUNCTION("""COMPUTED_VALUE"""),0.0)</f>
        <v>0</v>
      </c>
      <c r="G1256" s="49"/>
      <c r="H1256" s="49"/>
      <c r="I1256" s="49"/>
      <c r="J1256" s="49"/>
      <c r="K1256" s="49"/>
      <c r="L1256" s="49"/>
      <c r="M1256" s="49"/>
      <c r="N1256" s="49"/>
      <c r="O1256" s="49"/>
      <c r="P1256" s="49"/>
      <c r="Q1256" s="49"/>
      <c r="R1256" s="49"/>
      <c r="S1256" s="49"/>
      <c r="T1256" s="49"/>
      <c r="U1256" s="49"/>
      <c r="V1256" s="49"/>
      <c r="W1256" s="49"/>
      <c r="X1256" s="49"/>
      <c r="Y1256" s="49"/>
      <c r="Z1256" s="49"/>
      <c r="AA1256" s="49"/>
      <c r="AB1256" s="49"/>
      <c r="AC1256" s="49"/>
      <c r="AD1256" s="49"/>
      <c r="AE1256" s="49"/>
      <c r="AF1256" s="49"/>
      <c r="AG1256" s="49"/>
      <c r="AH1256" s="49" t="b">
        <f>IFERROR(__xludf.DUMMYFUNCTION("""COMPUTED_VALUE"""),FALSE)</f>
        <v>0</v>
      </c>
    </row>
    <row r="1257">
      <c r="A1257" s="49"/>
      <c r="B1257" s="49"/>
      <c r="C1257" s="49"/>
      <c r="D1257" s="49"/>
      <c r="E1257" s="49">
        <f>IFERROR(__xludf.DUMMYFUNCTION("""COMPUTED_VALUE"""),1.0)</f>
        <v>1</v>
      </c>
      <c r="F1257" s="112">
        <f>IFERROR(__xludf.DUMMYFUNCTION("""COMPUTED_VALUE"""),0.0)</f>
        <v>0</v>
      </c>
      <c r="G1257" s="49"/>
      <c r="H1257" s="49"/>
      <c r="I1257" s="49"/>
      <c r="J1257" s="49"/>
      <c r="K1257" s="49"/>
      <c r="L1257" s="49"/>
      <c r="M1257" s="49"/>
      <c r="N1257" s="49"/>
      <c r="O1257" s="49"/>
      <c r="P1257" s="49"/>
      <c r="Q1257" s="49"/>
      <c r="R1257" s="49"/>
      <c r="S1257" s="49"/>
      <c r="T1257" s="49"/>
      <c r="U1257" s="49"/>
      <c r="V1257" s="49"/>
      <c r="W1257" s="49"/>
      <c r="X1257" s="49"/>
      <c r="Y1257" s="49"/>
      <c r="Z1257" s="49"/>
      <c r="AA1257" s="49"/>
      <c r="AB1257" s="49"/>
      <c r="AC1257" s="49"/>
      <c r="AD1257" s="49"/>
      <c r="AE1257" s="49"/>
      <c r="AF1257" s="49"/>
      <c r="AG1257" s="49"/>
      <c r="AH1257" s="49" t="b">
        <f>IFERROR(__xludf.DUMMYFUNCTION("""COMPUTED_VALUE"""),FALSE)</f>
        <v>0</v>
      </c>
    </row>
    <row r="1258">
      <c r="A1258" s="49"/>
      <c r="B1258" s="49"/>
      <c r="C1258" s="49"/>
      <c r="D1258" s="49"/>
      <c r="E1258" s="49">
        <f>IFERROR(__xludf.DUMMYFUNCTION("""COMPUTED_VALUE"""),1.0)</f>
        <v>1</v>
      </c>
      <c r="F1258" s="112">
        <f>IFERROR(__xludf.DUMMYFUNCTION("""COMPUTED_VALUE"""),0.0)</f>
        <v>0</v>
      </c>
      <c r="G1258" s="49"/>
      <c r="H1258" s="49"/>
      <c r="I1258" s="49"/>
      <c r="J1258" s="49"/>
      <c r="K1258" s="49"/>
      <c r="L1258" s="49"/>
      <c r="M1258" s="49"/>
      <c r="N1258" s="49"/>
      <c r="O1258" s="49"/>
      <c r="P1258" s="49"/>
      <c r="Q1258" s="49"/>
      <c r="R1258" s="49"/>
      <c r="S1258" s="49"/>
      <c r="T1258" s="49"/>
      <c r="U1258" s="49"/>
      <c r="V1258" s="49"/>
      <c r="W1258" s="49"/>
      <c r="X1258" s="49"/>
      <c r="Y1258" s="49"/>
      <c r="Z1258" s="49"/>
      <c r="AA1258" s="49"/>
      <c r="AB1258" s="49"/>
      <c r="AC1258" s="49"/>
      <c r="AD1258" s="49"/>
      <c r="AE1258" s="49"/>
      <c r="AF1258" s="49"/>
      <c r="AG1258" s="49"/>
      <c r="AH1258" s="49" t="b">
        <f>IFERROR(__xludf.DUMMYFUNCTION("""COMPUTED_VALUE"""),FALSE)</f>
        <v>0</v>
      </c>
    </row>
    <row r="1259">
      <c r="A1259" s="49"/>
      <c r="B1259" s="49"/>
      <c r="C1259" s="49"/>
      <c r="D1259" s="49"/>
      <c r="E1259" s="49">
        <f>IFERROR(__xludf.DUMMYFUNCTION("""COMPUTED_VALUE"""),1.0)</f>
        <v>1</v>
      </c>
      <c r="F1259" s="112">
        <f>IFERROR(__xludf.DUMMYFUNCTION("""COMPUTED_VALUE"""),0.0)</f>
        <v>0</v>
      </c>
      <c r="G1259" s="49"/>
      <c r="H1259" s="49"/>
      <c r="I1259" s="49"/>
      <c r="J1259" s="49"/>
      <c r="K1259" s="49"/>
      <c r="L1259" s="49"/>
      <c r="M1259" s="49"/>
      <c r="N1259" s="49"/>
      <c r="O1259" s="49"/>
      <c r="P1259" s="49"/>
      <c r="Q1259" s="49"/>
      <c r="R1259" s="49"/>
      <c r="S1259" s="49"/>
      <c r="T1259" s="49"/>
      <c r="U1259" s="49"/>
      <c r="V1259" s="49"/>
      <c r="W1259" s="49"/>
      <c r="X1259" s="49"/>
      <c r="Y1259" s="49"/>
      <c r="Z1259" s="49"/>
      <c r="AA1259" s="49"/>
      <c r="AB1259" s="49"/>
      <c r="AC1259" s="49"/>
      <c r="AD1259" s="49"/>
      <c r="AE1259" s="49"/>
      <c r="AF1259" s="49"/>
      <c r="AG1259" s="49"/>
      <c r="AH1259" s="49" t="b">
        <f>IFERROR(__xludf.DUMMYFUNCTION("""COMPUTED_VALUE"""),FALSE)</f>
        <v>0</v>
      </c>
    </row>
    <row r="1260">
      <c r="A1260" s="49"/>
      <c r="B1260" s="49"/>
      <c r="C1260" s="49"/>
      <c r="D1260" s="49"/>
      <c r="E1260" s="49">
        <f>IFERROR(__xludf.DUMMYFUNCTION("""COMPUTED_VALUE"""),1.0)</f>
        <v>1</v>
      </c>
      <c r="F1260" s="112">
        <f>IFERROR(__xludf.DUMMYFUNCTION("""COMPUTED_VALUE"""),0.0)</f>
        <v>0</v>
      </c>
      <c r="G1260" s="49"/>
      <c r="H1260" s="49"/>
      <c r="I1260" s="49"/>
      <c r="J1260" s="49"/>
      <c r="K1260" s="49"/>
      <c r="L1260" s="49"/>
      <c r="M1260" s="49"/>
      <c r="N1260" s="49"/>
      <c r="O1260" s="49"/>
      <c r="P1260" s="49"/>
      <c r="Q1260" s="49"/>
      <c r="R1260" s="49"/>
      <c r="S1260" s="49"/>
      <c r="T1260" s="49"/>
      <c r="U1260" s="49"/>
      <c r="V1260" s="49"/>
      <c r="W1260" s="49"/>
      <c r="X1260" s="49"/>
      <c r="Y1260" s="49"/>
      <c r="Z1260" s="49"/>
      <c r="AA1260" s="49"/>
      <c r="AB1260" s="49"/>
      <c r="AC1260" s="49"/>
      <c r="AD1260" s="49"/>
      <c r="AE1260" s="49"/>
      <c r="AF1260" s="49"/>
      <c r="AG1260" s="49"/>
      <c r="AH1260" s="49" t="b">
        <f>IFERROR(__xludf.DUMMYFUNCTION("""COMPUTED_VALUE"""),FALSE)</f>
        <v>0</v>
      </c>
    </row>
    <row r="1261">
      <c r="A1261" s="49"/>
      <c r="B1261" s="49"/>
      <c r="C1261" s="49"/>
      <c r="D1261" s="49"/>
      <c r="E1261" s="49">
        <f>IFERROR(__xludf.DUMMYFUNCTION("""COMPUTED_VALUE"""),1.0)</f>
        <v>1</v>
      </c>
      <c r="F1261" s="112">
        <f>IFERROR(__xludf.DUMMYFUNCTION("""COMPUTED_VALUE"""),0.0)</f>
        <v>0</v>
      </c>
      <c r="G1261" s="49"/>
      <c r="H1261" s="49"/>
      <c r="I1261" s="49"/>
      <c r="J1261" s="49"/>
      <c r="K1261" s="49"/>
      <c r="L1261" s="49"/>
      <c r="M1261" s="49"/>
      <c r="N1261" s="49"/>
      <c r="O1261" s="49"/>
      <c r="P1261" s="49"/>
      <c r="Q1261" s="49"/>
      <c r="R1261" s="49"/>
      <c r="S1261" s="49"/>
      <c r="T1261" s="49"/>
      <c r="U1261" s="49"/>
      <c r="V1261" s="49"/>
      <c r="W1261" s="49"/>
      <c r="X1261" s="49"/>
      <c r="Y1261" s="49"/>
      <c r="Z1261" s="49"/>
      <c r="AA1261" s="49"/>
      <c r="AB1261" s="49"/>
      <c r="AC1261" s="49"/>
      <c r="AD1261" s="49"/>
      <c r="AE1261" s="49"/>
      <c r="AF1261" s="49"/>
      <c r="AG1261" s="49"/>
      <c r="AH1261" s="49" t="b">
        <f>IFERROR(__xludf.DUMMYFUNCTION("""COMPUTED_VALUE"""),FALSE)</f>
        <v>0</v>
      </c>
    </row>
    <row r="1262">
      <c r="A1262" s="49"/>
      <c r="B1262" s="49"/>
      <c r="C1262" s="49"/>
      <c r="D1262" s="49"/>
      <c r="E1262" s="49">
        <f>IFERROR(__xludf.DUMMYFUNCTION("""COMPUTED_VALUE"""),1.0)</f>
        <v>1</v>
      </c>
      <c r="F1262" s="112">
        <f>IFERROR(__xludf.DUMMYFUNCTION("""COMPUTED_VALUE"""),0.0)</f>
        <v>0</v>
      </c>
      <c r="G1262" s="49"/>
      <c r="H1262" s="49"/>
      <c r="I1262" s="49"/>
      <c r="J1262" s="49"/>
      <c r="K1262" s="49"/>
      <c r="L1262" s="49"/>
      <c r="M1262" s="49"/>
      <c r="N1262" s="49"/>
      <c r="O1262" s="49"/>
      <c r="P1262" s="49"/>
      <c r="Q1262" s="49"/>
      <c r="R1262" s="49"/>
      <c r="S1262" s="49"/>
      <c r="T1262" s="49"/>
      <c r="U1262" s="49"/>
      <c r="V1262" s="49"/>
      <c r="W1262" s="49"/>
      <c r="X1262" s="49"/>
      <c r="Y1262" s="49"/>
      <c r="Z1262" s="49"/>
      <c r="AA1262" s="49"/>
      <c r="AB1262" s="49"/>
      <c r="AC1262" s="49"/>
      <c r="AD1262" s="49"/>
      <c r="AE1262" s="49"/>
      <c r="AF1262" s="49"/>
      <c r="AG1262" s="49"/>
      <c r="AH1262" s="49" t="b">
        <f>IFERROR(__xludf.DUMMYFUNCTION("""COMPUTED_VALUE"""),FALSE)</f>
        <v>0</v>
      </c>
    </row>
    <row r="1263">
      <c r="A1263" s="49"/>
      <c r="B1263" s="49"/>
      <c r="C1263" s="49"/>
      <c r="D1263" s="49"/>
      <c r="E1263" s="49">
        <f>IFERROR(__xludf.DUMMYFUNCTION("""COMPUTED_VALUE"""),1.0)</f>
        <v>1</v>
      </c>
      <c r="F1263" s="112">
        <f>IFERROR(__xludf.DUMMYFUNCTION("""COMPUTED_VALUE"""),0.0)</f>
        <v>0</v>
      </c>
      <c r="G1263" s="49"/>
      <c r="H1263" s="49"/>
      <c r="I1263" s="49"/>
      <c r="J1263" s="49"/>
      <c r="K1263" s="49"/>
      <c r="L1263" s="49"/>
      <c r="M1263" s="49"/>
      <c r="N1263" s="49"/>
      <c r="O1263" s="49"/>
      <c r="P1263" s="49"/>
      <c r="Q1263" s="49"/>
      <c r="R1263" s="49"/>
      <c r="S1263" s="49"/>
      <c r="T1263" s="49"/>
      <c r="U1263" s="49"/>
      <c r="V1263" s="49"/>
      <c r="W1263" s="49"/>
      <c r="X1263" s="49"/>
      <c r="Y1263" s="49"/>
      <c r="Z1263" s="49"/>
      <c r="AA1263" s="49"/>
      <c r="AB1263" s="49"/>
      <c r="AC1263" s="49"/>
      <c r="AD1263" s="49"/>
      <c r="AE1263" s="49"/>
      <c r="AF1263" s="49"/>
      <c r="AG1263" s="49"/>
      <c r="AH1263" s="49" t="b">
        <f>IFERROR(__xludf.DUMMYFUNCTION("""COMPUTED_VALUE"""),FALSE)</f>
        <v>0</v>
      </c>
    </row>
    <row r="1264">
      <c r="A1264" s="49"/>
      <c r="B1264" s="49"/>
      <c r="C1264" s="49"/>
      <c r="D1264" s="49"/>
      <c r="E1264" s="49">
        <f>IFERROR(__xludf.DUMMYFUNCTION("""COMPUTED_VALUE"""),1.0)</f>
        <v>1</v>
      </c>
      <c r="F1264" s="112">
        <f>IFERROR(__xludf.DUMMYFUNCTION("""COMPUTED_VALUE"""),0.0)</f>
        <v>0</v>
      </c>
      <c r="G1264" s="49"/>
      <c r="H1264" s="49"/>
      <c r="I1264" s="49"/>
      <c r="J1264" s="49"/>
      <c r="K1264" s="49"/>
      <c r="L1264" s="49"/>
      <c r="M1264" s="49"/>
      <c r="N1264" s="49"/>
      <c r="O1264" s="49"/>
      <c r="P1264" s="49"/>
      <c r="Q1264" s="49"/>
      <c r="R1264" s="49"/>
      <c r="S1264" s="49"/>
      <c r="T1264" s="49"/>
      <c r="U1264" s="49"/>
      <c r="V1264" s="49"/>
      <c r="W1264" s="49"/>
      <c r="X1264" s="49"/>
      <c r="Y1264" s="49"/>
      <c r="Z1264" s="49"/>
      <c r="AA1264" s="49"/>
      <c r="AB1264" s="49"/>
      <c r="AC1264" s="49"/>
      <c r="AD1264" s="49"/>
      <c r="AE1264" s="49"/>
      <c r="AF1264" s="49"/>
      <c r="AG1264" s="49"/>
      <c r="AH1264" s="49" t="b">
        <f>IFERROR(__xludf.DUMMYFUNCTION("""COMPUTED_VALUE"""),FALSE)</f>
        <v>0</v>
      </c>
    </row>
    <row r="1265">
      <c r="A1265" s="49"/>
      <c r="B1265" s="49"/>
      <c r="C1265" s="49"/>
      <c r="D1265" s="49"/>
      <c r="E1265" s="49">
        <f>IFERROR(__xludf.DUMMYFUNCTION("""COMPUTED_VALUE"""),1.0)</f>
        <v>1</v>
      </c>
      <c r="F1265" s="112">
        <f>IFERROR(__xludf.DUMMYFUNCTION("""COMPUTED_VALUE"""),0.0)</f>
        <v>0</v>
      </c>
      <c r="G1265" s="49"/>
      <c r="H1265" s="49"/>
      <c r="I1265" s="49"/>
      <c r="J1265" s="49"/>
      <c r="K1265" s="49"/>
      <c r="L1265" s="49"/>
      <c r="M1265" s="49"/>
      <c r="N1265" s="49"/>
      <c r="O1265" s="49"/>
      <c r="P1265" s="49"/>
      <c r="Q1265" s="49"/>
      <c r="R1265" s="49"/>
      <c r="S1265" s="49"/>
      <c r="T1265" s="49"/>
      <c r="U1265" s="49"/>
      <c r="V1265" s="49"/>
      <c r="W1265" s="49"/>
      <c r="X1265" s="49"/>
      <c r="Y1265" s="49"/>
      <c r="Z1265" s="49"/>
      <c r="AA1265" s="49"/>
      <c r="AB1265" s="49"/>
      <c r="AC1265" s="49"/>
      <c r="AD1265" s="49"/>
      <c r="AE1265" s="49"/>
      <c r="AF1265" s="49"/>
      <c r="AG1265" s="49"/>
      <c r="AH1265" s="49" t="b">
        <f>IFERROR(__xludf.DUMMYFUNCTION("""COMPUTED_VALUE"""),FALSE)</f>
        <v>0</v>
      </c>
    </row>
    <row r="1266">
      <c r="A1266" s="49"/>
      <c r="B1266" s="49"/>
      <c r="C1266" s="49"/>
      <c r="D1266" s="49"/>
      <c r="E1266" s="49">
        <f>IFERROR(__xludf.DUMMYFUNCTION("""COMPUTED_VALUE"""),1.0)</f>
        <v>1</v>
      </c>
      <c r="F1266" s="112">
        <f>IFERROR(__xludf.DUMMYFUNCTION("""COMPUTED_VALUE"""),0.0)</f>
        <v>0</v>
      </c>
      <c r="G1266" s="49"/>
      <c r="H1266" s="49"/>
      <c r="I1266" s="49"/>
      <c r="J1266" s="49"/>
      <c r="K1266" s="49"/>
      <c r="L1266" s="49"/>
      <c r="M1266" s="49"/>
      <c r="N1266" s="49"/>
      <c r="O1266" s="49"/>
      <c r="P1266" s="49"/>
      <c r="Q1266" s="49"/>
      <c r="R1266" s="49"/>
      <c r="S1266" s="49"/>
      <c r="T1266" s="49"/>
      <c r="U1266" s="49"/>
      <c r="V1266" s="49"/>
      <c r="W1266" s="49"/>
      <c r="X1266" s="49"/>
      <c r="Y1266" s="49"/>
      <c r="Z1266" s="49"/>
      <c r="AA1266" s="49"/>
      <c r="AB1266" s="49"/>
      <c r="AC1266" s="49"/>
      <c r="AD1266" s="49"/>
      <c r="AE1266" s="49"/>
      <c r="AF1266" s="49"/>
      <c r="AG1266" s="49"/>
      <c r="AH1266" s="49" t="b">
        <f>IFERROR(__xludf.DUMMYFUNCTION("""COMPUTED_VALUE"""),FALSE)</f>
        <v>0</v>
      </c>
    </row>
    <row r="1267">
      <c r="A1267" s="49"/>
      <c r="B1267" s="49"/>
      <c r="C1267" s="49"/>
      <c r="D1267" s="49"/>
      <c r="E1267" s="49">
        <f>IFERROR(__xludf.DUMMYFUNCTION("""COMPUTED_VALUE"""),1.0)</f>
        <v>1</v>
      </c>
      <c r="F1267" s="112">
        <f>IFERROR(__xludf.DUMMYFUNCTION("""COMPUTED_VALUE"""),0.0)</f>
        <v>0</v>
      </c>
      <c r="G1267" s="49"/>
      <c r="H1267" s="49"/>
      <c r="I1267" s="49"/>
      <c r="J1267" s="49"/>
      <c r="K1267" s="49"/>
      <c r="L1267" s="49"/>
      <c r="M1267" s="49"/>
      <c r="N1267" s="49"/>
      <c r="O1267" s="49"/>
      <c r="P1267" s="49"/>
      <c r="Q1267" s="49"/>
      <c r="R1267" s="49"/>
      <c r="S1267" s="49"/>
      <c r="T1267" s="49"/>
      <c r="U1267" s="49"/>
      <c r="V1267" s="49"/>
      <c r="W1267" s="49"/>
      <c r="X1267" s="49"/>
      <c r="Y1267" s="49"/>
      <c r="Z1267" s="49"/>
      <c r="AA1267" s="49"/>
      <c r="AB1267" s="49"/>
      <c r="AC1267" s="49"/>
      <c r="AD1267" s="49"/>
      <c r="AE1267" s="49"/>
      <c r="AF1267" s="49"/>
      <c r="AG1267" s="49"/>
      <c r="AH1267" s="49" t="b">
        <f>IFERROR(__xludf.DUMMYFUNCTION("""COMPUTED_VALUE"""),FALSE)</f>
        <v>0</v>
      </c>
    </row>
    <row r="1268">
      <c r="A1268" s="49"/>
      <c r="B1268" s="49"/>
      <c r="C1268" s="49"/>
      <c r="D1268" s="49"/>
      <c r="E1268" s="49">
        <f>IFERROR(__xludf.DUMMYFUNCTION("""COMPUTED_VALUE"""),1.0)</f>
        <v>1</v>
      </c>
      <c r="F1268" s="112">
        <f>IFERROR(__xludf.DUMMYFUNCTION("""COMPUTED_VALUE"""),0.0)</f>
        <v>0</v>
      </c>
      <c r="G1268" s="49"/>
      <c r="H1268" s="49"/>
      <c r="I1268" s="49"/>
      <c r="J1268" s="49"/>
      <c r="K1268" s="49"/>
      <c r="L1268" s="49"/>
      <c r="M1268" s="49"/>
      <c r="N1268" s="49"/>
      <c r="O1268" s="49"/>
      <c r="P1268" s="49"/>
      <c r="Q1268" s="49"/>
      <c r="R1268" s="49"/>
      <c r="S1268" s="49"/>
      <c r="T1268" s="49"/>
      <c r="U1268" s="49"/>
      <c r="V1268" s="49"/>
      <c r="W1268" s="49"/>
      <c r="X1268" s="49"/>
      <c r="Y1268" s="49"/>
      <c r="Z1268" s="49"/>
      <c r="AA1268" s="49"/>
      <c r="AB1268" s="49"/>
      <c r="AC1268" s="49"/>
      <c r="AD1268" s="49"/>
      <c r="AE1268" s="49"/>
      <c r="AF1268" s="49"/>
      <c r="AG1268" s="49"/>
      <c r="AH1268" s="49" t="b">
        <f>IFERROR(__xludf.DUMMYFUNCTION("""COMPUTED_VALUE"""),FALSE)</f>
        <v>0</v>
      </c>
    </row>
    <row r="1269">
      <c r="A1269" s="49"/>
      <c r="B1269" s="49"/>
      <c r="C1269" s="49"/>
      <c r="D1269" s="49"/>
      <c r="E1269" s="49">
        <f>IFERROR(__xludf.DUMMYFUNCTION("""COMPUTED_VALUE"""),1.0)</f>
        <v>1</v>
      </c>
      <c r="F1269" s="112">
        <f>IFERROR(__xludf.DUMMYFUNCTION("""COMPUTED_VALUE"""),0.0)</f>
        <v>0</v>
      </c>
      <c r="G1269" s="49"/>
      <c r="H1269" s="49"/>
      <c r="I1269" s="49"/>
      <c r="J1269" s="49"/>
      <c r="K1269" s="49"/>
      <c r="L1269" s="49"/>
      <c r="M1269" s="49"/>
      <c r="N1269" s="49"/>
      <c r="O1269" s="49"/>
      <c r="P1269" s="49"/>
      <c r="Q1269" s="49"/>
      <c r="R1269" s="49"/>
      <c r="S1269" s="49"/>
      <c r="T1269" s="49"/>
      <c r="U1269" s="49"/>
      <c r="V1269" s="49"/>
      <c r="W1269" s="49"/>
      <c r="X1269" s="49"/>
      <c r="Y1269" s="49"/>
      <c r="Z1269" s="49"/>
      <c r="AA1269" s="49"/>
      <c r="AB1269" s="49"/>
      <c r="AC1269" s="49"/>
      <c r="AD1269" s="49"/>
      <c r="AE1269" s="49"/>
      <c r="AF1269" s="49"/>
      <c r="AG1269" s="49"/>
      <c r="AH1269" s="49" t="b">
        <f>IFERROR(__xludf.DUMMYFUNCTION("""COMPUTED_VALUE"""),FALSE)</f>
        <v>0</v>
      </c>
    </row>
    <row r="1270">
      <c r="A1270" s="49"/>
      <c r="B1270" s="49"/>
      <c r="C1270" s="49"/>
      <c r="D1270" s="49"/>
      <c r="E1270" s="49">
        <f>IFERROR(__xludf.DUMMYFUNCTION("""COMPUTED_VALUE"""),1.0)</f>
        <v>1</v>
      </c>
      <c r="F1270" s="112">
        <f>IFERROR(__xludf.DUMMYFUNCTION("""COMPUTED_VALUE"""),0.0)</f>
        <v>0</v>
      </c>
      <c r="G1270" s="49"/>
      <c r="H1270" s="49"/>
      <c r="I1270" s="49"/>
      <c r="J1270" s="49"/>
      <c r="K1270" s="49"/>
      <c r="L1270" s="49"/>
      <c r="M1270" s="49"/>
      <c r="N1270" s="49"/>
      <c r="O1270" s="49"/>
      <c r="P1270" s="49"/>
      <c r="Q1270" s="49"/>
      <c r="R1270" s="49"/>
      <c r="S1270" s="49"/>
      <c r="T1270" s="49"/>
      <c r="U1270" s="49"/>
      <c r="V1270" s="49"/>
      <c r="W1270" s="49"/>
      <c r="X1270" s="49"/>
      <c r="Y1270" s="49"/>
      <c r="Z1270" s="49"/>
      <c r="AA1270" s="49"/>
      <c r="AB1270" s="49"/>
      <c r="AC1270" s="49"/>
      <c r="AD1270" s="49"/>
      <c r="AE1270" s="49"/>
      <c r="AF1270" s="49"/>
      <c r="AG1270" s="49"/>
      <c r="AH1270" s="49" t="b">
        <f>IFERROR(__xludf.DUMMYFUNCTION("""COMPUTED_VALUE"""),FALSE)</f>
        <v>0</v>
      </c>
    </row>
    <row r="1271">
      <c r="A1271" s="49"/>
      <c r="B1271" s="49"/>
      <c r="C1271" s="49"/>
      <c r="D1271" s="49"/>
      <c r="E1271" s="49">
        <f>IFERROR(__xludf.DUMMYFUNCTION("""COMPUTED_VALUE"""),1.0)</f>
        <v>1</v>
      </c>
      <c r="F1271" s="112">
        <f>IFERROR(__xludf.DUMMYFUNCTION("""COMPUTED_VALUE"""),0.0)</f>
        <v>0</v>
      </c>
      <c r="G1271" s="49"/>
      <c r="H1271" s="49"/>
      <c r="I1271" s="49"/>
      <c r="J1271" s="49"/>
      <c r="K1271" s="49"/>
      <c r="L1271" s="49"/>
      <c r="M1271" s="49"/>
      <c r="N1271" s="49"/>
      <c r="O1271" s="49"/>
      <c r="P1271" s="49"/>
      <c r="Q1271" s="49"/>
      <c r="R1271" s="49"/>
      <c r="S1271" s="49"/>
      <c r="T1271" s="49"/>
      <c r="U1271" s="49"/>
      <c r="V1271" s="49"/>
      <c r="W1271" s="49"/>
      <c r="X1271" s="49"/>
      <c r="Y1271" s="49"/>
      <c r="Z1271" s="49"/>
      <c r="AA1271" s="49"/>
      <c r="AB1271" s="49"/>
      <c r="AC1271" s="49"/>
      <c r="AD1271" s="49"/>
      <c r="AE1271" s="49"/>
      <c r="AF1271" s="49"/>
      <c r="AG1271" s="49"/>
      <c r="AH1271" s="49" t="b">
        <f>IFERROR(__xludf.DUMMYFUNCTION("""COMPUTED_VALUE"""),FALSE)</f>
        <v>0</v>
      </c>
    </row>
    <row r="1272">
      <c r="A1272" s="49"/>
      <c r="B1272" s="49"/>
      <c r="C1272" s="49"/>
      <c r="D1272" s="49"/>
      <c r="E1272" s="49">
        <f>IFERROR(__xludf.DUMMYFUNCTION("""COMPUTED_VALUE"""),1.0)</f>
        <v>1</v>
      </c>
      <c r="F1272" s="112">
        <f>IFERROR(__xludf.DUMMYFUNCTION("""COMPUTED_VALUE"""),0.0)</f>
        <v>0</v>
      </c>
      <c r="G1272" s="49"/>
      <c r="H1272" s="49"/>
      <c r="I1272" s="49"/>
      <c r="J1272" s="49"/>
      <c r="K1272" s="49"/>
      <c r="L1272" s="49"/>
      <c r="M1272" s="49"/>
      <c r="N1272" s="49"/>
      <c r="O1272" s="49"/>
      <c r="P1272" s="49"/>
      <c r="Q1272" s="49"/>
      <c r="R1272" s="49"/>
      <c r="S1272" s="49"/>
      <c r="T1272" s="49"/>
      <c r="U1272" s="49"/>
      <c r="V1272" s="49"/>
      <c r="W1272" s="49"/>
      <c r="X1272" s="49"/>
      <c r="Y1272" s="49"/>
      <c r="Z1272" s="49"/>
      <c r="AA1272" s="49"/>
      <c r="AB1272" s="49"/>
      <c r="AC1272" s="49"/>
      <c r="AD1272" s="49"/>
      <c r="AE1272" s="49"/>
      <c r="AF1272" s="49"/>
      <c r="AG1272" s="49"/>
      <c r="AH1272" s="49" t="b">
        <f>IFERROR(__xludf.DUMMYFUNCTION("""COMPUTED_VALUE"""),FALSE)</f>
        <v>0</v>
      </c>
    </row>
    <row r="1273">
      <c r="A1273" s="49"/>
      <c r="B1273" s="49"/>
      <c r="C1273" s="49"/>
      <c r="D1273" s="49"/>
      <c r="E1273" s="49">
        <f>IFERROR(__xludf.DUMMYFUNCTION("""COMPUTED_VALUE"""),1.0)</f>
        <v>1</v>
      </c>
      <c r="F1273" s="112">
        <f>IFERROR(__xludf.DUMMYFUNCTION("""COMPUTED_VALUE"""),0.0)</f>
        <v>0</v>
      </c>
      <c r="G1273" s="49"/>
      <c r="H1273" s="49"/>
      <c r="I1273" s="49"/>
      <c r="J1273" s="49"/>
      <c r="K1273" s="49"/>
      <c r="L1273" s="49"/>
      <c r="M1273" s="49"/>
      <c r="N1273" s="49"/>
      <c r="O1273" s="49"/>
      <c r="P1273" s="49"/>
      <c r="Q1273" s="49"/>
      <c r="R1273" s="49"/>
      <c r="S1273" s="49"/>
      <c r="T1273" s="49"/>
      <c r="U1273" s="49"/>
      <c r="V1273" s="49"/>
      <c r="W1273" s="49"/>
      <c r="X1273" s="49"/>
      <c r="Y1273" s="49"/>
      <c r="Z1273" s="49"/>
      <c r="AA1273" s="49"/>
      <c r="AB1273" s="49"/>
      <c r="AC1273" s="49"/>
      <c r="AD1273" s="49"/>
      <c r="AE1273" s="49"/>
      <c r="AF1273" s="49"/>
      <c r="AG1273" s="49"/>
      <c r="AH1273" s="49" t="b">
        <f>IFERROR(__xludf.DUMMYFUNCTION("""COMPUTED_VALUE"""),FALSE)</f>
        <v>0</v>
      </c>
    </row>
    <row r="1274">
      <c r="A1274" s="49"/>
      <c r="B1274" s="49"/>
      <c r="C1274" s="49"/>
      <c r="D1274" s="49"/>
      <c r="E1274" s="49">
        <f>IFERROR(__xludf.DUMMYFUNCTION("""COMPUTED_VALUE"""),1.0)</f>
        <v>1</v>
      </c>
      <c r="F1274" s="112">
        <f>IFERROR(__xludf.DUMMYFUNCTION("""COMPUTED_VALUE"""),0.0)</f>
        <v>0</v>
      </c>
      <c r="G1274" s="49"/>
      <c r="H1274" s="49"/>
      <c r="I1274" s="49"/>
      <c r="J1274" s="49"/>
      <c r="K1274" s="49"/>
      <c r="L1274" s="49"/>
      <c r="M1274" s="49"/>
      <c r="N1274" s="49"/>
      <c r="O1274" s="49"/>
      <c r="P1274" s="49"/>
      <c r="Q1274" s="49"/>
      <c r="R1274" s="49"/>
      <c r="S1274" s="49"/>
      <c r="T1274" s="49"/>
      <c r="U1274" s="49"/>
      <c r="V1274" s="49"/>
      <c r="W1274" s="49"/>
      <c r="X1274" s="49"/>
      <c r="Y1274" s="49"/>
      <c r="Z1274" s="49"/>
      <c r="AA1274" s="49"/>
      <c r="AB1274" s="49"/>
      <c r="AC1274" s="49"/>
      <c r="AD1274" s="49"/>
      <c r="AE1274" s="49"/>
      <c r="AF1274" s="49"/>
      <c r="AG1274" s="49"/>
      <c r="AH1274" s="49" t="b">
        <f>IFERROR(__xludf.DUMMYFUNCTION("""COMPUTED_VALUE"""),FALSE)</f>
        <v>0</v>
      </c>
    </row>
    <row r="1275">
      <c r="A1275" s="49"/>
      <c r="B1275" s="49"/>
      <c r="C1275" s="49"/>
      <c r="D1275" s="49"/>
      <c r="E1275" s="49">
        <f>IFERROR(__xludf.DUMMYFUNCTION("""COMPUTED_VALUE"""),1.0)</f>
        <v>1</v>
      </c>
      <c r="F1275" s="112">
        <f>IFERROR(__xludf.DUMMYFUNCTION("""COMPUTED_VALUE"""),0.0)</f>
        <v>0</v>
      </c>
      <c r="G1275" s="49"/>
      <c r="H1275" s="49"/>
      <c r="I1275" s="49"/>
      <c r="J1275" s="49"/>
      <c r="K1275" s="49"/>
      <c r="L1275" s="49"/>
      <c r="M1275" s="49"/>
      <c r="N1275" s="49"/>
      <c r="O1275" s="49"/>
      <c r="P1275" s="49"/>
      <c r="Q1275" s="49"/>
      <c r="R1275" s="49"/>
      <c r="S1275" s="49"/>
      <c r="T1275" s="49"/>
      <c r="U1275" s="49"/>
      <c r="V1275" s="49"/>
      <c r="W1275" s="49"/>
      <c r="X1275" s="49"/>
      <c r="Y1275" s="49"/>
      <c r="Z1275" s="49"/>
      <c r="AA1275" s="49"/>
      <c r="AB1275" s="49"/>
      <c r="AC1275" s="49"/>
      <c r="AD1275" s="49"/>
      <c r="AE1275" s="49"/>
      <c r="AF1275" s="49"/>
      <c r="AG1275" s="49"/>
      <c r="AH1275" s="49" t="b">
        <f>IFERROR(__xludf.DUMMYFUNCTION("""COMPUTED_VALUE"""),FALSE)</f>
        <v>0</v>
      </c>
    </row>
    <row r="1276">
      <c r="A1276" s="49"/>
      <c r="B1276" s="49"/>
      <c r="C1276" s="49"/>
      <c r="D1276" s="49"/>
      <c r="E1276" s="49">
        <f>IFERROR(__xludf.DUMMYFUNCTION("""COMPUTED_VALUE"""),1.0)</f>
        <v>1</v>
      </c>
      <c r="F1276" s="112">
        <f>IFERROR(__xludf.DUMMYFUNCTION("""COMPUTED_VALUE"""),0.0)</f>
        <v>0</v>
      </c>
      <c r="G1276" s="49"/>
      <c r="H1276" s="49"/>
      <c r="I1276" s="49"/>
      <c r="J1276" s="49"/>
      <c r="K1276" s="49"/>
      <c r="L1276" s="49"/>
      <c r="M1276" s="49"/>
      <c r="N1276" s="49"/>
      <c r="O1276" s="49"/>
      <c r="P1276" s="49"/>
      <c r="Q1276" s="49"/>
      <c r="R1276" s="49"/>
      <c r="S1276" s="49"/>
      <c r="T1276" s="49"/>
      <c r="U1276" s="49"/>
      <c r="V1276" s="49"/>
      <c r="W1276" s="49"/>
      <c r="X1276" s="49"/>
      <c r="Y1276" s="49"/>
      <c r="Z1276" s="49"/>
      <c r="AA1276" s="49"/>
      <c r="AB1276" s="49"/>
      <c r="AC1276" s="49"/>
      <c r="AD1276" s="49"/>
      <c r="AE1276" s="49"/>
      <c r="AF1276" s="49"/>
      <c r="AG1276" s="49"/>
      <c r="AH1276" s="49" t="b">
        <f>IFERROR(__xludf.DUMMYFUNCTION("""COMPUTED_VALUE"""),FALSE)</f>
        <v>0</v>
      </c>
    </row>
    <row r="1277">
      <c r="A1277" s="49"/>
      <c r="B1277" s="49"/>
      <c r="C1277" s="49"/>
      <c r="D1277" s="49"/>
      <c r="E1277" s="49">
        <f>IFERROR(__xludf.DUMMYFUNCTION("""COMPUTED_VALUE"""),1.0)</f>
        <v>1</v>
      </c>
      <c r="F1277" s="112">
        <f>IFERROR(__xludf.DUMMYFUNCTION("""COMPUTED_VALUE"""),0.0)</f>
        <v>0</v>
      </c>
      <c r="G1277" s="49"/>
      <c r="H1277" s="49"/>
      <c r="I1277" s="49"/>
      <c r="J1277" s="49"/>
      <c r="K1277" s="49"/>
      <c r="L1277" s="49"/>
      <c r="M1277" s="49"/>
      <c r="N1277" s="49"/>
      <c r="O1277" s="49"/>
      <c r="P1277" s="49"/>
      <c r="Q1277" s="49"/>
      <c r="R1277" s="49"/>
      <c r="S1277" s="49"/>
      <c r="T1277" s="49"/>
      <c r="U1277" s="49"/>
      <c r="V1277" s="49"/>
      <c r="W1277" s="49"/>
      <c r="X1277" s="49"/>
      <c r="Y1277" s="49"/>
      <c r="Z1277" s="49"/>
      <c r="AA1277" s="49"/>
      <c r="AB1277" s="49"/>
      <c r="AC1277" s="49"/>
      <c r="AD1277" s="49"/>
      <c r="AE1277" s="49"/>
      <c r="AF1277" s="49"/>
      <c r="AG1277" s="49"/>
      <c r="AH1277" s="49" t="b">
        <f>IFERROR(__xludf.DUMMYFUNCTION("""COMPUTED_VALUE"""),FALSE)</f>
        <v>0</v>
      </c>
    </row>
    <row r="1278">
      <c r="A1278" s="49"/>
      <c r="B1278" s="49"/>
      <c r="C1278" s="49"/>
      <c r="D1278" s="49"/>
      <c r="E1278" s="49">
        <f>IFERROR(__xludf.DUMMYFUNCTION("""COMPUTED_VALUE"""),1.0)</f>
        <v>1</v>
      </c>
      <c r="F1278" s="112">
        <f>IFERROR(__xludf.DUMMYFUNCTION("""COMPUTED_VALUE"""),0.0)</f>
        <v>0</v>
      </c>
      <c r="G1278" s="49"/>
      <c r="H1278" s="49"/>
      <c r="I1278" s="49"/>
      <c r="J1278" s="49"/>
      <c r="K1278" s="49"/>
      <c r="L1278" s="49"/>
      <c r="M1278" s="49"/>
      <c r="N1278" s="49"/>
      <c r="O1278" s="49"/>
      <c r="P1278" s="49"/>
      <c r="Q1278" s="49"/>
      <c r="R1278" s="49"/>
      <c r="S1278" s="49"/>
      <c r="T1278" s="49"/>
      <c r="U1278" s="49"/>
      <c r="V1278" s="49"/>
      <c r="W1278" s="49"/>
      <c r="X1278" s="49"/>
      <c r="Y1278" s="49"/>
      <c r="Z1278" s="49"/>
      <c r="AA1278" s="49"/>
      <c r="AB1278" s="49"/>
      <c r="AC1278" s="49"/>
      <c r="AD1278" s="49"/>
      <c r="AE1278" s="49"/>
      <c r="AF1278" s="49"/>
      <c r="AG1278" s="49"/>
      <c r="AH1278" s="49" t="b">
        <f>IFERROR(__xludf.DUMMYFUNCTION("""COMPUTED_VALUE"""),FALSE)</f>
        <v>0</v>
      </c>
    </row>
    <row r="1279">
      <c r="A1279" s="49"/>
      <c r="B1279" s="49"/>
      <c r="C1279" s="49"/>
      <c r="D1279" s="49"/>
      <c r="E1279" s="49">
        <f>IFERROR(__xludf.DUMMYFUNCTION("""COMPUTED_VALUE"""),1.0)</f>
        <v>1</v>
      </c>
      <c r="F1279" s="112">
        <f>IFERROR(__xludf.DUMMYFUNCTION("""COMPUTED_VALUE"""),0.0)</f>
        <v>0</v>
      </c>
      <c r="G1279" s="49"/>
      <c r="H1279" s="49"/>
      <c r="I1279" s="49"/>
      <c r="J1279" s="49"/>
      <c r="K1279" s="49"/>
      <c r="L1279" s="49"/>
      <c r="M1279" s="49"/>
      <c r="N1279" s="49"/>
      <c r="O1279" s="49"/>
      <c r="P1279" s="49"/>
      <c r="Q1279" s="49"/>
      <c r="R1279" s="49"/>
      <c r="S1279" s="49"/>
      <c r="T1279" s="49"/>
      <c r="U1279" s="49"/>
      <c r="V1279" s="49"/>
      <c r="W1279" s="49"/>
      <c r="X1279" s="49"/>
      <c r="Y1279" s="49"/>
      <c r="Z1279" s="49"/>
      <c r="AA1279" s="49"/>
      <c r="AB1279" s="49"/>
      <c r="AC1279" s="49"/>
      <c r="AD1279" s="49"/>
      <c r="AE1279" s="49"/>
      <c r="AF1279" s="49"/>
      <c r="AG1279" s="49"/>
      <c r="AH1279" s="49" t="b">
        <f>IFERROR(__xludf.DUMMYFUNCTION("""COMPUTED_VALUE"""),FALSE)</f>
        <v>0</v>
      </c>
    </row>
    <row r="1280">
      <c r="A1280" s="49"/>
      <c r="B1280" s="49"/>
      <c r="C1280" s="49"/>
      <c r="D1280" s="49"/>
      <c r="E1280" s="49">
        <f>IFERROR(__xludf.DUMMYFUNCTION("""COMPUTED_VALUE"""),1.0)</f>
        <v>1</v>
      </c>
      <c r="F1280" s="112">
        <f>IFERROR(__xludf.DUMMYFUNCTION("""COMPUTED_VALUE"""),0.0)</f>
        <v>0</v>
      </c>
      <c r="G1280" s="49"/>
      <c r="H1280" s="49"/>
      <c r="I1280" s="49"/>
      <c r="J1280" s="49"/>
      <c r="K1280" s="49"/>
      <c r="L1280" s="49"/>
      <c r="M1280" s="49"/>
      <c r="N1280" s="49"/>
      <c r="O1280" s="49"/>
      <c r="P1280" s="49"/>
      <c r="Q1280" s="49"/>
      <c r="R1280" s="49"/>
      <c r="S1280" s="49"/>
      <c r="T1280" s="49"/>
      <c r="U1280" s="49"/>
      <c r="V1280" s="49"/>
      <c r="W1280" s="49"/>
      <c r="X1280" s="49"/>
      <c r="Y1280" s="49"/>
      <c r="Z1280" s="49"/>
      <c r="AA1280" s="49"/>
      <c r="AB1280" s="49"/>
      <c r="AC1280" s="49"/>
      <c r="AD1280" s="49"/>
      <c r="AE1280" s="49"/>
      <c r="AF1280" s="49"/>
      <c r="AG1280" s="49"/>
      <c r="AH1280" s="49" t="b">
        <f>IFERROR(__xludf.DUMMYFUNCTION("""COMPUTED_VALUE"""),FALSE)</f>
        <v>0</v>
      </c>
    </row>
    <row r="1281">
      <c r="A1281" s="49"/>
      <c r="B1281" s="49"/>
      <c r="C1281" s="49"/>
      <c r="D1281" s="49"/>
      <c r="E1281" s="49">
        <f>IFERROR(__xludf.DUMMYFUNCTION("""COMPUTED_VALUE"""),1.0)</f>
        <v>1</v>
      </c>
      <c r="F1281" s="112">
        <f>IFERROR(__xludf.DUMMYFUNCTION("""COMPUTED_VALUE"""),0.0)</f>
        <v>0</v>
      </c>
      <c r="G1281" s="49"/>
      <c r="H1281" s="49"/>
      <c r="I1281" s="49"/>
      <c r="J1281" s="49"/>
      <c r="K1281" s="49"/>
      <c r="L1281" s="49"/>
      <c r="M1281" s="49"/>
      <c r="N1281" s="49"/>
      <c r="O1281" s="49"/>
      <c r="P1281" s="49"/>
      <c r="Q1281" s="49"/>
      <c r="R1281" s="49"/>
      <c r="S1281" s="49"/>
      <c r="T1281" s="49"/>
      <c r="U1281" s="49"/>
      <c r="V1281" s="49"/>
      <c r="W1281" s="49"/>
      <c r="X1281" s="49"/>
      <c r="Y1281" s="49"/>
      <c r="Z1281" s="49"/>
      <c r="AA1281" s="49"/>
      <c r="AB1281" s="49"/>
      <c r="AC1281" s="49"/>
      <c r="AD1281" s="49"/>
      <c r="AE1281" s="49"/>
      <c r="AF1281" s="49"/>
      <c r="AG1281" s="49"/>
      <c r="AH1281" s="49" t="b">
        <f>IFERROR(__xludf.DUMMYFUNCTION("""COMPUTED_VALUE"""),FALSE)</f>
        <v>0</v>
      </c>
    </row>
    <row r="1282">
      <c r="A1282" s="49"/>
      <c r="B1282" s="49"/>
      <c r="C1282" s="49"/>
      <c r="D1282" s="49"/>
      <c r="E1282" s="49">
        <f>IFERROR(__xludf.DUMMYFUNCTION("""COMPUTED_VALUE"""),1.0)</f>
        <v>1</v>
      </c>
      <c r="F1282" s="112">
        <f>IFERROR(__xludf.DUMMYFUNCTION("""COMPUTED_VALUE"""),0.0)</f>
        <v>0</v>
      </c>
      <c r="G1282" s="49"/>
      <c r="H1282" s="49"/>
      <c r="I1282" s="49"/>
      <c r="J1282" s="49"/>
      <c r="K1282" s="49"/>
      <c r="L1282" s="49"/>
      <c r="M1282" s="49"/>
      <c r="N1282" s="49"/>
      <c r="O1282" s="49"/>
      <c r="P1282" s="49"/>
      <c r="Q1282" s="49"/>
      <c r="R1282" s="49"/>
      <c r="S1282" s="49"/>
      <c r="T1282" s="49"/>
      <c r="U1282" s="49"/>
      <c r="V1282" s="49"/>
      <c r="W1282" s="49"/>
      <c r="X1282" s="49"/>
      <c r="Y1282" s="49"/>
      <c r="Z1282" s="49"/>
      <c r="AA1282" s="49"/>
      <c r="AB1282" s="49"/>
      <c r="AC1282" s="49"/>
      <c r="AD1282" s="49"/>
      <c r="AE1282" s="49"/>
      <c r="AF1282" s="49"/>
      <c r="AG1282" s="49"/>
      <c r="AH1282" s="49" t="b">
        <f>IFERROR(__xludf.DUMMYFUNCTION("""COMPUTED_VALUE"""),FALSE)</f>
        <v>0</v>
      </c>
    </row>
    <row r="1283">
      <c r="A1283" s="49"/>
      <c r="B1283" s="49"/>
      <c r="C1283" s="49"/>
      <c r="D1283" s="49"/>
      <c r="E1283" s="49">
        <f>IFERROR(__xludf.DUMMYFUNCTION("""COMPUTED_VALUE"""),1.0)</f>
        <v>1</v>
      </c>
      <c r="F1283" s="112">
        <f>IFERROR(__xludf.DUMMYFUNCTION("""COMPUTED_VALUE"""),0.0)</f>
        <v>0</v>
      </c>
      <c r="G1283" s="49"/>
      <c r="H1283" s="49"/>
      <c r="I1283" s="49"/>
      <c r="J1283" s="49"/>
      <c r="K1283" s="49"/>
      <c r="L1283" s="49"/>
      <c r="M1283" s="49"/>
      <c r="N1283" s="49"/>
      <c r="O1283" s="49"/>
      <c r="P1283" s="49"/>
      <c r="Q1283" s="49"/>
      <c r="R1283" s="49"/>
      <c r="S1283" s="49"/>
      <c r="T1283" s="49"/>
      <c r="U1283" s="49"/>
      <c r="V1283" s="49"/>
      <c r="W1283" s="49"/>
      <c r="X1283" s="49"/>
      <c r="Y1283" s="49"/>
      <c r="Z1283" s="49"/>
      <c r="AA1283" s="49"/>
      <c r="AB1283" s="49"/>
      <c r="AC1283" s="49"/>
      <c r="AD1283" s="49"/>
      <c r="AE1283" s="49"/>
      <c r="AF1283" s="49"/>
      <c r="AG1283" s="49"/>
      <c r="AH1283" s="49" t="b">
        <f>IFERROR(__xludf.DUMMYFUNCTION("""COMPUTED_VALUE"""),FALSE)</f>
        <v>0</v>
      </c>
    </row>
    <row r="1284">
      <c r="A1284" s="49"/>
      <c r="B1284" s="49"/>
      <c r="C1284" s="49"/>
      <c r="D1284" s="49"/>
      <c r="E1284" s="49">
        <f>IFERROR(__xludf.DUMMYFUNCTION("""COMPUTED_VALUE"""),1.0)</f>
        <v>1</v>
      </c>
      <c r="F1284" s="112">
        <f>IFERROR(__xludf.DUMMYFUNCTION("""COMPUTED_VALUE"""),0.0)</f>
        <v>0</v>
      </c>
      <c r="G1284" s="49"/>
      <c r="H1284" s="49"/>
      <c r="I1284" s="49"/>
      <c r="J1284" s="49"/>
      <c r="K1284" s="49"/>
      <c r="L1284" s="49"/>
      <c r="M1284" s="49"/>
      <c r="N1284" s="49"/>
      <c r="O1284" s="49"/>
      <c r="P1284" s="49"/>
      <c r="Q1284" s="49"/>
      <c r="R1284" s="49"/>
      <c r="S1284" s="49"/>
      <c r="T1284" s="49"/>
      <c r="U1284" s="49"/>
      <c r="V1284" s="49"/>
      <c r="W1284" s="49"/>
      <c r="X1284" s="49"/>
      <c r="Y1284" s="49"/>
      <c r="Z1284" s="49"/>
      <c r="AA1284" s="49"/>
      <c r="AB1284" s="49"/>
      <c r="AC1284" s="49"/>
      <c r="AD1284" s="49"/>
      <c r="AE1284" s="49"/>
      <c r="AF1284" s="49"/>
      <c r="AG1284" s="49"/>
      <c r="AH1284" s="49" t="b">
        <f>IFERROR(__xludf.DUMMYFUNCTION("""COMPUTED_VALUE"""),FALSE)</f>
        <v>0</v>
      </c>
    </row>
    <row r="1285">
      <c r="A1285" s="49"/>
      <c r="B1285" s="49"/>
      <c r="C1285" s="49"/>
      <c r="D1285" s="49"/>
      <c r="E1285" s="49">
        <f>IFERROR(__xludf.DUMMYFUNCTION("""COMPUTED_VALUE"""),1.0)</f>
        <v>1</v>
      </c>
      <c r="F1285" s="112">
        <f>IFERROR(__xludf.DUMMYFUNCTION("""COMPUTED_VALUE"""),0.0)</f>
        <v>0</v>
      </c>
      <c r="G1285" s="49"/>
      <c r="H1285" s="49"/>
      <c r="I1285" s="49"/>
      <c r="J1285" s="49"/>
      <c r="K1285" s="49"/>
      <c r="L1285" s="49"/>
      <c r="M1285" s="49"/>
      <c r="N1285" s="49"/>
      <c r="O1285" s="49"/>
      <c r="P1285" s="49"/>
      <c r="Q1285" s="49"/>
      <c r="R1285" s="49"/>
      <c r="S1285" s="49"/>
      <c r="T1285" s="49"/>
      <c r="U1285" s="49"/>
      <c r="V1285" s="49"/>
      <c r="W1285" s="49"/>
      <c r="X1285" s="49"/>
      <c r="Y1285" s="49"/>
      <c r="Z1285" s="49"/>
      <c r="AA1285" s="49"/>
      <c r="AB1285" s="49"/>
      <c r="AC1285" s="49"/>
      <c r="AD1285" s="49"/>
      <c r="AE1285" s="49"/>
      <c r="AF1285" s="49"/>
      <c r="AG1285" s="49"/>
      <c r="AH1285" s="49" t="b">
        <f>IFERROR(__xludf.DUMMYFUNCTION("""COMPUTED_VALUE"""),FALSE)</f>
        <v>0</v>
      </c>
    </row>
    <row r="1286">
      <c r="A1286" s="49"/>
      <c r="B1286" s="49"/>
      <c r="C1286" s="49"/>
      <c r="D1286" s="49"/>
      <c r="E1286" s="49">
        <f>IFERROR(__xludf.DUMMYFUNCTION("""COMPUTED_VALUE"""),1.0)</f>
        <v>1</v>
      </c>
      <c r="F1286" s="112">
        <f>IFERROR(__xludf.DUMMYFUNCTION("""COMPUTED_VALUE"""),0.0)</f>
        <v>0</v>
      </c>
      <c r="G1286" s="49"/>
      <c r="H1286" s="49"/>
      <c r="I1286" s="49"/>
      <c r="J1286" s="49"/>
      <c r="K1286" s="49"/>
      <c r="L1286" s="49"/>
      <c r="M1286" s="49"/>
      <c r="N1286" s="49"/>
      <c r="O1286" s="49"/>
      <c r="P1286" s="49"/>
      <c r="Q1286" s="49"/>
      <c r="R1286" s="49"/>
      <c r="S1286" s="49"/>
      <c r="T1286" s="49"/>
      <c r="U1286" s="49"/>
      <c r="V1286" s="49"/>
      <c r="W1286" s="49"/>
      <c r="X1286" s="49"/>
      <c r="Y1286" s="49"/>
      <c r="Z1286" s="49"/>
      <c r="AA1286" s="49"/>
      <c r="AB1286" s="49"/>
      <c r="AC1286" s="49"/>
      <c r="AD1286" s="49"/>
      <c r="AE1286" s="49"/>
      <c r="AF1286" s="49"/>
      <c r="AG1286" s="49"/>
      <c r="AH1286" s="49" t="b">
        <f>IFERROR(__xludf.DUMMYFUNCTION("""COMPUTED_VALUE"""),FALSE)</f>
        <v>0</v>
      </c>
    </row>
    <row r="1287">
      <c r="A1287" s="49"/>
      <c r="B1287" s="49"/>
      <c r="C1287" s="49"/>
      <c r="D1287" s="49"/>
      <c r="E1287" s="49">
        <f>IFERROR(__xludf.DUMMYFUNCTION("""COMPUTED_VALUE"""),1.0)</f>
        <v>1</v>
      </c>
      <c r="F1287" s="112">
        <f>IFERROR(__xludf.DUMMYFUNCTION("""COMPUTED_VALUE"""),0.0)</f>
        <v>0</v>
      </c>
      <c r="G1287" s="49"/>
      <c r="H1287" s="49"/>
      <c r="I1287" s="49"/>
      <c r="J1287" s="49"/>
      <c r="K1287" s="49"/>
      <c r="L1287" s="49"/>
      <c r="M1287" s="49"/>
      <c r="N1287" s="49"/>
      <c r="O1287" s="49"/>
      <c r="P1287" s="49"/>
      <c r="Q1287" s="49"/>
      <c r="R1287" s="49"/>
      <c r="S1287" s="49"/>
      <c r="T1287" s="49"/>
      <c r="U1287" s="49"/>
      <c r="V1287" s="49"/>
      <c r="W1287" s="49"/>
      <c r="X1287" s="49"/>
      <c r="Y1287" s="49"/>
      <c r="Z1287" s="49"/>
      <c r="AA1287" s="49"/>
      <c r="AB1287" s="49"/>
      <c r="AC1287" s="49"/>
      <c r="AD1287" s="49"/>
      <c r="AE1287" s="49"/>
      <c r="AF1287" s="49"/>
      <c r="AG1287" s="49"/>
      <c r="AH1287" s="49" t="b">
        <f>IFERROR(__xludf.DUMMYFUNCTION("""COMPUTED_VALUE"""),FALSE)</f>
        <v>0</v>
      </c>
    </row>
    <row r="1288">
      <c r="A1288" s="49"/>
      <c r="B1288" s="49"/>
      <c r="C1288" s="49"/>
      <c r="D1288" s="49"/>
      <c r="E1288" s="49">
        <f>IFERROR(__xludf.DUMMYFUNCTION("""COMPUTED_VALUE"""),1.0)</f>
        <v>1</v>
      </c>
      <c r="F1288" s="112">
        <f>IFERROR(__xludf.DUMMYFUNCTION("""COMPUTED_VALUE"""),0.0)</f>
        <v>0</v>
      </c>
      <c r="G1288" s="49"/>
      <c r="H1288" s="49"/>
      <c r="I1288" s="49"/>
      <c r="J1288" s="49"/>
      <c r="K1288" s="49"/>
      <c r="L1288" s="49"/>
      <c r="M1288" s="49"/>
      <c r="N1288" s="49"/>
      <c r="O1288" s="49"/>
      <c r="P1288" s="49"/>
      <c r="Q1288" s="49"/>
      <c r="R1288" s="49"/>
      <c r="S1288" s="49"/>
      <c r="T1288" s="49"/>
      <c r="U1288" s="49"/>
      <c r="V1288" s="49"/>
      <c r="W1288" s="49"/>
      <c r="X1288" s="49"/>
      <c r="Y1288" s="49"/>
      <c r="Z1288" s="49"/>
      <c r="AA1288" s="49"/>
      <c r="AB1288" s="49"/>
      <c r="AC1288" s="49"/>
      <c r="AD1288" s="49"/>
      <c r="AE1288" s="49"/>
      <c r="AF1288" s="49"/>
      <c r="AG1288" s="49"/>
      <c r="AH1288" s="49" t="b">
        <f>IFERROR(__xludf.DUMMYFUNCTION("""COMPUTED_VALUE"""),FALSE)</f>
        <v>0</v>
      </c>
    </row>
    <row r="1289">
      <c r="A1289" s="49"/>
      <c r="B1289" s="49"/>
      <c r="C1289" s="49"/>
      <c r="D1289" s="49"/>
      <c r="E1289" s="49">
        <f>IFERROR(__xludf.DUMMYFUNCTION("""COMPUTED_VALUE"""),1.0)</f>
        <v>1</v>
      </c>
      <c r="F1289" s="112">
        <f>IFERROR(__xludf.DUMMYFUNCTION("""COMPUTED_VALUE"""),0.0)</f>
        <v>0</v>
      </c>
      <c r="G1289" s="49"/>
      <c r="H1289" s="49"/>
      <c r="I1289" s="49"/>
      <c r="J1289" s="49"/>
      <c r="K1289" s="49"/>
      <c r="L1289" s="49"/>
      <c r="M1289" s="49"/>
      <c r="N1289" s="49"/>
      <c r="O1289" s="49"/>
      <c r="P1289" s="49"/>
      <c r="Q1289" s="49"/>
      <c r="R1289" s="49"/>
      <c r="S1289" s="49"/>
      <c r="T1289" s="49"/>
      <c r="U1289" s="49"/>
      <c r="V1289" s="49"/>
      <c r="W1289" s="49"/>
      <c r="X1289" s="49"/>
      <c r="Y1289" s="49"/>
      <c r="Z1289" s="49"/>
      <c r="AA1289" s="49"/>
      <c r="AB1289" s="49"/>
      <c r="AC1289" s="49"/>
      <c r="AD1289" s="49"/>
      <c r="AE1289" s="49"/>
      <c r="AF1289" s="49"/>
      <c r="AG1289" s="49"/>
      <c r="AH1289" s="49" t="b">
        <f>IFERROR(__xludf.DUMMYFUNCTION("""COMPUTED_VALUE"""),FALSE)</f>
        <v>0</v>
      </c>
    </row>
    <row r="1290">
      <c r="A1290" s="49"/>
      <c r="B1290" s="49"/>
      <c r="C1290" s="49"/>
      <c r="D1290" s="49"/>
      <c r="E1290" s="49">
        <f>IFERROR(__xludf.DUMMYFUNCTION("""COMPUTED_VALUE"""),1.0)</f>
        <v>1</v>
      </c>
      <c r="F1290" s="112">
        <f>IFERROR(__xludf.DUMMYFUNCTION("""COMPUTED_VALUE"""),0.0)</f>
        <v>0</v>
      </c>
      <c r="G1290" s="49"/>
      <c r="H1290" s="49"/>
      <c r="I1290" s="49"/>
      <c r="J1290" s="49"/>
      <c r="K1290" s="49"/>
      <c r="L1290" s="49"/>
      <c r="M1290" s="49"/>
      <c r="N1290" s="49"/>
      <c r="O1290" s="49"/>
      <c r="P1290" s="49"/>
      <c r="Q1290" s="49"/>
      <c r="R1290" s="49"/>
      <c r="S1290" s="49"/>
      <c r="T1290" s="49"/>
      <c r="U1290" s="49"/>
      <c r="V1290" s="49"/>
      <c r="W1290" s="49"/>
      <c r="X1290" s="49"/>
      <c r="Y1290" s="49"/>
      <c r="Z1290" s="49"/>
      <c r="AA1290" s="49"/>
      <c r="AB1290" s="49"/>
      <c r="AC1290" s="49"/>
      <c r="AD1290" s="49"/>
      <c r="AE1290" s="49"/>
      <c r="AF1290" s="49"/>
      <c r="AG1290" s="49"/>
      <c r="AH1290" s="49" t="b">
        <f>IFERROR(__xludf.DUMMYFUNCTION("""COMPUTED_VALUE"""),FALSE)</f>
        <v>0</v>
      </c>
    </row>
    <row r="1291">
      <c r="A1291" s="49"/>
      <c r="B1291" s="49"/>
      <c r="C1291" s="49"/>
      <c r="D1291" s="49"/>
      <c r="E1291" s="49">
        <f>IFERROR(__xludf.DUMMYFUNCTION("""COMPUTED_VALUE"""),1.0)</f>
        <v>1</v>
      </c>
      <c r="F1291" s="112">
        <f>IFERROR(__xludf.DUMMYFUNCTION("""COMPUTED_VALUE"""),0.0)</f>
        <v>0</v>
      </c>
      <c r="G1291" s="49"/>
      <c r="H1291" s="49"/>
      <c r="I1291" s="49"/>
      <c r="J1291" s="49"/>
      <c r="K1291" s="49"/>
      <c r="L1291" s="49"/>
      <c r="M1291" s="49"/>
      <c r="N1291" s="49"/>
      <c r="O1291" s="49"/>
      <c r="P1291" s="49"/>
      <c r="Q1291" s="49"/>
      <c r="R1291" s="49"/>
      <c r="S1291" s="49"/>
      <c r="T1291" s="49"/>
      <c r="U1291" s="49"/>
      <c r="V1291" s="49"/>
      <c r="W1291" s="49"/>
      <c r="X1291" s="49"/>
      <c r="Y1291" s="49"/>
      <c r="Z1291" s="49"/>
      <c r="AA1291" s="49"/>
      <c r="AB1291" s="49"/>
      <c r="AC1291" s="49"/>
      <c r="AD1291" s="49"/>
      <c r="AE1291" s="49"/>
      <c r="AF1291" s="49"/>
      <c r="AG1291" s="49"/>
      <c r="AH1291" s="49" t="b">
        <f>IFERROR(__xludf.DUMMYFUNCTION("""COMPUTED_VALUE"""),FALSE)</f>
        <v>0</v>
      </c>
    </row>
    <row r="1292">
      <c r="A1292" s="49"/>
      <c r="B1292" s="49"/>
      <c r="C1292" s="49"/>
      <c r="D1292" s="49"/>
      <c r="E1292" s="49">
        <f>IFERROR(__xludf.DUMMYFUNCTION("""COMPUTED_VALUE"""),1.0)</f>
        <v>1</v>
      </c>
      <c r="F1292" s="112">
        <f>IFERROR(__xludf.DUMMYFUNCTION("""COMPUTED_VALUE"""),0.0)</f>
        <v>0</v>
      </c>
      <c r="G1292" s="49"/>
      <c r="H1292" s="49"/>
      <c r="I1292" s="49"/>
      <c r="J1292" s="49"/>
      <c r="K1292" s="49"/>
      <c r="L1292" s="49"/>
      <c r="M1292" s="49"/>
      <c r="N1292" s="49"/>
      <c r="O1292" s="49"/>
      <c r="P1292" s="49"/>
      <c r="Q1292" s="49"/>
      <c r="R1292" s="49"/>
      <c r="S1292" s="49"/>
      <c r="T1292" s="49"/>
      <c r="U1292" s="49"/>
      <c r="V1292" s="49"/>
      <c r="W1292" s="49"/>
      <c r="X1292" s="49"/>
      <c r="Y1292" s="49"/>
      <c r="Z1292" s="49"/>
      <c r="AA1292" s="49"/>
      <c r="AB1292" s="49"/>
      <c r="AC1292" s="49"/>
      <c r="AD1292" s="49"/>
      <c r="AE1292" s="49"/>
      <c r="AF1292" s="49"/>
      <c r="AG1292" s="49"/>
      <c r="AH1292" s="49" t="b">
        <f>IFERROR(__xludf.DUMMYFUNCTION("""COMPUTED_VALUE"""),FALSE)</f>
        <v>0</v>
      </c>
    </row>
    <row r="1293">
      <c r="A1293" s="49"/>
      <c r="B1293" s="49"/>
      <c r="C1293" s="49"/>
      <c r="D1293" s="49"/>
      <c r="E1293" s="49">
        <f>IFERROR(__xludf.DUMMYFUNCTION("""COMPUTED_VALUE"""),1.0)</f>
        <v>1</v>
      </c>
      <c r="F1293" s="112">
        <f>IFERROR(__xludf.DUMMYFUNCTION("""COMPUTED_VALUE"""),0.0)</f>
        <v>0</v>
      </c>
      <c r="G1293" s="49"/>
      <c r="H1293" s="49"/>
      <c r="I1293" s="49"/>
      <c r="J1293" s="49"/>
      <c r="K1293" s="49"/>
      <c r="L1293" s="49"/>
      <c r="M1293" s="49"/>
      <c r="N1293" s="49"/>
      <c r="O1293" s="49"/>
      <c r="P1293" s="49"/>
      <c r="Q1293" s="49"/>
      <c r="R1293" s="49"/>
      <c r="S1293" s="49"/>
      <c r="T1293" s="49"/>
      <c r="U1293" s="49"/>
      <c r="V1293" s="49"/>
      <c r="W1293" s="49"/>
      <c r="X1293" s="49"/>
      <c r="Y1293" s="49"/>
      <c r="Z1293" s="49"/>
      <c r="AA1293" s="49"/>
      <c r="AB1293" s="49"/>
      <c r="AC1293" s="49"/>
      <c r="AD1293" s="49"/>
      <c r="AE1293" s="49"/>
      <c r="AF1293" s="49"/>
      <c r="AG1293" s="49"/>
      <c r="AH1293" s="49" t="b">
        <f>IFERROR(__xludf.DUMMYFUNCTION("""COMPUTED_VALUE"""),FALSE)</f>
        <v>0</v>
      </c>
    </row>
    <row r="1294">
      <c r="A1294" s="49"/>
      <c r="B1294" s="49"/>
      <c r="C1294" s="49"/>
      <c r="D1294" s="49"/>
      <c r="E1294" s="49">
        <f>IFERROR(__xludf.DUMMYFUNCTION("""COMPUTED_VALUE"""),1.0)</f>
        <v>1</v>
      </c>
      <c r="F1294" s="112">
        <f>IFERROR(__xludf.DUMMYFUNCTION("""COMPUTED_VALUE"""),0.0)</f>
        <v>0</v>
      </c>
      <c r="G1294" s="49"/>
      <c r="H1294" s="49"/>
      <c r="I1294" s="49"/>
      <c r="J1294" s="49"/>
      <c r="K1294" s="49"/>
      <c r="L1294" s="49"/>
      <c r="M1294" s="49"/>
      <c r="N1294" s="49"/>
      <c r="O1294" s="49"/>
      <c r="P1294" s="49"/>
      <c r="Q1294" s="49"/>
      <c r="R1294" s="49"/>
      <c r="S1294" s="49"/>
      <c r="T1294" s="49"/>
      <c r="U1294" s="49"/>
      <c r="V1294" s="49"/>
      <c r="W1294" s="49"/>
      <c r="X1294" s="49"/>
      <c r="Y1294" s="49"/>
      <c r="Z1294" s="49"/>
      <c r="AA1294" s="49"/>
      <c r="AB1294" s="49"/>
      <c r="AC1294" s="49"/>
      <c r="AD1294" s="49"/>
      <c r="AE1294" s="49"/>
      <c r="AF1294" s="49"/>
      <c r="AG1294" s="49"/>
      <c r="AH1294" s="49" t="b">
        <f>IFERROR(__xludf.DUMMYFUNCTION("""COMPUTED_VALUE"""),FALSE)</f>
        <v>0</v>
      </c>
    </row>
    <row r="1295">
      <c r="A1295" s="49"/>
      <c r="B1295" s="49"/>
      <c r="C1295" s="49"/>
      <c r="D1295" s="49"/>
      <c r="E1295" s="49">
        <f>IFERROR(__xludf.DUMMYFUNCTION("""COMPUTED_VALUE"""),1.0)</f>
        <v>1</v>
      </c>
      <c r="F1295" s="112">
        <f>IFERROR(__xludf.DUMMYFUNCTION("""COMPUTED_VALUE"""),0.0)</f>
        <v>0</v>
      </c>
      <c r="G1295" s="49"/>
      <c r="H1295" s="49"/>
      <c r="I1295" s="49"/>
      <c r="J1295" s="49"/>
      <c r="K1295" s="49"/>
      <c r="L1295" s="49"/>
      <c r="M1295" s="49"/>
      <c r="N1295" s="49"/>
      <c r="O1295" s="49"/>
      <c r="P1295" s="49"/>
      <c r="Q1295" s="49"/>
      <c r="R1295" s="49"/>
      <c r="S1295" s="49"/>
      <c r="T1295" s="49"/>
      <c r="U1295" s="49"/>
      <c r="V1295" s="49"/>
      <c r="W1295" s="49"/>
      <c r="X1295" s="49"/>
      <c r="Y1295" s="49"/>
      <c r="Z1295" s="49"/>
      <c r="AA1295" s="49"/>
      <c r="AB1295" s="49"/>
      <c r="AC1295" s="49"/>
      <c r="AD1295" s="49"/>
      <c r="AE1295" s="49"/>
      <c r="AF1295" s="49"/>
      <c r="AG1295" s="49"/>
      <c r="AH1295" s="49" t="b">
        <f>IFERROR(__xludf.DUMMYFUNCTION("""COMPUTED_VALUE"""),FALSE)</f>
        <v>0</v>
      </c>
    </row>
    <row r="1296">
      <c r="A1296" s="49"/>
      <c r="B1296" s="49"/>
      <c r="C1296" s="49"/>
      <c r="D1296" s="49"/>
      <c r="E1296" s="49">
        <f>IFERROR(__xludf.DUMMYFUNCTION("""COMPUTED_VALUE"""),1.0)</f>
        <v>1</v>
      </c>
      <c r="F1296" s="112">
        <f>IFERROR(__xludf.DUMMYFUNCTION("""COMPUTED_VALUE"""),0.0)</f>
        <v>0</v>
      </c>
      <c r="G1296" s="49"/>
      <c r="H1296" s="49"/>
      <c r="I1296" s="49"/>
      <c r="J1296" s="49"/>
      <c r="K1296" s="49"/>
      <c r="L1296" s="49"/>
      <c r="M1296" s="49"/>
      <c r="N1296" s="49"/>
      <c r="O1296" s="49"/>
      <c r="P1296" s="49"/>
      <c r="Q1296" s="49"/>
      <c r="R1296" s="49"/>
      <c r="S1296" s="49"/>
      <c r="T1296" s="49"/>
      <c r="U1296" s="49"/>
      <c r="V1296" s="49"/>
      <c r="W1296" s="49"/>
      <c r="X1296" s="49"/>
      <c r="Y1296" s="49"/>
      <c r="Z1296" s="49"/>
      <c r="AA1296" s="49"/>
      <c r="AB1296" s="49"/>
      <c r="AC1296" s="49"/>
      <c r="AD1296" s="49"/>
      <c r="AE1296" s="49"/>
      <c r="AF1296" s="49"/>
      <c r="AG1296" s="49"/>
      <c r="AH1296" s="49" t="b">
        <f>IFERROR(__xludf.DUMMYFUNCTION("""COMPUTED_VALUE"""),FALSE)</f>
        <v>0</v>
      </c>
    </row>
    <row r="1297">
      <c r="A1297" s="49"/>
      <c r="B1297" s="49"/>
      <c r="C1297" s="49"/>
      <c r="D1297" s="49"/>
      <c r="E1297" s="49">
        <f>IFERROR(__xludf.DUMMYFUNCTION("""COMPUTED_VALUE"""),1.0)</f>
        <v>1</v>
      </c>
      <c r="F1297" s="112">
        <f>IFERROR(__xludf.DUMMYFUNCTION("""COMPUTED_VALUE"""),0.0)</f>
        <v>0</v>
      </c>
      <c r="G1297" s="49"/>
      <c r="H1297" s="49"/>
      <c r="I1297" s="49"/>
      <c r="J1297" s="49"/>
      <c r="K1297" s="49"/>
      <c r="L1297" s="49"/>
      <c r="M1297" s="49"/>
      <c r="N1297" s="49"/>
      <c r="O1297" s="49"/>
      <c r="P1297" s="49"/>
      <c r="Q1297" s="49"/>
      <c r="R1297" s="49"/>
      <c r="S1297" s="49"/>
      <c r="T1297" s="49"/>
      <c r="U1297" s="49"/>
      <c r="V1297" s="49"/>
      <c r="W1297" s="49"/>
      <c r="X1297" s="49"/>
      <c r="Y1297" s="49"/>
      <c r="Z1297" s="49"/>
      <c r="AA1297" s="49"/>
      <c r="AB1297" s="49"/>
      <c r="AC1297" s="49"/>
      <c r="AD1297" s="49"/>
      <c r="AE1297" s="49"/>
      <c r="AF1297" s="49"/>
      <c r="AG1297" s="49"/>
      <c r="AH1297" s="49" t="b">
        <f>IFERROR(__xludf.DUMMYFUNCTION("""COMPUTED_VALUE"""),FALSE)</f>
        <v>0</v>
      </c>
    </row>
    <row r="1298">
      <c r="A1298" s="49"/>
      <c r="B1298" s="49"/>
      <c r="C1298" s="49"/>
      <c r="D1298" s="49"/>
      <c r="E1298" s="49">
        <f>IFERROR(__xludf.DUMMYFUNCTION("""COMPUTED_VALUE"""),1.0)</f>
        <v>1</v>
      </c>
      <c r="F1298" s="112">
        <f>IFERROR(__xludf.DUMMYFUNCTION("""COMPUTED_VALUE"""),0.0)</f>
        <v>0</v>
      </c>
      <c r="G1298" s="49"/>
      <c r="H1298" s="49"/>
      <c r="I1298" s="49"/>
      <c r="J1298" s="49"/>
      <c r="K1298" s="49"/>
      <c r="L1298" s="49"/>
      <c r="M1298" s="49"/>
      <c r="N1298" s="49"/>
      <c r="O1298" s="49"/>
      <c r="P1298" s="49"/>
      <c r="Q1298" s="49"/>
      <c r="R1298" s="49"/>
      <c r="S1298" s="49"/>
      <c r="T1298" s="49"/>
      <c r="U1298" s="49"/>
      <c r="V1298" s="49"/>
      <c r="W1298" s="49"/>
      <c r="X1298" s="49"/>
      <c r="Y1298" s="49"/>
      <c r="Z1298" s="49"/>
      <c r="AA1298" s="49"/>
      <c r="AB1298" s="49"/>
      <c r="AC1298" s="49"/>
      <c r="AD1298" s="49"/>
      <c r="AE1298" s="49"/>
      <c r="AF1298" s="49"/>
      <c r="AG1298" s="49"/>
      <c r="AH1298" s="49" t="b">
        <f>IFERROR(__xludf.DUMMYFUNCTION("""COMPUTED_VALUE"""),FALSE)</f>
        <v>0</v>
      </c>
    </row>
    <row r="1299">
      <c r="A1299" s="49"/>
      <c r="B1299" s="49"/>
      <c r="C1299" s="49"/>
      <c r="D1299" s="49"/>
      <c r="E1299" s="49">
        <f>IFERROR(__xludf.DUMMYFUNCTION("""COMPUTED_VALUE"""),1.0)</f>
        <v>1</v>
      </c>
      <c r="F1299" s="112">
        <f>IFERROR(__xludf.DUMMYFUNCTION("""COMPUTED_VALUE"""),0.0)</f>
        <v>0</v>
      </c>
      <c r="G1299" s="49"/>
      <c r="H1299" s="49"/>
      <c r="I1299" s="49"/>
      <c r="J1299" s="49"/>
      <c r="K1299" s="49"/>
      <c r="L1299" s="49"/>
      <c r="M1299" s="49"/>
      <c r="N1299" s="49"/>
      <c r="O1299" s="49"/>
      <c r="P1299" s="49"/>
      <c r="Q1299" s="49"/>
      <c r="R1299" s="49"/>
      <c r="S1299" s="49"/>
      <c r="T1299" s="49"/>
      <c r="U1299" s="49"/>
      <c r="V1299" s="49"/>
      <c r="W1299" s="49"/>
      <c r="X1299" s="49"/>
      <c r="Y1299" s="49"/>
      <c r="Z1299" s="49"/>
      <c r="AA1299" s="49"/>
      <c r="AB1299" s="49"/>
      <c r="AC1299" s="49"/>
      <c r="AD1299" s="49"/>
      <c r="AE1299" s="49"/>
      <c r="AF1299" s="49"/>
      <c r="AG1299" s="49"/>
      <c r="AH1299" s="49" t="b">
        <f>IFERROR(__xludf.DUMMYFUNCTION("""COMPUTED_VALUE"""),FALSE)</f>
        <v>0</v>
      </c>
    </row>
    <row r="1300">
      <c r="A1300" s="49"/>
      <c r="B1300" s="49"/>
      <c r="C1300" s="49"/>
      <c r="D1300" s="49"/>
      <c r="E1300" s="49">
        <f>IFERROR(__xludf.DUMMYFUNCTION("""COMPUTED_VALUE"""),1.0)</f>
        <v>1</v>
      </c>
      <c r="F1300" s="112">
        <f>IFERROR(__xludf.DUMMYFUNCTION("""COMPUTED_VALUE"""),0.0)</f>
        <v>0</v>
      </c>
      <c r="G1300" s="49"/>
      <c r="H1300" s="49"/>
      <c r="I1300" s="49"/>
      <c r="J1300" s="49"/>
      <c r="K1300" s="49"/>
      <c r="L1300" s="49"/>
      <c r="M1300" s="49"/>
      <c r="N1300" s="49"/>
      <c r="O1300" s="49"/>
      <c r="P1300" s="49"/>
      <c r="Q1300" s="49"/>
      <c r="R1300" s="49"/>
      <c r="S1300" s="49"/>
      <c r="T1300" s="49"/>
      <c r="U1300" s="49"/>
      <c r="V1300" s="49"/>
      <c r="W1300" s="49"/>
      <c r="X1300" s="49"/>
      <c r="Y1300" s="49"/>
      <c r="Z1300" s="49"/>
      <c r="AA1300" s="49"/>
      <c r="AB1300" s="49"/>
      <c r="AC1300" s="49"/>
      <c r="AD1300" s="49"/>
      <c r="AE1300" s="49"/>
      <c r="AF1300" s="49"/>
      <c r="AG1300" s="49"/>
      <c r="AH1300" s="49" t="b">
        <f>IFERROR(__xludf.DUMMYFUNCTION("""COMPUTED_VALUE"""),FALSE)</f>
        <v>0</v>
      </c>
    </row>
    <row r="1301">
      <c r="A1301" s="49"/>
      <c r="B1301" s="49"/>
      <c r="C1301" s="49"/>
      <c r="D1301" s="49"/>
      <c r="E1301" s="49">
        <f>IFERROR(__xludf.DUMMYFUNCTION("""COMPUTED_VALUE"""),1.0)</f>
        <v>1</v>
      </c>
      <c r="F1301" s="112">
        <f>IFERROR(__xludf.DUMMYFUNCTION("""COMPUTED_VALUE"""),0.0)</f>
        <v>0</v>
      </c>
      <c r="G1301" s="49"/>
      <c r="H1301" s="49"/>
      <c r="I1301" s="49"/>
      <c r="J1301" s="49"/>
      <c r="K1301" s="49"/>
      <c r="L1301" s="49"/>
      <c r="M1301" s="49"/>
      <c r="N1301" s="49"/>
      <c r="O1301" s="49"/>
      <c r="P1301" s="49"/>
      <c r="Q1301" s="49"/>
      <c r="R1301" s="49"/>
      <c r="S1301" s="49"/>
      <c r="T1301" s="49"/>
      <c r="U1301" s="49"/>
      <c r="V1301" s="49"/>
      <c r="W1301" s="49"/>
      <c r="X1301" s="49"/>
      <c r="Y1301" s="49"/>
      <c r="Z1301" s="49"/>
      <c r="AA1301" s="49"/>
      <c r="AB1301" s="49"/>
      <c r="AC1301" s="49"/>
      <c r="AD1301" s="49"/>
      <c r="AE1301" s="49"/>
      <c r="AF1301" s="49"/>
      <c r="AG1301" s="49"/>
      <c r="AH1301" s="49" t="b">
        <f>IFERROR(__xludf.DUMMYFUNCTION("""COMPUTED_VALUE"""),FALSE)</f>
        <v>0</v>
      </c>
    </row>
    <row r="1302">
      <c r="A1302" s="49"/>
      <c r="B1302" s="49"/>
      <c r="C1302" s="49"/>
      <c r="D1302" s="49"/>
      <c r="E1302" s="49">
        <f>IFERROR(__xludf.DUMMYFUNCTION("""COMPUTED_VALUE"""),1.0)</f>
        <v>1</v>
      </c>
      <c r="F1302" s="112">
        <f>IFERROR(__xludf.DUMMYFUNCTION("""COMPUTED_VALUE"""),0.0)</f>
        <v>0</v>
      </c>
      <c r="G1302" s="49"/>
      <c r="H1302" s="49"/>
      <c r="I1302" s="49"/>
      <c r="J1302" s="49"/>
      <c r="K1302" s="49"/>
      <c r="L1302" s="49"/>
      <c r="M1302" s="49"/>
      <c r="N1302" s="49"/>
      <c r="O1302" s="49"/>
      <c r="P1302" s="49"/>
      <c r="Q1302" s="49"/>
      <c r="R1302" s="49"/>
      <c r="S1302" s="49"/>
      <c r="T1302" s="49"/>
      <c r="U1302" s="49"/>
      <c r="V1302" s="49"/>
      <c r="W1302" s="49"/>
      <c r="X1302" s="49"/>
      <c r="Y1302" s="49"/>
      <c r="Z1302" s="49"/>
      <c r="AA1302" s="49"/>
      <c r="AB1302" s="49"/>
      <c r="AC1302" s="49"/>
      <c r="AD1302" s="49"/>
      <c r="AE1302" s="49"/>
      <c r="AF1302" s="49"/>
      <c r="AG1302" s="49"/>
      <c r="AH1302" s="49" t="b">
        <f>IFERROR(__xludf.DUMMYFUNCTION("""COMPUTED_VALUE"""),FALSE)</f>
        <v>0</v>
      </c>
    </row>
    <row r="1303">
      <c r="A1303" s="49"/>
      <c r="B1303" s="49"/>
      <c r="C1303" s="49"/>
      <c r="D1303" s="49"/>
      <c r="E1303" s="49">
        <f>IFERROR(__xludf.DUMMYFUNCTION("""COMPUTED_VALUE"""),1.0)</f>
        <v>1</v>
      </c>
      <c r="F1303" s="112">
        <f>IFERROR(__xludf.DUMMYFUNCTION("""COMPUTED_VALUE"""),0.0)</f>
        <v>0</v>
      </c>
      <c r="G1303" s="49"/>
      <c r="H1303" s="49"/>
      <c r="I1303" s="49"/>
      <c r="J1303" s="49"/>
      <c r="K1303" s="49"/>
      <c r="L1303" s="49"/>
      <c r="M1303" s="49"/>
      <c r="N1303" s="49"/>
      <c r="O1303" s="49"/>
      <c r="P1303" s="49"/>
      <c r="Q1303" s="49"/>
      <c r="R1303" s="49"/>
      <c r="S1303" s="49"/>
      <c r="T1303" s="49"/>
      <c r="U1303" s="49"/>
      <c r="V1303" s="49"/>
      <c r="W1303" s="49"/>
      <c r="X1303" s="49"/>
      <c r="Y1303" s="49"/>
      <c r="Z1303" s="49"/>
      <c r="AA1303" s="49"/>
      <c r="AB1303" s="49"/>
      <c r="AC1303" s="49"/>
      <c r="AD1303" s="49"/>
      <c r="AE1303" s="49"/>
      <c r="AF1303" s="49"/>
      <c r="AG1303" s="49"/>
      <c r="AH1303" s="49" t="b">
        <f>IFERROR(__xludf.DUMMYFUNCTION("""COMPUTED_VALUE"""),FALSE)</f>
        <v>0</v>
      </c>
    </row>
    <row r="1304">
      <c r="A1304" s="49"/>
      <c r="B1304" s="49"/>
      <c r="C1304" s="49"/>
      <c r="D1304" s="49"/>
      <c r="E1304" s="49">
        <f>IFERROR(__xludf.DUMMYFUNCTION("""COMPUTED_VALUE"""),1.0)</f>
        <v>1</v>
      </c>
      <c r="F1304" s="112">
        <f>IFERROR(__xludf.DUMMYFUNCTION("""COMPUTED_VALUE"""),0.0)</f>
        <v>0</v>
      </c>
      <c r="G1304" s="49"/>
      <c r="H1304" s="49"/>
      <c r="I1304" s="49"/>
      <c r="J1304" s="49"/>
      <c r="K1304" s="49"/>
      <c r="L1304" s="49"/>
      <c r="M1304" s="49"/>
      <c r="N1304" s="49"/>
      <c r="O1304" s="49"/>
      <c r="P1304" s="49"/>
      <c r="Q1304" s="49"/>
      <c r="R1304" s="49"/>
      <c r="S1304" s="49"/>
      <c r="T1304" s="49"/>
      <c r="U1304" s="49"/>
      <c r="V1304" s="49"/>
      <c r="W1304" s="49"/>
      <c r="X1304" s="49"/>
      <c r="Y1304" s="49"/>
      <c r="Z1304" s="49"/>
      <c r="AA1304" s="49"/>
      <c r="AB1304" s="49"/>
      <c r="AC1304" s="49"/>
      <c r="AD1304" s="49"/>
      <c r="AE1304" s="49"/>
      <c r="AF1304" s="49"/>
      <c r="AG1304" s="49"/>
      <c r="AH1304" s="49" t="b">
        <f>IFERROR(__xludf.DUMMYFUNCTION("""COMPUTED_VALUE"""),FALSE)</f>
        <v>0</v>
      </c>
    </row>
    <row r="1305">
      <c r="A1305" s="49"/>
      <c r="B1305" s="49"/>
      <c r="C1305" s="49"/>
      <c r="D1305" s="49"/>
      <c r="E1305" s="49">
        <f>IFERROR(__xludf.DUMMYFUNCTION("""COMPUTED_VALUE"""),1.0)</f>
        <v>1</v>
      </c>
      <c r="F1305" s="112">
        <f>IFERROR(__xludf.DUMMYFUNCTION("""COMPUTED_VALUE"""),0.0)</f>
        <v>0</v>
      </c>
      <c r="G1305" s="49"/>
      <c r="H1305" s="49"/>
      <c r="I1305" s="49"/>
      <c r="J1305" s="49"/>
      <c r="K1305" s="49"/>
      <c r="L1305" s="49"/>
      <c r="M1305" s="49"/>
      <c r="N1305" s="49"/>
      <c r="O1305" s="49"/>
      <c r="P1305" s="49"/>
      <c r="Q1305" s="49"/>
      <c r="R1305" s="49"/>
      <c r="S1305" s="49"/>
      <c r="T1305" s="49"/>
      <c r="U1305" s="49"/>
      <c r="V1305" s="49"/>
      <c r="W1305" s="49"/>
      <c r="X1305" s="49"/>
      <c r="Y1305" s="49"/>
      <c r="Z1305" s="49"/>
      <c r="AA1305" s="49"/>
      <c r="AB1305" s="49"/>
      <c r="AC1305" s="49"/>
      <c r="AD1305" s="49"/>
      <c r="AE1305" s="49"/>
      <c r="AF1305" s="49"/>
      <c r="AG1305" s="49"/>
      <c r="AH1305" s="49" t="b">
        <f>IFERROR(__xludf.DUMMYFUNCTION("""COMPUTED_VALUE"""),FALSE)</f>
        <v>0</v>
      </c>
    </row>
    <row r="1306">
      <c r="A1306" s="49"/>
      <c r="B1306" s="49"/>
      <c r="C1306" s="49"/>
      <c r="D1306" s="49"/>
      <c r="E1306" s="49">
        <f>IFERROR(__xludf.DUMMYFUNCTION("""COMPUTED_VALUE"""),1.0)</f>
        <v>1</v>
      </c>
      <c r="F1306" s="112">
        <f>IFERROR(__xludf.DUMMYFUNCTION("""COMPUTED_VALUE"""),0.0)</f>
        <v>0</v>
      </c>
      <c r="G1306" s="49"/>
      <c r="H1306" s="49"/>
      <c r="I1306" s="49"/>
      <c r="J1306" s="49"/>
      <c r="K1306" s="49"/>
      <c r="L1306" s="49"/>
      <c r="M1306" s="49"/>
      <c r="N1306" s="49"/>
      <c r="O1306" s="49"/>
      <c r="P1306" s="49"/>
      <c r="Q1306" s="49"/>
      <c r="R1306" s="49"/>
      <c r="S1306" s="49"/>
      <c r="T1306" s="49"/>
      <c r="U1306" s="49"/>
      <c r="V1306" s="49"/>
      <c r="W1306" s="49"/>
      <c r="X1306" s="49"/>
      <c r="Y1306" s="49"/>
      <c r="Z1306" s="49"/>
      <c r="AA1306" s="49"/>
      <c r="AB1306" s="49"/>
      <c r="AC1306" s="49"/>
      <c r="AD1306" s="49"/>
      <c r="AE1306" s="49"/>
      <c r="AF1306" s="49"/>
      <c r="AG1306" s="49"/>
      <c r="AH1306" s="49" t="b">
        <f>IFERROR(__xludf.DUMMYFUNCTION("""COMPUTED_VALUE"""),FALSE)</f>
        <v>0</v>
      </c>
    </row>
    <row r="1307">
      <c r="A1307" s="49"/>
      <c r="B1307" s="49"/>
      <c r="C1307" s="49"/>
      <c r="D1307" s="49"/>
      <c r="E1307" s="49">
        <f>IFERROR(__xludf.DUMMYFUNCTION("""COMPUTED_VALUE"""),1.0)</f>
        <v>1</v>
      </c>
      <c r="F1307" s="112">
        <f>IFERROR(__xludf.DUMMYFUNCTION("""COMPUTED_VALUE"""),0.0)</f>
        <v>0</v>
      </c>
      <c r="G1307" s="49"/>
      <c r="H1307" s="49"/>
      <c r="I1307" s="49"/>
      <c r="J1307" s="49"/>
      <c r="K1307" s="49"/>
      <c r="L1307" s="49"/>
      <c r="M1307" s="49"/>
      <c r="N1307" s="49"/>
      <c r="O1307" s="49"/>
      <c r="P1307" s="49"/>
      <c r="Q1307" s="49"/>
      <c r="R1307" s="49"/>
      <c r="S1307" s="49"/>
      <c r="T1307" s="49"/>
      <c r="U1307" s="49"/>
      <c r="V1307" s="49"/>
      <c r="W1307" s="49"/>
      <c r="X1307" s="49"/>
      <c r="Y1307" s="49"/>
      <c r="Z1307" s="49"/>
      <c r="AA1307" s="49"/>
      <c r="AB1307" s="49"/>
      <c r="AC1307" s="49"/>
      <c r="AD1307" s="49"/>
      <c r="AE1307" s="49"/>
      <c r="AF1307" s="49"/>
      <c r="AG1307" s="49"/>
      <c r="AH1307" s="49" t="b">
        <f>IFERROR(__xludf.DUMMYFUNCTION("""COMPUTED_VALUE"""),FALSE)</f>
        <v>0</v>
      </c>
    </row>
    <row r="1308">
      <c r="A1308" s="49"/>
      <c r="B1308" s="49"/>
      <c r="C1308" s="49"/>
      <c r="D1308" s="49"/>
      <c r="E1308" s="49">
        <f>IFERROR(__xludf.DUMMYFUNCTION("""COMPUTED_VALUE"""),1.0)</f>
        <v>1</v>
      </c>
      <c r="F1308" s="112">
        <f>IFERROR(__xludf.DUMMYFUNCTION("""COMPUTED_VALUE"""),0.0)</f>
        <v>0</v>
      </c>
      <c r="G1308" s="49"/>
      <c r="H1308" s="49"/>
      <c r="I1308" s="49"/>
      <c r="J1308" s="49"/>
      <c r="K1308" s="49"/>
      <c r="L1308" s="49"/>
      <c r="M1308" s="49"/>
      <c r="N1308" s="49"/>
      <c r="O1308" s="49"/>
      <c r="P1308" s="49"/>
      <c r="Q1308" s="49"/>
      <c r="R1308" s="49"/>
      <c r="S1308" s="49"/>
      <c r="T1308" s="49"/>
      <c r="U1308" s="49"/>
      <c r="V1308" s="49"/>
      <c r="W1308" s="49"/>
      <c r="X1308" s="49"/>
      <c r="Y1308" s="49"/>
      <c r="Z1308" s="49"/>
      <c r="AA1308" s="49"/>
      <c r="AB1308" s="49"/>
      <c r="AC1308" s="49"/>
      <c r="AD1308" s="49"/>
      <c r="AE1308" s="49"/>
      <c r="AF1308" s="49"/>
      <c r="AG1308" s="49"/>
      <c r="AH1308" s="49" t="b">
        <f>IFERROR(__xludf.DUMMYFUNCTION("""COMPUTED_VALUE"""),FALSE)</f>
        <v>0</v>
      </c>
    </row>
    <row r="1309">
      <c r="A1309" s="49"/>
      <c r="B1309" s="49"/>
      <c r="C1309" s="49"/>
      <c r="D1309" s="49"/>
      <c r="E1309" s="49">
        <f>IFERROR(__xludf.DUMMYFUNCTION("""COMPUTED_VALUE"""),1.0)</f>
        <v>1</v>
      </c>
      <c r="F1309" s="112">
        <f>IFERROR(__xludf.DUMMYFUNCTION("""COMPUTED_VALUE"""),0.0)</f>
        <v>0</v>
      </c>
      <c r="G1309" s="49"/>
      <c r="H1309" s="49"/>
      <c r="I1309" s="49"/>
      <c r="J1309" s="49"/>
      <c r="K1309" s="49"/>
      <c r="L1309" s="49"/>
      <c r="M1309" s="49"/>
      <c r="N1309" s="49"/>
      <c r="O1309" s="49"/>
      <c r="P1309" s="49"/>
      <c r="Q1309" s="49"/>
      <c r="R1309" s="49"/>
      <c r="S1309" s="49"/>
      <c r="T1309" s="49"/>
      <c r="U1309" s="49"/>
      <c r="V1309" s="49"/>
      <c r="W1309" s="49"/>
      <c r="X1309" s="49"/>
      <c r="Y1309" s="49"/>
      <c r="Z1309" s="49"/>
      <c r="AA1309" s="49"/>
      <c r="AB1309" s="49"/>
      <c r="AC1309" s="49"/>
      <c r="AD1309" s="49"/>
      <c r="AE1309" s="49"/>
      <c r="AF1309" s="49"/>
      <c r="AG1309" s="49"/>
      <c r="AH1309" s="49" t="b">
        <f>IFERROR(__xludf.DUMMYFUNCTION("""COMPUTED_VALUE"""),FALSE)</f>
        <v>0</v>
      </c>
    </row>
    <row r="1310">
      <c r="A1310" s="49"/>
      <c r="B1310" s="49"/>
      <c r="C1310" s="49"/>
      <c r="D1310" s="49"/>
      <c r="E1310" s="49">
        <f>IFERROR(__xludf.DUMMYFUNCTION("""COMPUTED_VALUE"""),1.0)</f>
        <v>1</v>
      </c>
      <c r="F1310" s="112">
        <f>IFERROR(__xludf.DUMMYFUNCTION("""COMPUTED_VALUE"""),0.0)</f>
        <v>0</v>
      </c>
      <c r="G1310" s="49"/>
      <c r="H1310" s="49"/>
      <c r="I1310" s="49"/>
      <c r="J1310" s="49"/>
      <c r="K1310" s="49"/>
      <c r="L1310" s="49"/>
      <c r="M1310" s="49"/>
      <c r="N1310" s="49"/>
      <c r="O1310" s="49"/>
      <c r="P1310" s="49"/>
      <c r="Q1310" s="49"/>
      <c r="R1310" s="49"/>
      <c r="S1310" s="49"/>
      <c r="T1310" s="49"/>
      <c r="U1310" s="49"/>
      <c r="V1310" s="49"/>
      <c r="W1310" s="49"/>
      <c r="X1310" s="49"/>
      <c r="Y1310" s="49"/>
      <c r="Z1310" s="49"/>
      <c r="AA1310" s="49"/>
      <c r="AB1310" s="49"/>
      <c r="AC1310" s="49"/>
      <c r="AD1310" s="49"/>
      <c r="AE1310" s="49"/>
      <c r="AF1310" s="49"/>
      <c r="AG1310" s="49"/>
      <c r="AH1310" s="49" t="b">
        <f>IFERROR(__xludf.DUMMYFUNCTION("""COMPUTED_VALUE"""),FALSE)</f>
        <v>0</v>
      </c>
    </row>
    <row r="1311">
      <c r="A1311" s="49"/>
      <c r="B1311" s="49"/>
      <c r="C1311" s="49"/>
      <c r="D1311" s="49"/>
      <c r="E1311" s="49">
        <f>IFERROR(__xludf.DUMMYFUNCTION("""COMPUTED_VALUE"""),1.0)</f>
        <v>1</v>
      </c>
      <c r="F1311" s="112">
        <f>IFERROR(__xludf.DUMMYFUNCTION("""COMPUTED_VALUE"""),0.0)</f>
        <v>0</v>
      </c>
      <c r="G1311" s="49"/>
      <c r="H1311" s="49"/>
      <c r="I1311" s="49"/>
      <c r="J1311" s="49"/>
      <c r="K1311" s="49"/>
      <c r="L1311" s="49"/>
      <c r="M1311" s="49"/>
      <c r="N1311" s="49"/>
      <c r="O1311" s="49"/>
      <c r="P1311" s="49"/>
      <c r="Q1311" s="49"/>
      <c r="R1311" s="49"/>
      <c r="S1311" s="49"/>
      <c r="T1311" s="49"/>
      <c r="U1311" s="49"/>
      <c r="V1311" s="49"/>
      <c r="W1311" s="49"/>
      <c r="X1311" s="49"/>
      <c r="Y1311" s="49"/>
      <c r="Z1311" s="49"/>
      <c r="AA1311" s="49"/>
      <c r="AB1311" s="49"/>
      <c r="AC1311" s="49"/>
      <c r="AD1311" s="49"/>
      <c r="AE1311" s="49"/>
      <c r="AF1311" s="49"/>
      <c r="AG1311" s="49"/>
      <c r="AH1311" s="49" t="b">
        <f>IFERROR(__xludf.DUMMYFUNCTION("""COMPUTED_VALUE"""),FALSE)</f>
        <v>0</v>
      </c>
    </row>
    <row r="1312">
      <c r="A1312" s="49"/>
      <c r="B1312" s="49"/>
      <c r="C1312" s="49"/>
      <c r="D1312" s="49"/>
      <c r="E1312" s="49">
        <f>IFERROR(__xludf.DUMMYFUNCTION("""COMPUTED_VALUE"""),1.0)</f>
        <v>1</v>
      </c>
      <c r="F1312" s="112">
        <f>IFERROR(__xludf.DUMMYFUNCTION("""COMPUTED_VALUE"""),0.0)</f>
        <v>0</v>
      </c>
      <c r="G1312" s="49"/>
      <c r="H1312" s="49"/>
      <c r="I1312" s="49"/>
      <c r="J1312" s="49"/>
      <c r="K1312" s="49"/>
      <c r="L1312" s="49"/>
      <c r="M1312" s="49"/>
      <c r="N1312" s="49"/>
      <c r="O1312" s="49"/>
      <c r="P1312" s="49"/>
      <c r="Q1312" s="49"/>
      <c r="R1312" s="49"/>
      <c r="S1312" s="49"/>
      <c r="T1312" s="49"/>
      <c r="U1312" s="49"/>
      <c r="V1312" s="49"/>
      <c r="W1312" s="49"/>
      <c r="X1312" s="49"/>
      <c r="Y1312" s="49"/>
      <c r="Z1312" s="49"/>
      <c r="AA1312" s="49"/>
      <c r="AB1312" s="49"/>
      <c r="AC1312" s="49"/>
      <c r="AD1312" s="49"/>
      <c r="AE1312" s="49"/>
      <c r="AF1312" s="49"/>
      <c r="AG1312" s="49"/>
      <c r="AH1312" s="49" t="b">
        <f>IFERROR(__xludf.DUMMYFUNCTION("""COMPUTED_VALUE"""),FALSE)</f>
        <v>0</v>
      </c>
    </row>
    <row r="1313">
      <c r="A1313" s="49"/>
      <c r="B1313" s="49"/>
      <c r="C1313" s="49"/>
      <c r="D1313" s="49"/>
      <c r="E1313" s="49">
        <f>IFERROR(__xludf.DUMMYFUNCTION("""COMPUTED_VALUE"""),1.0)</f>
        <v>1</v>
      </c>
      <c r="F1313" s="112">
        <f>IFERROR(__xludf.DUMMYFUNCTION("""COMPUTED_VALUE"""),0.0)</f>
        <v>0</v>
      </c>
      <c r="G1313" s="49"/>
      <c r="H1313" s="49"/>
      <c r="I1313" s="49"/>
      <c r="J1313" s="49"/>
      <c r="K1313" s="49"/>
      <c r="L1313" s="49"/>
      <c r="M1313" s="49"/>
      <c r="N1313" s="49"/>
      <c r="O1313" s="49"/>
      <c r="P1313" s="49"/>
      <c r="Q1313" s="49"/>
      <c r="R1313" s="49"/>
      <c r="S1313" s="49"/>
      <c r="T1313" s="49"/>
      <c r="U1313" s="49"/>
      <c r="V1313" s="49"/>
      <c r="W1313" s="49"/>
      <c r="X1313" s="49"/>
      <c r="Y1313" s="49"/>
      <c r="Z1313" s="49"/>
      <c r="AA1313" s="49"/>
      <c r="AB1313" s="49"/>
      <c r="AC1313" s="49"/>
      <c r="AD1313" s="49"/>
      <c r="AE1313" s="49"/>
      <c r="AF1313" s="49"/>
      <c r="AG1313" s="49"/>
      <c r="AH1313" s="49" t="b">
        <f>IFERROR(__xludf.DUMMYFUNCTION("""COMPUTED_VALUE"""),FALSE)</f>
        <v>0</v>
      </c>
    </row>
    <row r="1314">
      <c r="A1314" s="49"/>
      <c r="B1314" s="49"/>
      <c r="C1314" s="49"/>
      <c r="D1314" s="49"/>
      <c r="E1314" s="49">
        <f>IFERROR(__xludf.DUMMYFUNCTION("""COMPUTED_VALUE"""),1.0)</f>
        <v>1</v>
      </c>
      <c r="F1314" s="112">
        <f>IFERROR(__xludf.DUMMYFUNCTION("""COMPUTED_VALUE"""),0.0)</f>
        <v>0</v>
      </c>
      <c r="G1314" s="49"/>
      <c r="H1314" s="49"/>
      <c r="I1314" s="49"/>
      <c r="J1314" s="49"/>
      <c r="K1314" s="49"/>
      <c r="L1314" s="49"/>
      <c r="M1314" s="49"/>
      <c r="N1314" s="49"/>
      <c r="O1314" s="49"/>
      <c r="P1314" s="49"/>
      <c r="Q1314" s="49"/>
      <c r="R1314" s="49"/>
      <c r="S1314" s="49"/>
      <c r="T1314" s="49"/>
      <c r="U1314" s="49"/>
      <c r="V1314" s="49"/>
      <c r="W1314" s="49"/>
      <c r="X1314" s="49"/>
      <c r="Y1314" s="49"/>
      <c r="Z1314" s="49"/>
      <c r="AA1314" s="49"/>
      <c r="AB1314" s="49"/>
      <c r="AC1314" s="49"/>
      <c r="AD1314" s="49"/>
      <c r="AE1314" s="49"/>
      <c r="AF1314" s="49"/>
      <c r="AG1314" s="49"/>
      <c r="AH1314" s="49" t="b">
        <f>IFERROR(__xludf.DUMMYFUNCTION("""COMPUTED_VALUE"""),FALSE)</f>
        <v>0</v>
      </c>
    </row>
    <row r="1315">
      <c r="A1315" s="49"/>
      <c r="B1315" s="49"/>
      <c r="C1315" s="49"/>
      <c r="D1315" s="49"/>
      <c r="E1315" s="49">
        <f>IFERROR(__xludf.DUMMYFUNCTION("""COMPUTED_VALUE"""),1.0)</f>
        <v>1</v>
      </c>
      <c r="F1315" s="112">
        <f>IFERROR(__xludf.DUMMYFUNCTION("""COMPUTED_VALUE"""),0.0)</f>
        <v>0</v>
      </c>
      <c r="G1315" s="49"/>
      <c r="H1315" s="49"/>
      <c r="I1315" s="49"/>
      <c r="J1315" s="49"/>
      <c r="K1315" s="49"/>
      <c r="L1315" s="49"/>
      <c r="M1315" s="49"/>
      <c r="N1315" s="49"/>
      <c r="O1315" s="49"/>
      <c r="P1315" s="49"/>
      <c r="Q1315" s="49"/>
      <c r="R1315" s="49"/>
      <c r="S1315" s="49"/>
      <c r="T1315" s="49"/>
      <c r="U1315" s="49"/>
      <c r="V1315" s="49"/>
      <c r="W1315" s="49"/>
      <c r="X1315" s="49"/>
      <c r="Y1315" s="49"/>
      <c r="Z1315" s="49"/>
      <c r="AA1315" s="49"/>
      <c r="AB1315" s="49"/>
      <c r="AC1315" s="49"/>
      <c r="AD1315" s="49"/>
      <c r="AE1315" s="49"/>
      <c r="AF1315" s="49"/>
      <c r="AG1315" s="49"/>
      <c r="AH1315" s="49" t="b">
        <f>IFERROR(__xludf.DUMMYFUNCTION("""COMPUTED_VALUE"""),FALSE)</f>
        <v>0</v>
      </c>
    </row>
    <row r="1316">
      <c r="A1316" s="49"/>
      <c r="B1316" s="49"/>
      <c r="C1316" s="49"/>
      <c r="D1316" s="49"/>
      <c r="E1316" s="49">
        <f>IFERROR(__xludf.DUMMYFUNCTION("""COMPUTED_VALUE"""),1.0)</f>
        <v>1</v>
      </c>
      <c r="F1316" s="112">
        <f>IFERROR(__xludf.DUMMYFUNCTION("""COMPUTED_VALUE"""),0.0)</f>
        <v>0</v>
      </c>
      <c r="G1316" s="49"/>
      <c r="H1316" s="49"/>
      <c r="I1316" s="49"/>
      <c r="J1316" s="49"/>
      <c r="K1316" s="49"/>
      <c r="L1316" s="49"/>
      <c r="M1316" s="49"/>
      <c r="N1316" s="49"/>
      <c r="O1316" s="49"/>
      <c r="P1316" s="49"/>
      <c r="Q1316" s="49"/>
      <c r="R1316" s="49"/>
      <c r="S1316" s="49"/>
      <c r="T1316" s="49"/>
      <c r="U1316" s="49"/>
      <c r="V1316" s="49"/>
      <c r="W1316" s="49"/>
      <c r="X1316" s="49"/>
      <c r="Y1316" s="49"/>
      <c r="Z1316" s="49"/>
      <c r="AA1316" s="49"/>
      <c r="AB1316" s="49"/>
      <c r="AC1316" s="49"/>
      <c r="AD1316" s="49"/>
      <c r="AE1316" s="49"/>
      <c r="AF1316" s="49"/>
      <c r="AG1316" s="49"/>
      <c r="AH1316" s="49" t="b">
        <f>IFERROR(__xludf.DUMMYFUNCTION("""COMPUTED_VALUE"""),FALSE)</f>
        <v>0</v>
      </c>
    </row>
    <row r="1317">
      <c r="A1317" s="49"/>
      <c r="B1317" s="49"/>
      <c r="C1317" s="49"/>
      <c r="D1317" s="49"/>
      <c r="E1317" s="49">
        <f>IFERROR(__xludf.DUMMYFUNCTION("""COMPUTED_VALUE"""),1.0)</f>
        <v>1</v>
      </c>
      <c r="F1317" s="112">
        <f>IFERROR(__xludf.DUMMYFUNCTION("""COMPUTED_VALUE"""),0.0)</f>
        <v>0</v>
      </c>
      <c r="G1317" s="49"/>
      <c r="H1317" s="49"/>
      <c r="I1317" s="49"/>
      <c r="J1317" s="49"/>
      <c r="K1317" s="49"/>
      <c r="L1317" s="49"/>
      <c r="M1317" s="49"/>
      <c r="N1317" s="49"/>
      <c r="O1317" s="49"/>
      <c r="P1317" s="49"/>
      <c r="Q1317" s="49"/>
      <c r="R1317" s="49"/>
      <c r="S1317" s="49"/>
      <c r="T1317" s="49"/>
      <c r="U1317" s="49"/>
      <c r="V1317" s="49"/>
      <c r="W1317" s="49"/>
      <c r="X1317" s="49"/>
      <c r="Y1317" s="49"/>
      <c r="Z1317" s="49"/>
      <c r="AA1317" s="49"/>
      <c r="AB1317" s="49"/>
      <c r="AC1317" s="49"/>
      <c r="AD1317" s="49"/>
      <c r="AE1317" s="49"/>
      <c r="AF1317" s="49"/>
      <c r="AG1317" s="49"/>
      <c r="AH1317" s="49" t="b">
        <f>IFERROR(__xludf.DUMMYFUNCTION("""COMPUTED_VALUE"""),FALSE)</f>
        <v>0</v>
      </c>
    </row>
    <row r="1318">
      <c r="A1318" s="49"/>
      <c r="B1318" s="49"/>
      <c r="C1318" s="49"/>
      <c r="D1318" s="49"/>
      <c r="E1318" s="49">
        <f>IFERROR(__xludf.DUMMYFUNCTION("""COMPUTED_VALUE"""),1.0)</f>
        <v>1</v>
      </c>
      <c r="F1318" s="112">
        <f>IFERROR(__xludf.DUMMYFUNCTION("""COMPUTED_VALUE"""),0.0)</f>
        <v>0</v>
      </c>
      <c r="G1318" s="49"/>
      <c r="H1318" s="49"/>
      <c r="I1318" s="49"/>
      <c r="J1318" s="49"/>
      <c r="K1318" s="49"/>
      <c r="L1318" s="49"/>
      <c r="M1318" s="49"/>
      <c r="N1318" s="49"/>
      <c r="O1318" s="49"/>
      <c r="P1318" s="49"/>
      <c r="Q1318" s="49"/>
      <c r="R1318" s="49"/>
      <c r="S1318" s="49"/>
      <c r="T1318" s="49"/>
      <c r="U1318" s="49"/>
      <c r="V1318" s="49"/>
      <c r="W1318" s="49"/>
      <c r="X1318" s="49"/>
      <c r="Y1318" s="49"/>
      <c r="Z1318" s="49"/>
      <c r="AA1318" s="49"/>
      <c r="AB1318" s="49"/>
      <c r="AC1318" s="49"/>
      <c r="AD1318" s="49"/>
      <c r="AE1318" s="49"/>
      <c r="AF1318" s="49"/>
      <c r="AG1318" s="49"/>
      <c r="AH1318" s="49" t="b">
        <f>IFERROR(__xludf.DUMMYFUNCTION("""COMPUTED_VALUE"""),FALSE)</f>
        <v>0</v>
      </c>
    </row>
    <row r="1319">
      <c r="A1319" s="49"/>
      <c r="B1319" s="49"/>
      <c r="C1319" s="49"/>
      <c r="D1319" s="49"/>
      <c r="E1319" s="49">
        <f>IFERROR(__xludf.DUMMYFUNCTION("""COMPUTED_VALUE"""),1.0)</f>
        <v>1</v>
      </c>
      <c r="F1319" s="112">
        <f>IFERROR(__xludf.DUMMYFUNCTION("""COMPUTED_VALUE"""),0.0)</f>
        <v>0</v>
      </c>
      <c r="G1319" s="49"/>
      <c r="H1319" s="49"/>
      <c r="I1319" s="49"/>
      <c r="J1319" s="49"/>
      <c r="K1319" s="49"/>
      <c r="L1319" s="49"/>
      <c r="M1319" s="49"/>
      <c r="N1319" s="49"/>
      <c r="O1319" s="49"/>
      <c r="P1319" s="49"/>
      <c r="Q1319" s="49"/>
      <c r="R1319" s="49"/>
      <c r="S1319" s="49"/>
      <c r="T1319" s="49"/>
      <c r="U1319" s="49"/>
      <c r="V1319" s="49"/>
      <c r="W1319" s="49"/>
      <c r="X1319" s="49"/>
      <c r="Y1319" s="49"/>
      <c r="Z1319" s="49"/>
      <c r="AA1319" s="49"/>
      <c r="AB1319" s="49"/>
      <c r="AC1319" s="49"/>
      <c r="AD1319" s="49"/>
      <c r="AE1319" s="49"/>
      <c r="AF1319" s="49"/>
      <c r="AG1319" s="49"/>
      <c r="AH1319" s="49" t="b">
        <f>IFERROR(__xludf.DUMMYFUNCTION("""COMPUTED_VALUE"""),FALSE)</f>
        <v>0</v>
      </c>
    </row>
    <row r="1320">
      <c r="A1320" s="49"/>
      <c r="B1320" s="49"/>
      <c r="C1320" s="49"/>
      <c r="D1320" s="49"/>
      <c r="E1320" s="49">
        <f>IFERROR(__xludf.DUMMYFUNCTION("""COMPUTED_VALUE"""),1.0)</f>
        <v>1</v>
      </c>
      <c r="F1320" s="112">
        <f>IFERROR(__xludf.DUMMYFUNCTION("""COMPUTED_VALUE"""),0.0)</f>
        <v>0</v>
      </c>
      <c r="G1320" s="49"/>
      <c r="H1320" s="49"/>
      <c r="I1320" s="49"/>
      <c r="J1320" s="49"/>
      <c r="K1320" s="49"/>
      <c r="L1320" s="49"/>
      <c r="M1320" s="49"/>
      <c r="N1320" s="49"/>
      <c r="O1320" s="49"/>
      <c r="P1320" s="49"/>
      <c r="Q1320" s="49"/>
      <c r="R1320" s="49"/>
      <c r="S1320" s="49"/>
      <c r="T1320" s="49"/>
      <c r="U1320" s="49"/>
      <c r="V1320" s="49"/>
      <c r="W1320" s="49"/>
      <c r="X1320" s="49"/>
      <c r="Y1320" s="49"/>
      <c r="Z1320" s="49"/>
      <c r="AA1320" s="49"/>
      <c r="AB1320" s="49"/>
      <c r="AC1320" s="49"/>
      <c r="AD1320" s="49"/>
      <c r="AE1320" s="49"/>
      <c r="AF1320" s="49"/>
      <c r="AG1320" s="49"/>
      <c r="AH1320" s="49" t="b">
        <f>IFERROR(__xludf.DUMMYFUNCTION("""COMPUTED_VALUE"""),FALSE)</f>
        <v>0</v>
      </c>
    </row>
    <row r="1321">
      <c r="A1321" s="49"/>
      <c r="B1321" s="49"/>
      <c r="C1321" s="49"/>
      <c r="D1321" s="49"/>
      <c r="E1321" s="49">
        <f>IFERROR(__xludf.DUMMYFUNCTION("""COMPUTED_VALUE"""),1.0)</f>
        <v>1</v>
      </c>
      <c r="F1321" s="112">
        <f>IFERROR(__xludf.DUMMYFUNCTION("""COMPUTED_VALUE"""),0.0)</f>
        <v>0</v>
      </c>
      <c r="G1321" s="49"/>
      <c r="H1321" s="49"/>
      <c r="I1321" s="49"/>
      <c r="J1321" s="49"/>
      <c r="K1321" s="49"/>
      <c r="L1321" s="49"/>
      <c r="M1321" s="49"/>
      <c r="N1321" s="49"/>
      <c r="O1321" s="49"/>
      <c r="P1321" s="49"/>
      <c r="Q1321" s="49"/>
      <c r="R1321" s="49"/>
      <c r="S1321" s="49"/>
      <c r="T1321" s="49"/>
      <c r="U1321" s="49"/>
      <c r="V1321" s="49"/>
      <c r="W1321" s="49"/>
      <c r="X1321" s="49"/>
      <c r="Y1321" s="49"/>
      <c r="Z1321" s="49"/>
      <c r="AA1321" s="49"/>
      <c r="AB1321" s="49"/>
      <c r="AC1321" s="49"/>
      <c r="AD1321" s="49"/>
      <c r="AE1321" s="49"/>
      <c r="AF1321" s="49"/>
      <c r="AG1321" s="49"/>
      <c r="AH1321" s="49" t="b">
        <f>IFERROR(__xludf.DUMMYFUNCTION("""COMPUTED_VALUE"""),FALSE)</f>
        <v>0</v>
      </c>
    </row>
    <row r="1322">
      <c r="A1322" s="49"/>
      <c r="B1322" s="49"/>
      <c r="C1322" s="49"/>
      <c r="D1322" s="49"/>
      <c r="E1322" s="49">
        <f>IFERROR(__xludf.DUMMYFUNCTION("""COMPUTED_VALUE"""),1.0)</f>
        <v>1</v>
      </c>
      <c r="F1322" s="112">
        <f>IFERROR(__xludf.DUMMYFUNCTION("""COMPUTED_VALUE"""),0.0)</f>
        <v>0</v>
      </c>
      <c r="G1322" s="49"/>
      <c r="H1322" s="49"/>
      <c r="I1322" s="49"/>
      <c r="J1322" s="49"/>
      <c r="K1322" s="49"/>
      <c r="L1322" s="49"/>
      <c r="M1322" s="49"/>
      <c r="N1322" s="49"/>
      <c r="O1322" s="49"/>
      <c r="P1322" s="49"/>
      <c r="Q1322" s="49"/>
      <c r="R1322" s="49"/>
      <c r="S1322" s="49"/>
      <c r="T1322" s="49"/>
      <c r="U1322" s="49"/>
      <c r="V1322" s="49"/>
      <c r="W1322" s="49"/>
      <c r="X1322" s="49"/>
      <c r="Y1322" s="49"/>
      <c r="Z1322" s="49"/>
      <c r="AA1322" s="49"/>
      <c r="AB1322" s="49"/>
      <c r="AC1322" s="49"/>
      <c r="AD1322" s="49"/>
      <c r="AE1322" s="49"/>
      <c r="AF1322" s="49"/>
      <c r="AG1322" s="49"/>
      <c r="AH1322" s="49" t="b">
        <f>IFERROR(__xludf.DUMMYFUNCTION("""COMPUTED_VALUE"""),FALSE)</f>
        <v>0</v>
      </c>
    </row>
    <row r="1323">
      <c r="A1323" s="49"/>
      <c r="B1323" s="49"/>
      <c r="C1323" s="49"/>
      <c r="D1323" s="49"/>
      <c r="E1323" s="49">
        <f>IFERROR(__xludf.DUMMYFUNCTION("""COMPUTED_VALUE"""),1.0)</f>
        <v>1</v>
      </c>
      <c r="F1323" s="112">
        <f>IFERROR(__xludf.DUMMYFUNCTION("""COMPUTED_VALUE"""),0.0)</f>
        <v>0</v>
      </c>
      <c r="G1323" s="49"/>
      <c r="H1323" s="49"/>
      <c r="I1323" s="49"/>
      <c r="J1323" s="49"/>
      <c r="K1323" s="49"/>
      <c r="L1323" s="49"/>
      <c r="M1323" s="49"/>
      <c r="N1323" s="49"/>
      <c r="O1323" s="49"/>
      <c r="P1323" s="49"/>
      <c r="Q1323" s="49"/>
      <c r="R1323" s="49"/>
      <c r="S1323" s="49"/>
      <c r="T1323" s="49"/>
      <c r="U1323" s="49"/>
      <c r="V1323" s="49"/>
      <c r="W1323" s="49"/>
      <c r="X1323" s="49"/>
      <c r="Y1323" s="49"/>
      <c r="Z1323" s="49"/>
      <c r="AA1323" s="49"/>
      <c r="AB1323" s="49"/>
      <c r="AC1323" s="49"/>
      <c r="AD1323" s="49"/>
      <c r="AE1323" s="49"/>
      <c r="AF1323" s="49"/>
      <c r="AG1323" s="49"/>
      <c r="AH1323" s="49" t="b">
        <f>IFERROR(__xludf.DUMMYFUNCTION("""COMPUTED_VALUE"""),FALSE)</f>
        <v>0</v>
      </c>
    </row>
    <row r="1324">
      <c r="A1324" s="49"/>
      <c r="B1324" s="49"/>
      <c r="C1324" s="49"/>
      <c r="D1324" s="49"/>
      <c r="E1324" s="49">
        <f>IFERROR(__xludf.DUMMYFUNCTION("""COMPUTED_VALUE"""),1.0)</f>
        <v>1</v>
      </c>
      <c r="F1324" s="112">
        <f>IFERROR(__xludf.DUMMYFUNCTION("""COMPUTED_VALUE"""),0.0)</f>
        <v>0</v>
      </c>
      <c r="G1324" s="49"/>
      <c r="H1324" s="49"/>
      <c r="I1324" s="49"/>
      <c r="J1324" s="49"/>
      <c r="K1324" s="49"/>
      <c r="L1324" s="49"/>
      <c r="M1324" s="49"/>
      <c r="N1324" s="49"/>
      <c r="O1324" s="49"/>
      <c r="P1324" s="49"/>
      <c r="Q1324" s="49"/>
      <c r="R1324" s="49"/>
      <c r="S1324" s="49"/>
      <c r="T1324" s="49"/>
      <c r="U1324" s="49"/>
      <c r="V1324" s="49"/>
      <c r="W1324" s="49"/>
      <c r="X1324" s="49"/>
      <c r="Y1324" s="49"/>
      <c r="Z1324" s="49"/>
      <c r="AA1324" s="49"/>
      <c r="AB1324" s="49"/>
      <c r="AC1324" s="49"/>
      <c r="AD1324" s="49"/>
      <c r="AE1324" s="49"/>
      <c r="AF1324" s="49"/>
      <c r="AG1324" s="49"/>
      <c r="AH1324" s="49" t="b">
        <f>IFERROR(__xludf.DUMMYFUNCTION("""COMPUTED_VALUE"""),FALSE)</f>
        <v>0</v>
      </c>
    </row>
    <row r="1325">
      <c r="A1325" s="49"/>
      <c r="B1325" s="49"/>
      <c r="C1325" s="49"/>
      <c r="D1325" s="49"/>
      <c r="E1325" s="49">
        <f>IFERROR(__xludf.DUMMYFUNCTION("""COMPUTED_VALUE"""),1.0)</f>
        <v>1</v>
      </c>
      <c r="F1325" s="112">
        <f>IFERROR(__xludf.DUMMYFUNCTION("""COMPUTED_VALUE"""),0.0)</f>
        <v>0</v>
      </c>
      <c r="G1325" s="49"/>
      <c r="H1325" s="49"/>
      <c r="I1325" s="49"/>
      <c r="J1325" s="49"/>
      <c r="K1325" s="49"/>
      <c r="L1325" s="49"/>
      <c r="M1325" s="49"/>
      <c r="N1325" s="49"/>
      <c r="O1325" s="49"/>
      <c r="P1325" s="49"/>
      <c r="Q1325" s="49"/>
      <c r="R1325" s="49"/>
      <c r="S1325" s="49"/>
      <c r="T1325" s="49"/>
      <c r="U1325" s="49"/>
      <c r="V1325" s="49"/>
      <c r="W1325" s="49"/>
      <c r="X1325" s="49"/>
      <c r="Y1325" s="49"/>
      <c r="Z1325" s="49"/>
      <c r="AA1325" s="49"/>
      <c r="AB1325" s="49"/>
      <c r="AC1325" s="49"/>
      <c r="AD1325" s="49"/>
      <c r="AE1325" s="49"/>
      <c r="AF1325" s="49"/>
      <c r="AG1325" s="49"/>
      <c r="AH1325" s="49" t="b">
        <f>IFERROR(__xludf.DUMMYFUNCTION("""COMPUTED_VALUE"""),FALSE)</f>
        <v>0</v>
      </c>
    </row>
    <row r="1326">
      <c r="A1326" s="49"/>
      <c r="B1326" s="49"/>
      <c r="C1326" s="49"/>
      <c r="D1326" s="49"/>
      <c r="E1326" s="49">
        <f>IFERROR(__xludf.DUMMYFUNCTION("""COMPUTED_VALUE"""),1.0)</f>
        <v>1</v>
      </c>
      <c r="F1326" s="112">
        <f>IFERROR(__xludf.DUMMYFUNCTION("""COMPUTED_VALUE"""),0.0)</f>
        <v>0</v>
      </c>
      <c r="G1326" s="49"/>
      <c r="H1326" s="49"/>
      <c r="I1326" s="49"/>
      <c r="J1326" s="49"/>
      <c r="K1326" s="49"/>
      <c r="L1326" s="49"/>
      <c r="M1326" s="49"/>
      <c r="N1326" s="49"/>
      <c r="O1326" s="49"/>
      <c r="P1326" s="49"/>
      <c r="Q1326" s="49"/>
      <c r="R1326" s="49"/>
      <c r="S1326" s="49"/>
      <c r="T1326" s="49"/>
      <c r="U1326" s="49"/>
      <c r="V1326" s="49"/>
      <c r="W1326" s="49"/>
      <c r="X1326" s="49"/>
      <c r="Y1326" s="49"/>
      <c r="Z1326" s="49"/>
      <c r="AA1326" s="49"/>
      <c r="AB1326" s="49"/>
      <c r="AC1326" s="49"/>
      <c r="AD1326" s="49"/>
      <c r="AE1326" s="49"/>
      <c r="AF1326" s="49"/>
      <c r="AG1326" s="49"/>
      <c r="AH1326" s="49" t="b">
        <f>IFERROR(__xludf.DUMMYFUNCTION("""COMPUTED_VALUE"""),FALSE)</f>
        <v>0</v>
      </c>
    </row>
    <row r="1327">
      <c r="A1327" s="49"/>
      <c r="B1327" s="49"/>
      <c r="C1327" s="49"/>
      <c r="D1327" s="49"/>
      <c r="E1327" s="49">
        <f>IFERROR(__xludf.DUMMYFUNCTION("""COMPUTED_VALUE"""),1.0)</f>
        <v>1</v>
      </c>
      <c r="F1327" s="112">
        <f>IFERROR(__xludf.DUMMYFUNCTION("""COMPUTED_VALUE"""),0.0)</f>
        <v>0</v>
      </c>
      <c r="G1327" s="49"/>
      <c r="H1327" s="49"/>
      <c r="I1327" s="49"/>
      <c r="J1327" s="49"/>
      <c r="K1327" s="49"/>
      <c r="L1327" s="49"/>
      <c r="M1327" s="49"/>
      <c r="N1327" s="49"/>
      <c r="O1327" s="49"/>
      <c r="P1327" s="49"/>
      <c r="Q1327" s="49"/>
      <c r="R1327" s="49"/>
      <c r="S1327" s="49"/>
      <c r="T1327" s="49"/>
      <c r="U1327" s="49"/>
      <c r="V1327" s="49"/>
      <c r="W1327" s="49"/>
      <c r="X1327" s="49"/>
      <c r="Y1327" s="49"/>
      <c r="Z1327" s="49"/>
      <c r="AA1327" s="49"/>
      <c r="AB1327" s="49"/>
      <c r="AC1327" s="49"/>
      <c r="AD1327" s="49"/>
      <c r="AE1327" s="49"/>
      <c r="AF1327" s="49"/>
      <c r="AG1327" s="49"/>
      <c r="AH1327" s="49" t="b">
        <f>IFERROR(__xludf.DUMMYFUNCTION("""COMPUTED_VALUE"""),FALSE)</f>
        <v>0</v>
      </c>
    </row>
    <row r="1328">
      <c r="A1328" s="49"/>
      <c r="B1328" s="49"/>
      <c r="C1328" s="49"/>
      <c r="D1328" s="49"/>
      <c r="E1328" s="49">
        <f>IFERROR(__xludf.DUMMYFUNCTION("""COMPUTED_VALUE"""),1.0)</f>
        <v>1</v>
      </c>
      <c r="F1328" s="112">
        <f>IFERROR(__xludf.DUMMYFUNCTION("""COMPUTED_VALUE"""),0.0)</f>
        <v>0</v>
      </c>
      <c r="G1328" s="49"/>
      <c r="H1328" s="49"/>
      <c r="I1328" s="49"/>
      <c r="J1328" s="49"/>
      <c r="K1328" s="49"/>
      <c r="L1328" s="49"/>
      <c r="M1328" s="49"/>
      <c r="N1328" s="49"/>
      <c r="O1328" s="49"/>
      <c r="P1328" s="49"/>
      <c r="Q1328" s="49"/>
      <c r="R1328" s="49"/>
      <c r="S1328" s="49"/>
      <c r="T1328" s="49"/>
      <c r="U1328" s="49"/>
      <c r="V1328" s="49"/>
      <c r="W1328" s="49"/>
      <c r="X1328" s="49"/>
      <c r="Y1328" s="49"/>
      <c r="Z1328" s="49"/>
      <c r="AA1328" s="49"/>
      <c r="AB1328" s="49"/>
      <c r="AC1328" s="49"/>
      <c r="AD1328" s="49"/>
      <c r="AE1328" s="49"/>
      <c r="AF1328" s="49"/>
      <c r="AG1328" s="49"/>
      <c r="AH1328" s="49" t="b">
        <f>IFERROR(__xludf.DUMMYFUNCTION("""COMPUTED_VALUE"""),FALSE)</f>
        <v>0</v>
      </c>
    </row>
    <row r="1329">
      <c r="A1329" s="49"/>
      <c r="B1329" s="49"/>
      <c r="C1329" s="49"/>
      <c r="D1329" s="49"/>
      <c r="E1329" s="49">
        <f>IFERROR(__xludf.DUMMYFUNCTION("""COMPUTED_VALUE"""),1.0)</f>
        <v>1</v>
      </c>
      <c r="F1329" s="112">
        <f>IFERROR(__xludf.DUMMYFUNCTION("""COMPUTED_VALUE"""),0.0)</f>
        <v>0</v>
      </c>
      <c r="G1329" s="49"/>
      <c r="H1329" s="49"/>
      <c r="I1329" s="49"/>
      <c r="J1329" s="49"/>
      <c r="K1329" s="49"/>
      <c r="L1329" s="49"/>
      <c r="M1329" s="49"/>
      <c r="N1329" s="49"/>
      <c r="O1329" s="49"/>
      <c r="P1329" s="49"/>
      <c r="Q1329" s="49"/>
      <c r="R1329" s="49"/>
      <c r="S1329" s="49"/>
      <c r="T1329" s="49"/>
      <c r="U1329" s="49"/>
      <c r="V1329" s="49"/>
      <c r="W1329" s="49"/>
      <c r="X1329" s="49"/>
      <c r="Y1329" s="49"/>
      <c r="Z1329" s="49"/>
      <c r="AA1329" s="49"/>
      <c r="AB1329" s="49"/>
      <c r="AC1329" s="49"/>
      <c r="AD1329" s="49"/>
      <c r="AE1329" s="49"/>
      <c r="AF1329" s="49"/>
      <c r="AG1329" s="49"/>
      <c r="AH1329" s="49" t="b">
        <f>IFERROR(__xludf.DUMMYFUNCTION("""COMPUTED_VALUE"""),FALSE)</f>
        <v>0</v>
      </c>
    </row>
    <row r="1330">
      <c r="A1330" s="49"/>
      <c r="B1330" s="49"/>
      <c r="C1330" s="49"/>
      <c r="D1330" s="49"/>
      <c r="E1330" s="49">
        <f>IFERROR(__xludf.DUMMYFUNCTION("""COMPUTED_VALUE"""),1.0)</f>
        <v>1</v>
      </c>
      <c r="F1330" s="112">
        <f>IFERROR(__xludf.DUMMYFUNCTION("""COMPUTED_VALUE"""),0.0)</f>
        <v>0</v>
      </c>
      <c r="G1330" s="49"/>
      <c r="H1330" s="49"/>
      <c r="I1330" s="49"/>
      <c r="J1330" s="49"/>
      <c r="K1330" s="49"/>
      <c r="L1330" s="49"/>
      <c r="M1330" s="49"/>
      <c r="N1330" s="49"/>
      <c r="O1330" s="49"/>
      <c r="P1330" s="49"/>
      <c r="Q1330" s="49"/>
      <c r="R1330" s="49"/>
      <c r="S1330" s="49"/>
      <c r="T1330" s="49"/>
      <c r="U1330" s="49"/>
      <c r="V1330" s="49"/>
      <c r="W1330" s="49"/>
      <c r="X1330" s="49"/>
      <c r="Y1330" s="49"/>
      <c r="Z1330" s="49"/>
      <c r="AA1330" s="49"/>
      <c r="AB1330" s="49"/>
      <c r="AC1330" s="49"/>
      <c r="AD1330" s="49"/>
      <c r="AE1330" s="49"/>
      <c r="AF1330" s="49"/>
      <c r="AG1330" s="49"/>
      <c r="AH1330" s="49" t="b">
        <f>IFERROR(__xludf.DUMMYFUNCTION("""COMPUTED_VALUE"""),FALSE)</f>
        <v>0</v>
      </c>
    </row>
    <row r="1331">
      <c r="A1331" s="49"/>
      <c r="B1331" s="49"/>
      <c r="C1331" s="49"/>
      <c r="D1331" s="49"/>
      <c r="E1331" s="49">
        <f>IFERROR(__xludf.DUMMYFUNCTION("""COMPUTED_VALUE"""),1.0)</f>
        <v>1</v>
      </c>
      <c r="F1331" s="112">
        <f>IFERROR(__xludf.DUMMYFUNCTION("""COMPUTED_VALUE"""),0.0)</f>
        <v>0</v>
      </c>
      <c r="G1331" s="49"/>
      <c r="H1331" s="49"/>
      <c r="I1331" s="49"/>
      <c r="J1331" s="49"/>
      <c r="K1331" s="49"/>
      <c r="L1331" s="49"/>
      <c r="M1331" s="49"/>
      <c r="N1331" s="49"/>
      <c r="O1331" s="49"/>
      <c r="P1331" s="49"/>
      <c r="Q1331" s="49"/>
      <c r="R1331" s="49"/>
      <c r="S1331" s="49"/>
      <c r="T1331" s="49"/>
      <c r="U1331" s="49"/>
      <c r="V1331" s="49"/>
      <c r="W1331" s="49"/>
      <c r="X1331" s="49"/>
      <c r="Y1331" s="49"/>
      <c r="Z1331" s="49"/>
      <c r="AA1331" s="49"/>
      <c r="AB1331" s="49"/>
      <c r="AC1331" s="49"/>
      <c r="AD1331" s="49"/>
      <c r="AE1331" s="49"/>
      <c r="AF1331" s="49"/>
      <c r="AG1331" s="49"/>
      <c r="AH1331" s="49" t="b">
        <f>IFERROR(__xludf.DUMMYFUNCTION("""COMPUTED_VALUE"""),FALSE)</f>
        <v>0</v>
      </c>
    </row>
    <row r="1332">
      <c r="A1332" s="49"/>
      <c r="B1332" s="49"/>
      <c r="C1332" s="49"/>
      <c r="D1332" s="49"/>
      <c r="E1332" s="49">
        <f>IFERROR(__xludf.DUMMYFUNCTION("""COMPUTED_VALUE"""),1.0)</f>
        <v>1</v>
      </c>
      <c r="F1332" s="112">
        <f>IFERROR(__xludf.DUMMYFUNCTION("""COMPUTED_VALUE"""),0.0)</f>
        <v>0</v>
      </c>
      <c r="G1332" s="49"/>
      <c r="H1332" s="49"/>
      <c r="I1332" s="49"/>
      <c r="J1332" s="49"/>
      <c r="K1332" s="49"/>
      <c r="L1332" s="49"/>
      <c r="M1332" s="49"/>
      <c r="N1332" s="49"/>
      <c r="O1332" s="49"/>
      <c r="P1332" s="49"/>
      <c r="Q1332" s="49"/>
      <c r="R1332" s="49"/>
      <c r="S1332" s="49"/>
      <c r="T1332" s="49"/>
      <c r="U1332" s="49"/>
      <c r="V1332" s="49"/>
      <c r="W1332" s="49"/>
      <c r="X1332" s="49"/>
      <c r="Y1332" s="49"/>
      <c r="Z1332" s="49"/>
      <c r="AA1332" s="49"/>
      <c r="AB1332" s="49"/>
      <c r="AC1332" s="49"/>
      <c r="AD1332" s="49"/>
      <c r="AE1332" s="49"/>
      <c r="AF1332" s="49"/>
      <c r="AG1332" s="49"/>
      <c r="AH1332" s="49" t="b">
        <f>IFERROR(__xludf.DUMMYFUNCTION("""COMPUTED_VALUE"""),FALSE)</f>
        <v>0</v>
      </c>
    </row>
    <row r="1333">
      <c r="A1333" s="49"/>
      <c r="B1333" s="49"/>
      <c r="C1333" s="49"/>
      <c r="D1333" s="49"/>
      <c r="E1333" s="49">
        <f>IFERROR(__xludf.DUMMYFUNCTION("""COMPUTED_VALUE"""),1.0)</f>
        <v>1</v>
      </c>
      <c r="F1333" s="112">
        <f>IFERROR(__xludf.DUMMYFUNCTION("""COMPUTED_VALUE"""),0.0)</f>
        <v>0</v>
      </c>
      <c r="G1333" s="49"/>
      <c r="H1333" s="49"/>
      <c r="I1333" s="49"/>
      <c r="J1333" s="49"/>
      <c r="K1333" s="49"/>
      <c r="L1333" s="49"/>
      <c r="M1333" s="49"/>
      <c r="N1333" s="49"/>
      <c r="O1333" s="49"/>
      <c r="P1333" s="49"/>
      <c r="Q1333" s="49"/>
      <c r="R1333" s="49"/>
      <c r="S1333" s="49"/>
      <c r="T1333" s="49"/>
      <c r="U1333" s="49"/>
      <c r="V1333" s="49"/>
      <c r="W1333" s="49"/>
      <c r="X1333" s="49"/>
      <c r="Y1333" s="49"/>
      <c r="Z1333" s="49"/>
      <c r="AA1333" s="49"/>
      <c r="AB1333" s="49"/>
      <c r="AC1333" s="49"/>
      <c r="AD1333" s="49"/>
      <c r="AE1333" s="49"/>
      <c r="AF1333" s="49"/>
      <c r="AG1333" s="49"/>
      <c r="AH1333" s="49" t="b">
        <f>IFERROR(__xludf.DUMMYFUNCTION("""COMPUTED_VALUE"""),FALSE)</f>
        <v>0</v>
      </c>
    </row>
    <row r="1334">
      <c r="A1334" s="49"/>
      <c r="B1334" s="49"/>
      <c r="C1334" s="49"/>
      <c r="D1334" s="49"/>
      <c r="E1334" s="49">
        <f>IFERROR(__xludf.DUMMYFUNCTION("""COMPUTED_VALUE"""),1.0)</f>
        <v>1</v>
      </c>
      <c r="F1334" s="112">
        <f>IFERROR(__xludf.DUMMYFUNCTION("""COMPUTED_VALUE"""),0.0)</f>
        <v>0</v>
      </c>
      <c r="G1334" s="49"/>
      <c r="H1334" s="49"/>
      <c r="I1334" s="49"/>
      <c r="J1334" s="49"/>
      <c r="K1334" s="49"/>
      <c r="L1334" s="49"/>
      <c r="M1334" s="49"/>
      <c r="N1334" s="49"/>
      <c r="O1334" s="49"/>
      <c r="P1334" s="49"/>
      <c r="Q1334" s="49"/>
      <c r="R1334" s="49"/>
      <c r="S1334" s="49"/>
      <c r="T1334" s="49"/>
      <c r="U1334" s="49"/>
      <c r="V1334" s="49"/>
      <c r="W1334" s="49"/>
      <c r="X1334" s="49"/>
      <c r="Y1334" s="49"/>
      <c r="Z1334" s="49"/>
      <c r="AA1334" s="49"/>
      <c r="AB1334" s="49"/>
      <c r="AC1334" s="49"/>
      <c r="AD1334" s="49"/>
      <c r="AE1334" s="49"/>
      <c r="AF1334" s="49"/>
      <c r="AG1334" s="49"/>
      <c r="AH1334" s="49" t="b">
        <f>IFERROR(__xludf.DUMMYFUNCTION("""COMPUTED_VALUE"""),FALSE)</f>
        <v>0</v>
      </c>
    </row>
    <row r="1335">
      <c r="A1335" s="49"/>
      <c r="B1335" s="49"/>
      <c r="C1335" s="49"/>
      <c r="D1335" s="49"/>
      <c r="E1335" s="49">
        <f>IFERROR(__xludf.DUMMYFUNCTION("""COMPUTED_VALUE"""),1.0)</f>
        <v>1</v>
      </c>
      <c r="F1335" s="112">
        <f>IFERROR(__xludf.DUMMYFUNCTION("""COMPUTED_VALUE"""),0.0)</f>
        <v>0</v>
      </c>
      <c r="G1335" s="49"/>
      <c r="H1335" s="49"/>
      <c r="I1335" s="49"/>
      <c r="J1335" s="49"/>
      <c r="K1335" s="49"/>
      <c r="L1335" s="49"/>
      <c r="M1335" s="49"/>
      <c r="N1335" s="49"/>
      <c r="O1335" s="49"/>
      <c r="P1335" s="49"/>
      <c r="Q1335" s="49"/>
      <c r="R1335" s="49"/>
      <c r="S1335" s="49"/>
      <c r="T1335" s="49"/>
      <c r="U1335" s="49"/>
      <c r="V1335" s="49"/>
      <c r="W1335" s="49"/>
      <c r="X1335" s="49"/>
      <c r="Y1335" s="49"/>
      <c r="Z1335" s="49"/>
      <c r="AA1335" s="49"/>
      <c r="AB1335" s="49"/>
      <c r="AC1335" s="49"/>
      <c r="AD1335" s="49"/>
      <c r="AE1335" s="49"/>
      <c r="AF1335" s="49"/>
      <c r="AG1335" s="49"/>
      <c r="AH1335" s="49" t="b">
        <f>IFERROR(__xludf.DUMMYFUNCTION("""COMPUTED_VALUE"""),FALSE)</f>
        <v>0</v>
      </c>
    </row>
    <row r="1336">
      <c r="A1336" s="49"/>
      <c r="B1336" s="49"/>
      <c r="C1336" s="49"/>
      <c r="D1336" s="49"/>
      <c r="E1336" s="49">
        <f>IFERROR(__xludf.DUMMYFUNCTION("""COMPUTED_VALUE"""),1.0)</f>
        <v>1</v>
      </c>
      <c r="F1336" s="112">
        <f>IFERROR(__xludf.DUMMYFUNCTION("""COMPUTED_VALUE"""),0.0)</f>
        <v>0</v>
      </c>
      <c r="G1336" s="49"/>
      <c r="H1336" s="49"/>
      <c r="I1336" s="49"/>
      <c r="J1336" s="49"/>
      <c r="K1336" s="49"/>
      <c r="L1336" s="49"/>
      <c r="M1336" s="49"/>
      <c r="N1336" s="49"/>
      <c r="O1336" s="49"/>
      <c r="P1336" s="49"/>
      <c r="Q1336" s="49"/>
      <c r="R1336" s="49"/>
      <c r="S1336" s="49"/>
      <c r="T1336" s="49"/>
      <c r="U1336" s="49"/>
      <c r="V1336" s="49"/>
      <c r="W1336" s="49"/>
      <c r="X1336" s="49"/>
      <c r="Y1336" s="49"/>
      <c r="Z1336" s="49"/>
      <c r="AA1336" s="49"/>
      <c r="AB1336" s="49"/>
      <c r="AC1336" s="49"/>
      <c r="AD1336" s="49"/>
      <c r="AE1336" s="49"/>
      <c r="AF1336" s="49"/>
      <c r="AG1336" s="49"/>
      <c r="AH1336" s="49" t="b">
        <f>IFERROR(__xludf.DUMMYFUNCTION("""COMPUTED_VALUE"""),FALSE)</f>
        <v>0</v>
      </c>
    </row>
    <row r="1337">
      <c r="A1337" s="49"/>
      <c r="B1337" s="49"/>
      <c r="C1337" s="49"/>
      <c r="D1337" s="49"/>
      <c r="E1337" s="49">
        <f>IFERROR(__xludf.DUMMYFUNCTION("""COMPUTED_VALUE"""),1.0)</f>
        <v>1</v>
      </c>
      <c r="F1337" s="112">
        <f>IFERROR(__xludf.DUMMYFUNCTION("""COMPUTED_VALUE"""),0.0)</f>
        <v>0</v>
      </c>
      <c r="G1337" s="49"/>
      <c r="H1337" s="49"/>
      <c r="I1337" s="49"/>
      <c r="J1337" s="49"/>
      <c r="K1337" s="49"/>
      <c r="L1337" s="49"/>
      <c r="M1337" s="49"/>
      <c r="N1337" s="49"/>
      <c r="O1337" s="49"/>
      <c r="P1337" s="49"/>
      <c r="Q1337" s="49"/>
      <c r="R1337" s="49"/>
      <c r="S1337" s="49"/>
      <c r="T1337" s="49"/>
      <c r="U1337" s="49"/>
      <c r="V1337" s="49"/>
      <c r="W1337" s="49"/>
      <c r="X1337" s="49"/>
      <c r="Y1337" s="49"/>
      <c r="Z1337" s="49"/>
      <c r="AA1337" s="49"/>
      <c r="AB1337" s="49"/>
      <c r="AC1337" s="49"/>
      <c r="AD1337" s="49"/>
      <c r="AE1337" s="49"/>
      <c r="AF1337" s="49"/>
      <c r="AG1337" s="49"/>
      <c r="AH1337" s="49" t="b">
        <f>IFERROR(__xludf.DUMMYFUNCTION("""COMPUTED_VALUE"""),FALSE)</f>
        <v>0</v>
      </c>
    </row>
    <row r="1338">
      <c r="A1338" s="49"/>
      <c r="B1338" s="49"/>
      <c r="C1338" s="49"/>
      <c r="D1338" s="49"/>
      <c r="E1338" s="49">
        <f>IFERROR(__xludf.DUMMYFUNCTION("""COMPUTED_VALUE"""),1.0)</f>
        <v>1</v>
      </c>
      <c r="F1338" s="112">
        <f>IFERROR(__xludf.DUMMYFUNCTION("""COMPUTED_VALUE"""),0.0)</f>
        <v>0</v>
      </c>
      <c r="G1338" s="49"/>
      <c r="H1338" s="49"/>
      <c r="I1338" s="49"/>
      <c r="J1338" s="49"/>
      <c r="K1338" s="49"/>
      <c r="L1338" s="49"/>
      <c r="M1338" s="49"/>
      <c r="N1338" s="49"/>
      <c r="O1338" s="49"/>
      <c r="P1338" s="49"/>
      <c r="Q1338" s="49"/>
      <c r="R1338" s="49"/>
      <c r="S1338" s="49"/>
      <c r="T1338" s="49"/>
      <c r="U1338" s="49"/>
      <c r="V1338" s="49"/>
      <c r="W1338" s="49"/>
      <c r="X1338" s="49"/>
      <c r="Y1338" s="49"/>
      <c r="Z1338" s="49"/>
      <c r="AA1338" s="49"/>
      <c r="AB1338" s="49"/>
      <c r="AC1338" s="49"/>
      <c r="AD1338" s="49"/>
      <c r="AE1338" s="49"/>
      <c r="AF1338" s="49"/>
      <c r="AG1338" s="49"/>
      <c r="AH1338" s="49" t="b">
        <f>IFERROR(__xludf.DUMMYFUNCTION("""COMPUTED_VALUE"""),FALSE)</f>
        <v>0</v>
      </c>
    </row>
    <row r="1339">
      <c r="A1339" s="49"/>
      <c r="B1339" s="49"/>
      <c r="C1339" s="49"/>
      <c r="D1339" s="49"/>
      <c r="E1339" s="49">
        <f>IFERROR(__xludf.DUMMYFUNCTION("""COMPUTED_VALUE"""),1.0)</f>
        <v>1</v>
      </c>
      <c r="F1339" s="112">
        <f>IFERROR(__xludf.DUMMYFUNCTION("""COMPUTED_VALUE"""),0.0)</f>
        <v>0</v>
      </c>
      <c r="G1339" s="49"/>
      <c r="H1339" s="49"/>
      <c r="I1339" s="49"/>
      <c r="J1339" s="49"/>
      <c r="K1339" s="49"/>
      <c r="L1339" s="49"/>
      <c r="M1339" s="49"/>
      <c r="N1339" s="49"/>
      <c r="O1339" s="49"/>
      <c r="P1339" s="49"/>
      <c r="Q1339" s="49"/>
      <c r="R1339" s="49"/>
      <c r="S1339" s="49"/>
      <c r="T1339" s="49"/>
      <c r="U1339" s="49"/>
      <c r="V1339" s="49"/>
      <c r="W1339" s="49"/>
      <c r="X1339" s="49"/>
      <c r="Y1339" s="49"/>
      <c r="Z1339" s="49"/>
      <c r="AA1339" s="49"/>
      <c r="AB1339" s="49"/>
      <c r="AC1339" s="49"/>
      <c r="AD1339" s="49"/>
      <c r="AE1339" s="49"/>
      <c r="AF1339" s="49"/>
      <c r="AG1339" s="49"/>
      <c r="AH1339" s="49" t="b">
        <f>IFERROR(__xludf.DUMMYFUNCTION("""COMPUTED_VALUE"""),FALSE)</f>
        <v>0</v>
      </c>
    </row>
    <row r="1340">
      <c r="A1340" s="49"/>
      <c r="B1340" s="49"/>
      <c r="C1340" s="49"/>
      <c r="D1340" s="49"/>
      <c r="E1340" s="49">
        <f>IFERROR(__xludf.DUMMYFUNCTION("""COMPUTED_VALUE"""),1.0)</f>
        <v>1</v>
      </c>
      <c r="F1340" s="112">
        <f>IFERROR(__xludf.DUMMYFUNCTION("""COMPUTED_VALUE"""),0.0)</f>
        <v>0</v>
      </c>
      <c r="G1340" s="49"/>
      <c r="H1340" s="49"/>
      <c r="I1340" s="49"/>
      <c r="J1340" s="49"/>
      <c r="K1340" s="49"/>
      <c r="L1340" s="49"/>
      <c r="M1340" s="49"/>
      <c r="N1340" s="49"/>
      <c r="O1340" s="49"/>
      <c r="P1340" s="49"/>
      <c r="Q1340" s="49"/>
      <c r="R1340" s="49"/>
      <c r="S1340" s="49"/>
      <c r="T1340" s="49"/>
      <c r="U1340" s="49"/>
      <c r="V1340" s="49"/>
      <c r="W1340" s="49"/>
      <c r="X1340" s="49"/>
      <c r="Y1340" s="49"/>
      <c r="Z1340" s="49"/>
      <c r="AA1340" s="49"/>
      <c r="AB1340" s="49"/>
      <c r="AC1340" s="49"/>
      <c r="AD1340" s="49"/>
      <c r="AE1340" s="49"/>
      <c r="AF1340" s="49"/>
      <c r="AG1340" s="49"/>
      <c r="AH1340" s="49" t="b">
        <f>IFERROR(__xludf.DUMMYFUNCTION("""COMPUTED_VALUE"""),FALSE)</f>
        <v>0</v>
      </c>
    </row>
    <row r="1341">
      <c r="A1341" s="49"/>
      <c r="B1341" s="49"/>
      <c r="C1341" s="49"/>
      <c r="D1341" s="49"/>
      <c r="E1341" s="49">
        <f>IFERROR(__xludf.DUMMYFUNCTION("""COMPUTED_VALUE"""),1.0)</f>
        <v>1</v>
      </c>
      <c r="F1341" s="112">
        <f>IFERROR(__xludf.DUMMYFUNCTION("""COMPUTED_VALUE"""),0.0)</f>
        <v>0</v>
      </c>
      <c r="G1341" s="49"/>
      <c r="H1341" s="49"/>
      <c r="I1341" s="49"/>
      <c r="J1341" s="49"/>
      <c r="K1341" s="49"/>
      <c r="L1341" s="49"/>
      <c r="M1341" s="49"/>
      <c r="N1341" s="49"/>
      <c r="O1341" s="49"/>
      <c r="P1341" s="49"/>
      <c r="Q1341" s="49"/>
      <c r="R1341" s="49"/>
      <c r="S1341" s="49"/>
      <c r="T1341" s="49"/>
      <c r="U1341" s="49"/>
      <c r="V1341" s="49"/>
      <c r="W1341" s="49"/>
      <c r="X1341" s="49"/>
      <c r="Y1341" s="49"/>
      <c r="Z1341" s="49"/>
      <c r="AA1341" s="49"/>
      <c r="AB1341" s="49"/>
      <c r="AC1341" s="49"/>
      <c r="AD1341" s="49"/>
      <c r="AE1341" s="49"/>
      <c r="AF1341" s="49"/>
      <c r="AG1341" s="49"/>
      <c r="AH1341" s="49" t="b">
        <f>IFERROR(__xludf.DUMMYFUNCTION("""COMPUTED_VALUE"""),FALSE)</f>
        <v>0</v>
      </c>
    </row>
    <row r="1342">
      <c r="A1342" s="49"/>
      <c r="B1342" s="49"/>
      <c r="C1342" s="49"/>
      <c r="D1342" s="49"/>
      <c r="E1342" s="49">
        <f>IFERROR(__xludf.DUMMYFUNCTION("""COMPUTED_VALUE"""),1.0)</f>
        <v>1</v>
      </c>
      <c r="F1342" s="112">
        <f>IFERROR(__xludf.DUMMYFUNCTION("""COMPUTED_VALUE"""),0.0)</f>
        <v>0</v>
      </c>
      <c r="G1342" s="49"/>
      <c r="H1342" s="49"/>
      <c r="I1342" s="49"/>
      <c r="J1342" s="49"/>
      <c r="K1342" s="49"/>
      <c r="L1342" s="49"/>
      <c r="M1342" s="49"/>
      <c r="N1342" s="49"/>
      <c r="O1342" s="49"/>
      <c r="P1342" s="49"/>
      <c r="Q1342" s="49"/>
      <c r="R1342" s="49"/>
      <c r="S1342" s="49"/>
      <c r="T1342" s="49"/>
      <c r="U1342" s="49"/>
      <c r="V1342" s="49"/>
      <c r="W1342" s="49"/>
      <c r="X1342" s="49"/>
      <c r="Y1342" s="49"/>
      <c r="Z1342" s="49"/>
      <c r="AA1342" s="49"/>
      <c r="AB1342" s="49"/>
      <c r="AC1342" s="49"/>
      <c r="AD1342" s="49"/>
      <c r="AE1342" s="49"/>
      <c r="AF1342" s="49"/>
      <c r="AG1342" s="49"/>
      <c r="AH1342" s="49" t="b">
        <f>IFERROR(__xludf.DUMMYFUNCTION("""COMPUTED_VALUE"""),FALSE)</f>
        <v>0</v>
      </c>
    </row>
    <row r="1343">
      <c r="A1343" s="49"/>
      <c r="B1343" s="49"/>
      <c r="C1343" s="49"/>
      <c r="D1343" s="49"/>
      <c r="E1343" s="49">
        <f>IFERROR(__xludf.DUMMYFUNCTION("""COMPUTED_VALUE"""),1.0)</f>
        <v>1</v>
      </c>
      <c r="F1343" s="112">
        <f>IFERROR(__xludf.DUMMYFUNCTION("""COMPUTED_VALUE"""),0.0)</f>
        <v>0</v>
      </c>
      <c r="G1343" s="49"/>
      <c r="H1343" s="49"/>
      <c r="I1343" s="49"/>
      <c r="J1343" s="49"/>
      <c r="K1343" s="49"/>
      <c r="L1343" s="49"/>
      <c r="M1343" s="49"/>
      <c r="N1343" s="49"/>
      <c r="O1343" s="49"/>
      <c r="P1343" s="49"/>
      <c r="Q1343" s="49"/>
      <c r="R1343" s="49"/>
      <c r="S1343" s="49"/>
      <c r="T1343" s="49"/>
      <c r="U1343" s="49"/>
      <c r="V1343" s="49"/>
      <c r="W1343" s="49"/>
      <c r="X1343" s="49"/>
      <c r="Y1343" s="49"/>
      <c r="Z1343" s="49"/>
      <c r="AA1343" s="49"/>
      <c r="AB1343" s="49"/>
      <c r="AC1343" s="49"/>
      <c r="AD1343" s="49"/>
      <c r="AE1343" s="49"/>
      <c r="AF1343" s="49"/>
      <c r="AG1343" s="49"/>
      <c r="AH1343" s="49" t="b">
        <f>IFERROR(__xludf.DUMMYFUNCTION("""COMPUTED_VALUE"""),FALSE)</f>
        <v>0</v>
      </c>
    </row>
    <row r="1344">
      <c r="A1344" s="49"/>
      <c r="B1344" s="49"/>
      <c r="C1344" s="49"/>
      <c r="D1344" s="49"/>
      <c r="E1344" s="49">
        <f>IFERROR(__xludf.DUMMYFUNCTION("""COMPUTED_VALUE"""),1.0)</f>
        <v>1</v>
      </c>
      <c r="F1344" s="112">
        <f>IFERROR(__xludf.DUMMYFUNCTION("""COMPUTED_VALUE"""),0.0)</f>
        <v>0</v>
      </c>
      <c r="G1344" s="49"/>
      <c r="H1344" s="49"/>
      <c r="I1344" s="49"/>
      <c r="J1344" s="49"/>
      <c r="K1344" s="49"/>
      <c r="L1344" s="49"/>
      <c r="M1344" s="49"/>
      <c r="N1344" s="49"/>
      <c r="O1344" s="49"/>
      <c r="P1344" s="49"/>
      <c r="Q1344" s="49"/>
      <c r="R1344" s="49"/>
      <c r="S1344" s="49"/>
      <c r="T1344" s="49"/>
      <c r="U1344" s="49"/>
      <c r="V1344" s="49"/>
      <c r="W1344" s="49"/>
      <c r="X1344" s="49"/>
      <c r="Y1344" s="49"/>
      <c r="Z1344" s="49"/>
      <c r="AA1344" s="49"/>
      <c r="AB1344" s="49"/>
      <c r="AC1344" s="49"/>
      <c r="AD1344" s="49"/>
      <c r="AE1344" s="49"/>
      <c r="AF1344" s="49"/>
      <c r="AG1344" s="49"/>
      <c r="AH1344" s="49" t="b">
        <f>IFERROR(__xludf.DUMMYFUNCTION("""COMPUTED_VALUE"""),FALSE)</f>
        <v>0</v>
      </c>
    </row>
    <row r="1345">
      <c r="A1345" s="49"/>
      <c r="B1345" s="49"/>
      <c r="C1345" s="49"/>
      <c r="D1345" s="49"/>
      <c r="E1345" s="49">
        <f>IFERROR(__xludf.DUMMYFUNCTION("""COMPUTED_VALUE"""),1.0)</f>
        <v>1</v>
      </c>
      <c r="F1345" s="112">
        <f>IFERROR(__xludf.DUMMYFUNCTION("""COMPUTED_VALUE"""),0.0)</f>
        <v>0</v>
      </c>
      <c r="G1345" s="49"/>
      <c r="H1345" s="49"/>
      <c r="I1345" s="49"/>
      <c r="J1345" s="49"/>
      <c r="K1345" s="49"/>
      <c r="L1345" s="49"/>
      <c r="M1345" s="49"/>
      <c r="N1345" s="49"/>
      <c r="O1345" s="49"/>
      <c r="P1345" s="49"/>
      <c r="Q1345" s="49"/>
      <c r="R1345" s="49"/>
      <c r="S1345" s="49"/>
      <c r="T1345" s="49"/>
      <c r="U1345" s="49"/>
      <c r="V1345" s="49"/>
      <c r="W1345" s="49"/>
      <c r="X1345" s="49"/>
      <c r="Y1345" s="49"/>
      <c r="Z1345" s="49"/>
      <c r="AA1345" s="49"/>
      <c r="AB1345" s="49"/>
      <c r="AC1345" s="49"/>
      <c r="AD1345" s="49"/>
      <c r="AE1345" s="49"/>
      <c r="AF1345" s="49"/>
      <c r="AG1345" s="49"/>
      <c r="AH1345" s="49" t="b">
        <f>IFERROR(__xludf.DUMMYFUNCTION("""COMPUTED_VALUE"""),FALSE)</f>
        <v>0</v>
      </c>
    </row>
    <row r="1346">
      <c r="A1346" s="49"/>
      <c r="B1346" s="49"/>
      <c r="C1346" s="49"/>
      <c r="D1346" s="49"/>
      <c r="E1346" s="49">
        <f>IFERROR(__xludf.DUMMYFUNCTION("""COMPUTED_VALUE"""),1.0)</f>
        <v>1</v>
      </c>
      <c r="F1346" s="112">
        <f>IFERROR(__xludf.DUMMYFUNCTION("""COMPUTED_VALUE"""),0.0)</f>
        <v>0</v>
      </c>
      <c r="G1346" s="49"/>
      <c r="H1346" s="49"/>
      <c r="I1346" s="49"/>
      <c r="J1346" s="49"/>
      <c r="K1346" s="49"/>
      <c r="L1346" s="49"/>
      <c r="M1346" s="49"/>
      <c r="N1346" s="49"/>
      <c r="O1346" s="49"/>
      <c r="P1346" s="49"/>
      <c r="Q1346" s="49"/>
      <c r="R1346" s="49"/>
      <c r="S1346" s="49"/>
      <c r="T1346" s="49"/>
      <c r="U1346" s="49"/>
      <c r="V1346" s="49"/>
      <c r="W1346" s="49"/>
      <c r="X1346" s="49"/>
      <c r="Y1346" s="49"/>
      <c r="Z1346" s="49"/>
      <c r="AA1346" s="49"/>
      <c r="AB1346" s="49"/>
      <c r="AC1346" s="49"/>
      <c r="AD1346" s="49"/>
      <c r="AE1346" s="49"/>
      <c r="AF1346" s="49"/>
      <c r="AG1346" s="49"/>
      <c r="AH1346" s="49" t="b">
        <f>IFERROR(__xludf.DUMMYFUNCTION("""COMPUTED_VALUE"""),FALSE)</f>
        <v>0</v>
      </c>
    </row>
    <row r="1347">
      <c r="A1347" s="49"/>
      <c r="B1347" s="49"/>
      <c r="C1347" s="49"/>
      <c r="D1347" s="49"/>
      <c r="E1347" s="49">
        <f>IFERROR(__xludf.DUMMYFUNCTION("""COMPUTED_VALUE"""),1.0)</f>
        <v>1</v>
      </c>
      <c r="F1347" s="112">
        <f>IFERROR(__xludf.DUMMYFUNCTION("""COMPUTED_VALUE"""),0.0)</f>
        <v>0</v>
      </c>
      <c r="G1347" s="49"/>
      <c r="H1347" s="49"/>
      <c r="I1347" s="49"/>
      <c r="J1347" s="49"/>
      <c r="K1347" s="49"/>
      <c r="L1347" s="49"/>
      <c r="M1347" s="49"/>
      <c r="N1347" s="49"/>
      <c r="O1347" s="49"/>
      <c r="P1347" s="49"/>
      <c r="Q1347" s="49"/>
      <c r="R1347" s="49"/>
      <c r="S1347" s="49"/>
      <c r="T1347" s="49"/>
      <c r="U1347" s="49"/>
      <c r="V1347" s="49"/>
      <c r="W1347" s="49"/>
      <c r="X1347" s="49"/>
      <c r="Y1347" s="49"/>
      <c r="Z1347" s="49"/>
      <c r="AA1347" s="49"/>
      <c r="AB1347" s="49"/>
      <c r="AC1347" s="49"/>
      <c r="AD1347" s="49"/>
      <c r="AE1347" s="49"/>
      <c r="AF1347" s="49"/>
      <c r="AG1347" s="49"/>
      <c r="AH1347" s="49" t="b">
        <f>IFERROR(__xludf.DUMMYFUNCTION("""COMPUTED_VALUE"""),FALSE)</f>
        <v>0</v>
      </c>
    </row>
    <row r="1348">
      <c r="A1348" s="49"/>
      <c r="B1348" s="49"/>
      <c r="C1348" s="49"/>
      <c r="D1348" s="49"/>
      <c r="E1348" s="49">
        <f>IFERROR(__xludf.DUMMYFUNCTION("""COMPUTED_VALUE"""),1.0)</f>
        <v>1</v>
      </c>
      <c r="F1348" s="112">
        <f>IFERROR(__xludf.DUMMYFUNCTION("""COMPUTED_VALUE"""),0.0)</f>
        <v>0</v>
      </c>
      <c r="G1348" s="49"/>
      <c r="H1348" s="49"/>
      <c r="I1348" s="49"/>
      <c r="J1348" s="49"/>
      <c r="K1348" s="49"/>
      <c r="L1348" s="49"/>
      <c r="M1348" s="49"/>
      <c r="N1348" s="49"/>
      <c r="O1348" s="49"/>
      <c r="P1348" s="49"/>
      <c r="Q1348" s="49"/>
      <c r="R1348" s="49"/>
      <c r="S1348" s="49"/>
      <c r="T1348" s="49"/>
      <c r="U1348" s="49"/>
      <c r="V1348" s="49"/>
      <c r="W1348" s="49"/>
      <c r="X1348" s="49"/>
      <c r="Y1348" s="49"/>
      <c r="Z1348" s="49"/>
      <c r="AA1348" s="49"/>
      <c r="AB1348" s="49"/>
      <c r="AC1348" s="49"/>
      <c r="AD1348" s="49"/>
      <c r="AE1348" s="49"/>
      <c r="AF1348" s="49"/>
      <c r="AG1348" s="49"/>
      <c r="AH1348" s="49" t="b">
        <f>IFERROR(__xludf.DUMMYFUNCTION("""COMPUTED_VALUE"""),FALSE)</f>
        <v>0</v>
      </c>
    </row>
    <row r="1349">
      <c r="A1349" s="49"/>
      <c r="B1349" s="49"/>
      <c r="C1349" s="49"/>
      <c r="D1349" s="49"/>
      <c r="E1349" s="49">
        <f>IFERROR(__xludf.DUMMYFUNCTION("""COMPUTED_VALUE"""),1.0)</f>
        <v>1</v>
      </c>
      <c r="F1349" s="112">
        <f>IFERROR(__xludf.DUMMYFUNCTION("""COMPUTED_VALUE"""),0.0)</f>
        <v>0</v>
      </c>
      <c r="G1349" s="49"/>
      <c r="H1349" s="49"/>
      <c r="I1349" s="49"/>
      <c r="J1349" s="49"/>
      <c r="K1349" s="49"/>
      <c r="L1349" s="49"/>
      <c r="M1349" s="49"/>
      <c r="N1349" s="49"/>
      <c r="O1349" s="49"/>
      <c r="P1349" s="49"/>
      <c r="Q1349" s="49"/>
      <c r="R1349" s="49"/>
      <c r="S1349" s="49"/>
      <c r="T1349" s="49"/>
      <c r="U1349" s="49"/>
      <c r="V1349" s="49"/>
      <c r="W1349" s="49"/>
      <c r="X1349" s="49"/>
      <c r="Y1349" s="49"/>
      <c r="Z1349" s="49"/>
      <c r="AA1349" s="49"/>
      <c r="AB1349" s="49"/>
      <c r="AC1349" s="49"/>
      <c r="AD1349" s="49"/>
      <c r="AE1349" s="49"/>
      <c r="AF1349" s="49"/>
      <c r="AG1349" s="49"/>
      <c r="AH1349" s="49" t="b">
        <f>IFERROR(__xludf.DUMMYFUNCTION("""COMPUTED_VALUE"""),FALSE)</f>
        <v>0</v>
      </c>
    </row>
    <row r="1350">
      <c r="A1350" s="49"/>
      <c r="B1350" s="49"/>
      <c r="C1350" s="49"/>
      <c r="D1350" s="49"/>
      <c r="E1350" s="49">
        <f>IFERROR(__xludf.DUMMYFUNCTION("""COMPUTED_VALUE"""),1.0)</f>
        <v>1</v>
      </c>
      <c r="F1350" s="112">
        <f>IFERROR(__xludf.DUMMYFUNCTION("""COMPUTED_VALUE"""),0.0)</f>
        <v>0</v>
      </c>
      <c r="G1350" s="49"/>
      <c r="H1350" s="49"/>
      <c r="I1350" s="49"/>
      <c r="J1350" s="49"/>
      <c r="K1350" s="49"/>
      <c r="L1350" s="49"/>
      <c r="M1350" s="49"/>
      <c r="N1350" s="49"/>
      <c r="O1350" s="49"/>
      <c r="P1350" s="49"/>
      <c r="Q1350" s="49"/>
      <c r="R1350" s="49"/>
      <c r="S1350" s="49"/>
      <c r="T1350" s="49"/>
      <c r="U1350" s="49"/>
      <c r="V1350" s="49"/>
      <c r="W1350" s="49"/>
      <c r="X1350" s="49"/>
      <c r="Y1350" s="49"/>
      <c r="Z1350" s="49"/>
      <c r="AA1350" s="49"/>
      <c r="AB1350" s="49"/>
      <c r="AC1350" s="49"/>
      <c r="AD1350" s="49"/>
      <c r="AE1350" s="49"/>
      <c r="AF1350" s="49"/>
      <c r="AG1350" s="49"/>
      <c r="AH1350" s="49" t="b">
        <f>IFERROR(__xludf.DUMMYFUNCTION("""COMPUTED_VALUE"""),FALSE)</f>
        <v>0</v>
      </c>
    </row>
    <row r="1351">
      <c r="A1351" s="49"/>
      <c r="B1351" s="49"/>
      <c r="C1351" s="49"/>
      <c r="D1351" s="49"/>
      <c r="E1351" s="49">
        <f>IFERROR(__xludf.DUMMYFUNCTION("""COMPUTED_VALUE"""),1.0)</f>
        <v>1</v>
      </c>
      <c r="F1351" s="112">
        <f>IFERROR(__xludf.DUMMYFUNCTION("""COMPUTED_VALUE"""),0.0)</f>
        <v>0</v>
      </c>
      <c r="G1351" s="49"/>
      <c r="H1351" s="49"/>
      <c r="I1351" s="49"/>
      <c r="J1351" s="49"/>
      <c r="K1351" s="49"/>
      <c r="L1351" s="49"/>
      <c r="M1351" s="49"/>
      <c r="N1351" s="49"/>
      <c r="O1351" s="49"/>
      <c r="P1351" s="49"/>
      <c r="Q1351" s="49"/>
      <c r="R1351" s="49"/>
      <c r="S1351" s="49"/>
      <c r="T1351" s="49"/>
      <c r="U1351" s="49"/>
      <c r="V1351" s="49"/>
      <c r="W1351" s="49"/>
      <c r="X1351" s="49"/>
      <c r="Y1351" s="49"/>
      <c r="Z1351" s="49"/>
      <c r="AA1351" s="49"/>
      <c r="AB1351" s="49"/>
      <c r="AC1351" s="49"/>
      <c r="AD1351" s="49"/>
      <c r="AE1351" s="49"/>
      <c r="AF1351" s="49"/>
      <c r="AG1351" s="49"/>
      <c r="AH1351" s="49" t="b">
        <f>IFERROR(__xludf.DUMMYFUNCTION("""COMPUTED_VALUE"""),FALSE)</f>
        <v>0</v>
      </c>
    </row>
    <row r="1352">
      <c r="A1352" s="49"/>
      <c r="B1352" s="49"/>
      <c r="C1352" s="49"/>
      <c r="D1352" s="49"/>
      <c r="E1352" s="49">
        <f>IFERROR(__xludf.DUMMYFUNCTION("""COMPUTED_VALUE"""),1.0)</f>
        <v>1</v>
      </c>
      <c r="F1352" s="112">
        <f>IFERROR(__xludf.DUMMYFUNCTION("""COMPUTED_VALUE"""),0.0)</f>
        <v>0</v>
      </c>
      <c r="G1352" s="49"/>
      <c r="H1352" s="49"/>
      <c r="I1352" s="49"/>
      <c r="J1352" s="49"/>
      <c r="K1352" s="49"/>
      <c r="L1352" s="49"/>
      <c r="M1352" s="49"/>
      <c r="N1352" s="49"/>
      <c r="O1352" s="49"/>
      <c r="P1352" s="49"/>
      <c r="Q1352" s="49"/>
      <c r="R1352" s="49"/>
      <c r="S1352" s="49"/>
      <c r="T1352" s="49"/>
      <c r="U1352" s="49"/>
      <c r="V1352" s="49"/>
      <c r="W1352" s="49"/>
      <c r="X1352" s="49"/>
      <c r="Y1352" s="49"/>
      <c r="Z1352" s="49"/>
      <c r="AA1352" s="49"/>
      <c r="AB1352" s="49"/>
      <c r="AC1352" s="49"/>
      <c r="AD1352" s="49"/>
      <c r="AE1352" s="49"/>
      <c r="AF1352" s="49"/>
      <c r="AG1352" s="49"/>
      <c r="AH1352" s="49" t="b">
        <f>IFERROR(__xludf.DUMMYFUNCTION("""COMPUTED_VALUE"""),FALSE)</f>
        <v>0</v>
      </c>
    </row>
    <row r="1353">
      <c r="A1353" s="49"/>
      <c r="B1353" s="49"/>
      <c r="C1353" s="49"/>
      <c r="D1353" s="49"/>
      <c r="E1353" s="49">
        <f>IFERROR(__xludf.DUMMYFUNCTION("""COMPUTED_VALUE"""),1.0)</f>
        <v>1</v>
      </c>
      <c r="F1353" s="112">
        <f>IFERROR(__xludf.DUMMYFUNCTION("""COMPUTED_VALUE"""),0.0)</f>
        <v>0</v>
      </c>
      <c r="G1353" s="49"/>
      <c r="H1353" s="49"/>
      <c r="I1353" s="49"/>
      <c r="J1353" s="49"/>
      <c r="K1353" s="49"/>
      <c r="L1353" s="49"/>
      <c r="M1353" s="49"/>
      <c r="N1353" s="49"/>
      <c r="O1353" s="49"/>
      <c r="P1353" s="49"/>
      <c r="Q1353" s="49"/>
      <c r="R1353" s="49"/>
      <c r="S1353" s="49"/>
      <c r="T1353" s="49"/>
      <c r="U1353" s="49"/>
      <c r="V1353" s="49"/>
      <c r="W1353" s="49"/>
      <c r="X1353" s="49"/>
      <c r="Y1353" s="49"/>
      <c r="Z1353" s="49"/>
      <c r="AA1353" s="49"/>
      <c r="AB1353" s="49"/>
      <c r="AC1353" s="49"/>
      <c r="AD1353" s="49"/>
      <c r="AE1353" s="49"/>
      <c r="AF1353" s="49"/>
      <c r="AG1353" s="49"/>
      <c r="AH1353" s="49" t="b">
        <f>IFERROR(__xludf.DUMMYFUNCTION("""COMPUTED_VALUE"""),FALSE)</f>
        <v>0</v>
      </c>
    </row>
    <row r="1354">
      <c r="A1354" s="49"/>
      <c r="B1354" s="49"/>
      <c r="C1354" s="49"/>
      <c r="D1354" s="49"/>
      <c r="E1354" s="49">
        <f>IFERROR(__xludf.DUMMYFUNCTION("""COMPUTED_VALUE"""),1.0)</f>
        <v>1</v>
      </c>
      <c r="F1354" s="112">
        <f>IFERROR(__xludf.DUMMYFUNCTION("""COMPUTED_VALUE"""),0.0)</f>
        <v>0</v>
      </c>
      <c r="G1354" s="49"/>
      <c r="H1354" s="49"/>
      <c r="I1354" s="49"/>
      <c r="J1354" s="49"/>
      <c r="K1354" s="49"/>
      <c r="L1354" s="49"/>
      <c r="M1354" s="49"/>
      <c r="N1354" s="49"/>
      <c r="O1354" s="49"/>
      <c r="P1354" s="49"/>
      <c r="Q1354" s="49"/>
      <c r="R1354" s="49"/>
      <c r="S1354" s="49"/>
      <c r="T1354" s="49"/>
      <c r="U1354" s="49"/>
      <c r="V1354" s="49"/>
      <c r="W1354" s="49"/>
      <c r="X1354" s="49"/>
      <c r="Y1354" s="49"/>
      <c r="Z1354" s="49"/>
      <c r="AA1354" s="49"/>
      <c r="AB1354" s="49"/>
      <c r="AC1354" s="49"/>
      <c r="AD1354" s="49"/>
      <c r="AE1354" s="49"/>
      <c r="AF1354" s="49"/>
      <c r="AG1354" s="49"/>
      <c r="AH1354" s="49" t="b">
        <f>IFERROR(__xludf.DUMMYFUNCTION("""COMPUTED_VALUE"""),FALSE)</f>
        <v>0</v>
      </c>
    </row>
    <row r="1355">
      <c r="A1355" s="49"/>
      <c r="B1355" s="49"/>
      <c r="C1355" s="49"/>
      <c r="D1355" s="49"/>
      <c r="E1355" s="49">
        <f>IFERROR(__xludf.DUMMYFUNCTION("""COMPUTED_VALUE"""),1.0)</f>
        <v>1</v>
      </c>
      <c r="F1355" s="112">
        <f>IFERROR(__xludf.DUMMYFUNCTION("""COMPUTED_VALUE"""),0.0)</f>
        <v>0</v>
      </c>
      <c r="G1355" s="49"/>
      <c r="H1355" s="49"/>
      <c r="I1355" s="49"/>
      <c r="J1355" s="49"/>
      <c r="K1355" s="49"/>
      <c r="L1355" s="49"/>
      <c r="M1355" s="49"/>
      <c r="N1355" s="49"/>
      <c r="O1355" s="49"/>
      <c r="P1355" s="49"/>
      <c r="Q1355" s="49"/>
      <c r="R1355" s="49"/>
      <c r="S1355" s="49"/>
      <c r="T1355" s="49"/>
      <c r="U1355" s="49"/>
      <c r="V1355" s="49"/>
      <c r="W1355" s="49"/>
      <c r="X1355" s="49"/>
      <c r="Y1355" s="49"/>
      <c r="Z1355" s="49"/>
      <c r="AA1355" s="49"/>
      <c r="AB1355" s="49"/>
      <c r="AC1355" s="49"/>
      <c r="AD1355" s="49"/>
      <c r="AE1355" s="49"/>
      <c r="AF1355" s="49"/>
      <c r="AG1355" s="49"/>
      <c r="AH1355" s="49" t="b">
        <f>IFERROR(__xludf.DUMMYFUNCTION("""COMPUTED_VALUE"""),FALSE)</f>
        <v>0</v>
      </c>
    </row>
    <row r="1356">
      <c r="A1356" s="49"/>
      <c r="B1356" s="49"/>
      <c r="C1356" s="49"/>
      <c r="D1356" s="49"/>
      <c r="E1356" s="49">
        <f>IFERROR(__xludf.DUMMYFUNCTION("""COMPUTED_VALUE"""),1.0)</f>
        <v>1</v>
      </c>
      <c r="F1356" s="112">
        <f>IFERROR(__xludf.DUMMYFUNCTION("""COMPUTED_VALUE"""),0.0)</f>
        <v>0</v>
      </c>
      <c r="G1356" s="49"/>
      <c r="H1356" s="49"/>
      <c r="I1356" s="49"/>
      <c r="J1356" s="49"/>
      <c r="K1356" s="49"/>
      <c r="L1356" s="49"/>
      <c r="M1356" s="49"/>
      <c r="N1356" s="49"/>
      <c r="O1356" s="49"/>
      <c r="P1356" s="49"/>
      <c r="Q1356" s="49"/>
      <c r="R1356" s="49"/>
      <c r="S1356" s="49"/>
      <c r="T1356" s="49"/>
      <c r="U1356" s="49"/>
      <c r="V1356" s="49"/>
      <c r="W1356" s="49"/>
      <c r="X1356" s="49"/>
      <c r="Y1356" s="49"/>
      <c r="Z1356" s="49"/>
      <c r="AA1356" s="49"/>
      <c r="AB1356" s="49"/>
      <c r="AC1356" s="49"/>
      <c r="AD1356" s="49"/>
      <c r="AE1356" s="49"/>
      <c r="AF1356" s="49"/>
      <c r="AG1356" s="49"/>
      <c r="AH1356" s="49" t="b">
        <f>IFERROR(__xludf.DUMMYFUNCTION("""COMPUTED_VALUE"""),FALSE)</f>
        <v>0</v>
      </c>
    </row>
    <row r="1357">
      <c r="A1357" s="49"/>
      <c r="B1357" s="49"/>
      <c r="C1357" s="49"/>
      <c r="D1357" s="49"/>
      <c r="E1357" s="49">
        <f>IFERROR(__xludf.DUMMYFUNCTION("""COMPUTED_VALUE"""),1.0)</f>
        <v>1</v>
      </c>
      <c r="F1357" s="112">
        <f>IFERROR(__xludf.DUMMYFUNCTION("""COMPUTED_VALUE"""),0.0)</f>
        <v>0</v>
      </c>
      <c r="G1357" s="49"/>
      <c r="H1357" s="49"/>
      <c r="I1357" s="49"/>
      <c r="J1357" s="49"/>
      <c r="K1357" s="49"/>
      <c r="L1357" s="49"/>
      <c r="M1357" s="49"/>
      <c r="N1357" s="49"/>
      <c r="O1357" s="49"/>
      <c r="P1357" s="49"/>
      <c r="Q1357" s="49"/>
      <c r="R1357" s="49"/>
      <c r="S1357" s="49"/>
      <c r="T1357" s="49"/>
      <c r="U1357" s="49"/>
      <c r="V1357" s="49"/>
      <c r="W1357" s="49"/>
      <c r="X1357" s="49"/>
      <c r="Y1357" s="49"/>
      <c r="Z1357" s="49"/>
      <c r="AA1357" s="49"/>
      <c r="AB1357" s="49"/>
      <c r="AC1357" s="49"/>
      <c r="AD1357" s="49"/>
      <c r="AE1357" s="49"/>
      <c r="AF1357" s="49"/>
      <c r="AG1357" s="49"/>
      <c r="AH1357" s="49" t="b">
        <f>IFERROR(__xludf.DUMMYFUNCTION("""COMPUTED_VALUE"""),FALSE)</f>
        <v>0</v>
      </c>
    </row>
    <row r="1358">
      <c r="A1358" s="49"/>
      <c r="B1358" s="49"/>
      <c r="C1358" s="49"/>
      <c r="D1358" s="49"/>
      <c r="E1358" s="49">
        <f>IFERROR(__xludf.DUMMYFUNCTION("""COMPUTED_VALUE"""),1.0)</f>
        <v>1</v>
      </c>
      <c r="F1358" s="112">
        <f>IFERROR(__xludf.DUMMYFUNCTION("""COMPUTED_VALUE"""),0.0)</f>
        <v>0</v>
      </c>
      <c r="G1358" s="49"/>
      <c r="H1358" s="49"/>
      <c r="I1358" s="49"/>
      <c r="J1358" s="49"/>
      <c r="K1358" s="49"/>
      <c r="L1358" s="49"/>
      <c r="M1358" s="49"/>
      <c r="N1358" s="49"/>
      <c r="O1358" s="49"/>
      <c r="P1358" s="49"/>
      <c r="Q1358" s="49"/>
      <c r="R1358" s="49"/>
      <c r="S1358" s="49"/>
      <c r="T1358" s="49"/>
      <c r="U1358" s="49"/>
      <c r="V1358" s="49"/>
      <c r="W1358" s="49"/>
      <c r="X1358" s="49"/>
      <c r="Y1358" s="49"/>
      <c r="Z1358" s="49"/>
      <c r="AA1358" s="49"/>
      <c r="AB1358" s="49"/>
      <c r="AC1358" s="49"/>
      <c r="AD1358" s="49"/>
      <c r="AE1358" s="49"/>
      <c r="AF1358" s="49"/>
      <c r="AG1358" s="49"/>
      <c r="AH1358" s="49" t="b">
        <f>IFERROR(__xludf.DUMMYFUNCTION("""COMPUTED_VALUE"""),FALSE)</f>
        <v>0</v>
      </c>
    </row>
    <row r="1359">
      <c r="A1359" s="49"/>
      <c r="B1359" s="49"/>
      <c r="C1359" s="49"/>
      <c r="D1359" s="49"/>
      <c r="E1359" s="49">
        <f>IFERROR(__xludf.DUMMYFUNCTION("""COMPUTED_VALUE"""),1.0)</f>
        <v>1</v>
      </c>
      <c r="F1359" s="112">
        <f>IFERROR(__xludf.DUMMYFUNCTION("""COMPUTED_VALUE"""),0.0)</f>
        <v>0</v>
      </c>
      <c r="G1359" s="49"/>
      <c r="H1359" s="49"/>
      <c r="I1359" s="49"/>
      <c r="J1359" s="49"/>
      <c r="K1359" s="49"/>
      <c r="L1359" s="49"/>
      <c r="M1359" s="49"/>
      <c r="N1359" s="49"/>
      <c r="O1359" s="49"/>
      <c r="P1359" s="49"/>
      <c r="Q1359" s="49"/>
      <c r="R1359" s="49"/>
      <c r="S1359" s="49"/>
      <c r="T1359" s="49"/>
      <c r="U1359" s="49"/>
      <c r="V1359" s="49"/>
      <c r="W1359" s="49"/>
      <c r="X1359" s="49"/>
      <c r="Y1359" s="49"/>
      <c r="Z1359" s="49"/>
      <c r="AA1359" s="49"/>
      <c r="AB1359" s="49"/>
      <c r="AC1359" s="49"/>
      <c r="AD1359" s="49"/>
      <c r="AE1359" s="49"/>
      <c r="AF1359" s="49"/>
      <c r="AG1359" s="49"/>
      <c r="AH1359" s="49" t="b">
        <f>IFERROR(__xludf.DUMMYFUNCTION("""COMPUTED_VALUE"""),FALSE)</f>
        <v>0</v>
      </c>
    </row>
    <row r="1360">
      <c r="A1360" s="49"/>
      <c r="B1360" s="49"/>
      <c r="C1360" s="49"/>
      <c r="D1360" s="49"/>
      <c r="E1360" s="49">
        <f>IFERROR(__xludf.DUMMYFUNCTION("""COMPUTED_VALUE"""),1.0)</f>
        <v>1</v>
      </c>
      <c r="F1360" s="112">
        <f>IFERROR(__xludf.DUMMYFUNCTION("""COMPUTED_VALUE"""),0.0)</f>
        <v>0</v>
      </c>
      <c r="G1360" s="49"/>
      <c r="H1360" s="49"/>
      <c r="I1360" s="49"/>
      <c r="J1360" s="49"/>
      <c r="K1360" s="49"/>
      <c r="L1360" s="49"/>
      <c r="M1360" s="49"/>
      <c r="N1360" s="49"/>
      <c r="O1360" s="49"/>
      <c r="P1360" s="49"/>
      <c r="Q1360" s="49"/>
      <c r="R1360" s="49"/>
      <c r="S1360" s="49"/>
      <c r="T1360" s="49"/>
      <c r="U1360" s="49"/>
      <c r="V1360" s="49"/>
      <c r="W1360" s="49"/>
      <c r="X1360" s="49"/>
      <c r="Y1360" s="49"/>
      <c r="Z1360" s="49"/>
      <c r="AA1360" s="49"/>
      <c r="AB1360" s="49"/>
      <c r="AC1360" s="49"/>
      <c r="AD1360" s="49"/>
      <c r="AE1360" s="49"/>
      <c r="AF1360" s="49"/>
      <c r="AG1360" s="49"/>
      <c r="AH1360" s="49" t="b">
        <f>IFERROR(__xludf.DUMMYFUNCTION("""COMPUTED_VALUE"""),FALSE)</f>
        <v>0</v>
      </c>
    </row>
    <row r="1361">
      <c r="A1361" s="49"/>
      <c r="B1361" s="49"/>
      <c r="C1361" s="49"/>
      <c r="D1361" s="49"/>
      <c r="E1361" s="49">
        <f>IFERROR(__xludf.DUMMYFUNCTION("""COMPUTED_VALUE"""),1.0)</f>
        <v>1</v>
      </c>
      <c r="F1361" s="112">
        <f>IFERROR(__xludf.DUMMYFUNCTION("""COMPUTED_VALUE"""),0.0)</f>
        <v>0</v>
      </c>
      <c r="G1361" s="49"/>
      <c r="H1361" s="49"/>
      <c r="I1361" s="49"/>
      <c r="J1361" s="49"/>
      <c r="K1361" s="49"/>
      <c r="L1361" s="49"/>
      <c r="M1361" s="49"/>
      <c r="N1361" s="49"/>
      <c r="O1361" s="49"/>
      <c r="P1361" s="49"/>
      <c r="Q1361" s="49"/>
      <c r="R1361" s="49"/>
      <c r="S1361" s="49"/>
      <c r="T1361" s="49"/>
      <c r="U1361" s="49"/>
      <c r="V1361" s="49"/>
      <c r="W1361" s="49"/>
      <c r="X1361" s="49"/>
      <c r="Y1361" s="49"/>
      <c r="Z1361" s="49"/>
      <c r="AA1361" s="49"/>
      <c r="AB1361" s="49"/>
      <c r="AC1361" s="49"/>
      <c r="AD1361" s="49"/>
      <c r="AE1361" s="49"/>
      <c r="AF1361" s="49"/>
      <c r="AG1361" s="49"/>
      <c r="AH1361" s="49" t="b">
        <f>IFERROR(__xludf.DUMMYFUNCTION("""COMPUTED_VALUE"""),FALSE)</f>
        <v>0</v>
      </c>
    </row>
    <row r="1362">
      <c r="A1362" s="49"/>
      <c r="B1362" s="49"/>
      <c r="C1362" s="49"/>
      <c r="D1362" s="49"/>
      <c r="E1362" s="49">
        <f>IFERROR(__xludf.DUMMYFUNCTION("""COMPUTED_VALUE"""),1.0)</f>
        <v>1</v>
      </c>
      <c r="F1362" s="112">
        <f>IFERROR(__xludf.DUMMYFUNCTION("""COMPUTED_VALUE"""),0.0)</f>
        <v>0</v>
      </c>
      <c r="G1362" s="49"/>
      <c r="H1362" s="49"/>
      <c r="I1362" s="49"/>
      <c r="J1362" s="49"/>
      <c r="K1362" s="49"/>
      <c r="L1362" s="49"/>
      <c r="M1362" s="49"/>
      <c r="N1362" s="49"/>
      <c r="O1362" s="49"/>
      <c r="P1362" s="49"/>
      <c r="Q1362" s="49"/>
      <c r="R1362" s="49"/>
      <c r="S1362" s="49"/>
      <c r="T1362" s="49"/>
      <c r="U1362" s="49"/>
      <c r="V1362" s="49"/>
      <c r="W1362" s="49"/>
      <c r="X1362" s="49"/>
      <c r="Y1362" s="49"/>
      <c r="Z1362" s="49"/>
      <c r="AA1362" s="49"/>
      <c r="AB1362" s="49"/>
      <c r="AC1362" s="49"/>
      <c r="AD1362" s="49"/>
      <c r="AE1362" s="49"/>
      <c r="AF1362" s="49"/>
      <c r="AG1362" s="49"/>
      <c r="AH1362" s="49" t="b">
        <f>IFERROR(__xludf.DUMMYFUNCTION("""COMPUTED_VALUE"""),FALSE)</f>
        <v>0</v>
      </c>
    </row>
    <row r="1363">
      <c r="A1363" s="49"/>
      <c r="B1363" s="49"/>
      <c r="C1363" s="49"/>
      <c r="D1363" s="49"/>
      <c r="E1363" s="49">
        <f>IFERROR(__xludf.DUMMYFUNCTION("""COMPUTED_VALUE"""),1.0)</f>
        <v>1</v>
      </c>
      <c r="F1363" s="112">
        <f>IFERROR(__xludf.DUMMYFUNCTION("""COMPUTED_VALUE"""),0.0)</f>
        <v>0</v>
      </c>
      <c r="G1363" s="49"/>
      <c r="H1363" s="49"/>
      <c r="I1363" s="49"/>
      <c r="J1363" s="49"/>
      <c r="K1363" s="49"/>
      <c r="L1363" s="49"/>
      <c r="M1363" s="49"/>
      <c r="N1363" s="49"/>
      <c r="O1363" s="49"/>
      <c r="P1363" s="49"/>
      <c r="Q1363" s="49"/>
      <c r="R1363" s="49"/>
      <c r="S1363" s="49"/>
      <c r="T1363" s="49"/>
      <c r="U1363" s="49"/>
      <c r="V1363" s="49"/>
      <c r="W1363" s="49"/>
      <c r="X1363" s="49"/>
      <c r="Y1363" s="49"/>
      <c r="Z1363" s="49"/>
      <c r="AA1363" s="49"/>
      <c r="AB1363" s="49"/>
      <c r="AC1363" s="49"/>
      <c r="AD1363" s="49"/>
      <c r="AE1363" s="49"/>
      <c r="AF1363" s="49"/>
      <c r="AG1363" s="49"/>
      <c r="AH1363" s="49" t="b">
        <f>IFERROR(__xludf.DUMMYFUNCTION("""COMPUTED_VALUE"""),FALSE)</f>
        <v>0</v>
      </c>
    </row>
    <row r="1364">
      <c r="A1364" s="49"/>
      <c r="B1364" s="49"/>
      <c r="C1364" s="49"/>
      <c r="D1364" s="49"/>
      <c r="E1364" s="49">
        <f>IFERROR(__xludf.DUMMYFUNCTION("""COMPUTED_VALUE"""),1.0)</f>
        <v>1</v>
      </c>
      <c r="F1364" s="112">
        <f>IFERROR(__xludf.DUMMYFUNCTION("""COMPUTED_VALUE"""),0.0)</f>
        <v>0</v>
      </c>
      <c r="G1364" s="49"/>
      <c r="H1364" s="49"/>
      <c r="I1364" s="49"/>
      <c r="J1364" s="49"/>
      <c r="K1364" s="49"/>
      <c r="L1364" s="49"/>
      <c r="M1364" s="49"/>
      <c r="N1364" s="49"/>
      <c r="O1364" s="49"/>
      <c r="P1364" s="49"/>
      <c r="Q1364" s="49"/>
      <c r="R1364" s="49"/>
      <c r="S1364" s="49"/>
      <c r="T1364" s="49"/>
      <c r="U1364" s="49"/>
      <c r="V1364" s="49"/>
      <c r="W1364" s="49"/>
      <c r="X1364" s="49"/>
      <c r="Y1364" s="49"/>
      <c r="Z1364" s="49"/>
      <c r="AA1364" s="49"/>
      <c r="AB1364" s="49"/>
      <c r="AC1364" s="49"/>
      <c r="AD1364" s="49"/>
      <c r="AE1364" s="49"/>
      <c r="AF1364" s="49"/>
      <c r="AG1364" s="49"/>
      <c r="AH1364" s="49" t="b">
        <f>IFERROR(__xludf.DUMMYFUNCTION("""COMPUTED_VALUE"""),FALSE)</f>
        <v>0</v>
      </c>
    </row>
    <row r="1365">
      <c r="A1365" s="49"/>
      <c r="B1365" s="49"/>
      <c r="C1365" s="49"/>
      <c r="D1365" s="49"/>
      <c r="E1365" s="49">
        <f>IFERROR(__xludf.DUMMYFUNCTION("""COMPUTED_VALUE"""),1.0)</f>
        <v>1</v>
      </c>
      <c r="F1365" s="112">
        <f>IFERROR(__xludf.DUMMYFUNCTION("""COMPUTED_VALUE"""),0.0)</f>
        <v>0</v>
      </c>
      <c r="G1365" s="49"/>
      <c r="H1365" s="49"/>
      <c r="I1365" s="49"/>
      <c r="J1365" s="49"/>
      <c r="K1365" s="49"/>
      <c r="L1365" s="49"/>
      <c r="M1365" s="49"/>
      <c r="N1365" s="49"/>
      <c r="O1365" s="49"/>
      <c r="P1365" s="49"/>
      <c r="Q1365" s="49"/>
      <c r="R1365" s="49"/>
      <c r="S1365" s="49"/>
      <c r="T1365" s="49"/>
      <c r="U1365" s="49"/>
      <c r="V1365" s="49"/>
      <c r="W1365" s="49"/>
      <c r="X1365" s="49"/>
      <c r="Y1365" s="49"/>
      <c r="Z1365" s="49"/>
      <c r="AA1365" s="49"/>
      <c r="AB1365" s="49"/>
      <c r="AC1365" s="49"/>
      <c r="AD1365" s="49"/>
      <c r="AE1365" s="49"/>
      <c r="AF1365" s="49"/>
      <c r="AG1365" s="49"/>
      <c r="AH1365" s="49" t="b">
        <f>IFERROR(__xludf.DUMMYFUNCTION("""COMPUTED_VALUE"""),FALSE)</f>
        <v>0</v>
      </c>
    </row>
    <row r="1366">
      <c r="A1366" s="49"/>
      <c r="B1366" s="49"/>
      <c r="C1366" s="49"/>
      <c r="D1366" s="49"/>
      <c r="E1366" s="49">
        <f>IFERROR(__xludf.DUMMYFUNCTION("""COMPUTED_VALUE"""),1.0)</f>
        <v>1</v>
      </c>
      <c r="F1366" s="112">
        <f>IFERROR(__xludf.DUMMYFUNCTION("""COMPUTED_VALUE"""),0.0)</f>
        <v>0</v>
      </c>
      <c r="G1366" s="49"/>
      <c r="H1366" s="49"/>
      <c r="I1366" s="49"/>
      <c r="J1366" s="49"/>
      <c r="K1366" s="49"/>
      <c r="L1366" s="49"/>
      <c r="M1366" s="49"/>
      <c r="N1366" s="49"/>
      <c r="O1366" s="49"/>
      <c r="P1366" s="49"/>
      <c r="Q1366" s="49"/>
      <c r="R1366" s="49"/>
      <c r="S1366" s="49"/>
      <c r="T1366" s="49"/>
      <c r="U1366" s="49"/>
      <c r="V1366" s="49"/>
      <c r="W1366" s="49"/>
      <c r="X1366" s="49"/>
      <c r="Y1366" s="49"/>
      <c r="Z1366" s="49"/>
      <c r="AA1366" s="49"/>
      <c r="AB1366" s="49"/>
      <c r="AC1366" s="49"/>
      <c r="AD1366" s="49"/>
      <c r="AE1366" s="49"/>
      <c r="AF1366" s="49"/>
      <c r="AG1366" s="49"/>
      <c r="AH1366" s="49" t="b">
        <f>IFERROR(__xludf.DUMMYFUNCTION("""COMPUTED_VALUE"""),FALSE)</f>
        <v>0</v>
      </c>
    </row>
    <row r="1367">
      <c r="A1367" s="49"/>
      <c r="B1367" s="49"/>
      <c r="C1367" s="49"/>
      <c r="D1367" s="49"/>
      <c r="E1367" s="49">
        <f>IFERROR(__xludf.DUMMYFUNCTION("""COMPUTED_VALUE"""),1.0)</f>
        <v>1</v>
      </c>
      <c r="F1367" s="112">
        <f>IFERROR(__xludf.DUMMYFUNCTION("""COMPUTED_VALUE"""),0.0)</f>
        <v>0</v>
      </c>
      <c r="G1367" s="49"/>
      <c r="H1367" s="49"/>
      <c r="I1367" s="49"/>
      <c r="J1367" s="49"/>
      <c r="K1367" s="49"/>
      <c r="L1367" s="49"/>
      <c r="M1367" s="49"/>
      <c r="N1367" s="49"/>
      <c r="O1367" s="49"/>
      <c r="P1367" s="49"/>
      <c r="Q1367" s="49"/>
      <c r="R1367" s="49"/>
      <c r="S1367" s="49"/>
      <c r="T1367" s="49"/>
      <c r="U1367" s="49"/>
      <c r="V1367" s="49"/>
      <c r="W1367" s="49"/>
      <c r="X1367" s="49"/>
      <c r="Y1367" s="49"/>
      <c r="Z1367" s="49"/>
      <c r="AA1367" s="49"/>
      <c r="AB1367" s="49"/>
      <c r="AC1367" s="49"/>
      <c r="AD1367" s="49"/>
      <c r="AE1367" s="49"/>
      <c r="AF1367" s="49"/>
      <c r="AG1367" s="49"/>
      <c r="AH1367" s="49" t="b">
        <f>IFERROR(__xludf.DUMMYFUNCTION("""COMPUTED_VALUE"""),FALSE)</f>
        <v>0</v>
      </c>
    </row>
    <row r="1368">
      <c r="A1368" s="49"/>
      <c r="B1368" s="49"/>
      <c r="C1368" s="49"/>
      <c r="D1368" s="49"/>
      <c r="E1368" s="49">
        <f>IFERROR(__xludf.DUMMYFUNCTION("""COMPUTED_VALUE"""),1.0)</f>
        <v>1</v>
      </c>
      <c r="F1368" s="112">
        <f>IFERROR(__xludf.DUMMYFUNCTION("""COMPUTED_VALUE"""),0.0)</f>
        <v>0</v>
      </c>
      <c r="G1368" s="49"/>
      <c r="H1368" s="49"/>
      <c r="I1368" s="49"/>
      <c r="J1368" s="49"/>
      <c r="K1368" s="49"/>
      <c r="L1368" s="49"/>
      <c r="M1368" s="49"/>
      <c r="N1368" s="49"/>
      <c r="O1368" s="49"/>
      <c r="P1368" s="49"/>
      <c r="Q1368" s="49"/>
      <c r="R1368" s="49"/>
      <c r="S1368" s="49"/>
      <c r="T1368" s="49"/>
      <c r="U1368" s="49"/>
      <c r="V1368" s="49"/>
      <c r="W1368" s="49"/>
      <c r="X1368" s="49"/>
      <c r="Y1368" s="49"/>
      <c r="Z1368" s="49"/>
      <c r="AA1368" s="49"/>
      <c r="AB1368" s="49"/>
      <c r="AC1368" s="49"/>
      <c r="AD1368" s="49"/>
      <c r="AE1368" s="49"/>
      <c r="AF1368" s="49"/>
      <c r="AG1368" s="49"/>
      <c r="AH1368" s="49" t="b">
        <f>IFERROR(__xludf.DUMMYFUNCTION("""COMPUTED_VALUE"""),FALSE)</f>
        <v>0</v>
      </c>
    </row>
    <row r="1369">
      <c r="A1369" s="49"/>
      <c r="B1369" s="49"/>
      <c r="C1369" s="49"/>
      <c r="D1369" s="49"/>
      <c r="E1369" s="49">
        <f>IFERROR(__xludf.DUMMYFUNCTION("""COMPUTED_VALUE"""),1.0)</f>
        <v>1</v>
      </c>
      <c r="F1369" s="112">
        <f>IFERROR(__xludf.DUMMYFUNCTION("""COMPUTED_VALUE"""),0.0)</f>
        <v>0</v>
      </c>
      <c r="G1369" s="49"/>
      <c r="H1369" s="49"/>
      <c r="I1369" s="49"/>
      <c r="J1369" s="49"/>
      <c r="K1369" s="49"/>
      <c r="L1369" s="49"/>
      <c r="M1369" s="49"/>
      <c r="N1369" s="49"/>
      <c r="O1369" s="49"/>
      <c r="P1369" s="49"/>
      <c r="Q1369" s="49"/>
      <c r="R1369" s="49"/>
      <c r="S1369" s="49"/>
      <c r="T1369" s="49"/>
      <c r="U1369" s="49"/>
      <c r="V1369" s="49"/>
      <c r="W1369" s="49"/>
      <c r="X1369" s="49"/>
      <c r="Y1369" s="49"/>
      <c r="Z1369" s="49"/>
      <c r="AA1369" s="49"/>
      <c r="AB1369" s="49"/>
      <c r="AC1369" s="49"/>
      <c r="AD1369" s="49"/>
      <c r="AE1369" s="49"/>
      <c r="AF1369" s="49"/>
      <c r="AG1369" s="49"/>
      <c r="AH1369" s="49" t="b">
        <f>IFERROR(__xludf.DUMMYFUNCTION("""COMPUTED_VALUE"""),FALSE)</f>
        <v>0</v>
      </c>
    </row>
    <row r="1370">
      <c r="A1370" s="49"/>
      <c r="B1370" s="49"/>
      <c r="C1370" s="49"/>
      <c r="D1370" s="49"/>
      <c r="E1370" s="49">
        <f>IFERROR(__xludf.DUMMYFUNCTION("""COMPUTED_VALUE"""),1.0)</f>
        <v>1</v>
      </c>
      <c r="F1370" s="112">
        <f>IFERROR(__xludf.DUMMYFUNCTION("""COMPUTED_VALUE"""),0.0)</f>
        <v>0</v>
      </c>
      <c r="G1370" s="49"/>
      <c r="H1370" s="49"/>
      <c r="I1370" s="49"/>
      <c r="J1370" s="49"/>
      <c r="K1370" s="49"/>
      <c r="L1370" s="49"/>
      <c r="M1370" s="49"/>
      <c r="N1370" s="49"/>
      <c r="O1370" s="49"/>
      <c r="P1370" s="49"/>
      <c r="Q1370" s="49"/>
      <c r="R1370" s="49"/>
      <c r="S1370" s="49"/>
      <c r="T1370" s="49"/>
      <c r="U1370" s="49"/>
      <c r="V1370" s="49"/>
      <c r="W1370" s="49"/>
      <c r="X1370" s="49"/>
      <c r="Y1370" s="49"/>
      <c r="Z1370" s="49"/>
      <c r="AA1370" s="49"/>
      <c r="AB1370" s="49"/>
      <c r="AC1370" s="49"/>
      <c r="AD1370" s="49"/>
      <c r="AE1370" s="49"/>
      <c r="AF1370" s="49"/>
      <c r="AG1370" s="49"/>
      <c r="AH1370" s="49" t="b">
        <f>IFERROR(__xludf.DUMMYFUNCTION("""COMPUTED_VALUE"""),FALSE)</f>
        <v>0</v>
      </c>
    </row>
    <row r="1371">
      <c r="A1371" s="49"/>
      <c r="B1371" s="49"/>
      <c r="C1371" s="49"/>
      <c r="D1371" s="49"/>
      <c r="E1371" s="49">
        <f>IFERROR(__xludf.DUMMYFUNCTION("""COMPUTED_VALUE"""),1.0)</f>
        <v>1</v>
      </c>
      <c r="F1371" s="112">
        <f>IFERROR(__xludf.DUMMYFUNCTION("""COMPUTED_VALUE"""),0.0)</f>
        <v>0</v>
      </c>
      <c r="G1371" s="49"/>
      <c r="H1371" s="49"/>
      <c r="I1371" s="49"/>
      <c r="J1371" s="49"/>
      <c r="K1371" s="49"/>
      <c r="L1371" s="49"/>
      <c r="M1371" s="49"/>
      <c r="N1371" s="49"/>
      <c r="O1371" s="49"/>
      <c r="P1371" s="49"/>
      <c r="Q1371" s="49"/>
      <c r="R1371" s="49"/>
      <c r="S1371" s="49"/>
      <c r="T1371" s="49"/>
      <c r="U1371" s="49"/>
      <c r="V1371" s="49"/>
      <c r="W1371" s="49"/>
      <c r="X1371" s="49"/>
      <c r="Y1371" s="49"/>
      <c r="Z1371" s="49"/>
      <c r="AA1371" s="49"/>
      <c r="AB1371" s="49"/>
      <c r="AC1371" s="49"/>
      <c r="AD1371" s="49"/>
      <c r="AE1371" s="49"/>
      <c r="AF1371" s="49"/>
      <c r="AG1371" s="49"/>
      <c r="AH1371" s="49" t="b">
        <f>IFERROR(__xludf.DUMMYFUNCTION("""COMPUTED_VALUE"""),FALSE)</f>
        <v>0</v>
      </c>
    </row>
    <row r="1372">
      <c r="A1372" s="49"/>
      <c r="B1372" s="49"/>
      <c r="C1372" s="49"/>
      <c r="D1372" s="49"/>
      <c r="E1372" s="49">
        <f>IFERROR(__xludf.DUMMYFUNCTION("""COMPUTED_VALUE"""),1.0)</f>
        <v>1</v>
      </c>
      <c r="F1372" s="112">
        <f>IFERROR(__xludf.DUMMYFUNCTION("""COMPUTED_VALUE"""),0.0)</f>
        <v>0</v>
      </c>
      <c r="G1372" s="49"/>
      <c r="H1372" s="49"/>
      <c r="I1372" s="49"/>
      <c r="J1372" s="49"/>
      <c r="K1372" s="49"/>
      <c r="L1372" s="49"/>
      <c r="M1372" s="49"/>
      <c r="N1372" s="49"/>
      <c r="O1372" s="49"/>
      <c r="P1372" s="49"/>
      <c r="Q1372" s="49"/>
      <c r="R1372" s="49"/>
      <c r="S1372" s="49"/>
      <c r="T1372" s="49"/>
      <c r="U1372" s="49"/>
      <c r="V1372" s="49"/>
      <c r="W1372" s="49"/>
      <c r="X1372" s="49"/>
      <c r="Y1372" s="49"/>
      <c r="Z1372" s="49"/>
      <c r="AA1372" s="49"/>
      <c r="AB1372" s="49"/>
      <c r="AC1372" s="49"/>
      <c r="AD1372" s="49"/>
      <c r="AE1372" s="49"/>
      <c r="AF1372" s="49"/>
      <c r="AG1372" s="49"/>
      <c r="AH1372" s="49" t="b">
        <f>IFERROR(__xludf.DUMMYFUNCTION("""COMPUTED_VALUE"""),FALSE)</f>
        <v>0</v>
      </c>
    </row>
    <row r="1373">
      <c r="A1373" s="49"/>
      <c r="B1373" s="49"/>
      <c r="C1373" s="49"/>
      <c r="D1373" s="49"/>
      <c r="E1373" s="49">
        <f>IFERROR(__xludf.DUMMYFUNCTION("""COMPUTED_VALUE"""),1.0)</f>
        <v>1</v>
      </c>
      <c r="F1373" s="112">
        <f>IFERROR(__xludf.DUMMYFUNCTION("""COMPUTED_VALUE"""),0.0)</f>
        <v>0</v>
      </c>
      <c r="G1373" s="49"/>
      <c r="H1373" s="49"/>
      <c r="I1373" s="49"/>
      <c r="J1373" s="49"/>
      <c r="K1373" s="49"/>
      <c r="L1373" s="49"/>
      <c r="M1373" s="49"/>
      <c r="N1373" s="49"/>
      <c r="O1373" s="49"/>
      <c r="P1373" s="49"/>
      <c r="Q1373" s="49"/>
      <c r="R1373" s="49"/>
      <c r="S1373" s="49"/>
      <c r="T1373" s="49"/>
      <c r="U1373" s="49"/>
      <c r="V1373" s="49"/>
      <c r="W1373" s="49"/>
      <c r="X1373" s="49"/>
      <c r="Y1373" s="49"/>
      <c r="Z1373" s="49"/>
      <c r="AA1373" s="49"/>
      <c r="AB1373" s="49"/>
      <c r="AC1373" s="49"/>
      <c r="AD1373" s="49"/>
      <c r="AE1373" s="49"/>
      <c r="AF1373" s="49"/>
      <c r="AG1373" s="49"/>
      <c r="AH1373" s="49" t="b">
        <f>IFERROR(__xludf.DUMMYFUNCTION("""COMPUTED_VALUE"""),FALSE)</f>
        <v>0</v>
      </c>
    </row>
    <row r="1374">
      <c r="A1374" s="49"/>
      <c r="B1374" s="49"/>
      <c r="C1374" s="49"/>
      <c r="D1374" s="49"/>
      <c r="E1374" s="49">
        <f>IFERROR(__xludf.DUMMYFUNCTION("""COMPUTED_VALUE"""),1.0)</f>
        <v>1</v>
      </c>
      <c r="F1374" s="112">
        <f>IFERROR(__xludf.DUMMYFUNCTION("""COMPUTED_VALUE"""),0.0)</f>
        <v>0</v>
      </c>
      <c r="G1374" s="49"/>
      <c r="H1374" s="49"/>
      <c r="I1374" s="49"/>
      <c r="J1374" s="49"/>
      <c r="K1374" s="49"/>
      <c r="L1374" s="49"/>
      <c r="M1374" s="49"/>
      <c r="N1374" s="49"/>
      <c r="O1374" s="49"/>
      <c r="P1374" s="49"/>
      <c r="Q1374" s="49"/>
      <c r="R1374" s="49"/>
      <c r="S1374" s="49"/>
      <c r="T1374" s="49"/>
      <c r="U1374" s="49"/>
      <c r="V1374" s="49"/>
      <c r="W1374" s="49"/>
      <c r="X1374" s="49"/>
      <c r="Y1374" s="49"/>
      <c r="Z1374" s="49"/>
      <c r="AA1374" s="49"/>
      <c r="AB1374" s="49"/>
      <c r="AC1374" s="49"/>
      <c r="AD1374" s="49"/>
      <c r="AE1374" s="49"/>
      <c r="AF1374" s="49"/>
      <c r="AG1374" s="49"/>
      <c r="AH1374" s="49" t="b">
        <f>IFERROR(__xludf.DUMMYFUNCTION("""COMPUTED_VALUE"""),FALSE)</f>
        <v>0</v>
      </c>
    </row>
    <row r="1375">
      <c r="A1375" s="49"/>
      <c r="B1375" s="49"/>
      <c r="C1375" s="49"/>
      <c r="D1375" s="49"/>
      <c r="E1375" s="49">
        <f>IFERROR(__xludf.DUMMYFUNCTION("""COMPUTED_VALUE"""),1.0)</f>
        <v>1</v>
      </c>
      <c r="F1375" s="112">
        <f>IFERROR(__xludf.DUMMYFUNCTION("""COMPUTED_VALUE"""),0.0)</f>
        <v>0</v>
      </c>
      <c r="G1375" s="49"/>
      <c r="H1375" s="49"/>
      <c r="I1375" s="49"/>
      <c r="J1375" s="49"/>
      <c r="K1375" s="49"/>
      <c r="L1375" s="49"/>
      <c r="M1375" s="49"/>
      <c r="N1375" s="49"/>
      <c r="O1375" s="49"/>
      <c r="P1375" s="49"/>
      <c r="Q1375" s="49"/>
      <c r="R1375" s="49"/>
      <c r="S1375" s="49"/>
      <c r="T1375" s="49"/>
      <c r="U1375" s="49"/>
      <c r="V1375" s="49"/>
      <c r="W1375" s="49"/>
      <c r="X1375" s="49"/>
      <c r="Y1375" s="49"/>
      <c r="Z1375" s="49"/>
      <c r="AA1375" s="49"/>
      <c r="AB1375" s="49"/>
      <c r="AC1375" s="49"/>
      <c r="AD1375" s="49"/>
      <c r="AE1375" s="49"/>
      <c r="AF1375" s="49"/>
      <c r="AG1375" s="49"/>
      <c r="AH1375" s="49" t="b">
        <f>IFERROR(__xludf.DUMMYFUNCTION("""COMPUTED_VALUE"""),FALSE)</f>
        <v>0</v>
      </c>
    </row>
    <row r="1376">
      <c r="A1376" s="49"/>
      <c r="B1376" s="49"/>
      <c r="C1376" s="49"/>
      <c r="D1376" s="49"/>
      <c r="E1376" s="49">
        <f>IFERROR(__xludf.DUMMYFUNCTION("""COMPUTED_VALUE"""),1.0)</f>
        <v>1</v>
      </c>
      <c r="F1376" s="112">
        <f>IFERROR(__xludf.DUMMYFUNCTION("""COMPUTED_VALUE"""),0.0)</f>
        <v>0</v>
      </c>
      <c r="G1376" s="49"/>
      <c r="H1376" s="49"/>
      <c r="I1376" s="49"/>
      <c r="J1376" s="49"/>
      <c r="K1376" s="49"/>
      <c r="L1376" s="49"/>
      <c r="M1376" s="49"/>
      <c r="N1376" s="49"/>
      <c r="O1376" s="49"/>
      <c r="P1376" s="49"/>
      <c r="Q1376" s="49"/>
      <c r="R1376" s="49"/>
      <c r="S1376" s="49"/>
      <c r="T1376" s="49"/>
      <c r="U1376" s="49"/>
      <c r="V1376" s="49"/>
      <c r="W1376" s="49"/>
      <c r="X1376" s="49"/>
      <c r="Y1376" s="49"/>
      <c r="Z1376" s="49"/>
      <c r="AA1376" s="49"/>
      <c r="AB1376" s="49"/>
      <c r="AC1376" s="49"/>
      <c r="AD1376" s="49"/>
      <c r="AE1376" s="49"/>
      <c r="AF1376" s="49"/>
      <c r="AG1376" s="49"/>
      <c r="AH1376" s="49" t="b">
        <f>IFERROR(__xludf.DUMMYFUNCTION("""COMPUTED_VALUE"""),FALSE)</f>
        <v>0</v>
      </c>
    </row>
    <row r="1377">
      <c r="A1377" s="49"/>
      <c r="B1377" s="49"/>
      <c r="C1377" s="49"/>
      <c r="D1377" s="49"/>
      <c r="E1377" s="49">
        <f>IFERROR(__xludf.DUMMYFUNCTION("""COMPUTED_VALUE"""),1.0)</f>
        <v>1</v>
      </c>
      <c r="F1377" s="112">
        <f>IFERROR(__xludf.DUMMYFUNCTION("""COMPUTED_VALUE"""),0.0)</f>
        <v>0</v>
      </c>
      <c r="G1377" s="49"/>
      <c r="H1377" s="49"/>
      <c r="I1377" s="49"/>
      <c r="J1377" s="49"/>
      <c r="K1377" s="49"/>
      <c r="L1377" s="49"/>
      <c r="M1377" s="49"/>
      <c r="N1377" s="49"/>
      <c r="O1377" s="49"/>
      <c r="P1377" s="49"/>
      <c r="Q1377" s="49"/>
      <c r="R1377" s="49"/>
      <c r="S1377" s="49"/>
      <c r="T1377" s="49"/>
      <c r="U1377" s="49"/>
      <c r="V1377" s="49"/>
      <c r="W1377" s="49"/>
      <c r="X1377" s="49"/>
      <c r="Y1377" s="49"/>
      <c r="Z1377" s="49"/>
      <c r="AA1377" s="49"/>
      <c r="AB1377" s="49"/>
      <c r="AC1377" s="49"/>
      <c r="AD1377" s="49"/>
      <c r="AE1377" s="49"/>
      <c r="AF1377" s="49"/>
      <c r="AG1377" s="49"/>
      <c r="AH1377" s="49" t="b">
        <f>IFERROR(__xludf.DUMMYFUNCTION("""COMPUTED_VALUE"""),FALSE)</f>
        <v>0</v>
      </c>
    </row>
    <row r="1378">
      <c r="A1378" s="49"/>
      <c r="B1378" s="49"/>
      <c r="C1378" s="49"/>
      <c r="D1378" s="49"/>
      <c r="E1378" s="49">
        <f>IFERROR(__xludf.DUMMYFUNCTION("""COMPUTED_VALUE"""),1.0)</f>
        <v>1</v>
      </c>
      <c r="F1378" s="112">
        <f>IFERROR(__xludf.DUMMYFUNCTION("""COMPUTED_VALUE"""),0.0)</f>
        <v>0</v>
      </c>
      <c r="G1378" s="49"/>
      <c r="H1378" s="49"/>
      <c r="I1378" s="49"/>
      <c r="J1378" s="49"/>
      <c r="K1378" s="49"/>
      <c r="L1378" s="49"/>
      <c r="M1378" s="49"/>
      <c r="N1378" s="49"/>
      <c r="O1378" s="49"/>
      <c r="P1378" s="49"/>
      <c r="Q1378" s="49"/>
      <c r="R1378" s="49"/>
      <c r="S1378" s="49"/>
      <c r="T1378" s="49"/>
      <c r="U1378" s="49"/>
      <c r="V1378" s="49"/>
      <c r="W1378" s="49"/>
      <c r="X1378" s="49"/>
      <c r="Y1378" s="49"/>
      <c r="Z1378" s="49"/>
      <c r="AA1378" s="49"/>
      <c r="AB1378" s="49"/>
      <c r="AC1378" s="49"/>
      <c r="AD1378" s="49"/>
      <c r="AE1378" s="49"/>
      <c r="AF1378" s="49"/>
      <c r="AG1378" s="49"/>
      <c r="AH1378" s="49" t="b">
        <f>IFERROR(__xludf.DUMMYFUNCTION("""COMPUTED_VALUE"""),FALSE)</f>
        <v>0</v>
      </c>
    </row>
    <row r="1379">
      <c r="A1379" s="49"/>
      <c r="B1379" s="49"/>
      <c r="C1379" s="49"/>
      <c r="D1379" s="49"/>
      <c r="E1379" s="49">
        <f>IFERROR(__xludf.DUMMYFUNCTION("""COMPUTED_VALUE"""),1.0)</f>
        <v>1</v>
      </c>
      <c r="F1379" s="112">
        <f>IFERROR(__xludf.DUMMYFUNCTION("""COMPUTED_VALUE"""),0.0)</f>
        <v>0</v>
      </c>
      <c r="G1379" s="49"/>
      <c r="H1379" s="49"/>
      <c r="I1379" s="49"/>
      <c r="J1379" s="49"/>
      <c r="K1379" s="49"/>
      <c r="L1379" s="49"/>
      <c r="M1379" s="49"/>
      <c r="N1379" s="49"/>
      <c r="O1379" s="49"/>
      <c r="P1379" s="49"/>
      <c r="Q1379" s="49"/>
      <c r="R1379" s="49"/>
      <c r="S1379" s="49"/>
      <c r="T1379" s="49"/>
      <c r="U1379" s="49"/>
      <c r="V1379" s="49"/>
      <c r="W1379" s="49"/>
      <c r="X1379" s="49"/>
      <c r="Y1379" s="49"/>
      <c r="Z1379" s="49"/>
      <c r="AA1379" s="49"/>
      <c r="AB1379" s="49"/>
      <c r="AC1379" s="49"/>
      <c r="AD1379" s="49"/>
      <c r="AE1379" s="49"/>
      <c r="AF1379" s="49"/>
      <c r="AG1379" s="49"/>
      <c r="AH1379" s="49" t="b">
        <f>IFERROR(__xludf.DUMMYFUNCTION("""COMPUTED_VALUE"""),FALSE)</f>
        <v>0</v>
      </c>
    </row>
    <row r="1380">
      <c r="A1380" s="49"/>
      <c r="B1380" s="49"/>
      <c r="C1380" s="49"/>
      <c r="D1380" s="49"/>
      <c r="E1380" s="49">
        <f>IFERROR(__xludf.DUMMYFUNCTION("""COMPUTED_VALUE"""),1.0)</f>
        <v>1</v>
      </c>
      <c r="F1380" s="112">
        <f>IFERROR(__xludf.DUMMYFUNCTION("""COMPUTED_VALUE"""),0.0)</f>
        <v>0</v>
      </c>
      <c r="G1380" s="49"/>
      <c r="H1380" s="49"/>
      <c r="I1380" s="49"/>
      <c r="J1380" s="49"/>
      <c r="K1380" s="49"/>
      <c r="L1380" s="49"/>
      <c r="M1380" s="49"/>
      <c r="N1380" s="49"/>
      <c r="O1380" s="49"/>
      <c r="P1380" s="49"/>
      <c r="Q1380" s="49"/>
      <c r="R1380" s="49"/>
      <c r="S1380" s="49"/>
      <c r="T1380" s="49"/>
      <c r="U1380" s="49"/>
      <c r="V1380" s="49"/>
      <c r="W1380" s="49"/>
      <c r="X1380" s="49"/>
      <c r="Y1380" s="49"/>
      <c r="Z1380" s="49"/>
      <c r="AA1380" s="49"/>
      <c r="AB1380" s="49"/>
      <c r="AC1380" s="49"/>
      <c r="AD1380" s="49"/>
      <c r="AE1380" s="49"/>
      <c r="AF1380" s="49"/>
      <c r="AG1380" s="49"/>
      <c r="AH1380" s="49" t="b">
        <f>IFERROR(__xludf.DUMMYFUNCTION("""COMPUTED_VALUE"""),FALSE)</f>
        <v>0</v>
      </c>
    </row>
    <row r="1381">
      <c r="A1381" s="49"/>
      <c r="B1381" s="49"/>
      <c r="C1381" s="49"/>
      <c r="D1381" s="49"/>
      <c r="E1381" s="49">
        <f>IFERROR(__xludf.DUMMYFUNCTION("""COMPUTED_VALUE"""),1.0)</f>
        <v>1</v>
      </c>
      <c r="F1381" s="112">
        <f>IFERROR(__xludf.DUMMYFUNCTION("""COMPUTED_VALUE"""),0.0)</f>
        <v>0</v>
      </c>
      <c r="G1381" s="49"/>
      <c r="H1381" s="49"/>
      <c r="I1381" s="49"/>
      <c r="J1381" s="49"/>
      <c r="K1381" s="49"/>
      <c r="L1381" s="49"/>
      <c r="M1381" s="49"/>
      <c r="N1381" s="49"/>
      <c r="O1381" s="49"/>
      <c r="P1381" s="49"/>
      <c r="Q1381" s="49"/>
      <c r="R1381" s="49"/>
      <c r="S1381" s="49"/>
      <c r="T1381" s="49"/>
      <c r="U1381" s="49"/>
      <c r="V1381" s="49"/>
      <c r="W1381" s="49"/>
      <c r="X1381" s="49"/>
      <c r="Y1381" s="49"/>
      <c r="Z1381" s="49"/>
      <c r="AA1381" s="49"/>
      <c r="AB1381" s="49"/>
      <c r="AC1381" s="49"/>
      <c r="AD1381" s="49"/>
      <c r="AE1381" s="49"/>
      <c r="AF1381" s="49"/>
      <c r="AG1381" s="49"/>
      <c r="AH1381" s="49" t="b">
        <f>IFERROR(__xludf.DUMMYFUNCTION("""COMPUTED_VALUE"""),FALSE)</f>
        <v>0</v>
      </c>
    </row>
    <row r="1382">
      <c r="A1382" s="49"/>
      <c r="B1382" s="49"/>
      <c r="C1382" s="49"/>
      <c r="D1382" s="49"/>
      <c r="E1382" s="49">
        <f>IFERROR(__xludf.DUMMYFUNCTION("""COMPUTED_VALUE"""),1.0)</f>
        <v>1</v>
      </c>
      <c r="F1382" s="112">
        <f>IFERROR(__xludf.DUMMYFUNCTION("""COMPUTED_VALUE"""),0.0)</f>
        <v>0</v>
      </c>
      <c r="G1382" s="49"/>
      <c r="H1382" s="49"/>
      <c r="I1382" s="49"/>
      <c r="J1382" s="49"/>
      <c r="K1382" s="49"/>
      <c r="L1382" s="49"/>
      <c r="M1382" s="49"/>
      <c r="N1382" s="49"/>
      <c r="O1382" s="49"/>
      <c r="P1382" s="49"/>
      <c r="Q1382" s="49"/>
      <c r="R1382" s="49"/>
      <c r="S1382" s="49"/>
      <c r="T1382" s="49"/>
      <c r="U1382" s="49"/>
      <c r="V1382" s="49"/>
      <c r="W1382" s="49"/>
      <c r="X1382" s="49"/>
      <c r="Y1382" s="49"/>
      <c r="Z1382" s="49"/>
      <c r="AA1382" s="49"/>
      <c r="AB1382" s="49"/>
      <c r="AC1382" s="49"/>
      <c r="AD1382" s="49"/>
      <c r="AE1382" s="49"/>
      <c r="AF1382" s="49"/>
      <c r="AG1382" s="49"/>
      <c r="AH1382" s="49" t="b">
        <f>IFERROR(__xludf.DUMMYFUNCTION("""COMPUTED_VALUE"""),FALSE)</f>
        <v>0</v>
      </c>
    </row>
    <row r="1383">
      <c r="A1383" s="49"/>
      <c r="B1383" s="49"/>
      <c r="C1383" s="49"/>
      <c r="D1383" s="49"/>
      <c r="E1383" s="49">
        <f>IFERROR(__xludf.DUMMYFUNCTION("""COMPUTED_VALUE"""),1.0)</f>
        <v>1</v>
      </c>
      <c r="F1383" s="112">
        <f>IFERROR(__xludf.DUMMYFUNCTION("""COMPUTED_VALUE"""),0.0)</f>
        <v>0</v>
      </c>
      <c r="G1383" s="49"/>
      <c r="H1383" s="49"/>
      <c r="I1383" s="49"/>
      <c r="J1383" s="49"/>
      <c r="K1383" s="49"/>
      <c r="L1383" s="49"/>
      <c r="M1383" s="49"/>
      <c r="N1383" s="49"/>
      <c r="O1383" s="49"/>
      <c r="P1383" s="49"/>
      <c r="Q1383" s="49"/>
      <c r="R1383" s="49"/>
      <c r="S1383" s="49"/>
      <c r="T1383" s="49"/>
      <c r="U1383" s="49"/>
      <c r="V1383" s="49"/>
      <c r="W1383" s="49"/>
      <c r="X1383" s="49"/>
      <c r="Y1383" s="49"/>
      <c r="Z1383" s="49"/>
      <c r="AA1383" s="49"/>
      <c r="AB1383" s="49"/>
      <c r="AC1383" s="49"/>
      <c r="AD1383" s="49"/>
      <c r="AE1383" s="49"/>
      <c r="AF1383" s="49"/>
      <c r="AG1383" s="49"/>
      <c r="AH1383" s="49" t="b">
        <f>IFERROR(__xludf.DUMMYFUNCTION("""COMPUTED_VALUE"""),FALSE)</f>
        <v>0</v>
      </c>
    </row>
    <row r="1384">
      <c r="A1384" s="49"/>
      <c r="B1384" s="49"/>
      <c r="C1384" s="49"/>
      <c r="D1384" s="49"/>
      <c r="E1384" s="49">
        <f>IFERROR(__xludf.DUMMYFUNCTION("""COMPUTED_VALUE"""),1.0)</f>
        <v>1</v>
      </c>
      <c r="F1384" s="112">
        <f>IFERROR(__xludf.DUMMYFUNCTION("""COMPUTED_VALUE"""),0.0)</f>
        <v>0</v>
      </c>
      <c r="G1384" s="49"/>
      <c r="H1384" s="49"/>
      <c r="I1384" s="49"/>
      <c r="J1384" s="49"/>
      <c r="K1384" s="49"/>
      <c r="L1384" s="49"/>
      <c r="M1384" s="49"/>
      <c r="N1384" s="49"/>
      <c r="O1384" s="49"/>
      <c r="P1384" s="49"/>
      <c r="Q1384" s="49"/>
      <c r="R1384" s="49"/>
      <c r="S1384" s="49"/>
      <c r="T1384" s="49"/>
      <c r="U1384" s="49"/>
      <c r="V1384" s="49"/>
      <c r="W1384" s="49"/>
      <c r="X1384" s="49"/>
      <c r="Y1384" s="49"/>
      <c r="Z1384" s="49"/>
      <c r="AA1384" s="49"/>
      <c r="AB1384" s="49"/>
      <c r="AC1384" s="49"/>
      <c r="AD1384" s="49"/>
      <c r="AE1384" s="49"/>
      <c r="AF1384" s="49"/>
      <c r="AG1384" s="49"/>
      <c r="AH1384" s="49" t="b">
        <f>IFERROR(__xludf.DUMMYFUNCTION("""COMPUTED_VALUE"""),FALSE)</f>
        <v>0</v>
      </c>
    </row>
    <row r="1385">
      <c r="A1385" s="49"/>
      <c r="B1385" s="49"/>
      <c r="C1385" s="49"/>
      <c r="D1385" s="49"/>
      <c r="E1385" s="49">
        <f>IFERROR(__xludf.DUMMYFUNCTION("""COMPUTED_VALUE"""),1.0)</f>
        <v>1</v>
      </c>
      <c r="F1385" s="112">
        <f>IFERROR(__xludf.DUMMYFUNCTION("""COMPUTED_VALUE"""),0.0)</f>
        <v>0</v>
      </c>
      <c r="G1385" s="49"/>
      <c r="H1385" s="49"/>
      <c r="I1385" s="49"/>
      <c r="J1385" s="49"/>
      <c r="K1385" s="49"/>
      <c r="L1385" s="49"/>
      <c r="M1385" s="49"/>
      <c r="N1385" s="49"/>
      <c r="O1385" s="49"/>
      <c r="P1385" s="49"/>
      <c r="Q1385" s="49"/>
      <c r="R1385" s="49"/>
      <c r="S1385" s="49"/>
      <c r="T1385" s="49"/>
      <c r="U1385" s="49"/>
      <c r="V1385" s="49"/>
      <c r="W1385" s="49"/>
      <c r="X1385" s="49"/>
      <c r="Y1385" s="49"/>
      <c r="Z1385" s="49"/>
      <c r="AA1385" s="49"/>
      <c r="AB1385" s="49"/>
      <c r="AC1385" s="49"/>
      <c r="AD1385" s="49"/>
      <c r="AE1385" s="49"/>
      <c r="AF1385" s="49"/>
      <c r="AG1385" s="49"/>
      <c r="AH1385" s="49" t="b">
        <f>IFERROR(__xludf.DUMMYFUNCTION("""COMPUTED_VALUE"""),FALSE)</f>
        <v>0</v>
      </c>
    </row>
    <row r="1386">
      <c r="A1386" s="49"/>
      <c r="B1386" s="49"/>
      <c r="C1386" s="49"/>
      <c r="D1386" s="49"/>
      <c r="E1386" s="49">
        <f>IFERROR(__xludf.DUMMYFUNCTION("""COMPUTED_VALUE"""),1.0)</f>
        <v>1</v>
      </c>
      <c r="F1386" s="112">
        <f>IFERROR(__xludf.DUMMYFUNCTION("""COMPUTED_VALUE"""),0.0)</f>
        <v>0</v>
      </c>
      <c r="G1386" s="49"/>
      <c r="H1386" s="49"/>
      <c r="I1386" s="49"/>
      <c r="J1386" s="49"/>
      <c r="K1386" s="49"/>
      <c r="L1386" s="49"/>
      <c r="M1386" s="49"/>
      <c r="N1386" s="49"/>
      <c r="O1386" s="49"/>
      <c r="P1386" s="49"/>
      <c r="Q1386" s="49"/>
      <c r="R1386" s="49"/>
      <c r="S1386" s="49"/>
      <c r="T1386" s="49"/>
      <c r="U1386" s="49"/>
      <c r="V1386" s="49"/>
      <c r="W1386" s="49"/>
      <c r="X1386" s="49"/>
      <c r="Y1386" s="49"/>
      <c r="Z1386" s="49"/>
      <c r="AA1386" s="49"/>
      <c r="AB1386" s="49"/>
      <c r="AC1386" s="49"/>
      <c r="AD1386" s="49"/>
      <c r="AE1386" s="49"/>
      <c r="AF1386" s="49"/>
      <c r="AG1386" s="49"/>
      <c r="AH1386" s="49" t="b">
        <f>IFERROR(__xludf.DUMMYFUNCTION("""COMPUTED_VALUE"""),FALSE)</f>
        <v>0</v>
      </c>
    </row>
    <row r="1387">
      <c r="A1387" s="49"/>
      <c r="B1387" s="49"/>
      <c r="C1387" s="49"/>
      <c r="D1387" s="49"/>
      <c r="E1387" s="49">
        <f>IFERROR(__xludf.DUMMYFUNCTION("""COMPUTED_VALUE"""),1.0)</f>
        <v>1</v>
      </c>
      <c r="F1387" s="112">
        <f>IFERROR(__xludf.DUMMYFUNCTION("""COMPUTED_VALUE"""),0.0)</f>
        <v>0</v>
      </c>
      <c r="G1387" s="49"/>
      <c r="H1387" s="49"/>
      <c r="I1387" s="49"/>
      <c r="J1387" s="49"/>
      <c r="K1387" s="49"/>
      <c r="L1387" s="49"/>
      <c r="M1387" s="49"/>
      <c r="N1387" s="49"/>
      <c r="O1387" s="49"/>
      <c r="P1387" s="49"/>
      <c r="Q1387" s="49"/>
      <c r="R1387" s="49"/>
      <c r="S1387" s="49"/>
      <c r="T1387" s="49"/>
      <c r="U1387" s="49"/>
      <c r="V1387" s="49"/>
      <c r="W1387" s="49"/>
      <c r="X1387" s="49"/>
      <c r="Y1387" s="49"/>
      <c r="Z1387" s="49"/>
      <c r="AA1387" s="49"/>
      <c r="AB1387" s="49"/>
      <c r="AC1387" s="49"/>
      <c r="AD1387" s="49"/>
      <c r="AE1387" s="49"/>
      <c r="AF1387" s="49"/>
      <c r="AG1387" s="49"/>
      <c r="AH1387" s="49" t="b">
        <f>IFERROR(__xludf.DUMMYFUNCTION("""COMPUTED_VALUE"""),FALSE)</f>
        <v>0</v>
      </c>
    </row>
    <row r="1388">
      <c r="A1388" s="49"/>
      <c r="B1388" s="49"/>
      <c r="C1388" s="49"/>
      <c r="D1388" s="49"/>
      <c r="E1388" s="49">
        <f>IFERROR(__xludf.DUMMYFUNCTION("""COMPUTED_VALUE"""),1.0)</f>
        <v>1</v>
      </c>
      <c r="F1388" s="112">
        <f>IFERROR(__xludf.DUMMYFUNCTION("""COMPUTED_VALUE"""),0.0)</f>
        <v>0</v>
      </c>
      <c r="G1388" s="49"/>
      <c r="H1388" s="49"/>
      <c r="I1388" s="49"/>
      <c r="J1388" s="49"/>
      <c r="K1388" s="49"/>
      <c r="L1388" s="49"/>
      <c r="M1388" s="49"/>
      <c r="N1388" s="49"/>
      <c r="O1388" s="49"/>
      <c r="P1388" s="49"/>
      <c r="Q1388" s="49"/>
      <c r="R1388" s="49"/>
      <c r="S1388" s="49"/>
      <c r="T1388" s="49"/>
      <c r="U1388" s="49"/>
      <c r="V1388" s="49"/>
      <c r="W1388" s="49"/>
      <c r="X1388" s="49"/>
      <c r="Y1388" s="49"/>
      <c r="Z1388" s="49"/>
      <c r="AA1388" s="49"/>
      <c r="AB1388" s="49"/>
      <c r="AC1388" s="49"/>
      <c r="AD1388" s="49"/>
      <c r="AE1388" s="49"/>
      <c r="AF1388" s="49"/>
      <c r="AG1388" s="49"/>
      <c r="AH1388" s="49" t="b">
        <f>IFERROR(__xludf.DUMMYFUNCTION("""COMPUTED_VALUE"""),FALSE)</f>
        <v>0</v>
      </c>
    </row>
    <row r="1389">
      <c r="A1389" s="49"/>
      <c r="B1389" s="49"/>
      <c r="C1389" s="49"/>
      <c r="D1389" s="49"/>
      <c r="E1389" s="49">
        <f>IFERROR(__xludf.DUMMYFUNCTION("""COMPUTED_VALUE"""),1.0)</f>
        <v>1</v>
      </c>
      <c r="F1389" s="112">
        <f>IFERROR(__xludf.DUMMYFUNCTION("""COMPUTED_VALUE"""),0.0)</f>
        <v>0</v>
      </c>
      <c r="G1389" s="49"/>
      <c r="H1389" s="49"/>
      <c r="I1389" s="49"/>
      <c r="J1389" s="49"/>
      <c r="K1389" s="49"/>
      <c r="L1389" s="49"/>
      <c r="M1389" s="49"/>
      <c r="N1389" s="49"/>
      <c r="O1389" s="49"/>
      <c r="P1389" s="49"/>
      <c r="Q1389" s="49"/>
      <c r="R1389" s="49"/>
      <c r="S1389" s="49"/>
      <c r="T1389" s="49"/>
      <c r="U1389" s="49"/>
      <c r="V1389" s="49"/>
      <c r="W1389" s="49"/>
      <c r="X1389" s="49"/>
      <c r="Y1389" s="49"/>
      <c r="Z1389" s="49"/>
      <c r="AA1389" s="49"/>
      <c r="AB1389" s="49"/>
      <c r="AC1389" s="49"/>
      <c r="AD1389" s="49"/>
      <c r="AE1389" s="49"/>
      <c r="AF1389" s="49"/>
      <c r="AG1389" s="49"/>
      <c r="AH1389" s="49" t="b">
        <f>IFERROR(__xludf.DUMMYFUNCTION("""COMPUTED_VALUE"""),FALSE)</f>
        <v>0</v>
      </c>
    </row>
    <row r="1390">
      <c r="A1390" s="49"/>
      <c r="B1390" s="49"/>
      <c r="C1390" s="49"/>
      <c r="D1390" s="49"/>
      <c r="E1390" s="49">
        <f>IFERROR(__xludf.DUMMYFUNCTION("""COMPUTED_VALUE"""),1.0)</f>
        <v>1</v>
      </c>
      <c r="F1390" s="112">
        <f>IFERROR(__xludf.DUMMYFUNCTION("""COMPUTED_VALUE"""),0.0)</f>
        <v>0</v>
      </c>
      <c r="G1390" s="49"/>
      <c r="H1390" s="49"/>
      <c r="I1390" s="49"/>
      <c r="J1390" s="49"/>
      <c r="K1390" s="49"/>
      <c r="L1390" s="49"/>
      <c r="M1390" s="49"/>
      <c r="N1390" s="49"/>
      <c r="O1390" s="49"/>
      <c r="P1390" s="49"/>
      <c r="Q1390" s="49"/>
      <c r="R1390" s="49"/>
      <c r="S1390" s="49"/>
      <c r="T1390" s="49"/>
      <c r="U1390" s="49"/>
      <c r="V1390" s="49"/>
      <c r="W1390" s="49"/>
      <c r="X1390" s="49"/>
      <c r="Y1390" s="49"/>
      <c r="Z1390" s="49"/>
      <c r="AA1390" s="49"/>
      <c r="AB1390" s="49"/>
      <c r="AC1390" s="49"/>
      <c r="AD1390" s="49"/>
      <c r="AE1390" s="49"/>
      <c r="AF1390" s="49"/>
      <c r="AG1390" s="49"/>
      <c r="AH1390" s="49" t="b">
        <f>IFERROR(__xludf.DUMMYFUNCTION("""COMPUTED_VALUE"""),FALSE)</f>
        <v>0</v>
      </c>
    </row>
    <row r="1391">
      <c r="A1391" s="49"/>
      <c r="B1391" s="49"/>
      <c r="C1391" s="49"/>
      <c r="D1391" s="49"/>
      <c r="E1391" s="49">
        <f>IFERROR(__xludf.DUMMYFUNCTION("""COMPUTED_VALUE"""),1.0)</f>
        <v>1</v>
      </c>
      <c r="F1391" s="112">
        <f>IFERROR(__xludf.DUMMYFUNCTION("""COMPUTED_VALUE"""),0.0)</f>
        <v>0</v>
      </c>
      <c r="G1391" s="49"/>
      <c r="H1391" s="49"/>
      <c r="I1391" s="49"/>
      <c r="J1391" s="49"/>
      <c r="K1391" s="49"/>
      <c r="L1391" s="49"/>
      <c r="M1391" s="49"/>
      <c r="N1391" s="49"/>
      <c r="O1391" s="49"/>
      <c r="P1391" s="49"/>
      <c r="Q1391" s="49"/>
      <c r="R1391" s="49"/>
      <c r="S1391" s="49"/>
      <c r="T1391" s="49"/>
      <c r="U1391" s="49"/>
      <c r="V1391" s="49"/>
      <c r="W1391" s="49"/>
      <c r="X1391" s="49"/>
      <c r="Y1391" s="49"/>
      <c r="Z1391" s="49"/>
      <c r="AA1391" s="49"/>
      <c r="AB1391" s="49"/>
      <c r="AC1391" s="49"/>
      <c r="AD1391" s="49"/>
      <c r="AE1391" s="49"/>
      <c r="AF1391" s="49"/>
      <c r="AG1391" s="49"/>
      <c r="AH1391" s="49" t="b">
        <f>IFERROR(__xludf.DUMMYFUNCTION("""COMPUTED_VALUE"""),FALSE)</f>
        <v>0</v>
      </c>
    </row>
    <row r="1392">
      <c r="A1392" s="49"/>
      <c r="B1392" s="49"/>
      <c r="C1392" s="49"/>
      <c r="D1392" s="49"/>
      <c r="E1392" s="49">
        <f>IFERROR(__xludf.DUMMYFUNCTION("""COMPUTED_VALUE"""),1.0)</f>
        <v>1</v>
      </c>
      <c r="F1392" s="112">
        <f>IFERROR(__xludf.DUMMYFUNCTION("""COMPUTED_VALUE"""),0.0)</f>
        <v>0</v>
      </c>
      <c r="G1392" s="49"/>
      <c r="H1392" s="49"/>
      <c r="I1392" s="49"/>
      <c r="J1392" s="49"/>
      <c r="K1392" s="49"/>
      <c r="L1392" s="49"/>
      <c r="M1392" s="49"/>
      <c r="N1392" s="49"/>
      <c r="O1392" s="49"/>
      <c r="P1392" s="49"/>
      <c r="Q1392" s="49"/>
      <c r="R1392" s="49"/>
      <c r="S1392" s="49"/>
      <c r="T1392" s="49"/>
      <c r="U1392" s="49"/>
      <c r="V1392" s="49"/>
      <c r="W1392" s="49"/>
      <c r="X1392" s="49"/>
      <c r="Y1392" s="49"/>
      <c r="Z1392" s="49"/>
      <c r="AA1392" s="49"/>
      <c r="AB1392" s="49"/>
      <c r="AC1392" s="49"/>
      <c r="AD1392" s="49"/>
      <c r="AE1392" s="49"/>
      <c r="AF1392" s="49"/>
      <c r="AG1392" s="49"/>
      <c r="AH1392" s="49" t="b">
        <f>IFERROR(__xludf.DUMMYFUNCTION("""COMPUTED_VALUE"""),FALSE)</f>
        <v>0</v>
      </c>
    </row>
    <row r="1393">
      <c r="A1393" s="49"/>
      <c r="B1393" s="49"/>
      <c r="C1393" s="49"/>
      <c r="D1393" s="49"/>
      <c r="E1393" s="49">
        <f>IFERROR(__xludf.DUMMYFUNCTION("""COMPUTED_VALUE"""),1.0)</f>
        <v>1</v>
      </c>
      <c r="F1393" s="112">
        <f>IFERROR(__xludf.DUMMYFUNCTION("""COMPUTED_VALUE"""),0.0)</f>
        <v>0</v>
      </c>
      <c r="G1393" s="49"/>
      <c r="H1393" s="49"/>
      <c r="I1393" s="49"/>
      <c r="J1393" s="49"/>
      <c r="K1393" s="49"/>
      <c r="L1393" s="49"/>
      <c r="M1393" s="49"/>
      <c r="N1393" s="49"/>
      <c r="O1393" s="49"/>
      <c r="P1393" s="49"/>
      <c r="Q1393" s="49"/>
      <c r="R1393" s="49"/>
      <c r="S1393" s="49"/>
      <c r="T1393" s="49"/>
      <c r="U1393" s="49"/>
      <c r="V1393" s="49"/>
      <c r="W1393" s="49"/>
      <c r="X1393" s="49"/>
      <c r="Y1393" s="49"/>
      <c r="Z1393" s="49"/>
      <c r="AA1393" s="49"/>
      <c r="AB1393" s="49"/>
      <c r="AC1393" s="49"/>
      <c r="AD1393" s="49"/>
      <c r="AE1393" s="49"/>
      <c r="AF1393" s="49"/>
      <c r="AG1393" s="49"/>
      <c r="AH1393" s="49" t="b">
        <f>IFERROR(__xludf.DUMMYFUNCTION("""COMPUTED_VALUE"""),FALSE)</f>
        <v>0</v>
      </c>
    </row>
    <row r="1394">
      <c r="A1394" s="49"/>
      <c r="B1394" s="49"/>
      <c r="C1394" s="49"/>
      <c r="D1394" s="49"/>
      <c r="E1394" s="49">
        <f>IFERROR(__xludf.DUMMYFUNCTION("""COMPUTED_VALUE"""),1.0)</f>
        <v>1</v>
      </c>
      <c r="F1394" s="112">
        <f>IFERROR(__xludf.DUMMYFUNCTION("""COMPUTED_VALUE"""),0.0)</f>
        <v>0</v>
      </c>
      <c r="G1394" s="49"/>
      <c r="H1394" s="49"/>
      <c r="I1394" s="49"/>
      <c r="J1394" s="49"/>
      <c r="K1394" s="49"/>
      <c r="L1394" s="49"/>
      <c r="M1394" s="49"/>
      <c r="N1394" s="49"/>
      <c r="O1394" s="49"/>
      <c r="P1394" s="49"/>
      <c r="Q1394" s="49"/>
      <c r="R1394" s="49"/>
      <c r="S1394" s="49"/>
      <c r="T1394" s="49"/>
      <c r="U1394" s="49"/>
      <c r="V1394" s="49"/>
      <c r="W1394" s="49"/>
      <c r="X1394" s="49"/>
      <c r="Y1394" s="49"/>
      <c r="Z1394" s="49"/>
      <c r="AA1394" s="49"/>
      <c r="AB1394" s="49"/>
      <c r="AC1394" s="49"/>
      <c r="AD1394" s="49"/>
      <c r="AE1394" s="49"/>
      <c r="AF1394" s="49"/>
      <c r="AG1394" s="49"/>
      <c r="AH1394" s="49" t="b">
        <f>IFERROR(__xludf.DUMMYFUNCTION("""COMPUTED_VALUE"""),FALSE)</f>
        <v>0</v>
      </c>
    </row>
    <row r="1395">
      <c r="A1395" s="49"/>
      <c r="B1395" s="49"/>
      <c r="C1395" s="49"/>
      <c r="D1395" s="49"/>
      <c r="E1395" s="49">
        <f>IFERROR(__xludf.DUMMYFUNCTION("""COMPUTED_VALUE"""),1.0)</f>
        <v>1</v>
      </c>
      <c r="F1395" s="112">
        <f>IFERROR(__xludf.DUMMYFUNCTION("""COMPUTED_VALUE"""),0.0)</f>
        <v>0</v>
      </c>
      <c r="G1395" s="49"/>
      <c r="H1395" s="49"/>
      <c r="I1395" s="49"/>
      <c r="J1395" s="49"/>
      <c r="K1395" s="49"/>
      <c r="L1395" s="49"/>
      <c r="M1395" s="49"/>
      <c r="N1395" s="49"/>
      <c r="O1395" s="49"/>
      <c r="P1395" s="49"/>
      <c r="Q1395" s="49"/>
      <c r="R1395" s="49"/>
      <c r="S1395" s="49"/>
      <c r="T1395" s="49"/>
      <c r="U1395" s="49"/>
      <c r="V1395" s="49"/>
      <c r="W1395" s="49"/>
      <c r="X1395" s="49"/>
      <c r="Y1395" s="49"/>
      <c r="Z1395" s="49"/>
      <c r="AA1395" s="49"/>
      <c r="AB1395" s="49"/>
      <c r="AC1395" s="49"/>
      <c r="AD1395" s="49"/>
      <c r="AE1395" s="49"/>
      <c r="AF1395" s="49"/>
      <c r="AG1395" s="49"/>
      <c r="AH1395" s="49" t="b">
        <f>IFERROR(__xludf.DUMMYFUNCTION("""COMPUTED_VALUE"""),FALSE)</f>
        <v>0</v>
      </c>
    </row>
    <row r="1396">
      <c r="A1396" s="49"/>
      <c r="B1396" s="49"/>
      <c r="C1396" s="49"/>
      <c r="D1396" s="49"/>
      <c r="E1396" s="49">
        <f>IFERROR(__xludf.DUMMYFUNCTION("""COMPUTED_VALUE"""),1.0)</f>
        <v>1</v>
      </c>
      <c r="F1396" s="112">
        <f>IFERROR(__xludf.DUMMYFUNCTION("""COMPUTED_VALUE"""),0.0)</f>
        <v>0</v>
      </c>
      <c r="G1396" s="49"/>
      <c r="H1396" s="49"/>
      <c r="I1396" s="49"/>
      <c r="J1396" s="49"/>
      <c r="K1396" s="49"/>
      <c r="L1396" s="49"/>
      <c r="M1396" s="49"/>
      <c r="N1396" s="49"/>
      <c r="O1396" s="49"/>
      <c r="P1396" s="49"/>
      <c r="Q1396" s="49"/>
      <c r="R1396" s="49"/>
      <c r="S1396" s="49"/>
      <c r="T1396" s="49"/>
      <c r="U1396" s="49"/>
      <c r="V1396" s="49"/>
      <c r="W1396" s="49"/>
      <c r="X1396" s="49"/>
      <c r="Y1396" s="49"/>
      <c r="Z1396" s="49"/>
      <c r="AA1396" s="49"/>
      <c r="AB1396" s="49"/>
      <c r="AC1396" s="49"/>
      <c r="AD1396" s="49"/>
      <c r="AE1396" s="49"/>
      <c r="AF1396" s="49"/>
      <c r="AG1396" s="49"/>
      <c r="AH1396" s="49" t="b">
        <f>IFERROR(__xludf.DUMMYFUNCTION("""COMPUTED_VALUE"""),FALSE)</f>
        <v>0</v>
      </c>
    </row>
    <row r="1397">
      <c r="A1397" s="49"/>
      <c r="B1397" s="49"/>
      <c r="C1397" s="49"/>
      <c r="D1397" s="49"/>
      <c r="E1397" s="49">
        <f>IFERROR(__xludf.DUMMYFUNCTION("""COMPUTED_VALUE"""),1.0)</f>
        <v>1</v>
      </c>
      <c r="F1397" s="112">
        <f>IFERROR(__xludf.DUMMYFUNCTION("""COMPUTED_VALUE"""),0.0)</f>
        <v>0</v>
      </c>
      <c r="G1397" s="49"/>
      <c r="H1397" s="49"/>
      <c r="I1397" s="49"/>
      <c r="J1397" s="49"/>
      <c r="K1397" s="49"/>
      <c r="L1397" s="49"/>
      <c r="M1397" s="49"/>
      <c r="N1397" s="49"/>
      <c r="O1397" s="49"/>
      <c r="P1397" s="49"/>
      <c r="Q1397" s="49"/>
      <c r="R1397" s="49"/>
      <c r="S1397" s="49"/>
      <c r="T1397" s="49"/>
      <c r="U1397" s="49"/>
      <c r="V1397" s="49"/>
      <c r="W1397" s="49"/>
      <c r="X1397" s="49"/>
      <c r="Y1397" s="49"/>
      <c r="Z1397" s="49"/>
      <c r="AA1397" s="49"/>
      <c r="AB1397" s="49"/>
      <c r="AC1397" s="49"/>
      <c r="AD1397" s="49"/>
      <c r="AE1397" s="49"/>
      <c r="AF1397" s="49"/>
      <c r="AG1397" s="49"/>
      <c r="AH1397" s="49" t="b">
        <f>IFERROR(__xludf.DUMMYFUNCTION("""COMPUTED_VALUE"""),FALSE)</f>
        <v>0</v>
      </c>
    </row>
    <row r="1398">
      <c r="A1398" s="49"/>
      <c r="B1398" s="49"/>
      <c r="C1398" s="49"/>
      <c r="D1398" s="49"/>
      <c r="E1398" s="49">
        <f>IFERROR(__xludf.DUMMYFUNCTION("""COMPUTED_VALUE"""),1.0)</f>
        <v>1</v>
      </c>
      <c r="F1398" s="112">
        <f>IFERROR(__xludf.DUMMYFUNCTION("""COMPUTED_VALUE"""),0.0)</f>
        <v>0</v>
      </c>
      <c r="G1398" s="49"/>
      <c r="H1398" s="49"/>
      <c r="I1398" s="49"/>
      <c r="J1398" s="49"/>
      <c r="K1398" s="49"/>
      <c r="L1398" s="49"/>
      <c r="M1398" s="49"/>
      <c r="N1398" s="49"/>
      <c r="O1398" s="49"/>
      <c r="P1398" s="49"/>
      <c r="Q1398" s="49"/>
      <c r="R1398" s="49"/>
      <c r="S1398" s="49"/>
      <c r="T1398" s="49"/>
      <c r="U1398" s="49"/>
      <c r="V1398" s="49"/>
      <c r="W1398" s="49"/>
      <c r="X1398" s="49"/>
      <c r="Y1398" s="49"/>
      <c r="Z1398" s="49"/>
      <c r="AA1398" s="49"/>
      <c r="AB1398" s="49"/>
      <c r="AC1398" s="49"/>
      <c r="AD1398" s="49"/>
      <c r="AE1398" s="49"/>
      <c r="AF1398" s="49"/>
      <c r="AG1398" s="49"/>
      <c r="AH1398" s="49" t="b">
        <f>IFERROR(__xludf.DUMMYFUNCTION("""COMPUTED_VALUE"""),FALSE)</f>
        <v>0</v>
      </c>
    </row>
    <row r="1399">
      <c r="A1399" s="49"/>
      <c r="B1399" s="49"/>
      <c r="C1399" s="49"/>
      <c r="D1399" s="49"/>
      <c r="E1399" s="49">
        <f>IFERROR(__xludf.DUMMYFUNCTION("""COMPUTED_VALUE"""),1.0)</f>
        <v>1</v>
      </c>
      <c r="F1399" s="112">
        <f>IFERROR(__xludf.DUMMYFUNCTION("""COMPUTED_VALUE"""),0.0)</f>
        <v>0</v>
      </c>
      <c r="G1399" s="49"/>
      <c r="H1399" s="49"/>
      <c r="I1399" s="49"/>
      <c r="J1399" s="49"/>
      <c r="K1399" s="49"/>
      <c r="L1399" s="49"/>
      <c r="M1399" s="49"/>
      <c r="N1399" s="49"/>
      <c r="O1399" s="49"/>
      <c r="P1399" s="49"/>
      <c r="Q1399" s="49"/>
      <c r="R1399" s="49"/>
      <c r="S1399" s="49"/>
      <c r="T1399" s="49"/>
      <c r="U1399" s="49"/>
      <c r="V1399" s="49"/>
      <c r="W1399" s="49"/>
      <c r="X1399" s="49"/>
      <c r="Y1399" s="49"/>
      <c r="Z1399" s="49"/>
      <c r="AA1399" s="49"/>
      <c r="AB1399" s="49"/>
      <c r="AC1399" s="49"/>
      <c r="AD1399" s="49"/>
      <c r="AE1399" s="49"/>
      <c r="AF1399" s="49"/>
      <c r="AG1399" s="49"/>
      <c r="AH1399" s="49" t="b">
        <f>IFERROR(__xludf.DUMMYFUNCTION("""COMPUTED_VALUE"""),FALSE)</f>
        <v>0</v>
      </c>
    </row>
    <row r="1400">
      <c r="A1400" s="49"/>
      <c r="B1400" s="49"/>
      <c r="C1400" s="49"/>
      <c r="D1400" s="49"/>
      <c r="E1400" s="49">
        <f>IFERROR(__xludf.DUMMYFUNCTION("""COMPUTED_VALUE"""),1.0)</f>
        <v>1</v>
      </c>
      <c r="F1400" s="112">
        <f>IFERROR(__xludf.DUMMYFUNCTION("""COMPUTED_VALUE"""),0.0)</f>
        <v>0</v>
      </c>
      <c r="G1400" s="49"/>
      <c r="H1400" s="49"/>
      <c r="I1400" s="49"/>
      <c r="J1400" s="49"/>
      <c r="K1400" s="49"/>
      <c r="L1400" s="49"/>
      <c r="M1400" s="49"/>
      <c r="N1400" s="49"/>
      <c r="O1400" s="49"/>
      <c r="P1400" s="49"/>
      <c r="Q1400" s="49"/>
      <c r="R1400" s="49"/>
      <c r="S1400" s="49"/>
      <c r="T1400" s="49"/>
      <c r="U1400" s="49"/>
      <c r="V1400" s="49"/>
      <c r="W1400" s="49"/>
      <c r="X1400" s="49"/>
      <c r="Y1400" s="49"/>
      <c r="Z1400" s="49"/>
      <c r="AA1400" s="49"/>
      <c r="AB1400" s="49"/>
      <c r="AC1400" s="49"/>
      <c r="AD1400" s="49"/>
      <c r="AE1400" s="49"/>
      <c r="AF1400" s="49"/>
      <c r="AG1400" s="49"/>
      <c r="AH1400" s="49" t="b">
        <f>IFERROR(__xludf.DUMMYFUNCTION("""COMPUTED_VALUE"""),FALSE)</f>
        <v>0</v>
      </c>
    </row>
    <row r="1401">
      <c r="A1401" s="49"/>
      <c r="B1401" s="49"/>
      <c r="C1401" s="49"/>
      <c r="D1401" s="49"/>
      <c r="E1401" s="49">
        <f>IFERROR(__xludf.DUMMYFUNCTION("""COMPUTED_VALUE"""),1.0)</f>
        <v>1</v>
      </c>
      <c r="F1401" s="112">
        <f>IFERROR(__xludf.DUMMYFUNCTION("""COMPUTED_VALUE"""),0.0)</f>
        <v>0</v>
      </c>
      <c r="G1401" s="49"/>
      <c r="H1401" s="49"/>
      <c r="I1401" s="49"/>
      <c r="J1401" s="49"/>
      <c r="K1401" s="49"/>
      <c r="L1401" s="49"/>
      <c r="M1401" s="49"/>
      <c r="N1401" s="49"/>
      <c r="O1401" s="49"/>
      <c r="P1401" s="49"/>
      <c r="Q1401" s="49"/>
      <c r="R1401" s="49"/>
      <c r="S1401" s="49"/>
      <c r="T1401" s="49"/>
      <c r="U1401" s="49"/>
      <c r="V1401" s="49"/>
      <c r="W1401" s="49"/>
      <c r="X1401" s="49"/>
      <c r="Y1401" s="49"/>
      <c r="Z1401" s="49"/>
      <c r="AA1401" s="49"/>
      <c r="AB1401" s="49"/>
      <c r="AC1401" s="49"/>
      <c r="AD1401" s="49"/>
      <c r="AE1401" s="49"/>
      <c r="AF1401" s="49"/>
      <c r="AG1401" s="49"/>
      <c r="AH1401" s="49" t="b">
        <f>IFERROR(__xludf.DUMMYFUNCTION("""COMPUTED_VALUE"""),FALSE)</f>
        <v>0</v>
      </c>
    </row>
    <row r="1402">
      <c r="A1402" s="49"/>
      <c r="B1402" s="49"/>
      <c r="C1402" s="49"/>
      <c r="D1402" s="49"/>
      <c r="E1402" s="49">
        <f>IFERROR(__xludf.DUMMYFUNCTION("""COMPUTED_VALUE"""),1.0)</f>
        <v>1</v>
      </c>
      <c r="F1402" s="112">
        <f>IFERROR(__xludf.DUMMYFUNCTION("""COMPUTED_VALUE"""),0.0)</f>
        <v>0</v>
      </c>
      <c r="G1402" s="49"/>
      <c r="H1402" s="49"/>
      <c r="I1402" s="49"/>
      <c r="J1402" s="49"/>
      <c r="K1402" s="49"/>
      <c r="L1402" s="49"/>
      <c r="M1402" s="49"/>
      <c r="N1402" s="49"/>
      <c r="O1402" s="49"/>
      <c r="P1402" s="49"/>
      <c r="Q1402" s="49"/>
      <c r="R1402" s="49"/>
      <c r="S1402" s="49"/>
      <c r="T1402" s="49"/>
      <c r="U1402" s="49"/>
      <c r="V1402" s="49"/>
      <c r="W1402" s="49"/>
      <c r="X1402" s="49"/>
      <c r="Y1402" s="49"/>
      <c r="Z1402" s="49"/>
      <c r="AA1402" s="49"/>
      <c r="AB1402" s="49"/>
      <c r="AC1402" s="49"/>
      <c r="AD1402" s="49"/>
      <c r="AE1402" s="49"/>
      <c r="AF1402" s="49"/>
      <c r="AG1402" s="49"/>
      <c r="AH1402" s="49" t="b">
        <f>IFERROR(__xludf.DUMMYFUNCTION("""COMPUTED_VALUE"""),FALSE)</f>
        <v>0</v>
      </c>
    </row>
    <row r="1403">
      <c r="A1403" s="49"/>
      <c r="B1403" s="49"/>
      <c r="C1403" s="49"/>
      <c r="D1403" s="49"/>
      <c r="E1403" s="49">
        <f>IFERROR(__xludf.DUMMYFUNCTION("""COMPUTED_VALUE"""),1.0)</f>
        <v>1</v>
      </c>
      <c r="F1403" s="112">
        <f>IFERROR(__xludf.DUMMYFUNCTION("""COMPUTED_VALUE"""),0.0)</f>
        <v>0</v>
      </c>
      <c r="G1403" s="49"/>
      <c r="H1403" s="49"/>
      <c r="I1403" s="49"/>
      <c r="J1403" s="49"/>
      <c r="K1403" s="49"/>
      <c r="L1403" s="49"/>
      <c r="M1403" s="49"/>
      <c r="N1403" s="49"/>
      <c r="O1403" s="49"/>
      <c r="P1403" s="49"/>
      <c r="Q1403" s="49"/>
      <c r="R1403" s="49"/>
      <c r="S1403" s="49"/>
      <c r="T1403" s="49"/>
      <c r="U1403" s="49"/>
      <c r="V1403" s="49"/>
      <c r="W1403" s="49"/>
      <c r="X1403" s="49"/>
      <c r="Y1403" s="49"/>
      <c r="Z1403" s="49"/>
      <c r="AA1403" s="49"/>
      <c r="AB1403" s="49"/>
      <c r="AC1403" s="49"/>
      <c r="AD1403" s="49"/>
      <c r="AE1403" s="49"/>
      <c r="AF1403" s="49"/>
      <c r="AG1403" s="49"/>
      <c r="AH1403" s="49" t="b">
        <f>IFERROR(__xludf.DUMMYFUNCTION("""COMPUTED_VALUE"""),FALSE)</f>
        <v>0</v>
      </c>
    </row>
    <row r="1404">
      <c r="A1404" s="49"/>
      <c r="B1404" s="49"/>
      <c r="C1404" s="49"/>
      <c r="D1404" s="49"/>
      <c r="E1404" s="49">
        <f>IFERROR(__xludf.DUMMYFUNCTION("""COMPUTED_VALUE"""),1.0)</f>
        <v>1</v>
      </c>
      <c r="F1404" s="112">
        <f>IFERROR(__xludf.DUMMYFUNCTION("""COMPUTED_VALUE"""),0.0)</f>
        <v>0</v>
      </c>
      <c r="G1404" s="49"/>
      <c r="H1404" s="49"/>
      <c r="I1404" s="49"/>
      <c r="J1404" s="49"/>
      <c r="K1404" s="49"/>
      <c r="L1404" s="49"/>
      <c r="M1404" s="49"/>
      <c r="N1404" s="49"/>
      <c r="O1404" s="49"/>
      <c r="P1404" s="49"/>
      <c r="Q1404" s="49"/>
      <c r="R1404" s="49"/>
      <c r="S1404" s="49"/>
      <c r="T1404" s="49"/>
      <c r="U1404" s="49"/>
      <c r="V1404" s="49"/>
      <c r="W1404" s="49"/>
      <c r="X1404" s="49"/>
      <c r="Y1404" s="49"/>
      <c r="Z1404" s="49"/>
      <c r="AA1404" s="49"/>
      <c r="AB1404" s="49"/>
      <c r="AC1404" s="49"/>
      <c r="AD1404" s="49"/>
      <c r="AE1404" s="49"/>
      <c r="AF1404" s="49"/>
      <c r="AG1404" s="49"/>
      <c r="AH1404" s="49" t="b">
        <f>IFERROR(__xludf.DUMMYFUNCTION("""COMPUTED_VALUE"""),FALSE)</f>
        <v>0</v>
      </c>
    </row>
    <row r="1405">
      <c r="A1405" s="49"/>
      <c r="B1405" s="49"/>
      <c r="C1405" s="49"/>
      <c r="D1405" s="49"/>
      <c r="E1405" s="49">
        <f>IFERROR(__xludf.DUMMYFUNCTION("""COMPUTED_VALUE"""),1.0)</f>
        <v>1</v>
      </c>
      <c r="F1405" s="112">
        <f>IFERROR(__xludf.DUMMYFUNCTION("""COMPUTED_VALUE"""),0.0)</f>
        <v>0</v>
      </c>
      <c r="G1405" s="49"/>
      <c r="H1405" s="49"/>
      <c r="I1405" s="49"/>
      <c r="J1405" s="49"/>
      <c r="K1405" s="49"/>
      <c r="L1405" s="49"/>
      <c r="M1405" s="49"/>
      <c r="N1405" s="49"/>
      <c r="O1405" s="49"/>
      <c r="P1405" s="49"/>
      <c r="Q1405" s="49"/>
      <c r="R1405" s="49"/>
      <c r="S1405" s="49"/>
      <c r="T1405" s="49"/>
      <c r="U1405" s="49"/>
      <c r="V1405" s="49"/>
      <c r="W1405" s="49"/>
      <c r="X1405" s="49"/>
      <c r="Y1405" s="49"/>
      <c r="Z1405" s="49"/>
      <c r="AA1405" s="49"/>
      <c r="AB1405" s="49"/>
      <c r="AC1405" s="49"/>
      <c r="AD1405" s="49"/>
      <c r="AE1405" s="49"/>
      <c r="AF1405" s="49"/>
      <c r="AG1405" s="49"/>
      <c r="AH1405" s="49" t="b">
        <f>IFERROR(__xludf.DUMMYFUNCTION("""COMPUTED_VALUE"""),FALSE)</f>
        <v>0</v>
      </c>
    </row>
    <row r="1406">
      <c r="A1406" s="49"/>
      <c r="B1406" s="49"/>
      <c r="C1406" s="49"/>
      <c r="D1406" s="49"/>
      <c r="E1406" s="49">
        <f>IFERROR(__xludf.DUMMYFUNCTION("""COMPUTED_VALUE"""),1.0)</f>
        <v>1</v>
      </c>
      <c r="F1406" s="112">
        <f>IFERROR(__xludf.DUMMYFUNCTION("""COMPUTED_VALUE"""),0.0)</f>
        <v>0</v>
      </c>
      <c r="G1406" s="49"/>
      <c r="H1406" s="49"/>
      <c r="I1406" s="49"/>
      <c r="J1406" s="49"/>
      <c r="K1406" s="49"/>
      <c r="L1406" s="49"/>
      <c r="M1406" s="49"/>
      <c r="N1406" s="49"/>
      <c r="O1406" s="49"/>
      <c r="P1406" s="49"/>
      <c r="Q1406" s="49"/>
      <c r="R1406" s="49"/>
      <c r="S1406" s="49"/>
      <c r="T1406" s="49"/>
      <c r="U1406" s="49"/>
      <c r="V1406" s="49"/>
      <c r="W1406" s="49"/>
      <c r="X1406" s="49"/>
      <c r="Y1406" s="49"/>
      <c r="Z1406" s="49"/>
      <c r="AA1406" s="49"/>
      <c r="AB1406" s="49"/>
      <c r="AC1406" s="49"/>
      <c r="AD1406" s="49"/>
      <c r="AE1406" s="49"/>
      <c r="AF1406" s="49"/>
      <c r="AG1406" s="49"/>
      <c r="AH1406" s="49" t="b">
        <f>IFERROR(__xludf.DUMMYFUNCTION("""COMPUTED_VALUE"""),FALSE)</f>
        <v>0</v>
      </c>
    </row>
    <row r="1407">
      <c r="A1407" s="49"/>
      <c r="B1407" s="49"/>
      <c r="C1407" s="49"/>
      <c r="D1407" s="49"/>
      <c r="E1407" s="49">
        <f>IFERROR(__xludf.DUMMYFUNCTION("""COMPUTED_VALUE"""),1.0)</f>
        <v>1</v>
      </c>
      <c r="F1407" s="112">
        <f>IFERROR(__xludf.DUMMYFUNCTION("""COMPUTED_VALUE"""),0.0)</f>
        <v>0</v>
      </c>
      <c r="G1407" s="49"/>
      <c r="H1407" s="49"/>
      <c r="I1407" s="49"/>
      <c r="J1407" s="49"/>
      <c r="K1407" s="49"/>
      <c r="L1407" s="49"/>
      <c r="M1407" s="49"/>
      <c r="N1407" s="49"/>
      <c r="O1407" s="49"/>
      <c r="P1407" s="49"/>
      <c r="Q1407" s="49"/>
      <c r="R1407" s="49"/>
      <c r="S1407" s="49"/>
      <c r="T1407" s="49"/>
      <c r="U1407" s="49"/>
      <c r="V1407" s="49"/>
      <c r="W1407" s="49"/>
      <c r="X1407" s="49"/>
      <c r="Y1407" s="49"/>
      <c r="Z1407" s="49"/>
      <c r="AA1407" s="49"/>
      <c r="AB1407" s="49"/>
      <c r="AC1407" s="49"/>
      <c r="AD1407" s="49"/>
      <c r="AE1407" s="49"/>
      <c r="AF1407" s="49"/>
      <c r="AG1407" s="49"/>
      <c r="AH1407" s="49" t="b">
        <f>IFERROR(__xludf.DUMMYFUNCTION("""COMPUTED_VALUE"""),FALSE)</f>
        <v>0</v>
      </c>
    </row>
    <row r="1408">
      <c r="A1408" s="49"/>
      <c r="B1408" s="49"/>
      <c r="C1408" s="49"/>
      <c r="D1408" s="49"/>
      <c r="E1408" s="49">
        <f>IFERROR(__xludf.DUMMYFUNCTION("""COMPUTED_VALUE"""),1.0)</f>
        <v>1</v>
      </c>
      <c r="F1408" s="112">
        <f>IFERROR(__xludf.DUMMYFUNCTION("""COMPUTED_VALUE"""),0.0)</f>
        <v>0</v>
      </c>
      <c r="G1408" s="49"/>
      <c r="H1408" s="49"/>
      <c r="I1408" s="49"/>
      <c r="J1408" s="49"/>
      <c r="K1408" s="49"/>
      <c r="L1408" s="49"/>
      <c r="M1408" s="49"/>
      <c r="N1408" s="49"/>
      <c r="O1408" s="49"/>
      <c r="P1408" s="49"/>
      <c r="Q1408" s="49"/>
      <c r="R1408" s="49"/>
      <c r="S1408" s="49"/>
      <c r="T1408" s="49"/>
      <c r="U1408" s="49"/>
      <c r="V1408" s="49"/>
      <c r="W1408" s="49"/>
      <c r="X1408" s="49"/>
      <c r="Y1408" s="49"/>
      <c r="Z1408" s="49"/>
      <c r="AA1408" s="49"/>
      <c r="AB1408" s="49"/>
      <c r="AC1408" s="49"/>
      <c r="AD1408" s="49"/>
      <c r="AE1408" s="49"/>
      <c r="AF1408" s="49"/>
      <c r="AG1408" s="49"/>
      <c r="AH1408" s="49" t="b">
        <f>IFERROR(__xludf.DUMMYFUNCTION("""COMPUTED_VALUE"""),FALSE)</f>
        <v>0</v>
      </c>
    </row>
    <row r="1409">
      <c r="A1409" s="49"/>
      <c r="B1409" s="49"/>
      <c r="C1409" s="49"/>
      <c r="D1409" s="49"/>
      <c r="E1409" s="49">
        <f>IFERROR(__xludf.DUMMYFUNCTION("""COMPUTED_VALUE"""),1.0)</f>
        <v>1</v>
      </c>
      <c r="F1409" s="112">
        <f>IFERROR(__xludf.DUMMYFUNCTION("""COMPUTED_VALUE"""),0.0)</f>
        <v>0</v>
      </c>
      <c r="G1409" s="49"/>
      <c r="H1409" s="49"/>
      <c r="I1409" s="49"/>
      <c r="J1409" s="49"/>
      <c r="K1409" s="49"/>
      <c r="L1409" s="49"/>
      <c r="M1409" s="49"/>
      <c r="N1409" s="49"/>
      <c r="O1409" s="49"/>
      <c r="P1409" s="49"/>
      <c r="Q1409" s="49"/>
      <c r="R1409" s="49"/>
      <c r="S1409" s="49"/>
      <c r="T1409" s="49"/>
      <c r="U1409" s="49"/>
      <c r="V1409" s="49"/>
      <c r="W1409" s="49"/>
      <c r="X1409" s="49"/>
      <c r="Y1409" s="49"/>
      <c r="Z1409" s="49"/>
      <c r="AA1409" s="49"/>
      <c r="AB1409" s="49"/>
      <c r="AC1409" s="49"/>
      <c r="AD1409" s="49"/>
      <c r="AE1409" s="49"/>
      <c r="AF1409" s="49"/>
      <c r="AG1409" s="49"/>
      <c r="AH1409" s="49" t="b">
        <f>IFERROR(__xludf.DUMMYFUNCTION("""COMPUTED_VALUE"""),FALSE)</f>
        <v>0</v>
      </c>
    </row>
    <row r="1410">
      <c r="A1410" s="49"/>
      <c r="B1410" s="49"/>
      <c r="C1410" s="49"/>
      <c r="D1410" s="49"/>
      <c r="E1410" s="49">
        <f>IFERROR(__xludf.DUMMYFUNCTION("""COMPUTED_VALUE"""),1.0)</f>
        <v>1</v>
      </c>
      <c r="F1410" s="112">
        <f>IFERROR(__xludf.DUMMYFUNCTION("""COMPUTED_VALUE"""),0.0)</f>
        <v>0</v>
      </c>
      <c r="G1410" s="49"/>
      <c r="H1410" s="49"/>
      <c r="I1410" s="49"/>
      <c r="J1410" s="49"/>
      <c r="K1410" s="49"/>
      <c r="L1410" s="49"/>
      <c r="M1410" s="49"/>
      <c r="N1410" s="49"/>
      <c r="O1410" s="49"/>
      <c r="P1410" s="49"/>
      <c r="Q1410" s="49"/>
      <c r="R1410" s="49"/>
      <c r="S1410" s="49"/>
      <c r="T1410" s="49"/>
      <c r="U1410" s="49"/>
      <c r="V1410" s="49"/>
      <c r="W1410" s="49"/>
      <c r="X1410" s="49"/>
      <c r="Y1410" s="49"/>
      <c r="Z1410" s="49"/>
      <c r="AA1410" s="49"/>
      <c r="AB1410" s="49"/>
      <c r="AC1410" s="49"/>
      <c r="AD1410" s="49"/>
      <c r="AE1410" s="49"/>
      <c r="AF1410" s="49"/>
      <c r="AG1410" s="49"/>
      <c r="AH1410" s="49" t="b">
        <f>IFERROR(__xludf.DUMMYFUNCTION("""COMPUTED_VALUE"""),FALSE)</f>
        <v>0</v>
      </c>
    </row>
    <row r="1411">
      <c r="A1411" s="49"/>
      <c r="B1411" s="49"/>
      <c r="C1411" s="49"/>
      <c r="D1411" s="49"/>
      <c r="E1411" s="49">
        <f>IFERROR(__xludf.DUMMYFUNCTION("""COMPUTED_VALUE"""),1.0)</f>
        <v>1</v>
      </c>
      <c r="F1411" s="112">
        <f>IFERROR(__xludf.DUMMYFUNCTION("""COMPUTED_VALUE"""),0.0)</f>
        <v>0</v>
      </c>
      <c r="G1411" s="49"/>
      <c r="H1411" s="49"/>
      <c r="I1411" s="49"/>
      <c r="J1411" s="49"/>
      <c r="K1411" s="49"/>
      <c r="L1411" s="49"/>
      <c r="M1411" s="49"/>
      <c r="N1411" s="49"/>
      <c r="O1411" s="49"/>
      <c r="P1411" s="49"/>
      <c r="Q1411" s="49"/>
      <c r="R1411" s="49"/>
      <c r="S1411" s="49"/>
      <c r="T1411" s="49"/>
      <c r="U1411" s="49"/>
      <c r="V1411" s="49"/>
      <c r="W1411" s="49"/>
      <c r="X1411" s="49"/>
      <c r="Y1411" s="49"/>
      <c r="Z1411" s="49"/>
      <c r="AA1411" s="49"/>
      <c r="AB1411" s="49"/>
      <c r="AC1411" s="49"/>
      <c r="AD1411" s="49"/>
      <c r="AE1411" s="49"/>
      <c r="AF1411" s="49"/>
      <c r="AG1411" s="49"/>
      <c r="AH1411" s="49" t="b">
        <f>IFERROR(__xludf.DUMMYFUNCTION("""COMPUTED_VALUE"""),FALSE)</f>
        <v>0</v>
      </c>
    </row>
    <row r="1412">
      <c r="A1412" s="49"/>
      <c r="B1412" s="49"/>
      <c r="C1412" s="49"/>
      <c r="D1412" s="49"/>
      <c r="E1412" s="49">
        <f>IFERROR(__xludf.DUMMYFUNCTION("""COMPUTED_VALUE"""),1.0)</f>
        <v>1</v>
      </c>
      <c r="F1412" s="112">
        <f>IFERROR(__xludf.DUMMYFUNCTION("""COMPUTED_VALUE"""),0.0)</f>
        <v>0</v>
      </c>
      <c r="G1412" s="49"/>
      <c r="H1412" s="49"/>
      <c r="I1412" s="49"/>
      <c r="J1412" s="49"/>
      <c r="K1412" s="49"/>
      <c r="L1412" s="49"/>
      <c r="M1412" s="49"/>
      <c r="N1412" s="49"/>
      <c r="O1412" s="49"/>
      <c r="P1412" s="49"/>
      <c r="Q1412" s="49"/>
      <c r="R1412" s="49"/>
      <c r="S1412" s="49"/>
      <c r="T1412" s="49"/>
      <c r="U1412" s="49"/>
      <c r="V1412" s="49"/>
      <c r="W1412" s="49"/>
      <c r="X1412" s="49"/>
      <c r="Y1412" s="49"/>
      <c r="Z1412" s="49"/>
      <c r="AA1412" s="49"/>
      <c r="AB1412" s="49"/>
      <c r="AC1412" s="49"/>
      <c r="AD1412" s="49"/>
      <c r="AE1412" s="49"/>
      <c r="AF1412" s="49"/>
      <c r="AG1412" s="49"/>
      <c r="AH1412" s="49" t="b">
        <f>IFERROR(__xludf.DUMMYFUNCTION("""COMPUTED_VALUE"""),FALSE)</f>
        <v>0</v>
      </c>
    </row>
    <row r="1413">
      <c r="A1413" s="49"/>
      <c r="B1413" s="49"/>
      <c r="C1413" s="49"/>
      <c r="D1413" s="49"/>
      <c r="E1413" s="49">
        <f>IFERROR(__xludf.DUMMYFUNCTION("""COMPUTED_VALUE"""),1.0)</f>
        <v>1</v>
      </c>
      <c r="F1413" s="112">
        <f>IFERROR(__xludf.DUMMYFUNCTION("""COMPUTED_VALUE"""),0.0)</f>
        <v>0</v>
      </c>
      <c r="G1413" s="49"/>
      <c r="H1413" s="49"/>
      <c r="I1413" s="49"/>
      <c r="J1413" s="49"/>
      <c r="K1413" s="49"/>
      <c r="L1413" s="49"/>
      <c r="M1413" s="49"/>
      <c r="N1413" s="49"/>
      <c r="O1413" s="49"/>
      <c r="P1413" s="49"/>
      <c r="Q1413" s="49"/>
      <c r="R1413" s="49"/>
      <c r="S1413" s="49"/>
      <c r="T1413" s="49"/>
      <c r="U1413" s="49"/>
      <c r="V1413" s="49"/>
      <c r="W1413" s="49"/>
      <c r="X1413" s="49"/>
      <c r="Y1413" s="49"/>
      <c r="Z1413" s="49"/>
      <c r="AA1413" s="49"/>
      <c r="AB1413" s="49"/>
      <c r="AC1413" s="49"/>
      <c r="AD1413" s="49"/>
      <c r="AE1413" s="49"/>
      <c r="AF1413" s="49"/>
      <c r="AG1413" s="49"/>
      <c r="AH1413" s="49" t="b">
        <f>IFERROR(__xludf.DUMMYFUNCTION("""COMPUTED_VALUE"""),FALSE)</f>
        <v>0</v>
      </c>
    </row>
    <row r="1414">
      <c r="A1414" s="49"/>
      <c r="B1414" s="49"/>
      <c r="C1414" s="49"/>
      <c r="D1414" s="49"/>
      <c r="E1414" s="49">
        <f>IFERROR(__xludf.DUMMYFUNCTION("""COMPUTED_VALUE"""),1.0)</f>
        <v>1</v>
      </c>
      <c r="F1414" s="112">
        <f>IFERROR(__xludf.DUMMYFUNCTION("""COMPUTED_VALUE"""),0.0)</f>
        <v>0</v>
      </c>
      <c r="G1414" s="49"/>
      <c r="H1414" s="49"/>
      <c r="I1414" s="49"/>
      <c r="J1414" s="49"/>
      <c r="K1414" s="49"/>
      <c r="L1414" s="49"/>
      <c r="M1414" s="49"/>
      <c r="N1414" s="49"/>
      <c r="O1414" s="49"/>
      <c r="P1414" s="49"/>
      <c r="Q1414" s="49"/>
      <c r="R1414" s="49"/>
      <c r="S1414" s="49"/>
      <c r="T1414" s="49"/>
      <c r="U1414" s="49"/>
      <c r="V1414" s="49"/>
      <c r="W1414" s="49"/>
      <c r="X1414" s="49"/>
      <c r="Y1414" s="49"/>
      <c r="Z1414" s="49"/>
      <c r="AA1414" s="49"/>
      <c r="AB1414" s="49"/>
      <c r="AC1414" s="49"/>
      <c r="AD1414" s="49"/>
      <c r="AE1414" s="49"/>
      <c r="AF1414" s="49"/>
      <c r="AG1414" s="49"/>
      <c r="AH1414" s="49" t="b">
        <f>IFERROR(__xludf.DUMMYFUNCTION("""COMPUTED_VALUE"""),FALSE)</f>
        <v>0</v>
      </c>
    </row>
    <row r="1415">
      <c r="A1415" s="49"/>
      <c r="B1415" s="49"/>
      <c r="C1415" s="49"/>
      <c r="D1415" s="49"/>
      <c r="E1415" s="49">
        <f>IFERROR(__xludf.DUMMYFUNCTION("""COMPUTED_VALUE"""),1.0)</f>
        <v>1</v>
      </c>
      <c r="F1415" s="112">
        <f>IFERROR(__xludf.DUMMYFUNCTION("""COMPUTED_VALUE"""),0.0)</f>
        <v>0</v>
      </c>
      <c r="G1415" s="49"/>
      <c r="H1415" s="49"/>
      <c r="I1415" s="49"/>
      <c r="J1415" s="49"/>
      <c r="K1415" s="49"/>
      <c r="L1415" s="49"/>
      <c r="M1415" s="49"/>
      <c r="N1415" s="49"/>
      <c r="O1415" s="49"/>
      <c r="P1415" s="49"/>
      <c r="Q1415" s="49"/>
      <c r="R1415" s="49"/>
      <c r="S1415" s="49"/>
      <c r="T1415" s="49"/>
      <c r="U1415" s="49"/>
      <c r="V1415" s="49"/>
      <c r="W1415" s="49"/>
      <c r="X1415" s="49"/>
      <c r="Y1415" s="49"/>
      <c r="Z1415" s="49"/>
      <c r="AA1415" s="49"/>
      <c r="AB1415" s="49"/>
      <c r="AC1415" s="49"/>
      <c r="AD1415" s="49"/>
      <c r="AE1415" s="49"/>
      <c r="AF1415" s="49"/>
      <c r="AG1415" s="49"/>
      <c r="AH1415" s="49" t="b">
        <f>IFERROR(__xludf.DUMMYFUNCTION("""COMPUTED_VALUE"""),FALSE)</f>
        <v>0</v>
      </c>
    </row>
    <row r="1416">
      <c r="A1416" s="49"/>
      <c r="B1416" s="49"/>
      <c r="C1416" s="49"/>
      <c r="D1416" s="49"/>
      <c r="E1416" s="49">
        <f>IFERROR(__xludf.DUMMYFUNCTION("""COMPUTED_VALUE"""),1.0)</f>
        <v>1</v>
      </c>
      <c r="F1416" s="112">
        <f>IFERROR(__xludf.DUMMYFUNCTION("""COMPUTED_VALUE"""),0.0)</f>
        <v>0</v>
      </c>
      <c r="G1416" s="49"/>
      <c r="H1416" s="49"/>
      <c r="I1416" s="49"/>
      <c r="J1416" s="49"/>
      <c r="K1416" s="49"/>
      <c r="L1416" s="49"/>
      <c r="M1416" s="49"/>
      <c r="N1416" s="49"/>
      <c r="O1416" s="49"/>
      <c r="P1416" s="49"/>
      <c r="Q1416" s="49"/>
      <c r="R1416" s="49"/>
      <c r="S1416" s="49"/>
      <c r="T1416" s="49"/>
      <c r="U1416" s="49"/>
      <c r="V1416" s="49"/>
      <c r="W1416" s="49"/>
      <c r="X1416" s="49"/>
      <c r="Y1416" s="49"/>
      <c r="Z1416" s="49"/>
      <c r="AA1416" s="49"/>
      <c r="AB1416" s="49"/>
      <c r="AC1416" s="49"/>
      <c r="AD1416" s="49"/>
      <c r="AE1416" s="49"/>
      <c r="AF1416" s="49"/>
      <c r="AG1416" s="49"/>
      <c r="AH1416" s="49" t="b">
        <f>IFERROR(__xludf.DUMMYFUNCTION("""COMPUTED_VALUE"""),FALSE)</f>
        <v>0</v>
      </c>
    </row>
    <row r="1417">
      <c r="A1417" s="49"/>
      <c r="B1417" s="49"/>
      <c r="C1417" s="49"/>
      <c r="D1417" s="49"/>
      <c r="E1417" s="49">
        <f>IFERROR(__xludf.DUMMYFUNCTION("""COMPUTED_VALUE"""),1.0)</f>
        <v>1</v>
      </c>
      <c r="F1417" s="112">
        <f>IFERROR(__xludf.DUMMYFUNCTION("""COMPUTED_VALUE"""),0.0)</f>
        <v>0</v>
      </c>
      <c r="G1417" s="49"/>
      <c r="H1417" s="49"/>
      <c r="I1417" s="49"/>
      <c r="J1417" s="49"/>
      <c r="K1417" s="49"/>
      <c r="L1417" s="49"/>
      <c r="M1417" s="49"/>
      <c r="N1417" s="49"/>
      <c r="O1417" s="49"/>
      <c r="P1417" s="49"/>
      <c r="Q1417" s="49"/>
      <c r="R1417" s="49"/>
      <c r="S1417" s="49"/>
      <c r="T1417" s="49"/>
      <c r="U1417" s="49"/>
      <c r="V1417" s="49"/>
      <c r="W1417" s="49"/>
      <c r="X1417" s="49"/>
      <c r="Y1417" s="49"/>
      <c r="Z1417" s="49"/>
      <c r="AA1417" s="49"/>
      <c r="AB1417" s="49"/>
      <c r="AC1417" s="49"/>
      <c r="AD1417" s="49"/>
      <c r="AE1417" s="49"/>
      <c r="AF1417" s="49"/>
      <c r="AG1417" s="49"/>
      <c r="AH1417" s="49" t="b">
        <f>IFERROR(__xludf.DUMMYFUNCTION("""COMPUTED_VALUE"""),FALSE)</f>
        <v>0</v>
      </c>
    </row>
    <row r="1418">
      <c r="A1418" s="49"/>
      <c r="B1418" s="49"/>
      <c r="C1418" s="49"/>
      <c r="D1418" s="49"/>
      <c r="E1418" s="49">
        <f>IFERROR(__xludf.DUMMYFUNCTION("""COMPUTED_VALUE"""),1.0)</f>
        <v>1</v>
      </c>
      <c r="F1418" s="112">
        <f>IFERROR(__xludf.DUMMYFUNCTION("""COMPUTED_VALUE"""),0.0)</f>
        <v>0</v>
      </c>
      <c r="G1418" s="49"/>
      <c r="H1418" s="49"/>
      <c r="I1418" s="49"/>
      <c r="J1418" s="49"/>
      <c r="K1418" s="49"/>
      <c r="L1418" s="49"/>
      <c r="M1418" s="49"/>
      <c r="N1418" s="49"/>
      <c r="O1418" s="49"/>
      <c r="P1418" s="49"/>
      <c r="Q1418" s="49"/>
      <c r="R1418" s="49"/>
      <c r="S1418" s="49"/>
      <c r="T1418" s="49"/>
      <c r="U1418" s="49"/>
      <c r="V1418" s="49"/>
      <c r="W1418" s="49"/>
      <c r="X1418" s="49"/>
      <c r="Y1418" s="49"/>
      <c r="Z1418" s="49"/>
      <c r="AA1418" s="49"/>
      <c r="AB1418" s="49"/>
      <c r="AC1418" s="49"/>
      <c r="AD1418" s="49"/>
      <c r="AE1418" s="49"/>
      <c r="AF1418" s="49"/>
      <c r="AG1418" s="49"/>
      <c r="AH1418" s="49" t="b">
        <f>IFERROR(__xludf.DUMMYFUNCTION("""COMPUTED_VALUE"""),FALSE)</f>
        <v>0</v>
      </c>
    </row>
    <row r="1419">
      <c r="A1419" s="49"/>
      <c r="B1419" s="49"/>
      <c r="C1419" s="49"/>
      <c r="D1419" s="49"/>
      <c r="E1419" s="49">
        <f>IFERROR(__xludf.DUMMYFUNCTION("""COMPUTED_VALUE"""),1.0)</f>
        <v>1</v>
      </c>
      <c r="F1419" s="112">
        <f>IFERROR(__xludf.DUMMYFUNCTION("""COMPUTED_VALUE"""),0.0)</f>
        <v>0</v>
      </c>
      <c r="G1419" s="49"/>
      <c r="H1419" s="49"/>
      <c r="I1419" s="49"/>
      <c r="J1419" s="49"/>
      <c r="K1419" s="49"/>
      <c r="L1419" s="49"/>
      <c r="M1419" s="49"/>
      <c r="N1419" s="49"/>
      <c r="O1419" s="49"/>
      <c r="P1419" s="49"/>
      <c r="Q1419" s="49"/>
      <c r="R1419" s="49"/>
      <c r="S1419" s="49"/>
      <c r="T1419" s="49"/>
      <c r="U1419" s="49"/>
      <c r="V1419" s="49"/>
      <c r="W1419" s="49"/>
      <c r="X1419" s="49"/>
      <c r="Y1419" s="49"/>
      <c r="Z1419" s="49"/>
      <c r="AA1419" s="49"/>
      <c r="AB1419" s="49"/>
      <c r="AC1419" s="49"/>
      <c r="AD1419" s="49"/>
      <c r="AE1419" s="49"/>
      <c r="AF1419" s="49"/>
      <c r="AG1419" s="49"/>
      <c r="AH1419" s="49" t="b">
        <f>IFERROR(__xludf.DUMMYFUNCTION("""COMPUTED_VALUE"""),FALSE)</f>
        <v>0</v>
      </c>
    </row>
    <row r="1420">
      <c r="A1420" s="49"/>
      <c r="B1420" s="49"/>
      <c r="C1420" s="49"/>
      <c r="D1420" s="49"/>
      <c r="E1420" s="49">
        <f>IFERROR(__xludf.DUMMYFUNCTION("""COMPUTED_VALUE"""),1.0)</f>
        <v>1</v>
      </c>
      <c r="F1420" s="112">
        <f>IFERROR(__xludf.DUMMYFUNCTION("""COMPUTED_VALUE"""),0.0)</f>
        <v>0</v>
      </c>
      <c r="G1420" s="49"/>
      <c r="H1420" s="49"/>
      <c r="I1420" s="49"/>
      <c r="J1420" s="49"/>
      <c r="K1420" s="49"/>
      <c r="L1420" s="49"/>
      <c r="M1420" s="49"/>
      <c r="N1420" s="49"/>
      <c r="O1420" s="49"/>
      <c r="P1420" s="49"/>
      <c r="Q1420" s="49"/>
      <c r="R1420" s="49"/>
      <c r="S1420" s="49"/>
      <c r="T1420" s="49"/>
      <c r="U1420" s="49"/>
      <c r="V1420" s="49"/>
      <c r="W1420" s="49"/>
      <c r="X1420" s="49"/>
      <c r="Y1420" s="49"/>
      <c r="Z1420" s="49"/>
      <c r="AA1420" s="49"/>
      <c r="AB1420" s="49"/>
      <c r="AC1420" s="49"/>
      <c r="AD1420" s="49"/>
      <c r="AE1420" s="49"/>
      <c r="AF1420" s="49"/>
      <c r="AG1420" s="49"/>
      <c r="AH1420" s="49" t="b">
        <f>IFERROR(__xludf.DUMMYFUNCTION("""COMPUTED_VALUE"""),FALSE)</f>
        <v>0</v>
      </c>
    </row>
    <row r="1421">
      <c r="A1421" s="49"/>
      <c r="B1421" s="49"/>
      <c r="C1421" s="49"/>
      <c r="D1421" s="49"/>
      <c r="E1421" s="49">
        <f>IFERROR(__xludf.DUMMYFUNCTION("""COMPUTED_VALUE"""),1.0)</f>
        <v>1</v>
      </c>
      <c r="F1421" s="112">
        <f>IFERROR(__xludf.DUMMYFUNCTION("""COMPUTED_VALUE"""),0.0)</f>
        <v>0</v>
      </c>
      <c r="G1421" s="49"/>
      <c r="H1421" s="49"/>
      <c r="I1421" s="49"/>
      <c r="J1421" s="49"/>
      <c r="K1421" s="49"/>
      <c r="L1421" s="49"/>
      <c r="M1421" s="49"/>
      <c r="N1421" s="49"/>
      <c r="O1421" s="49"/>
      <c r="P1421" s="49"/>
      <c r="Q1421" s="49"/>
      <c r="R1421" s="49"/>
      <c r="S1421" s="49"/>
      <c r="T1421" s="49"/>
      <c r="U1421" s="49"/>
      <c r="V1421" s="49"/>
      <c r="W1421" s="49"/>
      <c r="X1421" s="49"/>
      <c r="Y1421" s="49"/>
      <c r="Z1421" s="49"/>
      <c r="AA1421" s="49"/>
      <c r="AB1421" s="49"/>
      <c r="AC1421" s="49"/>
      <c r="AD1421" s="49"/>
      <c r="AE1421" s="49"/>
      <c r="AF1421" s="49"/>
      <c r="AG1421" s="49"/>
      <c r="AH1421" s="49" t="b">
        <f>IFERROR(__xludf.DUMMYFUNCTION("""COMPUTED_VALUE"""),FALSE)</f>
        <v>0</v>
      </c>
    </row>
    <row r="1422">
      <c r="A1422" s="49"/>
      <c r="B1422" s="49"/>
      <c r="C1422" s="49"/>
      <c r="D1422" s="49"/>
      <c r="E1422" s="49">
        <f>IFERROR(__xludf.DUMMYFUNCTION("""COMPUTED_VALUE"""),1.0)</f>
        <v>1</v>
      </c>
      <c r="F1422" s="112">
        <f>IFERROR(__xludf.DUMMYFUNCTION("""COMPUTED_VALUE"""),0.0)</f>
        <v>0</v>
      </c>
      <c r="G1422" s="49"/>
      <c r="H1422" s="49"/>
      <c r="I1422" s="49"/>
      <c r="J1422" s="49"/>
      <c r="K1422" s="49"/>
      <c r="L1422" s="49"/>
      <c r="M1422" s="49"/>
      <c r="N1422" s="49"/>
      <c r="O1422" s="49"/>
      <c r="P1422" s="49"/>
      <c r="Q1422" s="49"/>
      <c r="R1422" s="49"/>
      <c r="S1422" s="49"/>
      <c r="T1422" s="49"/>
      <c r="U1422" s="49"/>
      <c r="V1422" s="49"/>
      <c r="W1422" s="49"/>
      <c r="X1422" s="49"/>
      <c r="Y1422" s="49"/>
      <c r="Z1422" s="49"/>
      <c r="AA1422" s="49"/>
      <c r="AB1422" s="49"/>
      <c r="AC1422" s="49"/>
      <c r="AD1422" s="49"/>
      <c r="AE1422" s="49"/>
      <c r="AF1422" s="49"/>
      <c r="AG1422" s="49"/>
      <c r="AH1422" s="49" t="b">
        <f>IFERROR(__xludf.DUMMYFUNCTION("""COMPUTED_VALUE"""),FALSE)</f>
        <v>0</v>
      </c>
    </row>
    <row r="1423">
      <c r="A1423" s="49"/>
      <c r="B1423" s="49"/>
      <c r="C1423" s="49"/>
      <c r="D1423" s="49"/>
      <c r="E1423" s="49">
        <f>IFERROR(__xludf.DUMMYFUNCTION("""COMPUTED_VALUE"""),1.0)</f>
        <v>1</v>
      </c>
      <c r="F1423" s="112">
        <f>IFERROR(__xludf.DUMMYFUNCTION("""COMPUTED_VALUE"""),0.0)</f>
        <v>0</v>
      </c>
      <c r="G1423" s="49"/>
      <c r="H1423" s="49"/>
      <c r="I1423" s="49"/>
      <c r="J1423" s="49"/>
      <c r="K1423" s="49"/>
      <c r="L1423" s="49"/>
      <c r="M1423" s="49"/>
      <c r="N1423" s="49"/>
      <c r="O1423" s="49"/>
      <c r="P1423" s="49"/>
      <c r="Q1423" s="49"/>
      <c r="R1423" s="49"/>
      <c r="S1423" s="49"/>
      <c r="T1423" s="49"/>
      <c r="U1423" s="49"/>
      <c r="V1423" s="49"/>
      <c r="W1423" s="49"/>
      <c r="X1423" s="49"/>
      <c r="Y1423" s="49"/>
      <c r="Z1423" s="49"/>
      <c r="AA1423" s="49"/>
      <c r="AB1423" s="49"/>
      <c r="AC1423" s="49"/>
      <c r="AD1423" s="49"/>
      <c r="AE1423" s="49"/>
      <c r="AF1423" s="49"/>
      <c r="AG1423" s="49"/>
      <c r="AH1423" s="49" t="b">
        <f>IFERROR(__xludf.DUMMYFUNCTION("""COMPUTED_VALUE"""),FALSE)</f>
        <v>0</v>
      </c>
    </row>
    <row r="1424">
      <c r="A1424" s="49"/>
      <c r="B1424" s="49"/>
      <c r="C1424" s="49"/>
      <c r="D1424" s="49"/>
      <c r="E1424" s="49">
        <f>IFERROR(__xludf.DUMMYFUNCTION("""COMPUTED_VALUE"""),1.0)</f>
        <v>1</v>
      </c>
      <c r="F1424" s="112">
        <f>IFERROR(__xludf.DUMMYFUNCTION("""COMPUTED_VALUE"""),0.0)</f>
        <v>0</v>
      </c>
      <c r="G1424" s="49"/>
      <c r="H1424" s="49"/>
      <c r="I1424" s="49"/>
      <c r="J1424" s="49"/>
      <c r="K1424" s="49"/>
      <c r="L1424" s="49"/>
      <c r="M1424" s="49"/>
      <c r="N1424" s="49"/>
      <c r="O1424" s="49"/>
      <c r="P1424" s="49"/>
      <c r="Q1424" s="49"/>
      <c r="R1424" s="49"/>
      <c r="S1424" s="49"/>
      <c r="T1424" s="49"/>
      <c r="U1424" s="49"/>
      <c r="V1424" s="49"/>
      <c r="W1424" s="49"/>
      <c r="X1424" s="49"/>
      <c r="Y1424" s="49"/>
      <c r="Z1424" s="49"/>
      <c r="AA1424" s="49"/>
      <c r="AB1424" s="49"/>
      <c r="AC1424" s="49"/>
      <c r="AD1424" s="49"/>
      <c r="AE1424" s="49"/>
      <c r="AF1424" s="49"/>
      <c r="AG1424" s="49"/>
      <c r="AH1424" s="49" t="b">
        <f>IFERROR(__xludf.DUMMYFUNCTION("""COMPUTED_VALUE"""),FALSE)</f>
        <v>0</v>
      </c>
    </row>
    <row r="1425">
      <c r="A1425" s="49"/>
      <c r="B1425" s="49"/>
      <c r="C1425" s="49"/>
      <c r="D1425" s="49"/>
      <c r="E1425" s="49">
        <f>IFERROR(__xludf.DUMMYFUNCTION("""COMPUTED_VALUE"""),1.0)</f>
        <v>1</v>
      </c>
      <c r="F1425" s="112">
        <f>IFERROR(__xludf.DUMMYFUNCTION("""COMPUTED_VALUE"""),0.0)</f>
        <v>0</v>
      </c>
      <c r="G1425" s="49"/>
      <c r="H1425" s="49"/>
      <c r="I1425" s="49"/>
      <c r="J1425" s="49"/>
      <c r="K1425" s="49"/>
      <c r="L1425" s="49"/>
      <c r="M1425" s="49"/>
      <c r="N1425" s="49"/>
      <c r="O1425" s="49"/>
      <c r="P1425" s="49"/>
      <c r="Q1425" s="49"/>
      <c r="R1425" s="49"/>
      <c r="S1425" s="49"/>
      <c r="T1425" s="49"/>
      <c r="U1425" s="49"/>
      <c r="V1425" s="49"/>
      <c r="W1425" s="49"/>
      <c r="X1425" s="49"/>
      <c r="Y1425" s="49"/>
      <c r="Z1425" s="49"/>
      <c r="AA1425" s="49"/>
      <c r="AB1425" s="49"/>
      <c r="AC1425" s="49"/>
      <c r="AD1425" s="49"/>
      <c r="AE1425" s="49"/>
      <c r="AF1425" s="49"/>
      <c r="AG1425" s="49"/>
      <c r="AH1425" s="49" t="b">
        <f>IFERROR(__xludf.DUMMYFUNCTION("""COMPUTED_VALUE"""),FALSE)</f>
        <v>0</v>
      </c>
    </row>
    <row r="1426">
      <c r="A1426" s="49"/>
      <c r="B1426" s="49"/>
      <c r="C1426" s="49"/>
      <c r="D1426" s="49"/>
      <c r="E1426" s="49">
        <f>IFERROR(__xludf.DUMMYFUNCTION("""COMPUTED_VALUE"""),1.0)</f>
        <v>1</v>
      </c>
      <c r="F1426" s="112">
        <f>IFERROR(__xludf.DUMMYFUNCTION("""COMPUTED_VALUE"""),0.0)</f>
        <v>0</v>
      </c>
      <c r="G1426" s="49"/>
      <c r="H1426" s="49"/>
      <c r="I1426" s="49"/>
      <c r="J1426" s="49"/>
      <c r="K1426" s="49"/>
      <c r="L1426" s="49"/>
      <c r="M1426" s="49"/>
      <c r="N1426" s="49"/>
      <c r="O1426" s="49"/>
      <c r="P1426" s="49"/>
      <c r="Q1426" s="49"/>
      <c r="R1426" s="49"/>
      <c r="S1426" s="49"/>
      <c r="T1426" s="49"/>
      <c r="U1426" s="49"/>
      <c r="V1426" s="49"/>
      <c r="W1426" s="49"/>
      <c r="X1426" s="49"/>
      <c r="Y1426" s="49"/>
      <c r="Z1426" s="49"/>
      <c r="AA1426" s="49"/>
      <c r="AB1426" s="49"/>
      <c r="AC1426" s="49"/>
      <c r="AD1426" s="49"/>
      <c r="AE1426" s="49"/>
      <c r="AF1426" s="49"/>
      <c r="AG1426" s="49"/>
      <c r="AH1426" s="49" t="b">
        <f>IFERROR(__xludf.DUMMYFUNCTION("""COMPUTED_VALUE"""),FALSE)</f>
        <v>0</v>
      </c>
    </row>
    <row r="1427">
      <c r="A1427" s="49"/>
      <c r="B1427" s="49"/>
      <c r="C1427" s="49"/>
      <c r="D1427" s="49"/>
      <c r="E1427" s="49">
        <f>IFERROR(__xludf.DUMMYFUNCTION("""COMPUTED_VALUE"""),1.0)</f>
        <v>1</v>
      </c>
      <c r="F1427" s="112">
        <f>IFERROR(__xludf.DUMMYFUNCTION("""COMPUTED_VALUE"""),0.0)</f>
        <v>0</v>
      </c>
      <c r="G1427" s="49"/>
      <c r="H1427" s="49"/>
      <c r="I1427" s="49"/>
      <c r="J1427" s="49"/>
      <c r="K1427" s="49"/>
      <c r="L1427" s="49"/>
      <c r="M1427" s="49"/>
      <c r="N1427" s="49"/>
      <c r="O1427" s="49"/>
      <c r="P1427" s="49"/>
      <c r="Q1427" s="49"/>
      <c r="R1427" s="49"/>
      <c r="S1427" s="49"/>
      <c r="T1427" s="49"/>
      <c r="U1427" s="49"/>
      <c r="V1427" s="49"/>
      <c r="W1427" s="49"/>
      <c r="X1427" s="49"/>
      <c r="Y1427" s="49"/>
      <c r="Z1427" s="49"/>
      <c r="AA1427" s="49"/>
      <c r="AB1427" s="49"/>
      <c r="AC1427" s="49"/>
      <c r="AD1427" s="49"/>
      <c r="AE1427" s="49"/>
      <c r="AF1427" s="49"/>
      <c r="AG1427" s="49"/>
      <c r="AH1427" s="49" t="b">
        <f>IFERROR(__xludf.DUMMYFUNCTION("""COMPUTED_VALUE"""),FALSE)</f>
        <v>0</v>
      </c>
    </row>
    <row r="1428">
      <c r="A1428" s="49"/>
      <c r="B1428" s="49"/>
      <c r="C1428" s="49"/>
      <c r="D1428" s="49"/>
      <c r="E1428" s="49">
        <f>IFERROR(__xludf.DUMMYFUNCTION("""COMPUTED_VALUE"""),1.0)</f>
        <v>1</v>
      </c>
      <c r="F1428" s="112">
        <f>IFERROR(__xludf.DUMMYFUNCTION("""COMPUTED_VALUE"""),0.0)</f>
        <v>0</v>
      </c>
      <c r="G1428" s="49"/>
      <c r="H1428" s="49"/>
      <c r="I1428" s="49"/>
      <c r="J1428" s="49"/>
      <c r="K1428" s="49"/>
      <c r="L1428" s="49"/>
      <c r="M1428" s="49"/>
      <c r="N1428" s="49"/>
      <c r="O1428" s="49"/>
      <c r="P1428" s="49"/>
      <c r="Q1428" s="49"/>
      <c r="R1428" s="49"/>
      <c r="S1428" s="49"/>
      <c r="T1428" s="49"/>
      <c r="U1428" s="49"/>
      <c r="V1428" s="49"/>
      <c r="W1428" s="49"/>
      <c r="X1428" s="49"/>
      <c r="Y1428" s="49"/>
      <c r="Z1428" s="49"/>
      <c r="AA1428" s="49"/>
      <c r="AB1428" s="49"/>
      <c r="AC1428" s="49"/>
      <c r="AD1428" s="49"/>
      <c r="AE1428" s="49"/>
      <c r="AF1428" s="49"/>
      <c r="AG1428" s="49"/>
      <c r="AH1428" s="49" t="b">
        <f>IFERROR(__xludf.DUMMYFUNCTION("""COMPUTED_VALUE"""),FALSE)</f>
        <v>0</v>
      </c>
    </row>
    <row r="1429">
      <c r="A1429" s="49"/>
      <c r="B1429" s="49"/>
      <c r="C1429" s="49"/>
      <c r="D1429" s="49"/>
      <c r="E1429" s="49">
        <f>IFERROR(__xludf.DUMMYFUNCTION("""COMPUTED_VALUE"""),1.0)</f>
        <v>1</v>
      </c>
      <c r="F1429" s="112">
        <f>IFERROR(__xludf.DUMMYFUNCTION("""COMPUTED_VALUE"""),0.0)</f>
        <v>0</v>
      </c>
      <c r="G1429" s="49"/>
      <c r="H1429" s="49"/>
      <c r="I1429" s="49"/>
      <c r="J1429" s="49"/>
      <c r="K1429" s="49"/>
      <c r="L1429" s="49"/>
      <c r="M1429" s="49"/>
      <c r="N1429" s="49"/>
      <c r="O1429" s="49"/>
      <c r="P1429" s="49"/>
      <c r="Q1429" s="49"/>
      <c r="R1429" s="49"/>
      <c r="S1429" s="49"/>
      <c r="T1429" s="49"/>
      <c r="U1429" s="49"/>
      <c r="V1429" s="49"/>
      <c r="W1429" s="49"/>
      <c r="X1429" s="49"/>
      <c r="Y1429" s="49"/>
      <c r="Z1429" s="49"/>
      <c r="AA1429" s="49"/>
      <c r="AB1429" s="49"/>
      <c r="AC1429" s="49"/>
      <c r="AD1429" s="49"/>
      <c r="AE1429" s="49"/>
      <c r="AF1429" s="49"/>
      <c r="AG1429" s="49"/>
      <c r="AH1429" s="49" t="b">
        <f>IFERROR(__xludf.DUMMYFUNCTION("""COMPUTED_VALUE"""),FALSE)</f>
        <v>0</v>
      </c>
    </row>
    <row r="1430">
      <c r="A1430" s="49"/>
      <c r="B1430" s="49"/>
      <c r="C1430" s="49"/>
      <c r="D1430" s="49"/>
      <c r="E1430" s="49">
        <f>IFERROR(__xludf.DUMMYFUNCTION("""COMPUTED_VALUE"""),1.0)</f>
        <v>1</v>
      </c>
      <c r="F1430" s="112">
        <f>IFERROR(__xludf.DUMMYFUNCTION("""COMPUTED_VALUE"""),0.0)</f>
        <v>0</v>
      </c>
      <c r="G1430" s="49"/>
      <c r="H1430" s="49"/>
      <c r="I1430" s="49"/>
      <c r="J1430" s="49"/>
      <c r="K1430" s="49"/>
      <c r="L1430" s="49"/>
      <c r="M1430" s="49"/>
      <c r="N1430" s="49"/>
      <c r="O1430" s="49"/>
      <c r="P1430" s="49"/>
      <c r="Q1430" s="49"/>
      <c r="R1430" s="49"/>
      <c r="S1430" s="49"/>
      <c r="T1430" s="49"/>
      <c r="U1430" s="49"/>
      <c r="V1430" s="49"/>
      <c r="W1430" s="49"/>
      <c r="X1430" s="49"/>
      <c r="Y1430" s="49"/>
      <c r="Z1430" s="49"/>
      <c r="AA1430" s="49"/>
      <c r="AB1430" s="49"/>
      <c r="AC1430" s="49"/>
      <c r="AD1430" s="49"/>
      <c r="AE1430" s="49"/>
      <c r="AF1430" s="49"/>
      <c r="AG1430" s="49"/>
      <c r="AH1430" s="49" t="b">
        <f>IFERROR(__xludf.DUMMYFUNCTION("""COMPUTED_VALUE"""),FALSE)</f>
        <v>0</v>
      </c>
    </row>
    <row r="1431">
      <c r="A1431" s="49"/>
      <c r="B1431" s="49"/>
      <c r="C1431" s="49"/>
      <c r="D1431" s="49"/>
      <c r="E1431" s="49">
        <f>IFERROR(__xludf.DUMMYFUNCTION("""COMPUTED_VALUE"""),1.0)</f>
        <v>1</v>
      </c>
      <c r="F1431" s="112">
        <f>IFERROR(__xludf.DUMMYFUNCTION("""COMPUTED_VALUE"""),0.0)</f>
        <v>0</v>
      </c>
      <c r="G1431" s="49"/>
      <c r="H1431" s="49"/>
      <c r="I1431" s="49"/>
      <c r="J1431" s="49"/>
      <c r="K1431" s="49"/>
      <c r="L1431" s="49"/>
      <c r="M1431" s="49"/>
      <c r="N1431" s="49"/>
      <c r="O1431" s="49"/>
      <c r="P1431" s="49"/>
      <c r="Q1431" s="49"/>
      <c r="R1431" s="49"/>
      <c r="S1431" s="49"/>
      <c r="T1431" s="49"/>
      <c r="U1431" s="49"/>
      <c r="V1431" s="49"/>
      <c r="W1431" s="49"/>
      <c r="X1431" s="49"/>
      <c r="Y1431" s="49"/>
      <c r="Z1431" s="49"/>
      <c r="AA1431" s="49"/>
      <c r="AB1431" s="49"/>
      <c r="AC1431" s="49"/>
      <c r="AD1431" s="49"/>
      <c r="AE1431" s="49"/>
      <c r="AF1431" s="49"/>
      <c r="AG1431" s="49"/>
      <c r="AH1431" s="49" t="b">
        <f>IFERROR(__xludf.DUMMYFUNCTION("""COMPUTED_VALUE"""),FALSE)</f>
        <v>0</v>
      </c>
    </row>
    <row r="1432">
      <c r="A1432" s="49"/>
      <c r="B1432" s="49"/>
      <c r="C1432" s="49"/>
      <c r="D1432" s="49"/>
      <c r="E1432" s="49">
        <f>IFERROR(__xludf.DUMMYFUNCTION("""COMPUTED_VALUE"""),1.0)</f>
        <v>1</v>
      </c>
      <c r="F1432" s="112">
        <f>IFERROR(__xludf.DUMMYFUNCTION("""COMPUTED_VALUE"""),0.0)</f>
        <v>0</v>
      </c>
      <c r="G1432" s="49"/>
      <c r="H1432" s="49"/>
      <c r="I1432" s="49"/>
      <c r="J1432" s="49"/>
      <c r="K1432" s="49"/>
      <c r="L1432" s="49"/>
      <c r="M1432" s="49"/>
      <c r="N1432" s="49"/>
      <c r="O1432" s="49"/>
      <c r="P1432" s="49"/>
      <c r="Q1432" s="49"/>
      <c r="R1432" s="49"/>
      <c r="S1432" s="49"/>
      <c r="T1432" s="49"/>
      <c r="U1432" s="49"/>
      <c r="V1432" s="49"/>
      <c r="W1432" s="49"/>
      <c r="X1432" s="49"/>
      <c r="Y1432" s="49"/>
      <c r="Z1432" s="49"/>
      <c r="AA1432" s="49"/>
      <c r="AB1432" s="49"/>
      <c r="AC1432" s="49"/>
      <c r="AD1432" s="49"/>
      <c r="AE1432" s="49"/>
      <c r="AF1432" s="49"/>
      <c r="AG1432" s="49"/>
      <c r="AH1432" s="49" t="b">
        <f>IFERROR(__xludf.DUMMYFUNCTION("""COMPUTED_VALUE"""),FALSE)</f>
        <v>0</v>
      </c>
    </row>
    <row r="1433">
      <c r="A1433" s="49"/>
      <c r="B1433" s="49"/>
      <c r="C1433" s="49"/>
      <c r="D1433" s="49"/>
      <c r="E1433" s="49">
        <f>IFERROR(__xludf.DUMMYFUNCTION("""COMPUTED_VALUE"""),1.0)</f>
        <v>1</v>
      </c>
      <c r="F1433" s="112">
        <f>IFERROR(__xludf.DUMMYFUNCTION("""COMPUTED_VALUE"""),0.0)</f>
        <v>0</v>
      </c>
      <c r="G1433" s="49"/>
      <c r="H1433" s="49"/>
      <c r="I1433" s="49"/>
      <c r="J1433" s="49"/>
      <c r="K1433" s="49"/>
      <c r="L1433" s="49"/>
      <c r="M1433" s="49"/>
      <c r="N1433" s="49"/>
      <c r="O1433" s="49"/>
      <c r="P1433" s="49"/>
      <c r="Q1433" s="49"/>
      <c r="R1433" s="49"/>
      <c r="S1433" s="49"/>
      <c r="T1433" s="49"/>
      <c r="U1433" s="49"/>
      <c r="V1433" s="49"/>
      <c r="W1433" s="49"/>
      <c r="X1433" s="49"/>
      <c r="Y1433" s="49"/>
      <c r="Z1433" s="49"/>
      <c r="AA1433" s="49"/>
      <c r="AB1433" s="49"/>
      <c r="AC1433" s="49"/>
      <c r="AD1433" s="49"/>
      <c r="AE1433" s="49"/>
      <c r="AF1433" s="49"/>
      <c r="AG1433" s="49"/>
      <c r="AH1433" s="49" t="b">
        <f>IFERROR(__xludf.DUMMYFUNCTION("""COMPUTED_VALUE"""),FALSE)</f>
        <v>0</v>
      </c>
    </row>
    <row r="1434">
      <c r="A1434" s="49"/>
      <c r="B1434" s="49"/>
      <c r="C1434" s="49"/>
      <c r="D1434" s="49"/>
      <c r="E1434" s="49">
        <f>IFERROR(__xludf.DUMMYFUNCTION("""COMPUTED_VALUE"""),1.0)</f>
        <v>1</v>
      </c>
      <c r="F1434" s="112">
        <f>IFERROR(__xludf.DUMMYFUNCTION("""COMPUTED_VALUE"""),0.0)</f>
        <v>0</v>
      </c>
      <c r="G1434" s="49"/>
      <c r="H1434" s="49"/>
      <c r="I1434" s="49"/>
      <c r="J1434" s="49"/>
      <c r="K1434" s="49"/>
      <c r="L1434" s="49"/>
      <c r="M1434" s="49"/>
      <c r="N1434" s="49"/>
      <c r="O1434" s="49"/>
      <c r="P1434" s="49"/>
      <c r="Q1434" s="49"/>
      <c r="R1434" s="49"/>
      <c r="S1434" s="49"/>
      <c r="T1434" s="49"/>
      <c r="U1434" s="49"/>
      <c r="V1434" s="49"/>
      <c r="W1434" s="49"/>
      <c r="X1434" s="49"/>
      <c r="Y1434" s="49"/>
      <c r="Z1434" s="49"/>
      <c r="AA1434" s="49"/>
      <c r="AB1434" s="49"/>
      <c r="AC1434" s="49"/>
      <c r="AD1434" s="49"/>
      <c r="AE1434" s="49"/>
      <c r="AF1434" s="49"/>
      <c r="AG1434" s="49"/>
      <c r="AH1434" s="49" t="b">
        <f>IFERROR(__xludf.DUMMYFUNCTION("""COMPUTED_VALUE"""),FALSE)</f>
        <v>0</v>
      </c>
    </row>
    <row r="1435">
      <c r="A1435" s="49"/>
      <c r="B1435" s="49"/>
      <c r="C1435" s="49"/>
      <c r="D1435" s="49"/>
      <c r="E1435" s="49">
        <f>IFERROR(__xludf.DUMMYFUNCTION("""COMPUTED_VALUE"""),1.0)</f>
        <v>1</v>
      </c>
      <c r="F1435" s="112">
        <f>IFERROR(__xludf.DUMMYFUNCTION("""COMPUTED_VALUE"""),0.0)</f>
        <v>0</v>
      </c>
      <c r="G1435" s="49"/>
      <c r="H1435" s="49"/>
      <c r="I1435" s="49"/>
      <c r="J1435" s="49"/>
      <c r="K1435" s="49"/>
      <c r="L1435" s="49"/>
      <c r="M1435" s="49"/>
      <c r="N1435" s="49"/>
      <c r="O1435" s="49"/>
      <c r="P1435" s="49"/>
      <c r="Q1435" s="49"/>
      <c r="R1435" s="49"/>
      <c r="S1435" s="49"/>
      <c r="T1435" s="49"/>
      <c r="U1435" s="49"/>
      <c r="V1435" s="49"/>
      <c r="W1435" s="49"/>
      <c r="X1435" s="49"/>
      <c r="Y1435" s="49"/>
      <c r="Z1435" s="49"/>
      <c r="AA1435" s="49"/>
      <c r="AB1435" s="49"/>
      <c r="AC1435" s="49"/>
      <c r="AD1435" s="49"/>
      <c r="AE1435" s="49"/>
      <c r="AF1435" s="49"/>
      <c r="AG1435" s="49"/>
      <c r="AH1435" s="49" t="b">
        <f>IFERROR(__xludf.DUMMYFUNCTION("""COMPUTED_VALUE"""),FALSE)</f>
        <v>0</v>
      </c>
    </row>
    <row r="1436">
      <c r="A1436" s="49"/>
      <c r="B1436" s="49"/>
      <c r="C1436" s="49"/>
      <c r="D1436" s="49"/>
      <c r="E1436" s="49">
        <f>IFERROR(__xludf.DUMMYFUNCTION("""COMPUTED_VALUE"""),1.0)</f>
        <v>1</v>
      </c>
      <c r="F1436" s="112">
        <f>IFERROR(__xludf.DUMMYFUNCTION("""COMPUTED_VALUE"""),0.0)</f>
        <v>0</v>
      </c>
      <c r="G1436" s="49"/>
      <c r="H1436" s="49"/>
      <c r="I1436" s="49"/>
      <c r="J1436" s="49"/>
      <c r="K1436" s="49"/>
      <c r="L1436" s="49"/>
      <c r="M1436" s="49"/>
      <c r="N1436" s="49"/>
      <c r="O1436" s="49"/>
      <c r="P1436" s="49"/>
      <c r="Q1436" s="49"/>
      <c r="R1436" s="49"/>
      <c r="S1436" s="49"/>
      <c r="T1436" s="49"/>
      <c r="U1436" s="49"/>
      <c r="V1436" s="49"/>
      <c r="W1436" s="49"/>
      <c r="X1436" s="49"/>
      <c r="Y1436" s="49"/>
      <c r="Z1436" s="49"/>
      <c r="AA1436" s="49"/>
      <c r="AB1436" s="49"/>
      <c r="AC1436" s="49"/>
      <c r="AD1436" s="49"/>
      <c r="AE1436" s="49"/>
      <c r="AF1436" s="49"/>
      <c r="AG1436" s="49"/>
      <c r="AH1436" s="49" t="b">
        <f>IFERROR(__xludf.DUMMYFUNCTION("""COMPUTED_VALUE"""),FALSE)</f>
        <v>0</v>
      </c>
    </row>
    <row r="1437">
      <c r="A1437" s="49"/>
      <c r="B1437" s="49"/>
      <c r="C1437" s="49"/>
      <c r="D1437" s="49"/>
      <c r="E1437" s="49">
        <f>IFERROR(__xludf.DUMMYFUNCTION("""COMPUTED_VALUE"""),1.0)</f>
        <v>1</v>
      </c>
      <c r="F1437" s="112">
        <f>IFERROR(__xludf.DUMMYFUNCTION("""COMPUTED_VALUE"""),0.0)</f>
        <v>0</v>
      </c>
      <c r="G1437" s="49"/>
      <c r="H1437" s="49"/>
      <c r="I1437" s="49"/>
      <c r="J1437" s="49"/>
      <c r="K1437" s="49"/>
      <c r="L1437" s="49"/>
      <c r="M1437" s="49"/>
      <c r="N1437" s="49"/>
      <c r="O1437" s="49"/>
      <c r="P1437" s="49"/>
      <c r="Q1437" s="49"/>
      <c r="R1437" s="49"/>
      <c r="S1437" s="49"/>
      <c r="T1437" s="49"/>
      <c r="U1437" s="49"/>
      <c r="V1437" s="49"/>
      <c r="W1437" s="49"/>
      <c r="X1437" s="49"/>
      <c r="Y1437" s="49"/>
      <c r="Z1437" s="49"/>
      <c r="AA1437" s="49"/>
      <c r="AB1437" s="49"/>
      <c r="AC1437" s="49"/>
      <c r="AD1437" s="49"/>
      <c r="AE1437" s="49"/>
      <c r="AF1437" s="49"/>
      <c r="AG1437" s="49"/>
      <c r="AH1437" s="49" t="b">
        <f>IFERROR(__xludf.DUMMYFUNCTION("""COMPUTED_VALUE"""),FALSE)</f>
        <v>0</v>
      </c>
    </row>
    <row r="1438">
      <c r="A1438" s="49"/>
      <c r="B1438" s="49"/>
      <c r="C1438" s="49"/>
      <c r="D1438" s="49"/>
      <c r="E1438" s="49">
        <f>IFERROR(__xludf.DUMMYFUNCTION("""COMPUTED_VALUE"""),1.0)</f>
        <v>1</v>
      </c>
      <c r="F1438" s="112">
        <f>IFERROR(__xludf.DUMMYFUNCTION("""COMPUTED_VALUE"""),0.0)</f>
        <v>0</v>
      </c>
      <c r="G1438" s="49"/>
      <c r="H1438" s="49"/>
      <c r="I1438" s="49"/>
      <c r="J1438" s="49"/>
      <c r="K1438" s="49"/>
      <c r="L1438" s="49"/>
      <c r="M1438" s="49"/>
      <c r="N1438" s="49"/>
      <c r="O1438" s="49"/>
      <c r="P1438" s="49"/>
      <c r="Q1438" s="49"/>
      <c r="R1438" s="49"/>
      <c r="S1438" s="49"/>
      <c r="T1438" s="49"/>
      <c r="U1438" s="49"/>
      <c r="V1438" s="49"/>
      <c r="W1438" s="49"/>
      <c r="X1438" s="49"/>
      <c r="Y1438" s="49"/>
      <c r="Z1438" s="49"/>
      <c r="AA1438" s="49"/>
      <c r="AB1438" s="49"/>
      <c r="AC1438" s="49"/>
      <c r="AD1438" s="49"/>
      <c r="AE1438" s="49"/>
      <c r="AF1438" s="49"/>
      <c r="AG1438" s="49"/>
      <c r="AH1438" s="49" t="b">
        <f>IFERROR(__xludf.DUMMYFUNCTION("""COMPUTED_VALUE"""),FALSE)</f>
        <v>0</v>
      </c>
    </row>
    <row r="1439">
      <c r="A1439" s="49"/>
      <c r="B1439" s="49"/>
      <c r="C1439" s="49"/>
      <c r="D1439" s="49"/>
      <c r="E1439" s="49">
        <f>IFERROR(__xludf.DUMMYFUNCTION("""COMPUTED_VALUE"""),1.0)</f>
        <v>1</v>
      </c>
      <c r="F1439" s="112">
        <f>IFERROR(__xludf.DUMMYFUNCTION("""COMPUTED_VALUE"""),0.0)</f>
        <v>0</v>
      </c>
      <c r="G1439" s="49"/>
      <c r="H1439" s="49"/>
      <c r="I1439" s="49"/>
      <c r="J1439" s="49"/>
      <c r="K1439" s="49"/>
      <c r="L1439" s="49"/>
      <c r="M1439" s="49"/>
      <c r="N1439" s="49"/>
      <c r="O1439" s="49"/>
      <c r="P1439" s="49"/>
      <c r="Q1439" s="49"/>
      <c r="R1439" s="49"/>
      <c r="S1439" s="49"/>
      <c r="T1439" s="49"/>
      <c r="U1439" s="49"/>
      <c r="V1439" s="49"/>
      <c r="W1439" s="49"/>
      <c r="X1439" s="49"/>
      <c r="Y1439" s="49"/>
      <c r="Z1439" s="49"/>
      <c r="AA1439" s="49"/>
      <c r="AB1439" s="49"/>
      <c r="AC1439" s="49"/>
      <c r="AD1439" s="49"/>
      <c r="AE1439" s="49"/>
      <c r="AF1439" s="49"/>
      <c r="AG1439" s="49"/>
      <c r="AH1439" s="49" t="b">
        <f>IFERROR(__xludf.DUMMYFUNCTION("""COMPUTED_VALUE"""),FALSE)</f>
        <v>0</v>
      </c>
    </row>
    <row r="1440">
      <c r="A1440" s="49"/>
      <c r="B1440" s="49"/>
      <c r="C1440" s="49"/>
      <c r="D1440" s="49"/>
      <c r="E1440" s="49">
        <f>IFERROR(__xludf.DUMMYFUNCTION("""COMPUTED_VALUE"""),1.0)</f>
        <v>1</v>
      </c>
      <c r="F1440" s="112">
        <f>IFERROR(__xludf.DUMMYFUNCTION("""COMPUTED_VALUE"""),0.0)</f>
        <v>0</v>
      </c>
      <c r="G1440" s="49"/>
      <c r="H1440" s="49"/>
      <c r="I1440" s="49"/>
      <c r="J1440" s="49"/>
      <c r="K1440" s="49"/>
      <c r="L1440" s="49"/>
      <c r="M1440" s="49"/>
      <c r="N1440" s="49"/>
      <c r="O1440" s="49"/>
      <c r="P1440" s="49"/>
      <c r="Q1440" s="49"/>
      <c r="R1440" s="49"/>
      <c r="S1440" s="49"/>
      <c r="T1440" s="49"/>
      <c r="U1440" s="49"/>
      <c r="V1440" s="49"/>
      <c r="W1440" s="49"/>
      <c r="X1440" s="49"/>
      <c r="Y1440" s="49"/>
      <c r="Z1440" s="49"/>
      <c r="AA1440" s="49"/>
      <c r="AB1440" s="49"/>
      <c r="AC1440" s="49"/>
      <c r="AD1440" s="49"/>
      <c r="AE1440" s="49"/>
      <c r="AF1440" s="49"/>
      <c r="AG1440" s="49"/>
      <c r="AH1440" s="49" t="b">
        <f>IFERROR(__xludf.DUMMYFUNCTION("""COMPUTED_VALUE"""),FALSE)</f>
        <v>0</v>
      </c>
    </row>
    <row r="1441">
      <c r="A1441" s="49"/>
      <c r="B1441" s="49"/>
      <c r="C1441" s="49"/>
      <c r="D1441" s="49"/>
      <c r="E1441" s="49">
        <f>IFERROR(__xludf.DUMMYFUNCTION("""COMPUTED_VALUE"""),1.0)</f>
        <v>1</v>
      </c>
      <c r="F1441" s="112">
        <f>IFERROR(__xludf.DUMMYFUNCTION("""COMPUTED_VALUE"""),0.0)</f>
        <v>0</v>
      </c>
      <c r="G1441" s="49"/>
      <c r="H1441" s="49"/>
      <c r="I1441" s="49"/>
      <c r="J1441" s="49"/>
      <c r="K1441" s="49"/>
      <c r="L1441" s="49"/>
      <c r="M1441" s="49"/>
      <c r="N1441" s="49"/>
      <c r="O1441" s="49"/>
      <c r="P1441" s="49"/>
      <c r="Q1441" s="49"/>
      <c r="R1441" s="49"/>
      <c r="S1441" s="49"/>
      <c r="T1441" s="49"/>
      <c r="U1441" s="49"/>
      <c r="V1441" s="49"/>
      <c r="W1441" s="49"/>
      <c r="X1441" s="49"/>
      <c r="Y1441" s="49"/>
      <c r="Z1441" s="49"/>
      <c r="AA1441" s="49"/>
      <c r="AB1441" s="49"/>
      <c r="AC1441" s="49"/>
      <c r="AD1441" s="49"/>
      <c r="AE1441" s="49"/>
      <c r="AF1441" s="49"/>
      <c r="AG1441" s="49"/>
      <c r="AH1441" s="49" t="b">
        <f>IFERROR(__xludf.DUMMYFUNCTION("""COMPUTED_VALUE"""),FALSE)</f>
        <v>0</v>
      </c>
    </row>
    <row r="1442">
      <c r="A1442" s="49"/>
      <c r="B1442" s="49"/>
      <c r="C1442" s="49"/>
      <c r="D1442" s="49"/>
      <c r="E1442" s="49">
        <f>IFERROR(__xludf.DUMMYFUNCTION("""COMPUTED_VALUE"""),1.0)</f>
        <v>1</v>
      </c>
      <c r="F1442" s="112">
        <f>IFERROR(__xludf.DUMMYFUNCTION("""COMPUTED_VALUE"""),0.0)</f>
        <v>0</v>
      </c>
      <c r="G1442" s="49"/>
      <c r="H1442" s="49"/>
      <c r="I1442" s="49"/>
      <c r="J1442" s="49"/>
      <c r="K1442" s="49"/>
      <c r="L1442" s="49"/>
      <c r="M1442" s="49"/>
      <c r="N1442" s="49"/>
      <c r="O1442" s="49"/>
      <c r="P1442" s="49"/>
      <c r="Q1442" s="49"/>
      <c r="R1442" s="49"/>
      <c r="S1442" s="49"/>
      <c r="T1442" s="49"/>
      <c r="U1442" s="49"/>
      <c r="V1442" s="49"/>
      <c r="W1442" s="49"/>
      <c r="X1442" s="49"/>
      <c r="Y1442" s="49"/>
      <c r="Z1442" s="49"/>
      <c r="AA1442" s="49"/>
      <c r="AB1442" s="49"/>
      <c r="AC1442" s="49"/>
      <c r="AD1442" s="49"/>
      <c r="AE1442" s="49"/>
      <c r="AF1442" s="49"/>
      <c r="AG1442" s="49"/>
      <c r="AH1442" s="49" t="b">
        <f>IFERROR(__xludf.DUMMYFUNCTION("""COMPUTED_VALUE"""),FALSE)</f>
        <v>0</v>
      </c>
    </row>
    <row r="1443">
      <c r="A1443" s="49"/>
      <c r="B1443" s="49"/>
      <c r="C1443" s="49"/>
      <c r="D1443" s="49"/>
      <c r="E1443" s="49">
        <f>IFERROR(__xludf.DUMMYFUNCTION("""COMPUTED_VALUE"""),1.0)</f>
        <v>1</v>
      </c>
      <c r="F1443" s="112">
        <f>IFERROR(__xludf.DUMMYFUNCTION("""COMPUTED_VALUE"""),0.0)</f>
        <v>0</v>
      </c>
      <c r="G1443" s="49"/>
      <c r="H1443" s="49"/>
      <c r="I1443" s="49"/>
      <c r="J1443" s="49"/>
      <c r="K1443" s="49"/>
      <c r="L1443" s="49"/>
      <c r="M1443" s="49"/>
      <c r="N1443" s="49"/>
      <c r="O1443" s="49"/>
      <c r="P1443" s="49"/>
      <c r="Q1443" s="49"/>
      <c r="R1443" s="49"/>
      <c r="S1443" s="49"/>
      <c r="T1443" s="49"/>
      <c r="U1443" s="49"/>
      <c r="V1443" s="49"/>
      <c r="W1443" s="49"/>
      <c r="X1443" s="49"/>
      <c r="Y1443" s="49"/>
      <c r="Z1443" s="49"/>
      <c r="AA1443" s="49"/>
      <c r="AB1443" s="49"/>
      <c r="AC1443" s="49"/>
      <c r="AD1443" s="49"/>
      <c r="AE1443" s="49"/>
      <c r="AF1443" s="49"/>
      <c r="AG1443" s="49"/>
      <c r="AH1443" s="49" t="b">
        <f>IFERROR(__xludf.DUMMYFUNCTION("""COMPUTED_VALUE"""),FALSE)</f>
        <v>0</v>
      </c>
    </row>
    <row r="1444">
      <c r="A1444" s="49"/>
      <c r="B1444" s="49"/>
      <c r="C1444" s="49"/>
      <c r="D1444" s="49"/>
      <c r="E1444" s="49">
        <f>IFERROR(__xludf.DUMMYFUNCTION("""COMPUTED_VALUE"""),1.0)</f>
        <v>1</v>
      </c>
      <c r="F1444" s="112">
        <f>IFERROR(__xludf.DUMMYFUNCTION("""COMPUTED_VALUE"""),0.0)</f>
        <v>0</v>
      </c>
      <c r="G1444" s="49"/>
      <c r="H1444" s="49"/>
      <c r="I1444" s="49"/>
      <c r="J1444" s="49"/>
      <c r="K1444" s="49"/>
      <c r="L1444" s="49"/>
      <c r="M1444" s="49"/>
      <c r="N1444" s="49"/>
      <c r="O1444" s="49"/>
      <c r="P1444" s="49"/>
      <c r="Q1444" s="49"/>
      <c r="R1444" s="49"/>
      <c r="S1444" s="49"/>
      <c r="T1444" s="49"/>
      <c r="U1444" s="49"/>
      <c r="V1444" s="49"/>
      <c r="W1444" s="49"/>
      <c r="X1444" s="49"/>
      <c r="Y1444" s="49"/>
      <c r="Z1444" s="49"/>
      <c r="AA1444" s="49"/>
      <c r="AB1444" s="49"/>
      <c r="AC1444" s="49"/>
      <c r="AD1444" s="49"/>
      <c r="AE1444" s="49"/>
      <c r="AF1444" s="49"/>
      <c r="AG1444" s="49"/>
      <c r="AH1444" s="49" t="b">
        <f>IFERROR(__xludf.DUMMYFUNCTION("""COMPUTED_VALUE"""),FALSE)</f>
        <v>0</v>
      </c>
    </row>
    <row r="1445">
      <c r="A1445" s="49"/>
      <c r="B1445" s="49"/>
      <c r="C1445" s="49"/>
      <c r="D1445" s="49"/>
      <c r="E1445" s="49">
        <f>IFERROR(__xludf.DUMMYFUNCTION("""COMPUTED_VALUE"""),1.0)</f>
        <v>1</v>
      </c>
      <c r="F1445" s="112">
        <f>IFERROR(__xludf.DUMMYFUNCTION("""COMPUTED_VALUE"""),0.0)</f>
        <v>0</v>
      </c>
      <c r="G1445" s="49"/>
      <c r="H1445" s="49"/>
      <c r="I1445" s="49"/>
      <c r="J1445" s="49"/>
      <c r="K1445" s="49"/>
      <c r="L1445" s="49"/>
      <c r="M1445" s="49"/>
      <c r="N1445" s="49"/>
      <c r="O1445" s="49"/>
      <c r="P1445" s="49"/>
      <c r="Q1445" s="49"/>
      <c r="R1445" s="49"/>
      <c r="S1445" s="49"/>
      <c r="T1445" s="49"/>
      <c r="U1445" s="49"/>
      <c r="V1445" s="49"/>
      <c r="W1445" s="49"/>
      <c r="X1445" s="49"/>
      <c r="Y1445" s="49"/>
      <c r="Z1445" s="49"/>
      <c r="AA1445" s="49"/>
      <c r="AB1445" s="49"/>
      <c r="AC1445" s="49"/>
      <c r="AD1445" s="49"/>
      <c r="AE1445" s="49"/>
      <c r="AF1445" s="49"/>
      <c r="AG1445" s="49"/>
      <c r="AH1445" s="49" t="b">
        <f>IFERROR(__xludf.DUMMYFUNCTION("""COMPUTED_VALUE"""),FALSE)</f>
        <v>0</v>
      </c>
    </row>
    <row r="1446">
      <c r="A1446" s="49"/>
      <c r="B1446" s="49"/>
      <c r="C1446" s="49"/>
      <c r="D1446" s="49"/>
      <c r="E1446" s="49">
        <f>IFERROR(__xludf.DUMMYFUNCTION("""COMPUTED_VALUE"""),1.0)</f>
        <v>1</v>
      </c>
      <c r="F1446" s="112">
        <f>IFERROR(__xludf.DUMMYFUNCTION("""COMPUTED_VALUE"""),0.0)</f>
        <v>0</v>
      </c>
      <c r="G1446" s="49"/>
      <c r="H1446" s="49"/>
      <c r="I1446" s="49"/>
      <c r="J1446" s="49"/>
      <c r="K1446" s="49"/>
      <c r="L1446" s="49"/>
      <c r="M1446" s="49"/>
      <c r="N1446" s="49"/>
      <c r="O1446" s="49"/>
      <c r="P1446" s="49"/>
      <c r="Q1446" s="49"/>
      <c r="R1446" s="49"/>
      <c r="S1446" s="49"/>
      <c r="T1446" s="49"/>
      <c r="U1446" s="49"/>
      <c r="V1446" s="49"/>
      <c r="W1446" s="49"/>
      <c r="X1446" s="49"/>
      <c r="Y1446" s="49"/>
      <c r="Z1446" s="49"/>
      <c r="AA1446" s="49"/>
      <c r="AB1446" s="49"/>
      <c r="AC1446" s="49"/>
      <c r="AD1446" s="49"/>
      <c r="AE1446" s="49"/>
      <c r="AF1446" s="49"/>
      <c r="AG1446" s="49"/>
      <c r="AH1446" s="49" t="b">
        <f>IFERROR(__xludf.DUMMYFUNCTION("""COMPUTED_VALUE"""),FALSE)</f>
        <v>0</v>
      </c>
    </row>
    <row r="1447">
      <c r="A1447" s="49"/>
      <c r="B1447" s="49"/>
      <c r="C1447" s="49"/>
      <c r="D1447" s="49"/>
      <c r="E1447" s="49">
        <f>IFERROR(__xludf.DUMMYFUNCTION("""COMPUTED_VALUE"""),1.0)</f>
        <v>1</v>
      </c>
      <c r="F1447" s="112">
        <f>IFERROR(__xludf.DUMMYFUNCTION("""COMPUTED_VALUE"""),0.0)</f>
        <v>0</v>
      </c>
      <c r="G1447" s="49"/>
      <c r="H1447" s="49"/>
      <c r="I1447" s="49"/>
      <c r="J1447" s="49"/>
      <c r="K1447" s="49"/>
      <c r="L1447" s="49"/>
      <c r="M1447" s="49"/>
      <c r="N1447" s="49"/>
      <c r="O1447" s="49"/>
      <c r="P1447" s="49"/>
      <c r="Q1447" s="49"/>
      <c r="R1447" s="49"/>
      <c r="S1447" s="49"/>
      <c r="T1447" s="49"/>
      <c r="U1447" s="49"/>
      <c r="V1447" s="49"/>
      <c r="W1447" s="49"/>
      <c r="X1447" s="49"/>
      <c r="Y1447" s="49"/>
      <c r="Z1447" s="49"/>
      <c r="AA1447" s="49"/>
      <c r="AB1447" s="49"/>
      <c r="AC1447" s="49"/>
      <c r="AD1447" s="49"/>
      <c r="AE1447" s="49"/>
      <c r="AF1447" s="49"/>
      <c r="AG1447" s="49"/>
      <c r="AH1447" s="49" t="b">
        <f>IFERROR(__xludf.DUMMYFUNCTION("""COMPUTED_VALUE"""),FALSE)</f>
        <v>0</v>
      </c>
    </row>
    <row r="1448">
      <c r="A1448" s="49"/>
      <c r="B1448" s="49"/>
      <c r="C1448" s="49"/>
      <c r="D1448" s="49"/>
      <c r="E1448" s="49">
        <f>IFERROR(__xludf.DUMMYFUNCTION("""COMPUTED_VALUE"""),1.0)</f>
        <v>1</v>
      </c>
      <c r="F1448" s="112">
        <f>IFERROR(__xludf.DUMMYFUNCTION("""COMPUTED_VALUE"""),0.0)</f>
        <v>0</v>
      </c>
      <c r="G1448" s="49"/>
      <c r="H1448" s="49"/>
      <c r="I1448" s="49"/>
      <c r="J1448" s="49"/>
      <c r="K1448" s="49"/>
      <c r="L1448" s="49"/>
      <c r="M1448" s="49"/>
      <c r="N1448" s="49"/>
      <c r="O1448" s="49"/>
      <c r="P1448" s="49"/>
      <c r="Q1448" s="49"/>
      <c r="R1448" s="49"/>
      <c r="S1448" s="49"/>
      <c r="T1448" s="49"/>
      <c r="U1448" s="49"/>
      <c r="V1448" s="49"/>
      <c r="W1448" s="49"/>
      <c r="X1448" s="49"/>
      <c r="Y1448" s="49"/>
      <c r="Z1448" s="49"/>
      <c r="AA1448" s="49"/>
      <c r="AB1448" s="49"/>
      <c r="AC1448" s="49"/>
      <c r="AD1448" s="49"/>
      <c r="AE1448" s="49"/>
      <c r="AF1448" s="49"/>
      <c r="AG1448" s="49"/>
      <c r="AH1448" s="49" t="b">
        <f>IFERROR(__xludf.DUMMYFUNCTION("""COMPUTED_VALUE"""),FALSE)</f>
        <v>0</v>
      </c>
    </row>
    <row r="1449">
      <c r="A1449" s="49"/>
      <c r="B1449" s="49"/>
      <c r="C1449" s="49"/>
      <c r="D1449" s="49"/>
      <c r="E1449" s="49">
        <f>IFERROR(__xludf.DUMMYFUNCTION("""COMPUTED_VALUE"""),1.0)</f>
        <v>1</v>
      </c>
      <c r="F1449" s="112">
        <f>IFERROR(__xludf.DUMMYFUNCTION("""COMPUTED_VALUE"""),0.0)</f>
        <v>0</v>
      </c>
      <c r="G1449" s="49"/>
      <c r="H1449" s="49"/>
      <c r="I1449" s="49"/>
      <c r="J1449" s="49"/>
      <c r="K1449" s="49"/>
      <c r="L1449" s="49"/>
      <c r="M1449" s="49"/>
      <c r="N1449" s="49"/>
      <c r="O1449" s="49"/>
      <c r="P1449" s="49"/>
      <c r="Q1449" s="49"/>
      <c r="R1449" s="49"/>
      <c r="S1449" s="49"/>
      <c r="T1449" s="49"/>
      <c r="U1449" s="49"/>
      <c r="V1449" s="49"/>
      <c r="W1449" s="49"/>
      <c r="X1449" s="49"/>
      <c r="Y1449" s="49"/>
      <c r="Z1449" s="49"/>
      <c r="AA1449" s="49"/>
      <c r="AB1449" s="49"/>
      <c r="AC1449" s="49"/>
      <c r="AD1449" s="49"/>
      <c r="AE1449" s="49"/>
      <c r="AF1449" s="49"/>
      <c r="AG1449" s="49"/>
      <c r="AH1449" s="49" t="b">
        <f>IFERROR(__xludf.DUMMYFUNCTION("""COMPUTED_VALUE"""),FALSE)</f>
        <v>0</v>
      </c>
    </row>
    <row r="1450">
      <c r="A1450" s="49"/>
      <c r="B1450" s="49"/>
      <c r="C1450" s="49"/>
      <c r="D1450" s="49"/>
      <c r="E1450" s="49">
        <f>IFERROR(__xludf.DUMMYFUNCTION("""COMPUTED_VALUE"""),1.0)</f>
        <v>1</v>
      </c>
      <c r="F1450" s="112">
        <f>IFERROR(__xludf.DUMMYFUNCTION("""COMPUTED_VALUE"""),0.0)</f>
        <v>0</v>
      </c>
      <c r="G1450" s="49"/>
      <c r="H1450" s="49"/>
      <c r="I1450" s="49"/>
      <c r="J1450" s="49"/>
      <c r="K1450" s="49"/>
      <c r="L1450" s="49"/>
      <c r="M1450" s="49"/>
      <c r="N1450" s="49"/>
      <c r="O1450" s="49"/>
      <c r="P1450" s="49"/>
      <c r="Q1450" s="49"/>
      <c r="R1450" s="49"/>
      <c r="S1450" s="49"/>
      <c r="T1450" s="49"/>
      <c r="U1450" s="49"/>
      <c r="V1450" s="49"/>
      <c r="W1450" s="49"/>
      <c r="X1450" s="49"/>
      <c r="Y1450" s="49"/>
      <c r="Z1450" s="49"/>
      <c r="AA1450" s="49"/>
      <c r="AB1450" s="49"/>
      <c r="AC1450" s="49"/>
      <c r="AD1450" s="49"/>
      <c r="AE1450" s="49"/>
      <c r="AF1450" s="49"/>
      <c r="AG1450" s="49"/>
      <c r="AH1450" s="49" t="b">
        <f>IFERROR(__xludf.DUMMYFUNCTION("""COMPUTED_VALUE"""),FALSE)</f>
        <v>0</v>
      </c>
    </row>
    <row r="1451">
      <c r="A1451" s="49"/>
      <c r="B1451" s="49"/>
      <c r="C1451" s="49"/>
      <c r="D1451" s="49"/>
      <c r="E1451" s="49">
        <f>IFERROR(__xludf.DUMMYFUNCTION("""COMPUTED_VALUE"""),1.0)</f>
        <v>1</v>
      </c>
      <c r="F1451" s="112">
        <f>IFERROR(__xludf.DUMMYFUNCTION("""COMPUTED_VALUE"""),0.0)</f>
        <v>0</v>
      </c>
      <c r="G1451" s="49"/>
      <c r="H1451" s="49"/>
      <c r="I1451" s="49"/>
      <c r="J1451" s="49"/>
      <c r="K1451" s="49"/>
      <c r="L1451" s="49"/>
      <c r="M1451" s="49"/>
      <c r="N1451" s="49"/>
      <c r="O1451" s="49"/>
      <c r="P1451" s="49"/>
      <c r="Q1451" s="49"/>
      <c r="R1451" s="49"/>
      <c r="S1451" s="49"/>
      <c r="T1451" s="49"/>
      <c r="U1451" s="49"/>
      <c r="V1451" s="49"/>
      <c r="W1451" s="49"/>
      <c r="X1451" s="49"/>
      <c r="Y1451" s="49"/>
      <c r="Z1451" s="49"/>
      <c r="AA1451" s="49"/>
      <c r="AB1451" s="49"/>
      <c r="AC1451" s="49"/>
      <c r="AD1451" s="49"/>
      <c r="AE1451" s="49"/>
      <c r="AF1451" s="49"/>
      <c r="AG1451" s="49"/>
      <c r="AH1451" s="49" t="b">
        <f>IFERROR(__xludf.DUMMYFUNCTION("""COMPUTED_VALUE"""),FALSE)</f>
        <v>0</v>
      </c>
    </row>
    <row r="1452">
      <c r="A1452" s="49"/>
      <c r="B1452" s="49"/>
      <c r="C1452" s="49"/>
      <c r="D1452" s="49"/>
      <c r="E1452" s="49">
        <f>IFERROR(__xludf.DUMMYFUNCTION("""COMPUTED_VALUE"""),1.0)</f>
        <v>1</v>
      </c>
      <c r="F1452" s="112">
        <f>IFERROR(__xludf.DUMMYFUNCTION("""COMPUTED_VALUE"""),0.0)</f>
        <v>0</v>
      </c>
      <c r="G1452" s="49"/>
      <c r="H1452" s="49"/>
      <c r="I1452" s="49"/>
      <c r="J1452" s="49"/>
      <c r="K1452" s="49"/>
      <c r="L1452" s="49"/>
      <c r="M1452" s="49"/>
      <c r="N1452" s="49"/>
      <c r="O1452" s="49"/>
      <c r="P1452" s="49"/>
      <c r="Q1452" s="49"/>
      <c r="R1452" s="49"/>
      <c r="S1452" s="49"/>
      <c r="T1452" s="49"/>
      <c r="U1452" s="49"/>
      <c r="V1452" s="49"/>
      <c r="W1452" s="49"/>
      <c r="X1452" s="49"/>
      <c r="Y1452" s="49"/>
      <c r="Z1452" s="49"/>
      <c r="AA1452" s="49"/>
      <c r="AB1452" s="49"/>
      <c r="AC1452" s="49"/>
      <c r="AD1452" s="49"/>
      <c r="AE1452" s="49"/>
      <c r="AF1452" s="49"/>
      <c r="AG1452" s="49"/>
      <c r="AH1452" s="49" t="b">
        <f>IFERROR(__xludf.DUMMYFUNCTION("""COMPUTED_VALUE"""),FALSE)</f>
        <v>0</v>
      </c>
    </row>
    <row r="1453">
      <c r="A1453" s="49"/>
      <c r="B1453" s="49"/>
      <c r="C1453" s="49"/>
      <c r="D1453" s="49"/>
      <c r="E1453" s="49">
        <f>IFERROR(__xludf.DUMMYFUNCTION("""COMPUTED_VALUE"""),1.0)</f>
        <v>1</v>
      </c>
      <c r="F1453" s="112">
        <f>IFERROR(__xludf.DUMMYFUNCTION("""COMPUTED_VALUE"""),0.0)</f>
        <v>0</v>
      </c>
      <c r="G1453" s="49"/>
      <c r="H1453" s="49"/>
      <c r="I1453" s="49"/>
      <c r="J1453" s="49"/>
      <c r="K1453" s="49"/>
      <c r="L1453" s="49"/>
      <c r="M1453" s="49"/>
      <c r="N1453" s="49"/>
      <c r="O1453" s="49"/>
      <c r="P1453" s="49"/>
      <c r="Q1453" s="49"/>
      <c r="R1453" s="49"/>
      <c r="S1453" s="49"/>
      <c r="T1453" s="49"/>
      <c r="U1453" s="49"/>
      <c r="V1453" s="49"/>
      <c r="W1453" s="49"/>
      <c r="X1453" s="49"/>
      <c r="Y1453" s="49"/>
      <c r="Z1453" s="49"/>
      <c r="AA1453" s="49"/>
      <c r="AB1453" s="49"/>
      <c r="AC1453" s="49"/>
      <c r="AD1453" s="49"/>
      <c r="AE1453" s="49"/>
      <c r="AF1453" s="49"/>
      <c r="AG1453" s="49"/>
      <c r="AH1453" s="49" t="b">
        <f>IFERROR(__xludf.DUMMYFUNCTION("""COMPUTED_VALUE"""),FALSE)</f>
        <v>0</v>
      </c>
    </row>
    <row r="1454">
      <c r="A1454" s="49"/>
      <c r="B1454" s="49"/>
      <c r="C1454" s="49"/>
      <c r="D1454" s="49"/>
      <c r="E1454" s="49">
        <f>IFERROR(__xludf.DUMMYFUNCTION("""COMPUTED_VALUE"""),1.0)</f>
        <v>1</v>
      </c>
      <c r="F1454" s="112">
        <f>IFERROR(__xludf.DUMMYFUNCTION("""COMPUTED_VALUE"""),0.0)</f>
        <v>0</v>
      </c>
      <c r="G1454" s="49"/>
      <c r="H1454" s="49"/>
      <c r="I1454" s="49"/>
      <c r="J1454" s="49"/>
      <c r="K1454" s="49"/>
      <c r="L1454" s="49"/>
      <c r="M1454" s="49"/>
      <c r="N1454" s="49"/>
      <c r="O1454" s="49"/>
      <c r="P1454" s="49"/>
      <c r="Q1454" s="49"/>
      <c r="R1454" s="49"/>
      <c r="S1454" s="49"/>
      <c r="T1454" s="49"/>
      <c r="U1454" s="49"/>
      <c r="V1454" s="49"/>
      <c r="W1454" s="49"/>
      <c r="X1454" s="49"/>
      <c r="Y1454" s="49"/>
      <c r="Z1454" s="49"/>
      <c r="AA1454" s="49"/>
      <c r="AB1454" s="49"/>
      <c r="AC1454" s="49"/>
      <c r="AD1454" s="49"/>
      <c r="AE1454" s="49"/>
      <c r="AF1454" s="49"/>
      <c r="AG1454" s="49"/>
      <c r="AH1454" s="49" t="b">
        <f>IFERROR(__xludf.DUMMYFUNCTION("""COMPUTED_VALUE"""),FALSE)</f>
        <v>0</v>
      </c>
    </row>
    <row r="1455">
      <c r="A1455" s="49"/>
      <c r="B1455" s="49"/>
      <c r="C1455" s="49"/>
      <c r="D1455" s="49"/>
      <c r="E1455" s="49">
        <f>IFERROR(__xludf.DUMMYFUNCTION("""COMPUTED_VALUE"""),1.0)</f>
        <v>1</v>
      </c>
      <c r="F1455" s="112">
        <f>IFERROR(__xludf.DUMMYFUNCTION("""COMPUTED_VALUE"""),0.0)</f>
        <v>0</v>
      </c>
      <c r="G1455" s="49"/>
      <c r="H1455" s="49"/>
      <c r="I1455" s="49"/>
      <c r="J1455" s="49"/>
      <c r="K1455" s="49"/>
      <c r="L1455" s="49"/>
      <c r="M1455" s="49"/>
      <c r="N1455" s="49"/>
      <c r="O1455" s="49"/>
      <c r="P1455" s="49"/>
      <c r="Q1455" s="49"/>
      <c r="R1455" s="49"/>
      <c r="S1455" s="49"/>
      <c r="T1455" s="49"/>
      <c r="U1455" s="49"/>
      <c r="V1455" s="49"/>
      <c r="W1455" s="49"/>
      <c r="X1455" s="49"/>
      <c r="Y1455" s="49"/>
      <c r="Z1455" s="49"/>
      <c r="AA1455" s="49"/>
      <c r="AB1455" s="49"/>
      <c r="AC1455" s="49"/>
      <c r="AD1455" s="49"/>
      <c r="AE1455" s="49"/>
      <c r="AF1455" s="49"/>
      <c r="AG1455" s="49"/>
      <c r="AH1455" s="49" t="b">
        <f>IFERROR(__xludf.DUMMYFUNCTION("""COMPUTED_VALUE"""),FALSE)</f>
        <v>0</v>
      </c>
    </row>
    <row r="1456">
      <c r="A1456" s="49"/>
      <c r="B1456" s="49"/>
      <c r="C1456" s="49"/>
      <c r="D1456" s="49"/>
      <c r="E1456" s="49">
        <f>IFERROR(__xludf.DUMMYFUNCTION("""COMPUTED_VALUE"""),1.0)</f>
        <v>1</v>
      </c>
      <c r="F1456" s="112">
        <f>IFERROR(__xludf.DUMMYFUNCTION("""COMPUTED_VALUE"""),0.0)</f>
        <v>0</v>
      </c>
      <c r="G1456" s="49"/>
      <c r="H1456" s="49"/>
      <c r="I1456" s="49"/>
      <c r="J1456" s="49"/>
      <c r="K1456" s="49"/>
      <c r="L1456" s="49"/>
      <c r="M1456" s="49"/>
      <c r="N1456" s="49"/>
      <c r="O1456" s="49"/>
      <c r="P1456" s="49"/>
      <c r="Q1456" s="49"/>
      <c r="R1456" s="49"/>
      <c r="S1456" s="49"/>
      <c r="T1456" s="49"/>
      <c r="U1456" s="49"/>
      <c r="V1456" s="49"/>
      <c r="W1456" s="49"/>
      <c r="X1456" s="49"/>
      <c r="Y1456" s="49"/>
      <c r="Z1456" s="49"/>
      <c r="AA1456" s="49"/>
      <c r="AB1456" s="49"/>
      <c r="AC1456" s="49"/>
      <c r="AD1456" s="49"/>
      <c r="AE1456" s="49"/>
      <c r="AF1456" s="49"/>
      <c r="AG1456" s="49"/>
      <c r="AH1456" s="49" t="b">
        <f>IFERROR(__xludf.DUMMYFUNCTION("""COMPUTED_VALUE"""),FALSE)</f>
        <v>0</v>
      </c>
    </row>
    <row r="1457">
      <c r="A1457" s="49"/>
      <c r="B1457" s="49"/>
      <c r="C1457" s="49"/>
      <c r="D1457" s="49"/>
      <c r="E1457" s="49">
        <f>IFERROR(__xludf.DUMMYFUNCTION("""COMPUTED_VALUE"""),1.0)</f>
        <v>1</v>
      </c>
      <c r="F1457" s="112">
        <f>IFERROR(__xludf.DUMMYFUNCTION("""COMPUTED_VALUE"""),0.0)</f>
        <v>0</v>
      </c>
      <c r="G1457" s="49"/>
      <c r="H1457" s="49"/>
      <c r="I1457" s="49"/>
      <c r="J1457" s="49"/>
      <c r="K1457" s="49"/>
      <c r="L1457" s="49"/>
      <c r="M1457" s="49"/>
      <c r="N1457" s="49"/>
      <c r="O1457" s="49"/>
      <c r="P1457" s="49"/>
      <c r="Q1457" s="49"/>
      <c r="R1457" s="49"/>
      <c r="S1457" s="49"/>
      <c r="T1457" s="49"/>
      <c r="U1457" s="49"/>
      <c r="V1457" s="49"/>
      <c r="W1457" s="49"/>
      <c r="X1457" s="49"/>
      <c r="Y1457" s="49"/>
      <c r="Z1457" s="49"/>
      <c r="AA1457" s="49"/>
      <c r="AB1457" s="49"/>
      <c r="AC1457" s="49"/>
      <c r="AD1457" s="49"/>
      <c r="AE1457" s="49"/>
      <c r="AF1457" s="49"/>
      <c r="AG1457" s="49"/>
      <c r="AH1457" s="49" t="b">
        <f>IFERROR(__xludf.DUMMYFUNCTION("""COMPUTED_VALUE"""),FALSE)</f>
        <v>0</v>
      </c>
    </row>
    <row r="1458">
      <c r="A1458" s="49"/>
      <c r="B1458" s="49"/>
      <c r="C1458" s="49"/>
      <c r="D1458" s="49"/>
      <c r="E1458" s="49">
        <f>IFERROR(__xludf.DUMMYFUNCTION("""COMPUTED_VALUE"""),1.0)</f>
        <v>1</v>
      </c>
      <c r="F1458" s="112">
        <f>IFERROR(__xludf.DUMMYFUNCTION("""COMPUTED_VALUE"""),0.0)</f>
        <v>0</v>
      </c>
      <c r="G1458" s="49"/>
      <c r="H1458" s="49"/>
      <c r="I1458" s="49"/>
      <c r="J1458" s="49"/>
      <c r="K1458" s="49"/>
      <c r="L1458" s="49"/>
      <c r="M1458" s="49"/>
      <c r="N1458" s="49"/>
      <c r="O1458" s="49"/>
      <c r="P1458" s="49"/>
      <c r="Q1458" s="49"/>
      <c r="R1458" s="49"/>
      <c r="S1458" s="49"/>
      <c r="T1458" s="49"/>
      <c r="U1458" s="49"/>
      <c r="V1458" s="49"/>
      <c r="W1458" s="49"/>
      <c r="X1458" s="49"/>
      <c r="Y1458" s="49"/>
      <c r="Z1458" s="49"/>
      <c r="AA1458" s="49"/>
      <c r="AB1458" s="49"/>
      <c r="AC1458" s="49"/>
      <c r="AD1458" s="49"/>
      <c r="AE1458" s="49"/>
      <c r="AF1458" s="49"/>
      <c r="AG1458" s="49"/>
      <c r="AH1458" s="49" t="b">
        <f>IFERROR(__xludf.DUMMYFUNCTION("""COMPUTED_VALUE"""),FALSE)</f>
        <v>0</v>
      </c>
    </row>
    <row r="1459">
      <c r="A1459" s="49"/>
      <c r="B1459" s="49"/>
      <c r="C1459" s="49"/>
      <c r="D1459" s="49"/>
      <c r="E1459" s="49">
        <f>IFERROR(__xludf.DUMMYFUNCTION("""COMPUTED_VALUE"""),1.0)</f>
        <v>1</v>
      </c>
      <c r="F1459" s="112">
        <f>IFERROR(__xludf.DUMMYFUNCTION("""COMPUTED_VALUE"""),0.0)</f>
        <v>0</v>
      </c>
      <c r="G1459" s="49"/>
      <c r="H1459" s="49"/>
      <c r="I1459" s="49"/>
      <c r="J1459" s="49"/>
      <c r="K1459" s="49"/>
      <c r="L1459" s="49"/>
      <c r="M1459" s="49"/>
      <c r="N1459" s="49"/>
      <c r="O1459" s="49"/>
      <c r="P1459" s="49"/>
      <c r="Q1459" s="49"/>
      <c r="R1459" s="49"/>
      <c r="S1459" s="49"/>
      <c r="T1459" s="49"/>
      <c r="U1459" s="49"/>
      <c r="V1459" s="49"/>
      <c r="W1459" s="49"/>
      <c r="X1459" s="49"/>
      <c r="Y1459" s="49"/>
      <c r="Z1459" s="49"/>
      <c r="AA1459" s="49"/>
      <c r="AB1459" s="49"/>
      <c r="AC1459" s="49"/>
      <c r="AD1459" s="49"/>
      <c r="AE1459" s="49"/>
      <c r="AF1459" s="49"/>
      <c r="AG1459" s="49"/>
      <c r="AH1459" s="49" t="b">
        <f>IFERROR(__xludf.DUMMYFUNCTION("""COMPUTED_VALUE"""),FALSE)</f>
        <v>0</v>
      </c>
    </row>
    <row r="1460">
      <c r="A1460" s="49"/>
      <c r="B1460" s="49"/>
      <c r="C1460" s="49"/>
      <c r="D1460" s="49"/>
      <c r="E1460" s="49">
        <f>IFERROR(__xludf.DUMMYFUNCTION("""COMPUTED_VALUE"""),1.0)</f>
        <v>1</v>
      </c>
      <c r="F1460" s="112">
        <f>IFERROR(__xludf.DUMMYFUNCTION("""COMPUTED_VALUE"""),0.0)</f>
        <v>0</v>
      </c>
      <c r="G1460" s="49"/>
      <c r="H1460" s="49"/>
      <c r="I1460" s="49"/>
      <c r="J1460" s="49"/>
      <c r="K1460" s="49"/>
      <c r="L1460" s="49"/>
      <c r="M1460" s="49"/>
      <c r="N1460" s="49"/>
      <c r="O1460" s="49"/>
      <c r="P1460" s="49"/>
      <c r="Q1460" s="49"/>
      <c r="R1460" s="49"/>
      <c r="S1460" s="49"/>
      <c r="T1460" s="49"/>
      <c r="U1460" s="49"/>
      <c r="V1460" s="49"/>
      <c r="W1460" s="49"/>
      <c r="X1460" s="49"/>
      <c r="Y1460" s="49"/>
      <c r="Z1460" s="49"/>
      <c r="AA1460" s="49"/>
      <c r="AB1460" s="49"/>
      <c r="AC1460" s="49"/>
      <c r="AD1460" s="49"/>
      <c r="AE1460" s="49"/>
      <c r="AF1460" s="49"/>
      <c r="AG1460" s="49"/>
      <c r="AH1460" s="49" t="b">
        <f>IFERROR(__xludf.DUMMYFUNCTION("""COMPUTED_VALUE"""),FALSE)</f>
        <v>0</v>
      </c>
    </row>
    <row r="1461">
      <c r="A1461" s="49"/>
      <c r="B1461" s="49"/>
      <c r="C1461" s="49"/>
      <c r="D1461" s="49"/>
      <c r="E1461" s="49">
        <f>IFERROR(__xludf.DUMMYFUNCTION("""COMPUTED_VALUE"""),1.0)</f>
        <v>1</v>
      </c>
      <c r="F1461" s="112">
        <f>IFERROR(__xludf.DUMMYFUNCTION("""COMPUTED_VALUE"""),0.0)</f>
        <v>0</v>
      </c>
      <c r="G1461" s="49"/>
      <c r="H1461" s="49"/>
      <c r="I1461" s="49"/>
      <c r="J1461" s="49"/>
      <c r="K1461" s="49"/>
      <c r="L1461" s="49"/>
      <c r="M1461" s="49"/>
      <c r="N1461" s="49"/>
      <c r="O1461" s="49"/>
      <c r="P1461" s="49"/>
      <c r="Q1461" s="49"/>
      <c r="R1461" s="49"/>
      <c r="S1461" s="49"/>
      <c r="T1461" s="49"/>
      <c r="U1461" s="49"/>
      <c r="V1461" s="49"/>
      <c r="W1461" s="49"/>
      <c r="X1461" s="49"/>
      <c r="Y1461" s="49"/>
      <c r="Z1461" s="49"/>
      <c r="AA1461" s="49"/>
      <c r="AB1461" s="49"/>
      <c r="AC1461" s="49"/>
      <c r="AD1461" s="49"/>
      <c r="AE1461" s="49"/>
      <c r="AF1461" s="49"/>
      <c r="AG1461" s="49"/>
      <c r="AH1461" s="49" t="b">
        <f>IFERROR(__xludf.DUMMYFUNCTION("""COMPUTED_VALUE"""),FALSE)</f>
        <v>0</v>
      </c>
    </row>
    <row r="1462">
      <c r="A1462" s="49"/>
      <c r="B1462" s="49"/>
      <c r="C1462" s="49"/>
      <c r="D1462" s="49"/>
      <c r="E1462" s="49">
        <f>IFERROR(__xludf.DUMMYFUNCTION("""COMPUTED_VALUE"""),1.0)</f>
        <v>1</v>
      </c>
      <c r="F1462" s="112">
        <f>IFERROR(__xludf.DUMMYFUNCTION("""COMPUTED_VALUE"""),0.0)</f>
        <v>0</v>
      </c>
      <c r="G1462" s="49"/>
      <c r="H1462" s="49"/>
      <c r="I1462" s="49"/>
      <c r="J1462" s="49"/>
      <c r="K1462" s="49"/>
      <c r="L1462" s="49"/>
      <c r="M1462" s="49"/>
      <c r="N1462" s="49"/>
      <c r="O1462" s="49"/>
      <c r="P1462" s="49"/>
      <c r="Q1462" s="49"/>
      <c r="R1462" s="49"/>
      <c r="S1462" s="49"/>
      <c r="T1462" s="49"/>
      <c r="U1462" s="49"/>
      <c r="V1462" s="49"/>
      <c r="W1462" s="49"/>
      <c r="X1462" s="49"/>
      <c r="Y1462" s="49"/>
      <c r="Z1462" s="49"/>
      <c r="AA1462" s="49"/>
      <c r="AB1462" s="49"/>
      <c r="AC1462" s="49"/>
      <c r="AD1462" s="49"/>
      <c r="AE1462" s="49"/>
      <c r="AF1462" s="49"/>
      <c r="AG1462" s="49"/>
      <c r="AH1462" s="49" t="b">
        <f>IFERROR(__xludf.DUMMYFUNCTION("""COMPUTED_VALUE"""),FALSE)</f>
        <v>0</v>
      </c>
    </row>
    <row r="1463">
      <c r="A1463" s="49"/>
      <c r="B1463" s="49"/>
      <c r="C1463" s="49"/>
      <c r="D1463" s="49"/>
      <c r="E1463" s="49">
        <f>IFERROR(__xludf.DUMMYFUNCTION("""COMPUTED_VALUE"""),1.0)</f>
        <v>1</v>
      </c>
      <c r="F1463" s="112">
        <f>IFERROR(__xludf.DUMMYFUNCTION("""COMPUTED_VALUE"""),0.0)</f>
        <v>0</v>
      </c>
      <c r="G1463" s="49"/>
      <c r="H1463" s="49"/>
      <c r="I1463" s="49"/>
      <c r="J1463" s="49"/>
      <c r="K1463" s="49"/>
      <c r="L1463" s="49"/>
      <c r="M1463" s="49"/>
      <c r="N1463" s="49"/>
      <c r="O1463" s="49"/>
      <c r="P1463" s="49"/>
      <c r="Q1463" s="49"/>
      <c r="R1463" s="49"/>
      <c r="S1463" s="49"/>
      <c r="T1463" s="49"/>
      <c r="U1463" s="49"/>
      <c r="V1463" s="49"/>
      <c r="W1463" s="49"/>
      <c r="X1463" s="49"/>
      <c r="Y1463" s="49"/>
      <c r="Z1463" s="49"/>
      <c r="AA1463" s="49"/>
      <c r="AB1463" s="49"/>
      <c r="AC1463" s="49"/>
      <c r="AD1463" s="49"/>
      <c r="AE1463" s="49"/>
      <c r="AF1463" s="49"/>
      <c r="AG1463" s="49"/>
      <c r="AH1463" s="49" t="b">
        <f>IFERROR(__xludf.DUMMYFUNCTION("""COMPUTED_VALUE"""),FALSE)</f>
        <v>0</v>
      </c>
    </row>
    <row r="1464">
      <c r="A1464" s="49"/>
      <c r="B1464" s="49"/>
      <c r="C1464" s="49"/>
      <c r="D1464" s="49"/>
      <c r="E1464" s="49">
        <f>IFERROR(__xludf.DUMMYFUNCTION("""COMPUTED_VALUE"""),1.0)</f>
        <v>1</v>
      </c>
      <c r="F1464" s="112">
        <f>IFERROR(__xludf.DUMMYFUNCTION("""COMPUTED_VALUE"""),0.0)</f>
        <v>0</v>
      </c>
      <c r="G1464" s="49"/>
      <c r="H1464" s="49"/>
      <c r="I1464" s="49"/>
      <c r="J1464" s="49"/>
      <c r="K1464" s="49"/>
      <c r="L1464" s="49"/>
      <c r="M1464" s="49"/>
      <c r="N1464" s="49"/>
      <c r="O1464" s="49"/>
      <c r="P1464" s="49"/>
      <c r="Q1464" s="49"/>
      <c r="R1464" s="49"/>
      <c r="S1464" s="49"/>
      <c r="T1464" s="49"/>
      <c r="U1464" s="49"/>
      <c r="V1464" s="49"/>
      <c r="W1464" s="49"/>
      <c r="X1464" s="49"/>
      <c r="Y1464" s="49"/>
      <c r="Z1464" s="49"/>
      <c r="AA1464" s="49"/>
      <c r="AB1464" s="49"/>
      <c r="AC1464" s="49"/>
      <c r="AD1464" s="49"/>
      <c r="AE1464" s="49"/>
      <c r="AF1464" s="49"/>
      <c r="AG1464" s="49"/>
      <c r="AH1464" s="49" t="b">
        <f>IFERROR(__xludf.DUMMYFUNCTION("""COMPUTED_VALUE"""),FALSE)</f>
        <v>0</v>
      </c>
    </row>
    <row r="1465">
      <c r="A1465" s="49"/>
      <c r="B1465" s="49"/>
      <c r="C1465" s="49"/>
      <c r="D1465" s="49"/>
      <c r="E1465" s="49">
        <f>IFERROR(__xludf.DUMMYFUNCTION("""COMPUTED_VALUE"""),1.0)</f>
        <v>1</v>
      </c>
      <c r="F1465" s="112">
        <f>IFERROR(__xludf.DUMMYFUNCTION("""COMPUTED_VALUE"""),0.0)</f>
        <v>0</v>
      </c>
      <c r="G1465" s="49"/>
      <c r="H1465" s="49"/>
      <c r="I1465" s="49"/>
      <c r="J1465" s="49"/>
      <c r="K1465" s="49"/>
      <c r="L1465" s="49"/>
      <c r="M1465" s="49"/>
      <c r="N1465" s="49"/>
      <c r="O1465" s="49"/>
      <c r="P1465" s="49"/>
      <c r="Q1465" s="49"/>
      <c r="R1465" s="49"/>
      <c r="S1465" s="49"/>
      <c r="T1465" s="49"/>
      <c r="U1465" s="49"/>
      <c r="V1465" s="49"/>
      <c r="W1465" s="49"/>
      <c r="X1465" s="49"/>
      <c r="Y1465" s="49"/>
      <c r="Z1465" s="49"/>
      <c r="AA1465" s="49"/>
      <c r="AB1465" s="49"/>
      <c r="AC1465" s="49"/>
      <c r="AD1465" s="49"/>
      <c r="AE1465" s="49"/>
      <c r="AF1465" s="49"/>
      <c r="AG1465" s="49"/>
      <c r="AH1465" s="49" t="b">
        <f>IFERROR(__xludf.DUMMYFUNCTION("""COMPUTED_VALUE"""),FALSE)</f>
        <v>0</v>
      </c>
    </row>
    <row r="1466">
      <c r="A1466" s="49"/>
      <c r="B1466" s="49"/>
      <c r="C1466" s="49"/>
      <c r="D1466" s="49"/>
      <c r="E1466" s="49">
        <f>IFERROR(__xludf.DUMMYFUNCTION("""COMPUTED_VALUE"""),1.0)</f>
        <v>1</v>
      </c>
      <c r="F1466" s="112">
        <f>IFERROR(__xludf.DUMMYFUNCTION("""COMPUTED_VALUE"""),0.0)</f>
        <v>0</v>
      </c>
      <c r="G1466" s="49"/>
      <c r="H1466" s="49"/>
      <c r="I1466" s="49"/>
      <c r="J1466" s="49"/>
      <c r="K1466" s="49"/>
      <c r="L1466" s="49"/>
      <c r="M1466" s="49"/>
      <c r="N1466" s="49"/>
      <c r="O1466" s="49"/>
      <c r="P1466" s="49"/>
      <c r="Q1466" s="49"/>
      <c r="R1466" s="49"/>
      <c r="S1466" s="49"/>
      <c r="T1466" s="49"/>
      <c r="U1466" s="49"/>
      <c r="V1466" s="49"/>
      <c r="W1466" s="49"/>
      <c r="X1466" s="49"/>
      <c r="Y1466" s="49"/>
      <c r="Z1466" s="49"/>
      <c r="AA1466" s="49"/>
      <c r="AB1466" s="49"/>
      <c r="AC1466" s="49"/>
      <c r="AD1466" s="49"/>
      <c r="AE1466" s="49"/>
      <c r="AF1466" s="49"/>
      <c r="AG1466" s="49"/>
      <c r="AH1466" s="49" t="b">
        <f>IFERROR(__xludf.DUMMYFUNCTION("""COMPUTED_VALUE"""),FALSE)</f>
        <v>0</v>
      </c>
    </row>
    <row r="1467">
      <c r="A1467" s="49"/>
      <c r="B1467" s="49"/>
      <c r="C1467" s="49"/>
      <c r="D1467" s="49"/>
      <c r="E1467" s="49">
        <f>IFERROR(__xludf.DUMMYFUNCTION("""COMPUTED_VALUE"""),1.0)</f>
        <v>1</v>
      </c>
      <c r="F1467" s="112">
        <f>IFERROR(__xludf.DUMMYFUNCTION("""COMPUTED_VALUE"""),0.0)</f>
        <v>0</v>
      </c>
      <c r="G1467" s="49"/>
      <c r="H1467" s="49"/>
      <c r="I1467" s="49"/>
      <c r="J1467" s="49"/>
      <c r="K1467" s="49"/>
      <c r="L1467" s="49"/>
      <c r="M1467" s="49"/>
      <c r="N1467" s="49"/>
      <c r="O1467" s="49"/>
      <c r="P1467" s="49"/>
      <c r="Q1467" s="49"/>
      <c r="R1467" s="49"/>
      <c r="S1467" s="49"/>
      <c r="T1467" s="49"/>
      <c r="U1467" s="49"/>
      <c r="V1467" s="49"/>
      <c r="W1467" s="49"/>
      <c r="X1467" s="49"/>
      <c r="Y1467" s="49"/>
      <c r="Z1467" s="49"/>
      <c r="AA1467" s="49"/>
      <c r="AB1467" s="49"/>
      <c r="AC1467" s="49"/>
      <c r="AD1467" s="49"/>
      <c r="AE1467" s="49"/>
      <c r="AF1467" s="49"/>
      <c r="AG1467" s="49"/>
      <c r="AH1467" s="49" t="b">
        <f>IFERROR(__xludf.DUMMYFUNCTION("""COMPUTED_VALUE"""),FALSE)</f>
        <v>0</v>
      </c>
    </row>
    <row r="1468">
      <c r="A1468" s="49"/>
      <c r="B1468" s="49"/>
      <c r="C1468" s="49"/>
      <c r="D1468" s="49"/>
      <c r="E1468" s="49">
        <f>IFERROR(__xludf.DUMMYFUNCTION("""COMPUTED_VALUE"""),1.0)</f>
        <v>1</v>
      </c>
      <c r="F1468" s="112">
        <f>IFERROR(__xludf.DUMMYFUNCTION("""COMPUTED_VALUE"""),0.0)</f>
        <v>0</v>
      </c>
      <c r="G1468" s="49"/>
      <c r="H1468" s="49"/>
      <c r="I1468" s="49"/>
      <c r="J1468" s="49"/>
      <c r="K1468" s="49"/>
      <c r="L1468" s="49"/>
      <c r="M1468" s="49"/>
      <c r="N1468" s="49"/>
      <c r="O1468" s="49"/>
      <c r="P1468" s="49"/>
      <c r="Q1468" s="49"/>
      <c r="R1468" s="49"/>
      <c r="S1468" s="49"/>
      <c r="T1468" s="49"/>
      <c r="U1468" s="49"/>
      <c r="V1468" s="49"/>
      <c r="W1468" s="49"/>
      <c r="X1468" s="49"/>
      <c r="Y1468" s="49"/>
      <c r="Z1468" s="49"/>
      <c r="AA1468" s="49"/>
      <c r="AB1468" s="49"/>
      <c r="AC1468" s="49"/>
      <c r="AD1468" s="49"/>
      <c r="AE1468" s="49"/>
      <c r="AF1468" s="49"/>
      <c r="AG1468" s="49"/>
      <c r="AH1468" s="49" t="b">
        <f>IFERROR(__xludf.DUMMYFUNCTION("""COMPUTED_VALUE"""),FALSE)</f>
        <v>0</v>
      </c>
    </row>
    <row r="1469">
      <c r="A1469" s="49"/>
      <c r="B1469" s="49"/>
      <c r="C1469" s="49"/>
      <c r="D1469" s="49"/>
      <c r="E1469" s="49">
        <f>IFERROR(__xludf.DUMMYFUNCTION("""COMPUTED_VALUE"""),1.0)</f>
        <v>1</v>
      </c>
      <c r="F1469" s="112">
        <f>IFERROR(__xludf.DUMMYFUNCTION("""COMPUTED_VALUE"""),0.0)</f>
        <v>0</v>
      </c>
      <c r="G1469" s="49"/>
      <c r="H1469" s="49"/>
      <c r="I1469" s="49"/>
      <c r="J1469" s="49"/>
      <c r="K1469" s="49"/>
      <c r="L1469" s="49"/>
      <c r="M1469" s="49"/>
      <c r="N1469" s="49"/>
      <c r="O1469" s="49"/>
      <c r="P1469" s="49"/>
      <c r="Q1469" s="49"/>
      <c r="R1469" s="49"/>
      <c r="S1469" s="49"/>
      <c r="T1469" s="49"/>
      <c r="U1469" s="49"/>
      <c r="V1469" s="49"/>
      <c r="W1469" s="49"/>
      <c r="X1469" s="49"/>
      <c r="Y1469" s="49"/>
      <c r="Z1469" s="49"/>
      <c r="AA1469" s="49"/>
      <c r="AB1469" s="49"/>
      <c r="AC1469" s="49"/>
      <c r="AD1469" s="49"/>
      <c r="AE1469" s="49"/>
      <c r="AF1469" s="49"/>
      <c r="AG1469" s="49"/>
      <c r="AH1469" s="49" t="b">
        <f>IFERROR(__xludf.DUMMYFUNCTION("""COMPUTED_VALUE"""),FALSE)</f>
        <v>0</v>
      </c>
    </row>
    <row r="1470">
      <c r="A1470" s="49"/>
      <c r="B1470" s="49"/>
      <c r="C1470" s="49"/>
      <c r="D1470" s="49"/>
      <c r="E1470" s="49">
        <f>IFERROR(__xludf.DUMMYFUNCTION("""COMPUTED_VALUE"""),1.0)</f>
        <v>1</v>
      </c>
      <c r="F1470" s="112">
        <f>IFERROR(__xludf.DUMMYFUNCTION("""COMPUTED_VALUE"""),0.0)</f>
        <v>0</v>
      </c>
      <c r="G1470" s="49"/>
      <c r="H1470" s="49"/>
      <c r="I1470" s="49"/>
      <c r="J1470" s="49"/>
      <c r="K1470" s="49"/>
      <c r="L1470" s="49"/>
      <c r="M1470" s="49"/>
      <c r="N1470" s="49"/>
      <c r="O1470" s="49"/>
      <c r="P1470" s="49"/>
      <c r="Q1470" s="49"/>
      <c r="R1470" s="49"/>
      <c r="S1470" s="49"/>
      <c r="T1470" s="49"/>
      <c r="U1470" s="49"/>
      <c r="V1470" s="49"/>
      <c r="W1470" s="49"/>
      <c r="X1470" s="49"/>
      <c r="Y1470" s="49"/>
      <c r="Z1470" s="49"/>
      <c r="AA1470" s="49"/>
      <c r="AB1470" s="49"/>
      <c r="AC1470" s="49"/>
      <c r="AD1470" s="49"/>
      <c r="AE1470" s="49"/>
      <c r="AF1470" s="49"/>
      <c r="AG1470" s="49"/>
      <c r="AH1470" s="49" t="b">
        <f>IFERROR(__xludf.DUMMYFUNCTION("""COMPUTED_VALUE"""),FALSE)</f>
        <v>0</v>
      </c>
    </row>
    <row r="1471">
      <c r="A1471" s="49"/>
      <c r="B1471" s="49"/>
      <c r="C1471" s="49"/>
      <c r="D1471" s="49"/>
      <c r="E1471" s="49">
        <f>IFERROR(__xludf.DUMMYFUNCTION("""COMPUTED_VALUE"""),1.0)</f>
        <v>1</v>
      </c>
      <c r="F1471" s="112">
        <f>IFERROR(__xludf.DUMMYFUNCTION("""COMPUTED_VALUE"""),0.0)</f>
        <v>0</v>
      </c>
      <c r="G1471" s="49"/>
      <c r="H1471" s="49"/>
      <c r="I1471" s="49"/>
      <c r="J1471" s="49"/>
      <c r="K1471" s="49"/>
      <c r="L1471" s="49"/>
      <c r="M1471" s="49"/>
      <c r="N1471" s="49"/>
      <c r="O1471" s="49"/>
      <c r="P1471" s="49"/>
      <c r="Q1471" s="49"/>
      <c r="R1471" s="49"/>
      <c r="S1471" s="49"/>
      <c r="T1471" s="49"/>
      <c r="U1471" s="49"/>
      <c r="V1471" s="49"/>
      <c r="W1471" s="49"/>
      <c r="X1471" s="49"/>
      <c r="Y1471" s="49"/>
      <c r="Z1471" s="49"/>
      <c r="AA1471" s="49"/>
      <c r="AB1471" s="49"/>
      <c r="AC1471" s="49"/>
      <c r="AD1471" s="49"/>
      <c r="AE1471" s="49"/>
      <c r="AF1471" s="49"/>
      <c r="AG1471" s="49"/>
      <c r="AH1471" s="49" t="b">
        <f>IFERROR(__xludf.DUMMYFUNCTION("""COMPUTED_VALUE"""),FALSE)</f>
        <v>0</v>
      </c>
    </row>
    <row r="1472">
      <c r="A1472" s="49"/>
      <c r="B1472" s="49"/>
      <c r="C1472" s="49"/>
      <c r="D1472" s="49"/>
      <c r="E1472" s="49">
        <f>IFERROR(__xludf.DUMMYFUNCTION("""COMPUTED_VALUE"""),1.0)</f>
        <v>1</v>
      </c>
      <c r="F1472" s="112">
        <f>IFERROR(__xludf.DUMMYFUNCTION("""COMPUTED_VALUE"""),0.0)</f>
        <v>0</v>
      </c>
      <c r="G1472" s="49"/>
      <c r="H1472" s="49"/>
      <c r="I1472" s="49"/>
      <c r="J1472" s="49"/>
      <c r="K1472" s="49"/>
      <c r="L1472" s="49"/>
      <c r="M1472" s="49"/>
      <c r="N1472" s="49"/>
      <c r="O1472" s="49"/>
      <c r="P1472" s="49"/>
      <c r="Q1472" s="49"/>
      <c r="R1472" s="49"/>
      <c r="S1472" s="49"/>
      <c r="T1472" s="49"/>
      <c r="U1472" s="49"/>
      <c r="V1472" s="49"/>
      <c r="W1472" s="49"/>
      <c r="X1472" s="49"/>
      <c r="Y1472" s="49"/>
      <c r="Z1472" s="49"/>
      <c r="AA1472" s="49"/>
      <c r="AB1472" s="49"/>
      <c r="AC1472" s="49"/>
      <c r="AD1472" s="49"/>
      <c r="AE1472" s="49"/>
      <c r="AF1472" s="49"/>
      <c r="AG1472" s="49"/>
      <c r="AH1472" s="49" t="b">
        <f>IFERROR(__xludf.DUMMYFUNCTION("""COMPUTED_VALUE"""),FALSE)</f>
        <v>0</v>
      </c>
    </row>
    <row r="1473">
      <c r="A1473" s="49"/>
      <c r="B1473" s="49"/>
      <c r="C1473" s="49"/>
      <c r="D1473" s="49"/>
      <c r="E1473" s="49">
        <f>IFERROR(__xludf.DUMMYFUNCTION("""COMPUTED_VALUE"""),1.0)</f>
        <v>1</v>
      </c>
      <c r="F1473" s="112">
        <f>IFERROR(__xludf.DUMMYFUNCTION("""COMPUTED_VALUE"""),0.0)</f>
        <v>0</v>
      </c>
      <c r="G1473" s="49"/>
      <c r="H1473" s="49"/>
      <c r="I1473" s="49"/>
      <c r="J1473" s="49"/>
      <c r="K1473" s="49"/>
      <c r="L1473" s="49"/>
      <c r="M1473" s="49"/>
      <c r="N1473" s="49"/>
      <c r="O1473" s="49"/>
      <c r="P1473" s="49"/>
      <c r="Q1473" s="49"/>
      <c r="R1473" s="49"/>
      <c r="S1473" s="49"/>
      <c r="T1473" s="49"/>
      <c r="U1473" s="49"/>
      <c r="V1473" s="49"/>
      <c r="W1473" s="49"/>
      <c r="X1473" s="49"/>
      <c r="Y1473" s="49"/>
      <c r="Z1473" s="49"/>
      <c r="AA1473" s="49"/>
      <c r="AB1473" s="49"/>
      <c r="AC1473" s="49"/>
      <c r="AD1473" s="49"/>
      <c r="AE1473" s="49"/>
      <c r="AF1473" s="49"/>
      <c r="AG1473" s="49"/>
      <c r="AH1473" s="49" t="b">
        <f>IFERROR(__xludf.DUMMYFUNCTION("""COMPUTED_VALUE"""),FALSE)</f>
        <v>0</v>
      </c>
    </row>
    <row r="1474">
      <c r="A1474" s="49"/>
      <c r="B1474" s="49"/>
      <c r="C1474" s="49"/>
      <c r="D1474" s="49"/>
      <c r="E1474" s="49">
        <f>IFERROR(__xludf.DUMMYFUNCTION("""COMPUTED_VALUE"""),1.0)</f>
        <v>1</v>
      </c>
      <c r="F1474" s="112">
        <f>IFERROR(__xludf.DUMMYFUNCTION("""COMPUTED_VALUE"""),0.0)</f>
        <v>0</v>
      </c>
      <c r="G1474" s="49"/>
      <c r="H1474" s="49"/>
      <c r="I1474" s="49"/>
      <c r="J1474" s="49"/>
      <c r="K1474" s="49"/>
      <c r="L1474" s="49"/>
      <c r="M1474" s="49"/>
      <c r="N1474" s="49"/>
      <c r="O1474" s="49"/>
      <c r="P1474" s="49"/>
      <c r="Q1474" s="49"/>
      <c r="R1474" s="49"/>
      <c r="S1474" s="49"/>
      <c r="T1474" s="49"/>
      <c r="U1474" s="49"/>
      <c r="V1474" s="49"/>
      <c r="W1474" s="49"/>
      <c r="X1474" s="49"/>
      <c r="Y1474" s="49"/>
      <c r="Z1474" s="49"/>
      <c r="AA1474" s="49"/>
      <c r="AB1474" s="49"/>
      <c r="AC1474" s="49"/>
      <c r="AD1474" s="49"/>
      <c r="AE1474" s="49"/>
      <c r="AF1474" s="49"/>
      <c r="AG1474" s="49"/>
      <c r="AH1474" s="49" t="b">
        <f>IFERROR(__xludf.DUMMYFUNCTION("""COMPUTED_VALUE"""),FALSE)</f>
        <v>0</v>
      </c>
    </row>
    <row r="1475">
      <c r="A1475" s="49"/>
      <c r="B1475" s="49"/>
      <c r="C1475" s="49"/>
      <c r="D1475" s="49"/>
      <c r="E1475" s="49">
        <f>IFERROR(__xludf.DUMMYFUNCTION("""COMPUTED_VALUE"""),1.0)</f>
        <v>1</v>
      </c>
      <c r="F1475" s="112">
        <f>IFERROR(__xludf.DUMMYFUNCTION("""COMPUTED_VALUE"""),0.0)</f>
        <v>0</v>
      </c>
      <c r="G1475" s="49"/>
      <c r="H1475" s="49"/>
      <c r="I1475" s="49"/>
      <c r="J1475" s="49"/>
      <c r="K1475" s="49"/>
      <c r="L1475" s="49"/>
      <c r="M1475" s="49"/>
      <c r="N1475" s="49"/>
      <c r="O1475" s="49"/>
      <c r="P1475" s="49"/>
      <c r="Q1475" s="49"/>
      <c r="R1475" s="49"/>
      <c r="S1475" s="49"/>
      <c r="T1475" s="49"/>
      <c r="U1475" s="49"/>
      <c r="V1475" s="49"/>
      <c r="W1475" s="49"/>
      <c r="X1475" s="49"/>
      <c r="Y1475" s="49"/>
      <c r="Z1475" s="49"/>
      <c r="AA1475" s="49"/>
      <c r="AB1475" s="49"/>
      <c r="AC1475" s="49"/>
      <c r="AD1475" s="49"/>
      <c r="AE1475" s="49"/>
      <c r="AF1475" s="49"/>
      <c r="AG1475" s="49"/>
      <c r="AH1475" s="49" t="b">
        <f>IFERROR(__xludf.DUMMYFUNCTION("""COMPUTED_VALUE"""),FALSE)</f>
        <v>0</v>
      </c>
    </row>
    <row r="1476">
      <c r="A1476" s="49"/>
      <c r="B1476" s="49"/>
      <c r="C1476" s="49"/>
      <c r="D1476" s="49"/>
      <c r="E1476" s="49">
        <f>IFERROR(__xludf.DUMMYFUNCTION("""COMPUTED_VALUE"""),1.0)</f>
        <v>1</v>
      </c>
      <c r="F1476" s="112">
        <f>IFERROR(__xludf.DUMMYFUNCTION("""COMPUTED_VALUE"""),0.0)</f>
        <v>0</v>
      </c>
      <c r="G1476" s="49"/>
      <c r="H1476" s="49"/>
      <c r="I1476" s="49"/>
      <c r="J1476" s="49"/>
      <c r="K1476" s="49"/>
      <c r="L1476" s="49"/>
      <c r="M1476" s="49"/>
      <c r="N1476" s="49"/>
      <c r="O1476" s="49"/>
      <c r="P1476" s="49"/>
      <c r="Q1476" s="49"/>
      <c r="R1476" s="49"/>
      <c r="S1476" s="49"/>
      <c r="T1476" s="49"/>
      <c r="U1476" s="49"/>
      <c r="V1476" s="49"/>
      <c r="W1476" s="49"/>
      <c r="X1476" s="49"/>
      <c r="Y1476" s="49"/>
      <c r="Z1476" s="49"/>
      <c r="AA1476" s="49"/>
      <c r="AB1476" s="49"/>
      <c r="AC1476" s="49"/>
      <c r="AD1476" s="49"/>
      <c r="AE1476" s="49"/>
      <c r="AF1476" s="49"/>
      <c r="AG1476" s="49"/>
      <c r="AH1476" s="49" t="b">
        <f>IFERROR(__xludf.DUMMYFUNCTION("""COMPUTED_VALUE"""),FALSE)</f>
        <v>0</v>
      </c>
    </row>
    <row r="1477">
      <c r="A1477" s="49"/>
      <c r="B1477" s="49"/>
      <c r="C1477" s="49"/>
      <c r="D1477" s="49"/>
      <c r="E1477" s="49">
        <f>IFERROR(__xludf.DUMMYFUNCTION("""COMPUTED_VALUE"""),1.0)</f>
        <v>1</v>
      </c>
      <c r="F1477" s="112">
        <f>IFERROR(__xludf.DUMMYFUNCTION("""COMPUTED_VALUE"""),0.0)</f>
        <v>0</v>
      </c>
      <c r="G1477" s="49"/>
      <c r="H1477" s="49"/>
      <c r="I1477" s="49"/>
      <c r="J1477" s="49"/>
      <c r="K1477" s="49"/>
      <c r="L1477" s="49"/>
      <c r="M1477" s="49"/>
      <c r="N1477" s="49"/>
      <c r="O1477" s="49"/>
      <c r="P1477" s="49"/>
      <c r="Q1477" s="49"/>
      <c r="R1477" s="49"/>
      <c r="S1477" s="49"/>
      <c r="T1477" s="49"/>
      <c r="U1477" s="49"/>
      <c r="V1477" s="49"/>
      <c r="W1477" s="49"/>
      <c r="X1477" s="49"/>
      <c r="Y1477" s="49"/>
      <c r="Z1477" s="49"/>
      <c r="AA1477" s="49"/>
      <c r="AB1477" s="49"/>
      <c r="AC1477" s="49"/>
      <c r="AD1477" s="49"/>
      <c r="AE1477" s="49"/>
      <c r="AF1477" s="49"/>
      <c r="AG1477" s="49"/>
      <c r="AH1477" s="49" t="b">
        <f>IFERROR(__xludf.DUMMYFUNCTION("""COMPUTED_VALUE"""),FALSE)</f>
        <v>0</v>
      </c>
    </row>
    <row r="1478">
      <c r="A1478" s="49"/>
      <c r="B1478" s="49"/>
      <c r="C1478" s="49"/>
      <c r="D1478" s="49"/>
      <c r="E1478" s="49">
        <f>IFERROR(__xludf.DUMMYFUNCTION("""COMPUTED_VALUE"""),1.0)</f>
        <v>1</v>
      </c>
      <c r="F1478" s="112">
        <f>IFERROR(__xludf.DUMMYFUNCTION("""COMPUTED_VALUE"""),0.0)</f>
        <v>0</v>
      </c>
      <c r="G1478" s="49"/>
      <c r="H1478" s="49"/>
      <c r="I1478" s="49"/>
      <c r="J1478" s="49"/>
      <c r="K1478" s="49"/>
      <c r="L1478" s="49"/>
      <c r="M1478" s="49"/>
      <c r="N1478" s="49"/>
      <c r="O1478" s="49"/>
      <c r="P1478" s="49"/>
      <c r="Q1478" s="49"/>
      <c r="R1478" s="49"/>
      <c r="S1478" s="49"/>
      <c r="T1478" s="49"/>
      <c r="U1478" s="49"/>
      <c r="V1478" s="49"/>
      <c r="W1478" s="49"/>
      <c r="X1478" s="49"/>
      <c r="Y1478" s="49"/>
      <c r="Z1478" s="49"/>
      <c r="AA1478" s="49"/>
      <c r="AB1478" s="49"/>
      <c r="AC1478" s="49"/>
      <c r="AD1478" s="49"/>
      <c r="AE1478" s="49"/>
      <c r="AF1478" s="49"/>
      <c r="AG1478" s="49"/>
      <c r="AH1478" s="49" t="b">
        <f>IFERROR(__xludf.DUMMYFUNCTION("""COMPUTED_VALUE"""),FALSE)</f>
        <v>0</v>
      </c>
    </row>
    <row r="1479">
      <c r="A1479" s="49"/>
      <c r="B1479" s="49"/>
      <c r="C1479" s="49"/>
      <c r="D1479" s="49"/>
      <c r="E1479" s="49">
        <f>IFERROR(__xludf.DUMMYFUNCTION("""COMPUTED_VALUE"""),1.0)</f>
        <v>1</v>
      </c>
      <c r="F1479" s="112">
        <f>IFERROR(__xludf.DUMMYFUNCTION("""COMPUTED_VALUE"""),0.0)</f>
        <v>0</v>
      </c>
      <c r="G1479" s="49"/>
      <c r="H1479" s="49"/>
      <c r="I1479" s="49"/>
      <c r="J1479" s="49"/>
      <c r="K1479" s="49"/>
      <c r="L1479" s="49"/>
      <c r="M1479" s="49"/>
      <c r="N1479" s="49"/>
      <c r="O1479" s="49"/>
      <c r="P1479" s="49"/>
      <c r="Q1479" s="49"/>
      <c r="R1479" s="49"/>
      <c r="S1479" s="49"/>
      <c r="T1479" s="49"/>
      <c r="U1479" s="49"/>
      <c r="V1479" s="49"/>
      <c r="W1479" s="49"/>
      <c r="X1479" s="49"/>
      <c r="Y1479" s="49"/>
      <c r="Z1479" s="49"/>
      <c r="AA1479" s="49"/>
      <c r="AB1479" s="49"/>
      <c r="AC1479" s="49"/>
      <c r="AD1479" s="49"/>
      <c r="AE1479" s="49"/>
      <c r="AF1479" s="49"/>
      <c r="AG1479" s="49"/>
      <c r="AH1479" s="49" t="b">
        <f>IFERROR(__xludf.DUMMYFUNCTION("""COMPUTED_VALUE"""),FALSE)</f>
        <v>0</v>
      </c>
    </row>
    <row r="1480">
      <c r="A1480" s="49"/>
      <c r="B1480" s="49"/>
      <c r="C1480" s="49"/>
      <c r="D1480" s="49"/>
      <c r="E1480" s="49">
        <f>IFERROR(__xludf.DUMMYFUNCTION("""COMPUTED_VALUE"""),1.0)</f>
        <v>1</v>
      </c>
      <c r="F1480" s="112">
        <f>IFERROR(__xludf.DUMMYFUNCTION("""COMPUTED_VALUE"""),0.0)</f>
        <v>0</v>
      </c>
      <c r="G1480" s="49"/>
      <c r="H1480" s="49"/>
      <c r="I1480" s="49"/>
      <c r="J1480" s="49"/>
      <c r="K1480" s="49"/>
      <c r="L1480" s="49"/>
      <c r="M1480" s="49"/>
      <c r="N1480" s="49"/>
      <c r="O1480" s="49"/>
      <c r="P1480" s="49"/>
      <c r="Q1480" s="49"/>
      <c r="R1480" s="49"/>
      <c r="S1480" s="49"/>
      <c r="T1480" s="49"/>
      <c r="U1480" s="49"/>
      <c r="V1480" s="49"/>
      <c r="W1480" s="49"/>
      <c r="X1480" s="49"/>
      <c r="Y1480" s="49"/>
      <c r="Z1480" s="49"/>
      <c r="AA1480" s="49"/>
      <c r="AB1480" s="49"/>
      <c r="AC1480" s="49"/>
      <c r="AD1480" s="49"/>
      <c r="AE1480" s="49"/>
      <c r="AF1480" s="49"/>
      <c r="AG1480" s="49"/>
      <c r="AH1480" s="49" t="b">
        <f>IFERROR(__xludf.DUMMYFUNCTION("""COMPUTED_VALUE"""),FALSE)</f>
        <v>0</v>
      </c>
    </row>
    <row r="1481">
      <c r="A1481" s="49"/>
      <c r="B1481" s="49"/>
      <c r="C1481" s="49"/>
      <c r="D1481" s="49"/>
      <c r="E1481" s="49">
        <f>IFERROR(__xludf.DUMMYFUNCTION("""COMPUTED_VALUE"""),1.0)</f>
        <v>1</v>
      </c>
      <c r="F1481" s="112">
        <f>IFERROR(__xludf.DUMMYFUNCTION("""COMPUTED_VALUE"""),0.0)</f>
        <v>0</v>
      </c>
      <c r="G1481" s="49"/>
      <c r="H1481" s="49"/>
      <c r="I1481" s="49"/>
      <c r="J1481" s="49"/>
      <c r="K1481" s="49"/>
      <c r="L1481" s="49"/>
      <c r="M1481" s="49"/>
      <c r="N1481" s="49"/>
      <c r="O1481" s="49"/>
      <c r="P1481" s="49"/>
      <c r="Q1481" s="49"/>
      <c r="R1481" s="49"/>
      <c r="S1481" s="49"/>
      <c r="T1481" s="49"/>
      <c r="U1481" s="49"/>
      <c r="V1481" s="49"/>
      <c r="W1481" s="49"/>
      <c r="X1481" s="49"/>
      <c r="Y1481" s="49"/>
      <c r="Z1481" s="49"/>
      <c r="AA1481" s="49"/>
      <c r="AB1481" s="49"/>
      <c r="AC1481" s="49"/>
      <c r="AD1481" s="49"/>
      <c r="AE1481" s="49"/>
      <c r="AF1481" s="49"/>
      <c r="AG1481" s="49"/>
      <c r="AH1481" s="49" t="b">
        <f>IFERROR(__xludf.DUMMYFUNCTION("""COMPUTED_VALUE"""),FALSE)</f>
        <v>0</v>
      </c>
    </row>
    <row r="1482">
      <c r="A1482" s="49"/>
      <c r="B1482" s="49"/>
      <c r="C1482" s="49"/>
      <c r="D1482" s="49"/>
      <c r="E1482" s="49">
        <f>IFERROR(__xludf.DUMMYFUNCTION("""COMPUTED_VALUE"""),1.0)</f>
        <v>1</v>
      </c>
      <c r="F1482" s="112">
        <f>IFERROR(__xludf.DUMMYFUNCTION("""COMPUTED_VALUE"""),0.0)</f>
        <v>0</v>
      </c>
      <c r="G1482" s="49"/>
      <c r="H1482" s="49"/>
      <c r="I1482" s="49"/>
      <c r="J1482" s="49"/>
      <c r="K1482" s="49"/>
      <c r="L1482" s="49"/>
      <c r="M1482" s="49"/>
      <c r="N1482" s="49"/>
      <c r="O1482" s="49"/>
      <c r="P1482" s="49"/>
      <c r="Q1482" s="49"/>
      <c r="R1482" s="49"/>
      <c r="S1482" s="49"/>
      <c r="T1482" s="49"/>
      <c r="U1482" s="49"/>
      <c r="V1482" s="49"/>
      <c r="W1482" s="49"/>
      <c r="X1482" s="49"/>
      <c r="Y1482" s="49"/>
      <c r="Z1482" s="49"/>
      <c r="AA1482" s="49"/>
      <c r="AB1482" s="49"/>
      <c r="AC1482" s="49"/>
      <c r="AD1482" s="49"/>
      <c r="AE1482" s="49"/>
      <c r="AF1482" s="49"/>
      <c r="AG1482" s="49"/>
      <c r="AH1482" s="49" t="b">
        <f>IFERROR(__xludf.DUMMYFUNCTION("""COMPUTED_VALUE"""),FALSE)</f>
        <v>0</v>
      </c>
    </row>
    <row r="1483">
      <c r="A1483" s="49"/>
      <c r="B1483" s="49"/>
      <c r="C1483" s="49"/>
      <c r="D1483" s="49"/>
      <c r="E1483" s="49">
        <f>IFERROR(__xludf.DUMMYFUNCTION("""COMPUTED_VALUE"""),1.0)</f>
        <v>1</v>
      </c>
      <c r="F1483" s="112">
        <f>IFERROR(__xludf.DUMMYFUNCTION("""COMPUTED_VALUE"""),0.0)</f>
        <v>0</v>
      </c>
      <c r="G1483" s="49"/>
      <c r="H1483" s="49"/>
      <c r="I1483" s="49"/>
      <c r="J1483" s="49"/>
      <c r="K1483" s="49"/>
      <c r="L1483" s="49"/>
      <c r="M1483" s="49"/>
      <c r="N1483" s="49"/>
      <c r="O1483" s="49"/>
      <c r="P1483" s="49"/>
      <c r="Q1483" s="49"/>
      <c r="R1483" s="49"/>
      <c r="S1483" s="49"/>
      <c r="T1483" s="49"/>
      <c r="U1483" s="49"/>
      <c r="V1483" s="49"/>
      <c r="W1483" s="49"/>
      <c r="X1483" s="49"/>
      <c r="Y1483" s="49"/>
      <c r="Z1483" s="49"/>
      <c r="AA1483" s="49"/>
      <c r="AB1483" s="49"/>
      <c r="AC1483" s="49"/>
      <c r="AD1483" s="49"/>
      <c r="AE1483" s="49"/>
      <c r="AF1483" s="49"/>
      <c r="AG1483" s="49"/>
      <c r="AH1483" s="49" t="b">
        <f>IFERROR(__xludf.DUMMYFUNCTION("""COMPUTED_VALUE"""),FALSE)</f>
        <v>0</v>
      </c>
    </row>
    <row r="1484">
      <c r="A1484" s="49"/>
      <c r="B1484" s="49"/>
      <c r="C1484" s="49"/>
      <c r="D1484" s="49"/>
      <c r="E1484" s="49">
        <f>IFERROR(__xludf.DUMMYFUNCTION("""COMPUTED_VALUE"""),1.0)</f>
        <v>1</v>
      </c>
      <c r="F1484" s="112">
        <f>IFERROR(__xludf.DUMMYFUNCTION("""COMPUTED_VALUE"""),0.0)</f>
        <v>0</v>
      </c>
      <c r="G1484" s="49"/>
      <c r="H1484" s="49"/>
      <c r="I1484" s="49"/>
      <c r="J1484" s="49"/>
      <c r="K1484" s="49"/>
      <c r="L1484" s="49"/>
      <c r="M1484" s="49"/>
      <c r="N1484" s="49"/>
      <c r="O1484" s="49"/>
      <c r="P1484" s="49"/>
      <c r="Q1484" s="49"/>
      <c r="R1484" s="49"/>
      <c r="S1484" s="49"/>
      <c r="T1484" s="49"/>
      <c r="U1484" s="49"/>
      <c r="V1484" s="49"/>
      <c r="W1484" s="49"/>
      <c r="X1484" s="49"/>
      <c r="Y1484" s="49"/>
      <c r="Z1484" s="49"/>
      <c r="AA1484" s="49"/>
      <c r="AB1484" s="49"/>
      <c r="AC1484" s="49"/>
      <c r="AD1484" s="49"/>
      <c r="AE1484" s="49"/>
      <c r="AF1484" s="49"/>
      <c r="AG1484" s="49"/>
      <c r="AH1484" s="49" t="b">
        <f>IFERROR(__xludf.DUMMYFUNCTION("""COMPUTED_VALUE"""),FALSE)</f>
        <v>0</v>
      </c>
    </row>
    <row r="1485">
      <c r="A1485" s="49"/>
      <c r="B1485" s="49"/>
      <c r="C1485" s="49"/>
      <c r="D1485" s="49"/>
      <c r="E1485" s="49">
        <f>IFERROR(__xludf.DUMMYFUNCTION("""COMPUTED_VALUE"""),1.0)</f>
        <v>1</v>
      </c>
      <c r="F1485" s="112">
        <f>IFERROR(__xludf.DUMMYFUNCTION("""COMPUTED_VALUE"""),0.0)</f>
        <v>0</v>
      </c>
      <c r="G1485" s="49"/>
      <c r="H1485" s="49"/>
      <c r="I1485" s="49"/>
      <c r="J1485" s="49"/>
      <c r="K1485" s="49"/>
      <c r="L1485" s="49"/>
      <c r="M1485" s="49"/>
      <c r="N1485" s="49"/>
      <c r="O1485" s="49"/>
      <c r="P1485" s="49"/>
      <c r="Q1485" s="49"/>
      <c r="R1485" s="49"/>
      <c r="S1485" s="49"/>
      <c r="T1485" s="49"/>
      <c r="U1485" s="49"/>
      <c r="V1485" s="49"/>
      <c r="W1485" s="49"/>
      <c r="X1485" s="49"/>
      <c r="Y1485" s="49"/>
      <c r="Z1485" s="49"/>
      <c r="AA1485" s="49"/>
      <c r="AB1485" s="49"/>
      <c r="AC1485" s="49"/>
      <c r="AD1485" s="49"/>
      <c r="AE1485" s="49"/>
      <c r="AF1485" s="49"/>
      <c r="AG1485" s="49"/>
      <c r="AH1485" s="49" t="b">
        <f>IFERROR(__xludf.DUMMYFUNCTION("""COMPUTED_VALUE"""),FALSE)</f>
        <v>0</v>
      </c>
    </row>
    <row r="1486">
      <c r="A1486" s="49"/>
      <c r="B1486" s="49"/>
      <c r="C1486" s="49"/>
      <c r="D1486" s="49"/>
      <c r="E1486" s="49">
        <f>IFERROR(__xludf.DUMMYFUNCTION("""COMPUTED_VALUE"""),1.0)</f>
        <v>1</v>
      </c>
      <c r="F1486" s="112">
        <f>IFERROR(__xludf.DUMMYFUNCTION("""COMPUTED_VALUE"""),0.0)</f>
        <v>0</v>
      </c>
      <c r="G1486" s="49"/>
      <c r="H1486" s="49"/>
      <c r="I1486" s="49"/>
      <c r="J1486" s="49"/>
      <c r="K1486" s="49"/>
      <c r="L1486" s="49"/>
      <c r="M1486" s="49"/>
      <c r="N1486" s="49"/>
      <c r="O1486" s="49"/>
      <c r="P1486" s="49"/>
      <c r="Q1486" s="49"/>
      <c r="R1486" s="49"/>
      <c r="S1486" s="49"/>
      <c r="T1486" s="49"/>
      <c r="U1486" s="49"/>
      <c r="V1486" s="49"/>
      <c r="W1486" s="49"/>
      <c r="X1486" s="49"/>
      <c r="Y1486" s="49"/>
      <c r="Z1486" s="49"/>
      <c r="AA1486" s="49"/>
      <c r="AB1486" s="49"/>
      <c r="AC1486" s="49"/>
      <c r="AD1486" s="49"/>
      <c r="AE1486" s="49"/>
      <c r="AF1486" s="49"/>
      <c r="AG1486" s="49"/>
      <c r="AH1486" s="49" t="b">
        <f>IFERROR(__xludf.DUMMYFUNCTION("""COMPUTED_VALUE"""),FALSE)</f>
        <v>0</v>
      </c>
    </row>
    <row r="1487">
      <c r="A1487" s="49"/>
      <c r="B1487" s="49"/>
      <c r="C1487" s="49"/>
      <c r="D1487" s="49"/>
      <c r="E1487" s="49">
        <f>IFERROR(__xludf.DUMMYFUNCTION("""COMPUTED_VALUE"""),1.0)</f>
        <v>1</v>
      </c>
      <c r="F1487" s="112">
        <f>IFERROR(__xludf.DUMMYFUNCTION("""COMPUTED_VALUE"""),0.0)</f>
        <v>0</v>
      </c>
      <c r="G1487" s="49"/>
      <c r="H1487" s="49"/>
      <c r="I1487" s="49"/>
      <c r="J1487" s="49"/>
      <c r="K1487" s="49"/>
      <c r="L1487" s="49"/>
      <c r="M1487" s="49"/>
      <c r="N1487" s="49"/>
      <c r="O1487" s="49"/>
      <c r="P1487" s="49"/>
      <c r="Q1487" s="49"/>
      <c r="R1487" s="49"/>
      <c r="S1487" s="49"/>
      <c r="T1487" s="49"/>
      <c r="U1487" s="49"/>
      <c r="V1487" s="49"/>
      <c r="W1487" s="49"/>
      <c r="X1487" s="49"/>
      <c r="Y1487" s="49"/>
      <c r="Z1487" s="49"/>
      <c r="AA1487" s="49"/>
      <c r="AB1487" s="49"/>
      <c r="AC1487" s="49"/>
      <c r="AD1487" s="49"/>
      <c r="AE1487" s="49"/>
      <c r="AF1487" s="49"/>
      <c r="AG1487" s="49"/>
      <c r="AH1487" s="49" t="b">
        <f>IFERROR(__xludf.DUMMYFUNCTION("""COMPUTED_VALUE"""),FALSE)</f>
        <v>0</v>
      </c>
    </row>
    <row r="1488">
      <c r="A1488" s="49"/>
      <c r="B1488" s="49"/>
      <c r="C1488" s="49"/>
      <c r="D1488" s="49"/>
      <c r="E1488" s="49">
        <f>IFERROR(__xludf.DUMMYFUNCTION("""COMPUTED_VALUE"""),1.0)</f>
        <v>1</v>
      </c>
      <c r="F1488" s="112">
        <f>IFERROR(__xludf.DUMMYFUNCTION("""COMPUTED_VALUE"""),0.0)</f>
        <v>0</v>
      </c>
      <c r="G1488" s="49"/>
      <c r="H1488" s="49"/>
      <c r="I1488" s="49"/>
      <c r="J1488" s="49"/>
      <c r="K1488" s="49"/>
      <c r="L1488" s="49"/>
      <c r="M1488" s="49"/>
      <c r="N1488" s="49"/>
      <c r="O1488" s="49"/>
      <c r="P1488" s="49"/>
      <c r="Q1488" s="49"/>
      <c r="R1488" s="49"/>
      <c r="S1488" s="49"/>
      <c r="T1488" s="49"/>
      <c r="U1488" s="49"/>
      <c r="V1488" s="49"/>
      <c r="W1488" s="49"/>
      <c r="X1488" s="49"/>
      <c r="Y1488" s="49"/>
      <c r="Z1488" s="49"/>
      <c r="AA1488" s="49"/>
      <c r="AB1488" s="49"/>
      <c r="AC1488" s="49"/>
      <c r="AD1488" s="49"/>
      <c r="AE1488" s="49"/>
      <c r="AF1488" s="49"/>
      <c r="AG1488" s="49"/>
      <c r="AH1488" s="49" t="b">
        <f>IFERROR(__xludf.DUMMYFUNCTION("""COMPUTED_VALUE"""),FALSE)</f>
        <v>0</v>
      </c>
    </row>
    <row r="1489">
      <c r="A1489" s="49"/>
      <c r="B1489" s="49"/>
      <c r="C1489" s="49"/>
      <c r="D1489" s="49"/>
      <c r="E1489" s="49">
        <f>IFERROR(__xludf.DUMMYFUNCTION("""COMPUTED_VALUE"""),1.0)</f>
        <v>1</v>
      </c>
      <c r="F1489" s="112">
        <f>IFERROR(__xludf.DUMMYFUNCTION("""COMPUTED_VALUE"""),0.0)</f>
        <v>0</v>
      </c>
      <c r="G1489" s="49"/>
      <c r="H1489" s="49"/>
      <c r="I1489" s="49"/>
      <c r="J1489" s="49"/>
      <c r="K1489" s="49"/>
      <c r="L1489" s="49"/>
      <c r="M1489" s="49"/>
      <c r="N1489" s="49"/>
      <c r="O1489" s="49"/>
      <c r="P1489" s="49"/>
      <c r="Q1489" s="49"/>
      <c r="R1489" s="49"/>
      <c r="S1489" s="49"/>
      <c r="T1489" s="49"/>
      <c r="U1489" s="49"/>
      <c r="V1489" s="49"/>
      <c r="W1489" s="49"/>
      <c r="X1489" s="49"/>
      <c r="Y1489" s="49"/>
      <c r="Z1489" s="49"/>
      <c r="AA1489" s="49"/>
      <c r="AB1489" s="49"/>
      <c r="AC1489" s="49"/>
      <c r="AD1489" s="49"/>
      <c r="AE1489" s="49"/>
      <c r="AF1489" s="49"/>
      <c r="AG1489" s="49"/>
      <c r="AH1489" s="49" t="b">
        <f>IFERROR(__xludf.DUMMYFUNCTION("""COMPUTED_VALUE"""),FALSE)</f>
        <v>0</v>
      </c>
    </row>
    <row r="1490">
      <c r="A1490" s="49"/>
      <c r="B1490" s="49"/>
      <c r="C1490" s="49"/>
      <c r="D1490" s="49"/>
      <c r="E1490" s="49">
        <f>IFERROR(__xludf.DUMMYFUNCTION("""COMPUTED_VALUE"""),1.0)</f>
        <v>1</v>
      </c>
      <c r="F1490" s="112">
        <f>IFERROR(__xludf.DUMMYFUNCTION("""COMPUTED_VALUE"""),0.0)</f>
        <v>0</v>
      </c>
      <c r="G1490" s="49"/>
      <c r="H1490" s="49"/>
      <c r="I1490" s="49"/>
      <c r="J1490" s="49"/>
      <c r="K1490" s="49"/>
      <c r="L1490" s="49"/>
      <c r="M1490" s="49"/>
      <c r="N1490" s="49"/>
      <c r="O1490" s="49"/>
      <c r="P1490" s="49"/>
      <c r="Q1490" s="49"/>
      <c r="R1490" s="49"/>
      <c r="S1490" s="49"/>
      <c r="T1490" s="49"/>
      <c r="U1490" s="49"/>
      <c r="V1490" s="49"/>
      <c r="W1490" s="49"/>
      <c r="X1490" s="49"/>
      <c r="Y1490" s="49"/>
      <c r="Z1490" s="49"/>
      <c r="AA1490" s="49"/>
      <c r="AB1490" s="49"/>
      <c r="AC1490" s="49"/>
      <c r="AD1490" s="49"/>
      <c r="AE1490" s="49"/>
      <c r="AF1490" s="49"/>
      <c r="AG1490" s="49"/>
      <c r="AH1490" s="49" t="b">
        <f>IFERROR(__xludf.DUMMYFUNCTION("""COMPUTED_VALUE"""),FALSE)</f>
        <v>0</v>
      </c>
    </row>
    <row r="1491">
      <c r="A1491" s="49"/>
      <c r="B1491" s="49"/>
      <c r="C1491" s="49"/>
      <c r="D1491" s="49"/>
      <c r="E1491" s="49">
        <f>IFERROR(__xludf.DUMMYFUNCTION("""COMPUTED_VALUE"""),1.0)</f>
        <v>1</v>
      </c>
      <c r="F1491" s="112">
        <f>IFERROR(__xludf.DUMMYFUNCTION("""COMPUTED_VALUE"""),0.0)</f>
        <v>0</v>
      </c>
      <c r="G1491" s="49"/>
      <c r="H1491" s="49"/>
      <c r="I1491" s="49"/>
      <c r="J1491" s="49"/>
      <c r="K1491" s="49"/>
      <c r="L1491" s="49"/>
      <c r="M1491" s="49"/>
      <c r="N1491" s="49"/>
      <c r="O1491" s="49"/>
      <c r="P1491" s="49"/>
      <c r="Q1491" s="49"/>
      <c r="R1491" s="49"/>
      <c r="S1491" s="49"/>
      <c r="T1491" s="49"/>
      <c r="U1491" s="49"/>
      <c r="V1491" s="49"/>
      <c r="W1491" s="49"/>
      <c r="X1491" s="49"/>
      <c r="Y1491" s="49"/>
      <c r="Z1491" s="49"/>
      <c r="AA1491" s="49"/>
      <c r="AB1491" s="49"/>
      <c r="AC1491" s="49"/>
      <c r="AD1491" s="49"/>
      <c r="AE1491" s="49"/>
      <c r="AF1491" s="49"/>
      <c r="AG1491" s="49"/>
      <c r="AH1491" s="49" t="b">
        <f>IFERROR(__xludf.DUMMYFUNCTION("""COMPUTED_VALUE"""),FALSE)</f>
        <v>0</v>
      </c>
    </row>
    <row r="1492">
      <c r="A1492" s="49"/>
      <c r="B1492" s="49"/>
      <c r="C1492" s="49"/>
      <c r="D1492" s="49"/>
      <c r="E1492" s="49">
        <f>IFERROR(__xludf.DUMMYFUNCTION("""COMPUTED_VALUE"""),1.0)</f>
        <v>1</v>
      </c>
      <c r="F1492" s="112">
        <f>IFERROR(__xludf.DUMMYFUNCTION("""COMPUTED_VALUE"""),0.0)</f>
        <v>0</v>
      </c>
      <c r="G1492" s="49"/>
      <c r="H1492" s="49"/>
      <c r="I1492" s="49"/>
      <c r="J1492" s="49"/>
      <c r="K1492" s="49"/>
      <c r="L1492" s="49"/>
      <c r="M1492" s="49"/>
      <c r="N1492" s="49"/>
      <c r="O1492" s="49"/>
      <c r="P1492" s="49"/>
      <c r="Q1492" s="49"/>
      <c r="R1492" s="49"/>
      <c r="S1492" s="49"/>
      <c r="T1492" s="49"/>
      <c r="U1492" s="49"/>
      <c r="V1492" s="49"/>
      <c r="W1492" s="49"/>
      <c r="X1492" s="49"/>
      <c r="Y1492" s="49"/>
      <c r="Z1492" s="49"/>
      <c r="AA1492" s="49"/>
      <c r="AB1492" s="49"/>
      <c r="AC1492" s="49"/>
      <c r="AD1492" s="49"/>
      <c r="AE1492" s="49"/>
      <c r="AF1492" s="49"/>
      <c r="AG1492" s="49"/>
      <c r="AH1492" s="49" t="b">
        <f>IFERROR(__xludf.DUMMYFUNCTION("""COMPUTED_VALUE"""),FALSE)</f>
        <v>0</v>
      </c>
    </row>
    <row r="1493">
      <c r="A1493" s="49"/>
      <c r="B1493" s="49"/>
      <c r="C1493" s="49"/>
      <c r="D1493" s="49"/>
      <c r="E1493" s="49">
        <f>IFERROR(__xludf.DUMMYFUNCTION("""COMPUTED_VALUE"""),1.0)</f>
        <v>1</v>
      </c>
      <c r="F1493" s="112">
        <f>IFERROR(__xludf.DUMMYFUNCTION("""COMPUTED_VALUE"""),0.0)</f>
        <v>0</v>
      </c>
      <c r="G1493" s="49"/>
      <c r="H1493" s="49"/>
      <c r="I1493" s="49"/>
      <c r="J1493" s="49"/>
      <c r="K1493" s="49"/>
      <c r="L1493" s="49"/>
      <c r="M1493" s="49"/>
      <c r="N1493" s="49"/>
      <c r="O1493" s="49"/>
      <c r="P1493" s="49"/>
      <c r="Q1493" s="49"/>
      <c r="R1493" s="49"/>
      <c r="S1493" s="49"/>
      <c r="T1493" s="49"/>
      <c r="U1493" s="49"/>
      <c r="V1493" s="49"/>
      <c r="W1493" s="49"/>
      <c r="X1493" s="49"/>
      <c r="Y1493" s="49"/>
      <c r="Z1493" s="49"/>
      <c r="AA1493" s="49"/>
      <c r="AB1493" s="49"/>
      <c r="AC1493" s="49"/>
      <c r="AD1493" s="49"/>
      <c r="AE1493" s="49"/>
      <c r="AF1493" s="49"/>
      <c r="AG1493" s="49"/>
      <c r="AH1493" s="49" t="b">
        <f>IFERROR(__xludf.DUMMYFUNCTION("""COMPUTED_VALUE"""),FALSE)</f>
        <v>0</v>
      </c>
    </row>
    <row r="1494">
      <c r="A1494" s="49"/>
      <c r="B1494" s="49"/>
      <c r="C1494" s="49"/>
      <c r="D1494" s="49"/>
      <c r="E1494" s="49">
        <f>IFERROR(__xludf.DUMMYFUNCTION("""COMPUTED_VALUE"""),1.0)</f>
        <v>1</v>
      </c>
      <c r="F1494" s="112">
        <f>IFERROR(__xludf.DUMMYFUNCTION("""COMPUTED_VALUE"""),0.0)</f>
        <v>0</v>
      </c>
      <c r="G1494" s="49"/>
      <c r="H1494" s="49"/>
      <c r="I1494" s="49"/>
      <c r="J1494" s="49"/>
      <c r="K1494" s="49"/>
      <c r="L1494" s="49"/>
      <c r="M1494" s="49"/>
      <c r="N1494" s="49"/>
      <c r="O1494" s="49"/>
      <c r="P1494" s="49"/>
      <c r="Q1494" s="49"/>
      <c r="R1494" s="49"/>
      <c r="S1494" s="49"/>
      <c r="T1494" s="49"/>
      <c r="U1494" s="49"/>
      <c r="V1494" s="49"/>
      <c r="W1494" s="49"/>
      <c r="X1494" s="49"/>
      <c r="Y1494" s="49"/>
      <c r="Z1494" s="49"/>
      <c r="AA1494" s="49"/>
      <c r="AB1494" s="49"/>
      <c r="AC1494" s="49"/>
      <c r="AD1494" s="49"/>
      <c r="AE1494" s="49"/>
      <c r="AF1494" s="49"/>
      <c r="AG1494" s="49"/>
      <c r="AH1494" s="49" t="b">
        <f>IFERROR(__xludf.DUMMYFUNCTION("""COMPUTED_VALUE"""),FALSE)</f>
        <v>0</v>
      </c>
    </row>
    <row r="1495">
      <c r="A1495" s="49"/>
      <c r="B1495" s="49"/>
      <c r="C1495" s="49"/>
      <c r="D1495" s="49"/>
      <c r="E1495" s="49">
        <f>IFERROR(__xludf.DUMMYFUNCTION("""COMPUTED_VALUE"""),1.0)</f>
        <v>1</v>
      </c>
      <c r="F1495" s="112">
        <f>IFERROR(__xludf.DUMMYFUNCTION("""COMPUTED_VALUE"""),0.0)</f>
        <v>0</v>
      </c>
      <c r="G1495" s="49"/>
      <c r="H1495" s="49"/>
      <c r="I1495" s="49"/>
      <c r="J1495" s="49"/>
      <c r="K1495" s="49"/>
      <c r="L1495" s="49"/>
      <c r="M1495" s="49"/>
      <c r="N1495" s="49"/>
      <c r="O1495" s="49"/>
      <c r="P1495" s="49"/>
      <c r="Q1495" s="49"/>
      <c r="R1495" s="49"/>
      <c r="S1495" s="49"/>
      <c r="T1495" s="49"/>
      <c r="U1495" s="49"/>
      <c r="V1495" s="49"/>
      <c r="W1495" s="49"/>
      <c r="X1495" s="49"/>
      <c r="Y1495" s="49"/>
      <c r="Z1495" s="49"/>
      <c r="AA1495" s="49"/>
      <c r="AB1495" s="49"/>
      <c r="AC1495" s="49"/>
      <c r="AD1495" s="49"/>
      <c r="AE1495" s="49"/>
      <c r="AF1495" s="49"/>
      <c r="AG1495" s="49"/>
      <c r="AH1495" s="49" t="b">
        <f>IFERROR(__xludf.DUMMYFUNCTION("""COMPUTED_VALUE"""),FALSE)</f>
        <v>0</v>
      </c>
    </row>
    <row r="1496">
      <c r="A1496" s="49"/>
      <c r="B1496" s="49"/>
      <c r="C1496" s="49"/>
      <c r="D1496" s="49"/>
      <c r="E1496" s="49">
        <f>IFERROR(__xludf.DUMMYFUNCTION("""COMPUTED_VALUE"""),1.0)</f>
        <v>1</v>
      </c>
      <c r="F1496" s="112">
        <f>IFERROR(__xludf.DUMMYFUNCTION("""COMPUTED_VALUE"""),0.0)</f>
        <v>0</v>
      </c>
      <c r="G1496" s="49"/>
      <c r="H1496" s="49"/>
      <c r="I1496" s="49"/>
      <c r="J1496" s="49"/>
      <c r="K1496" s="49"/>
      <c r="L1496" s="49"/>
      <c r="M1496" s="49"/>
      <c r="N1496" s="49"/>
      <c r="O1496" s="49"/>
      <c r="P1496" s="49"/>
      <c r="Q1496" s="49"/>
      <c r="R1496" s="49"/>
      <c r="S1496" s="49"/>
      <c r="T1496" s="49"/>
      <c r="U1496" s="49"/>
      <c r="V1496" s="49"/>
      <c r="W1496" s="49"/>
      <c r="X1496" s="49"/>
      <c r="Y1496" s="49"/>
      <c r="Z1496" s="49"/>
      <c r="AA1496" s="49"/>
      <c r="AB1496" s="49"/>
      <c r="AC1496" s="49"/>
      <c r="AD1496" s="49"/>
      <c r="AE1496" s="49"/>
      <c r="AF1496" s="49"/>
      <c r="AG1496" s="49"/>
      <c r="AH1496" s="49" t="b">
        <f>IFERROR(__xludf.DUMMYFUNCTION("""COMPUTED_VALUE"""),FALSE)</f>
        <v>0</v>
      </c>
    </row>
    <row r="1497">
      <c r="A1497" s="49"/>
      <c r="B1497" s="49"/>
      <c r="C1497" s="49"/>
      <c r="D1497" s="49"/>
      <c r="E1497" s="49">
        <f>IFERROR(__xludf.DUMMYFUNCTION("""COMPUTED_VALUE"""),1.0)</f>
        <v>1</v>
      </c>
      <c r="F1497" s="112">
        <f>IFERROR(__xludf.DUMMYFUNCTION("""COMPUTED_VALUE"""),0.0)</f>
        <v>0</v>
      </c>
      <c r="G1497" s="49"/>
      <c r="H1497" s="49"/>
      <c r="I1497" s="49"/>
      <c r="J1497" s="49"/>
      <c r="K1497" s="49"/>
      <c r="L1497" s="49"/>
      <c r="M1497" s="49"/>
      <c r="N1497" s="49"/>
      <c r="O1497" s="49"/>
      <c r="P1497" s="49"/>
      <c r="Q1497" s="49"/>
      <c r="R1497" s="49"/>
      <c r="S1497" s="49"/>
      <c r="T1497" s="49"/>
      <c r="U1497" s="49"/>
      <c r="V1497" s="49"/>
      <c r="W1497" s="49"/>
      <c r="X1497" s="49"/>
      <c r="Y1497" s="49"/>
      <c r="Z1497" s="49"/>
      <c r="AA1497" s="49"/>
      <c r="AB1497" s="49"/>
      <c r="AC1497" s="49"/>
      <c r="AD1497" s="49"/>
      <c r="AE1497" s="49"/>
      <c r="AF1497" s="49"/>
      <c r="AG1497" s="49"/>
      <c r="AH1497" s="49" t="b">
        <f>IFERROR(__xludf.DUMMYFUNCTION("""COMPUTED_VALUE"""),FALSE)</f>
        <v>0</v>
      </c>
    </row>
    <row r="1498">
      <c r="A1498" s="49"/>
      <c r="B1498" s="49"/>
      <c r="C1498" s="49"/>
      <c r="D1498" s="49"/>
      <c r="E1498" s="49">
        <f>IFERROR(__xludf.DUMMYFUNCTION("""COMPUTED_VALUE"""),1.0)</f>
        <v>1</v>
      </c>
      <c r="F1498" s="112">
        <f>IFERROR(__xludf.DUMMYFUNCTION("""COMPUTED_VALUE"""),0.0)</f>
        <v>0</v>
      </c>
      <c r="G1498" s="49"/>
      <c r="H1498" s="49"/>
      <c r="I1498" s="49"/>
      <c r="J1498" s="49"/>
      <c r="K1498" s="49"/>
      <c r="L1498" s="49"/>
      <c r="M1498" s="49"/>
      <c r="N1498" s="49"/>
      <c r="O1498" s="49"/>
      <c r="P1498" s="49"/>
      <c r="Q1498" s="49"/>
      <c r="R1498" s="49"/>
      <c r="S1498" s="49"/>
      <c r="T1498" s="49"/>
      <c r="U1498" s="49"/>
      <c r="V1498" s="49"/>
      <c r="W1498" s="49"/>
      <c r="X1498" s="49"/>
      <c r="Y1498" s="49"/>
      <c r="Z1498" s="49"/>
      <c r="AA1498" s="49"/>
      <c r="AB1498" s="49"/>
      <c r="AC1498" s="49"/>
      <c r="AD1498" s="49"/>
      <c r="AE1498" s="49"/>
      <c r="AF1498" s="49"/>
      <c r="AG1498" s="49"/>
      <c r="AH1498" s="49" t="b">
        <f>IFERROR(__xludf.DUMMYFUNCTION("""COMPUTED_VALUE"""),FALSE)</f>
        <v>0</v>
      </c>
    </row>
    <row r="1499">
      <c r="A1499" s="49"/>
      <c r="B1499" s="49"/>
      <c r="C1499" s="49"/>
      <c r="D1499" s="49"/>
      <c r="E1499" s="49">
        <f>IFERROR(__xludf.DUMMYFUNCTION("""COMPUTED_VALUE"""),1.0)</f>
        <v>1</v>
      </c>
      <c r="F1499" s="112">
        <f>IFERROR(__xludf.DUMMYFUNCTION("""COMPUTED_VALUE"""),0.0)</f>
        <v>0</v>
      </c>
      <c r="G1499" s="49"/>
      <c r="H1499" s="49"/>
      <c r="I1499" s="49"/>
      <c r="J1499" s="49"/>
      <c r="K1499" s="49"/>
      <c r="L1499" s="49"/>
      <c r="M1499" s="49"/>
      <c r="N1499" s="49"/>
      <c r="O1499" s="49"/>
      <c r="P1499" s="49"/>
      <c r="Q1499" s="49"/>
      <c r="R1499" s="49"/>
      <c r="S1499" s="49"/>
      <c r="T1499" s="49"/>
      <c r="U1499" s="49"/>
      <c r="V1499" s="49"/>
      <c r="W1499" s="49"/>
      <c r="X1499" s="49"/>
      <c r="Y1499" s="49"/>
      <c r="Z1499" s="49"/>
      <c r="AA1499" s="49"/>
      <c r="AB1499" s="49"/>
      <c r="AC1499" s="49"/>
      <c r="AD1499" s="49"/>
      <c r="AE1499" s="49"/>
      <c r="AF1499" s="49"/>
      <c r="AG1499" s="49"/>
      <c r="AH1499" s="49" t="b">
        <f>IFERROR(__xludf.DUMMYFUNCTION("""COMPUTED_VALUE"""),FALSE)</f>
        <v>0</v>
      </c>
    </row>
    <row r="1500">
      <c r="A1500" s="49"/>
      <c r="B1500" s="49"/>
      <c r="C1500" s="49"/>
      <c r="D1500" s="49"/>
      <c r="E1500" s="49">
        <f>IFERROR(__xludf.DUMMYFUNCTION("""COMPUTED_VALUE"""),1.0)</f>
        <v>1</v>
      </c>
      <c r="F1500" s="112">
        <f>IFERROR(__xludf.DUMMYFUNCTION("""COMPUTED_VALUE"""),0.0)</f>
        <v>0</v>
      </c>
      <c r="G1500" s="49"/>
      <c r="H1500" s="49"/>
      <c r="I1500" s="49"/>
      <c r="J1500" s="49"/>
      <c r="K1500" s="49"/>
      <c r="L1500" s="49"/>
      <c r="M1500" s="49"/>
      <c r="N1500" s="49"/>
      <c r="O1500" s="49"/>
      <c r="P1500" s="49"/>
      <c r="Q1500" s="49"/>
      <c r="R1500" s="49"/>
      <c r="S1500" s="49"/>
      <c r="T1500" s="49"/>
      <c r="U1500" s="49"/>
      <c r="V1500" s="49"/>
      <c r="W1500" s="49"/>
      <c r="X1500" s="49"/>
      <c r="Y1500" s="49"/>
      <c r="Z1500" s="49"/>
      <c r="AA1500" s="49"/>
      <c r="AB1500" s="49"/>
      <c r="AC1500" s="49"/>
      <c r="AD1500" s="49"/>
      <c r="AE1500" s="49"/>
      <c r="AF1500" s="49"/>
      <c r="AG1500" s="49"/>
      <c r="AH1500" s="49" t="b">
        <f>IFERROR(__xludf.DUMMYFUNCTION("""COMPUTED_VALUE"""),FALSE)</f>
        <v>0</v>
      </c>
    </row>
    <row r="1501">
      <c r="A1501" s="49"/>
      <c r="B1501" s="49"/>
      <c r="C1501" s="49"/>
      <c r="D1501" s="49"/>
      <c r="E1501" s="49">
        <f>IFERROR(__xludf.DUMMYFUNCTION("""COMPUTED_VALUE"""),1.0)</f>
        <v>1</v>
      </c>
      <c r="F1501" s="112">
        <f>IFERROR(__xludf.DUMMYFUNCTION("""COMPUTED_VALUE"""),0.0)</f>
        <v>0</v>
      </c>
      <c r="G1501" s="49"/>
      <c r="H1501" s="49"/>
      <c r="I1501" s="49"/>
      <c r="J1501" s="49"/>
      <c r="K1501" s="49"/>
      <c r="L1501" s="49"/>
      <c r="M1501" s="49"/>
      <c r="N1501" s="49"/>
      <c r="O1501" s="49"/>
      <c r="P1501" s="49"/>
      <c r="Q1501" s="49"/>
      <c r="R1501" s="49"/>
      <c r="S1501" s="49"/>
      <c r="T1501" s="49"/>
      <c r="U1501" s="49"/>
      <c r="V1501" s="49"/>
      <c r="W1501" s="49"/>
      <c r="X1501" s="49"/>
      <c r="Y1501" s="49"/>
      <c r="Z1501" s="49"/>
      <c r="AA1501" s="49"/>
      <c r="AB1501" s="49"/>
      <c r="AC1501" s="49"/>
      <c r="AD1501" s="49"/>
      <c r="AE1501" s="49"/>
      <c r="AF1501" s="49"/>
      <c r="AG1501" s="49"/>
      <c r="AH1501" s="49" t="b">
        <f>IFERROR(__xludf.DUMMYFUNCTION("""COMPUTED_VALUE"""),FALSE)</f>
        <v>0</v>
      </c>
    </row>
    <row r="1502">
      <c r="A1502" s="49"/>
      <c r="B1502" s="49"/>
      <c r="C1502" s="49"/>
      <c r="D1502" s="49"/>
      <c r="E1502" s="49">
        <f>IFERROR(__xludf.DUMMYFUNCTION("""COMPUTED_VALUE"""),1.0)</f>
        <v>1</v>
      </c>
      <c r="F1502" s="112">
        <f>IFERROR(__xludf.DUMMYFUNCTION("""COMPUTED_VALUE"""),0.0)</f>
        <v>0</v>
      </c>
      <c r="G1502" s="49"/>
      <c r="H1502" s="49"/>
      <c r="I1502" s="49"/>
      <c r="J1502" s="49"/>
      <c r="K1502" s="49"/>
      <c r="L1502" s="49"/>
      <c r="M1502" s="49"/>
      <c r="N1502" s="49"/>
      <c r="O1502" s="49"/>
      <c r="P1502" s="49"/>
      <c r="Q1502" s="49"/>
      <c r="R1502" s="49"/>
      <c r="S1502" s="49"/>
      <c r="T1502" s="49"/>
      <c r="U1502" s="49"/>
      <c r="V1502" s="49"/>
      <c r="W1502" s="49"/>
      <c r="X1502" s="49"/>
      <c r="Y1502" s="49"/>
      <c r="Z1502" s="49"/>
      <c r="AA1502" s="49"/>
      <c r="AB1502" s="49"/>
      <c r="AC1502" s="49"/>
      <c r="AD1502" s="49"/>
      <c r="AE1502" s="49"/>
      <c r="AF1502" s="49"/>
      <c r="AG1502" s="49"/>
      <c r="AH1502" s="49" t="b">
        <f>IFERROR(__xludf.DUMMYFUNCTION("""COMPUTED_VALUE"""),FALSE)</f>
        <v>0</v>
      </c>
    </row>
    <row r="1503">
      <c r="A1503" s="49"/>
      <c r="B1503" s="49"/>
      <c r="C1503" s="49"/>
      <c r="D1503" s="49"/>
      <c r="E1503" s="49">
        <f>IFERROR(__xludf.DUMMYFUNCTION("""COMPUTED_VALUE"""),1.0)</f>
        <v>1</v>
      </c>
      <c r="F1503" s="112">
        <f>IFERROR(__xludf.DUMMYFUNCTION("""COMPUTED_VALUE"""),0.0)</f>
        <v>0</v>
      </c>
      <c r="G1503" s="49"/>
      <c r="H1503" s="49"/>
      <c r="I1503" s="49"/>
      <c r="J1503" s="49"/>
      <c r="K1503" s="49"/>
      <c r="L1503" s="49"/>
      <c r="M1503" s="49"/>
      <c r="N1503" s="49"/>
      <c r="O1503" s="49"/>
      <c r="P1503" s="49"/>
      <c r="Q1503" s="49"/>
      <c r="R1503" s="49"/>
      <c r="S1503" s="49"/>
      <c r="T1503" s="49"/>
      <c r="U1503" s="49"/>
      <c r="V1503" s="49"/>
      <c r="W1503" s="49"/>
      <c r="X1503" s="49"/>
      <c r="Y1503" s="49"/>
      <c r="Z1503" s="49"/>
      <c r="AA1503" s="49"/>
      <c r="AB1503" s="49"/>
      <c r="AC1503" s="49"/>
      <c r="AD1503" s="49"/>
      <c r="AE1503" s="49"/>
      <c r="AF1503" s="49"/>
      <c r="AG1503" s="49"/>
      <c r="AH1503" s="49" t="b">
        <f>IFERROR(__xludf.DUMMYFUNCTION("""COMPUTED_VALUE"""),FALSE)</f>
        <v>0</v>
      </c>
    </row>
    <row r="1504">
      <c r="A1504" s="49"/>
      <c r="B1504" s="49"/>
      <c r="C1504" s="49"/>
      <c r="D1504" s="49"/>
      <c r="E1504" s="49">
        <f>IFERROR(__xludf.DUMMYFUNCTION("""COMPUTED_VALUE"""),1.0)</f>
        <v>1</v>
      </c>
      <c r="F1504" s="112">
        <f>IFERROR(__xludf.DUMMYFUNCTION("""COMPUTED_VALUE"""),0.0)</f>
        <v>0</v>
      </c>
      <c r="G1504" s="49"/>
      <c r="H1504" s="49"/>
      <c r="I1504" s="49"/>
      <c r="J1504" s="49"/>
      <c r="K1504" s="49"/>
      <c r="L1504" s="49"/>
      <c r="M1504" s="49"/>
      <c r="N1504" s="49"/>
      <c r="O1504" s="49"/>
      <c r="P1504" s="49"/>
      <c r="Q1504" s="49"/>
      <c r="R1504" s="49"/>
      <c r="S1504" s="49"/>
      <c r="T1504" s="49"/>
      <c r="U1504" s="49"/>
      <c r="V1504" s="49"/>
      <c r="W1504" s="49"/>
      <c r="X1504" s="49"/>
      <c r="Y1504" s="49"/>
      <c r="Z1504" s="49"/>
      <c r="AA1504" s="49"/>
      <c r="AB1504" s="49"/>
      <c r="AC1504" s="49"/>
      <c r="AD1504" s="49"/>
      <c r="AE1504" s="49"/>
      <c r="AF1504" s="49"/>
      <c r="AG1504" s="49"/>
      <c r="AH1504" s="49" t="b">
        <f>IFERROR(__xludf.DUMMYFUNCTION("""COMPUTED_VALUE"""),FALSE)</f>
        <v>0</v>
      </c>
    </row>
    <row r="1505">
      <c r="A1505" s="49"/>
      <c r="B1505" s="49"/>
      <c r="C1505" s="49"/>
      <c r="D1505" s="49"/>
      <c r="E1505" s="49">
        <f>IFERROR(__xludf.DUMMYFUNCTION("""COMPUTED_VALUE"""),1.0)</f>
        <v>1</v>
      </c>
      <c r="F1505" s="112">
        <f>IFERROR(__xludf.DUMMYFUNCTION("""COMPUTED_VALUE"""),0.0)</f>
        <v>0</v>
      </c>
      <c r="G1505" s="49"/>
      <c r="H1505" s="49"/>
      <c r="I1505" s="49"/>
      <c r="J1505" s="49"/>
      <c r="K1505" s="49"/>
      <c r="L1505" s="49"/>
      <c r="M1505" s="49"/>
      <c r="N1505" s="49"/>
      <c r="O1505" s="49"/>
      <c r="P1505" s="49"/>
      <c r="Q1505" s="49"/>
      <c r="R1505" s="49"/>
      <c r="S1505" s="49"/>
      <c r="T1505" s="49"/>
      <c r="U1505" s="49"/>
      <c r="V1505" s="49"/>
      <c r="W1505" s="49"/>
      <c r="X1505" s="49"/>
      <c r="Y1505" s="49"/>
      <c r="Z1505" s="49"/>
      <c r="AA1505" s="49"/>
      <c r="AB1505" s="49"/>
      <c r="AC1505" s="49"/>
      <c r="AD1505" s="49"/>
      <c r="AE1505" s="49"/>
      <c r="AF1505" s="49"/>
      <c r="AG1505" s="49"/>
      <c r="AH1505" s="49" t="b">
        <f>IFERROR(__xludf.DUMMYFUNCTION("""COMPUTED_VALUE"""),FALSE)</f>
        <v>0</v>
      </c>
    </row>
    <row r="1506">
      <c r="A1506" s="49"/>
      <c r="B1506" s="49"/>
      <c r="C1506" s="49"/>
      <c r="D1506" s="49"/>
      <c r="E1506" s="49">
        <f>IFERROR(__xludf.DUMMYFUNCTION("""COMPUTED_VALUE"""),1.0)</f>
        <v>1</v>
      </c>
      <c r="F1506" s="112">
        <f>IFERROR(__xludf.DUMMYFUNCTION("""COMPUTED_VALUE"""),0.0)</f>
        <v>0</v>
      </c>
      <c r="G1506" s="49"/>
      <c r="H1506" s="49"/>
      <c r="I1506" s="49"/>
      <c r="J1506" s="49"/>
      <c r="K1506" s="49"/>
      <c r="L1506" s="49"/>
      <c r="M1506" s="49"/>
      <c r="N1506" s="49"/>
      <c r="O1506" s="49"/>
      <c r="P1506" s="49"/>
      <c r="Q1506" s="49"/>
      <c r="R1506" s="49"/>
      <c r="S1506" s="49"/>
      <c r="T1506" s="49"/>
      <c r="U1506" s="49"/>
      <c r="V1506" s="49"/>
      <c r="W1506" s="49"/>
      <c r="X1506" s="49"/>
      <c r="Y1506" s="49"/>
      <c r="Z1506" s="49"/>
      <c r="AA1506" s="49"/>
      <c r="AB1506" s="49"/>
      <c r="AC1506" s="49"/>
      <c r="AD1506" s="49"/>
      <c r="AE1506" s="49"/>
      <c r="AF1506" s="49"/>
      <c r="AG1506" s="49"/>
      <c r="AH1506" s="49" t="b">
        <f>IFERROR(__xludf.DUMMYFUNCTION("""COMPUTED_VALUE"""),FALSE)</f>
        <v>0</v>
      </c>
    </row>
    <row r="1507">
      <c r="A1507" s="49"/>
      <c r="B1507" s="49"/>
      <c r="C1507" s="49"/>
      <c r="D1507" s="49"/>
      <c r="E1507" s="49">
        <f>IFERROR(__xludf.DUMMYFUNCTION("""COMPUTED_VALUE"""),1.0)</f>
        <v>1</v>
      </c>
      <c r="F1507" s="112">
        <f>IFERROR(__xludf.DUMMYFUNCTION("""COMPUTED_VALUE"""),0.0)</f>
        <v>0</v>
      </c>
      <c r="G1507" s="49"/>
      <c r="H1507" s="49"/>
      <c r="I1507" s="49"/>
      <c r="J1507" s="49"/>
      <c r="K1507" s="49"/>
      <c r="L1507" s="49"/>
      <c r="M1507" s="49"/>
      <c r="N1507" s="49"/>
      <c r="O1507" s="49"/>
      <c r="P1507" s="49"/>
      <c r="Q1507" s="49"/>
      <c r="R1507" s="49"/>
      <c r="S1507" s="49"/>
      <c r="T1507" s="49"/>
      <c r="U1507" s="49"/>
      <c r="V1507" s="49"/>
      <c r="W1507" s="49"/>
      <c r="X1507" s="49"/>
      <c r="Y1507" s="49"/>
      <c r="Z1507" s="49"/>
      <c r="AA1507" s="49"/>
      <c r="AB1507" s="49"/>
      <c r="AC1507" s="49"/>
      <c r="AD1507" s="49"/>
      <c r="AE1507" s="49"/>
      <c r="AF1507" s="49"/>
      <c r="AG1507" s="49"/>
      <c r="AH1507" s="49" t="b">
        <f>IFERROR(__xludf.DUMMYFUNCTION("""COMPUTED_VALUE"""),FALSE)</f>
        <v>0</v>
      </c>
    </row>
    <row r="1508">
      <c r="A1508" s="49"/>
      <c r="B1508" s="49"/>
      <c r="C1508" s="49"/>
      <c r="D1508" s="49"/>
      <c r="E1508" s="49">
        <f>IFERROR(__xludf.DUMMYFUNCTION("""COMPUTED_VALUE"""),1.0)</f>
        <v>1</v>
      </c>
      <c r="F1508" s="112">
        <f>IFERROR(__xludf.DUMMYFUNCTION("""COMPUTED_VALUE"""),0.0)</f>
        <v>0</v>
      </c>
      <c r="G1508" s="49"/>
      <c r="H1508" s="49"/>
      <c r="I1508" s="49"/>
      <c r="J1508" s="49"/>
      <c r="K1508" s="49"/>
      <c r="L1508" s="49"/>
      <c r="M1508" s="49"/>
      <c r="N1508" s="49"/>
      <c r="O1508" s="49"/>
      <c r="P1508" s="49"/>
      <c r="Q1508" s="49"/>
      <c r="R1508" s="49"/>
      <c r="S1508" s="49"/>
      <c r="T1508" s="49"/>
      <c r="U1508" s="49"/>
      <c r="V1508" s="49"/>
      <c r="W1508" s="49"/>
      <c r="X1508" s="49"/>
      <c r="Y1508" s="49"/>
      <c r="Z1508" s="49"/>
      <c r="AA1508" s="49"/>
      <c r="AB1508" s="49"/>
      <c r="AC1508" s="49"/>
      <c r="AD1508" s="49"/>
      <c r="AE1508" s="49"/>
      <c r="AF1508" s="49"/>
      <c r="AG1508" s="49"/>
      <c r="AH1508" s="49" t="b">
        <f>IFERROR(__xludf.DUMMYFUNCTION("""COMPUTED_VALUE"""),FALSE)</f>
        <v>0</v>
      </c>
    </row>
    <row r="1509">
      <c r="A1509" s="49"/>
      <c r="B1509" s="49"/>
      <c r="C1509" s="49"/>
      <c r="D1509" s="49"/>
      <c r="E1509" s="49">
        <f>IFERROR(__xludf.DUMMYFUNCTION("""COMPUTED_VALUE"""),1.0)</f>
        <v>1</v>
      </c>
      <c r="F1509" s="112">
        <f>IFERROR(__xludf.DUMMYFUNCTION("""COMPUTED_VALUE"""),0.0)</f>
        <v>0</v>
      </c>
      <c r="G1509" s="49"/>
      <c r="H1509" s="49"/>
      <c r="I1509" s="49"/>
      <c r="J1509" s="49"/>
      <c r="K1509" s="49"/>
      <c r="L1509" s="49"/>
      <c r="M1509" s="49"/>
      <c r="N1509" s="49"/>
      <c r="O1509" s="49"/>
      <c r="P1509" s="49"/>
      <c r="Q1509" s="49"/>
      <c r="R1509" s="49"/>
      <c r="S1509" s="49"/>
      <c r="T1509" s="49"/>
      <c r="U1509" s="49"/>
      <c r="V1509" s="49"/>
      <c r="W1509" s="49"/>
      <c r="X1509" s="49"/>
      <c r="Y1509" s="49"/>
      <c r="Z1509" s="49"/>
      <c r="AA1509" s="49"/>
      <c r="AB1509" s="49"/>
      <c r="AC1509" s="49"/>
      <c r="AD1509" s="49"/>
      <c r="AE1509" s="49"/>
      <c r="AF1509" s="49"/>
      <c r="AG1509" s="49"/>
      <c r="AH1509" s="49" t="b">
        <f>IFERROR(__xludf.DUMMYFUNCTION("""COMPUTED_VALUE"""),FALSE)</f>
        <v>0</v>
      </c>
    </row>
    <row r="1510">
      <c r="A1510" s="49"/>
      <c r="B1510" s="49"/>
      <c r="C1510" s="49"/>
      <c r="D1510" s="49"/>
      <c r="E1510" s="49">
        <f>IFERROR(__xludf.DUMMYFUNCTION("""COMPUTED_VALUE"""),1.0)</f>
        <v>1</v>
      </c>
      <c r="F1510" s="112">
        <f>IFERROR(__xludf.DUMMYFUNCTION("""COMPUTED_VALUE"""),0.0)</f>
        <v>0</v>
      </c>
      <c r="G1510" s="49"/>
      <c r="H1510" s="49"/>
      <c r="I1510" s="49"/>
      <c r="J1510" s="49"/>
      <c r="K1510" s="49"/>
      <c r="L1510" s="49"/>
      <c r="M1510" s="49"/>
      <c r="N1510" s="49"/>
      <c r="O1510" s="49"/>
      <c r="P1510" s="49"/>
      <c r="Q1510" s="49"/>
      <c r="R1510" s="49"/>
      <c r="S1510" s="49"/>
      <c r="T1510" s="49"/>
      <c r="U1510" s="49"/>
      <c r="V1510" s="49"/>
      <c r="W1510" s="49"/>
      <c r="X1510" s="49"/>
      <c r="Y1510" s="49"/>
      <c r="Z1510" s="49"/>
      <c r="AA1510" s="49"/>
      <c r="AB1510" s="49"/>
      <c r="AC1510" s="49"/>
      <c r="AD1510" s="49"/>
      <c r="AE1510" s="49"/>
      <c r="AF1510" s="49"/>
      <c r="AG1510" s="49"/>
      <c r="AH1510" s="49" t="b">
        <f>IFERROR(__xludf.DUMMYFUNCTION("""COMPUTED_VALUE"""),FALSE)</f>
        <v>0</v>
      </c>
    </row>
    <row r="1511">
      <c r="A1511" s="49"/>
      <c r="B1511" s="49"/>
      <c r="C1511" s="49"/>
      <c r="D1511" s="49"/>
      <c r="E1511" s="49">
        <f>IFERROR(__xludf.DUMMYFUNCTION("""COMPUTED_VALUE"""),1.0)</f>
        <v>1</v>
      </c>
      <c r="F1511" s="112">
        <f>IFERROR(__xludf.DUMMYFUNCTION("""COMPUTED_VALUE"""),0.0)</f>
        <v>0</v>
      </c>
      <c r="G1511" s="49"/>
      <c r="H1511" s="49"/>
      <c r="I1511" s="49"/>
      <c r="J1511" s="49"/>
      <c r="K1511" s="49"/>
      <c r="L1511" s="49"/>
      <c r="M1511" s="49"/>
      <c r="N1511" s="49"/>
      <c r="O1511" s="49"/>
      <c r="P1511" s="49"/>
      <c r="Q1511" s="49"/>
      <c r="R1511" s="49"/>
      <c r="S1511" s="49"/>
      <c r="T1511" s="49"/>
      <c r="U1511" s="49"/>
      <c r="V1511" s="49"/>
      <c r="W1511" s="49"/>
      <c r="X1511" s="49"/>
      <c r="Y1511" s="49"/>
      <c r="Z1511" s="49"/>
      <c r="AA1511" s="49"/>
      <c r="AB1511" s="49"/>
      <c r="AC1511" s="49"/>
      <c r="AD1511" s="49"/>
      <c r="AE1511" s="49"/>
      <c r="AF1511" s="49"/>
      <c r="AG1511" s="49"/>
      <c r="AH1511" s="49" t="b">
        <f>IFERROR(__xludf.DUMMYFUNCTION("""COMPUTED_VALUE"""),FALSE)</f>
        <v>0</v>
      </c>
    </row>
    <row r="1512">
      <c r="A1512" s="49"/>
      <c r="B1512" s="49"/>
      <c r="C1512" s="49"/>
      <c r="D1512" s="49"/>
      <c r="E1512" s="49">
        <f>IFERROR(__xludf.DUMMYFUNCTION("""COMPUTED_VALUE"""),1.0)</f>
        <v>1</v>
      </c>
      <c r="F1512" s="112">
        <f>IFERROR(__xludf.DUMMYFUNCTION("""COMPUTED_VALUE"""),0.0)</f>
        <v>0</v>
      </c>
      <c r="G1512" s="49"/>
      <c r="H1512" s="49"/>
      <c r="I1512" s="49"/>
      <c r="J1512" s="49"/>
      <c r="K1512" s="49"/>
      <c r="L1512" s="49"/>
      <c r="M1512" s="49"/>
      <c r="N1512" s="49"/>
      <c r="O1512" s="49"/>
      <c r="P1512" s="49"/>
      <c r="Q1512" s="49"/>
      <c r="R1512" s="49"/>
      <c r="S1512" s="49"/>
      <c r="T1512" s="49"/>
      <c r="U1512" s="49"/>
      <c r="V1512" s="49"/>
      <c r="W1512" s="49"/>
      <c r="X1512" s="49"/>
      <c r="Y1512" s="49"/>
      <c r="Z1512" s="49"/>
      <c r="AA1512" s="49"/>
      <c r="AB1512" s="49"/>
      <c r="AC1512" s="49"/>
      <c r="AD1512" s="49"/>
      <c r="AE1512" s="49"/>
      <c r="AF1512" s="49"/>
      <c r="AG1512" s="49"/>
      <c r="AH1512" s="49" t="b">
        <f>IFERROR(__xludf.DUMMYFUNCTION("""COMPUTED_VALUE"""),FALSE)</f>
        <v>0</v>
      </c>
    </row>
    <row r="1513">
      <c r="A1513" s="49"/>
      <c r="B1513" s="49"/>
      <c r="C1513" s="49"/>
      <c r="D1513" s="49"/>
      <c r="E1513" s="49">
        <f>IFERROR(__xludf.DUMMYFUNCTION("""COMPUTED_VALUE"""),1.0)</f>
        <v>1</v>
      </c>
      <c r="F1513" s="112">
        <f>IFERROR(__xludf.DUMMYFUNCTION("""COMPUTED_VALUE"""),0.0)</f>
        <v>0</v>
      </c>
      <c r="G1513" s="49"/>
      <c r="H1513" s="49"/>
      <c r="I1513" s="49"/>
      <c r="J1513" s="49"/>
      <c r="K1513" s="49"/>
      <c r="L1513" s="49"/>
      <c r="M1513" s="49"/>
      <c r="N1513" s="49"/>
      <c r="O1513" s="49"/>
      <c r="P1513" s="49"/>
      <c r="Q1513" s="49"/>
      <c r="R1513" s="49"/>
      <c r="S1513" s="49"/>
      <c r="T1513" s="49"/>
      <c r="U1513" s="49"/>
      <c r="V1513" s="49"/>
      <c r="W1513" s="49"/>
      <c r="X1513" s="49"/>
      <c r="Y1513" s="49"/>
      <c r="Z1513" s="49"/>
      <c r="AA1513" s="49"/>
      <c r="AB1513" s="49"/>
      <c r="AC1513" s="49"/>
      <c r="AD1513" s="49"/>
      <c r="AE1513" s="49"/>
      <c r="AF1513" s="49"/>
      <c r="AG1513" s="49"/>
      <c r="AH1513" s="49" t="b">
        <f>IFERROR(__xludf.DUMMYFUNCTION("""COMPUTED_VALUE"""),FALSE)</f>
        <v>0</v>
      </c>
    </row>
    <row r="1514">
      <c r="A1514" s="49"/>
      <c r="B1514" s="49"/>
      <c r="C1514" s="49"/>
      <c r="D1514" s="49"/>
      <c r="E1514" s="49">
        <f>IFERROR(__xludf.DUMMYFUNCTION("""COMPUTED_VALUE"""),1.0)</f>
        <v>1</v>
      </c>
      <c r="F1514" s="112">
        <f>IFERROR(__xludf.DUMMYFUNCTION("""COMPUTED_VALUE"""),0.0)</f>
        <v>0</v>
      </c>
      <c r="G1514" s="49"/>
      <c r="H1514" s="49"/>
      <c r="I1514" s="49"/>
      <c r="J1514" s="49"/>
      <c r="K1514" s="49"/>
      <c r="L1514" s="49"/>
      <c r="M1514" s="49"/>
      <c r="N1514" s="49"/>
      <c r="O1514" s="49"/>
      <c r="P1514" s="49"/>
      <c r="Q1514" s="49"/>
      <c r="R1514" s="49"/>
      <c r="S1514" s="49"/>
      <c r="T1514" s="49"/>
      <c r="U1514" s="49"/>
      <c r="V1514" s="49"/>
      <c r="W1514" s="49"/>
      <c r="X1514" s="49"/>
      <c r="Y1514" s="49"/>
      <c r="Z1514" s="49"/>
      <c r="AA1514" s="49"/>
      <c r="AB1514" s="49"/>
      <c r="AC1514" s="49"/>
      <c r="AD1514" s="49"/>
      <c r="AE1514" s="49"/>
      <c r="AF1514" s="49"/>
      <c r="AG1514" s="49"/>
      <c r="AH1514" s="49" t="b">
        <f>IFERROR(__xludf.DUMMYFUNCTION("""COMPUTED_VALUE"""),FALSE)</f>
        <v>0</v>
      </c>
    </row>
    <row r="1515">
      <c r="A1515" s="49"/>
      <c r="B1515" s="49"/>
      <c r="C1515" s="49"/>
      <c r="D1515" s="49"/>
      <c r="E1515" s="49">
        <f>IFERROR(__xludf.DUMMYFUNCTION("""COMPUTED_VALUE"""),1.0)</f>
        <v>1</v>
      </c>
      <c r="F1515" s="112">
        <f>IFERROR(__xludf.DUMMYFUNCTION("""COMPUTED_VALUE"""),0.0)</f>
        <v>0</v>
      </c>
      <c r="G1515" s="49"/>
      <c r="H1515" s="49"/>
      <c r="I1515" s="49"/>
      <c r="J1515" s="49"/>
      <c r="K1515" s="49"/>
      <c r="L1515" s="49"/>
      <c r="M1515" s="49"/>
      <c r="N1515" s="49"/>
      <c r="O1515" s="49"/>
      <c r="P1515" s="49"/>
      <c r="Q1515" s="49"/>
      <c r="R1515" s="49"/>
      <c r="S1515" s="49"/>
      <c r="T1515" s="49"/>
      <c r="U1515" s="49"/>
      <c r="V1515" s="49"/>
      <c r="W1515" s="49"/>
      <c r="X1515" s="49"/>
      <c r="Y1515" s="49"/>
      <c r="Z1515" s="49"/>
      <c r="AA1515" s="49"/>
      <c r="AB1515" s="49"/>
      <c r="AC1515" s="49"/>
      <c r="AD1515" s="49"/>
      <c r="AE1515" s="49"/>
      <c r="AF1515" s="49"/>
      <c r="AG1515" s="49"/>
      <c r="AH1515" s="49" t="b">
        <f>IFERROR(__xludf.DUMMYFUNCTION("""COMPUTED_VALUE"""),FALSE)</f>
        <v>0</v>
      </c>
    </row>
    <row r="1516">
      <c r="A1516" s="49"/>
      <c r="B1516" s="49"/>
      <c r="C1516" s="49"/>
      <c r="D1516" s="49"/>
      <c r="E1516" s="49">
        <f>IFERROR(__xludf.DUMMYFUNCTION("""COMPUTED_VALUE"""),1.0)</f>
        <v>1</v>
      </c>
      <c r="F1516" s="112">
        <f>IFERROR(__xludf.DUMMYFUNCTION("""COMPUTED_VALUE"""),0.0)</f>
        <v>0</v>
      </c>
      <c r="G1516" s="49"/>
      <c r="H1516" s="49"/>
      <c r="I1516" s="49"/>
      <c r="J1516" s="49"/>
      <c r="K1516" s="49"/>
      <c r="L1516" s="49"/>
      <c r="M1516" s="49"/>
      <c r="N1516" s="49"/>
      <c r="O1516" s="49"/>
      <c r="P1516" s="49"/>
      <c r="Q1516" s="49"/>
      <c r="R1516" s="49"/>
      <c r="S1516" s="49"/>
      <c r="T1516" s="49"/>
      <c r="U1516" s="49"/>
      <c r="V1516" s="49"/>
      <c r="W1516" s="49"/>
      <c r="X1516" s="49"/>
      <c r="Y1516" s="49"/>
      <c r="Z1516" s="49"/>
      <c r="AA1516" s="49"/>
      <c r="AB1516" s="49"/>
      <c r="AC1516" s="49"/>
      <c r="AD1516" s="49"/>
      <c r="AE1516" s="49"/>
      <c r="AF1516" s="49"/>
      <c r="AG1516" s="49"/>
      <c r="AH1516" s="49" t="b">
        <f>IFERROR(__xludf.DUMMYFUNCTION("""COMPUTED_VALUE"""),FALSE)</f>
        <v>0</v>
      </c>
    </row>
    <row r="1517">
      <c r="A1517" s="49"/>
      <c r="B1517" s="49"/>
      <c r="C1517" s="49"/>
      <c r="D1517" s="49"/>
      <c r="E1517" s="49">
        <f>IFERROR(__xludf.DUMMYFUNCTION("""COMPUTED_VALUE"""),1.0)</f>
        <v>1</v>
      </c>
      <c r="F1517" s="112">
        <f>IFERROR(__xludf.DUMMYFUNCTION("""COMPUTED_VALUE"""),0.0)</f>
        <v>0</v>
      </c>
      <c r="G1517" s="49"/>
      <c r="H1517" s="49"/>
      <c r="I1517" s="49"/>
      <c r="J1517" s="49"/>
      <c r="K1517" s="49"/>
      <c r="L1517" s="49"/>
      <c r="M1517" s="49"/>
      <c r="N1517" s="49"/>
      <c r="O1517" s="49"/>
      <c r="P1517" s="49"/>
      <c r="Q1517" s="49"/>
      <c r="R1517" s="49"/>
      <c r="S1517" s="49"/>
      <c r="T1517" s="49"/>
      <c r="U1517" s="49"/>
      <c r="V1517" s="49"/>
      <c r="W1517" s="49"/>
      <c r="X1517" s="49"/>
      <c r="Y1517" s="49"/>
      <c r="Z1517" s="49"/>
      <c r="AA1517" s="49"/>
      <c r="AB1517" s="49"/>
      <c r="AC1517" s="49"/>
      <c r="AD1517" s="49"/>
      <c r="AE1517" s="49"/>
      <c r="AF1517" s="49"/>
      <c r="AG1517" s="49"/>
      <c r="AH1517" s="49" t="b">
        <f>IFERROR(__xludf.DUMMYFUNCTION("""COMPUTED_VALUE"""),FALSE)</f>
        <v>0</v>
      </c>
    </row>
    <row r="1518">
      <c r="A1518" s="49"/>
      <c r="B1518" s="49"/>
      <c r="C1518" s="49"/>
      <c r="D1518" s="49"/>
      <c r="E1518" s="49">
        <f>IFERROR(__xludf.DUMMYFUNCTION("""COMPUTED_VALUE"""),1.0)</f>
        <v>1</v>
      </c>
      <c r="F1518" s="112">
        <f>IFERROR(__xludf.DUMMYFUNCTION("""COMPUTED_VALUE"""),0.0)</f>
        <v>0</v>
      </c>
      <c r="G1518" s="49"/>
      <c r="H1518" s="49"/>
      <c r="I1518" s="49"/>
      <c r="J1518" s="49"/>
      <c r="K1518" s="49"/>
      <c r="L1518" s="49"/>
      <c r="M1518" s="49"/>
      <c r="N1518" s="49"/>
      <c r="O1518" s="49"/>
      <c r="P1518" s="49"/>
      <c r="Q1518" s="49"/>
      <c r="R1518" s="49"/>
      <c r="S1518" s="49"/>
      <c r="T1518" s="49"/>
      <c r="U1518" s="49"/>
      <c r="V1518" s="49"/>
      <c r="W1518" s="49"/>
      <c r="X1518" s="49"/>
      <c r="Y1518" s="49"/>
      <c r="Z1518" s="49"/>
      <c r="AA1518" s="49"/>
      <c r="AB1518" s="49"/>
      <c r="AC1518" s="49"/>
      <c r="AD1518" s="49"/>
      <c r="AE1518" s="49"/>
      <c r="AF1518" s="49"/>
      <c r="AG1518" s="49"/>
      <c r="AH1518" s="49" t="b">
        <f>IFERROR(__xludf.DUMMYFUNCTION("""COMPUTED_VALUE"""),FALSE)</f>
        <v>0</v>
      </c>
    </row>
    <row r="1519">
      <c r="A1519" s="49"/>
      <c r="B1519" s="49"/>
      <c r="C1519" s="49"/>
      <c r="D1519" s="49"/>
      <c r="E1519" s="49">
        <f>IFERROR(__xludf.DUMMYFUNCTION("""COMPUTED_VALUE"""),1.0)</f>
        <v>1</v>
      </c>
      <c r="F1519" s="112">
        <f>IFERROR(__xludf.DUMMYFUNCTION("""COMPUTED_VALUE"""),0.0)</f>
        <v>0</v>
      </c>
      <c r="G1519" s="49"/>
      <c r="H1519" s="49"/>
      <c r="I1519" s="49"/>
      <c r="J1519" s="49"/>
      <c r="K1519" s="49"/>
      <c r="L1519" s="49"/>
      <c r="M1519" s="49"/>
      <c r="N1519" s="49"/>
      <c r="O1519" s="49"/>
      <c r="P1519" s="49"/>
      <c r="Q1519" s="49"/>
      <c r="R1519" s="49"/>
      <c r="S1519" s="49"/>
      <c r="T1519" s="49"/>
      <c r="U1519" s="49"/>
      <c r="V1519" s="49"/>
      <c r="W1519" s="49"/>
      <c r="X1519" s="49"/>
      <c r="Y1519" s="49"/>
      <c r="Z1519" s="49"/>
      <c r="AA1519" s="49"/>
      <c r="AB1519" s="49"/>
      <c r="AC1519" s="49"/>
      <c r="AD1519" s="49"/>
      <c r="AE1519" s="49"/>
      <c r="AF1519" s="49"/>
      <c r="AG1519" s="49"/>
      <c r="AH1519" s="49" t="b">
        <f>IFERROR(__xludf.DUMMYFUNCTION("""COMPUTED_VALUE"""),FALSE)</f>
        <v>0</v>
      </c>
    </row>
    <row r="1520">
      <c r="A1520" s="49"/>
      <c r="B1520" s="49"/>
      <c r="C1520" s="49"/>
      <c r="D1520" s="49"/>
      <c r="E1520" s="49">
        <f>IFERROR(__xludf.DUMMYFUNCTION("""COMPUTED_VALUE"""),1.0)</f>
        <v>1</v>
      </c>
      <c r="F1520" s="112">
        <f>IFERROR(__xludf.DUMMYFUNCTION("""COMPUTED_VALUE"""),0.0)</f>
        <v>0</v>
      </c>
      <c r="G1520" s="49"/>
      <c r="H1520" s="49"/>
      <c r="I1520" s="49"/>
      <c r="J1520" s="49"/>
      <c r="K1520" s="49"/>
      <c r="L1520" s="49"/>
      <c r="M1520" s="49"/>
      <c r="N1520" s="49"/>
      <c r="O1520" s="49"/>
      <c r="P1520" s="49"/>
      <c r="Q1520" s="49"/>
      <c r="R1520" s="49"/>
      <c r="S1520" s="49"/>
      <c r="T1520" s="49"/>
      <c r="U1520" s="49"/>
      <c r="V1520" s="49"/>
      <c r="W1520" s="49"/>
      <c r="X1520" s="49"/>
      <c r="Y1520" s="49"/>
      <c r="Z1520" s="49"/>
      <c r="AA1520" s="49"/>
      <c r="AB1520" s="49"/>
      <c r="AC1520" s="49"/>
      <c r="AD1520" s="49"/>
      <c r="AE1520" s="49"/>
      <c r="AF1520" s="49"/>
      <c r="AG1520" s="49"/>
      <c r="AH1520" s="49" t="b">
        <f>IFERROR(__xludf.DUMMYFUNCTION("""COMPUTED_VALUE"""),FALSE)</f>
        <v>0</v>
      </c>
    </row>
    <row r="1521">
      <c r="A1521" s="49"/>
      <c r="B1521" s="49"/>
      <c r="C1521" s="49"/>
      <c r="D1521" s="49"/>
      <c r="E1521" s="49">
        <f>IFERROR(__xludf.DUMMYFUNCTION("""COMPUTED_VALUE"""),1.0)</f>
        <v>1</v>
      </c>
      <c r="F1521" s="112">
        <f>IFERROR(__xludf.DUMMYFUNCTION("""COMPUTED_VALUE"""),0.0)</f>
        <v>0</v>
      </c>
      <c r="G1521" s="49"/>
      <c r="H1521" s="49"/>
      <c r="I1521" s="49"/>
      <c r="J1521" s="49"/>
      <c r="K1521" s="49"/>
      <c r="L1521" s="49"/>
      <c r="M1521" s="49"/>
      <c r="N1521" s="49"/>
      <c r="O1521" s="49"/>
      <c r="P1521" s="49"/>
      <c r="Q1521" s="49"/>
      <c r="R1521" s="49"/>
      <c r="S1521" s="49"/>
      <c r="T1521" s="49"/>
      <c r="U1521" s="49"/>
      <c r="V1521" s="49"/>
      <c r="W1521" s="49"/>
      <c r="X1521" s="49"/>
      <c r="Y1521" s="49"/>
      <c r="Z1521" s="49"/>
      <c r="AA1521" s="49"/>
      <c r="AB1521" s="49"/>
      <c r="AC1521" s="49"/>
      <c r="AD1521" s="49"/>
      <c r="AE1521" s="49"/>
      <c r="AF1521" s="49"/>
      <c r="AG1521" s="49"/>
      <c r="AH1521" s="49" t="b">
        <f>IFERROR(__xludf.DUMMYFUNCTION("""COMPUTED_VALUE"""),FALSE)</f>
        <v>0</v>
      </c>
    </row>
    <row r="1522">
      <c r="A1522" s="49"/>
      <c r="B1522" s="49"/>
      <c r="C1522" s="49"/>
      <c r="D1522" s="49"/>
      <c r="E1522" s="49">
        <f>IFERROR(__xludf.DUMMYFUNCTION("""COMPUTED_VALUE"""),1.0)</f>
        <v>1</v>
      </c>
      <c r="F1522" s="112">
        <f>IFERROR(__xludf.DUMMYFUNCTION("""COMPUTED_VALUE"""),0.0)</f>
        <v>0</v>
      </c>
      <c r="G1522" s="49"/>
      <c r="H1522" s="49"/>
      <c r="I1522" s="49"/>
      <c r="J1522" s="49"/>
      <c r="K1522" s="49"/>
      <c r="L1522" s="49"/>
      <c r="M1522" s="49"/>
      <c r="N1522" s="49"/>
      <c r="O1522" s="49"/>
      <c r="P1522" s="49"/>
      <c r="Q1522" s="49"/>
      <c r="R1522" s="49"/>
      <c r="S1522" s="49"/>
      <c r="T1522" s="49"/>
      <c r="U1522" s="49"/>
      <c r="V1522" s="49"/>
      <c r="W1522" s="49"/>
      <c r="X1522" s="49"/>
      <c r="Y1522" s="49"/>
      <c r="Z1522" s="49"/>
      <c r="AA1522" s="49"/>
      <c r="AB1522" s="49"/>
      <c r="AC1522" s="49"/>
      <c r="AD1522" s="49"/>
      <c r="AE1522" s="49"/>
      <c r="AF1522" s="49"/>
      <c r="AG1522" s="49"/>
      <c r="AH1522" s="49" t="b">
        <f>IFERROR(__xludf.DUMMYFUNCTION("""COMPUTED_VALUE"""),FALSE)</f>
        <v>0</v>
      </c>
    </row>
    <row r="1523">
      <c r="A1523" s="49"/>
      <c r="B1523" s="49"/>
      <c r="C1523" s="49"/>
      <c r="D1523" s="49"/>
      <c r="E1523" s="49">
        <f>IFERROR(__xludf.DUMMYFUNCTION("""COMPUTED_VALUE"""),1.0)</f>
        <v>1</v>
      </c>
      <c r="F1523" s="112">
        <f>IFERROR(__xludf.DUMMYFUNCTION("""COMPUTED_VALUE"""),0.0)</f>
        <v>0</v>
      </c>
      <c r="G1523" s="49"/>
      <c r="H1523" s="49"/>
      <c r="I1523" s="49"/>
      <c r="J1523" s="49"/>
      <c r="K1523" s="49"/>
      <c r="L1523" s="49"/>
      <c r="M1523" s="49"/>
      <c r="N1523" s="49"/>
      <c r="O1523" s="49"/>
      <c r="P1523" s="49"/>
      <c r="Q1523" s="49"/>
      <c r="R1523" s="49"/>
      <c r="S1523" s="49"/>
      <c r="T1523" s="49"/>
      <c r="U1523" s="49"/>
      <c r="V1523" s="49"/>
      <c r="W1523" s="49"/>
      <c r="X1523" s="49"/>
      <c r="Y1523" s="49"/>
      <c r="Z1523" s="49"/>
      <c r="AA1523" s="49"/>
      <c r="AB1523" s="49"/>
      <c r="AC1523" s="49"/>
      <c r="AD1523" s="49"/>
      <c r="AE1523" s="49"/>
      <c r="AF1523" s="49"/>
      <c r="AG1523" s="49"/>
      <c r="AH1523" s="49" t="b">
        <f>IFERROR(__xludf.DUMMYFUNCTION("""COMPUTED_VALUE"""),FALSE)</f>
        <v>0</v>
      </c>
    </row>
    <row r="1524">
      <c r="A1524" s="49"/>
      <c r="B1524" s="49"/>
      <c r="C1524" s="49"/>
      <c r="D1524" s="49"/>
      <c r="E1524" s="49">
        <f>IFERROR(__xludf.DUMMYFUNCTION("""COMPUTED_VALUE"""),1.0)</f>
        <v>1</v>
      </c>
      <c r="F1524" s="112">
        <f>IFERROR(__xludf.DUMMYFUNCTION("""COMPUTED_VALUE"""),0.0)</f>
        <v>0</v>
      </c>
      <c r="G1524" s="49"/>
      <c r="H1524" s="49"/>
      <c r="I1524" s="49"/>
      <c r="J1524" s="49"/>
      <c r="K1524" s="49"/>
      <c r="L1524" s="49"/>
      <c r="M1524" s="49"/>
      <c r="N1524" s="49"/>
      <c r="O1524" s="49"/>
      <c r="P1524" s="49"/>
      <c r="Q1524" s="49"/>
      <c r="R1524" s="49"/>
      <c r="S1524" s="49"/>
      <c r="T1524" s="49"/>
      <c r="U1524" s="49"/>
      <c r="V1524" s="49"/>
      <c r="W1524" s="49"/>
      <c r="X1524" s="49"/>
      <c r="Y1524" s="49"/>
      <c r="Z1524" s="49"/>
      <c r="AA1524" s="49"/>
      <c r="AB1524" s="49"/>
      <c r="AC1524" s="49"/>
      <c r="AD1524" s="49"/>
      <c r="AE1524" s="49"/>
      <c r="AF1524" s="49"/>
      <c r="AG1524" s="49"/>
      <c r="AH1524" s="49" t="b">
        <f>IFERROR(__xludf.DUMMYFUNCTION("""COMPUTED_VALUE"""),FALSE)</f>
        <v>0</v>
      </c>
    </row>
    <row r="1525">
      <c r="A1525" s="49"/>
      <c r="B1525" s="49"/>
      <c r="C1525" s="49"/>
      <c r="D1525" s="49"/>
      <c r="E1525" s="49">
        <f>IFERROR(__xludf.DUMMYFUNCTION("""COMPUTED_VALUE"""),1.0)</f>
        <v>1</v>
      </c>
      <c r="F1525" s="112">
        <f>IFERROR(__xludf.DUMMYFUNCTION("""COMPUTED_VALUE"""),0.0)</f>
        <v>0</v>
      </c>
      <c r="G1525" s="49"/>
      <c r="H1525" s="49"/>
      <c r="I1525" s="49"/>
      <c r="J1525" s="49"/>
      <c r="K1525" s="49"/>
      <c r="L1525" s="49"/>
      <c r="M1525" s="49"/>
      <c r="N1525" s="49"/>
      <c r="O1525" s="49"/>
      <c r="P1525" s="49"/>
      <c r="Q1525" s="49"/>
      <c r="R1525" s="49"/>
      <c r="S1525" s="49"/>
      <c r="T1525" s="49"/>
      <c r="U1525" s="49"/>
      <c r="V1525" s="49"/>
      <c r="W1525" s="49"/>
      <c r="X1525" s="49"/>
      <c r="Y1525" s="49"/>
      <c r="Z1525" s="49"/>
      <c r="AA1525" s="49"/>
      <c r="AB1525" s="49"/>
      <c r="AC1525" s="49"/>
      <c r="AD1525" s="49"/>
      <c r="AE1525" s="49"/>
      <c r="AF1525" s="49"/>
      <c r="AG1525" s="49"/>
      <c r="AH1525" s="49" t="b">
        <f>IFERROR(__xludf.DUMMYFUNCTION("""COMPUTED_VALUE"""),FALSE)</f>
        <v>0</v>
      </c>
    </row>
    <row r="1526">
      <c r="A1526" s="49"/>
      <c r="B1526" s="49"/>
      <c r="C1526" s="49"/>
      <c r="D1526" s="49"/>
      <c r="E1526" s="49">
        <f>IFERROR(__xludf.DUMMYFUNCTION("""COMPUTED_VALUE"""),1.0)</f>
        <v>1</v>
      </c>
      <c r="F1526" s="112">
        <f>IFERROR(__xludf.DUMMYFUNCTION("""COMPUTED_VALUE"""),0.0)</f>
        <v>0</v>
      </c>
      <c r="G1526" s="49"/>
      <c r="H1526" s="49"/>
      <c r="I1526" s="49"/>
      <c r="J1526" s="49"/>
      <c r="K1526" s="49"/>
      <c r="L1526" s="49"/>
      <c r="M1526" s="49"/>
      <c r="N1526" s="49"/>
      <c r="O1526" s="49"/>
      <c r="P1526" s="49"/>
      <c r="Q1526" s="49"/>
      <c r="R1526" s="49"/>
      <c r="S1526" s="49"/>
      <c r="T1526" s="49"/>
      <c r="U1526" s="49"/>
      <c r="V1526" s="49"/>
      <c r="W1526" s="49"/>
      <c r="X1526" s="49"/>
      <c r="Y1526" s="49"/>
      <c r="Z1526" s="49"/>
      <c r="AA1526" s="49"/>
      <c r="AB1526" s="49"/>
      <c r="AC1526" s="49"/>
      <c r="AD1526" s="49"/>
      <c r="AE1526" s="49"/>
      <c r="AF1526" s="49"/>
      <c r="AG1526" s="49"/>
      <c r="AH1526" s="49" t="b">
        <f>IFERROR(__xludf.DUMMYFUNCTION("""COMPUTED_VALUE"""),FALSE)</f>
        <v>0</v>
      </c>
    </row>
    <row r="1527">
      <c r="A1527" s="49"/>
      <c r="B1527" s="49"/>
      <c r="C1527" s="49"/>
      <c r="D1527" s="49"/>
      <c r="E1527" s="49">
        <f>IFERROR(__xludf.DUMMYFUNCTION("""COMPUTED_VALUE"""),1.0)</f>
        <v>1</v>
      </c>
      <c r="F1527" s="112">
        <f>IFERROR(__xludf.DUMMYFUNCTION("""COMPUTED_VALUE"""),0.0)</f>
        <v>0</v>
      </c>
      <c r="G1527" s="49"/>
      <c r="H1527" s="49"/>
      <c r="I1527" s="49"/>
      <c r="J1527" s="49"/>
      <c r="K1527" s="49"/>
      <c r="L1527" s="49"/>
      <c r="M1527" s="49"/>
      <c r="N1527" s="49"/>
      <c r="O1527" s="49"/>
      <c r="P1527" s="49"/>
      <c r="Q1527" s="49"/>
      <c r="R1527" s="49"/>
      <c r="S1527" s="49"/>
      <c r="T1527" s="49"/>
      <c r="U1527" s="49"/>
      <c r="V1527" s="49"/>
      <c r="W1527" s="49"/>
      <c r="X1527" s="49"/>
      <c r="Y1527" s="49"/>
      <c r="Z1527" s="49"/>
      <c r="AA1527" s="49"/>
      <c r="AB1527" s="49"/>
      <c r="AC1527" s="49"/>
      <c r="AD1527" s="49"/>
      <c r="AE1527" s="49"/>
      <c r="AF1527" s="49"/>
      <c r="AG1527" s="49"/>
      <c r="AH1527" s="49" t="b">
        <f>IFERROR(__xludf.DUMMYFUNCTION("""COMPUTED_VALUE"""),FALSE)</f>
        <v>0</v>
      </c>
    </row>
    <row r="1528">
      <c r="A1528" s="49"/>
      <c r="B1528" s="49"/>
      <c r="C1528" s="49"/>
      <c r="D1528" s="49"/>
      <c r="E1528" s="49">
        <f>IFERROR(__xludf.DUMMYFUNCTION("""COMPUTED_VALUE"""),1.0)</f>
        <v>1</v>
      </c>
      <c r="F1528" s="112">
        <f>IFERROR(__xludf.DUMMYFUNCTION("""COMPUTED_VALUE"""),0.0)</f>
        <v>0</v>
      </c>
      <c r="G1528" s="49"/>
      <c r="H1528" s="49"/>
      <c r="I1528" s="49"/>
      <c r="J1528" s="49"/>
      <c r="K1528" s="49"/>
      <c r="L1528" s="49"/>
      <c r="M1528" s="49"/>
      <c r="N1528" s="49"/>
      <c r="O1528" s="49"/>
      <c r="P1528" s="49"/>
      <c r="Q1528" s="49"/>
      <c r="R1528" s="49"/>
      <c r="S1528" s="49"/>
      <c r="T1528" s="49"/>
      <c r="U1528" s="49"/>
      <c r="V1528" s="49"/>
      <c r="W1528" s="49"/>
      <c r="X1528" s="49"/>
      <c r="Y1528" s="49"/>
      <c r="Z1528" s="49"/>
      <c r="AA1528" s="49"/>
      <c r="AB1528" s="49"/>
      <c r="AC1528" s="49"/>
      <c r="AD1528" s="49"/>
      <c r="AE1528" s="49"/>
      <c r="AF1528" s="49"/>
      <c r="AG1528" s="49"/>
      <c r="AH1528" s="49" t="b">
        <f>IFERROR(__xludf.DUMMYFUNCTION("""COMPUTED_VALUE"""),FALSE)</f>
        <v>0</v>
      </c>
    </row>
    <row r="1529">
      <c r="A1529" s="49"/>
      <c r="B1529" s="49"/>
      <c r="C1529" s="49"/>
      <c r="D1529" s="49"/>
      <c r="E1529" s="49">
        <f>IFERROR(__xludf.DUMMYFUNCTION("""COMPUTED_VALUE"""),1.0)</f>
        <v>1</v>
      </c>
      <c r="F1529" s="112">
        <f>IFERROR(__xludf.DUMMYFUNCTION("""COMPUTED_VALUE"""),0.0)</f>
        <v>0</v>
      </c>
      <c r="G1529" s="49"/>
      <c r="H1529" s="49"/>
      <c r="I1529" s="49"/>
      <c r="J1529" s="49"/>
      <c r="K1529" s="49"/>
      <c r="L1529" s="49"/>
      <c r="M1529" s="49"/>
      <c r="N1529" s="49"/>
      <c r="O1529" s="49"/>
      <c r="P1529" s="49"/>
      <c r="Q1529" s="49"/>
      <c r="R1529" s="49"/>
      <c r="S1529" s="49"/>
      <c r="T1529" s="49"/>
      <c r="U1529" s="49"/>
      <c r="V1529" s="49"/>
      <c r="W1529" s="49"/>
      <c r="X1529" s="49"/>
      <c r="Y1529" s="49"/>
      <c r="Z1529" s="49"/>
      <c r="AA1529" s="49"/>
      <c r="AB1529" s="49"/>
      <c r="AC1529" s="49"/>
      <c r="AD1529" s="49"/>
      <c r="AE1529" s="49"/>
      <c r="AF1529" s="49"/>
      <c r="AG1529" s="49"/>
      <c r="AH1529" s="49" t="b">
        <f>IFERROR(__xludf.DUMMYFUNCTION("""COMPUTED_VALUE"""),FALSE)</f>
        <v>0</v>
      </c>
    </row>
    <row r="1530">
      <c r="A1530" s="49"/>
      <c r="B1530" s="49"/>
      <c r="C1530" s="49"/>
      <c r="D1530" s="49"/>
      <c r="E1530" s="49">
        <f>IFERROR(__xludf.DUMMYFUNCTION("""COMPUTED_VALUE"""),1.0)</f>
        <v>1</v>
      </c>
      <c r="F1530" s="112">
        <f>IFERROR(__xludf.DUMMYFUNCTION("""COMPUTED_VALUE"""),0.0)</f>
        <v>0</v>
      </c>
      <c r="G1530" s="49"/>
      <c r="H1530" s="49"/>
      <c r="I1530" s="49"/>
      <c r="J1530" s="49"/>
      <c r="K1530" s="49"/>
      <c r="L1530" s="49"/>
      <c r="M1530" s="49"/>
      <c r="N1530" s="49"/>
      <c r="O1530" s="49"/>
      <c r="P1530" s="49"/>
      <c r="Q1530" s="49"/>
      <c r="R1530" s="49"/>
      <c r="S1530" s="49"/>
      <c r="T1530" s="49"/>
      <c r="U1530" s="49"/>
      <c r="V1530" s="49"/>
      <c r="W1530" s="49"/>
      <c r="X1530" s="49"/>
      <c r="Y1530" s="49"/>
      <c r="Z1530" s="49"/>
      <c r="AA1530" s="49"/>
      <c r="AB1530" s="49"/>
      <c r="AC1530" s="49"/>
      <c r="AD1530" s="49"/>
      <c r="AE1530" s="49"/>
      <c r="AF1530" s="49"/>
      <c r="AG1530" s="49"/>
      <c r="AH1530" s="49" t="b">
        <f>IFERROR(__xludf.DUMMYFUNCTION("""COMPUTED_VALUE"""),FALSE)</f>
        <v>0</v>
      </c>
    </row>
    <row r="1531">
      <c r="A1531" s="49"/>
      <c r="B1531" s="49"/>
      <c r="C1531" s="49"/>
      <c r="D1531" s="49"/>
      <c r="E1531" s="49">
        <f>IFERROR(__xludf.DUMMYFUNCTION("""COMPUTED_VALUE"""),1.0)</f>
        <v>1</v>
      </c>
      <c r="F1531" s="112">
        <f>IFERROR(__xludf.DUMMYFUNCTION("""COMPUTED_VALUE"""),0.0)</f>
        <v>0</v>
      </c>
      <c r="G1531" s="49"/>
      <c r="H1531" s="49"/>
      <c r="I1531" s="49"/>
      <c r="J1531" s="49"/>
      <c r="K1531" s="49"/>
      <c r="L1531" s="49"/>
      <c r="M1531" s="49"/>
      <c r="N1531" s="49"/>
      <c r="O1531" s="49"/>
      <c r="P1531" s="49"/>
      <c r="Q1531" s="49"/>
      <c r="R1531" s="49"/>
      <c r="S1531" s="49"/>
      <c r="T1531" s="49"/>
      <c r="U1531" s="49"/>
      <c r="V1531" s="49"/>
      <c r="W1531" s="49"/>
      <c r="X1531" s="49"/>
      <c r="Y1531" s="49"/>
      <c r="Z1531" s="49"/>
      <c r="AA1531" s="49"/>
      <c r="AB1531" s="49"/>
      <c r="AC1531" s="49"/>
      <c r="AD1531" s="49"/>
      <c r="AE1531" s="49"/>
      <c r="AF1531" s="49"/>
      <c r="AG1531" s="49"/>
      <c r="AH1531" s="49" t="b">
        <f>IFERROR(__xludf.DUMMYFUNCTION("""COMPUTED_VALUE"""),FALSE)</f>
        <v>0</v>
      </c>
    </row>
    <row r="1532">
      <c r="A1532" s="49"/>
      <c r="B1532" s="49"/>
      <c r="C1532" s="49"/>
      <c r="D1532" s="49"/>
      <c r="E1532" s="49">
        <f>IFERROR(__xludf.DUMMYFUNCTION("""COMPUTED_VALUE"""),1.0)</f>
        <v>1</v>
      </c>
      <c r="F1532" s="112">
        <f>IFERROR(__xludf.DUMMYFUNCTION("""COMPUTED_VALUE"""),0.0)</f>
        <v>0</v>
      </c>
      <c r="G1532" s="49"/>
      <c r="H1532" s="49"/>
      <c r="I1532" s="49"/>
      <c r="J1532" s="49"/>
      <c r="K1532" s="49"/>
      <c r="L1532" s="49"/>
      <c r="M1532" s="49"/>
      <c r="N1532" s="49"/>
      <c r="O1532" s="49"/>
      <c r="P1532" s="49"/>
      <c r="Q1532" s="49"/>
      <c r="R1532" s="49"/>
      <c r="S1532" s="49"/>
      <c r="T1532" s="49"/>
      <c r="U1532" s="49"/>
      <c r="V1532" s="49"/>
      <c r="W1532" s="49"/>
      <c r="X1532" s="49"/>
      <c r="Y1532" s="49"/>
      <c r="Z1532" s="49"/>
      <c r="AA1532" s="49"/>
      <c r="AB1532" s="49"/>
      <c r="AC1532" s="49"/>
      <c r="AD1532" s="49"/>
      <c r="AE1532" s="49"/>
      <c r="AF1532" s="49"/>
      <c r="AG1532" s="49"/>
      <c r="AH1532" s="49" t="b">
        <f>IFERROR(__xludf.DUMMYFUNCTION("""COMPUTED_VALUE"""),FALSE)</f>
        <v>0</v>
      </c>
    </row>
    <row r="1533">
      <c r="A1533" s="49"/>
      <c r="B1533" s="49"/>
      <c r="C1533" s="49"/>
      <c r="D1533" s="49"/>
      <c r="E1533" s="49">
        <f>IFERROR(__xludf.DUMMYFUNCTION("""COMPUTED_VALUE"""),1.0)</f>
        <v>1</v>
      </c>
      <c r="F1533" s="112">
        <f>IFERROR(__xludf.DUMMYFUNCTION("""COMPUTED_VALUE"""),0.0)</f>
        <v>0</v>
      </c>
      <c r="G1533" s="49"/>
      <c r="H1533" s="49"/>
      <c r="I1533" s="49"/>
      <c r="J1533" s="49"/>
      <c r="K1533" s="49"/>
      <c r="L1533" s="49"/>
      <c r="M1533" s="49"/>
      <c r="N1533" s="49"/>
      <c r="O1533" s="49"/>
      <c r="P1533" s="49"/>
      <c r="Q1533" s="49"/>
      <c r="R1533" s="49"/>
      <c r="S1533" s="49"/>
      <c r="T1533" s="49"/>
      <c r="U1533" s="49"/>
      <c r="V1533" s="49"/>
      <c r="W1533" s="49"/>
      <c r="X1533" s="49"/>
      <c r="Y1533" s="49"/>
      <c r="Z1533" s="49"/>
      <c r="AA1533" s="49"/>
      <c r="AB1533" s="49"/>
      <c r="AC1533" s="49"/>
      <c r="AD1533" s="49"/>
      <c r="AE1533" s="49"/>
      <c r="AF1533" s="49"/>
      <c r="AG1533" s="49"/>
      <c r="AH1533" s="49" t="b">
        <f>IFERROR(__xludf.DUMMYFUNCTION("""COMPUTED_VALUE"""),FALSE)</f>
        <v>0</v>
      </c>
    </row>
    <row r="1534">
      <c r="A1534" s="49"/>
      <c r="B1534" s="49"/>
      <c r="C1534" s="49"/>
      <c r="D1534" s="49"/>
      <c r="E1534" s="49">
        <f>IFERROR(__xludf.DUMMYFUNCTION("""COMPUTED_VALUE"""),1.0)</f>
        <v>1</v>
      </c>
      <c r="F1534" s="112">
        <f>IFERROR(__xludf.DUMMYFUNCTION("""COMPUTED_VALUE"""),0.0)</f>
        <v>0</v>
      </c>
      <c r="G1534" s="49"/>
      <c r="H1534" s="49"/>
      <c r="I1534" s="49"/>
      <c r="J1534" s="49"/>
      <c r="K1534" s="49"/>
      <c r="L1534" s="49"/>
      <c r="M1534" s="49"/>
      <c r="N1534" s="49"/>
      <c r="O1534" s="49"/>
      <c r="P1534" s="49"/>
      <c r="Q1534" s="49"/>
      <c r="R1534" s="49"/>
      <c r="S1534" s="49"/>
      <c r="T1534" s="49"/>
      <c r="U1534" s="49"/>
      <c r="V1534" s="49"/>
      <c r="W1534" s="49"/>
      <c r="X1534" s="49"/>
      <c r="Y1534" s="49"/>
      <c r="Z1534" s="49"/>
      <c r="AA1534" s="49"/>
      <c r="AB1534" s="49"/>
      <c r="AC1534" s="49"/>
      <c r="AD1534" s="49"/>
      <c r="AE1534" s="49"/>
      <c r="AF1534" s="49"/>
      <c r="AG1534" s="49"/>
      <c r="AH1534" s="49" t="b">
        <f>IFERROR(__xludf.DUMMYFUNCTION("""COMPUTED_VALUE"""),FALSE)</f>
        <v>0</v>
      </c>
    </row>
    <row r="1535">
      <c r="A1535" s="49"/>
      <c r="B1535" s="49"/>
      <c r="C1535" s="49"/>
      <c r="D1535" s="49"/>
      <c r="E1535" s="49">
        <f>IFERROR(__xludf.DUMMYFUNCTION("""COMPUTED_VALUE"""),1.0)</f>
        <v>1</v>
      </c>
      <c r="F1535" s="112">
        <f>IFERROR(__xludf.DUMMYFUNCTION("""COMPUTED_VALUE"""),0.0)</f>
        <v>0</v>
      </c>
      <c r="G1535" s="49"/>
      <c r="H1535" s="49"/>
      <c r="I1535" s="49"/>
      <c r="J1535" s="49"/>
      <c r="K1535" s="49"/>
      <c r="L1535" s="49"/>
      <c r="M1535" s="49"/>
      <c r="N1535" s="49"/>
      <c r="O1535" s="49"/>
      <c r="P1535" s="49"/>
      <c r="Q1535" s="49"/>
      <c r="R1535" s="49"/>
      <c r="S1535" s="49"/>
      <c r="T1535" s="49"/>
      <c r="U1535" s="49"/>
      <c r="V1535" s="49"/>
      <c r="W1535" s="49"/>
      <c r="X1535" s="49"/>
      <c r="Y1535" s="49"/>
      <c r="Z1535" s="49"/>
      <c r="AA1535" s="49"/>
      <c r="AB1535" s="49"/>
      <c r="AC1535" s="49"/>
      <c r="AD1535" s="49"/>
      <c r="AE1535" s="49"/>
      <c r="AF1535" s="49"/>
      <c r="AG1535" s="49"/>
      <c r="AH1535" s="49" t="b">
        <f>IFERROR(__xludf.DUMMYFUNCTION("""COMPUTED_VALUE"""),FALSE)</f>
        <v>0</v>
      </c>
    </row>
    <row r="1536">
      <c r="A1536" s="49"/>
      <c r="B1536" s="49"/>
      <c r="C1536" s="49"/>
      <c r="D1536" s="49"/>
      <c r="E1536" s="49">
        <f>IFERROR(__xludf.DUMMYFUNCTION("""COMPUTED_VALUE"""),1.0)</f>
        <v>1</v>
      </c>
      <c r="F1536" s="112">
        <f>IFERROR(__xludf.DUMMYFUNCTION("""COMPUTED_VALUE"""),0.0)</f>
        <v>0</v>
      </c>
      <c r="G1536" s="49"/>
      <c r="H1536" s="49"/>
      <c r="I1536" s="49"/>
      <c r="J1536" s="49"/>
      <c r="K1536" s="49"/>
      <c r="L1536" s="49"/>
      <c r="M1536" s="49"/>
      <c r="N1536" s="49"/>
      <c r="O1536" s="49"/>
      <c r="P1536" s="49"/>
      <c r="Q1536" s="49"/>
      <c r="R1536" s="49"/>
      <c r="S1536" s="49"/>
      <c r="T1536" s="49"/>
      <c r="U1536" s="49"/>
      <c r="V1536" s="49"/>
      <c r="W1536" s="49"/>
      <c r="X1536" s="49"/>
      <c r="Y1536" s="49"/>
      <c r="Z1536" s="49"/>
      <c r="AA1536" s="49"/>
      <c r="AB1536" s="49"/>
      <c r="AC1536" s="49"/>
      <c r="AD1536" s="49"/>
      <c r="AE1536" s="49"/>
      <c r="AF1536" s="49"/>
      <c r="AG1536" s="49"/>
      <c r="AH1536" s="49" t="b">
        <f>IFERROR(__xludf.DUMMYFUNCTION("""COMPUTED_VALUE"""),FALSE)</f>
        <v>0</v>
      </c>
    </row>
    <row r="1537">
      <c r="A1537" s="49"/>
      <c r="B1537" s="49"/>
      <c r="C1537" s="49"/>
      <c r="D1537" s="49"/>
      <c r="E1537" s="49">
        <f>IFERROR(__xludf.DUMMYFUNCTION("""COMPUTED_VALUE"""),1.0)</f>
        <v>1</v>
      </c>
      <c r="F1537" s="112">
        <f>IFERROR(__xludf.DUMMYFUNCTION("""COMPUTED_VALUE"""),0.0)</f>
        <v>0</v>
      </c>
      <c r="G1537" s="49"/>
      <c r="H1537" s="49"/>
      <c r="I1537" s="49"/>
      <c r="J1537" s="49"/>
      <c r="K1537" s="49"/>
      <c r="L1537" s="49"/>
      <c r="M1537" s="49"/>
      <c r="N1537" s="49"/>
      <c r="O1537" s="49"/>
      <c r="P1537" s="49"/>
      <c r="Q1537" s="49"/>
      <c r="R1537" s="49"/>
      <c r="S1537" s="49"/>
      <c r="T1537" s="49"/>
      <c r="U1537" s="49"/>
      <c r="V1537" s="49"/>
      <c r="W1537" s="49"/>
      <c r="X1537" s="49"/>
      <c r="Y1537" s="49"/>
      <c r="Z1537" s="49"/>
      <c r="AA1537" s="49"/>
      <c r="AB1537" s="49"/>
      <c r="AC1537" s="49"/>
      <c r="AD1537" s="49"/>
      <c r="AE1537" s="49"/>
      <c r="AF1537" s="49"/>
      <c r="AG1537" s="49"/>
      <c r="AH1537" s="49" t="b">
        <f>IFERROR(__xludf.DUMMYFUNCTION("""COMPUTED_VALUE"""),FALSE)</f>
        <v>0</v>
      </c>
    </row>
    <row r="1538">
      <c r="A1538" s="49"/>
      <c r="B1538" s="49"/>
      <c r="C1538" s="49"/>
      <c r="D1538" s="49"/>
      <c r="E1538" s="49">
        <f>IFERROR(__xludf.DUMMYFUNCTION("""COMPUTED_VALUE"""),1.0)</f>
        <v>1</v>
      </c>
      <c r="F1538" s="112">
        <f>IFERROR(__xludf.DUMMYFUNCTION("""COMPUTED_VALUE"""),0.0)</f>
        <v>0</v>
      </c>
      <c r="G1538" s="49"/>
      <c r="H1538" s="49"/>
      <c r="I1538" s="49"/>
      <c r="J1538" s="49"/>
      <c r="K1538" s="49"/>
      <c r="L1538" s="49"/>
      <c r="M1538" s="49"/>
      <c r="N1538" s="49"/>
      <c r="O1538" s="49"/>
      <c r="P1538" s="49"/>
      <c r="Q1538" s="49"/>
      <c r="R1538" s="49"/>
      <c r="S1538" s="49"/>
      <c r="T1538" s="49"/>
      <c r="U1538" s="49"/>
      <c r="V1538" s="49"/>
      <c r="W1538" s="49"/>
      <c r="X1538" s="49"/>
      <c r="Y1538" s="49"/>
      <c r="Z1538" s="49"/>
      <c r="AA1538" s="49"/>
      <c r="AB1538" s="49"/>
      <c r="AC1538" s="49"/>
      <c r="AD1538" s="49"/>
      <c r="AE1538" s="49"/>
      <c r="AF1538" s="49"/>
      <c r="AG1538" s="49"/>
      <c r="AH1538" s="49" t="b">
        <f>IFERROR(__xludf.DUMMYFUNCTION("""COMPUTED_VALUE"""),FALSE)</f>
        <v>0</v>
      </c>
    </row>
    <row r="1539">
      <c r="A1539" s="49"/>
      <c r="B1539" s="49"/>
      <c r="C1539" s="49"/>
      <c r="D1539" s="49"/>
      <c r="E1539" s="49">
        <f>IFERROR(__xludf.DUMMYFUNCTION("""COMPUTED_VALUE"""),1.0)</f>
        <v>1</v>
      </c>
      <c r="F1539" s="112">
        <f>IFERROR(__xludf.DUMMYFUNCTION("""COMPUTED_VALUE"""),0.0)</f>
        <v>0</v>
      </c>
      <c r="G1539" s="49"/>
      <c r="H1539" s="49"/>
      <c r="I1539" s="49"/>
      <c r="J1539" s="49"/>
      <c r="K1539" s="49"/>
      <c r="L1539" s="49"/>
      <c r="M1539" s="49"/>
      <c r="N1539" s="49"/>
      <c r="O1539" s="49"/>
      <c r="P1539" s="49"/>
      <c r="Q1539" s="49"/>
      <c r="R1539" s="49"/>
      <c r="S1539" s="49"/>
      <c r="T1539" s="49"/>
      <c r="U1539" s="49"/>
      <c r="V1539" s="49"/>
      <c r="W1539" s="49"/>
      <c r="X1539" s="49"/>
      <c r="Y1539" s="49"/>
      <c r="Z1539" s="49"/>
      <c r="AA1539" s="49"/>
      <c r="AB1539" s="49"/>
      <c r="AC1539" s="49"/>
      <c r="AD1539" s="49"/>
      <c r="AE1539" s="49"/>
      <c r="AF1539" s="49"/>
      <c r="AG1539" s="49"/>
      <c r="AH1539" s="49" t="b">
        <f>IFERROR(__xludf.DUMMYFUNCTION("""COMPUTED_VALUE"""),FALSE)</f>
        <v>0</v>
      </c>
    </row>
    <row r="1540">
      <c r="A1540" s="49"/>
      <c r="B1540" s="49"/>
      <c r="C1540" s="49"/>
      <c r="D1540" s="49"/>
      <c r="E1540" s="49">
        <f>IFERROR(__xludf.DUMMYFUNCTION("""COMPUTED_VALUE"""),1.0)</f>
        <v>1</v>
      </c>
      <c r="F1540" s="112">
        <f>IFERROR(__xludf.DUMMYFUNCTION("""COMPUTED_VALUE"""),0.0)</f>
        <v>0</v>
      </c>
      <c r="G1540" s="49"/>
      <c r="H1540" s="49"/>
      <c r="I1540" s="49"/>
      <c r="J1540" s="49"/>
      <c r="K1540" s="49"/>
      <c r="L1540" s="49"/>
      <c r="M1540" s="49"/>
      <c r="N1540" s="49"/>
      <c r="O1540" s="49"/>
      <c r="P1540" s="49"/>
      <c r="Q1540" s="49"/>
      <c r="R1540" s="49"/>
      <c r="S1540" s="49"/>
      <c r="T1540" s="49"/>
      <c r="U1540" s="49"/>
      <c r="V1540" s="49"/>
      <c r="W1540" s="49"/>
      <c r="X1540" s="49"/>
      <c r="Y1540" s="49"/>
      <c r="Z1540" s="49"/>
      <c r="AA1540" s="49"/>
      <c r="AB1540" s="49"/>
      <c r="AC1540" s="49"/>
      <c r="AD1540" s="49"/>
      <c r="AE1540" s="49"/>
      <c r="AF1540" s="49"/>
      <c r="AG1540" s="49"/>
      <c r="AH1540" s="49" t="b">
        <f>IFERROR(__xludf.DUMMYFUNCTION("""COMPUTED_VALUE"""),FALSE)</f>
        <v>0</v>
      </c>
    </row>
    <row r="1541">
      <c r="A1541" s="49"/>
      <c r="B1541" s="49"/>
      <c r="C1541" s="49"/>
      <c r="D1541" s="49"/>
      <c r="E1541" s="49">
        <f>IFERROR(__xludf.DUMMYFUNCTION("""COMPUTED_VALUE"""),1.0)</f>
        <v>1</v>
      </c>
      <c r="F1541" s="112">
        <f>IFERROR(__xludf.DUMMYFUNCTION("""COMPUTED_VALUE"""),0.0)</f>
        <v>0</v>
      </c>
      <c r="G1541" s="49"/>
      <c r="H1541" s="49"/>
      <c r="I1541" s="49"/>
      <c r="J1541" s="49"/>
      <c r="K1541" s="49"/>
      <c r="L1541" s="49"/>
      <c r="M1541" s="49"/>
      <c r="N1541" s="49"/>
      <c r="O1541" s="49"/>
      <c r="P1541" s="49"/>
      <c r="Q1541" s="49"/>
      <c r="R1541" s="49"/>
      <c r="S1541" s="49"/>
      <c r="T1541" s="49"/>
      <c r="U1541" s="49"/>
      <c r="V1541" s="49"/>
      <c r="W1541" s="49"/>
      <c r="X1541" s="49"/>
      <c r="Y1541" s="49"/>
      <c r="Z1541" s="49"/>
      <c r="AA1541" s="49"/>
      <c r="AB1541" s="49"/>
      <c r="AC1541" s="49"/>
      <c r="AD1541" s="49"/>
      <c r="AE1541" s="49"/>
      <c r="AF1541" s="49"/>
      <c r="AG1541" s="49"/>
      <c r="AH1541" s="49" t="b">
        <f>IFERROR(__xludf.DUMMYFUNCTION("""COMPUTED_VALUE"""),FALSE)</f>
        <v>0</v>
      </c>
    </row>
    <row r="1542">
      <c r="A1542" s="49"/>
      <c r="B1542" s="49"/>
      <c r="C1542" s="49"/>
      <c r="D1542" s="49"/>
      <c r="E1542" s="49">
        <f>IFERROR(__xludf.DUMMYFUNCTION("""COMPUTED_VALUE"""),1.0)</f>
        <v>1</v>
      </c>
      <c r="F1542" s="112">
        <f>IFERROR(__xludf.DUMMYFUNCTION("""COMPUTED_VALUE"""),0.0)</f>
        <v>0</v>
      </c>
      <c r="G1542" s="49"/>
      <c r="H1542" s="49"/>
      <c r="I1542" s="49"/>
      <c r="J1542" s="49"/>
      <c r="K1542" s="49"/>
      <c r="L1542" s="49"/>
      <c r="M1542" s="49"/>
      <c r="N1542" s="49"/>
      <c r="O1542" s="49"/>
      <c r="P1542" s="49"/>
      <c r="Q1542" s="49"/>
      <c r="R1542" s="49"/>
      <c r="S1542" s="49"/>
      <c r="T1542" s="49"/>
      <c r="U1542" s="49"/>
      <c r="V1542" s="49"/>
      <c r="W1542" s="49"/>
      <c r="X1542" s="49"/>
      <c r="Y1542" s="49"/>
      <c r="Z1542" s="49"/>
      <c r="AA1542" s="49"/>
      <c r="AB1542" s="49"/>
      <c r="AC1542" s="49"/>
      <c r="AD1542" s="49"/>
      <c r="AE1542" s="49"/>
      <c r="AF1542" s="49"/>
      <c r="AG1542" s="49"/>
      <c r="AH1542" s="49" t="b">
        <f>IFERROR(__xludf.DUMMYFUNCTION("""COMPUTED_VALUE"""),FALSE)</f>
        <v>0</v>
      </c>
    </row>
    <row r="1543">
      <c r="A1543" s="49"/>
      <c r="B1543" s="49"/>
      <c r="C1543" s="49"/>
      <c r="D1543" s="49"/>
      <c r="E1543" s="49">
        <f>IFERROR(__xludf.DUMMYFUNCTION("""COMPUTED_VALUE"""),1.0)</f>
        <v>1</v>
      </c>
      <c r="F1543" s="112">
        <f>IFERROR(__xludf.DUMMYFUNCTION("""COMPUTED_VALUE"""),0.0)</f>
        <v>0</v>
      </c>
      <c r="G1543" s="49"/>
      <c r="H1543" s="49"/>
      <c r="I1543" s="49"/>
      <c r="J1543" s="49"/>
      <c r="K1543" s="49"/>
      <c r="L1543" s="49"/>
      <c r="M1543" s="49"/>
      <c r="N1543" s="49"/>
      <c r="O1543" s="49"/>
      <c r="P1543" s="49"/>
      <c r="Q1543" s="49"/>
      <c r="R1543" s="49"/>
      <c r="S1543" s="49"/>
      <c r="T1543" s="49"/>
      <c r="U1543" s="49"/>
      <c r="V1543" s="49"/>
      <c r="W1543" s="49"/>
      <c r="X1543" s="49"/>
      <c r="Y1543" s="49"/>
      <c r="Z1543" s="49"/>
      <c r="AA1543" s="49"/>
      <c r="AB1543" s="49"/>
      <c r="AC1543" s="49"/>
      <c r="AD1543" s="49"/>
      <c r="AE1543" s="49"/>
      <c r="AF1543" s="49"/>
      <c r="AG1543" s="49"/>
      <c r="AH1543" s="49" t="b">
        <f>IFERROR(__xludf.DUMMYFUNCTION("""COMPUTED_VALUE"""),FALSE)</f>
        <v>0</v>
      </c>
    </row>
    <row r="1544">
      <c r="A1544" s="49"/>
      <c r="B1544" s="49"/>
      <c r="C1544" s="49"/>
      <c r="D1544" s="49"/>
      <c r="E1544" s="49">
        <f>IFERROR(__xludf.DUMMYFUNCTION("""COMPUTED_VALUE"""),1.0)</f>
        <v>1</v>
      </c>
      <c r="F1544" s="112">
        <f>IFERROR(__xludf.DUMMYFUNCTION("""COMPUTED_VALUE"""),0.0)</f>
        <v>0</v>
      </c>
      <c r="G1544" s="49"/>
      <c r="H1544" s="49"/>
      <c r="I1544" s="49"/>
      <c r="J1544" s="49"/>
      <c r="K1544" s="49"/>
      <c r="L1544" s="49"/>
      <c r="M1544" s="49"/>
      <c r="N1544" s="49"/>
      <c r="O1544" s="49"/>
      <c r="P1544" s="49"/>
      <c r="Q1544" s="49"/>
      <c r="R1544" s="49"/>
      <c r="S1544" s="49"/>
      <c r="T1544" s="49"/>
      <c r="U1544" s="49"/>
      <c r="V1544" s="49"/>
      <c r="W1544" s="49"/>
      <c r="X1544" s="49"/>
      <c r="Y1544" s="49"/>
      <c r="Z1544" s="49"/>
      <c r="AA1544" s="49"/>
      <c r="AB1544" s="49"/>
      <c r="AC1544" s="49"/>
      <c r="AD1544" s="49"/>
      <c r="AE1544" s="49"/>
      <c r="AF1544" s="49"/>
      <c r="AG1544" s="49"/>
      <c r="AH1544" s="49" t="b">
        <f>IFERROR(__xludf.DUMMYFUNCTION("""COMPUTED_VALUE"""),FALSE)</f>
        <v>0</v>
      </c>
    </row>
    <row r="1545">
      <c r="A1545" s="49"/>
      <c r="B1545" s="49"/>
      <c r="C1545" s="49"/>
      <c r="D1545" s="49"/>
      <c r="E1545" s="49">
        <f>IFERROR(__xludf.DUMMYFUNCTION("""COMPUTED_VALUE"""),1.0)</f>
        <v>1</v>
      </c>
      <c r="F1545" s="112">
        <f>IFERROR(__xludf.DUMMYFUNCTION("""COMPUTED_VALUE"""),0.0)</f>
        <v>0</v>
      </c>
      <c r="G1545" s="49"/>
      <c r="H1545" s="49"/>
      <c r="I1545" s="49"/>
      <c r="J1545" s="49"/>
      <c r="K1545" s="49"/>
      <c r="L1545" s="49"/>
      <c r="M1545" s="49"/>
      <c r="N1545" s="49"/>
      <c r="O1545" s="49"/>
      <c r="P1545" s="49"/>
      <c r="Q1545" s="49"/>
      <c r="R1545" s="49"/>
      <c r="S1545" s="49"/>
      <c r="T1545" s="49"/>
      <c r="U1545" s="49"/>
      <c r="V1545" s="49"/>
      <c r="W1545" s="49"/>
      <c r="X1545" s="49"/>
      <c r="Y1545" s="49"/>
      <c r="Z1545" s="49"/>
      <c r="AA1545" s="49"/>
      <c r="AB1545" s="49"/>
      <c r="AC1545" s="49"/>
      <c r="AD1545" s="49"/>
      <c r="AE1545" s="49"/>
      <c r="AF1545" s="49"/>
      <c r="AG1545" s="49"/>
      <c r="AH1545" s="49" t="b">
        <f>IFERROR(__xludf.DUMMYFUNCTION("""COMPUTED_VALUE"""),FALSE)</f>
        <v>0</v>
      </c>
    </row>
    <row r="1546">
      <c r="A1546" s="49"/>
      <c r="B1546" s="49"/>
      <c r="C1546" s="49"/>
      <c r="D1546" s="49"/>
      <c r="E1546" s="49">
        <f>IFERROR(__xludf.DUMMYFUNCTION("""COMPUTED_VALUE"""),1.0)</f>
        <v>1</v>
      </c>
      <c r="F1546" s="112">
        <f>IFERROR(__xludf.DUMMYFUNCTION("""COMPUTED_VALUE"""),0.0)</f>
        <v>0</v>
      </c>
      <c r="G1546" s="49"/>
      <c r="H1546" s="49"/>
      <c r="I1546" s="49"/>
      <c r="J1546" s="49"/>
      <c r="K1546" s="49"/>
      <c r="L1546" s="49"/>
      <c r="M1546" s="49"/>
      <c r="N1546" s="49"/>
      <c r="O1546" s="49"/>
      <c r="P1546" s="49"/>
      <c r="Q1546" s="49"/>
      <c r="R1546" s="49"/>
      <c r="S1546" s="49"/>
      <c r="T1546" s="49"/>
      <c r="U1546" s="49"/>
      <c r="V1546" s="49"/>
      <c r="W1546" s="49"/>
      <c r="X1546" s="49"/>
      <c r="Y1546" s="49"/>
      <c r="Z1546" s="49"/>
      <c r="AA1546" s="49"/>
      <c r="AB1546" s="49"/>
      <c r="AC1546" s="49"/>
      <c r="AD1546" s="49"/>
      <c r="AE1546" s="49"/>
      <c r="AF1546" s="49"/>
      <c r="AG1546" s="49"/>
      <c r="AH1546" s="49" t="b">
        <f>IFERROR(__xludf.DUMMYFUNCTION("""COMPUTED_VALUE"""),FALSE)</f>
        <v>0</v>
      </c>
    </row>
    <row r="1547">
      <c r="A1547" s="49"/>
      <c r="B1547" s="49"/>
      <c r="C1547" s="49"/>
      <c r="D1547" s="49"/>
      <c r="E1547" s="49">
        <f>IFERROR(__xludf.DUMMYFUNCTION("""COMPUTED_VALUE"""),1.0)</f>
        <v>1</v>
      </c>
      <c r="F1547" s="112">
        <f>IFERROR(__xludf.DUMMYFUNCTION("""COMPUTED_VALUE"""),0.0)</f>
        <v>0</v>
      </c>
      <c r="G1547" s="49"/>
      <c r="H1547" s="49"/>
      <c r="I1547" s="49"/>
      <c r="J1547" s="49"/>
      <c r="K1547" s="49"/>
      <c r="L1547" s="49"/>
      <c r="M1547" s="49"/>
      <c r="N1547" s="49"/>
      <c r="O1547" s="49"/>
      <c r="P1547" s="49"/>
      <c r="Q1547" s="49"/>
      <c r="R1547" s="49"/>
      <c r="S1547" s="49"/>
      <c r="T1547" s="49"/>
      <c r="U1547" s="49"/>
      <c r="V1547" s="49"/>
      <c r="W1547" s="49"/>
      <c r="X1547" s="49"/>
      <c r="Y1547" s="49"/>
      <c r="Z1547" s="49"/>
      <c r="AA1547" s="49"/>
      <c r="AB1547" s="49"/>
      <c r="AC1547" s="49"/>
      <c r="AD1547" s="49"/>
      <c r="AE1547" s="49"/>
      <c r="AF1547" s="49"/>
      <c r="AG1547" s="49"/>
      <c r="AH1547" s="49" t="b">
        <f>IFERROR(__xludf.DUMMYFUNCTION("""COMPUTED_VALUE"""),FALSE)</f>
        <v>0</v>
      </c>
    </row>
    <row r="1548">
      <c r="A1548" s="49"/>
      <c r="B1548" s="49"/>
      <c r="C1548" s="49"/>
      <c r="D1548" s="49"/>
      <c r="E1548" s="49">
        <f>IFERROR(__xludf.DUMMYFUNCTION("""COMPUTED_VALUE"""),1.0)</f>
        <v>1</v>
      </c>
      <c r="F1548" s="112">
        <f>IFERROR(__xludf.DUMMYFUNCTION("""COMPUTED_VALUE"""),0.0)</f>
        <v>0</v>
      </c>
      <c r="G1548" s="49"/>
      <c r="H1548" s="49"/>
      <c r="I1548" s="49"/>
      <c r="J1548" s="49"/>
      <c r="K1548" s="49"/>
      <c r="L1548" s="49"/>
      <c r="M1548" s="49"/>
      <c r="N1548" s="49"/>
      <c r="O1548" s="49"/>
      <c r="P1548" s="49"/>
      <c r="Q1548" s="49"/>
      <c r="R1548" s="49"/>
      <c r="S1548" s="49"/>
      <c r="T1548" s="49"/>
      <c r="U1548" s="49"/>
      <c r="V1548" s="49"/>
      <c r="W1548" s="49"/>
      <c r="X1548" s="49"/>
      <c r="Y1548" s="49"/>
      <c r="Z1548" s="49"/>
      <c r="AA1548" s="49"/>
      <c r="AB1548" s="49"/>
      <c r="AC1548" s="49"/>
      <c r="AD1548" s="49"/>
      <c r="AE1548" s="49"/>
      <c r="AF1548" s="49"/>
      <c r="AG1548" s="49"/>
      <c r="AH1548" s="49" t="b">
        <f>IFERROR(__xludf.DUMMYFUNCTION("""COMPUTED_VALUE"""),FALSE)</f>
        <v>0</v>
      </c>
    </row>
    <row r="1549">
      <c r="A1549" s="49"/>
      <c r="B1549" s="49"/>
      <c r="C1549" s="49"/>
      <c r="D1549" s="49"/>
      <c r="E1549" s="49">
        <f>IFERROR(__xludf.DUMMYFUNCTION("""COMPUTED_VALUE"""),1.0)</f>
        <v>1</v>
      </c>
      <c r="F1549" s="112">
        <f>IFERROR(__xludf.DUMMYFUNCTION("""COMPUTED_VALUE"""),0.0)</f>
        <v>0</v>
      </c>
      <c r="G1549" s="49"/>
      <c r="H1549" s="49"/>
      <c r="I1549" s="49"/>
      <c r="J1549" s="49"/>
      <c r="K1549" s="49"/>
      <c r="L1549" s="49"/>
      <c r="M1549" s="49"/>
      <c r="N1549" s="49"/>
      <c r="O1549" s="49"/>
      <c r="P1549" s="49"/>
      <c r="Q1549" s="49"/>
      <c r="R1549" s="49"/>
      <c r="S1549" s="49"/>
      <c r="T1549" s="49"/>
      <c r="U1549" s="49"/>
      <c r="V1549" s="49"/>
      <c r="W1549" s="49"/>
      <c r="X1549" s="49"/>
      <c r="Y1549" s="49"/>
      <c r="Z1549" s="49"/>
      <c r="AA1549" s="49"/>
      <c r="AB1549" s="49"/>
      <c r="AC1549" s="49"/>
      <c r="AD1549" s="49"/>
      <c r="AE1549" s="49"/>
      <c r="AF1549" s="49"/>
      <c r="AG1549" s="49"/>
      <c r="AH1549" s="49" t="b">
        <f>IFERROR(__xludf.DUMMYFUNCTION("""COMPUTED_VALUE"""),FALSE)</f>
        <v>0</v>
      </c>
    </row>
    <row r="1550">
      <c r="A1550" s="49"/>
      <c r="B1550" s="49"/>
      <c r="C1550" s="49"/>
      <c r="D1550" s="49"/>
      <c r="E1550" s="49">
        <f>IFERROR(__xludf.DUMMYFUNCTION("""COMPUTED_VALUE"""),1.0)</f>
        <v>1</v>
      </c>
      <c r="F1550" s="112">
        <f>IFERROR(__xludf.DUMMYFUNCTION("""COMPUTED_VALUE"""),0.0)</f>
        <v>0</v>
      </c>
      <c r="G1550" s="49"/>
      <c r="H1550" s="49"/>
      <c r="I1550" s="49"/>
      <c r="J1550" s="49"/>
      <c r="K1550" s="49"/>
      <c r="L1550" s="49"/>
      <c r="M1550" s="49"/>
      <c r="N1550" s="49"/>
      <c r="O1550" s="49"/>
      <c r="P1550" s="49"/>
      <c r="Q1550" s="49"/>
      <c r="R1550" s="49"/>
      <c r="S1550" s="49"/>
      <c r="T1550" s="49"/>
      <c r="U1550" s="49"/>
      <c r="V1550" s="49"/>
      <c r="W1550" s="49"/>
      <c r="X1550" s="49"/>
      <c r="Y1550" s="49"/>
      <c r="Z1550" s="49"/>
      <c r="AA1550" s="49"/>
      <c r="AB1550" s="49"/>
      <c r="AC1550" s="49"/>
      <c r="AD1550" s="49"/>
      <c r="AE1550" s="49"/>
      <c r="AF1550" s="49"/>
      <c r="AG1550" s="49"/>
      <c r="AH1550" s="49" t="b">
        <f>IFERROR(__xludf.DUMMYFUNCTION("""COMPUTED_VALUE"""),FALSE)</f>
        <v>0</v>
      </c>
    </row>
    <row r="1551">
      <c r="A1551" s="49"/>
      <c r="B1551" s="49"/>
      <c r="C1551" s="49"/>
      <c r="D1551" s="49"/>
      <c r="E1551" s="49">
        <f>IFERROR(__xludf.DUMMYFUNCTION("""COMPUTED_VALUE"""),1.0)</f>
        <v>1</v>
      </c>
      <c r="F1551" s="112">
        <f>IFERROR(__xludf.DUMMYFUNCTION("""COMPUTED_VALUE"""),0.0)</f>
        <v>0</v>
      </c>
      <c r="G1551" s="49"/>
      <c r="H1551" s="49"/>
      <c r="I1551" s="49"/>
      <c r="J1551" s="49"/>
      <c r="K1551" s="49"/>
      <c r="L1551" s="49"/>
      <c r="M1551" s="49"/>
      <c r="N1551" s="49"/>
      <c r="O1551" s="49"/>
      <c r="P1551" s="49"/>
      <c r="Q1551" s="49"/>
      <c r="R1551" s="49"/>
      <c r="S1551" s="49"/>
      <c r="T1551" s="49"/>
      <c r="U1551" s="49"/>
      <c r="V1551" s="49"/>
      <c r="W1551" s="49"/>
      <c r="X1551" s="49"/>
      <c r="Y1551" s="49"/>
      <c r="Z1551" s="49"/>
      <c r="AA1551" s="49"/>
      <c r="AB1551" s="49"/>
      <c r="AC1551" s="49"/>
      <c r="AD1551" s="49"/>
      <c r="AE1551" s="49"/>
      <c r="AF1551" s="49"/>
      <c r="AG1551" s="49"/>
      <c r="AH1551" s="49" t="b">
        <f>IFERROR(__xludf.DUMMYFUNCTION("""COMPUTED_VALUE"""),FALSE)</f>
        <v>0</v>
      </c>
    </row>
    <row r="1552">
      <c r="A1552" s="49"/>
      <c r="B1552" s="49"/>
      <c r="C1552" s="49"/>
      <c r="D1552" s="49"/>
      <c r="E1552" s="49">
        <f>IFERROR(__xludf.DUMMYFUNCTION("""COMPUTED_VALUE"""),1.0)</f>
        <v>1</v>
      </c>
      <c r="F1552" s="112">
        <f>IFERROR(__xludf.DUMMYFUNCTION("""COMPUTED_VALUE"""),0.0)</f>
        <v>0</v>
      </c>
      <c r="G1552" s="49"/>
      <c r="H1552" s="49"/>
      <c r="I1552" s="49"/>
      <c r="J1552" s="49"/>
      <c r="K1552" s="49"/>
      <c r="L1552" s="49"/>
      <c r="M1552" s="49"/>
      <c r="N1552" s="49"/>
      <c r="O1552" s="49"/>
      <c r="P1552" s="49"/>
      <c r="Q1552" s="49"/>
      <c r="R1552" s="49"/>
      <c r="S1552" s="49"/>
      <c r="T1552" s="49"/>
      <c r="U1552" s="49"/>
      <c r="V1552" s="49"/>
      <c r="W1552" s="49"/>
      <c r="X1552" s="49"/>
      <c r="Y1552" s="49"/>
      <c r="Z1552" s="49"/>
      <c r="AA1552" s="49"/>
      <c r="AB1552" s="49"/>
      <c r="AC1552" s="49"/>
      <c r="AD1552" s="49"/>
      <c r="AE1552" s="49"/>
      <c r="AF1552" s="49"/>
      <c r="AG1552" s="49"/>
      <c r="AH1552" s="49" t="b">
        <f>IFERROR(__xludf.DUMMYFUNCTION("""COMPUTED_VALUE"""),FALSE)</f>
        <v>0</v>
      </c>
    </row>
    <row r="1553">
      <c r="A1553" s="49"/>
      <c r="B1553" s="49"/>
      <c r="C1553" s="49"/>
      <c r="D1553" s="49"/>
      <c r="E1553" s="49">
        <f>IFERROR(__xludf.DUMMYFUNCTION("""COMPUTED_VALUE"""),1.0)</f>
        <v>1</v>
      </c>
      <c r="F1553" s="112">
        <f>IFERROR(__xludf.DUMMYFUNCTION("""COMPUTED_VALUE"""),0.0)</f>
        <v>0</v>
      </c>
      <c r="G1553" s="49"/>
      <c r="H1553" s="49"/>
      <c r="I1553" s="49"/>
      <c r="J1553" s="49"/>
      <c r="K1553" s="49"/>
      <c r="L1553" s="49"/>
      <c r="M1553" s="49"/>
      <c r="N1553" s="49"/>
      <c r="O1553" s="49"/>
      <c r="P1553" s="49"/>
      <c r="Q1553" s="49"/>
      <c r="R1553" s="49"/>
      <c r="S1553" s="49"/>
      <c r="T1553" s="49"/>
      <c r="U1553" s="49"/>
      <c r="V1553" s="49"/>
      <c r="W1553" s="49"/>
      <c r="X1553" s="49"/>
      <c r="Y1553" s="49"/>
      <c r="Z1553" s="49"/>
      <c r="AA1553" s="49"/>
      <c r="AB1553" s="49"/>
      <c r="AC1553" s="49"/>
      <c r="AD1553" s="49"/>
      <c r="AE1553" s="49"/>
      <c r="AF1553" s="49"/>
      <c r="AG1553" s="49"/>
      <c r="AH1553" s="49" t="b">
        <f>IFERROR(__xludf.DUMMYFUNCTION("""COMPUTED_VALUE"""),FALSE)</f>
        <v>0</v>
      </c>
    </row>
    <row r="1554">
      <c r="A1554" s="49"/>
      <c r="B1554" s="49"/>
      <c r="C1554" s="49"/>
      <c r="D1554" s="49"/>
      <c r="E1554" s="49">
        <f>IFERROR(__xludf.DUMMYFUNCTION("""COMPUTED_VALUE"""),1.0)</f>
        <v>1</v>
      </c>
      <c r="F1554" s="112">
        <f>IFERROR(__xludf.DUMMYFUNCTION("""COMPUTED_VALUE"""),0.0)</f>
        <v>0</v>
      </c>
      <c r="G1554" s="49"/>
      <c r="H1554" s="49"/>
      <c r="I1554" s="49"/>
      <c r="J1554" s="49"/>
      <c r="K1554" s="49"/>
      <c r="L1554" s="49"/>
      <c r="M1554" s="49"/>
      <c r="N1554" s="49"/>
      <c r="O1554" s="49"/>
      <c r="P1554" s="49"/>
      <c r="Q1554" s="49"/>
      <c r="R1554" s="49"/>
      <c r="S1554" s="49"/>
      <c r="T1554" s="49"/>
      <c r="U1554" s="49"/>
      <c r="V1554" s="49"/>
      <c r="W1554" s="49"/>
      <c r="X1554" s="49"/>
      <c r="Y1554" s="49"/>
      <c r="Z1554" s="49"/>
      <c r="AA1554" s="49"/>
      <c r="AB1554" s="49"/>
      <c r="AC1554" s="49"/>
      <c r="AD1554" s="49"/>
      <c r="AE1554" s="49"/>
      <c r="AF1554" s="49"/>
      <c r="AG1554" s="49"/>
      <c r="AH1554" s="49" t="b">
        <f>IFERROR(__xludf.DUMMYFUNCTION("""COMPUTED_VALUE"""),FALSE)</f>
        <v>0</v>
      </c>
    </row>
    <row r="1555">
      <c r="A1555" s="49"/>
      <c r="B1555" s="49"/>
      <c r="C1555" s="49"/>
      <c r="D1555" s="49"/>
      <c r="E1555" s="49">
        <f>IFERROR(__xludf.DUMMYFUNCTION("""COMPUTED_VALUE"""),1.0)</f>
        <v>1</v>
      </c>
      <c r="F1555" s="112">
        <f>IFERROR(__xludf.DUMMYFUNCTION("""COMPUTED_VALUE"""),0.0)</f>
        <v>0</v>
      </c>
      <c r="G1555" s="49"/>
      <c r="H1555" s="49"/>
      <c r="I1555" s="49"/>
      <c r="J1555" s="49"/>
      <c r="K1555" s="49"/>
      <c r="L1555" s="49"/>
      <c r="M1555" s="49"/>
      <c r="N1555" s="49"/>
      <c r="O1555" s="49"/>
      <c r="P1555" s="49"/>
      <c r="Q1555" s="49"/>
      <c r="R1555" s="49"/>
      <c r="S1555" s="49"/>
      <c r="T1555" s="49"/>
      <c r="U1555" s="49"/>
      <c r="V1555" s="49"/>
      <c r="W1555" s="49"/>
      <c r="X1555" s="49"/>
      <c r="Y1555" s="49"/>
      <c r="Z1555" s="49"/>
      <c r="AA1555" s="49"/>
      <c r="AB1555" s="49"/>
      <c r="AC1555" s="49"/>
      <c r="AD1555" s="49"/>
      <c r="AE1555" s="49"/>
      <c r="AF1555" s="49"/>
      <c r="AG1555" s="49"/>
      <c r="AH1555" s="49" t="b">
        <f>IFERROR(__xludf.DUMMYFUNCTION("""COMPUTED_VALUE"""),FALSE)</f>
        <v>0</v>
      </c>
    </row>
    <row r="1556">
      <c r="A1556" s="49"/>
      <c r="B1556" s="49"/>
      <c r="C1556" s="49"/>
      <c r="D1556" s="49"/>
      <c r="E1556" s="49">
        <f>IFERROR(__xludf.DUMMYFUNCTION("""COMPUTED_VALUE"""),1.0)</f>
        <v>1</v>
      </c>
      <c r="F1556" s="112">
        <f>IFERROR(__xludf.DUMMYFUNCTION("""COMPUTED_VALUE"""),0.0)</f>
        <v>0</v>
      </c>
      <c r="G1556" s="49"/>
      <c r="H1556" s="49"/>
      <c r="I1556" s="49"/>
      <c r="J1556" s="49"/>
      <c r="K1556" s="49"/>
      <c r="L1556" s="49"/>
      <c r="M1556" s="49"/>
      <c r="N1556" s="49"/>
      <c r="O1556" s="49"/>
      <c r="P1556" s="49"/>
      <c r="Q1556" s="49"/>
      <c r="R1556" s="49"/>
      <c r="S1556" s="49"/>
      <c r="T1556" s="49"/>
      <c r="U1556" s="49"/>
      <c r="V1556" s="49"/>
      <c r="W1556" s="49"/>
      <c r="X1556" s="49"/>
      <c r="Y1556" s="49"/>
      <c r="Z1556" s="49"/>
      <c r="AA1556" s="49"/>
      <c r="AB1556" s="49"/>
      <c r="AC1556" s="49"/>
      <c r="AD1556" s="49"/>
      <c r="AE1556" s="49"/>
      <c r="AF1556" s="49"/>
      <c r="AG1556" s="49"/>
      <c r="AH1556" s="49" t="b">
        <f>IFERROR(__xludf.DUMMYFUNCTION("""COMPUTED_VALUE"""),FALSE)</f>
        <v>0</v>
      </c>
    </row>
    <row r="1557">
      <c r="A1557" s="49"/>
      <c r="B1557" s="49"/>
      <c r="C1557" s="49"/>
      <c r="D1557" s="49"/>
      <c r="E1557" s="49">
        <f>IFERROR(__xludf.DUMMYFUNCTION("""COMPUTED_VALUE"""),1.0)</f>
        <v>1</v>
      </c>
      <c r="F1557" s="112">
        <f>IFERROR(__xludf.DUMMYFUNCTION("""COMPUTED_VALUE"""),0.0)</f>
        <v>0</v>
      </c>
      <c r="G1557" s="49"/>
      <c r="H1557" s="49"/>
      <c r="I1557" s="49"/>
      <c r="J1557" s="49"/>
      <c r="K1557" s="49"/>
      <c r="L1557" s="49"/>
      <c r="M1557" s="49"/>
      <c r="N1557" s="49"/>
      <c r="O1557" s="49"/>
      <c r="P1557" s="49"/>
      <c r="Q1557" s="49"/>
      <c r="R1557" s="49"/>
      <c r="S1557" s="49"/>
      <c r="T1557" s="49"/>
      <c r="U1557" s="49"/>
      <c r="V1557" s="49"/>
      <c r="W1557" s="49"/>
      <c r="X1557" s="49"/>
      <c r="Y1557" s="49"/>
      <c r="Z1557" s="49"/>
      <c r="AA1557" s="49"/>
      <c r="AB1557" s="49"/>
      <c r="AC1557" s="49"/>
      <c r="AD1557" s="49"/>
      <c r="AE1557" s="49"/>
      <c r="AF1557" s="49"/>
      <c r="AG1557" s="49"/>
      <c r="AH1557" s="49" t="b">
        <f>IFERROR(__xludf.DUMMYFUNCTION("""COMPUTED_VALUE"""),FALSE)</f>
        <v>0</v>
      </c>
    </row>
    <row r="1558">
      <c r="A1558" s="49"/>
      <c r="B1558" s="49"/>
      <c r="C1558" s="49"/>
      <c r="D1558" s="49"/>
      <c r="E1558" s="49">
        <f>IFERROR(__xludf.DUMMYFUNCTION("""COMPUTED_VALUE"""),1.0)</f>
        <v>1</v>
      </c>
      <c r="F1558" s="112">
        <f>IFERROR(__xludf.DUMMYFUNCTION("""COMPUTED_VALUE"""),0.0)</f>
        <v>0</v>
      </c>
      <c r="G1558" s="49"/>
      <c r="H1558" s="49"/>
      <c r="I1558" s="49"/>
      <c r="J1558" s="49"/>
      <c r="K1558" s="49"/>
      <c r="L1558" s="49"/>
      <c r="M1558" s="49"/>
      <c r="N1558" s="49"/>
      <c r="O1558" s="49"/>
      <c r="P1558" s="49"/>
      <c r="Q1558" s="49"/>
      <c r="R1558" s="49"/>
      <c r="S1558" s="49"/>
      <c r="T1558" s="49"/>
      <c r="U1558" s="49"/>
      <c r="V1558" s="49"/>
      <c r="W1558" s="49"/>
      <c r="X1558" s="49"/>
      <c r="Y1558" s="49"/>
      <c r="Z1558" s="49"/>
      <c r="AA1558" s="49"/>
      <c r="AB1558" s="49"/>
      <c r="AC1558" s="49"/>
      <c r="AD1558" s="49"/>
      <c r="AE1558" s="49"/>
      <c r="AF1558" s="49"/>
      <c r="AG1558" s="49"/>
      <c r="AH1558" s="49" t="b">
        <f>IFERROR(__xludf.DUMMYFUNCTION("""COMPUTED_VALUE"""),FALSE)</f>
        <v>0</v>
      </c>
    </row>
    <row r="1559">
      <c r="A1559" s="49"/>
      <c r="B1559" s="49"/>
      <c r="C1559" s="49"/>
      <c r="D1559" s="49"/>
      <c r="E1559" s="49">
        <f>IFERROR(__xludf.DUMMYFUNCTION("""COMPUTED_VALUE"""),1.0)</f>
        <v>1</v>
      </c>
      <c r="F1559" s="112">
        <f>IFERROR(__xludf.DUMMYFUNCTION("""COMPUTED_VALUE"""),0.0)</f>
        <v>0</v>
      </c>
      <c r="G1559" s="49"/>
      <c r="H1559" s="49"/>
      <c r="I1559" s="49"/>
      <c r="J1559" s="49"/>
      <c r="K1559" s="49"/>
      <c r="L1559" s="49"/>
      <c r="M1559" s="49"/>
      <c r="N1559" s="49"/>
      <c r="O1559" s="49"/>
      <c r="P1559" s="49"/>
      <c r="Q1559" s="49"/>
      <c r="R1559" s="49"/>
      <c r="S1559" s="49"/>
      <c r="T1559" s="49"/>
      <c r="U1559" s="49"/>
      <c r="V1559" s="49"/>
      <c r="W1559" s="49"/>
      <c r="X1559" s="49"/>
      <c r="Y1559" s="49"/>
      <c r="Z1559" s="49"/>
      <c r="AA1559" s="49"/>
      <c r="AB1559" s="49"/>
      <c r="AC1559" s="49"/>
      <c r="AD1559" s="49"/>
      <c r="AE1559" s="49"/>
      <c r="AF1559" s="49"/>
      <c r="AG1559" s="49"/>
      <c r="AH1559" s="49" t="b">
        <f>IFERROR(__xludf.DUMMYFUNCTION("""COMPUTED_VALUE"""),FALSE)</f>
        <v>0</v>
      </c>
    </row>
    <row r="1560">
      <c r="A1560" s="49"/>
      <c r="B1560" s="49"/>
      <c r="C1560" s="49"/>
      <c r="D1560" s="49"/>
      <c r="E1560" s="49">
        <f>IFERROR(__xludf.DUMMYFUNCTION("""COMPUTED_VALUE"""),1.0)</f>
        <v>1</v>
      </c>
      <c r="F1560" s="112">
        <f>IFERROR(__xludf.DUMMYFUNCTION("""COMPUTED_VALUE"""),0.0)</f>
        <v>0</v>
      </c>
      <c r="G1560" s="49"/>
      <c r="H1560" s="49"/>
      <c r="I1560" s="49"/>
      <c r="J1560" s="49"/>
      <c r="K1560" s="49"/>
      <c r="L1560" s="49"/>
      <c r="M1560" s="49"/>
      <c r="N1560" s="49"/>
      <c r="O1560" s="49"/>
      <c r="P1560" s="49"/>
      <c r="Q1560" s="49"/>
      <c r="R1560" s="49"/>
      <c r="S1560" s="49"/>
      <c r="T1560" s="49"/>
      <c r="U1560" s="49"/>
      <c r="V1560" s="49"/>
      <c r="W1560" s="49"/>
      <c r="X1560" s="49"/>
      <c r="Y1560" s="49"/>
      <c r="Z1560" s="49"/>
      <c r="AA1560" s="49"/>
      <c r="AB1560" s="49"/>
      <c r="AC1560" s="49"/>
      <c r="AD1560" s="49"/>
      <c r="AE1560" s="49"/>
      <c r="AF1560" s="49"/>
      <c r="AG1560" s="49"/>
      <c r="AH1560" s="49" t="b">
        <f>IFERROR(__xludf.DUMMYFUNCTION("""COMPUTED_VALUE"""),FALSE)</f>
        <v>0</v>
      </c>
    </row>
    <row r="1561">
      <c r="A1561" s="49"/>
      <c r="B1561" s="49"/>
      <c r="C1561" s="49"/>
      <c r="D1561" s="49"/>
      <c r="E1561" s="49">
        <f>IFERROR(__xludf.DUMMYFUNCTION("""COMPUTED_VALUE"""),1.0)</f>
        <v>1</v>
      </c>
      <c r="F1561" s="112">
        <f>IFERROR(__xludf.DUMMYFUNCTION("""COMPUTED_VALUE"""),0.0)</f>
        <v>0</v>
      </c>
      <c r="G1561" s="49"/>
      <c r="H1561" s="49"/>
      <c r="I1561" s="49"/>
      <c r="J1561" s="49"/>
      <c r="K1561" s="49"/>
      <c r="L1561" s="49"/>
      <c r="M1561" s="49"/>
      <c r="N1561" s="49"/>
      <c r="O1561" s="49"/>
      <c r="P1561" s="49"/>
      <c r="Q1561" s="49"/>
      <c r="R1561" s="49"/>
      <c r="S1561" s="49"/>
      <c r="T1561" s="49"/>
      <c r="U1561" s="49"/>
      <c r="V1561" s="49"/>
      <c r="W1561" s="49"/>
      <c r="X1561" s="49"/>
      <c r="Y1561" s="49"/>
      <c r="Z1561" s="49"/>
      <c r="AA1561" s="49"/>
      <c r="AB1561" s="49"/>
      <c r="AC1561" s="49"/>
      <c r="AD1561" s="49"/>
      <c r="AE1561" s="49"/>
      <c r="AF1561" s="49"/>
      <c r="AG1561" s="49"/>
      <c r="AH1561" s="49" t="b">
        <f>IFERROR(__xludf.DUMMYFUNCTION("""COMPUTED_VALUE"""),FALSE)</f>
        <v>0</v>
      </c>
    </row>
    <row r="1562">
      <c r="A1562" s="49"/>
      <c r="B1562" s="49"/>
      <c r="C1562" s="49"/>
      <c r="D1562" s="49"/>
      <c r="E1562" s="49">
        <f>IFERROR(__xludf.DUMMYFUNCTION("""COMPUTED_VALUE"""),1.0)</f>
        <v>1</v>
      </c>
      <c r="F1562" s="112">
        <f>IFERROR(__xludf.DUMMYFUNCTION("""COMPUTED_VALUE"""),0.0)</f>
        <v>0</v>
      </c>
      <c r="G1562" s="49"/>
      <c r="H1562" s="49"/>
      <c r="I1562" s="49"/>
      <c r="J1562" s="49"/>
      <c r="K1562" s="49"/>
      <c r="L1562" s="49"/>
      <c r="M1562" s="49"/>
      <c r="N1562" s="49"/>
      <c r="O1562" s="49"/>
      <c r="P1562" s="49"/>
      <c r="Q1562" s="49"/>
      <c r="R1562" s="49"/>
      <c r="S1562" s="49"/>
      <c r="T1562" s="49"/>
      <c r="U1562" s="49"/>
      <c r="V1562" s="49"/>
      <c r="W1562" s="49"/>
      <c r="X1562" s="49"/>
      <c r="Y1562" s="49"/>
      <c r="Z1562" s="49"/>
      <c r="AA1562" s="49"/>
      <c r="AB1562" s="49"/>
      <c r="AC1562" s="49"/>
      <c r="AD1562" s="49"/>
      <c r="AE1562" s="49"/>
      <c r="AF1562" s="49"/>
      <c r="AG1562" s="49"/>
      <c r="AH1562" s="49" t="b">
        <f>IFERROR(__xludf.DUMMYFUNCTION("""COMPUTED_VALUE"""),FALSE)</f>
        <v>0</v>
      </c>
    </row>
    <row r="1563">
      <c r="A1563" s="49"/>
      <c r="B1563" s="49"/>
      <c r="C1563" s="49"/>
      <c r="D1563" s="49"/>
      <c r="E1563" s="49">
        <f>IFERROR(__xludf.DUMMYFUNCTION("""COMPUTED_VALUE"""),1.0)</f>
        <v>1</v>
      </c>
      <c r="F1563" s="112">
        <f>IFERROR(__xludf.DUMMYFUNCTION("""COMPUTED_VALUE"""),0.0)</f>
        <v>0</v>
      </c>
      <c r="G1563" s="49"/>
      <c r="H1563" s="49"/>
      <c r="I1563" s="49"/>
      <c r="J1563" s="49"/>
      <c r="K1563" s="49"/>
      <c r="L1563" s="49"/>
      <c r="M1563" s="49"/>
      <c r="N1563" s="49"/>
      <c r="O1563" s="49"/>
      <c r="P1563" s="49"/>
      <c r="Q1563" s="49"/>
      <c r="R1563" s="49"/>
      <c r="S1563" s="49"/>
      <c r="T1563" s="49"/>
      <c r="U1563" s="49"/>
      <c r="V1563" s="49"/>
      <c r="W1563" s="49"/>
      <c r="X1563" s="49"/>
      <c r="Y1563" s="49"/>
      <c r="Z1563" s="49"/>
      <c r="AA1563" s="49"/>
      <c r="AB1563" s="49"/>
      <c r="AC1563" s="49"/>
      <c r="AD1563" s="49"/>
      <c r="AE1563" s="49"/>
      <c r="AF1563" s="49"/>
      <c r="AG1563" s="49"/>
      <c r="AH1563" s="49" t="b">
        <f>IFERROR(__xludf.DUMMYFUNCTION("""COMPUTED_VALUE"""),FALSE)</f>
        <v>0</v>
      </c>
    </row>
    <row r="1564">
      <c r="A1564" s="49"/>
      <c r="B1564" s="49"/>
      <c r="C1564" s="49"/>
      <c r="D1564" s="49"/>
      <c r="E1564" s="49">
        <f>IFERROR(__xludf.DUMMYFUNCTION("""COMPUTED_VALUE"""),1.0)</f>
        <v>1</v>
      </c>
      <c r="F1564" s="112">
        <f>IFERROR(__xludf.DUMMYFUNCTION("""COMPUTED_VALUE"""),0.0)</f>
        <v>0</v>
      </c>
      <c r="G1564" s="49"/>
      <c r="H1564" s="49"/>
      <c r="I1564" s="49"/>
      <c r="J1564" s="49"/>
      <c r="K1564" s="49"/>
      <c r="L1564" s="49"/>
      <c r="M1564" s="49"/>
      <c r="N1564" s="49"/>
      <c r="O1564" s="49"/>
      <c r="P1564" s="49"/>
      <c r="Q1564" s="49"/>
      <c r="R1564" s="49"/>
      <c r="S1564" s="49"/>
      <c r="T1564" s="49"/>
      <c r="U1564" s="49"/>
      <c r="V1564" s="49"/>
      <c r="W1564" s="49"/>
      <c r="X1564" s="49"/>
      <c r="Y1564" s="49"/>
      <c r="Z1564" s="49"/>
      <c r="AA1564" s="49"/>
      <c r="AB1564" s="49"/>
      <c r="AC1564" s="49"/>
      <c r="AD1564" s="49"/>
      <c r="AE1564" s="49"/>
      <c r="AF1564" s="49"/>
      <c r="AG1564" s="49"/>
      <c r="AH1564" s="49" t="b">
        <f>IFERROR(__xludf.DUMMYFUNCTION("""COMPUTED_VALUE"""),FALSE)</f>
        <v>0</v>
      </c>
    </row>
    <row r="1565">
      <c r="A1565" s="49"/>
      <c r="B1565" s="49"/>
      <c r="C1565" s="49"/>
      <c r="D1565" s="49"/>
      <c r="E1565" s="49">
        <f>IFERROR(__xludf.DUMMYFUNCTION("""COMPUTED_VALUE"""),1.0)</f>
        <v>1</v>
      </c>
      <c r="F1565" s="112">
        <f>IFERROR(__xludf.DUMMYFUNCTION("""COMPUTED_VALUE"""),0.0)</f>
        <v>0</v>
      </c>
      <c r="G1565" s="49"/>
      <c r="H1565" s="49"/>
      <c r="I1565" s="49"/>
      <c r="J1565" s="49"/>
      <c r="K1565" s="49"/>
      <c r="L1565" s="49"/>
      <c r="M1565" s="49"/>
      <c r="N1565" s="49"/>
      <c r="O1565" s="49"/>
      <c r="P1565" s="49"/>
      <c r="Q1565" s="49"/>
      <c r="R1565" s="49"/>
      <c r="S1565" s="49"/>
      <c r="T1565" s="49"/>
      <c r="U1565" s="49"/>
      <c r="V1565" s="49"/>
      <c r="W1565" s="49"/>
      <c r="X1565" s="49"/>
      <c r="Y1565" s="49"/>
      <c r="Z1565" s="49"/>
      <c r="AA1565" s="49"/>
      <c r="AB1565" s="49"/>
      <c r="AC1565" s="49"/>
      <c r="AD1565" s="49"/>
      <c r="AE1565" s="49"/>
      <c r="AF1565" s="49"/>
      <c r="AG1565" s="49"/>
      <c r="AH1565" s="49" t="b">
        <f>IFERROR(__xludf.DUMMYFUNCTION("""COMPUTED_VALUE"""),FALSE)</f>
        <v>0</v>
      </c>
    </row>
    <row r="1566">
      <c r="A1566" s="49"/>
      <c r="B1566" s="49"/>
      <c r="C1566" s="49"/>
      <c r="D1566" s="49"/>
      <c r="E1566" s="49">
        <f>IFERROR(__xludf.DUMMYFUNCTION("""COMPUTED_VALUE"""),1.0)</f>
        <v>1</v>
      </c>
      <c r="F1566" s="112">
        <f>IFERROR(__xludf.DUMMYFUNCTION("""COMPUTED_VALUE"""),0.0)</f>
        <v>0</v>
      </c>
      <c r="G1566" s="49"/>
      <c r="H1566" s="49"/>
      <c r="I1566" s="49"/>
      <c r="J1566" s="49"/>
      <c r="K1566" s="49"/>
      <c r="L1566" s="49"/>
      <c r="M1566" s="49"/>
      <c r="N1566" s="49"/>
      <c r="O1566" s="49"/>
      <c r="P1566" s="49"/>
      <c r="Q1566" s="49"/>
      <c r="R1566" s="49"/>
      <c r="S1566" s="49"/>
      <c r="T1566" s="49"/>
      <c r="U1566" s="49"/>
      <c r="V1566" s="49"/>
      <c r="W1566" s="49"/>
      <c r="X1566" s="49"/>
      <c r="Y1566" s="49"/>
      <c r="Z1566" s="49"/>
      <c r="AA1566" s="49"/>
      <c r="AB1566" s="49"/>
      <c r="AC1566" s="49"/>
      <c r="AD1566" s="49"/>
      <c r="AE1566" s="49"/>
      <c r="AF1566" s="49"/>
      <c r="AG1566" s="49"/>
      <c r="AH1566" s="49" t="b">
        <f>IFERROR(__xludf.DUMMYFUNCTION("""COMPUTED_VALUE"""),FALSE)</f>
        <v>0</v>
      </c>
    </row>
    <row r="1567">
      <c r="A1567" s="49"/>
      <c r="B1567" s="49"/>
      <c r="C1567" s="49"/>
      <c r="D1567" s="49"/>
      <c r="E1567" s="49">
        <f>IFERROR(__xludf.DUMMYFUNCTION("""COMPUTED_VALUE"""),1.0)</f>
        <v>1</v>
      </c>
      <c r="F1567" s="112">
        <f>IFERROR(__xludf.DUMMYFUNCTION("""COMPUTED_VALUE"""),0.0)</f>
        <v>0</v>
      </c>
      <c r="G1567" s="49"/>
      <c r="H1567" s="49"/>
      <c r="I1567" s="49"/>
      <c r="J1567" s="49"/>
      <c r="K1567" s="49"/>
      <c r="L1567" s="49"/>
      <c r="M1567" s="49"/>
      <c r="N1567" s="49"/>
      <c r="O1567" s="49"/>
      <c r="P1567" s="49"/>
      <c r="Q1567" s="49"/>
      <c r="R1567" s="49"/>
      <c r="S1567" s="49"/>
      <c r="T1567" s="49"/>
      <c r="U1567" s="49"/>
      <c r="V1567" s="49"/>
      <c r="W1567" s="49"/>
      <c r="X1567" s="49"/>
      <c r="Y1567" s="49"/>
      <c r="Z1567" s="49"/>
      <c r="AA1567" s="49"/>
      <c r="AB1567" s="49"/>
      <c r="AC1567" s="49"/>
      <c r="AD1567" s="49"/>
      <c r="AE1567" s="49"/>
      <c r="AF1567" s="49"/>
      <c r="AG1567" s="49"/>
      <c r="AH1567" s="49" t="b">
        <f>IFERROR(__xludf.DUMMYFUNCTION("""COMPUTED_VALUE"""),FALSE)</f>
        <v>0</v>
      </c>
    </row>
    <row r="1568">
      <c r="A1568" s="49"/>
      <c r="B1568" s="49"/>
      <c r="C1568" s="49"/>
      <c r="D1568" s="49"/>
      <c r="E1568" s="49">
        <f>IFERROR(__xludf.DUMMYFUNCTION("""COMPUTED_VALUE"""),1.0)</f>
        <v>1</v>
      </c>
      <c r="F1568" s="112">
        <f>IFERROR(__xludf.DUMMYFUNCTION("""COMPUTED_VALUE"""),0.0)</f>
        <v>0</v>
      </c>
      <c r="G1568" s="49"/>
      <c r="H1568" s="49"/>
      <c r="I1568" s="49"/>
      <c r="J1568" s="49"/>
      <c r="K1568" s="49"/>
      <c r="L1568" s="49"/>
      <c r="M1568" s="49"/>
      <c r="N1568" s="49"/>
      <c r="O1568" s="49"/>
      <c r="P1568" s="49"/>
      <c r="Q1568" s="49"/>
      <c r="R1568" s="49"/>
      <c r="S1568" s="49"/>
      <c r="T1568" s="49"/>
      <c r="U1568" s="49"/>
      <c r="V1568" s="49"/>
      <c r="W1568" s="49"/>
      <c r="X1568" s="49"/>
      <c r="Y1568" s="49"/>
      <c r="Z1568" s="49"/>
      <c r="AA1568" s="49"/>
      <c r="AB1568" s="49"/>
      <c r="AC1568" s="49"/>
      <c r="AD1568" s="49"/>
      <c r="AE1568" s="49"/>
      <c r="AF1568" s="49"/>
      <c r="AG1568" s="49"/>
      <c r="AH1568" s="49" t="b">
        <f>IFERROR(__xludf.DUMMYFUNCTION("""COMPUTED_VALUE"""),FALSE)</f>
        <v>0</v>
      </c>
    </row>
    <row r="1569">
      <c r="A1569" s="49"/>
      <c r="B1569" s="49"/>
      <c r="C1569" s="49"/>
      <c r="D1569" s="49"/>
      <c r="E1569" s="49">
        <f>IFERROR(__xludf.DUMMYFUNCTION("""COMPUTED_VALUE"""),1.0)</f>
        <v>1</v>
      </c>
      <c r="F1569" s="112">
        <f>IFERROR(__xludf.DUMMYFUNCTION("""COMPUTED_VALUE"""),0.0)</f>
        <v>0</v>
      </c>
      <c r="G1569" s="49"/>
      <c r="H1569" s="49"/>
      <c r="I1569" s="49"/>
      <c r="J1569" s="49"/>
      <c r="K1569" s="49"/>
      <c r="L1569" s="49"/>
      <c r="M1569" s="49"/>
      <c r="N1569" s="49"/>
      <c r="O1569" s="49"/>
      <c r="P1569" s="49"/>
      <c r="Q1569" s="49"/>
      <c r="R1569" s="49"/>
      <c r="S1569" s="49"/>
      <c r="T1569" s="49"/>
      <c r="U1569" s="49"/>
      <c r="V1569" s="49"/>
      <c r="W1569" s="49"/>
      <c r="X1569" s="49"/>
      <c r="Y1569" s="49"/>
      <c r="Z1569" s="49"/>
      <c r="AA1569" s="49"/>
      <c r="AB1569" s="49"/>
      <c r="AC1569" s="49"/>
      <c r="AD1569" s="49"/>
      <c r="AE1569" s="49"/>
      <c r="AF1569" s="49"/>
      <c r="AG1569" s="49"/>
      <c r="AH1569" s="49" t="b">
        <f>IFERROR(__xludf.DUMMYFUNCTION("""COMPUTED_VALUE"""),FALSE)</f>
        <v>0</v>
      </c>
    </row>
    <row r="1570">
      <c r="A1570" s="49"/>
      <c r="B1570" s="49"/>
      <c r="C1570" s="49"/>
      <c r="D1570" s="49"/>
      <c r="E1570" s="49">
        <f>IFERROR(__xludf.DUMMYFUNCTION("""COMPUTED_VALUE"""),1.0)</f>
        <v>1</v>
      </c>
      <c r="F1570" s="112">
        <f>IFERROR(__xludf.DUMMYFUNCTION("""COMPUTED_VALUE"""),0.0)</f>
        <v>0</v>
      </c>
      <c r="G1570" s="49"/>
      <c r="H1570" s="49"/>
      <c r="I1570" s="49"/>
      <c r="J1570" s="49"/>
      <c r="K1570" s="49"/>
      <c r="L1570" s="49"/>
      <c r="M1570" s="49"/>
      <c r="N1570" s="49"/>
      <c r="O1570" s="49"/>
      <c r="P1570" s="49"/>
      <c r="Q1570" s="49"/>
      <c r="R1570" s="49"/>
      <c r="S1570" s="49"/>
      <c r="T1570" s="49"/>
      <c r="U1570" s="49"/>
      <c r="V1570" s="49"/>
      <c r="W1570" s="49"/>
      <c r="X1570" s="49"/>
      <c r="Y1570" s="49"/>
      <c r="Z1570" s="49"/>
      <c r="AA1570" s="49"/>
      <c r="AB1570" s="49"/>
      <c r="AC1570" s="49"/>
      <c r="AD1570" s="49"/>
      <c r="AE1570" s="49"/>
      <c r="AF1570" s="49"/>
      <c r="AG1570" s="49"/>
      <c r="AH1570" s="49" t="b">
        <f>IFERROR(__xludf.DUMMYFUNCTION("""COMPUTED_VALUE"""),FALSE)</f>
        <v>0</v>
      </c>
    </row>
    <row r="1571">
      <c r="A1571" s="49"/>
      <c r="B1571" s="49"/>
      <c r="C1571" s="49"/>
      <c r="D1571" s="49"/>
      <c r="E1571" s="49">
        <f>IFERROR(__xludf.DUMMYFUNCTION("""COMPUTED_VALUE"""),1.0)</f>
        <v>1</v>
      </c>
      <c r="F1571" s="112">
        <f>IFERROR(__xludf.DUMMYFUNCTION("""COMPUTED_VALUE"""),0.0)</f>
        <v>0</v>
      </c>
      <c r="G1571" s="49"/>
      <c r="H1571" s="49"/>
      <c r="I1571" s="49"/>
      <c r="J1571" s="49"/>
      <c r="K1571" s="49"/>
      <c r="L1571" s="49"/>
      <c r="M1571" s="49"/>
      <c r="N1571" s="49"/>
      <c r="O1571" s="49"/>
      <c r="P1571" s="49"/>
      <c r="Q1571" s="49"/>
      <c r="R1571" s="49"/>
      <c r="S1571" s="49"/>
      <c r="T1571" s="49"/>
      <c r="U1571" s="49"/>
      <c r="V1571" s="49"/>
      <c r="W1571" s="49"/>
      <c r="X1571" s="49"/>
      <c r="Y1571" s="49"/>
      <c r="Z1571" s="49"/>
      <c r="AA1571" s="49"/>
      <c r="AB1571" s="49"/>
      <c r="AC1571" s="49"/>
      <c r="AD1571" s="49"/>
      <c r="AE1571" s="49"/>
      <c r="AF1571" s="49"/>
      <c r="AG1571" s="49"/>
      <c r="AH1571" s="49" t="b">
        <f>IFERROR(__xludf.DUMMYFUNCTION("""COMPUTED_VALUE"""),FALSE)</f>
        <v>0</v>
      </c>
    </row>
    <row r="1572">
      <c r="A1572" s="49"/>
      <c r="B1572" s="49"/>
      <c r="C1572" s="49"/>
      <c r="D1572" s="49"/>
      <c r="E1572" s="49">
        <f>IFERROR(__xludf.DUMMYFUNCTION("""COMPUTED_VALUE"""),1.0)</f>
        <v>1</v>
      </c>
      <c r="F1572" s="112">
        <f>IFERROR(__xludf.DUMMYFUNCTION("""COMPUTED_VALUE"""),0.0)</f>
        <v>0</v>
      </c>
      <c r="G1572" s="49"/>
      <c r="H1572" s="49"/>
      <c r="I1572" s="49"/>
      <c r="J1572" s="49"/>
      <c r="K1572" s="49"/>
      <c r="L1572" s="49"/>
      <c r="M1572" s="49"/>
      <c r="N1572" s="49"/>
      <c r="O1572" s="49"/>
      <c r="P1572" s="49"/>
      <c r="Q1572" s="49"/>
      <c r="R1572" s="49"/>
      <c r="S1572" s="49"/>
      <c r="T1572" s="49"/>
      <c r="U1572" s="49"/>
      <c r="V1572" s="49"/>
      <c r="W1572" s="49"/>
      <c r="X1572" s="49"/>
      <c r="Y1572" s="49"/>
      <c r="Z1572" s="49"/>
      <c r="AA1572" s="49"/>
      <c r="AB1572" s="49"/>
      <c r="AC1572" s="49"/>
      <c r="AD1572" s="49"/>
      <c r="AE1572" s="49"/>
      <c r="AF1572" s="49"/>
      <c r="AG1572" s="49"/>
      <c r="AH1572" s="49" t="b">
        <f>IFERROR(__xludf.DUMMYFUNCTION("""COMPUTED_VALUE"""),FALSE)</f>
        <v>0</v>
      </c>
    </row>
    <row r="1573">
      <c r="A1573" s="49"/>
      <c r="B1573" s="49"/>
      <c r="C1573" s="49"/>
      <c r="D1573" s="49"/>
      <c r="E1573" s="49">
        <f>IFERROR(__xludf.DUMMYFUNCTION("""COMPUTED_VALUE"""),1.0)</f>
        <v>1</v>
      </c>
      <c r="F1573" s="112">
        <f>IFERROR(__xludf.DUMMYFUNCTION("""COMPUTED_VALUE"""),0.0)</f>
        <v>0</v>
      </c>
      <c r="G1573" s="49"/>
      <c r="H1573" s="49"/>
      <c r="I1573" s="49"/>
      <c r="J1573" s="49"/>
      <c r="K1573" s="49"/>
      <c r="L1573" s="49"/>
      <c r="M1573" s="49"/>
      <c r="N1573" s="49"/>
      <c r="O1573" s="49"/>
      <c r="P1573" s="49"/>
      <c r="Q1573" s="49"/>
      <c r="R1573" s="49"/>
      <c r="S1573" s="49"/>
      <c r="T1573" s="49"/>
      <c r="U1573" s="49"/>
      <c r="V1573" s="49"/>
      <c r="W1573" s="49"/>
      <c r="X1573" s="49"/>
      <c r="Y1573" s="49"/>
      <c r="Z1573" s="49"/>
      <c r="AA1573" s="49"/>
      <c r="AB1573" s="49"/>
      <c r="AC1573" s="49"/>
      <c r="AD1573" s="49"/>
      <c r="AE1573" s="49"/>
      <c r="AF1573" s="49"/>
      <c r="AG1573" s="49"/>
      <c r="AH1573" s="49" t="b">
        <f>IFERROR(__xludf.DUMMYFUNCTION("""COMPUTED_VALUE"""),FALSE)</f>
        <v>0</v>
      </c>
    </row>
    <row r="1574">
      <c r="A1574" s="49"/>
      <c r="B1574" s="49"/>
      <c r="C1574" s="49"/>
      <c r="D1574" s="49"/>
      <c r="E1574" s="49">
        <f>IFERROR(__xludf.DUMMYFUNCTION("""COMPUTED_VALUE"""),1.0)</f>
        <v>1</v>
      </c>
      <c r="F1574" s="112">
        <f>IFERROR(__xludf.DUMMYFUNCTION("""COMPUTED_VALUE"""),0.0)</f>
        <v>0</v>
      </c>
      <c r="G1574" s="49"/>
      <c r="H1574" s="49"/>
      <c r="I1574" s="49"/>
      <c r="J1574" s="49"/>
      <c r="K1574" s="49"/>
      <c r="L1574" s="49"/>
      <c r="M1574" s="49"/>
      <c r="N1574" s="49"/>
      <c r="O1574" s="49"/>
      <c r="P1574" s="49"/>
      <c r="Q1574" s="49"/>
      <c r="R1574" s="49"/>
      <c r="S1574" s="49"/>
      <c r="T1574" s="49"/>
      <c r="U1574" s="49"/>
      <c r="V1574" s="49"/>
      <c r="W1574" s="49"/>
      <c r="X1574" s="49"/>
      <c r="Y1574" s="49"/>
      <c r="Z1574" s="49"/>
      <c r="AA1574" s="49"/>
      <c r="AB1574" s="49"/>
      <c r="AC1574" s="49"/>
      <c r="AD1574" s="49"/>
      <c r="AE1574" s="49"/>
      <c r="AF1574" s="49"/>
      <c r="AG1574" s="49"/>
      <c r="AH1574" s="49" t="b">
        <f>IFERROR(__xludf.DUMMYFUNCTION("""COMPUTED_VALUE"""),FALSE)</f>
        <v>0</v>
      </c>
    </row>
    <row r="1575">
      <c r="A1575" s="49"/>
      <c r="B1575" s="49"/>
      <c r="C1575" s="49"/>
      <c r="D1575" s="49"/>
      <c r="E1575" s="49">
        <f>IFERROR(__xludf.DUMMYFUNCTION("""COMPUTED_VALUE"""),1.0)</f>
        <v>1</v>
      </c>
      <c r="F1575" s="112">
        <f>IFERROR(__xludf.DUMMYFUNCTION("""COMPUTED_VALUE"""),0.0)</f>
        <v>0</v>
      </c>
      <c r="G1575" s="49"/>
      <c r="H1575" s="49"/>
      <c r="I1575" s="49"/>
      <c r="J1575" s="49"/>
      <c r="K1575" s="49"/>
      <c r="L1575" s="49"/>
      <c r="M1575" s="49"/>
      <c r="N1575" s="49"/>
      <c r="O1575" s="49"/>
      <c r="P1575" s="49"/>
      <c r="Q1575" s="49"/>
      <c r="R1575" s="49"/>
      <c r="S1575" s="49"/>
      <c r="T1575" s="49"/>
      <c r="U1575" s="49"/>
      <c r="V1575" s="49"/>
      <c r="W1575" s="49"/>
      <c r="X1575" s="49"/>
      <c r="Y1575" s="49"/>
      <c r="Z1575" s="49"/>
      <c r="AA1575" s="49"/>
      <c r="AB1575" s="49"/>
      <c r="AC1575" s="49"/>
      <c r="AD1575" s="49"/>
      <c r="AE1575" s="49"/>
      <c r="AF1575" s="49"/>
      <c r="AG1575" s="49"/>
      <c r="AH1575" s="49" t="b">
        <f>IFERROR(__xludf.DUMMYFUNCTION("""COMPUTED_VALUE"""),FALSE)</f>
        <v>0</v>
      </c>
    </row>
    <row r="1576">
      <c r="A1576" s="49"/>
      <c r="B1576" s="49"/>
      <c r="C1576" s="49"/>
      <c r="D1576" s="49"/>
      <c r="E1576" s="49">
        <f>IFERROR(__xludf.DUMMYFUNCTION("""COMPUTED_VALUE"""),1.0)</f>
        <v>1</v>
      </c>
      <c r="F1576" s="112">
        <f>IFERROR(__xludf.DUMMYFUNCTION("""COMPUTED_VALUE"""),0.0)</f>
        <v>0</v>
      </c>
      <c r="G1576" s="49"/>
      <c r="H1576" s="49"/>
      <c r="I1576" s="49"/>
      <c r="J1576" s="49"/>
      <c r="K1576" s="49"/>
      <c r="L1576" s="49"/>
      <c r="M1576" s="49"/>
      <c r="N1576" s="49"/>
      <c r="O1576" s="49"/>
      <c r="P1576" s="49"/>
      <c r="Q1576" s="49"/>
      <c r="R1576" s="49"/>
      <c r="S1576" s="49"/>
      <c r="T1576" s="49"/>
      <c r="U1576" s="49"/>
      <c r="V1576" s="49"/>
      <c r="W1576" s="49"/>
      <c r="X1576" s="49"/>
      <c r="Y1576" s="49"/>
      <c r="Z1576" s="49"/>
      <c r="AA1576" s="49"/>
      <c r="AB1576" s="49"/>
      <c r="AC1576" s="49"/>
      <c r="AD1576" s="49"/>
      <c r="AE1576" s="49"/>
      <c r="AF1576" s="49"/>
      <c r="AG1576" s="49"/>
      <c r="AH1576" s="49" t="b">
        <f>IFERROR(__xludf.DUMMYFUNCTION("""COMPUTED_VALUE"""),FALSE)</f>
        <v>0</v>
      </c>
    </row>
    <row r="1577">
      <c r="A1577" s="49"/>
      <c r="B1577" s="49"/>
      <c r="C1577" s="49"/>
      <c r="D1577" s="49"/>
      <c r="E1577" s="49">
        <f>IFERROR(__xludf.DUMMYFUNCTION("""COMPUTED_VALUE"""),1.0)</f>
        <v>1</v>
      </c>
      <c r="F1577" s="112">
        <f>IFERROR(__xludf.DUMMYFUNCTION("""COMPUTED_VALUE"""),0.0)</f>
        <v>0</v>
      </c>
      <c r="G1577" s="49"/>
      <c r="H1577" s="49"/>
      <c r="I1577" s="49"/>
      <c r="J1577" s="49"/>
      <c r="K1577" s="49"/>
      <c r="L1577" s="49"/>
      <c r="M1577" s="49"/>
      <c r="N1577" s="49"/>
      <c r="O1577" s="49"/>
      <c r="P1577" s="49"/>
      <c r="Q1577" s="49"/>
      <c r="R1577" s="49"/>
      <c r="S1577" s="49"/>
      <c r="T1577" s="49"/>
      <c r="U1577" s="49"/>
      <c r="V1577" s="49"/>
      <c r="W1577" s="49"/>
      <c r="X1577" s="49"/>
      <c r="Y1577" s="49"/>
      <c r="Z1577" s="49"/>
      <c r="AA1577" s="49"/>
      <c r="AB1577" s="49"/>
      <c r="AC1577" s="49"/>
      <c r="AD1577" s="49"/>
      <c r="AE1577" s="49"/>
      <c r="AF1577" s="49"/>
      <c r="AG1577" s="49"/>
      <c r="AH1577" s="49" t="b">
        <f>IFERROR(__xludf.DUMMYFUNCTION("""COMPUTED_VALUE"""),FALSE)</f>
        <v>0</v>
      </c>
    </row>
    <row r="1578">
      <c r="A1578" s="49"/>
      <c r="B1578" s="49"/>
      <c r="C1578" s="49"/>
      <c r="D1578" s="49"/>
      <c r="E1578" s="49">
        <f>IFERROR(__xludf.DUMMYFUNCTION("""COMPUTED_VALUE"""),1.0)</f>
        <v>1</v>
      </c>
      <c r="F1578" s="112">
        <f>IFERROR(__xludf.DUMMYFUNCTION("""COMPUTED_VALUE"""),0.0)</f>
        <v>0</v>
      </c>
      <c r="G1578" s="49"/>
      <c r="H1578" s="49"/>
      <c r="I1578" s="49"/>
      <c r="J1578" s="49"/>
      <c r="K1578" s="49"/>
      <c r="L1578" s="49"/>
      <c r="M1578" s="49"/>
      <c r="N1578" s="49"/>
      <c r="O1578" s="49"/>
      <c r="P1578" s="49"/>
      <c r="Q1578" s="49"/>
      <c r="R1578" s="49"/>
      <c r="S1578" s="49"/>
      <c r="T1578" s="49"/>
      <c r="U1578" s="49"/>
      <c r="V1578" s="49"/>
      <c r="W1578" s="49"/>
      <c r="X1578" s="49"/>
      <c r="Y1578" s="49"/>
      <c r="Z1578" s="49"/>
      <c r="AA1578" s="49"/>
      <c r="AB1578" s="49"/>
      <c r="AC1578" s="49"/>
      <c r="AD1578" s="49"/>
      <c r="AE1578" s="49"/>
      <c r="AF1578" s="49"/>
      <c r="AG1578" s="49"/>
      <c r="AH1578" s="49" t="b">
        <f>IFERROR(__xludf.DUMMYFUNCTION("""COMPUTED_VALUE"""),FALSE)</f>
        <v>0</v>
      </c>
    </row>
    <row r="1579">
      <c r="A1579" s="49"/>
      <c r="B1579" s="49"/>
      <c r="C1579" s="49"/>
      <c r="D1579" s="49"/>
      <c r="E1579" s="49">
        <f>IFERROR(__xludf.DUMMYFUNCTION("""COMPUTED_VALUE"""),1.0)</f>
        <v>1</v>
      </c>
      <c r="F1579" s="112">
        <f>IFERROR(__xludf.DUMMYFUNCTION("""COMPUTED_VALUE"""),0.0)</f>
        <v>0</v>
      </c>
      <c r="G1579" s="49"/>
      <c r="H1579" s="49"/>
      <c r="I1579" s="49"/>
      <c r="J1579" s="49"/>
      <c r="K1579" s="49"/>
      <c r="L1579" s="49"/>
      <c r="M1579" s="49"/>
      <c r="N1579" s="49"/>
      <c r="O1579" s="49"/>
      <c r="P1579" s="49"/>
      <c r="Q1579" s="49"/>
      <c r="R1579" s="49"/>
      <c r="S1579" s="49"/>
      <c r="T1579" s="49"/>
      <c r="U1579" s="49"/>
      <c r="V1579" s="49"/>
      <c r="W1579" s="49"/>
      <c r="X1579" s="49"/>
      <c r="Y1579" s="49"/>
      <c r="Z1579" s="49"/>
      <c r="AA1579" s="49"/>
      <c r="AB1579" s="49"/>
      <c r="AC1579" s="49"/>
      <c r="AD1579" s="49"/>
      <c r="AE1579" s="49"/>
      <c r="AF1579" s="49"/>
      <c r="AG1579" s="49"/>
      <c r="AH1579" s="49" t="b">
        <f>IFERROR(__xludf.DUMMYFUNCTION("""COMPUTED_VALUE"""),FALSE)</f>
        <v>0</v>
      </c>
    </row>
    <row r="1580">
      <c r="A1580" s="49"/>
      <c r="B1580" s="49"/>
      <c r="C1580" s="49"/>
      <c r="D1580" s="49"/>
      <c r="E1580" s="49">
        <f>IFERROR(__xludf.DUMMYFUNCTION("""COMPUTED_VALUE"""),1.0)</f>
        <v>1</v>
      </c>
      <c r="F1580" s="112">
        <f>IFERROR(__xludf.DUMMYFUNCTION("""COMPUTED_VALUE"""),0.0)</f>
        <v>0</v>
      </c>
      <c r="G1580" s="49"/>
      <c r="H1580" s="49"/>
      <c r="I1580" s="49"/>
      <c r="J1580" s="49"/>
      <c r="K1580" s="49"/>
      <c r="L1580" s="49"/>
      <c r="M1580" s="49"/>
      <c r="N1580" s="49"/>
      <c r="O1580" s="49"/>
      <c r="P1580" s="49"/>
      <c r="Q1580" s="49"/>
      <c r="R1580" s="49"/>
      <c r="S1580" s="49"/>
      <c r="T1580" s="49"/>
      <c r="U1580" s="49"/>
      <c r="V1580" s="49"/>
      <c r="W1580" s="49"/>
      <c r="X1580" s="49"/>
      <c r="Y1580" s="49"/>
      <c r="Z1580" s="49"/>
      <c r="AA1580" s="49"/>
      <c r="AB1580" s="49"/>
      <c r="AC1580" s="49"/>
      <c r="AD1580" s="49"/>
      <c r="AE1580" s="49"/>
      <c r="AF1580" s="49"/>
      <c r="AG1580" s="49"/>
      <c r="AH1580" s="49" t="b">
        <f>IFERROR(__xludf.DUMMYFUNCTION("""COMPUTED_VALUE"""),FALSE)</f>
        <v>0</v>
      </c>
    </row>
    <row r="1581">
      <c r="A1581" s="49"/>
      <c r="B1581" s="49"/>
      <c r="C1581" s="49"/>
      <c r="D1581" s="49"/>
      <c r="E1581" s="49">
        <f>IFERROR(__xludf.DUMMYFUNCTION("""COMPUTED_VALUE"""),1.0)</f>
        <v>1</v>
      </c>
      <c r="F1581" s="112">
        <f>IFERROR(__xludf.DUMMYFUNCTION("""COMPUTED_VALUE"""),0.0)</f>
        <v>0</v>
      </c>
      <c r="G1581" s="49"/>
      <c r="H1581" s="49"/>
      <c r="I1581" s="49"/>
      <c r="J1581" s="49"/>
      <c r="K1581" s="49"/>
      <c r="L1581" s="49"/>
      <c r="M1581" s="49"/>
      <c r="N1581" s="49"/>
      <c r="O1581" s="49"/>
      <c r="P1581" s="49"/>
      <c r="Q1581" s="49"/>
      <c r="R1581" s="49"/>
      <c r="S1581" s="49"/>
      <c r="T1581" s="49"/>
      <c r="U1581" s="49"/>
      <c r="V1581" s="49"/>
      <c r="W1581" s="49"/>
      <c r="X1581" s="49"/>
      <c r="Y1581" s="49"/>
      <c r="Z1581" s="49"/>
      <c r="AA1581" s="49"/>
      <c r="AB1581" s="49"/>
      <c r="AC1581" s="49"/>
      <c r="AD1581" s="49"/>
      <c r="AE1581" s="49"/>
      <c r="AF1581" s="49"/>
      <c r="AG1581" s="49"/>
      <c r="AH1581" s="49" t="b">
        <f>IFERROR(__xludf.DUMMYFUNCTION("""COMPUTED_VALUE"""),FALSE)</f>
        <v>0</v>
      </c>
    </row>
    <row r="1582">
      <c r="A1582" s="49"/>
      <c r="B1582" s="49"/>
      <c r="C1582" s="49"/>
      <c r="D1582" s="49"/>
      <c r="E1582" s="49">
        <f>IFERROR(__xludf.DUMMYFUNCTION("""COMPUTED_VALUE"""),1.0)</f>
        <v>1</v>
      </c>
      <c r="F1582" s="112">
        <f>IFERROR(__xludf.DUMMYFUNCTION("""COMPUTED_VALUE"""),0.0)</f>
        <v>0</v>
      </c>
      <c r="G1582" s="49"/>
      <c r="H1582" s="49"/>
      <c r="I1582" s="49"/>
      <c r="J1582" s="49"/>
      <c r="K1582" s="49"/>
      <c r="L1582" s="49"/>
      <c r="M1582" s="49"/>
      <c r="N1582" s="49"/>
      <c r="O1582" s="49"/>
      <c r="P1582" s="49"/>
      <c r="Q1582" s="49"/>
      <c r="R1582" s="49"/>
      <c r="S1582" s="49"/>
      <c r="T1582" s="49"/>
      <c r="U1582" s="49"/>
      <c r="V1582" s="49"/>
      <c r="W1582" s="49"/>
      <c r="X1582" s="49"/>
      <c r="Y1582" s="49"/>
      <c r="Z1582" s="49"/>
      <c r="AA1582" s="49"/>
      <c r="AB1582" s="49"/>
      <c r="AC1582" s="49"/>
      <c r="AD1582" s="49"/>
      <c r="AE1582" s="49"/>
      <c r="AF1582" s="49"/>
      <c r="AG1582" s="49"/>
      <c r="AH1582" s="49" t="b">
        <f>IFERROR(__xludf.DUMMYFUNCTION("""COMPUTED_VALUE"""),FALSE)</f>
        <v>0</v>
      </c>
    </row>
    <row r="1583">
      <c r="A1583" s="49"/>
      <c r="B1583" s="49"/>
      <c r="C1583" s="49"/>
      <c r="D1583" s="49"/>
      <c r="E1583" s="49">
        <f>IFERROR(__xludf.DUMMYFUNCTION("""COMPUTED_VALUE"""),1.0)</f>
        <v>1</v>
      </c>
      <c r="F1583" s="112">
        <f>IFERROR(__xludf.DUMMYFUNCTION("""COMPUTED_VALUE"""),0.0)</f>
        <v>0</v>
      </c>
      <c r="G1583" s="49"/>
      <c r="H1583" s="49"/>
      <c r="I1583" s="49"/>
      <c r="J1583" s="49"/>
      <c r="K1583" s="49"/>
      <c r="L1583" s="49"/>
      <c r="M1583" s="49"/>
      <c r="N1583" s="49"/>
      <c r="O1583" s="49"/>
      <c r="P1583" s="49"/>
      <c r="Q1583" s="49"/>
      <c r="R1583" s="49"/>
      <c r="S1583" s="49"/>
      <c r="T1583" s="49"/>
      <c r="U1583" s="49"/>
      <c r="V1583" s="49"/>
      <c r="W1583" s="49"/>
      <c r="X1583" s="49"/>
      <c r="Y1583" s="49"/>
      <c r="Z1583" s="49"/>
      <c r="AA1583" s="49"/>
      <c r="AB1583" s="49"/>
      <c r="AC1583" s="49"/>
      <c r="AD1583" s="49"/>
      <c r="AE1583" s="49"/>
      <c r="AF1583" s="49"/>
      <c r="AG1583" s="49"/>
      <c r="AH1583" s="49" t="b">
        <f>IFERROR(__xludf.DUMMYFUNCTION("""COMPUTED_VALUE"""),FALSE)</f>
        <v>0</v>
      </c>
    </row>
    <row r="1584">
      <c r="A1584" s="49"/>
      <c r="B1584" s="49"/>
      <c r="C1584" s="49"/>
      <c r="D1584" s="49"/>
      <c r="E1584" s="49">
        <f>IFERROR(__xludf.DUMMYFUNCTION("""COMPUTED_VALUE"""),1.0)</f>
        <v>1</v>
      </c>
      <c r="F1584" s="112">
        <f>IFERROR(__xludf.DUMMYFUNCTION("""COMPUTED_VALUE"""),0.0)</f>
        <v>0</v>
      </c>
      <c r="G1584" s="49"/>
      <c r="H1584" s="49"/>
      <c r="I1584" s="49"/>
      <c r="J1584" s="49"/>
      <c r="K1584" s="49"/>
      <c r="L1584" s="49"/>
      <c r="M1584" s="49"/>
      <c r="N1584" s="49"/>
      <c r="O1584" s="49"/>
      <c r="P1584" s="49"/>
      <c r="Q1584" s="49"/>
      <c r="R1584" s="49"/>
      <c r="S1584" s="49"/>
      <c r="T1584" s="49"/>
      <c r="U1584" s="49"/>
      <c r="V1584" s="49"/>
      <c r="W1584" s="49"/>
      <c r="X1584" s="49"/>
      <c r="Y1584" s="49"/>
      <c r="Z1584" s="49"/>
      <c r="AA1584" s="49"/>
      <c r="AB1584" s="49"/>
      <c r="AC1584" s="49"/>
      <c r="AD1584" s="49"/>
      <c r="AE1584" s="49"/>
      <c r="AF1584" s="49"/>
      <c r="AG1584" s="49"/>
      <c r="AH1584" s="49" t="b">
        <f>IFERROR(__xludf.DUMMYFUNCTION("""COMPUTED_VALUE"""),FALSE)</f>
        <v>0</v>
      </c>
    </row>
    <row r="1585">
      <c r="A1585" s="49"/>
      <c r="B1585" s="49"/>
      <c r="C1585" s="49"/>
      <c r="D1585" s="49"/>
      <c r="E1585" s="49">
        <f>IFERROR(__xludf.DUMMYFUNCTION("""COMPUTED_VALUE"""),1.0)</f>
        <v>1</v>
      </c>
      <c r="F1585" s="112">
        <f>IFERROR(__xludf.DUMMYFUNCTION("""COMPUTED_VALUE"""),0.0)</f>
        <v>0</v>
      </c>
      <c r="G1585" s="49"/>
      <c r="H1585" s="49"/>
      <c r="I1585" s="49"/>
      <c r="J1585" s="49"/>
      <c r="K1585" s="49"/>
      <c r="L1585" s="49"/>
      <c r="M1585" s="49"/>
      <c r="N1585" s="49"/>
      <c r="O1585" s="49"/>
      <c r="P1585" s="49"/>
      <c r="Q1585" s="49"/>
      <c r="R1585" s="49"/>
      <c r="S1585" s="49"/>
      <c r="T1585" s="49"/>
      <c r="U1585" s="49"/>
      <c r="V1585" s="49"/>
      <c r="W1585" s="49"/>
      <c r="X1585" s="49"/>
      <c r="Y1585" s="49"/>
      <c r="Z1585" s="49"/>
      <c r="AA1585" s="49"/>
      <c r="AB1585" s="49"/>
      <c r="AC1585" s="49"/>
      <c r="AD1585" s="49"/>
      <c r="AE1585" s="49"/>
      <c r="AF1585" s="49"/>
      <c r="AG1585" s="49"/>
      <c r="AH1585" s="49" t="b">
        <f>IFERROR(__xludf.DUMMYFUNCTION("""COMPUTED_VALUE"""),FALSE)</f>
        <v>0</v>
      </c>
    </row>
    <row r="1586">
      <c r="A1586" s="49"/>
      <c r="B1586" s="49"/>
      <c r="C1586" s="49"/>
      <c r="D1586" s="49"/>
      <c r="E1586" s="49">
        <f>IFERROR(__xludf.DUMMYFUNCTION("""COMPUTED_VALUE"""),1.0)</f>
        <v>1</v>
      </c>
      <c r="F1586" s="112">
        <f>IFERROR(__xludf.DUMMYFUNCTION("""COMPUTED_VALUE"""),0.0)</f>
        <v>0</v>
      </c>
      <c r="G1586" s="49"/>
      <c r="H1586" s="49"/>
      <c r="I1586" s="49"/>
      <c r="J1586" s="49"/>
      <c r="K1586" s="49"/>
      <c r="L1586" s="49"/>
      <c r="M1586" s="49"/>
      <c r="N1586" s="49"/>
      <c r="O1586" s="49"/>
      <c r="P1586" s="49"/>
      <c r="Q1586" s="49"/>
      <c r="R1586" s="49"/>
      <c r="S1586" s="49"/>
      <c r="T1586" s="49"/>
      <c r="U1586" s="49"/>
      <c r="V1586" s="49"/>
      <c r="W1586" s="49"/>
      <c r="X1586" s="49"/>
      <c r="Y1586" s="49"/>
      <c r="Z1586" s="49"/>
      <c r="AA1586" s="49"/>
      <c r="AB1586" s="49"/>
      <c r="AC1586" s="49"/>
      <c r="AD1586" s="49"/>
      <c r="AE1586" s="49"/>
      <c r="AF1586" s="49"/>
      <c r="AG1586" s="49"/>
      <c r="AH1586" s="49" t="b">
        <f>IFERROR(__xludf.DUMMYFUNCTION("""COMPUTED_VALUE"""),FALSE)</f>
        <v>0</v>
      </c>
    </row>
    <row r="1587">
      <c r="A1587" s="49"/>
      <c r="B1587" s="49"/>
      <c r="C1587" s="49"/>
      <c r="D1587" s="49"/>
      <c r="E1587" s="49">
        <f>IFERROR(__xludf.DUMMYFUNCTION("""COMPUTED_VALUE"""),1.0)</f>
        <v>1</v>
      </c>
      <c r="F1587" s="112">
        <f>IFERROR(__xludf.DUMMYFUNCTION("""COMPUTED_VALUE"""),0.0)</f>
        <v>0</v>
      </c>
      <c r="G1587" s="49"/>
      <c r="H1587" s="49"/>
      <c r="I1587" s="49"/>
      <c r="J1587" s="49"/>
      <c r="K1587" s="49"/>
      <c r="L1587" s="49"/>
      <c r="M1587" s="49"/>
      <c r="N1587" s="49"/>
      <c r="O1587" s="49"/>
      <c r="P1587" s="49"/>
      <c r="Q1587" s="49"/>
      <c r="R1587" s="49"/>
      <c r="S1587" s="49"/>
      <c r="T1587" s="49"/>
      <c r="U1587" s="49"/>
      <c r="V1587" s="49"/>
      <c r="W1587" s="49"/>
      <c r="X1587" s="49"/>
      <c r="Y1587" s="49"/>
      <c r="Z1587" s="49"/>
      <c r="AA1587" s="49"/>
      <c r="AB1587" s="49"/>
      <c r="AC1587" s="49"/>
      <c r="AD1587" s="49"/>
      <c r="AE1587" s="49"/>
      <c r="AF1587" s="49"/>
      <c r="AG1587" s="49"/>
      <c r="AH1587" s="49" t="b">
        <f>IFERROR(__xludf.DUMMYFUNCTION("""COMPUTED_VALUE"""),FALSE)</f>
        <v>0</v>
      </c>
    </row>
    <row r="1588">
      <c r="A1588" s="49"/>
      <c r="B1588" s="49"/>
      <c r="C1588" s="49"/>
      <c r="D1588" s="49"/>
      <c r="E1588" s="49">
        <f>IFERROR(__xludf.DUMMYFUNCTION("""COMPUTED_VALUE"""),1.0)</f>
        <v>1</v>
      </c>
      <c r="F1588" s="112">
        <f>IFERROR(__xludf.DUMMYFUNCTION("""COMPUTED_VALUE"""),0.0)</f>
        <v>0</v>
      </c>
      <c r="G1588" s="49"/>
      <c r="H1588" s="49"/>
      <c r="I1588" s="49"/>
      <c r="J1588" s="49"/>
      <c r="K1588" s="49"/>
      <c r="L1588" s="49"/>
      <c r="M1588" s="49"/>
      <c r="N1588" s="49"/>
      <c r="O1588" s="49"/>
      <c r="P1588" s="49"/>
      <c r="Q1588" s="49"/>
      <c r="R1588" s="49"/>
      <c r="S1588" s="49"/>
      <c r="T1588" s="49"/>
      <c r="U1588" s="49"/>
      <c r="V1588" s="49"/>
      <c r="W1588" s="49"/>
      <c r="X1588" s="49"/>
      <c r="Y1588" s="49"/>
      <c r="Z1588" s="49"/>
      <c r="AA1588" s="49"/>
      <c r="AB1588" s="49"/>
      <c r="AC1588" s="49"/>
      <c r="AD1588" s="49"/>
      <c r="AE1588" s="49"/>
      <c r="AF1588" s="49"/>
      <c r="AG1588" s="49"/>
      <c r="AH1588" s="49" t="b">
        <f>IFERROR(__xludf.DUMMYFUNCTION("""COMPUTED_VALUE"""),FALSE)</f>
        <v>0</v>
      </c>
    </row>
    <row r="1589">
      <c r="A1589" s="49"/>
      <c r="B1589" s="49"/>
      <c r="C1589" s="49"/>
      <c r="D1589" s="49"/>
      <c r="E1589" s="49">
        <f>IFERROR(__xludf.DUMMYFUNCTION("""COMPUTED_VALUE"""),1.0)</f>
        <v>1</v>
      </c>
      <c r="F1589" s="112">
        <f>IFERROR(__xludf.DUMMYFUNCTION("""COMPUTED_VALUE"""),0.0)</f>
        <v>0</v>
      </c>
      <c r="G1589" s="49"/>
      <c r="H1589" s="49"/>
      <c r="I1589" s="49"/>
      <c r="J1589" s="49"/>
      <c r="K1589" s="49"/>
      <c r="L1589" s="49"/>
      <c r="M1589" s="49"/>
      <c r="N1589" s="49"/>
      <c r="O1589" s="49"/>
      <c r="P1589" s="49"/>
      <c r="Q1589" s="49"/>
      <c r="R1589" s="49"/>
      <c r="S1589" s="49"/>
      <c r="T1589" s="49"/>
      <c r="U1589" s="49"/>
      <c r="V1589" s="49"/>
      <c r="W1589" s="49"/>
      <c r="X1589" s="49"/>
      <c r="Y1589" s="49"/>
      <c r="Z1589" s="49"/>
      <c r="AA1589" s="49"/>
      <c r="AB1589" s="49"/>
      <c r="AC1589" s="49"/>
      <c r="AD1589" s="49"/>
      <c r="AE1589" s="49"/>
      <c r="AF1589" s="49"/>
      <c r="AG1589" s="49"/>
      <c r="AH1589" s="49" t="b">
        <f>IFERROR(__xludf.DUMMYFUNCTION("""COMPUTED_VALUE"""),FALSE)</f>
        <v>0</v>
      </c>
    </row>
    <row r="1590">
      <c r="A1590" s="49"/>
      <c r="B1590" s="49"/>
      <c r="C1590" s="49"/>
      <c r="D1590" s="49"/>
      <c r="E1590" s="49">
        <f>IFERROR(__xludf.DUMMYFUNCTION("""COMPUTED_VALUE"""),1.0)</f>
        <v>1</v>
      </c>
      <c r="F1590" s="112">
        <f>IFERROR(__xludf.DUMMYFUNCTION("""COMPUTED_VALUE"""),0.0)</f>
        <v>0</v>
      </c>
      <c r="G1590" s="49"/>
      <c r="H1590" s="49"/>
      <c r="I1590" s="49"/>
      <c r="J1590" s="49"/>
      <c r="K1590" s="49"/>
      <c r="L1590" s="49"/>
      <c r="M1590" s="49"/>
      <c r="N1590" s="49"/>
      <c r="O1590" s="49"/>
      <c r="P1590" s="49"/>
      <c r="Q1590" s="49"/>
      <c r="R1590" s="49"/>
      <c r="S1590" s="49"/>
      <c r="T1590" s="49"/>
      <c r="U1590" s="49"/>
      <c r="V1590" s="49"/>
      <c r="W1590" s="49"/>
      <c r="X1590" s="49"/>
      <c r="Y1590" s="49"/>
      <c r="Z1590" s="49"/>
      <c r="AA1590" s="49"/>
      <c r="AB1590" s="49"/>
      <c r="AC1590" s="49"/>
      <c r="AD1590" s="49"/>
      <c r="AE1590" s="49"/>
      <c r="AF1590" s="49"/>
      <c r="AG1590" s="49"/>
      <c r="AH1590" s="49" t="b">
        <f>IFERROR(__xludf.DUMMYFUNCTION("""COMPUTED_VALUE"""),FALSE)</f>
        <v>0</v>
      </c>
    </row>
    <row r="1591">
      <c r="A1591" s="49"/>
      <c r="B1591" s="49"/>
      <c r="C1591" s="49"/>
      <c r="D1591" s="49"/>
      <c r="E1591" s="49">
        <f>IFERROR(__xludf.DUMMYFUNCTION("""COMPUTED_VALUE"""),1.0)</f>
        <v>1</v>
      </c>
      <c r="F1591" s="112">
        <f>IFERROR(__xludf.DUMMYFUNCTION("""COMPUTED_VALUE"""),0.0)</f>
        <v>0</v>
      </c>
      <c r="G1591" s="49"/>
      <c r="H1591" s="49"/>
      <c r="I1591" s="49"/>
      <c r="J1591" s="49"/>
      <c r="K1591" s="49"/>
      <c r="L1591" s="49"/>
      <c r="M1591" s="49"/>
      <c r="N1591" s="49"/>
      <c r="O1591" s="49"/>
      <c r="P1591" s="49"/>
      <c r="Q1591" s="49"/>
      <c r="R1591" s="49"/>
      <c r="S1591" s="49"/>
      <c r="T1591" s="49"/>
      <c r="U1591" s="49"/>
      <c r="V1591" s="49"/>
      <c r="W1591" s="49"/>
      <c r="X1591" s="49"/>
      <c r="Y1591" s="49"/>
      <c r="Z1591" s="49"/>
      <c r="AA1591" s="49"/>
      <c r="AB1591" s="49"/>
      <c r="AC1591" s="49"/>
      <c r="AD1591" s="49"/>
      <c r="AE1591" s="49"/>
      <c r="AF1591" s="49"/>
      <c r="AG1591" s="49"/>
      <c r="AH1591" s="49" t="b">
        <f>IFERROR(__xludf.DUMMYFUNCTION("""COMPUTED_VALUE"""),FALSE)</f>
        <v>0</v>
      </c>
    </row>
    <row r="1592">
      <c r="A1592" s="49"/>
      <c r="B1592" s="49"/>
      <c r="C1592" s="49"/>
      <c r="D1592" s="49"/>
      <c r="E1592" s="49">
        <f>IFERROR(__xludf.DUMMYFUNCTION("""COMPUTED_VALUE"""),1.0)</f>
        <v>1</v>
      </c>
      <c r="F1592" s="112">
        <f>IFERROR(__xludf.DUMMYFUNCTION("""COMPUTED_VALUE"""),0.0)</f>
        <v>0</v>
      </c>
      <c r="G1592" s="49"/>
      <c r="H1592" s="49"/>
      <c r="I1592" s="49"/>
      <c r="J1592" s="49"/>
      <c r="K1592" s="49"/>
      <c r="L1592" s="49"/>
      <c r="M1592" s="49"/>
      <c r="N1592" s="49"/>
      <c r="O1592" s="49"/>
      <c r="P1592" s="49"/>
      <c r="Q1592" s="49"/>
      <c r="R1592" s="49"/>
      <c r="S1592" s="49"/>
      <c r="T1592" s="49"/>
      <c r="U1592" s="49"/>
      <c r="V1592" s="49"/>
      <c r="W1592" s="49"/>
      <c r="X1592" s="49"/>
      <c r="Y1592" s="49"/>
      <c r="Z1592" s="49"/>
      <c r="AA1592" s="49"/>
      <c r="AB1592" s="49"/>
      <c r="AC1592" s="49"/>
      <c r="AD1592" s="49"/>
      <c r="AE1592" s="49"/>
      <c r="AF1592" s="49"/>
      <c r="AG1592" s="49"/>
      <c r="AH1592" s="49" t="b">
        <f>IFERROR(__xludf.DUMMYFUNCTION("""COMPUTED_VALUE"""),FALSE)</f>
        <v>0</v>
      </c>
    </row>
    <row r="1593">
      <c r="A1593" s="49"/>
      <c r="B1593" s="49"/>
      <c r="C1593" s="49"/>
      <c r="D1593" s="49"/>
      <c r="E1593" s="49">
        <f>IFERROR(__xludf.DUMMYFUNCTION("""COMPUTED_VALUE"""),1.0)</f>
        <v>1</v>
      </c>
      <c r="F1593" s="112">
        <f>IFERROR(__xludf.DUMMYFUNCTION("""COMPUTED_VALUE"""),0.0)</f>
        <v>0</v>
      </c>
      <c r="G1593" s="49"/>
      <c r="H1593" s="49"/>
      <c r="I1593" s="49"/>
      <c r="J1593" s="49"/>
      <c r="K1593" s="49"/>
      <c r="L1593" s="49"/>
      <c r="M1593" s="49"/>
      <c r="N1593" s="49"/>
      <c r="O1593" s="49"/>
      <c r="P1593" s="49"/>
      <c r="Q1593" s="49"/>
      <c r="R1593" s="49"/>
      <c r="S1593" s="49"/>
      <c r="T1593" s="49"/>
      <c r="U1593" s="49"/>
      <c r="V1593" s="49"/>
      <c r="W1593" s="49"/>
      <c r="X1593" s="49"/>
      <c r="Y1593" s="49"/>
      <c r="Z1593" s="49"/>
      <c r="AA1593" s="49"/>
      <c r="AB1593" s="49"/>
      <c r="AC1593" s="49"/>
      <c r="AD1593" s="49"/>
      <c r="AE1593" s="49"/>
      <c r="AF1593" s="49"/>
      <c r="AG1593" s="49"/>
      <c r="AH1593" s="49" t="b">
        <f>IFERROR(__xludf.DUMMYFUNCTION("""COMPUTED_VALUE"""),FALSE)</f>
        <v>0</v>
      </c>
    </row>
    <row r="1594">
      <c r="A1594" s="49"/>
      <c r="B1594" s="49"/>
      <c r="C1594" s="49"/>
      <c r="D1594" s="49"/>
      <c r="E1594" s="49">
        <f>IFERROR(__xludf.DUMMYFUNCTION("""COMPUTED_VALUE"""),1.0)</f>
        <v>1</v>
      </c>
      <c r="F1594" s="112">
        <f>IFERROR(__xludf.DUMMYFUNCTION("""COMPUTED_VALUE"""),0.0)</f>
        <v>0</v>
      </c>
      <c r="G1594" s="49"/>
      <c r="H1594" s="49"/>
      <c r="I1594" s="49"/>
      <c r="J1594" s="49"/>
      <c r="K1594" s="49"/>
      <c r="L1594" s="49"/>
      <c r="M1594" s="49"/>
      <c r="N1594" s="49"/>
      <c r="O1594" s="49"/>
      <c r="P1594" s="49"/>
      <c r="Q1594" s="49"/>
      <c r="R1594" s="49"/>
      <c r="S1594" s="49"/>
      <c r="T1594" s="49"/>
      <c r="U1594" s="49"/>
      <c r="V1594" s="49"/>
      <c r="W1594" s="49"/>
      <c r="X1594" s="49"/>
      <c r="Y1594" s="49"/>
      <c r="Z1594" s="49"/>
      <c r="AA1594" s="49"/>
      <c r="AB1594" s="49"/>
      <c r="AC1594" s="49"/>
      <c r="AD1594" s="49"/>
      <c r="AE1594" s="49"/>
      <c r="AF1594" s="49"/>
      <c r="AG1594" s="49"/>
      <c r="AH1594" s="49" t="b">
        <f>IFERROR(__xludf.DUMMYFUNCTION("""COMPUTED_VALUE"""),FALSE)</f>
        <v>0</v>
      </c>
    </row>
    <row r="1595">
      <c r="A1595" s="49"/>
      <c r="B1595" s="49"/>
      <c r="C1595" s="49"/>
      <c r="D1595" s="49"/>
      <c r="E1595" s="49">
        <f>IFERROR(__xludf.DUMMYFUNCTION("""COMPUTED_VALUE"""),1.0)</f>
        <v>1</v>
      </c>
      <c r="F1595" s="112">
        <f>IFERROR(__xludf.DUMMYFUNCTION("""COMPUTED_VALUE"""),0.0)</f>
        <v>0</v>
      </c>
      <c r="G1595" s="49"/>
      <c r="H1595" s="49"/>
      <c r="I1595" s="49"/>
      <c r="J1595" s="49"/>
      <c r="K1595" s="49"/>
      <c r="L1595" s="49"/>
      <c r="M1595" s="49"/>
      <c r="N1595" s="49"/>
      <c r="O1595" s="49"/>
      <c r="P1595" s="49"/>
      <c r="Q1595" s="49"/>
      <c r="R1595" s="49"/>
      <c r="S1595" s="49"/>
      <c r="T1595" s="49"/>
      <c r="U1595" s="49"/>
      <c r="V1595" s="49"/>
      <c r="W1595" s="49"/>
      <c r="X1595" s="49"/>
      <c r="Y1595" s="49"/>
      <c r="Z1595" s="49"/>
      <c r="AA1595" s="49"/>
      <c r="AB1595" s="49"/>
      <c r="AC1595" s="49"/>
      <c r="AD1595" s="49"/>
      <c r="AE1595" s="49"/>
      <c r="AF1595" s="49"/>
      <c r="AG1595" s="49"/>
      <c r="AH1595" s="49" t="b">
        <f>IFERROR(__xludf.DUMMYFUNCTION("""COMPUTED_VALUE"""),FALSE)</f>
        <v>0</v>
      </c>
    </row>
    <row r="1596">
      <c r="A1596" s="49"/>
      <c r="B1596" s="49"/>
      <c r="C1596" s="49"/>
      <c r="D1596" s="49"/>
      <c r="E1596" s="49">
        <f>IFERROR(__xludf.DUMMYFUNCTION("""COMPUTED_VALUE"""),1.0)</f>
        <v>1</v>
      </c>
      <c r="F1596" s="112">
        <f>IFERROR(__xludf.DUMMYFUNCTION("""COMPUTED_VALUE"""),0.0)</f>
        <v>0</v>
      </c>
      <c r="G1596" s="49"/>
      <c r="H1596" s="49"/>
      <c r="I1596" s="49"/>
      <c r="J1596" s="49"/>
      <c r="K1596" s="49"/>
      <c r="L1596" s="49"/>
      <c r="M1596" s="49"/>
      <c r="N1596" s="49"/>
      <c r="O1596" s="49"/>
      <c r="P1596" s="49"/>
      <c r="Q1596" s="49"/>
      <c r="R1596" s="49"/>
      <c r="S1596" s="49"/>
      <c r="T1596" s="49"/>
      <c r="U1596" s="49"/>
      <c r="V1596" s="49"/>
      <c r="W1596" s="49"/>
      <c r="X1596" s="49"/>
      <c r="Y1596" s="49"/>
      <c r="Z1596" s="49"/>
      <c r="AA1596" s="49"/>
      <c r="AB1596" s="49"/>
      <c r="AC1596" s="49"/>
      <c r="AD1596" s="49"/>
      <c r="AE1596" s="49"/>
      <c r="AF1596" s="49"/>
      <c r="AG1596" s="49"/>
      <c r="AH1596" s="49" t="b">
        <f>IFERROR(__xludf.DUMMYFUNCTION("""COMPUTED_VALUE"""),FALSE)</f>
        <v>0</v>
      </c>
    </row>
    <row r="1597">
      <c r="A1597" s="49"/>
      <c r="B1597" s="49"/>
      <c r="C1597" s="49"/>
      <c r="D1597" s="49"/>
      <c r="E1597" s="49">
        <f>IFERROR(__xludf.DUMMYFUNCTION("""COMPUTED_VALUE"""),1.0)</f>
        <v>1</v>
      </c>
      <c r="F1597" s="112">
        <f>IFERROR(__xludf.DUMMYFUNCTION("""COMPUTED_VALUE"""),0.0)</f>
        <v>0</v>
      </c>
      <c r="G1597" s="49"/>
      <c r="H1597" s="49"/>
      <c r="I1597" s="49"/>
      <c r="J1597" s="49"/>
      <c r="K1597" s="49"/>
      <c r="L1597" s="49"/>
      <c r="M1597" s="49"/>
      <c r="N1597" s="49"/>
      <c r="O1597" s="49"/>
      <c r="P1597" s="49"/>
      <c r="Q1597" s="49"/>
      <c r="R1597" s="49"/>
      <c r="S1597" s="49"/>
      <c r="T1597" s="49"/>
      <c r="U1597" s="49"/>
      <c r="V1597" s="49"/>
      <c r="W1597" s="49"/>
      <c r="X1597" s="49"/>
      <c r="Y1597" s="49"/>
      <c r="Z1597" s="49"/>
      <c r="AA1597" s="49"/>
      <c r="AB1597" s="49"/>
      <c r="AC1597" s="49"/>
      <c r="AD1597" s="49"/>
      <c r="AE1597" s="49"/>
      <c r="AF1597" s="49"/>
      <c r="AG1597" s="49"/>
      <c r="AH1597" s="49" t="b">
        <f>IFERROR(__xludf.DUMMYFUNCTION("""COMPUTED_VALUE"""),FALSE)</f>
        <v>0</v>
      </c>
    </row>
    <row r="1598">
      <c r="A1598" s="49"/>
      <c r="B1598" s="49"/>
      <c r="C1598" s="49"/>
      <c r="D1598" s="49"/>
      <c r="E1598" s="49">
        <f>IFERROR(__xludf.DUMMYFUNCTION("""COMPUTED_VALUE"""),1.0)</f>
        <v>1</v>
      </c>
      <c r="F1598" s="112">
        <f>IFERROR(__xludf.DUMMYFUNCTION("""COMPUTED_VALUE"""),0.0)</f>
        <v>0</v>
      </c>
      <c r="G1598" s="49"/>
      <c r="H1598" s="49"/>
      <c r="I1598" s="49"/>
      <c r="J1598" s="49"/>
      <c r="K1598" s="49"/>
      <c r="L1598" s="49"/>
      <c r="M1598" s="49"/>
      <c r="N1598" s="49"/>
      <c r="O1598" s="49"/>
      <c r="P1598" s="49"/>
      <c r="Q1598" s="49"/>
      <c r="R1598" s="49"/>
      <c r="S1598" s="49"/>
      <c r="T1598" s="49"/>
      <c r="U1598" s="49"/>
      <c r="V1598" s="49"/>
      <c r="W1598" s="49"/>
      <c r="X1598" s="49"/>
      <c r="Y1598" s="49"/>
      <c r="Z1598" s="49"/>
      <c r="AA1598" s="49"/>
      <c r="AB1598" s="49"/>
      <c r="AC1598" s="49"/>
      <c r="AD1598" s="49"/>
      <c r="AE1598" s="49"/>
      <c r="AF1598" s="49"/>
      <c r="AG1598" s="49"/>
      <c r="AH1598" s="49" t="b">
        <f>IFERROR(__xludf.DUMMYFUNCTION("""COMPUTED_VALUE"""),FALSE)</f>
        <v>0</v>
      </c>
    </row>
    <row r="1599">
      <c r="A1599" s="49"/>
      <c r="B1599" s="49"/>
      <c r="C1599" s="49"/>
      <c r="D1599" s="49"/>
      <c r="E1599" s="49">
        <f>IFERROR(__xludf.DUMMYFUNCTION("""COMPUTED_VALUE"""),1.0)</f>
        <v>1</v>
      </c>
      <c r="F1599" s="112">
        <f>IFERROR(__xludf.DUMMYFUNCTION("""COMPUTED_VALUE"""),0.0)</f>
        <v>0</v>
      </c>
      <c r="G1599" s="49"/>
      <c r="H1599" s="49"/>
      <c r="I1599" s="49"/>
      <c r="J1599" s="49"/>
      <c r="K1599" s="49"/>
      <c r="L1599" s="49"/>
      <c r="M1599" s="49"/>
      <c r="N1599" s="49"/>
      <c r="O1599" s="49"/>
      <c r="P1599" s="49"/>
      <c r="Q1599" s="49"/>
      <c r="R1599" s="49"/>
      <c r="S1599" s="49"/>
      <c r="T1599" s="49"/>
      <c r="U1599" s="49"/>
      <c r="V1599" s="49"/>
      <c r="W1599" s="49"/>
      <c r="X1599" s="49"/>
      <c r="Y1599" s="49"/>
      <c r="Z1599" s="49"/>
      <c r="AA1599" s="49"/>
      <c r="AB1599" s="49"/>
      <c r="AC1599" s="49"/>
      <c r="AD1599" s="49"/>
      <c r="AE1599" s="49"/>
      <c r="AF1599" s="49"/>
      <c r="AG1599" s="49"/>
      <c r="AH1599" s="49" t="b">
        <f>IFERROR(__xludf.DUMMYFUNCTION("""COMPUTED_VALUE"""),FALSE)</f>
        <v>0</v>
      </c>
    </row>
    <row r="1600">
      <c r="A1600" s="49"/>
      <c r="B1600" s="49"/>
      <c r="C1600" s="49"/>
      <c r="D1600" s="49"/>
      <c r="E1600" s="49">
        <f>IFERROR(__xludf.DUMMYFUNCTION("""COMPUTED_VALUE"""),1.0)</f>
        <v>1</v>
      </c>
      <c r="F1600" s="112">
        <f>IFERROR(__xludf.DUMMYFUNCTION("""COMPUTED_VALUE"""),0.0)</f>
        <v>0</v>
      </c>
      <c r="G1600" s="49"/>
      <c r="H1600" s="49"/>
      <c r="I1600" s="49"/>
      <c r="J1600" s="49"/>
      <c r="K1600" s="49"/>
      <c r="L1600" s="49"/>
      <c r="M1600" s="49"/>
      <c r="N1600" s="49"/>
      <c r="O1600" s="49"/>
      <c r="P1600" s="49"/>
      <c r="Q1600" s="49"/>
      <c r="R1600" s="49"/>
      <c r="S1600" s="49"/>
      <c r="T1600" s="49"/>
      <c r="U1600" s="49"/>
      <c r="V1600" s="49"/>
      <c r="W1600" s="49"/>
      <c r="X1600" s="49"/>
      <c r="Y1600" s="49"/>
      <c r="Z1600" s="49"/>
      <c r="AA1600" s="49"/>
      <c r="AB1600" s="49"/>
      <c r="AC1600" s="49"/>
      <c r="AD1600" s="49"/>
      <c r="AE1600" s="49"/>
      <c r="AF1600" s="49"/>
      <c r="AG1600" s="49"/>
      <c r="AH1600" s="49" t="b">
        <f>IFERROR(__xludf.DUMMYFUNCTION("""COMPUTED_VALUE"""),FALSE)</f>
        <v>0</v>
      </c>
    </row>
    <row r="1601">
      <c r="A1601" s="49"/>
      <c r="B1601" s="49"/>
      <c r="C1601" s="49"/>
      <c r="D1601" s="49"/>
      <c r="E1601" s="49">
        <f>IFERROR(__xludf.DUMMYFUNCTION("""COMPUTED_VALUE"""),1.0)</f>
        <v>1</v>
      </c>
      <c r="F1601" s="112">
        <f>IFERROR(__xludf.DUMMYFUNCTION("""COMPUTED_VALUE"""),0.0)</f>
        <v>0</v>
      </c>
      <c r="G1601" s="49"/>
      <c r="H1601" s="49"/>
      <c r="I1601" s="49"/>
      <c r="J1601" s="49"/>
      <c r="K1601" s="49"/>
      <c r="L1601" s="49"/>
      <c r="M1601" s="49"/>
      <c r="N1601" s="49"/>
      <c r="O1601" s="49"/>
      <c r="P1601" s="49"/>
      <c r="Q1601" s="49"/>
      <c r="R1601" s="49"/>
      <c r="S1601" s="49"/>
      <c r="T1601" s="49"/>
      <c r="U1601" s="49"/>
      <c r="V1601" s="49"/>
      <c r="W1601" s="49"/>
      <c r="X1601" s="49"/>
      <c r="Y1601" s="49"/>
      <c r="Z1601" s="49"/>
      <c r="AA1601" s="49"/>
      <c r="AB1601" s="49"/>
      <c r="AC1601" s="49"/>
      <c r="AD1601" s="49"/>
      <c r="AE1601" s="49"/>
      <c r="AF1601" s="49"/>
      <c r="AG1601" s="49"/>
      <c r="AH1601" s="49" t="b">
        <f>IFERROR(__xludf.DUMMYFUNCTION("""COMPUTED_VALUE"""),FALSE)</f>
        <v>0</v>
      </c>
    </row>
    <row r="1602">
      <c r="A1602" s="49"/>
      <c r="B1602" s="49"/>
      <c r="C1602" s="49"/>
      <c r="D1602" s="49"/>
      <c r="E1602" s="49">
        <f>IFERROR(__xludf.DUMMYFUNCTION("""COMPUTED_VALUE"""),1.0)</f>
        <v>1</v>
      </c>
      <c r="F1602" s="112">
        <f>IFERROR(__xludf.DUMMYFUNCTION("""COMPUTED_VALUE"""),0.0)</f>
        <v>0</v>
      </c>
      <c r="G1602" s="49"/>
      <c r="H1602" s="49"/>
      <c r="I1602" s="49"/>
      <c r="J1602" s="49"/>
      <c r="K1602" s="49"/>
      <c r="L1602" s="49"/>
      <c r="M1602" s="49"/>
      <c r="N1602" s="49"/>
      <c r="O1602" s="49"/>
      <c r="P1602" s="49"/>
      <c r="Q1602" s="49"/>
      <c r="R1602" s="49"/>
      <c r="S1602" s="49"/>
      <c r="T1602" s="49"/>
      <c r="U1602" s="49"/>
      <c r="V1602" s="49"/>
      <c r="W1602" s="49"/>
      <c r="X1602" s="49"/>
      <c r="Y1602" s="49"/>
      <c r="Z1602" s="49"/>
      <c r="AA1602" s="49"/>
      <c r="AB1602" s="49"/>
      <c r="AC1602" s="49"/>
      <c r="AD1602" s="49"/>
      <c r="AE1602" s="49"/>
      <c r="AF1602" s="49"/>
      <c r="AG1602" s="49"/>
      <c r="AH1602" s="49" t="b">
        <f>IFERROR(__xludf.DUMMYFUNCTION("""COMPUTED_VALUE"""),FALSE)</f>
        <v>0</v>
      </c>
    </row>
    <row r="1603">
      <c r="A1603" s="49"/>
      <c r="B1603" s="49"/>
      <c r="C1603" s="49"/>
      <c r="D1603" s="49"/>
      <c r="E1603" s="49">
        <f>IFERROR(__xludf.DUMMYFUNCTION("""COMPUTED_VALUE"""),1.0)</f>
        <v>1</v>
      </c>
      <c r="F1603" s="112">
        <f>IFERROR(__xludf.DUMMYFUNCTION("""COMPUTED_VALUE"""),0.0)</f>
        <v>0</v>
      </c>
      <c r="G1603" s="49"/>
      <c r="H1603" s="49"/>
      <c r="I1603" s="49"/>
      <c r="J1603" s="49"/>
      <c r="K1603" s="49"/>
      <c r="L1603" s="49"/>
      <c r="M1603" s="49"/>
      <c r="N1603" s="49"/>
      <c r="O1603" s="49"/>
      <c r="P1603" s="49"/>
      <c r="Q1603" s="49"/>
      <c r="R1603" s="49"/>
      <c r="S1603" s="49"/>
      <c r="T1603" s="49"/>
      <c r="U1603" s="49"/>
      <c r="V1603" s="49"/>
      <c r="W1603" s="49"/>
      <c r="X1603" s="49"/>
      <c r="Y1603" s="49"/>
      <c r="Z1603" s="49"/>
      <c r="AA1603" s="49"/>
      <c r="AB1603" s="49"/>
      <c r="AC1603" s="49"/>
      <c r="AD1603" s="49"/>
      <c r="AE1603" s="49"/>
      <c r="AF1603" s="49"/>
      <c r="AG1603" s="49"/>
      <c r="AH1603" s="49" t="b">
        <f>IFERROR(__xludf.DUMMYFUNCTION("""COMPUTED_VALUE"""),FALSE)</f>
        <v>0</v>
      </c>
    </row>
    <row r="1604">
      <c r="A1604" s="49"/>
      <c r="B1604" s="49"/>
      <c r="C1604" s="49"/>
      <c r="D1604" s="49"/>
      <c r="E1604" s="49">
        <f>IFERROR(__xludf.DUMMYFUNCTION("""COMPUTED_VALUE"""),1.0)</f>
        <v>1</v>
      </c>
      <c r="F1604" s="112">
        <f>IFERROR(__xludf.DUMMYFUNCTION("""COMPUTED_VALUE"""),0.0)</f>
        <v>0</v>
      </c>
      <c r="G1604" s="49"/>
      <c r="H1604" s="49"/>
      <c r="I1604" s="49"/>
      <c r="J1604" s="49"/>
      <c r="K1604" s="49"/>
      <c r="L1604" s="49"/>
      <c r="M1604" s="49"/>
      <c r="N1604" s="49"/>
      <c r="O1604" s="49"/>
      <c r="P1604" s="49"/>
      <c r="Q1604" s="49"/>
      <c r="R1604" s="49"/>
      <c r="S1604" s="49"/>
      <c r="T1604" s="49"/>
      <c r="U1604" s="49"/>
      <c r="V1604" s="49"/>
      <c r="W1604" s="49"/>
      <c r="X1604" s="49"/>
      <c r="Y1604" s="49"/>
      <c r="Z1604" s="49"/>
      <c r="AA1604" s="49"/>
      <c r="AB1604" s="49"/>
      <c r="AC1604" s="49"/>
      <c r="AD1604" s="49"/>
      <c r="AE1604" s="49"/>
      <c r="AF1604" s="49"/>
      <c r="AG1604" s="49"/>
      <c r="AH1604" s="49" t="b">
        <f>IFERROR(__xludf.DUMMYFUNCTION("""COMPUTED_VALUE"""),FALSE)</f>
        <v>0</v>
      </c>
    </row>
    <row r="1605">
      <c r="A1605" s="49"/>
      <c r="B1605" s="49"/>
      <c r="C1605" s="49"/>
      <c r="D1605" s="49"/>
      <c r="E1605" s="49">
        <f>IFERROR(__xludf.DUMMYFUNCTION("""COMPUTED_VALUE"""),1.0)</f>
        <v>1</v>
      </c>
      <c r="F1605" s="112">
        <f>IFERROR(__xludf.DUMMYFUNCTION("""COMPUTED_VALUE"""),0.0)</f>
        <v>0</v>
      </c>
      <c r="G1605" s="49"/>
      <c r="H1605" s="49"/>
      <c r="I1605" s="49"/>
      <c r="J1605" s="49"/>
      <c r="K1605" s="49"/>
      <c r="L1605" s="49"/>
      <c r="M1605" s="49"/>
      <c r="N1605" s="49"/>
      <c r="O1605" s="49"/>
      <c r="P1605" s="49"/>
      <c r="Q1605" s="49"/>
      <c r="R1605" s="49"/>
      <c r="S1605" s="49"/>
      <c r="T1605" s="49"/>
      <c r="U1605" s="49"/>
      <c r="V1605" s="49"/>
      <c r="W1605" s="49"/>
      <c r="X1605" s="49"/>
      <c r="Y1605" s="49"/>
      <c r="Z1605" s="49"/>
      <c r="AA1605" s="49"/>
      <c r="AB1605" s="49"/>
      <c r="AC1605" s="49"/>
      <c r="AD1605" s="49"/>
      <c r="AE1605" s="49"/>
      <c r="AF1605" s="49"/>
      <c r="AG1605" s="49"/>
      <c r="AH1605" s="49" t="b">
        <f>IFERROR(__xludf.DUMMYFUNCTION("""COMPUTED_VALUE"""),FALSE)</f>
        <v>0</v>
      </c>
    </row>
    <row r="1606">
      <c r="A1606" s="49"/>
      <c r="B1606" s="49"/>
      <c r="C1606" s="49"/>
      <c r="D1606" s="49"/>
      <c r="E1606" s="49">
        <f>IFERROR(__xludf.DUMMYFUNCTION("""COMPUTED_VALUE"""),1.0)</f>
        <v>1</v>
      </c>
      <c r="F1606" s="112">
        <f>IFERROR(__xludf.DUMMYFUNCTION("""COMPUTED_VALUE"""),0.0)</f>
        <v>0</v>
      </c>
      <c r="G1606" s="49"/>
      <c r="H1606" s="49"/>
      <c r="I1606" s="49"/>
      <c r="J1606" s="49"/>
      <c r="K1606" s="49"/>
      <c r="L1606" s="49"/>
      <c r="M1606" s="49"/>
      <c r="N1606" s="49"/>
      <c r="O1606" s="49"/>
      <c r="P1606" s="49"/>
      <c r="Q1606" s="49"/>
      <c r="R1606" s="49"/>
      <c r="S1606" s="49"/>
      <c r="T1606" s="49"/>
      <c r="U1606" s="49"/>
      <c r="V1606" s="49"/>
      <c r="W1606" s="49"/>
      <c r="X1606" s="49"/>
      <c r="Y1606" s="49"/>
      <c r="Z1606" s="49"/>
      <c r="AA1606" s="49"/>
      <c r="AB1606" s="49"/>
      <c r="AC1606" s="49"/>
      <c r="AD1606" s="49"/>
      <c r="AE1606" s="49"/>
      <c r="AF1606" s="49"/>
      <c r="AG1606" s="49"/>
      <c r="AH1606" s="49" t="b">
        <f>IFERROR(__xludf.DUMMYFUNCTION("""COMPUTED_VALUE"""),FALSE)</f>
        <v>0</v>
      </c>
    </row>
    <row r="1607">
      <c r="A1607" s="49"/>
      <c r="B1607" s="49"/>
      <c r="C1607" s="49"/>
      <c r="D1607" s="49"/>
      <c r="E1607" s="49">
        <f>IFERROR(__xludf.DUMMYFUNCTION("""COMPUTED_VALUE"""),1.0)</f>
        <v>1</v>
      </c>
      <c r="F1607" s="112">
        <f>IFERROR(__xludf.DUMMYFUNCTION("""COMPUTED_VALUE"""),0.0)</f>
        <v>0</v>
      </c>
      <c r="G1607" s="49"/>
      <c r="H1607" s="49"/>
      <c r="I1607" s="49"/>
      <c r="J1607" s="49"/>
      <c r="K1607" s="49"/>
      <c r="L1607" s="49"/>
      <c r="M1607" s="49"/>
      <c r="N1607" s="49"/>
      <c r="O1607" s="49"/>
      <c r="P1607" s="49"/>
      <c r="Q1607" s="49"/>
      <c r="R1607" s="49"/>
      <c r="S1607" s="49"/>
      <c r="T1607" s="49"/>
      <c r="U1607" s="49"/>
      <c r="V1607" s="49"/>
      <c r="W1607" s="49"/>
      <c r="X1607" s="49"/>
      <c r="Y1607" s="49"/>
      <c r="Z1607" s="49"/>
      <c r="AA1607" s="49"/>
      <c r="AB1607" s="49"/>
      <c r="AC1607" s="49"/>
      <c r="AD1607" s="49"/>
      <c r="AE1607" s="49"/>
      <c r="AF1607" s="49"/>
      <c r="AG1607" s="49"/>
      <c r="AH1607" s="49" t="b">
        <f>IFERROR(__xludf.DUMMYFUNCTION("""COMPUTED_VALUE"""),FALSE)</f>
        <v>0</v>
      </c>
    </row>
    <row r="1608">
      <c r="A1608" s="49"/>
      <c r="B1608" s="49"/>
      <c r="C1608" s="49"/>
      <c r="D1608" s="49"/>
      <c r="E1608" s="49">
        <f>IFERROR(__xludf.DUMMYFUNCTION("""COMPUTED_VALUE"""),1.0)</f>
        <v>1</v>
      </c>
      <c r="F1608" s="112">
        <f>IFERROR(__xludf.DUMMYFUNCTION("""COMPUTED_VALUE"""),0.0)</f>
        <v>0</v>
      </c>
      <c r="G1608" s="49"/>
      <c r="H1608" s="49"/>
      <c r="I1608" s="49"/>
      <c r="J1608" s="49"/>
      <c r="K1608" s="49"/>
      <c r="L1608" s="49"/>
      <c r="M1608" s="49"/>
      <c r="N1608" s="49"/>
      <c r="O1608" s="49"/>
      <c r="P1608" s="49"/>
      <c r="Q1608" s="49"/>
      <c r="R1608" s="49"/>
      <c r="S1608" s="49"/>
      <c r="T1608" s="49"/>
      <c r="U1608" s="49"/>
      <c r="V1608" s="49"/>
      <c r="W1608" s="49"/>
      <c r="X1608" s="49"/>
      <c r="Y1608" s="49"/>
      <c r="Z1608" s="49"/>
      <c r="AA1608" s="49"/>
      <c r="AB1608" s="49"/>
      <c r="AC1608" s="49"/>
      <c r="AD1608" s="49"/>
      <c r="AE1608" s="49"/>
      <c r="AF1608" s="49"/>
      <c r="AG1608" s="49"/>
      <c r="AH1608" s="49" t="b">
        <f>IFERROR(__xludf.DUMMYFUNCTION("""COMPUTED_VALUE"""),FALSE)</f>
        <v>0</v>
      </c>
    </row>
    <row r="1609">
      <c r="A1609" s="49"/>
      <c r="B1609" s="49"/>
      <c r="C1609" s="49"/>
      <c r="D1609" s="49"/>
      <c r="E1609" s="49">
        <f>IFERROR(__xludf.DUMMYFUNCTION("""COMPUTED_VALUE"""),1.0)</f>
        <v>1</v>
      </c>
      <c r="F1609" s="112">
        <f>IFERROR(__xludf.DUMMYFUNCTION("""COMPUTED_VALUE"""),0.0)</f>
        <v>0</v>
      </c>
      <c r="G1609" s="49"/>
      <c r="H1609" s="49"/>
      <c r="I1609" s="49"/>
      <c r="J1609" s="49"/>
      <c r="K1609" s="49"/>
      <c r="L1609" s="49"/>
      <c r="M1609" s="49"/>
      <c r="N1609" s="49"/>
      <c r="O1609" s="49"/>
      <c r="P1609" s="49"/>
      <c r="Q1609" s="49"/>
      <c r="R1609" s="49"/>
      <c r="S1609" s="49"/>
      <c r="T1609" s="49"/>
      <c r="U1609" s="49"/>
      <c r="V1609" s="49"/>
      <c r="W1609" s="49"/>
      <c r="X1609" s="49"/>
      <c r="Y1609" s="49"/>
      <c r="Z1609" s="49"/>
      <c r="AA1609" s="49"/>
      <c r="AB1609" s="49"/>
      <c r="AC1609" s="49"/>
      <c r="AD1609" s="49"/>
      <c r="AE1609" s="49"/>
      <c r="AF1609" s="49"/>
      <c r="AG1609" s="49"/>
      <c r="AH1609" s="49" t="b">
        <f>IFERROR(__xludf.DUMMYFUNCTION("""COMPUTED_VALUE"""),FALSE)</f>
        <v>0</v>
      </c>
    </row>
    <row r="1610">
      <c r="A1610" s="49"/>
      <c r="B1610" s="49"/>
      <c r="C1610" s="49"/>
      <c r="D1610" s="49"/>
      <c r="E1610" s="49">
        <f>IFERROR(__xludf.DUMMYFUNCTION("""COMPUTED_VALUE"""),1.0)</f>
        <v>1</v>
      </c>
      <c r="F1610" s="112">
        <f>IFERROR(__xludf.DUMMYFUNCTION("""COMPUTED_VALUE"""),0.0)</f>
        <v>0</v>
      </c>
      <c r="G1610" s="49"/>
      <c r="H1610" s="49"/>
      <c r="I1610" s="49"/>
      <c r="J1610" s="49"/>
      <c r="K1610" s="49"/>
      <c r="L1610" s="49"/>
      <c r="M1610" s="49"/>
      <c r="N1610" s="49"/>
      <c r="O1610" s="49"/>
      <c r="P1610" s="49"/>
      <c r="Q1610" s="49"/>
      <c r="R1610" s="49"/>
      <c r="S1610" s="49"/>
      <c r="T1610" s="49"/>
      <c r="U1610" s="49"/>
      <c r="V1610" s="49"/>
      <c r="W1610" s="49"/>
      <c r="X1610" s="49"/>
      <c r="Y1610" s="49"/>
      <c r="Z1610" s="49"/>
      <c r="AA1610" s="49"/>
      <c r="AB1610" s="49"/>
      <c r="AC1610" s="49"/>
      <c r="AD1610" s="49"/>
      <c r="AE1610" s="49"/>
      <c r="AF1610" s="49"/>
      <c r="AG1610" s="49"/>
      <c r="AH1610" s="49" t="b">
        <f>IFERROR(__xludf.DUMMYFUNCTION("""COMPUTED_VALUE"""),FALSE)</f>
        <v>0</v>
      </c>
    </row>
    <row r="1611">
      <c r="A1611" s="49"/>
      <c r="B1611" s="49"/>
      <c r="C1611" s="49"/>
      <c r="D1611" s="49"/>
      <c r="E1611" s="49">
        <f>IFERROR(__xludf.DUMMYFUNCTION("""COMPUTED_VALUE"""),1.0)</f>
        <v>1</v>
      </c>
      <c r="F1611" s="112">
        <f>IFERROR(__xludf.DUMMYFUNCTION("""COMPUTED_VALUE"""),0.0)</f>
        <v>0</v>
      </c>
      <c r="G1611" s="49"/>
      <c r="H1611" s="49"/>
      <c r="I1611" s="49"/>
      <c r="J1611" s="49"/>
      <c r="K1611" s="49"/>
      <c r="L1611" s="49"/>
      <c r="M1611" s="49"/>
      <c r="N1611" s="49"/>
      <c r="O1611" s="49"/>
      <c r="P1611" s="49"/>
      <c r="Q1611" s="49"/>
      <c r="R1611" s="49"/>
      <c r="S1611" s="49"/>
      <c r="T1611" s="49"/>
      <c r="U1611" s="49"/>
      <c r="V1611" s="49"/>
      <c r="W1611" s="49"/>
      <c r="X1611" s="49"/>
      <c r="Y1611" s="49"/>
      <c r="Z1611" s="49"/>
      <c r="AA1611" s="49"/>
      <c r="AB1611" s="49"/>
      <c r="AC1611" s="49"/>
      <c r="AD1611" s="49"/>
      <c r="AE1611" s="49"/>
      <c r="AF1611" s="49"/>
      <c r="AG1611" s="49"/>
      <c r="AH1611" s="49" t="b">
        <f>IFERROR(__xludf.DUMMYFUNCTION("""COMPUTED_VALUE"""),FALSE)</f>
        <v>0</v>
      </c>
    </row>
    <row r="1612">
      <c r="A1612" s="49"/>
      <c r="B1612" s="49"/>
      <c r="C1612" s="49"/>
      <c r="D1612" s="49"/>
      <c r="E1612" s="49">
        <f>IFERROR(__xludf.DUMMYFUNCTION("""COMPUTED_VALUE"""),1.0)</f>
        <v>1</v>
      </c>
      <c r="F1612" s="112">
        <f>IFERROR(__xludf.DUMMYFUNCTION("""COMPUTED_VALUE"""),0.0)</f>
        <v>0</v>
      </c>
      <c r="G1612" s="49"/>
      <c r="H1612" s="49"/>
      <c r="I1612" s="49"/>
      <c r="J1612" s="49"/>
      <c r="K1612" s="49"/>
      <c r="L1612" s="49"/>
      <c r="M1612" s="49"/>
      <c r="N1612" s="49"/>
      <c r="O1612" s="49"/>
      <c r="P1612" s="49"/>
      <c r="Q1612" s="49"/>
      <c r="R1612" s="49"/>
      <c r="S1612" s="49"/>
      <c r="T1612" s="49"/>
      <c r="U1612" s="49"/>
      <c r="V1612" s="49"/>
      <c r="W1612" s="49"/>
      <c r="X1612" s="49"/>
      <c r="Y1612" s="49"/>
      <c r="Z1612" s="49"/>
      <c r="AA1612" s="49"/>
      <c r="AB1612" s="49"/>
      <c r="AC1612" s="49"/>
      <c r="AD1612" s="49"/>
      <c r="AE1612" s="49"/>
      <c r="AF1612" s="49"/>
      <c r="AG1612" s="49"/>
      <c r="AH1612" s="49" t="b">
        <f>IFERROR(__xludf.DUMMYFUNCTION("""COMPUTED_VALUE"""),FALSE)</f>
        <v>0</v>
      </c>
    </row>
    <row r="1613">
      <c r="A1613" s="49"/>
      <c r="B1613" s="49"/>
      <c r="C1613" s="49"/>
      <c r="D1613" s="49"/>
      <c r="E1613" s="49">
        <f>IFERROR(__xludf.DUMMYFUNCTION("""COMPUTED_VALUE"""),1.0)</f>
        <v>1</v>
      </c>
      <c r="F1613" s="112">
        <f>IFERROR(__xludf.DUMMYFUNCTION("""COMPUTED_VALUE"""),0.0)</f>
        <v>0</v>
      </c>
      <c r="G1613" s="49"/>
      <c r="H1613" s="49"/>
      <c r="I1613" s="49"/>
      <c r="J1613" s="49"/>
      <c r="K1613" s="49"/>
      <c r="L1613" s="49"/>
      <c r="M1613" s="49"/>
      <c r="N1613" s="49"/>
      <c r="O1613" s="49"/>
      <c r="P1613" s="49"/>
      <c r="Q1613" s="49"/>
      <c r="R1613" s="49"/>
      <c r="S1613" s="49"/>
      <c r="T1613" s="49"/>
      <c r="U1613" s="49"/>
      <c r="V1613" s="49"/>
      <c r="W1613" s="49"/>
      <c r="X1613" s="49"/>
      <c r="Y1613" s="49"/>
      <c r="Z1613" s="49"/>
      <c r="AA1613" s="49"/>
      <c r="AB1613" s="49"/>
      <c r="AC1613" s="49"/>
      <c r="AD1613" s="49"/>
      <c r="AE1613" s="49"/>
      <c r="AF1613" s="49"/>
      <c r="AG1613" s="49"/>
      <c r="AH1613" s="49" t="b">
        <f>IFERROR(__xludf.DUMMYFUNCTION("""COMPUTED_VALUE"""),FALSE)</f>
        <v>0</v>
      </c>
    </row>
    <row r="1614">
      <c r="A1614" s="49"/>
      <c r="B1614" s="49"/>
      <c r="C1614" s="49"/>
      <c r="D1614" s="49"/>
      <c r="E1614" s="49">
        <f>IFERROR(__xludf.DUMMYFUNCTION("""COMPUTED_VALUE"""),1.0)</f>
        <v>1</v>
      </c>
      <c r="F1614" s="112">
        <f>IFERROR(__xludf.DUMMYFUNCTION("""COMPUTED_VALUE"""),0.0)</f>
        <v>0</v>
      </c>
      <c r="G1614" s="49"/>
      <c r="H1614" s="49"/>
      <c r="I1614" s="49"/>
      <c r="J1614" s="49"/>
      <c r="K1614" s="49"/>
      <c r="L1614" s="49"/>
      <c r="M1614" s="49"/>
      <c r="N1614" s="49"/>
      <c r="O1614" s="49"/>
      <c r="P1614" s="49"/>
      <c r="Q1614" s="49"/>
      <c r="R1614" s="49"/>
      <c r="S1614" s="49"/>
      <c r="T1614" s="49"/>
      <c r="U1614" s="49"/>
      <c r="V1614" s="49"/>
      <c r="W1614" s="49"/>
      <c r="X1614" s="49"/>
      <c r="Y1614" s="49"/>
      <c r="Z1614" s="49"/>
      <c r="AA1614" s="49"/>
      <c r="AB1614" s="49"/>
      <c r="AC1614" s="49"/>
      <c r="AD1614" s="49"/>
      <c r="AE1614" s="49"/>
      <c r="AF1614" s="49"/>
      <c r="AG1614" s="49"/>
      <c r="AH1614" s="49" t="b">
        <f>IFERROR(__xludf.DUMMYFUNCTION("""COMPUTED_VALUE"""),FALSE)</f>
        <v>0</v>
      </c>
    </row>
    <row r="1615">
      <c r="A1615" s="49"/>
      <c r="B1615" s="49"/>
      <c r="C1615" s="49"/>
      <c r="D1615" s="49"/>
      <c r="E1615" s="49">
        <f>IFERROR(__xludf.DUMMYFUNCTION("""COMPUTED_VALUE"""),1.0)</f>
        <v>1</v>
      </c>
      <c r="F1615" s="112">
        <f>IFERROR(__xludf.DUMMYFUNCTION("""COMPUTED_VALUE"""),0.0)</f>
        <v>0</v>
      </c>
      <c r="G1615" s="49"/>
      <c r="H1615" s="49"/>
      <c r="I1615" s="49"/>
      <c r="J1615" s="49"/>
      <c r="K1615" s="49"/>
      <c r="L1615" s="49"/>
      <c r="M1615" s="49"/>
      <c r="N1615" s="49"/>
      <c r="O1615" s="49"/>
      <c r="P1615" s="49"/>
      <c r="Q1615" s="49"/>
      <c r="R1615" s="49"/>
      <c r="S1615" s="49"/>
      <c r="T1615" s="49"/>
      <c r="U1615" s="49"/>
      <c r="V1615" s="49"/>
      <c r="W1615" s="49"/>
      <c r="X1615" s="49"/>
      <c r="Y1615" s="49"/>
      <c r="Z1615" s="49"/>
      <c r="AA1615" s="49"/>
      <c r="AB1615" s="49"/>
      <c r="AC1615" s="49"/>
      <c r="AD1615" s="49"/>
      <c r="AE1615" s="49"/>
      <c r="AF1615" s="49"/>
      <c r="AG1615" s="49"/>
      <c r="AH1615" s="49" t="b">
        <f>IFERROR(__xludf.DUMMYFUNCTION("""COMPUTED_VALUE"""),FALSE)</f>
        <v>0</v>
      </c>
    </row>
    <row r="1616">
      <c r="A1616" s="49"/>
      <c r="B1616" s="49"/>
      <c r="C1616" s="49"/>
      <c r="D1616" s="49"/>
      <c r="E1616" s="49">
        <f>IFERROR(__xludf.DUMMYFUNCTION("""COMPUTED_VALUE"""),1.0)</f>
        <v>1</v>
      </c>
      <c r="F1616" s="112">
        <f>IFERROR(__xludf.DUMMYFUNCTION("""COMPUTED_VALUE"""),0.0)</f>
        <v>0</v>
      </c>
      <c r="G1616" s="49"/>
      <c r="H1616" s="49"/>
      <c r="I1616" s="49"/>
      <c r="J1616" s="49"/>
      <c r="K1616" s="49"/>
      <c r="L1616" s="49"/>
      <c r="M1616" s="49"/>
      <c r="N1616" s="49"/>
      <c r="O1616" s="49"/>
      <c r="P1616" s="49"/>
      <c r="Q1616" s="49"/>
      <c r="R1616" s="49"/>
      <c r="S1616" s="49"/>
      <c r="T1616" s="49"/>
      <c r="U1616" s="49"/>
      <c r="V1616" s="49"/>
      <c r="W1616" s="49"/>
      <c r="X1616" s="49"/>
      <c r="Y1616" s="49"/>
      <c r="Z1616" s="49"/>
      <c r="AA1616" s="49"/>
      <c r="AB1616" s="49"/>
      <c r="AC1616" s="49"/>
      <c r="AD1616" s="49"/>
      <c r="AE1616" s="49"/>
      <c r="AF1616" s="49"/>
      <c r="AG1616" s="49"/>
      <c r="AH1616" s="49" t="b">
        <f>IFERROR(__xludf.DUMMYFUNCTION("""COMPUTED_VALUE"""),FALSE)</f>
        <v>0</v>
      </c>
    </row>
    <row r="1617">
      <c r="A1617" s="49"/>
      <c r="B1617" s="49"/>
      <c r="C1617" s="49"/>
      <c r="D1617" s="49"/>
      <c r="E1617" s="49">
        <f>IFERROR(__xludf.DUMMYFUNCTION("""COMPUTED_VALUE"""),1.0)</f>
        <v>1</v>
      </c>
      <c r="F1617" s="112">
        <f>IFERROR(__xludf.DUMMYFUNCTION("""COMPUTED_VALUE"""),0.0)</f>
        <v>0</v>
      </c>
      <c r="G1617" s="49"/>
      <c r="H1617" s="49"/>
      <c r="I1617" s="49"/>
      <c r="J1617" s="49"/>
      <c r="K1617" s="49"/>
      <c r="L1617" s="49"/>
      <c r="M1617" s="49"/>
      <c r="N1617" s="49"/>
      <c r="O1617" s="49"/>
      <c r="P1617" s="49"/>
      <c r="Q1617" s="49"/>
      <c r="R1617" s="49"/>
      <c r="S1617" s="49"/>
      <c r="T1617" s="49"/>
      <c r="U1617" s="49"/>
      <c r="V1617" s="49"/>
      <c r="W1617" s="49"/>
      <c r="X1617" s="49"/>
      <c r="Y1617" s="49"/>
      <c r="Z1617" s="49"/>
      <c r="AA1617" s="49"/>
      <c r="AB1617" s="49"/>
      <c r="AC1617" s="49"/>
      <c r="AD1617" s="49"/>
      <c r="AE1617" s="49"/>
      <c r="AF1617" s="49"/>
      <c r="AG1617" s="49"/>
      <c r="AH1617" s="49" t="b">
        <f>IFERROR(__xludf.DUMMYFUNCTION("""COMPUTED_VALUE"""),FALSE)</f>
        <v>0</v>
      </c>
    </row>
    <row r="1618">
      <c r="A1618" s="49"/>
      <c r="B1618" s="49"/>
      <c r="C1618" s="49"/>
      <c r="D1618" s="49"/>
      <c r="E1618" s="49">
        <f>IFERROR(__xludf.DUMMYFUNCTION("""COMPUTED_VALUE"""),1.0)</f>
        <v>1</v>
      </c>
      <c r="F1618" s="112">
        <f>IFERROR(__xludf.DUMMYFUNCTION("""COMPUTED_VALUE"""),0.0)</f>
        <v>0</v>
      </c>
      <c r="G1618" s="49"/>
      <c r="H1618" s="49"/>
      <c r="I1618" s="49"/>
      <c r="J1618" s="49"/>
      <c r="K1618" s="49"/>
      <c r="L1618" s="49"/>
      <c r="M1618" s="49"/>
      <c r="N1618" s="49"/>
      <c r="O1618" s="49"/>
      <c r="P1618" s="49"/>
      <c r="Q1618" s="49"/>
      <c r="R1618" s="49"/>
      <c r="S1618" s="49"/>
      <c r="T1618" s="49"/>
      <c r="U1618" s="49"/>
      <c r="V1618" s="49"/>
      <c r="W1618" s="49"/>
      <c r="X1618" s="49"/>
      <c r="Y1618" s="49"/>
      <c r="Z1618" s="49"/>
      <c r="AA1618" s="49"/>
      <c r="AB1618" s="49"/>
      <c r="AC1618" s="49"/>
      <c r="AD1618" s="49"/>
      <c r="AE1618" s="49"/>
      <c r="AF1618" s="49"/>
      <c r="AG1618" s="49"/>
      <c r="AH1618" s="49" t="b">
        <f>IFERROR(__xludf.DUMMYFUNCTION("""COMPUTED_VALUE"""),FALSE)</f>
        <v>0</v>
      </c>
    </row>
    <row r="1619">
      <c r="A1619" s="49"/>
      <c r="B1619" s="49"/>
      <c r="C1619" s="49"/>
      <c r="D1619" s="49"/>
      <c r="E1619" s="49">
        <f>IFERROR(__xludf.DUMMYFUNCTION("""COMPUTED_VALUE"""),1.0)</f>
        <v>1</v>
      </c>
      <c r="F1619" s="112">
        <f>IFERROR(__xludf.DUMMYFUNCTION("""COMPUTED_VALUE"""),0.0)</f>
        <v>0</v>
      </c>
      <c r="G1619" s="49"/>
      <c r="H1619" s="49"/>
      <c r="I1619" s="49"/>
      <c r="J1619" s="49"/>
      <c r="K1619" s="49"/>
      <c r="L1619" s="49"/>
      <c r="M1619" s="49"/>
      <c r="N1619" s="49"/>
      <c r="O1619" s="49"/>
      <c r="P1619" s="49"/>
      <c r="Q1619" s="49"/>
      <c r="R1619" s="49"/>
      <c r="S1619" s="49"/>
      <c r="T1619" s="49"/>
      <c r="U1619" s="49"/>
      <c r="V1619" s="49"/>
      <c r="W1619" s="49"/>
      <c r="X1619" s="49"/>
      <c r="Y1619" s="49"/>
      <c r="Z1619" s="49"/>
      <c r="AA1619" s="49"/>
      <c r="AB1619" s="49"/>
      <c r="AC1619" s="49"/>
      <c r="AD1619" s="49"/>
      <c r="AE1619" s="49"/>
      <c r="AF1619" s="49"/>
      <c r="AG1619" s="49"/>
      <c r="AH1619" s="49" t="b">
        <f>IFERROR(__xludf.DUMMYFUNCTION("""COMPUTED_VALUE"""),FALSE)</f>
        <v>0</v>
      </c>
    </row>
    <row r="1620">
      <c r="A1620" s="49"/>
      <c r="B1620" s="49"/>
      <c r="C1620" s="49"/>
      <c r="D1620" s="49"/>
      <c r="E1620" s="49">
        <f>IFERROR(__xludf.DUMMYFUNCTION("""COMPUTED_VALUE"""),1.0)</f>
        <v>1</v>
      </c>
      <c r="F1620" s="112">
        <f>IFERROR(__xludf.DUMMYFUNCTION("""COMPUTED_VALUE"""),0.0)</f>
        <v>0</v>
      </c>
      <c r="G1620" s="49"/>
      <c r="H1620" s="49"/>
      <c r="I1620" s="49"/>
      <c r="J1620" s="49"/>
      <c r="K1620" s="49"/>
      <c r="L1620" s="49"/>
      <c r="M1620" s="49"/>
      <c r="N1620" s="49"/>
      <c r="O1620" s="49"/>
      <c r="P1620" s="49"/>
      <c r="Q1620" s="49"/>
      <c r="R1620" s="49"/>
      <c r="S1620" s="49"/>
      <c r="T1620" s="49"/>
      <c r="U1620" s="49"/>
      <c r="V1620" s="49"/>
      <c r="W1620" s="49"/>
      <c r="X1620" s="49"/>
      <c r="Y1620" s="49"/>
      <c r="Z1620" s="49"/>
      <c r="AA1620" s="49"/>
      <c r="AB1620" s="49"/>
      <c r="AC1620" s="49"/>
      <c r="AD1620" s="49"/>
      <c r="AE1620" s="49"/>
      <c r="AF1620" s="49"/>
      <c r="AG1620" s="49"/>
      <c r="AH1620" s="49" t="b">
        <f>IFERROR(__xludf.DUMMYFUNCTION("""COMPUTED_VALUE"""),FALSE)</f>
        <v>0</v>
      </c>
    </row>
    <row r="1621">
      <c r="A1621" s="49"/>
      <c r="B1621" s="49"/>
      <c r="C1621" s="49"/>
      <c r="D1621" s="49"/>
      <c r="E1621" s="49">
        <f>IFERROR(__xludf.DUMMYFUNCTION("""COMPUTED_VALUE"""),1.0)</f>
        <v>1</v>
      </c>
      <c r="F1621" s="112">
        <f>IFERROR(__xludf.DUMMYFUNCTION("""COMPUTED_VALUE"""),0.0)</f>
        <v>0</v>
      </c>
      <c r="G1621" s="49"/>
      <c r="H1621" s="49"/>
      <c r="I1621" s="49"/>
      <c r="J1621" s="49"/>
      <c r="K1621" s="49"/>
      <c r="L1621" s="49"/>
      <c r="M1621" s="49"/>
      <c r="N1621" s="49"/>
      <c r="O1621" s="49"/>
      <c r="P1621" s="49"/>
      <c r="Q1621" s="49"/>
      <c r="R1621" s="49"/>
      <c r="S1621" s="49"/>
      <c r="T1621" s="49"/>
      <c r="U1621" s="49"/>
      <c r="V1621" s="49"/>
      <c r="W1621" s="49"/>
      <c r="X1621" s="49"/>
      <c r="Y1621" s="49"/>
      <c r="Z1621" s="49"/>
      <c r="AA1621" s="49"/>
      <c r="AB1621" s="49"/>
      <c r="AC1621" s="49"/>
      <c r="AD1621" s="49"/>
      <c r="AE1621" s="49"/>
      <c r="AF1621" s="49"/>
      <c r="AG1621" s="49"/>
      <c r="AH1621" s="49" t="b">
        <f>IFERROR(__xludf.DUMMYFUNCTION("""COMPUTED_VALUE"""),FALSE)</f>
        <v>0</v>
      </c>
    </row>
    <row r="1622">
      <c r="A1622" s="49"/>
      <c r="B1622" s="49"/>
      <c r="C1622" s="49"/>
      <c r="D1622" s="49"/>
      <c r="E1622" s="49">
        <f>IFERROR(__xludf.DUMMYFUNCTION("""COMPUTED_VALUE"""),1.0)</f>
        <v>1</v>
      </c>
      <c r="F1622" s="112">
        <f>IFERROR(__xludf.DUMMYFUNCTION("""COMPUTED_VALUE"""),0.0)</f>
        <v>0</v>
      </c>
      <c r="G1622" s="49"/>
      <c r="H1622" s="49"/>
      <c r="I1622" s="49"/>
      <c r="J1622" s="49"/>
      <c r="K1622" s="49"/>
      <c r="L1622" s="49"/>
      <c r="M1622" s="49"/>
      <c r="N1622" s="49"/>
      <c r="O1622" s="49"/>
      <c r="P1622" s="49"/>
      <c r="Q1622" s="49"/>
      <c r="R1622" s="49"/>
      <c r="S1622" s="49"/>
      <c r="T1622" s="49"/>
      <c r="U1622" s="49"/>
      <c r="V1622" s="49"/>
      <c r="W1622" s="49"/>
      <c r="X1622" s="49"/>
      <c r="Y1622" s="49"/>
      <c r="Z1622" s="49"/>
      <c r="AA1622" s="49"/>
      <c r="AB1622" s="49"/>
      <c r="AC1622" s="49"/>
      <c r="AD1622" s="49"/>
      <c r="AE1622" s="49"/>
      <c r="AF1622" s="49"/>
      <c r="AG1622" s="49"/>
      <c r="AH1622" s="49" t="b">
        <f>IFERROR(__xludf.DUMMYFUNCTION("""COMPUTED_VALUE"""),FALSE)</f>
        <v>0</v>
      </c>
    </row>
    <row r="1623">
      <c r="A1623" s="49"/>
      <c r="B1623" s="49"/>
      <c r="C1623" s="49"/>
      <c r="D1623" s="49"/>
      <c r="E1623" s="49">
        <f>IFERROR(__xludf.DUMMYFUNCTION("""COMPUTED_VALUE"""),1.0)</f>
        <v>1</v>
      </c>
      <c r="F1623" s="112">
        <f>IFERROR(__xludf.DUMMYFUNCTION("""COMPUTED_VALUE"""),0.0)</f>
        <v>0</v>
      </c>
      <c r="G1623" s="49"/>
      <c r="H1623" s="49"/>
      <c r="I1623" s="49"/>
      <c r="J1623" s="49"/>
      <c r="K1623" s="49"/>
      <c r="L1623" s="49"/>
      <c r="M1623" s="49"/>
      <c r="N1623" s="49"/>
      <c r="O1623" s="49"/>
      <c r="P1623" s="49"/>
      <c r="Q1623" s="49"/>
      <c r="R1623" s="49"/>
      <c r="S1623" s="49"/>
      <c r="T1623" s="49"/>
      <c r="U1623" s="49"/>
      <c r="V1623" s="49"/>
      <c r="W1623" s="49"/>
      <c r="X1623" s="49"/>
      <c r="Y1623" s="49"/>
      <c r="Z1623" s="49"/>
      <c r="AA1623" s="49"/>
      <c r="AB1623" s="49"/>
      <c r="AC1623" s="49"/>
      <c r="AD1623" s="49"/>
      <c r="AE1623" s="49"/>
      <c r="AF1623" s="49"/>
      <c r="AG1623" s="49"/>
      <c r="AH1623" s="49" t="b">
        <f>IFERROR(__xludf.DUMMYFUNCTION("""COMPUTED_VALUE"""),FALSE)</f>
        <v>0</v>
      </c>
    </row>
    <row r="1624">
      <c r="A1624" s="49"/>
      <c r="B1624" s="49"/>
      <c r="C1624" s="49"/>
      <c r="D1624" s="49"/>
      <c r="E1624" s="49">
        <f>IFERROR(__xludf.DUMMYFUNCTION("""COMPUTED_VALUE"""),1.0)</f>
        <v>1</v>
      </c>
      <c r="F1624" s="112">
        <f>IFERROR(__xludf.DUMMYFUNCTION("""COMPUTED_VALUE"""),0.0)</f>
        <v>0</v>
      </c>
      <c r="G1624" s="49"/>
      <c r="H1624" s="49"/>
      <c r="I1624" s="49"/>
      <c r="J1624" s="49"/>
      <c r="K1624" s="49"/>
      <c r="L1624" s="49"/>
      <c r="M1624" s="49"/>
      <c r="N1624" s="49"/>
      <c r="O1624" s="49"/>
      <c r="P1624" s="49"/>
      <c r="Q1624" s="49"/>
      <c r="R1624" s="49"/>
      <c r="S1624" s="49"/>
      <c r="T1624" s="49"/>
      <c r="U1624" s="49"/>
      <c r="V1624" s="49"/>
      <c r="W1624" s="49"/>
      <c r="X1624" s="49"/>
      <c r="Y1624" s="49"/>
      <c r="Z1624" s="49"/>
      <c r="AA1624" s="49"/>
      <c r="AB1624" s="49"/>
      <c r="AC1624" s="49"/>
      <c r="AD1624" s="49"/>
      <c r="AE1624" s="49"/>
      <c r="AF1624" s="49"/>
      <c r="AG1624" s="49"/>
      <c r="AH1624" s="49" t="b">
        <f>IFERROR(__xludf.DUMMYFUNCTION("""COMPUTED_VALUE"""),FALSE)</f>
        <v>0</v>
      </c>
    </row>
    <row r="1625">
      <c r="A1625" s="49"/>
      <c r="B1625" s="49"/>
      <c r="C1625" s="49"/>
      <c r="D1625" s="49"/>
      <c r="E1625" s="49">
        <f>IFERROR(__xludf.DUMMYFUNCTION("""COMPUTED_VALUE"""),1.0)</f>
        <v>1</v>
      </c>
      <c r="F1625" s="112">
        <f>IFERROR(__xludf.DUMMYFUNCTION("""COMPUTED_VALUE"""),0.0)</f>
        <v>0</v>
      </c>
      <c r="G1625" s="49"/>
      <c r="H1625" s="49"/>
      <c r="I1625" s="49"/>
      <c r="J1625" s="49"/>
      <c r="K1625" s="49"/>
      <c r="L1625" s="49"/>
      <c r="M1625" s="49"/>
      <c r="N1625" s="49"/>
      <c r="O1625" s="49"/>
      <c r="P1625" s="49"/>
      <c r="Q1625" s="49"/>
      <c r="R1625" s="49"/>
      <c r="S1625" s="49"/>
      <c r="T1625" s="49"/>
      <c r="U1625" s="49"/>
      <c r="V1625" s="49"/>
      <c r="W1625" s="49"/>
      <c r="X1625" s="49"/>
      <c r="Y1625" s="49"/>
      <c r="Z1625" s="49"/>
      <c r="AA1625" s="49"/>
      <c r="AB1625" s="49"/>
      <c r="AC1625" s="49"/>
      <c r="AD1625" s="49"/>
      <c r="AE1625" s="49"/>
      <c r="AF1625" s="49"/>
      <c r="AG1625" s="49"/>
      <c r="AH1625" s="49" t="b">
        <f>IFERROR(__xludf.DUMMYFUNCTION("""COMPUTED_VALUE"""),FALSE)</f>
        <v>0</v>
      </c>
    </row>
    <row r="1626">
      <c r="A1626" s="49"/>
      <c r="B1626" s="49"/>
      <c r="C1626" s="49"/>
      <c r="D1626" s="49"/>
      <c r="E1626" s="49">
        <f>IFERROR(__xludf.DUMMYFUNCTION("""COMPUTED_VALUE"""),1.0)</f>
        <v>1</v>
      </c>
      <c r="F1626" s="112">
        <f>IFERROR(__xludf.DUMMYFUNCTION("""COMPUTED_VALUE"""),0.0)</f>
        <v>0</v>
      </c>
      <c r="G1626" s="49"/>
      <c r="H1626" s="49"/>
      <c r="I1626" s="49"/>
      <c r="J1626" s="49"/>
      <c r="K1626" s="49"/>
      <c r="L1626" s="49"/>
      <c r="M1626" s="49"/>
      <c r="N1626" s="49"/>
      <c r="O1626" s="49"/>
      <c r="P1626" s="49"/>
      <c r="Q1626" s="49"/>
      <c r="R1626" s="49"/>
      <c r="S1626" s="49"/>
      <c r="T1626" s="49"/>
      <c r="U1626" s="49"/>
      <c r="V1626" s="49"/>
      <c r="W1626" s="49"/>
      <c r="X1626" s="49"/>
      <c r="Y1626" s="49"/>
      <c r="Z1626" s="49"/>
      <c r="AA1626" s="49"/>
      <c r="AB1626" s="49"/>
      <c r="AC1626" s="49"/>
      <c r="AD1626" s="49"/>
      <c r="AE1626" s="49"/>
      <c r="AF1626" s="49"/>
      <c r="AG1626" s="49"/>
      <c r="AH1626" s="49" t="b">
        <f>IFERROR(__xludf.DUMMYFUNCTION("""COMPUTED_VALUE"""),FALSE)</f>
        <v>0</v>
      </c>
    </row>
    <row r="1627">
      <c r="A1627" s="49"/>
      <c r="B1627" s="49"/>
      <c r="C1627" s="49"/>
      <c r="D1627" s="49"/>
      <c r="E1627" s="49">
        <f>IFERROR(__xludf.DUMMYFUNCTION("""COMPUTED_VALUE"""),1.0)</f>
        <v>1</v>
      </c>
      <c r="F1627" s="112">
        <f>IFERROR(__xludf.DUMMYFUNCTION("""COMPUTED_VALUE"""),0.0)</f>
        <v>0</v>
      </c>
      <c r="G1627" s="49"/>
      <c r="H1627" s="49"/>
      <c r="I1627" s="49"/>
      <c r="J1627" s="49"/>
      <c r="K1627" s="49"/>
      <c r="L1627" s="49"/>
      <c r="M1627" s="49"/>
      <c r="N1627" s="49"/>
      <c r="O1627" s="49"/>
      <c r="P1627" s="49"/>
      <c r="Q1627" s="49"/>
      <c r="R1627" s="49"/>
      <c r="S1627" s="49"/>
      <c r="T1627" s="49"/>
      <c r="U1627" s="49"/>
      <c r="V1627" s="49"/>
      <c r="W1627" s="49"/>
      <c r="X1627" s="49"/>
      <c r="Y1627" s="49"/>
      <c r="Z1627" s="49"/>
      <c r="AA1627" s="49"/>
      <c r="AB1627" s="49"/>
      <c r="AC1627" s="49"/>
      <c r="AD1627" s="49"/>
      <c r="AE1627" s="49"/>
      <c r="AF1627" s="49"/>
      <c r="AG1627" s="49"/>
      <c r="AH1627" s="49" t="b">
        <f>IFERROR(__xludf.DUMMYFUNCTION("""COMPUTED_VALUE"""),FALSE)</f>
        <v>0</v>
      </c>
    </row>
    <row r="1628">
      <c r="A1628" s="49"/>
      <c r="B1628" s="49"/>
      <c r="C1628" s="49"/>
      <c r="D1628" s="49"/>
      <c r="E1628" s="49">
        <f>IFERROR(__xludf.DUMMYFUNCTION("""COMPUTED_VALUE"""),1.0)</f>
        <v>1</v>
      </c>
      <c r="F1628" s="112">
        <f>IFERROR(__xludf.DUMMYFUNCTION("""COMPUTED_VALUE"""),0.0)</f>
        <v>0</v>
      </c>
      <c r="G1628" s="49"/>
      <c r="H1628" s="49"/>
      <c r="I1628" s="49"/>
      <c r="J1628" s="49"/>
      <c r="K1628" s="49"/>
      <c r="L1628" s="49"/>
      <c r="M1628" s="49"/>
      <c r="N1628" s="49"/>
      <c r="O1628" s="49"/>
      <c r="P1628" s="49"/>
      <c r="Q1628" s="49"/>
      <c r="R1628" s="49"/>
      <c r="S1628" s="49"/>
      <c r="T1628" s="49"/>
      <c r="U1628" s="49"/>
      <c r="V1628" s="49"/>
      <c r="W1628" s="49"/>
      <c r="X1628" s="49"/>
      <c r="Y1628" s="49"/>
      <c r="Z1628" s="49"/>
      <c r="AA1628" s="49"/>
      <c r="AB1628" s="49"/>
      <c r="AC1628" s="49"/>
      <c r="AD1628" s="49"/>
      <c r="AE1628" s="49"/>
      <c r="AF1628" s="49"/>
      <c r="AG1628" s="49"/>
      <c r="AH1628" s="49" t="b">
        <f>IFERROR(__xludf.DUMMYFUNCTION("""COMPUTED_VALUE"""),FALSE)</f>
        <v>0</v>
      </c>
    </row>
    <row r="1629">
      <c r="A1629" s="49"/>
      <c r="B1629" s="49"/>
      <c r="C1629" s="49"/>
      <c r="D1629" s="49"/>
      <c r="E1629" s="49">
        <f>IFERROR(__xludf.DUMMYFUNCTION("""COMPUTED_VALUE"""),1.0)</f>
        <v>1</v>
      </c>
      <c r="F1629" s="112">
        <f>IFERROR(__xludf.DUMMYFUNCTION("""COMPUTED_VALUE"""),0.0)</f>
        <v>0</v>
      </c>
      <c r="G1629" s="49"/>
      <c r="H1629" s="49"/>
      <c r="I1629" s="49"/>
      <c r="J1629" s="49"/>
      <c r="K1629" s="49"/>
      <c r="L1629" s="49"/>
      <c r="M1629" s="49"/>
      <c r="N1629" s="49"/>
      <c r="O1629" s="49"/>
      <c r="P1629" s="49"/>
      <c r="Q1629" s="49"/>
      <c r="R1629" s="49"/>
      <c r="S1629" s="49"/>
      <c r="T1629" s="49"/>
      <c r="U1629" s="49"/>
      <c r="V1629" s="49"/>
      <c r="W1629" s="49"/>
      <c r="X1629" s="49"/>
      <c r="Y1629" s="49"/>
      <c r="Z1629" s="49"/>
      <c r="AA1629" s="49"/>
      <c r="AB1629" s="49"/>
      <c r="AC1629" s="49"/>
      <c r="AD1629" s="49"/>
      <c r="AE1629" s="49"/>
      <c r="AF1629" s="49"/>
      <c r="AG1629" s="49"/>
      <c r="AH1629" s="49" t="b">
        <f>IFERROR(__xludf.DUMMYFUNCTION("""COMPUTED_VALUE"""),FALSE)</f>
        <v>0</v>
      </c>
    </row>
    <row r="1630">
      <c r="A1630" s="49"/>
      <c r="B1630" s="49"/>
      <c r="C1630" s="49"/>
      <c r="D1630" s="49"/>
      <c r="E1630" s="49">
        <f>IFERROR(__xludf.DUMMYFUNCTION("""COMPUTED_VALUE"""),1.0)</f>
        <v>1</v>
      </c>
      <c r="F1630" s="112">
        <f>IFERROR(__xludf.DUMMYFUNCTION("""COMPUTED_VALUE"""),0.0)</f>
        <v>0</v>
      </c>
      <c r="G1630" s="49"/>
      <c r="H1630" s="49"/>
      <c r="I1630" s="49"/>
      <c r="J1630" s="49"/>
      <c r="K1630" s="49"/>
      <c r="L1630" s="49"/>
      <c r="M1630" s="49"/>
      <c r="N1630" s="49"/>
      <c r="O1630" s="49"/>
      <c r="P1630" s="49"/>
      <c r="Q1630" s="49"/>
      <c r="R1630" s="49"/>
      <c r="S1630" s="49"/>
      <c r="T1630" s="49"/>
      <c r="U1630" s="49"/>
      <c r="V1630" s="49"/>
      <c r="W1630" s="49"/>
      <c r="X1630" s="49"/>
      <c r="Y1630" s="49"/>
      <c r="Z1630" s="49"/>
      <c r="AA1630" s="49"/>
      <c r="AB1630" s="49"/>
      <c r="AC1630" s="49"/>
      <c r="AD1630" s="49"/>
      <c r="AE1630" s="49"/>
      <c r="AF1630" s="49"/>
      <c r="AG1630" s="49"/>
      <c r="AH1630" s="49" t="b">
        <f>IFERROR(__xludf.DUMMYFUNCTION("""COMPUTED_VALUE"""),FALSE)</f>
        <v>0</v>
      </c>
    </row>
    <row r="1631">
      <c r="A1631" s="49"/>
      <c r="B1631" s="49"/>
      <c r="C1631" s="49"/>
      <c r="D1631" s="49"/>
      <c r="E1631" s="49">
        <f>IFERROR(__xludf.DUMMYFUNCTION("""COMPUTED_VALUE"""),1.0)</f>
        <v>1</v>
      </c>
      <c r="F1631" s="112">
        <f>IFERROR(__xludf.DUMMYFUNCTION("""COMPUTED_VALUE"""),0.0)</f>
        <v>0</v>
      </c>
      <c r="G1631" s="49"/>
      <c r="H1631" s="49"/>
      <c r="I1631" s="49"/>
      <c r="J1631" s="49"/>
      <c r="K1631" s="49"/>
      <c r="L1631" s="49"/>
      <c r="M1631" s="49"/>
      <c r="N1631" s="49"/>
      <c r="O1631" s="49"/>
      <c r="P1631" s="49"/>
      <c r="Q1631" s="49"/>
      <c r="R1631" s="49"/>
      <c r="S1631" s="49"/>
      <c r="T1631" s="49"/>
      <c r="U1631" s="49"/>
      <c r="V1631" s="49"/>
      <c r="W1631" s="49"/>
      <c r="X1631" s="49"/>
      <c r="Y1631" s="49"/>
      <c r="Z1631" s="49"/>
      <c r="AA1631" s="49"/>
      <c r="AB1631" s="49"/>
      <c r="AC1631" s="49"/>
      <c r="AD1631" s="49"/>
      <c r="AE1631" s="49"/>
      <c r="AF1631" s="49"/>
      <c r="AG1631" s="49"/>
      <c r="AH1631" s="49" t="b">
        <f>IFERROR(__xludf.DUMMYFUNCTION("""COMPUTED_VALUE"""),FALSE)</f>
        <v>0</v>
      </c>
    </row>
    <row r="1632">
      <c r="A1632" s="49"/>
      <c r="B1632" s="49"/>
      <c r="C1632" s="49"/>
      <c r="D1632" s="49"/>
      <c r="E1632" s="49">
        <f>IFERROR(__xludf.DUMMYFUNCTION("""COMPUTED_VALUE"""),1.0)</f>
        <v>1</v>
      </c>
      <c r="F1632" s="112">
        <f>IFERROR(__xludf.DUMMYFUNCTION("""COMPUTED_VALUE"""),0.0)</f>
        <v>0</v>
      </c>
      <c r="G1632" s="49"/>
      <c r="H1632" s="49"/>
      <c r="I1632" s="49"/>
      <c r="J1632" s="49"/>
      <c r="K1632" s="49"/>
      <c r="L1632" s="49"/>
      <c r="M1632" s="49"/>
      <c r="N1632" s="49"/>
      <c r="O1632" s="49"/>
      <c r="P1632" s="49"/>
      <c r="Q1632" s="49"/>
      <c r="R1632" s="49"/>
      <c r="S1632" s="49"/>
      <c r="T1632" s="49"/>
      <c r="U1632" s="49"/>
      <c r="V1632" s="49"/>
      <c r="W1632" s="49"/>
      <c r="X1632" s="49"/>
      <c r="Y1632" s="49"/>
      <c r="Z1632" s="49"/>
      <c r="AA1632" s="49"/>
      <c r="AB1632" s="49"/>
      <c r="AC1632" s="49"/>
      <c r="AD1632" s="49"/>
      <c r="AE1632" s="49"/>
      <c r="AF1632" s="49"/>
      <c r="AG1632" s="49"/>
      <c r="AH1632" s="49" t="b">
        <f>IFERROR(__xludf.DUMMYFUNCTION("""COMPUTED_VALUE"""),FALSE)</f>
        <v>0</v>
      </c>
    </row>
    <row r="1633">
      <c r="A1633" s="49"/>
      <c r="B1633" s="49"/>
      <c r="C1633" s="49"/>
      <c r="D1633" s="49"/>
      <c r="E1633" s="49">
        <f>IFERROR(__xludf.DUMMYFUNCTION("""COMPUTED_VALUE"""),1.0)</f>
        <v>1</v>
      </c>
      <c r="F1633" s="112">
        <f>IFERROR(__xludf.DUMMYFUNCTION("""COMPUTED_VALUE"""),0.0)</f>
        <v>0</v>
      </c>
      <c r="G1633" s="49"/>
      <c r="H1633" s="49"/>
      <c r="I1633" s="49"/>
      <c r="J1633" s="49"/>
      <c r="K1633" s="49"/>
      <c r="L1633" s="49"/>
      <c r="M1633" s="49"/>
      <c r="N1633" s="49"/>
      <c r="O1633" s="49"/>
      <c r="P1633" s="49"/>
      <c r="Q1633" s="49"/>
      <c r="R1633" s="49"/>
      <c r="S1633" s="49"/>
      <c r="T1633" s="49"/>
      <c r="U1633" s="49"/>
      <c r="V1633" s="49"/>
      <c r="W1633" s="49"/>
      <c r="X1633" s="49"/>
      <c r="Y1633" s="49"/>
      <c r="Z1633" s="49"/>
      <c r="AA1633" s="49"/>
      <c r="AB1633" s="49"/>
      <c r="AC1633" s="49"/>
      <c r="AD1633" s="49"/>
      <c r="AE1633" s="49"/>
      <c r="AF1633" s="49"/>
      <c r="AG1633" s="49"/>
      <c r="AH1633" s="49" t="b">
        <f>IFERROR(__xludf.DUMMYFUNCTION("""COMPUTED_VALUE"""),FALSE)</f>
        <v>0</v>
      </c>
    </row>
    <row r="1634">
      <c r="A1634" s="49"/>
      <c r="B1634" s="49"/>
      <c r="C1634" s="49"/>
      <c r="D1634" s="49"/>
      <c r="E1634" s="49">
        <f>IFERROR(__xludf.DUMMYFUNCTION("""COMPUTED_VALUE"""),1.0)</f>
        <v>1</v>
      </c>
      <c r="F1634" s="112">
        <f>IFERROR(__xludf.DUMMYFUNCTION("""COMPUTED_VALUE"""),0.0)</f>
        <v>0</v>
      </c>
      <c r="G1634" s="49"/>
      <c r="H1634" s="49"/>
      <c r="I1634" s="49"/>
      <c r="J1634" s="49"/>
      <c r="K1634" s="49"/>
      <c r="L1634" s="49"/>
      <c r="M1634" s="49"/>
      <c r="N1634" s="49"/>
      <c r="O1634" s="49"/>
      <c r="P1634" s="49"/>
      <c r="Q1634" s="49"/>
      <c r="R1634" s="49"/>
      <c r="S1634" s="49"/>
      <c r="T1634" s="49"/>
      <c r="U1634" s="49"/>
      <c r="V1634" s="49"/>
      <c r="W1634" s="49"/>
      <c r="X1634" s="49"/>
      <c r="Y1634" s="49"/>
      <c r="Z1634" s="49"/>
      <c r="AA1634" s="49"/>
      <c r="AB1634" s="49"/>
      <c r="AC1634" s="49"/>
      <c r="AD1634" s="49"/>
      <c r="AE1634" s="49"/>
      <c r="AF1634" s="49"/>
      <c r="AG1634" s="49"/>
      <c r="AH1634" s="49" t="b">
        <f>IFERROR(__xludf.DUMMYFUNCTION("""COMPUTED_VALUE"""),FALSE)</f>
        <v>0</v>
      </c>
    </row>
    <row r="1635">
      <c r="A1635" s="49"/>
      <c r="B1635" s="49"/>
      <c r="C1635" s="49"/>
      <c r="D1635" s="49"/>
      <c r="E1635" s="49">
        <f>IFERROR(__xludf.DUMMYFUNCTION("""COMPUTED_VALUE"""),1.0)</f>
        <v>1</v>
      </c>
      <c r="F1635" s="112">
        <f>IFERROR(__xludf.DUMMYFUNCTION("""COMPUTED_VALUE"""),0.0)</f>
        <v>0</v>
      </c>
      <c r="G1635" s="49"/>
      <c r="H1635" s="49"/>
      <c r="I1635" s="49"/>
      <c r="J1635" s="49"/>
      <c r="K1635" s="49"/>
      <c r="L1635" s="49"/>
      <c r="M1635" s="49"/>
      <c r="N1635" s="49"/>
      <c r="O1635" s="49"/>
      <c r="P1635" s="49"/>
      <c r="Q1635" s="49"/>
      <c r="R1635" s="49"/>
      <c r="S1635" s="49"/>
      <c r="T1635" s="49"/>
      <c r="U1635" s="49"/>
      <c r="V1635" s="49"/>
      <c r="W1635" s="49"/>
      <c r="X1635" s="49"/>
      <c r="Y1635" s="49"/>
      <c r="Z1635" s="49"/>
      <c r="AA1635" s="49"/>
      <c r="AB1635" s="49"/>
      <c r="AC1635" s="49"/>
      <c r="AD1635" s="49"/>
      <c r="AE1635" s="49"/>
      <c r="AF1635" s="49"/>
      <c r="AG1635" s="49"/>
      <c r="AH1635" s="49" t="b">
        <f>IFERROR(__xludf.DUMMYFUNCTION("""COMPUTED_VALUE"""),FALSE)</f>
        <v>0</v>
      </c>
    </row>
    <row r="1636">
      <c r="A1636" s="49"/>
      <c r="B1636" s="49"/>
      <c r="C1636" s="49"/>
      <c r="D1636" s="49"/>
      <c r="E1636" s="49">
        <f>IFERROR(__xludf.DUMMYFUNCTION("""COMPUTED_VALUE"""),1.0)</f>
        <v>1</v>
      </c>
      <c r="F1636" s="112">
        <f>IFERROR(__xludf.DUMMYFUNCTION("""COMPUTED_VALUE"""),0.0)</f>
        <v>0</v>
      </c>
      <c r="G1636" s="49"/>
      <c r="H1636" s="49"/>
      <c r="I1636" s="49"/>
      <c r="J1636" s="49"/>
      <c r="K1636" s="49"/>
      <c r="L1636" s="49"/>
      <c r="M1636" s="49"/>
      <c r="N1636" s="49"/>
      <c r="O1636" s="49"/>
      <c r="P1636" s="49"/>
      <c r="Q1636" s="49"/>
      <c r="R1636" s="49"/>
      <c r="S1636" s="49"/>
      <c r="T1636" s="49"/>
      <c r="U1636" s="49"/>
      <c r="V1636" s="49"/>
      <c r="W1636" s="49"/>
      <c r="X1636" s="49"/>
      <c r="Y1636" s="49"/>
      <c r="Z1636" s="49"/>
      <c r="AA1636" s="49"/>
      <c r="AB1636" s="49"/>
      <c r="AC1636" s="49"/>
      <c r="AD1636" s="49"/>
      <c r="AE1636" s="49"/>
      <c r="AF1636" s="49"/>
      <c r="AG1636" s="49"/>
      <c r="AH1636" s="49" t="b">
        <f>IFERROR(__xludf.DUMMYFUNCTION("""COMPUTED_VALUE"""),FALSE)</f>
        <v>0</v>
      </c>
    </row>
    <row r="1637">
      <c r="A1637" s="49"/>
      <c r="B1637" s="49"/>
      <c r="C1637" s="49"/>
      <c r="D1637" s="49"/>
      <c r="E1637" s="49">
        <f>IFERROR(__xludf.DUMMYFUNCTION("""COMPUTED_VALUE"""),1.0)</f>
        <v>1</v>
      </c>
      <c r="F1637" s="112">
        <f>IFERROR(__xludf.DUMMYFUNCTION("""COMPUTED_VALUE"""),0.0)</f>
        <v>0</v>
      </c>
      <c r="G1637" s="49"/>
      <c r="H1637" s="49"/>
      <c r="I1637" s="49"/>
      <c r="J1637" s="49"/>
      <c r="K1637" s="49"/>
      <c r="L1637" s="49"/>
      <c r="M1637" s="49"/>
      <c r="N1637" s="49"/>
      <c r="O1637" s="49"/>
      <c r="P1637" s="49"/>
      <c r="Q1637" s="49"/>
      <c r="R1637" s="49"/>
      <c r="S1637" s="49"/>
      <c r="T1637" s="49"/>
      <c r="U1637" s="49"/>
      <c r="V1637" s="49"/>
      <c r="W1637" s="49"/>
      <c r="X1637" s="49"/>
      <c r="Y1637" s="49"/>
      <c r="Z1637" s="49"/>
      <c r="AA1637" s="49"/>
      <c r="AB1637" s="49"/>
      <c r="AC1637" s="49"/>
      <c r="AD1637" s="49"/>
      <c r="AE1637" s="49"/>
      <c r="AF1637" s="49"/>
      <c r="AG1637" s="49"/>
      <c r="AH1637" s="49" t="b">
        <f>IFERROR(__xludf.DUMMYFUNCTION("""COMPUTED_VALUE"""),FALSE)</f>
        <v>0</v>
      </c>
    </row>
    <row r="1638">
      <c r="A1638" s="49"/>
      <c r="B1638" s="49"/>
      <c r="C1638" s="49"/>
      <c r="D1638" s="49"/>
      <c r="E1638" s="49">
        <f>IFERROR(__xludf.DUMMYFUNCTION("""COMPUTED_VALUE"""),1.0)</f>
        <v>1</v>
      </c>
      <c r="F1638" s="112">
        <f>IFERROR(__xludf.DUMMYFUNCTION("""COMPUTED_VALUE"""),0.0)</f>
        <v>0</v>
      </c>
      <c r="G1638" s="49"/>
      <c r="H1638" s="49"/>
      <c r="I1638" s="49"/>
      <c r="J1638" s="49"/>
      <c r="K1638" s="49"/>
      <c r="L1638" s="49"/>
      <c r="M1638" s="49"/>
      <c r="N1638" s="49"/>
      <c r="O1638" s="49"/>
      <c r="P1638" s="49"/>
      <c r="Q1638" s="49"/>
      <c r="R1638" s="49"/>
      <c r="S1638" s="49"/>
      <c r="T1638" s="49"/>
      <c r="U1638" s="49"/>
      <c r="V1638" s="49"/>
      <c r="W1638" s="49"/>
      <c r="X1638" s="49"/>
      <c r="Y1638" s="49"/>
      <c r="Z1638" s="49"/>
      <c r="AA1638" s="49"/>
      <c r="AB1638" s="49"/>
      <c r="AC1638" s="49"/>
      <c r="AD1638" s="49"/>
      <c r="AE1638" s="49"/>
      <c r="AF1638" s="49"/>
      <c r="AG1638" s="49"/>
      <c r="AH1638" s="49" t="b">
        <f>IFERROR(__xludf.DUMMYFUNCTION("""COMPUTED_VALUE"""),FALSE)</f>
        <v>0</v>
      </c>
    </row>
    <row r="1639">
      <c r="A1639" s="49"/>
      <c r="B1639" s="49"/>
      <c r="C1639" s="49"/>
      <c r="D1639" s="49"/>
      <c r="E1639" s="49">
        <f>IFERROR(__xludf.DUMMYFUNCTION("""COMPUTED_VALUE"""),1.0)</f>
        <v>1</v>
      </c>
      <c r="F1639" s="112">
        <f>IFERROR(__xludf.DUMMYFUNCTION("""COMPUTED_VALUE"""),0.0)</f>
        <v>0</v>
      </c>
      <c r="G1639" s="49"/>
      <c r="H1639" s="49"/>
      <c r="I1639" s="49"/>
      <c r="J1639" s="49"/>
      <c r="K1639" s="49"/>
      <c r="L1639" s="49"/>
      <c r="M1639" s="49"/>
      <c r="N1639" s="49"/>
      <c r="O1639" s="49"/>
      <c r="P1639" s="49"/>
      <c r="Q1639" s="49"/>
      <c r="R1639" s="49"/>
      <c r="S1639" s="49"/>
      <c r="T1639" s="49"/>
      <c r="U1639" s="49"/>
      <c r="V1639" s="49"/>
      <c r="W1639" s="49"/>
      <c r="X1639" s="49"/>
      <c r="Y1639" s="49"/>
      <c r="Z1639" s="49"/>
      <c r="AA1639" s="49"/>
      <c r="AB1639" s="49"/>
      <c r="AC1639" s="49"/>
      <c r="AD1639" s="49"/>
      <c r="AE1639" s="49"/>
      <c r="AF1639" s="49"/>
      <c r="AG1639" s="49"/>
      <c r="AH1639" s="49" t="b">
        <f>IFERROR(__xludf.DUMMYFUNCTION("""COMPUTED_VALUE"""),FALSE)</f>
        <v>0</v>
      </c>
    </row>
    <row r="1640">
      <c r="A1640" s="49"/>
      <c r="B1640" s="49"/>
      <c r="C1640" s="49"/>
      <c r="D1640" s="49"/>
      <c r="E1640" s="49">
        <f>IFERROR(__xludf.DUMMYFUNCTION("""COMPUTED_VALUE"""),1.0)</f>
        <v>1</v>
      </c>
      <c r="F1640" s="112">
        <f>IFERROR(__xludf.DUMMYFUNCTION("""COMPUTED_VALUE"""),0.0)</f>
        <v>0</v>
      </c>
      <c r="G1640" s="49"/>
      <c r="H1640" s="49"/>
      <c r="I1640" s="49"/>
      <c r="J1640" s="49"/>
      <c r="K1640" s="49"/>
      <c r="L1640" s="49"/>
      <c r="M1640" s="49"/>
      <c r="N1640" s="49"/>
      <c r="O1640" s="49"/>
      <c r="P1640" s="49"/>
      <c r="Q1640" s="49"/>
      <c r="R1640" s="49"/>
      <c r="S1640" s="49"/>
      <c r="T1640" s="49"/>
      <c r="U1640" s="49"/>
      <c r="V1640" s="49"/>
      <c r="W1640" s="49"/>
      <c r="X1640" s="49"/>
      <c r="Y1640" s="49"/>
      <c r="Z1640" s="49"/>
      <c r="AA1640" s="49"/>
      <c r="AB1640" s="49"/>
      <c r="AC1640" s="49"/>
      <c r="AD1640" s="49"/>
      <c r="AE1640" s="49"/>
      <c r="AF1640" s="49"/>
      <c r="AG1640" s="49"/>
      <c r="AH1640" s="49" t="b">
        <f>IFERROR(__xludf.DUMMYFUNCTION("""COMPUTED_VALUE"""),FALSE)</f>
        <v>0</v>
      </c>
    </row>
    <row r="1641">
      <c r="A1641" s="49"/>
      <c r="B1641" s="49"/>
      <c r="C1641" s="49"/>
      <c r="D1641" s="49"/>
      <c r="E1641" s="49">
        <f>IFERROR(__xludf.DUMMYFUNCTION("""COMPUTED_VALUE"""),1.0)</f>
        <v>1</v>
      </c>
      <c r="F1641" s="112">
        <f>IFERROR(__xludf.DUMMYFUNCTION("""COMPUTED_VALUE"""),0.0)</f>
        <v>0</v>
      </c>
      <c r="G1641" s="49"/>
      <c r="H1641" s="49"/>
      <c r="I1641" s="49"/>
      <c r="J1641" s="49"/>
      <c r="K1641" s="49"/>
      <c r="L1641" s="49"/>
      <c r="M1641" s="49"/>
      <c r="N1641" s="49"/>
      <c r="O1641" s="49"/>
      <c r="P1641" s="49"/>
      <c r="Q1641" s="49"/>
      <c r="R1641" s="49"/>
      <c r="S1641" s="49"/>
      <c r="T1641" s="49"/>
      <c r="U1641" s="49"/>
      <c r="V1641" s="49"/>
      <c r="W1641" s="49"/>
      <c r="X1641" s="49"/>
      <c r="Y1641" s="49"/>
      <c r="Z1641" s="49"/>
      <c r="AA1641" s="49"/>
      <c r="AB1641" s="49"/>
      <c r="AC1641" s="49"/>
      <c r="AD1641" s="49"/>
      <c r="AE1641" s="49"/>
      <c r="AF1641" s="49"/>
      <c r="AG1641" s="49"/>
      <c r="AH1641" s="49" t="b">
        <f>IFERROR(__xludf.DUMMYFUNCTION("""COMPUTED_VALUE"""),FALSE)</f>
        <v>0</v>
      </c>
    </row>
    <row r="1642">
      <c r="A1642" s="49"/>
      <c r="B1642" s="49"/>
      <c r="C1642" s="49"/>
      <c r="D1642" s="49"/>
      <c r="E1642" s="49">
        <f>IFERROR(__xludf.DUMMYFUNCTION("""COMPUTED_VALUE"""),1.0)</f>
        <v>1</v>
      </c>
      <c r="F1642" s="112">
        <f>IFERROR(__xludf.DUMMYFUNCTION("""COMPUTED_VALUE"""),0.0)</f>
        <v>0</v>
      </c>
      <c r="G1642" s="49"/>
      <c r="H1642" s="49"/>
      <c r="I1642" s="49"/>
      <c r="J1642" s="49"/>
      <c r="K1642" s="49"/>
      <c r="L1642" s="49"/>
      <c r="M1642" s="49"/>
      <c r="N1642" s="49"/>
      <c r="O1642" s="49"/>
      <c r="P1642" s="49"/>
      <c r="Q1642" s="49"/>
      <c r="R1642" s="49"/>
      <c r="S1642" s="49"/>
      <c r="T1642" s="49"/>
      <c r="U1642" s="49"/>
      <c r="V1642" s="49"/>
      <c r="W1642" s="49"/>
      <c r="X1642" s="49"/>
      <c r="Y1642" s="49"/>
      <c r="Z1642" s="49"/>
      <c r="AA1642" s="49"/>
      <c r="AB1642" s="49"/>
      <c r="AC1642" s="49"/>
      <c r="AD1642" s="49"/>
      <c r="AE1642" s="49"/>
      <c r="AF1642" s="49"/>
      <c r="AG1642" s="49"/>
      <c r="AH1642" s="49" t="b">
        <f>IFERROR(__xludf.DUMMYFUNCTION("""COMPUTED_VALUE"""),FALSE)</f>
        <v>0</v>
      </c>
    </row>
    <row r="1643">
      <c r="A1643" s="49"/>
      <c r="B1643" s="49"/>
      <c r="C1643" s="49"/>
      <c r="D1643" s="49"/>
      <c r="E1643" s="49">
        <f>IFERROR(__xludf.DUMMYFUNCTION("""COMPUTED_VALUE"""),1.0)</f>
        <v>1</v>
      </c>
      <c r="F1643" s="112">
        <f>IFERROR(__xludf.DUMMYFUNCTION("""COMPUTED_VALUE"""),0.0)</f>
        <v>0</v>
      </c>
      <c r="G1643" s="49"/>
      <c r="H1643" s="49"/>
      <c r="I1643" s="49"/>
      <c r="J1643" s="49"/>
      <c r="K1643" s="49"/>
      <c r="L1643" s="49"/>
      <c r="M1643" s="49"/>
      <c r="N1643" s="49"/>
      <c r="O1643" s="49"/>
      <c r="P1643" s="49"/>
      <c r="Q1643" s="49"/>
      <c r="R1643" s="49"/>
      <c r="S1643" s="49"/>
      <c r="T1643" s="49"/>
      <c r="U1643" s="49"/>
      <c r="V1643" s="49"/>
      <c r="W1643" s="49"/>
      <c r="X1643" s="49"/>
      <c r="Y1643" s="49"/>
      <c r="Z1643" s="49"/>
      <c r="AA1643" s="49"/>
      <c r="AB1643" s="49"/>
      <c r="AC1643" s="49"/>
      <c r="AD1643" s="49"/>
      <c r="AE1643" s="49"/>
      <c r="AF1643" s="49"/>
      <c r="AG1643" s="49"/>
      <c r="AH1643" s="49" t="b">
        <f>IFERROR(__xludf.DUMMYFUNCTION("""COMPUTED_VALUE"""),FALSE)</f>
        <v>0</v>
      </c>
    </row>
    <row r="1644">
      <c r="A1644" s="49"/>
      <c r="B1644" s="49"/>
      <c r="C1644" s="49"/>
      <c r="D1644" s="49"/>
      <c r="E1644" s="49">
        <f>IFERROR(__xludf.DUMMYFUNCTION("""COMPUTED_VALUE"""),1.0)</f>
        <v>1</v>
      </c>
      <c r="F1644" s="112">
        <f>IFERROR(__xludf.DUMMYFUNCTION("""COMPUTED_VALUE"""),0.0)</f>
        <v>0</v>
      </c>
      <c r="G1644" s="49"/>
      <c r="H1644" s="49"/>
      <c r="I1644" s="49"/>
      <c r="J1644" s="49"/>
      <c r="K1644" s="49"/>
      <c r="L1644" s="49"/>
      <c r="M1644" s="49"/>
      <c r="N1644" s="49"/>
      <c r="O1644" s="49"/>
      <c r="P1644" s="49"/>
      <c r="Q1644" s="49"/>
      <c r="R1644" s="49"/>
      <c r="S1644" s="49"/>
      <c r="T1644" s="49"/>
      <c r="U1644" s="49"/>
      <c r="V1644" s="49"/>
      <c r="W1644" s="49"/>
      <c r="X1644" s="49"/>
      <c r="Y1644" s="49"/>
      <c r="Z1644" s="49"/>
      <c r="AA1644" s="49"/>
      <c r="AB1644" s="49"/>
      <c r="AC1644" s="49"/>
      <c r="AD1644" s="49"/>
      <c r="AE1644" s="49"/>
      <c r="AF1644" s="49"/>
      <c r="AG1644" s="49"/>
      <c r="AH1644" s="49" t="b">
        <f>IFERROR(__xludf.DUMMYFUNCTION("""COMPUTED_VALUE"""),FALSE)</f>
        <v>0</v>
      </c>
    </row>
    <row r="1645">
      <c r="A1645" s="49"/>
      <c r="B1645" s="49"/>
      <c r="C1645" s="49"/>
      <c r="D1645" s="49"/>
      <c r="E1645" s="49">
        <f>IFERROR(__xludf.DUMMYFUNCTION("""COMPUTED_VALUE"""),1.0)</f>
        <v>1</v>
      </c>
      <c r="F1645" s="112">
        <f>IFERROR(__xludf.DUMMYFUNCTION("""COMPUTED_VALUE"""),0.0)</f>
        <v>0</v>
      </c>
      <c r="G1645" s="49"/>
      <c r="H1645" s="49"/>
      <c r="I1645" s="49"/>
      <c r="J1645" s="49"/>
      <c r="K1645" s="49"/>
      <c r="L1645" s="49"/>
      <c r="M1645" s="49"/>
      <c r="N1645" s="49"/>
      <c r="O1645" s="49"/>
      <c r="P1645" s="49"/>
      <c r="Q1645" s="49"/>
      <c r="R1645" s="49"/>
      <c r="S1645" s="49"/>
      <c r="T1645" s="49"/>
      <c r="U1645" s="49"/>
      <c r="V1645" s="49"/>
      <c r="W1645" s="49"/>
      <c r="X1645" s="49"/>
      <c r="Y1645" s="49"/>
      <c r="Z1645" s="49"/>
      <c r="AA1645" s="49"/>
      <c r="AB1645" s="49"/>
      <c r="AC1645" s="49"/>
      <c r="AD1645" s="49"/>
      <c r="AE1645" s="49"/>
      <c r="AF1645" s="49"/>
      <c r="AG1645" s="49"/>
      <c r="AH1645" s="49" t="b">
        <f>IFERROR(__xludf.DUMMYFUNCTION("""COMPUTED_VALUE"""),FALSE)</f>
        <v>0</v>
      </c>
    </row>
    <row r="1646">
      <c r="A1646" s="49"/>
      <c r="B1646" s="49"/>
      <c r="C1646" s="49"/>
      <c r="D1646" s="49"/>
      <c r="E1646" s="49">
        <f>IFERROR(__xludf.DUMMYFUNCTION("""COMPUTED_VALUE"""),1.0)</f>
        <v>1</v>
      </c>
      <c r="F1646" s="112">
        <f>IFERROR(__xludf.DUMMYFUNCTION("""COMPUTED_VALUE"""),0.0)</f>
        <v>0</v>
      </c>
      <c r="G1646" s="49"/>
      <c r="H1646" s="49"/>
      <c r="I1646" s="49"/>
      <c r="J1646" s="49"/>
      <c r="K1646" s="49"/>
      <c r="L1646" s="49"/>
      <c r="M1646" s="49"/>
      <c r="N1646" s="49"/>
      <c r="O1646" s="49"/>
      <c r="P1646" s="49"/>
      <c r="Q1646" s="49"/>
      <c r="R1646" s="49"/>
      <c r="S1646" s="49"/>
      <c r="T1646" s="49"/>
      <c r="U1646" s="49"/>
      <c r="V1646" s="49"/>
      <c r="W1646" s="49"/>
      <c r="X1646" s="49"/>
      <c r="Y1646" s="49"/>
      <c r="Z1646" s="49"/>
      <c r="AA1646" s="49"/>
      <c r="AB1646" s="49"/>
      <c r="AC1646" s="49"/>
      <c r="AD1646" s="49"/>
      <c r="AE1646" s="49"/>
      <c r="AF1646" s="49"/>
      <c r="AG1646" s="49"/>
      <c r="AH1646" s="49" t="b">
        <f>IFERROR(__xludf.DUMMYFUNCTION("""COMPUTED_VALUE"""),FALSE)</f>
        <v>0</v>
      </c>
    </row>
    <row r="1647">
      <c r="A1647" s="49"/>
      <c r="B1647" s="49"/>
      <c r="C1647" s="49"/>
      <c r="D1647" s="49"/>
      <c r="E1647" s="49">
        <f>IFERROR(__xludf.DUMMYFUNCTION("""COMPUTED_VALUE"""),1.0)</f>
        <v>1</v>
      </c>
      <c r="F1647" s="112">
        <f>IFERROR(__xludf.DUMMYFUNCTION("""COMPUTED_VALUE"""),0.0)</f>
        <v>0</v>
      </c>
      <c r="G1647" s="49"/>
      <c r="H1647" s="49"/>
      <c r="I1647" s="49"/>
      <c r="J1647" s="49"/>
      <c r="K1647" s="49"/>
      <c r="L1647" s="49"/>
      <c r="M1647" s="49"/>
      <c r="N1647" s="49"/>
      <c r="O1647" s="49"/>
      <c r="P1647" s="49"/>
      <c r="Q1647" s="49"/>
      <c r="R1647" s="49"/>
      <c r="S1647" s="49"/>
      <c r="T1647" s="49"/>
      <c r="U1647" s="49"/>
      <c r="V1647" s="49"/>
      <c r="W1647" s="49"/>
      <c r="X1647" s="49"/>
      <c r="Y1647" s="49"/>
      <c r="Z1647" s="49"/>
      <c r="AA1647" s="49"/>
      <c r="AB1647" s="49"/>
      <c r="AC1647" s="49"/>
      <c r="AD1647" s="49"/>
      <c r="AE1647" s="49"/>
      <c r="AF1647" s="49"/>
      <c r="AG1647" s="49"/>
      <c r="AH1647" s="49" t="b">
        <f>IFERROR(__xludf.DUMMYFUNCTION("""COMPUTED_VALUE"""),FALSE)</f>
        <v>0</v>
      </c>
    </row>
    <row r="1648">
      <c r="A1648" s="49"/>
      <c r="B1648" s="49"/>
      <c r="C1648" s="49"/>
      <c r="D1648" s="49"/>
      <c r="E1648" s="49">
        <f>IFERROR(__xludf.DUMMYFUNCTION("""COMPUTED_VALUE"""),1.0)</f>
        <v>1</v>
      </c>
      <c r="F1648" s="112">
        <f>IFERROR(__xludf.DUMMYFUNCTION("""COMPUTED_VALUE"""),0.0)</f>
        <v>0</v>
      </c>
      <c r="G1648" s="49"/>
      <c r="H1648" s="49"/>
      <c r="I1648" s="49"/>
      <c r="J1648" s="49"/>
      <c r="K1648" s="49"/>
      <c r="L1648" s="49"/>
      <c r="M1648" s="49"/>
      <c r="N1648" s="49"/>
      <c r="O1648" s="49"/>
      <c r="P1648" s="49"/>
      <c r="Q1648" s="49"/>
      <c r="R1648" s="49"/>
      <c r="S1648" s="49"/>
      <c r="T1648" s="49"/>
      <c r="U1648" s="49"/>
      <c r="V1648" s="49"/>
      <c r="W1648" s="49"/>
      <c r="X1648" s="49"/>
      <c r="Y1648" s="49"/>
      <c r="Z1648" s="49"/>
      <c r="AA1648" s="49"/>
      <c r="AB1648" s="49"/>
      <c r="AC1648" s="49"/>
      <c r="AD1648" s="49"/>
      <c r="AE1648" s="49"/>
      <c r="AF1648" s="49"/>
      <c r="AG1648" s="49"/>
      <c r="AH1648" s="49" t="b">
        <f>IFERROR(__xludf.DUMMYFUNCTION("""COMPUTED_VALUE"""),FALSE)</f>
        <v>0</v>
      </c>
    </row>
    <row r="1649">
      <c r="A1649" s="49"/>
      <c r="B1649" s="49"/>
      <c r="C1649" s="49"/>
      <c r="D1649" s="49"/>
      <c r="E1649" s="49">
        <f>IFERROR(__xludf.DUMMYFUNCTION("""COMPUTED_VALUE"""),1.0)</f>
        <v>1</v>
      </c>
      <c r="F1649" s="112">
        <f>IFERROR(__xludf.DUMMYFUNCTION("""COMPUTED_VALUE"""),0.0)</f>
        <v>0</v>
      </c>
      <c r="G1649" s="49"/>
      <c r="H1649" s="49"/>
      <c r="I1649" s="49"/>
      <c r="J1649" s="49"/>
      <c r="K1649" s="49"/>
      <c r="L1649" s="49"/>
      <c r="M1649" s="49"/>
      <c r="N1649" s="49"/>
      <c r="O1649" s="49"/>
      <c r="P1649" s="49"/>
      <c r="Q1649" s="49"/>
      <c r="R1649" s="49"/>
      <c r="S1649" s="49"/>
      <c r="T1649" s="49"/>
      <c r="U1649" s="49"/>
      <c r="V1649" s="49"/>
      <c r="W1649" s="49"/>
      <c r="X1649" s="49"/>
      <c r="Y1649" s="49"/>
      <c r="Z1649" s="49"/>
      <c r="AA1649" s="49"/>
      <c r="AB1649" s="49"/>
      <c r="AC1649" s="49"/>
      <c r="AD1649" s="49"/>
      <c r="AE1649" s="49"/>
      <c r="AF1649" s="49"/>
      <c r="AG1649" s="49"/>
      <c r="AH1649" s="49" t="b">
        <f>IFERROR(__xludf.DUMMYFUNCTION("""COMPUTED_VALUE"""),FALSE)</f>
        <v>0</v>
      </c>
    </row>
    <row r="1650">
      <c r="A1650" s="49"/>
      <c r="B1650" s="49"/>
      <c r="C1650" s="49"/>
      <c r="D1650" s="49"/>
      <c r="E1650" s="49">
        <f>IFERROR(__xludf.DUMMYFUNCTION("""COMPUTED_VALUE"""),1.0)</f>
        <v>1</v>
      </c>
      <c r="F1650" s="112">
        <f>IFERROR(__xludf.DUMMYFUNCTION("""COMPUTED_VALUE"""),0.0)</f>
        <v>0</v>
      </c>
      <c r="G1650" s="49"/>
      <c r="H1650" s="49"/>
      <c r="I1650" s="49"/>
      <c r="J1650" s="49"/>
      <c r="K1650" s="49"/>
      <c r="L1650" s="49"/>
      <c r="M1650" s="49"/>
      <c r="N1650" s="49"/>
      <c r="O1650" s="49"/>
      <c r="P1650" s="49"/>
      <c r="Q1650" s="49"/>
      <c r="R1650" s="49"/>
      <c r="S1650" s="49"/>
      <c r="T1650" s="49"/>
      <c r="U1650" s="49"/>
      <c r="V1650" s="49"/>
      <c r="W1650" s="49"/>
      <c r="X1650" s="49"/>
      <c r="Y1650" s="49"/>
      <c r="Z1650" s="49"/>
      <c r="AA1650" s="49"/>
      <c r="AB1650" s="49"/>
      <c r="AC1650" s="49"/>
      <c r="AD1650" s="49"/>
      <c r="AE1650" s="49"/>
      <c r="AF1650" s="49"/>
      <c r="AG1650" s="49"/>
      <c r="AH1650" s="49" t="b">
        <f>IFERROR(__xludf.DUMMYFUNCTION("""COMPUTED_VALUE"""),FALSE)</f>
        <v>0</v>
      </c>
    </row>
    <row r="1651">
      <c r="A1651" s="49"/>
      <c r="B1651" s="49"/>
      <c r="C1651" s="49"/>
      <c r="D1651" s="49"/>
      <c r="E1651" s="49">
        <f>IFERROR(__xludf.DUMMYFUNCTION("""COMPUTED_VALUE"""),1.0)</f>
        <v>1</v>
      </c>
      <c r="F1651" s="112">
        <f>IFERROR(__xludf.DUMMYFUNCTION("""COMPUTED_VALUE"""),0.0)</f>
        <v>0</v>
      </c>
      <c r="G1651" s="49"/>
      <c r="H1651" s="49"/>
      <c r="I1651" s="49"/>
      <c r="J1651" s="49"/>
      <c r="K1651" s="49"/>
      <c r="L1651" s="49"/>
      <c r="M1651" s="49"/>
      <c r="N1651" s="49"/>
      <c r="O1651" s="49"/>
      <c r="P1651" s="49"/>
      <c r="Q1651" s="49"/>
      <c r="R1651" s="49"/>
      <c r="S1651" s="49"/>
      <c r="T1651" s="49"/>
      <c r="U1651" s="49"/>
      <c r="V1651" s="49"/>
      <c r="W1651" s="49"/>
      <c r="X1651" s="49"/>
      <c r="Y1651" s="49"/>
      <c r="Z1651" s="49"/>
      <c r="AA1651" s="49"/>
      <c r="AB1651" s="49"/>
      <c r="AC1651" s="49"/>
      <c r="AD1651" s="49"/>
      <c r="AE1651" s="49"/>
      <c r="AF1651" s="49"/>
      <c r="AG1651" s="49"/>
      <c r="AH1651" s="49" t="b">
        <f>IFERROR(__xludf.DUMMYFUNCTION("""COMPUTED_VALUE"""),FALSE)</f>
        <v>0</v>
      </c>
    </row>
    <row r="1652">
      <c r="A1652" s="49"/>
      <c r="B1652" s="49"/>
      <c r="C1652" s="49"/>
      <c r="D1652" s="49"/>
      <c r="E1652" s="49">
        <f>IFERROR(__xludf.DUMMYFUNCTION("""COMPUTED_VALUE"""),1.0)</f>
        <v>1</v>
      </c>
      <c r="F1652" s="112">
        <f>IFERROR(__xludf.DUMMYFUNCTION("""COMPUTED_VALUE"""),0.0)</f>
        <v>0</v>
      </c>
      <c r="G1652" s="49"/>
      <c r="H1652" s="49"/>
      <c r="I1652" s="49"/>
      <c r="J1652" s="49"/>
      <c r="K1652" s="49"/>
      <c r="L1652" s="49"/>
      <c r="M1652" s="49"/>
      <c r="N1652" s="49"/>
      <c r="O1652" s="49"/>
      <c r="P1652" s="49"/>
      <c r="Q1652" s="49"/>
      <c r="R1652" s="49"/>
      <c r="S1652" s="49"/>
      <c r="T1652" s="49"/>
      <c r="U1652" s="49"/>
      <c r="V1652" s="49"/>
      <c r="W1652" s="49"/>
      <c r="X1652" s="49"/>
      <c r="Y1652" s="49"/>
      <c r="Z1652" s="49"/>
      <c r="AA1652" s="49"/>
      <c r="AB1652" s="49"/>
      <c r="AC1652" s="49"/>
      <c r="AD1652" s="49"/>
      <c r="AE1652" s="49"/>
      <c r="AF1652" s="49"/>
      <c r="AG1652" s="49"/>
      <c r="AH1652" s="49" t="b">
        <f>IFERROR(__xludf.DUMMYFUNCTION("""COMPUTED_VALUE"""),FALSE)</f>
        <v>0</v>
      </c>
    </row>
    <row r="1653">
      <c r="A1653" s="49"/>
      <c r="B1653" s="49"/>
      <c r="C1653" s="49"/>
      <c r="D1653" s="49"/>
      <c r="E1653" s="49">
        <f>IFERROR(__xludf.DUMMYFUNCTION("""COMPUTED_VALUE"""),1.0)</f>
        <v>1</v>
      </c>
      <c r="F1653" s="112">
        <f>IFERROR(__xludf.DUMMYFUNCTION("""COMPUTED_VALUE"""),0.0)</f>
        <v>0</v>
      </c>
      <c r="G1653" s="49"/>
      <c r="H1653" s="49"/>
      <c r="I1653" s="49"/>
      <c r="J1653" s="49"/>
      <c r="K1653" s="49"/>
      <c r="L1653" s="49"/>
      <c r="M1653" s="49"/>
      <c r="N1653" s="49"/>
      <c r="O1653" s="49"/>
      <c r="P1653" s="49"/>
      <c r="Q1653" s="49"/>
      <c r="R1653" s="49"/>
      <c r="S1653" s="49"/>
      <c r="T1653" s="49"/>
      <c r="U1653" s="49"/>
      <c r="V1653" s="49"/>
      <c r="W1653" s="49"/>
      <c r="X1653" s="49"/>
      <c r="Y1653" s="49"/>
      <c r="Z1653" s="49"/>
      <c r="AA1653" s="49"/>
      <c r="AB1653" s="49"/>
      <c r="AC1653" s="49"/>
      <c r="AD1653" s="49"/>
      <c r="AE1653" s="49"/>
      <c r="AF1653" s="49"/>
      <c r="AG1653" s="49"/>
      <c r="AH1653" s="49" t="b">
        <f>IFERROR(__xludf.DUMMYFUNCTION("""COMPUTED_VALUE"""),FALSE)</f>
        <v>0</v>
      </c>
    </row>
    <row r="1654">
      <c r="A1654" s="49"/>
      <c r="B1654" s="49"/>
      <c r="C1654" s="49"/>
      <c r="D1654" s="49"/>
      <c r="E1654" s="49">
        <f>IFERROR(__xludf.DUMMYFUNCTION("""COMPUTED_VALUE"""),1.0)</f>
        <v>1</v>
      </c>
      <c r="F1654" s="112">
        <f>IFERROR(__xludf.DUMMYFUNCTION("""COMPUTED_VALUE"""),0.0)</f>
        <v>0</v>
      </c>
      <c r="G1654" s="49"/>
      <c r="H1654" s="49"/>
      <c r="I1654" s="49"/>
      <c r="J1654" s="49"/>
      <c r="K1654" s="49"/>
      <c r="L1654" s="49"/>
      <c r="M1654" s="49"/>
      <c r="N1654" s="49"/>
      <c r="O1654" s="49"/>
      <c r="P1654" s="49"/>
      <c r="Q1654" s="49"/>
      <c r="R1654" s="49"/>
      <c r="S1654" s="49"/>
      <c r="T1654" s="49"/>
      <c r="U1654" s="49"/>
      <c r="V1654" s="49"/>
      <c r="W1654" s="49"/>
      <c r="X1654" s="49"/>
      <c r="Y1654" s="49"/>
      <c r="Z1654" s="49"/>
      <c r="AA1654" s="49"/>
      <c r="AB1654" s="49"/>
      <c r="AC1654" s="49"/>
      <c r="AD1654" s="49"/>
      <c r="AE1654" s="49"/>
      <c r="AF1654" s="49"/>
      <c r="AG1654" s="49"/>
      <c r="AH1654" s="49" t="b">
        <f>IFERROR(__xludf.DUMMYFUNCTION("""COMPUTED_VALUE"""),FALSE)</f>
        <v>0</v>
      </c>
    </row>
    <row r="1655">
      <c r="A1655" s="49"/>
      <c r="B1655" s="49"/>
      <c r="C1655" s="49"/>
      <c r="D1655" s="49"/>
      <c r="E1655" s="49">
        <f>IFERROR(__xludf.DUMMYFUNCTION("""COMPUTED_VALUE"""),1.0)</f>
        <v>1</v>
      </c>
      <c r="F1655" s="112">
        <f>IFERROR(__xludf.DUMMYFUNCTION("""COMPUTED_VALUE"""),0.0)</f>
        <v>0</v>
      </c>
      <c r="G1655" s="49"/>
      <c r="H1655" s="49"/>
      <c r="I1655" s="49"/>
      <c r="J1655" s="49"/>
      <c r="K1655" s="49"/>
      <c r="L1655" s="49"/>
      <c r="M1655" s="49"/>
      <c r="N1655" s="49"/>
      <c r="O1655" s="49"/>
      <c r="P1655" s="49"/>
      <c r="Q1655" s="49"/>
      <c r="R1655" s="49"/>
      <c r="S1655" s="49"/>
      <c r="T1655" s="49"/>
      <c r="U1655" s="49"/>
      <c r="V1655" s="49"/>
      <c r="W1655" s="49"/>
      <c r="X1655" s="49"/>
      <c r="Y1655" s="49"/>
      <c r="Z1655" s="49"/>
      <c r="AA1655" s="49"/>
      <c r="AB1655" s="49"/>
      <c r="AC1655" s="49"/>
      <c r="AD1655" s="49"/>
      <c r="AE1655" s="49"/>
      <c r="AF1655" s="49"/>
      <c r="AG1655" s="49"/>
      <c r="AH1655" s="49" t="b">
        <f>IFERROR(__xludf.DUMMYFUNCTION("""COMPUTED_VALUE"""),FALSE)</f>
        <v>0</v>
      </c>
    </row>
    <row r="1656">
      <c r="A1656" s="49"/>
      <c r="B1656" s="49"/>
      <c r="C1656" s="49"/>
      <c r="D1656" s="49"/>
      <c r="E1656" s="49">
        <f>IFERROR(__xludf.DUMMYFUNCTION("""COMPUTED_VALUE"""),1.0)</f>
        <v>1</v>
      </c>
      <c r="F1656" s="112">
        <f>IFERROR(__xludf.DUMMYFUNCTION("""COMPUTED_VALUE"""),0.0)</f>
        <v>0</v>
      </c>
      <c r="G1656" s="49"/>
      <c r="H1656" s="49"/>
      <c r="I1656" s="49"/>
      <c r="J1656" s="49"/>
      <c r="K1656" s="49"/>
      <c r="L1656" s="49"/>
      <c r="M1656" s="49"/>
      <c r="N1656" s="49"/>
      <c r="O1656" s="49"/>
      <c r="P1656" s="49"/>
      <c r="Q1656" s="49"/>
      <c r="R1656" s="49"/>
      <c r="S1656" s="49"/>
      <c r="T1656" s="49"/>
      <c r="U1656" s="49"/>
      <c r="V1656" s="49"/>
      <c r="W1656" s="49"/>
      <c r="X1656" s="49"/>
      <c r="Y1656" s="49"/>
      <c r="Z1656" s="49"/>
      <c r="AA1656" s="49"/>
      <c r="AB1656" s="49"/>
      <c r="AC1656" s="49"/>
      <c r="AD1656" s="49"/>
      <c r="AE1656" s="49"/>
      <c r="AF1656" s="49"/>
      <c r="AG1656" s="49"/>
      <c r="AH1656" s="49" t="b">
        <f>IFERROR(__xludf.DUMMYFUNCTION("""COMPUTED_VALUE"""),FALSE)</f>
        <v>0</v>
      </c>
    </row>
    <row r="1657">
      <c r="A1657" s="49"/>
      <c r="B1657" s="49"/>
      <c r="C1657" s="49"/>
      <c r="D1657" s="49"/>
      <c r="E1657" s="49">
        <f>IFERROR(__xludf.DUMMYFUNCTION("""COMPUTED_VALUE"""),1.0)</f>
        <v>1</v>
      </c>
      <c r="F1657" s="112">
        <f>IFERROR(__xludf.DUMMYFUNCTION("""COMPUTED_VALUE"""),0.0)</f>
        <v>0</v>
      </c>
      <c r="G1657" s="49"/>
      <c r="H1657" s="49"/>
      <c r="I1657" s="49"/>
      <c r="J1657" s="49"/>
      <c r="K1657" s="49"/>
      <c r="L1657" s="49"/>
      <c r="M1657" s="49"/>
      <c r="N1657" s="49"/>
      <c r="O1657" s="49"/>
      <c r="P1657" s="49"/>
      <c r="Q1657" s="49"/>
      <c r="R1657" s="49"/>
      <c r="S1657" s="49"/>
      <c r="T1657" s="49"/>
      <c r="U1657" s="49"/>
      <c r="V1657" s="49"/>
      <c r="W1657" s="49"/>
      <c r="X1657" s="49"/>
      <c r="Y1657" s="49"/>
      <c r="Z1657" s="49"/>
      <c r="AA1657" s="49"/>
      <c r="AB1657" s="49"/>
      <c r="AC1657" s="49"/>
      <c r="AD1657" s="49"/>
      <c r="AE1657" s="49"/>
      <c r="AF1657" s="49"/>
      <c r="AG1657" s="49"/>
      <c r="AH1657" s="49" t="b">
        <f>IFERROR(__xludf.DUMMYFUNCTION("""COMPUTED_VALUE"""),FALSE)</f>
        <v>0</v>
      </c>
    </row>
    <row r="1658">
      <c r="A1658" s="49"/>
      <c r="B1658" s="49"/>
      <c r="C1658" s="49"/>
      <c r="D1658" s="49"/>
      <c r="E1658" s="49">
        <f>IFERROR(__xludf.DUMMYFUNCTION("""COMPUTED_VALUE"""),1.0)</f>
        <v>1</v>
      </c>
      <c r="F1658" s="112">
        <f>IFERROR(__xludf.DUMMYFUNCTION("""COMPUTED_VALUE"""),0.0)</f>
        <v>0</v>
      </c>
      <c r="G1658" s="49"/>
      <c r="H1658" s="49"/>
      <c r="I1658" s="49"/>
      <c r="J1658" s="49"/>
      <c r="K1658" s="49"/>
      <c r="L1658" s="49"/>
      <c r="M1658" s="49"/>
      <c r="N1658" s="49"/>
      <c r="O1658" s="49"/>
      <c r="P1658" s="49"/>
      <c r="Q1658" s="49"/>
      <c r="R1658" s="49"/>
      <c r="S1658" s="49"/>
      <c r="T1658" s="49"/>
      <c r="U1658" s="49"/>
      <c r="V1658" s="49"/>
      <c r="W1658" s="49"/>
      <c r="X1658" s="49"/>
      <c r="Y1658" s="49"/>
      <c r="Z1658" s="49"/>
      <c r="AA1658" s="49"/>
      <c r="AB1658" s="49"/>
      <c r="AC1658" s="49"/>
      <c r="AD1658" s="49"/>
      <c r="AE1658" s="49"/>
      <c r="AF1658" s="49"/>
      <c r="AG1658" s="49"/>
      <c r="AH1658" s="49" t="b">
        <f>IFERROR(__xludf.DUMMYFUNCTION("""COMPUTED_VALUE"""),FALSE)</f>
        <v>0</v>
      </c>
    </row>
    <row r="1659">
      <c r="A1659" s="49"/>
      <c r="B1659" s="49"/>
      <c r="C1659" s="49"/>
      <c r="D1659" s="49"/>
      <c r="E1659" s="49">
        <f>IFERROR(__xludf.DUMMYFUNCTION("""COMPUTED_VALUE"""),1.0)</f>
        <v>1</v>
      </c>
      <c r="F1659" s="112">
        <f>IFERROR(__xludf.DUMMYFUNCTION("""COMPUTED_VALUE"""),0.0)</f>
        <v>0</v>
      </c>
      <c r="G1659" s="49"/>
      <c r="H1659" s="49"/>
      <c r="I1659" s="49"/>
      <c r="J1659" s="49"/>
      <c r="K1659" s="49"/>
      <c r="L1659" s="49"/>
      <c r="M1659" s="49"/>
      <c r="N1659" s="49"/>
      <c r="O1659" s="49"/>
      <c r="P1659" s="49"/>
      <c r="Q1659" s="49"/>
      <c r="R1659" s="49"/>
      <c r="S1659" s="49"/>
      <c r="T1659" s="49"/>
      <c r="U1659" s="49"/>
      <c r="V1659" s="49"/>
      <c r="W1659" s="49"/>
      <c r="X1659" s="49"/>
      <c r="Y1659" s="49"/>
      <c r="Z1659" s="49"/>
      <c r="AA1659" s="49"/>
      <c r="AB1659" s="49"/>
      <c r="AC1659" s="49"/>
      <c r="AD1659" s="49"/>
      <c r="AE1659" s="49"/>
      <c r="AF1659" s="49"/>
      <c r="AG1659" s="49"/>
      <c r="AH1659" s="49" t="b">
        <f>IFERROR(__xludf.DUMMYFUNCTION("""COMPUTED_VALUE"""),FALSE)</f>
        <v>0</v>
      </c>
    </row>
    <row r="1660">
      <c r="A1660" s="49"/>
      <c r="B1660" s="49"/>
      <c r="C1660" s="49"/>
      <c r="D1660" s="49"/>
      <c r="E1660" s="49">
        <f>IFERROR(__xludf.DUMMYFUNCTION("""COMPUTED_VALUE"""),1.0)</f>
        <v>1</v>
      </c>
      <c r="F1660" s="112">
        <f>IFERROR(__xludf.DUMMYFUNCTION("""COMPUTED_VALUE"""),0.0)</f>
        <v>0</v>
      </c>
      <c r="G1660" s="49"/>
      <c r="H1660" s="49"/>
      <c r="I1660" s="49"/>
      <c r="J1660" s="49"/>
      <c r="K1660" s="49"/>
      <c r="L1660" s="49"/>
      <c r="M1660" s="49"/>
      <c r="N1660" s="49"/>
      <c r="O1660" s="49"/>
      <c r="P1660" s="49"/>
      <c r="Q1660" s="49"/>
      <c r="R1660" s="49"/>
      <c r="S1660" s="49"/>
      <c r="T1660" s="49"/>
      <c r="U1660" s="49"/>
      <c r="V1660" s="49"/>
      <c r="W1660" s="49"/>
      <c r="X1660" s="49"/>
      <c r="Y1660" s="49"/>
      <c r="Z1660" s="49"/>
      <c r="AA1660" s="49"/>
      <c r="AB1660" s="49"/>
      <c r="AC1660" s="49"/>
      <c r="AD1660" s="49"/>
      <c r="AE1660" s="49"/>
      <c r="AF1660" s="49"/>
      <c r="AG1660" s="49"/>
      <c r="AH1660" s="49" t="b">
        <f>IFERROR(__xludf.DUMMYFUNCTION("""COMPUTED_VALUE"""),FALSE)</f>
        <v>0</v>
      </c>
    </row>
    <row r="1661">
      <c r="A1661" s="49"/>
      <c r="B1661" s="49"/>
      <c r="C1661" s="49"/>
      <c r="D1661" s="49"/>
      <c r="E1661" s="49">
        <f>IFERROR(__xludf.DUMMYFUNCTION("""COMPUTED_VALUE"""),1.0)</f>
        <v>1</v>
      </c>
      <c r="F1661" s="112">
        <f>IFERROR(__xludf.DUMMYFUNCTION("""COMPUTED_VALUE"""),0.0)</f>
        <v>0</v>
      </c>
      <c r="G1661" s="49"/>
      <c r="H1661" s="49"/>
      <c r="I1661" s="49"/>
      <c r="J1661" s="49"/>
      <c r="K1661" s="49"/>
      <c r="L1661" s="49"/>
      <c r="M1661" s="49"/>
      <c r="N1661" s="49"/>
      <c r="O1661" s="49"/>
      <c r="P1661" s="49"/>
      <c r="Q1661" s="49"/>
      <c r="R1661" s="49"/>
      <c r="S1661" s="49"/>
      <c r="T1661" s="49"/>
      <c r="U1661" s="49"/>
      <c r="V1661" s="49"/>
      <c r="W1661" s="49"/>
      <c r="X1661" s="49"/>
      <c r="Y1661" s="49"/>
      <c r="Z1661" s="49"/>
      <c r="AA1661" s="49"/>
      <c r="AB1661" s="49"/>
      <c r="AC1661" s="49"/>
      <c r="AD1661" s="49"/>
      <c r="AE1661" s="49"/>
      <c r="AF1661" s="49"/>
      <c r="AG1661" s="49"/>
      <c r="AH1661" s="49" t="b">
        <f>IFERROR(__xludf.DUMMYFUNCTION("""COMPUTED_VALUE"""),FALSE)</f>
        <v>0</v>
      </c>
    </row>
    <row r="1662">
      <c r="A1662" s="49"/>
      <c r="B1662" s="49"/>
      <c r="C1662" s="49"/>
      <c r="D1662" s="49"/>
      <c r="E1662" s="49">
        <f>IFERROR(__xludf.DUMMYFUNCTION("""COMPUTED_VALUE"""),1.0)</f>
        <v>1</v>
      </c>
      <c r="F1662" s="112">
        <f>IFERROR(__xludf.DUMMYFUNCTION("""COMPUTED_VALUE"""),0.0)</f>
        <v>0</v>
      </c>
      <c r="G1662" s="49"/>
      <c r="H1662" s="49"/>
      <c r="I1662" s="49"/>
      <c r="J1662" s="49"/>
      <c r="K1662" s="49"/>
      <c r="L1662" s="49"/>
      <c r="M1662" s="49"/>
      <c r="N1662" s="49"/>
      <c r="O1662" s="49"/>
      <c r="P1662" s="49"/>
      <c r="Q1662" s="49"/>
      <c r="R1662" s="49"/>
      <c r="S1662" s="49"/>
      <c r="T1662" s="49"/>
      <c r="U1662" s="49"/>
      <c r="V1662" s="49"/>
      <c r="W1662" s="49"/>
      <c r="X1662" s="49"/>
      <c r="Y1662" s="49"/>
      <c r="Z1662" s="49"/>
      <c r="AA1662" s="49"/>
      <c r="AB1662" s="49"/>
      <c r="AC1662" s="49"/>
      <c r="AD1662" s="49"/>
      <c r="AE1662" s="49"/>
      <c r="AF1662" s="49"/>
      <c r="AG1662" s="49"/>
      <c r="AH1662" s="49" t="b">
        <f>IFERROR(__xludf.DUMMYFUNCTION("""COMPUTED_VALUE"""),FALSE)</f>
        <v>0</v>
      </c>
    </row>
    <row r="1663">
      <c r="A1663" s="49"/>
      <c r="B1663" s="49"/>
      <c r="C1663" s="49"/>
      <c r="D1663" s="49"/>
      <c r="E1663" s="49">
        <f>IFERROR(__xludf.DUMMYFUNCTION("""COMPUTED_VALUE"""),1.0)</f>
        <v>1</v>
      </c>
      <c r="F1663" s="112">
        <f>IFERROR(__xludf.DUMMYFUNCTION("""COMPUTED_VALUE"""),0.0)</f>
        <v>0</v>
      </c>
      <c r="G1663" s="49"/>
      <c r="H1663" s="49"/>
      <c r="I1663" s="49"/>
      <c r="J1663" s="49"/>
      <c r="K1663" s="49"/>
      <c r="L1663" s="49"/>
      <c r="M1663" s="49"/>
      <c r="N1663" s="49"/>
      <c r="O1663" s="49"/>
      <c r="P1663" s="49"/>
      <c r="Q1663" s="49"/>
      <c r="R1663" s="49"/>
      <c r="S1663" s="49"/>
      <c r="T1663" s="49"/>
      <c r="U1663" s="49"/>
      <c r="V1663" s="49"/>
      <c r="W1663" s="49"/>
      <c r="X1663" s="49"/>
      <c r="Y1663" s="49"/>
      <c r="Z1663" s="49"/>
      <c r="AA1663" s="49"/>
      <c r="AB1663" s="49"/>
      <c r="AC1663" s="49"/>
      <c r="AD1663" s="49"/>
      <c r="AE1663" s="49"/>
      <c r="AF1663" s="49"/>
      <c r="AG1663" s="49"/>
      <c r="AH1663" s="49" t="b">
        <f>IFERROR(__xludf.DUMMYFUNCTION("""COMPUTED_VALUE"""),FALSE)</f>
        <v>0</v>
      </c>
    </row>
    <row r="1664">
      <c r="A1664" s="49"/>
      <c r="B1664" s="49"/>
      <c r="C1664" s="49"/>
      <c r="D1664" s="49"/>
      <c r="E1664" s="49">
        <f>IFERROR(__xludf.DUMMYFUNCTION("""COMPUTED_VALUE"""),1.0)</f>
        <v>1</v>
      </c>
      <c r="F1664" s="112">
        <f>IFERROR(__xludf.DUMMYFUNCTION("""COMPUTED_VALUE"""),0.0)</f>
        <v>0</v>
      </c>
      <c r="G1664" s="49"/>
      <c r="H1664" s="49"/>
      <c r="I1664" s="49"/>
      <c r="J1664" s="49"/>
      <c r="K1664" s="49"/>
      <c r="L1664" s="49"/>
      <c r="M1664" s="49"/>
      <c r="N1664" s="49"/>
      <c r="O1664" s="49"/>
      <c r="P1664" s="49"/>
      <c r="Q1664" s="49"/>
      <c r="R1664" s="49"/>
      <c r="S1664" s="49"/>
      <c r="T1664" s="49"/>
      <c r="U1664" s="49"/>
      <c r="V1664" s="49"/>
      <c r="W1664" s="49"/>
      <c r="X1664" s="49"/>
      <c r="Y1664" s="49"/>
      <c r="Z1664" s="49"/>
      <c r="AA1664" s="49"/>
      <c r="AB1664" s="49"/>
      <c r="AC1664" s="49"/>
      <c r="AD1664" s="49"/>
      <c r="AE1664" s="49"/>
      <c r="AF1664" s="49"/>
      <c r="AG1664" s="49"/>
      <c r="AH1664" s="49" t="b">
        <f>IFERROR(__xludf.DUMMYFUNCTION("""COMPUTED_VALUE"""),FALSE)</f>
        <v>0</v>
      </c>
    </row>
    <row r="1665">
      <c r="A1665" s="49"/>
      <c r="B1665" s="49"/>
      <c r="C1665" s="49"/>
      <c r="D1665" s="49"/>
      <c r="E1665" s="49">
        <f>IFERROR(__xludf.DUMMYFUNCTION("""COMPUTED_VALUE"""),1.0)</f>
        <v>1</v>
      </c>
      <c r="F1665" s="112">
        <f>IFERROR(__xludf.DUMMYFUNCTION("""COMPUTED_VALUE"""),0.0)</f>
        <v>0</v>
      </c>
      <c r="G1665" s="49"/>
      <c r="H1665" s="49"/>
      <c r="I1665" s="49"/>
      <c r="J1665" s="49"/>
      <c r="K1665" s="49"/>
      <c r="L1665" s="49"/>
      <c r="M1665" s="49"/>
      <c r="N1665" s="49"/>
      <c r="O1665" s="49"/>
      <c r="P1665" s="49"/>
      <c r="Q1665" s="49"/>
      <c r="R1665" s="49"/>
      <c r="S1665" s="49"/>
      <c r="T1665" s="49"/>
      <c r="U1665" s="49"/>
      <c r="V1665" s="49"/>
      <c r="W1665" s="49"/>
      <c r="X1665" s="49"/>
      <c r="Y1665" s="49"/>
      <c r="Z1665" s="49"/>
      <c r="AA1665" s="49"/>
      <c r="AB1665" s="49"/>
      <c r="AC1665" s="49"/>
      <c r="AD1665" s="49"/>
      <c r="AE1665" s="49"/>
      <c r="AF1665" s="49"/>
      <c r="AG1665" s="49"/>
      <c r="AH1665" s="49" t="b">
        <f>IFERROR(__xludf.DUMMYFUNCTION("""COMPUTED_VALUE"""),FALSE)</f>
        <v>0</v>
      </c>
    </row>
    <row r="1666">
      <c r="A1666" s="49"/>
      <c r="B1666" s="49"/>
      <c r="C1666" s="49"/>
      <c r="D1666" s="49"/>
      <c r="E1666" s="49">
        <f>IFERROR(__xludf.DUMMYFUNCTION("""COMPUTED_VALUE"""),1.0)</f>
        <v>1</v>
      </c>
      <c r="F1666" s="112">
        <f>IFERROR(__xludf.DUMMYFUNCTION("""COMPUTED_VALUE"""),0.0)</f>
        <v>0</v>
      </c>
      <c r="G1666" s="49"/>
      <c r="H1666" s="49"/>
      <c r="I1666" s="49"/>
      <c r="J1666" s="49"/>
      <c r="K1666" s="49"/>
      <c r="L1666" s="49"/>
      <c r="M1666" s="49"/>
      <c r="N1666" s="49"/>
      <c r="O1666" s="49"/>
      <c r="P1666" s="49"/>
      <c r="Q1666" s="49"/>
      <c r="R1666" s="49"/>
      <c r="S1666" s="49"/>
      <c r="T1666" s="49"/>
      <c r="U1666" s="49"/>
      <c r="V1666" s="49"/>
      <c r="W1666" s="49"/>
      <c r="X1666" s="49"/>
      <c r="Y1666" s="49"/>
      <c r="Z1666" s="49"/>
      <c r="AA1666" s="49"/>
      <c r="AB1666" s="49"/>
      <c r="AC1666" s="49"/>
      <c r="AD1666" s="49"/>
      <c r="AE1666" s="49"/>
      <c r="AF1666" s="49"/>
      <c r="AG1666" s="49"/>
      <c r="AH1666" s="49" t="b">
        <f>IFERROR(__xludf.DUMMYFUNCTION("""COMPUTED_VALUE"""),FALSE)</f>
        <v>0</v>
      </c>
    </row>
    <row r="1667">
      <c r="A1667" s="49"/>
      <c r="B1667" s="49"/>
      <c r="C1667" s="49"/>
      <c r="D1667" s="49"/>
      <c r="E1667" s="49">
        <f>IFERROR(__xludf.DUMMYFUNCTION("""COMPUTED_VALUE"""),1.0)</f>
        <v>1</v>
      </c>
      <c r="F1667" s="112">
        <f>IFERROR(__xludf.DUMMYFUNCTION("""COMPUTED_VALUE"""),0.0)</f>
        <v>0</v>
      </c>
      <c r="G1667" s="49"/>
      <c r="H1667" s="49"/>
      <c r="I1667" s="49"/>
      <c r="J1667" s="49"/>
      <c r="K1667" s="49"/>
      <c r="L1667" s="49"/>
      <c r="M1667" s="49"/>
      <c r="N1667" s="49"/>
      <c r="O1667" s="49"/>
      <c r="P1667" s="49"/>
      <c r="Q1667" s="49"/>
      <c r="R1667" s="49"/>
      <c r="S1667" s="49"/>
      <c r="T1667" s="49"/>
      <c r="U1667" s="49"/>
      <c r="V1667" s="49"/>
      <c r="W1667" s="49"/>
      <c r="X1667" s="49"/>
      <c r="Y1667" s="49"/>
      <c r="Z1667" s="49"/>
      <c r="AA1667" s="49"/>
      <c r="AB1667" s="49"/>
      <c r="AC1667" s="49"/>
      <c r="AD1667" s="49"/>
      <c r="AE1667" s="49"/>
      <c r="AF1667" s="49"/>
      <c r="AG1667" s="49"/>
      <c r="AH1667" s="49" t="b">
        <f>IFERROR(__xludf.DUMMYFUNCTION("""COMPUTED_VALUE"""),FALSE)</f>
        <v>0</v>
      </c>
    </row>
    <row r="1668">
      <c r="A1668" s="49"/>
      <c r="B1668" s="49"/>
      <c r="C1668" s="49"/>
      <c r="D1668" s="49"/>
      <c r="E1668" s="49">
        <f>IFERROR(__xludf.DUMMYFUNCTION("""COMPUTED_VALUE"""),1.0)</f>
        <v>1</v>
      </c>
      <c r="F1668" s="112">
        <f>IFERROR(__xludf.DUMMYFUNCTION("""COMPUTED_VALUE"""),0.0)</f>
        <v>0</v>
      </c>
      <c r="G1668" s="49"/>
      <c r="H1668" s="49"/>
      <c r="I1668" s="49"/>
      <c r="J1668" s="49"/>
      <c r="K1668" s="49"/>
      <c r="L1668" s="49"/>
      <c r="M1668" s="49"/>
      <c r="N1668" s="49"/>
      <c r="O1668" s="49"/>
      <c r="P1668" s="49"/>
      <c r="Q1668" s="49"/>
      <c r="R1668" s="49"/>
      <c r="S1668" s="49"/>
      <c r="T1668" s="49"/>
      <c r="U1668" s="49"/>
      <c r="V1668" s="49"/>
      <c r="W1668" s="49"/>
      <c r="X1668" s="49"/>
      <c r="Y1668" s="49"/>
      <c r="Z1668" s="49"/>
      <c r="AA1668" s="49"/>
      <c r="AB1668" s="49"/>
      <c r="AC1668" s="49"/>
      <c r="AD1668" s="49"/>
      <c r="AE1668" s="49"/>
      <c r="AF1668" s="49"/>
      <c r="AG1668" s="49"/>
      <c r="AH1668" s="49" t="b">
        <f>IFERROR(__xludf.DUMMYFUNCTION("""COMPUTED_VALUE"""),FALSE)</f>
        <v>0</v>
      </c>
    </row>
    <row r="1669">
      <c r="A1669" s="49"/>
      <c r="B1669" s="49"/>
      <c r="C1669" s="49"/>
      <c r="D1669" s="49"/>
      <c r="E1669" s="49">
        <f>IFERROR(__xludf.DUMMYFUNCTION("""COMPUTED_VALUE"""),1.0)</f>
        <v>1</v>
      </c>
      <c r="F1669" s="112">
        <f>IFERROR(__xludf.DUMMYFUNCTION("""COMPUTED_VALUE"""),0.0)</f>
        <v>0</v>
      </c>
      <c r="G1669" s="49"/>
      <c r="H1669" s="49"/>
      <c r="I1669" s="49"/>
      <c r="J1669" s="49"/>
      <c r="K1669" s="49"/>
      <c r="L1669" s="49"/>
      <c r="M1669" s="49"/>
      <c r="N1669" s="49"/>
      <c r="O1669" s="49"/>
      <c r="P1669" s="49"/>
      <c r="Q1669" s="49"/>
      <c r="R1669" s="49"/>
      <c r="S1669" s="49"/>
      <c r="T1669" s="49"/>
      <c r="U1669" s="49"/>
      <c r="V1669" s="49"/>
      <c r="W1669" s="49"/>
      <c r="X1669" s="49"/>
      <c r="Y1669" s="49"/>
      <c r="Z1669" s="49"/>
      <c r="AA1669" s="49"/>
      <c r="AB1669" s="49"/>
      <c r="AC1669" s="49"/>
      <c r="AD1669" s="49"/>
      <c r="AE1669" s="49"/>
      <c r="AF1669" s="49"/>
      <c r="AG1669" s="49"/>
      <c r="AH1669" s="49" t="b">
        <f>IFERROR(__xludf.DUMMYFUNCTION("""COMPUTED_VALUE"""),FALSE)</f>
        <v>0</v>
      </c>
    </row>
    <row r="1670">
      <c r="A1670" s="49"/>
      <c r="B1670" s="49"/>
      <c r="C1670" s="49"/>
      <c r="D1670" s="49"/>
      <c r="E1670" s="49">
        <f>IFERROR(__xludf.DUMMYFUNCTION("""COMPUTED_VALUE"""),1.0)</f>
        <v>1</v>
      </c>
      <c r="F1670" s="112">
        <f>IFERROR(__xludf.DUMMYFUNCTION("""COMPUTED_VALUE"""),0.0)</f>
        <v>0</v>
      </c>
      <c r="G1670" s="49"/>
      <c r="H1670" s="49"/>
      <c r="I1670" s="49"/>
      <c r="J1670" s="49"/>
      <c r="K1670" s="49"/>
      <c r="L1670" s="49"/>
      <c r="M1670" s="49"/>
      <c r="N1670" s="49"/>
      <c r="O1670" s="49"/>
      <c r="P1670" s="49"/>
      <c r="Q1670" s="49"/>
      <c r="R1670" s="49"/>
      <c r="S1670" s="49"/>
      <c r="T1670" s="49"/>
      <c r="U1670" s="49"/>
      <c r="V1670" s="49"/>
      <c r="W1670" s="49"/>
      <c r="X1670" s="49"/>
      <c r="Y1670" s="49"/>
      <c r="Z1670" s="49"/>
      <c r="AA1670" s="49"/>
      <c r="AB1670" s="49"/>
      <c r="AC1670" s="49"/>
      <c r="AD1670" s="49"/>
      <c r="AE1670" s="49"/>
      <c r="AF1670" s="49"/>
      <c r="AG1670" s="49"/>
      <c r="AH1670" s="49" t="b">
        <f>IFERROR(__xludf.DUMMYFUNCTION("""COMPUTED_VALUE"""),FALSE)</f>
        <v>0</v>
      </c>
    </row>
    <row r="1671">
      <c r="A1671" s="49"/>
      <c r="B1671" s="49"/>
      <c r="C1671" s="49"/>
      <c r="D1671" s="49"/>
      <c r="E1671" s="49">
        <f>IFERROR(__xludf.DUMMYFUNCTION("""COMPUTED_VALUE"""),1.0)</f>
        <v>1</v>
      </c>
      <c r="F1671" s="112">
        <f>IFERROR(__xludf.DUMMYFUNCTION("""COMPUTED_VALUE"""),0.0)</f>
        <v>0</v>
      </c>
      <c r="G1671" s="49"/>
      <c r="H1671" s="49"/>
      <c r="I1671" s="49"/>
      <c r="J1671" s="49"/>
      <c r="K1671" s="49"/>
      <c r="L1671" s="49"/>
      <c r="M1671" s="49"/>
      <c r="N1671" s="49"/>
      <c r="O1671" s="49"/>
      <c r="P1671" s="49"/>
      <c r="Q1671" s="49"/>
      <c r="R1671" s="49"/>
      <c r="S1671" s="49"/>
      <c r="T1671" s="49"/>
      <c r="U1671" s="49"/>
      <c r="V1671" s="49"/>
      <c r="W1671" s="49"/>
      <c r="X1671" s="49"/>
      <c r="Y1671" s="49"/>
      <c r="Z1671" s="49"/>
      <c r="AA1671" s="49"/>
      <c r="AB1671" s="49"/>
      <c r="AC1671" s="49"/>
      <c r="AD1671" s="49"/>
      <c r="AE1671" s="49"/>
      <c r="AF1671" s="49"/>
      <c r="AG1671" s="49"/>
      <c r="AH1671" s="49" t="b">
        <f>IFERROR(__xludf.DUMMYFUNCTION("""COMPUTED_VALUE"""),FALSE)</f>
        <v>0</v>
      </c>
    </row>
    <row r="1672">
      <c r="A1672" s="49"/>
      <c r="B1672" s="49"/>
      <c r="C1672" s="49"/>
      <c r="D1672" s="49"/>
      <c r="E1672" s="49">
        <f>IFERROR(__xludf.DUMMYFUNCTION("""COMPUTED_VALUE"""),1.0)</f>
        <v>1</v>
      </c>
      <c r="F1672" s="112">
        <f>IFERROR(__xludf.DUMMYFUNCTION("""COMPUTED_VALUE"""),0.0)</f>
        <v>0</v>
      </c>
      <c r="G1672" s="49"/>
      <c r="H1672" s="49"/>
      <c r="I1672" s="49"/>
      <c r="J1672" s="49"/>
      <c r="K1672" s="49"/>
      <c r="L1672" s="49"/>
      <c r="M1672" s="49"/>
      <c r="N1672" s="49"/>
      <c r="O1672" s="49"/>
      <c r="P1672" s="49"/>
      <c r="Q1672" s="49"/>
      <c r="R1672" s="49"/>
      <c r="S1672" s="49"/>
      <c r="T1672" s="49"/>
      <c r="U1672" s="49"/>
      <c r="V1672" s="49"/>
      <c r="W1672" s="49"/>
      <c r="X1672" s="49"/>
      <c r="Y1672" s="49"/>
      <c r="Z1672" s="49"/>
      <c r="AA1672" s="49"/>
      <c r="AB1672" s="49"/>
      <c r="AC1672" s="49"/>
      <c r="AD1672" s="49"/>
      <c r="AE1672" s="49"/>
      <c r="AF1672" s="49"/>
      <c r="AG1672" s="49"/>
      <c r="AH1672" s="49" t="b">
        <f>IFERROR(__xludf.DUMMYFUNCTION("""COMPUTED_VALUE"""),FALSE)</f>
        <v>0</v>
      </c>
    </row>
    <row r="1673">
      <c r="A1673" s="49"/>
      <c r="B1673" s="49"/>
      <c r="C1673" s="49"/>
      <c r="D1673" s="49"/>
      <c r="E1673" s="49">
        <f>IFERROR(__xludf.DUMMYFUNCTION("""COMPUTED_VALUE"""),1.0)</f>
        <v>1</v>
      </c>
      <c r="F1673" s="112">
        <f>IFERROR(__xludf.DUMMYFUNCTION("""COMPUTED_VALUE"""),0.0)</f>
        <v>0</v>
      </c>
      <c r="G1673" s="49"/>
      <c r="H1673" s="49"/>
      <c r="I1673" s="49"/>
      <c r="J1673" s="49"/>
      <c r="K1673" s="49"/>
      <c r="L1673" s="49"/>
      <c r="M1673" s="49"/>
      <c r="N1673" s="49"/>
      <c r="O1673" s="49"/>
      <c r="P1673" s="49"/>
      <c r="Q1673" s="49"/>
      <c r="R1673" s="49"/>
      <c r="S1673" s="49"/>
      <c r="T1673" s="49"/>
      <c r="U1673" s="49"/>
      <c r="V1673" s="49"/>
      <c r="W1673" s="49"/>
      <c r="X1673" s="49"/>
      <c r="Y1673" s="49"/>
      <c r="Z1673" s="49"/>
      <c r="AA1673" s="49"/>
      <c r="AB1673" s="49"/>
      <c r="AC1673" s="49"/>
      <c r="AD1673" s="49"/>
      <c r="AE1673" s="49"/>
      <c r="AF1673" s="49"/>
      <c r="AG1673" s="49"/>
      <c r="AH1673" s="49" t="b">
        <f>IFERROR(__xludf.DUMMYFUNCTION("""COMPUTED_VALUE"""),FALSE)</f>
        <v>0</v>
      </c>
    </row>
    <row r="1674">
      <c r="A1674" s="49"/>
      <c r="B1674" s="49"/>
      <c r="C1674" s="49"/>
      <c r="D1674" s="49"/>
      <c r="E1674" s="49">
        <f>IFERROR(__xludf.DUMMYFUNCTION("""COMPUTED_VALUE"""),1.0)</f>
        <v>1</v>
      </c>
      <c r="F1674" s="112">
        <f>IFERROR(__xludf.DUMMYFUNCTION("""COMPUTED_VALUE"""),0.0)</f>
        <v>0</v>
      </c>
      <c r="G1674" s="49"/>
      <c r="H1674" s="49"/>
      <c r="I1674" s="49"/>
      <c r="J1674" s="49"/>
      <c r="K1674" s="49"/>
      <c r="L1674" s="49"/>
      <c r="M1674" s="49"/>
      <c r="N1674" s="49"/>
      <c r="O1674" s="49"/>
      <c r="P1674" s="49"/>
      <c r="Q1674" s="49"/>
      <c r="R1674" s="49"/>
      <c r="S1674" s="49"/>
      <c r="T1674" s="49"/>
      <c r="U1674" s="49"/>
      <c r="V1674" s="49"/>
      <c r="W1674" s="49"/>
      <c r="X1674" s="49"/>
      <c r="Y1674" s="49"/>
      <c r="Z1674" s="49"/>
      <c r="AA1674" s="49"/>
      <c r="AB1674" s="49"/>
      <c r="AC1674" s="49"/>
      <c r="AD1674" s="49"/>
      <c r="AE1674" s="49"/>
      <c r="AF1674" s="49"/>
      <c r="AG1674" s="49"/>
      <c r="AH1674" s="49" t="b">
        <f>IFERROR(__xludf.DUMMYFUNCTION("""COMPUTED_VALUE"""),FALSE)</f>
        <v>0</v>
      </c>
    </row>
    <row r="1675">
      <c r="A1675" s="49"/>
      <c r="B1675" s="49"/>
      <c r="C1675" s="49"/>
      <c r="D1675" s="49"/>
      <c r="E1675" s="49">
        <f>IFERROR(__xludf.DUMMYFUNCTION("""COMPUTED_VALUE"""),1.0)</f>
        <v>1</v>
      </c>
      <c r="F1675" s="112">
        <f>IFERROR(__xludf.DUMMYFUNCTION("""COMPUTED_VALUE"""),0.0)</f>
        <v>0</v>
      </c>
      <c r="G1675" s="49"/>
      <c r="H1675" s="49"/>
      <c r="I1675" s="49"/>
      <c r="J1675" s="49"/>
      <c r="K1675" s="49"/>
      <c r="L1675" s="49"/>
      <c r="M1675" s="49"/>
      <c r="N1675" s="49"/>
      <c r="O1675" s="49"/>
      <c r="P1675" s="49"/>
      <c r="Q1675" s="49"/>
      <c r="R1675" s="49"/>
      <c r="S1675" s="49"/>
      <c r="T1675" s="49"/>
      <c r="U1675" s="49"/>
      <c r="V1675" s="49"/>
      <c r="W1675" s="49"/>
      <c r="X1675" s="49"/>
      <c r="Y1675" s="49"/>
      <c r="Z1675" s="49"/>
      <c r="AA1675" s="49"/>
      <c r="AB1675" s="49"/>
      <c r="AC1675" s="49"/>
      <c r="AD1675" s="49"/>
      <c r="AE1675" s="49"/>
      <c r="AF1675" s="49"/>
      <c r="AG1675" s="49"/>
      <c r="AH1675" s="49" t="b">
        <f>IFERROR(__xludf.DUMMYFUNCTION("""COMPUTED_VALUE"""),FALSE)</f>
        <v>0</v>
      </c>
    </row>
    <row r="1676">
      <c r="A1676" s="49"/>
      <c r="B1676" s="49"/>
      <c r="C1676" s="49"/>
      <c r="D1676" s="49"/>
      <c r="E1676" s="49">
        <f>IFERROR(__xludf.DUMMYFUNCTION("""COMPUTED_VALUE"""),1.0)</f>
        <v>1</v>
      </c>
      <c r="F1676" s="112">
        <f>IFERROR(__xludf.DUMMYFUNCTION("""COMPUTED_VALUE"""),0.0)</f>
        <v>0</v>
      </c>
      <c r="G1676" s="49"/>
      <c r="H1676" s="49"/>
      <c r="I1676" s="49"/>
      <c r="J1676" s="49"/>
      <c r="K1676" s="49"/>
      <c r="L1676" s="49"/>
      <c r="M1676" s="49"/>
      <c r="N1676" s="49"/>
      <c r="O1676" s="49"/>
      <c r="P1676" s="49"/>
      <c r="Q1676" s="49"/>
      <c r="R1676" s="49"/>
      <c r="S1676" s="49"/>
      <c r="T1676" s="49"/>
      <c r="U1676" s="49"/>
      <c r="V1676" s="49"/>
      <c r="W1676" s="49"/>
      <c r="X1676" s="49"/>
      <c r="Y1676" s="49"/>
      <c r="Z1676" s="49"/>
      <c r="AA1676" s="49"/>
      <c r="AB1676" s="49"/>
      <c r="AC1676" s="49"/>
      <c r="AD1676" s="49"/>
      <c r="AE1676" s="49"/>
      <c r="AF1676" s="49"/>
      <c r="AG1676" s="49"/>
      <c r="AH1676" s="49" t="b">
        <f>IFERROR(__xludf.DUMMYFUNCTION("""COMPUTED_VALUE"""),FALSE)</f>
        <v>0</v>
      </c>
    </row>
    <row r="1677">
      <c r="A1677" s="49"/>
      <c r="B1677" s="49"/>
      <c r="C1677" s="49"/>
      <c r="D1677" s="49"/>
      <c r="E1677" s="49">
        <f>IFERROR(__xludf.DUMMYFUNCTION("""COMPUTED_VALUE"""),1.0)</f>
        <v>1</v>
      </c>
      <c r="F1677" s="112">
        <f>IFERROR(__xludf.DUMMYFUNCTION("""COMPUTED_VALUE"""),0.0)</f>
        <v>0</v>
      </c>
      <c r="G1677" s="49"/>
      <c r="H1677" s="49"/>
      <c r="I1677" s="49"/>
      <c r="J1677" s="49"/>
      <c r="K1677" s="49"/>
      <c r="L1677" s="49"/>
      <c r="M1677" s="49"/>
      <c r="N1677" s="49"/>
      <c r="O1677" s="49"/>
      <c r="P1677" s="49"/>
      <c r="Q1677" s="49"/>
      <c r="R1677" s="49"/>
      <c r="S1677" s="49"/>
      <c r="T1677" s="49"/>
      <c r="U1677" s="49"/>
      <c r="V1677" s="49"/>
      <c r="W1677" s="49"/>
      <c r="X1677" s="49"/>
      <c r="Y1677" s="49"/>
      <c r="Z1677" s="49"/>
      <c r="AA1677" s="49"/>
      <c r="AB1677" s="49"/>
      <c r="AC1677" s="49"/>
      <c r="AD1677" s="49"/>
      <c r="AE1677" s="49"/>
      <c r="AF1677" s="49"/>
      <c r="AG1677" s="49"/>
      <c r="AH1677" s="49" t="b">
        <f>IFERROR(__xludf.DUMMYFUNCTION("""COMPUTED_VALUE"""),FALSE)</f>
        <v>0</v>
      </c>
    </row>
    <row r="1678">
      <c r="A1678" s="49"/>
      <c r="B1678" s="49"/>
      <c r="C1678" s="49"/>
      <c r="D1678" s="49"/>
      <c r="E1678" s="49">
        <f>IFERROR(__xludf.DUMMYFUNCTION("""COMPUTED_VALUE"""),1.0)</f>
        <v>1</v>
      </c>
      <c r="F1678" s="112">
        <f>IFERROR(__xludf.DUMMYFUNCTION("""COMPUTED_VALUE"""),0.0)</f>
        <v>0</v>
      </c>
      <c r="G1678" s="49"/>
      <c r="H1678" s="49"/>
      <c r="I1678" s="49"/>
      <c r="J1678" s="49"/>
      <c r="K1678" s="49"/>
      <c r="L1678" s="49"/>
      <c r="M1678" s="49"/>
      <c r="N1678" s="49"/>
      <c r="O1678" s="49"/>
      <c r="P1678" s="49"/>
      <c r="Q1678" s="49"/>
      <c r="R1678" s="49"/>
      <c r="S1678" s="49"/>
      <c r="T1678" s="49"/>
      <c r="U1678" s="49"/>
      <c r="V1678" s="49"/>
      <c r="W1678" s="49"/>
      <c r="X1678" s="49"/>
      <c r="Y1678" s="49"/>
      <c r="Z1678" s="49"/>
      <c r="AA1678" s="49"/>
      <c r="AB1678" s="49"/>
      <c r="AC1678" s="49"/>
      <c r="AD1678" s="49"/>
      <c r="AE1678" s="49"/>
      <c r="AF1678" s="49"/>
      <c r="AG1678" s="49"/>
      <c r="AH1678" s="49" t="b">
        <f>IFERROR(__xludf.DUMMYFUNCTION("""COMPUTED_VALUE"""),FALSE)</f>
        <v>0</v>
      </c>
    </row>
    <row r="1679">
      <c r="A1679" s="49"/>
      <c r="B1679" s="49"/>
      <c r="C1679" s="49"/>
      <c r="D1679" s="49"/>
      <c r="E1679" s="49">
        <f>IFERROR(__xludf.DUMMYFUNCTION("""COMPUTED_VALUE"""),1.0)</f>
        <v>1</v>
      </c>
      <c r="F1679" s="112">
        <f>IFERROR(__xludf.DUMMYFUNCTION("""COMPUTED_VALUE"""),0.0)</f>
        <v>0</v>
      </c>
      <c r="G1679" s="49"/>
      <c r="H1679" s="49"/>
      <c r="I1679" s="49"/>
      <c r="J1679" s="49"/>
      <c r="K1679" s="49"/>
      <c r="L1679" s="49"/>
      <c r="M1679" s="49"/>
      <c r="N1679" s="49"/>
      <c r="O1679" s="49"/>
      <c r="P1679" s="49"/>
      <c r="Q1679" s="49"/>
      <c r="R1679" s="49"/>
      <c r="S1679" s="49"/>
      <c r="T1679" s="49"/>
      <c r="U1679" s="49"/>
      <c r="V1679" s="49"/>
      <c r="W1679" s="49"/>
      <c r="X1679" s="49"/>
      <c r="Y1679" s="49"/>
      <c r="Z1679" s="49"/>
      <c r="AA1679" s="49"/>
      <c r="AB1679" s="49"/>
      <c r="AC1679" s="49"/>
      <c r="AD1679" s="49"/>
      <c r="AE1679" s="49"/>
      <c r="AF1679" s="49"/>
      <c r="AG1679" s="49"/>
      <c r="AH1679" s="49" t="b">
        <f>IFERROR(__xludf.DUMMYFUNCTION("""COMPUTED_VALUE"""),FALSE)</f>
        <v>0</v>
      </c>
    </row>
    <row r="1680">
      <c r="A1680" s="49"/>
      <c r="B1680" s="49"/>
      <c r="C1680" s="49"/>
      <c r="D1680" s="49"/>
      <c r="E1680" s="49">
        <f>IFERROR(__xludf.DUMMYFUNCTION("""COMPUTED_VALUE"""),1.0)</f>
        <v>1</v>
      </c>
      <c r="F1680" s="112">
        <f>IFERROR(__xludf.DUMMYFUNCTION("""COMPUTED_VALUE"""),0.0)</f>
        <v>0</v>
      </c>
      <c r="G1680" s="49"/>
      <c r="H1680" s="49"/>
      <c r="I1680" s="49"/>
      <c r="J1680" s="49"/>
      <c r="K1680" s="49"/>
      <c r="L1680" s="49"/>
      <c r="M1680" s="49"/>
      <c r="N1680" s="49"/>
      <c r="O1680" s="49"/>
      <c r="P1680" s="49"/>
      <c r="Q1680" s="49"/>
      <c r="R1680" s="49"/>
      <c r="S1680" s="49"/>
      <c r="T1680" s="49"/>
      <c r="U1680" s="49"/>
      <c r="V1680" s="49"/>
      <c r="W1680" s="49"/>
      <c r="X1680" s="49"/>
      <c r="Y1680" s="49"/>
      <c r="Z1680" s="49"/>
      <c r="AA1680" s="49"/>
      <c r="AB1680" s="49"/>
      <c r="AC1680" s="49"/>
      <c r="AD1680" s="49"/>
      <c r="AE1680" s="49"/>
      <c r="AF1680" s="49"/>
      <c r="AG1680" s="49"/>
      <c r="AH1680" s="49" t="b">
        <f>IFERROR(__xludf.DUMMYFUNCTION("""COMPUTED_VALUE"""),FALSE)</f>
        <v>0</v>
      </c>
    </row>
    <row r="1681">
      <c r="A1681" s="49"/>
      <c r="B1681" s="49"/>
      <c r="C1681" s="49"/>
      <c r="D1681" s="49"/>
      <c r="E1681" s="49">
        <f>IFERROR(__xludf.DUMMYFUNCTION("""COMPUTED_VALUE"""),1.0)</f>
        <v>1</v>
      </c>
      <c r="F1681" s="112">
        <f>IFERROR(__xludf.DUMMYFUNCTION("""COMPUTED_VALUE"""),0.0)</f>
        <v>0</v>
      </c>
      <c r="G1681" s="49"/>
      <c r="H1681" s="49"/>
      <c r="I1681" s="49"/>
      <c r="J1681" s="49"/>
      <c r="K1681" s="49"/>
      <c r="L1681" s="49"/>
      <c r="M1681" s="49"/>
      <c r="N1681" s="49"/>
      <c r="O1681" s="49"/>
      <c r="P1681" s="49"/>
      <c r="Q1681" s="49"/>
      <c r="R1681" s="49"/>
      <c r="S1681" s="49"/>
      <c r="T1681" s="49"/>
      <c r="U1681" s="49"/>
      <c r="V1681" s="49"/>
      <c r="W1681" s="49"/>
      <c r="X1681" s="49"/>
      <c r="Y1681" s="49"/>
      <c r="Z1681" s="49"/>
      <c r="AA1681" s="49"/>
      <c r="AB1681" s="49"/>
      <c r="AC1681" s="49"/>
      <c r="AD1681" s="49"/>
      <c r="AE1681" s="49"/>
      <c r="AF1681" s="49"/>
      <c r="AG1681" s="49"/>
      <c r="AH1681" s="49" t="b">
        <f>IFERROR(__xludf.DUMMYFUNCTION("""COMPUTED_VALUE"""),FALSE)</f>
        <v>0</v>
      </c>
    </row>
    <row r="1682">
      <c r="A1682" s="49"/>
      <c r="B1682" s="49"/>
      <c r="C1682" s="49"/>
      <c r="D1682" s="49"/>
      <c r="E1682" s="49">
        <f>IFERROR(__xludf.DUMMYFUNCTION("""COMPUTED_VALUE"""),1.0)</f>
        <v>1</v>
      </c>
      <c r="F1682" s="112">
        <f>IFERROR(__xludf.DUMMYFUNCTION("""COMPUTED_VALUE"""),0.0)</f>
        <v>0</v>
      </c>
      <c r="G1682" s="49"/>
      <c r="H1682" s="49"/>
      <c r="I1682" s="49"/>
      <c r="J1682" s="49"/>
      <c r="K1682" s="49"/>
      <c r="L1682" s="49"/>
      <c r="M1682" s="49"/>
      <c r="N1682" s="49"/>
      <c r="O1682" s="49"/>
      <c r="P1682" s="49"/>
      <c r="Q1682" s="49"/>
      <c r="R1682" s="49"/>
      <c r="S1682" s="49"/>
      <c r="T1682" s="49"/>
      <c r="U1682" s="49"/>
      <c r="V1682" s="49"/>
      <c r="W1682" s="49"/>
      <c r="X1682" s="49"/>
      <c r="Y1682" s="49"/>
      <c r="Z1682" s="49"/>
      <c r="AA1682" s="49"/>
      <c r="AB1682" s="49"/>
      <c r="AC1682" s="49"/>
      <c r="AD1682" s="49"/>
      <c r="AE1682" s="49"/>
      <c r="AF1682" s="49"/>
      <c r="AG1682" s="49"/>
      <c r="AH1682" s="49" t="b">
        <f>IFERROR(__xludf.DUMMYFUNCTION("""COMPUTED_VALUE"""),FALSE)</f>
        <v>0</v>
      </c>
    </row>
    <row r="1683">
      <c r="A1683" s="49"/>
      <c r="B1683" s="49"/>
      <c r="C1683" s="49"/>
      <c r="D1683" s="49"/>
      <c r="E1683" s="49">
        <f>IFERROR(__xludf.DUMMYFUNCTION("""COMPUTED_VALUE"""),1.0)</f>
        <v>1</v>
      </c>
      <c r="F1683" s="112">
        <f>IFERROR(__xludf.DUMMYFUNCTION("""COMPUTED_VALUE"""),0.0)</f>
        <v>0</v>
      </c>
      <c r="G1683" s="49"/>
      <c r="H1683" s="49"/>
      <c r="I1683" s="49"/>
      <c r="J1683" s="49"/>
      <c r="K1683" s="49"/>
      <c r="L1683" s="49"/>
      <c r="M1683" s="49"/>
      <c r="N1683" s="49"/>
      <c r="O1683" s="49"/>
      <c r="P1683" s="49"/>
      <c r="Q1683" s="49"/>
      <c r="R1683" s="49"/>
      <c r="S1683" s="49"/>
      <c r="T1683" s="49"/>
      <c r="U1683" s="49"/>
      <c r="V1683" s="49"/>
      <c r="W1683" s="49"/>
      <c r="X1683" s="49"/>
      <c r="Y1683" s="49"/>
      <c r="Z1683" s="49"/>
      <c r="AA1683" s="49"/>
      <c r="AB1683" s="49"/>
      <c r="AC1683" s="49"/>
      <c r="AD1683" s="49"/>
      <c r="AE1683" s="49"/>
      <c r="AF1683" s="49"/>
      <c r="AG1683" s="49"/>
      <c r="AH1683" s="49" t="b">
        <f>IFERROR(__xludf.DUMMYFUNCTION("""COMPUTED_VALUE"""),FALSE)</f>
        <v>0</v>
      </c>
    </row>
    <row r="1684">
      <c r="A1684" s="49"/>
      <c r="B1684" s="49"/>
      <c r="C1684" s="49"/>
      <c r="D1684" s="49"/>
      <c r="E1684" s="49">
        <f>IFERROR(__xludf.DUMMYFUNCTION("""COMPUTED_VALUE"""),1.0)</f>
        <v>1</v>
      </c>
      <c r="F1684" s="112">
        <f>IFERROR(__xludf.DUMMYFUNCTION("""COMPUTED_VALUE"""),0.0)</f>
        <v>0</v>
      </c>
      <c r="G1684" s="49"/>
      <c r="H1684" s="49"/>
      <c r="I1684" s="49"/>
      <c r="J1684" s="49"/>
      <c r="K1684" s="49"/>
      <c r="L1684" s="49"/>
      <c r="M1684" s="49"/>
      <c r="N1684" s="49"/>
      <c r="O1684" s="49"/>
      <c r="P1684" s="49"/>
      <c r="Q1684" s="49"/>
      <c r="R1684" s="49"/>
      <c r="S1684" s="49"/>
      <c r="T1684" s="49"/>
      <c r="U1684" s="49"/>
      <c r="V1684" s="49"/>
      <c r="W1684" s="49"/>
      <c r="X1684" s="49"/>
      <c r="Y1684" s="49"/>
      <c r="Z1684" s="49"/>
      <c r="AA1684" s="49"/>
      <c r="AB1684" s="49"/>
      <c r="AC1684" s="49"/>
      <c r="AD1684" s="49"/>
      <c r="AE1684" s="49"/>
      <c r="AF1684" s="49"/>
      <c r="AG1684" s="49"/>
      <c r="AH1684" s="49" t="b">
        <f>IFERROR(__xludf.DUMMYFUNCTION("""COMPUTED_VALUE"""),FALSE)</f>
        <v>0</v>
      </c>
    </row>
    <row r="1685">
      <c r="A1685" s="49"/>
      <c r="B1685" s="49"/>
      <c r="C1685" s="49"/>
      <c r="D1685" s="49"/>
      <c r="E1685" s="49">
        <f>IFERROR(__xludf.DUMMYFUNCTION("""COMPUTED_VALUE"""),1.0)</f>
        <v>1</v>
      </c>
      <c r="F1685" s="112">
        <f>IFERROR(__xludf.DUMMYFUNCTION("""COMPUTED_VALUE"""),0.0)</f>
        <v>0</v>
      </c>
      <c r="G1685" s="49"/>
      <c r="H1685" s="49"/>
      <c r="I1685" s="49"/>
      <c r="J1685" s="49"/>
      <c r="K1685" s="49"/>
      <c r="L1685" s="49"/>
      <c r="M1685" s="49"/>
      <c r="N1685" s="49"/>
      <c r="O1685" s="49"/>
      <c r="P1685" s="49"/>
      <c r="Q1685" s="49"/>
      <c r="R1685" s="49"/>
      <c r="S1685" s="49"/>
      <c r="T1685" s="49"/>
      <c r="U1685" s="49"/>
      <c r="V1685" s="49"/>
      <c r="W1685" s="49"/>
      <c r="X1685" s="49"/>
      <c r="Y1685" s="49"/>
      <c r="Z1685" s="49"/>
      <c r="AA1685" s="49"/>
      <c r="AB1685" s="49"/>
      <c r="AC1685" s="49"/>
      <c r="AD1685" s="49"/>
      <c r="AE1685" s="49"/>
      <c r="AF1685" s="49"/>
      <c r="AG1685" s="49"/>
      <c r="AH1685" s="49" t="b">
        <f>IFERROR(__xludf.DUMMYFUNCTION("""COMPUTED_VALUE"""),FALSE)</f>
        <v>0</v>
      </c>
    </row>
    <row r="1686">
      <c r="A1686" s="49"/>
      <c r="B1686" s="49"/>
      <c r="C1686" s="49"/>
      <c r="D1686" s="49"/>
      <c r="E1686" s="49">
        <f>IFERROR(__xludf.DUMMYFUNCTION("""COMPUTED_VALUE"""),1.0)</f>
        <v>1</v>
      </c>
      <c r="F1686" s="112">
        <f>IFERROR(__xludf.DUMMYFUNCTION("""COMPUTED_VALUE"""),0.0)</f>
        <v>0</v>
      </c>
      <c r="G1686" s="49"/>
      <c r="H1686" s="49"/>
      <c r="I1686" s="49"/>
      <c r="J1686" s="49"/>
      <c r="K1686" s="49"/>
      <c r="L1686" s="49"/>
      <c r="M1686" s="49"/>
      <c r="N1686" s="49"/>
      <c r="O1686" s="49"/>
      <c r="P1686" s="49"/>
      <c r="Q1686" s="49"/>
      <c r="R1686" s="49"/>
      <c r="S1686" s="49"/>
      <c r="T1686" s="49"/>
      <c r="U1686" s="49"/>
      <c r="V1686" s="49"/>
      <c r="W1686" s="49"/>
      <c r="X1686" s="49"/>
      <c r="Y1686" s="49"/>
      <c r="Z1686" s="49"/>
      <c r="AA1686" s="49"/>
      <c r="AB1686" s="49"/>
      <c r="AC1686" s="49"/>
      <c r="AD1686" s="49"/>
      <c r="AE1686" s="49"/>
      <c r="AF1686" s="49"/>
      <c r="AG1686" s="49"/>
      <c r="AH1686" s="49" t="b">
        <f>IFERROR(__xludf.DUMMYFUNCTION("""COMPUTED_VALUE"""),FALSE)</f>
        <v>0</v>
      </c>
    </row>
    <row r="1687">
      <c r="A1687" s="49"/>
      <c r="B1687" s="49"/>
      <c r="C1687" s="49"/>
      <c r="D1687" s="49"/>
      <c r="E1687" s="49">
        <f>IFERROR(__xludf.DUMMYFUNCTION("""COMPUTED_VALUE"""),1.0)</f>
        <v>1</v>
      </c>
      <c r="F1687" s="112">
        <f>IFERROR(__xludf.DUMMYFUNCTION("""COMPUTED_VALUE"""),0.0)</f>
        <v>0</v>
      </c>
      <c r="G1687" s="49"/>
      <c r="H1687" s="49"/>
      <c r="I1687" s="49"/>
      <c r="J1687" s="49"/>
      <c r="K1687" s="49"/>
      <c r="L1687" s="49"/>
      <c r="M1687" s="49"/>
      <c r="N1687" s="49"/>
      <c r="O1687" s="49"/>
      <c r="P1687" s="49"/>
      <c r="Q1687" s="49"/>
      <c r="R1687" s="49"/>
      <c r="S1687" s="49"/>
      <c r="T1687" s="49"/>
      <c r="U1687" s="49"/>
      <c r="V1687" s="49"/>
      <c r="W1687" s="49"/>
      <c r="X1687" s="49"/>
      <c r="Y1687" s="49"/>
      <c r="Z1687" s="49"/>
      <c r="AA1687" s="49"/>
      <c r="AB1687" s="49"/>
      <c r="AC1687" s="49"/>
      <c r="AD1687" s="49"/>
      <c r="AE1687" s="49"/>
      <c r="AF1687" s="49"/>
      <c r="AG1687" s="49"/>
      <c r="AH1687" s="49" t="b">
        <f>IFERROR(__xludf.DUMMYFUNCTION("""COMPUTED_VALUE"""),FALSE)</f>
        <v>0</v>
      </c>
    </row>
    <row r="1688">
      <c r="A1688" s="49"/>
      <c r="B1688" s="49"/>
      <c r="C1688" s="49"/>
      <c r="D1688" s="49"/>
      <c r="E1688" s="49">
        <f>IFERROR(__xludf.DUMMYFUNCTION("""COMPUTED_VALUE"""),1.0)</f>
        <v>1</v>
      </c>
      <c r="F1688" s="112">
        <f>IFERROR(__xludf.DUMMYFUNCTION("""COMPUTED_VALUE"""),0.0)</f>
        <v>0</v>
      </c>
      <c r="G1688" s="49"/>
      <c r="H1688" s="49"/>
      <c r="I1688" s="49"/>
      <c r="J1688" s="49"/>
      <c r="K1688" s="49"/>
      <c r="L1688" s="49"/>
      <c r="M1688" s="49"/>
      <c r="N1688" s="49"/>
      <c r="O1688" s="49"/>
      <c r="P1688" s="49"/>
      <c r="Q1688" s="49"/>
      <c r="R1688" s="49"/>
      <c r="S1688" s="49"/>
      <c r="T1688" s="49"/>
      <c r="U1688" s="49"/>
      <c r="V1688" s="49"/>
      <c r="W1688" s="49"/>
      <c r="X1688" s="49"/>
      <c r="Y1688" s="49"/>
      <c r="Z1688" s="49"/>
      <c r="AA1688" s="49"/>
      <c r="AB1688" s="49"/>
      <c r="AC1688" s="49"/>
      <c r="AD1688" s="49"/>
      <c r="AE1688" s="49"/>
      <c r="AF1688" s="49"/>
      <c r="AG1688" s="49"/>
      <c r="AH1688" s="49" t="b">
        <f>IFERROR(__xludf.DUMMYFUNCTION("""COMPUTED_VALUE"""),FALSE)</f>
        <v>0</v>
      </c>
    </row>
    <row r="1689">
      <c r="A1689" s="49"/>
      <c r="B1689" s="49"/>
      <c r="C1689" s="49"/>
      <c r="D1689" s="49"/>
      <c r="E1689" s="49">
        <f>IFERROR(__xludf.DUMMYFUNCTION("""COMPUTED_VALUE"""),1.0)</f>
        <v>1</v>
      </c>
      <c r="F1689" s="112">
        <f>IFERROR(__xludf.DUMMYFUNCTION("""COMPUTED_VALUE"""),0.0)</f>
        <v>0</v>
      </c>
      <c r="G1689" s="49"/>
      <c r="H1689" s="49"/>
      <c r="I1689" s="49"/>
      <c r="J1689" s="49"/>
      <c r="K1689" s="49"/>
      <c r="L1689" s="49"/>
      <c r="M1689" s="49"/>
      <c r="N1689" s="49"/>
      <c r="O1689" s="49"/>
      <c r="P1689" s="49"/>
      <c r="Q1689" s="49"/>
      <c r="R1689" s="49"/>
      <c r="S1689" s="49"/>
      <c r="T1689" s="49"/>
      <c r="U1689" s="49"/>
      <c r="V1689" s="49"/>
      <c r="W1689" s="49"/>
      <c r="X1689" s="49"/>
      <c r="Y1689" s="49"/>
      <c r="Z1689" s="49"/>
      <c r="AA1689" s="49"/>
      <c r="AB1689" s="49"/>
      <c r="AC1689" s="49"/>
      <c r="AD1689" s="49"/>
      <c r="AE1689" s="49"/>
      <c r="AF1689" s="49"/>
      <c r="AG1689" s="49"/>
      <c r="AH1689" s="49" t="b">
        <f>IFERROR(__xludf.DUMMYFUNCTION("""COMPUTED_VALUE"""),FALSE)</f>
        <v>0</v>
      </c>
    </row>
    <row r="1690">
      <c r="A1690" s="49"/>
      <c r="B1690" s="49"/>
      <c r="C1690" s="49"/>
      <c r="D1690" s="49"/>
      <c r="E1690" s="49">
        <f>IFERROR(__xludf.DUMMYFUNCTION("""COMPUTED_VALUE"""),1.0)</f>
        <v>1</v>
      </c>
      <c r="F1690" s="112">
        <f>IFERROR(__xludf.DUMMYFUNCTION("""COMPUTED_VALUE"""),0.0)</f>
        <v>0</v>
      </c>
      <c r="G1690" s="49"/>
      <c r="H1690" s="49"/>
      <c r="I1690" s="49"/>
      <c r="J1690" s="49"/>
      <c r="K1690" s="49"/>
      <c r="L1690" s="49"/>
      <c r="M1690" s="49"/>
      <c r="N1690" s="49"/>
      <c r="O1690" s="49"/>
      <c r="P1690" s="49"/>
      <c r="Q1690" s="49"/>
      <c r="R1690" s="49"/>
      <c r="S1690" s="49"/>
      <c r="T1690" s="49"/>
      <c r="U1690" s="49"/>
      <c r="V1690" s="49"/>
      <c r="W1690" s="49"/>
      <c r="X1690" s="49"/>
      <c r="Y1690" s="49"/>
      <c r="Z1690" s="49"/>
      <c r="AA1690" s="49"/>
      <c r="AB1690" s="49"/>
      <c r="AC1690" s="49"/>
      <c r="AD1690" s="49"/>
      <c r="AE1690" s="49"/>
      <c r="AF1690" s="49"/>
      <c r="AG1690" s="49"/>
      <c r="AH1690" s="49" t="b">
        <f>IFERROR(__xludf.DUMMYFUNCTION("""COMPUTED_VALUE"""),FALSE)</f>
        <v>0</v>
      </c>
    </row>
    <row r="1691">
      <c r="A1691" s="49"/>
      <c r="B1691" s="49"/>
      <c r="C1691" s="49"/>
      <c r="D1691" s="49"/>
      <c r="E1691" s="49">
        <f>IFERROR(__xludf.DUMMYFUNCTION("""COMPUTED_VALUE"""),1.0)</f>
        <v>1</v>
      </c>
      <c r="F1691" s="112">
        <f>IFERROR(__xludf.DUMMYFUNCTION("""COMPUTED_VALUE"""),0.0)</f>
        <v>0</v>
      </c>
      <c r="G1691" s="49"/>
      <c r="H1691" s="49"/>
      <c r="I1691" s="49"/>
      <c r="J1691" s="49"/>
      <c r="K1691" s="49"/>
      <c r="L1691" s="49"/>
      <c r="M1691" s="49"/>
      <c r="N1691" s="49"/>
      <c r="O1691" s="49"/>
      <c r="P1691" s="49"/>
      <c r="Q1691" s="49"/>
      <c r="R1691" s="49"/>
      <c r="S1691" s="49"/>
      <c r="T1691" s="49"/>
      <c r="U1691" s="49"/>
      <c r="V1691" s="49"/>
      <c r="W1691" s="49"/>
      <c r="X1691" s="49"/>
      <c r="Y1691" s="49"/>
      <c r="Z1691" s="49"/>
      <c r="AA1691" s="49"/>
      <c r="AB1691" s="49"/>
      <c r="AC1691" s="49"/>
      <c r="AD1691" s="49"/>
      <c r="AE1691" s="49"/>
      <c r="AF1691" s="49"/>
      <c r="AG1691" s="49"/>
      <c r="AH1691" s="49" t="b">
        <f>IFERROR(__xludf.DUMMYFUNCTION("""COMPUTED_VALUE"""),FALSE)</f>
        <v>0</v>
      </c>
    </row>
    <row r="1692">
      <c r="A1692" s="49"/>
      <c r="B1692" s="49"/>
      <c r="C1692" s="49"/>
      <c r="D1692" s="49"/>
      <c r="E1692" s="49">
        <f>IFERROR(__xludf.DUMMYFUNCTION("""COMPUTED_VALUE"""),1.0)</f>
        <v>1</v>
      </c>
      <c r="F1692" s="112">
        <f>IFERROR(__xludf.DUMMYFUNCTION("""COMPUTED_VALUE"""),0.0)</f>
        <v>0</v>
      </c>
      <c r="G1692" s="49"/>
      <c r="H1692" s="49"/>
      <c r="I1692" s="49"/>
      <c r="J1692" s="49"/>
      <c r="K1692" s="49"/>
      <c r="L1692" s="49"/>
      <c r="M1692" s="49"/>
      <c r="N1692" s="49"/>
      <c r="O1692" s="49"/>
      <c r="P1692" s="49"/>
      <c r="Q1692" s="49"/>
      <c r="R1692" s="49"/>
      <c r="S1692" s="49"/>
      <c r="T1692" s="49"/>
      <c r="U1692" s="49"/>
      <c r="V1692" s="49"/>
      <c r="W1692" s="49"/>
      <c r="X1692" s="49"/>
      <c r="Y1692" s="49"/>
      <c r="Z1692" s="49"/>
      <c r="AA1692" s="49"/>
      <c r="AB1692" s="49"/>
      <c r="AC1692" s="49"/>
      <c r="AD1692" s="49"/>
      <c r="AE1692" s="49"/>
      <c r="AF1692" s="49"/>
      <c r="AG1692" s="49"/>
      <c r="AH1692" s="49" t="b">
        <f>IFERROR(__xludf.DUMMYFUNCTION("""COMPUTED_VALUE"""),FALSE)</f>
        <v>0</v>
      </c>
    </row>
    <row r="1693">
      <c r="A1693" s="49"/>
      <c r="B1693" s="49"/>
      <c r="C1693" s="49"/>
      <c r="D1693" s="49"/>
      <c r="E1693" s="49">
        <f>IFERROR(__xludf.DUMMYFUNCTION("""COMPUTED_VALUE"""),1.0)</f>
        <v>1</v>
      </c>
      <c r="F1693" s="112">
        <f>IFERROR(__xludf.DUMMYFUNCTION("""COMPUTED_VALUE"""),0.0)</f>
        <v>0</v>
      </c>
      <c r="G1693" s="49"/>
      <c r="H1693" s="49"/>
      <c r="I1693" s="49"/>
      <c r="J1693" s="49"/>
      <c r="K1693" s="49"/>
      <c r="L1693" s="49"/>
      <c r="M1693" s="49"/>
      <c r="N1693" s="49"/>
      <c r="O1693" s="49"/>
      <c r="P1693" s="49"/>
      <c r="Q1693" s="49"/>
      <c r="R1693" s="49"/>
      <c r="S1693" s="49"/>
      <c r="T1693" s="49"/>
      <c r="U1693" s="49"/>
      <c r="V1693" s="49"/>
      <c r="W1693" s="49"/>
      <c r="X1693" s="49"/>
      <c r="Y1693" s="49"/>
      <c r="Z1693" s="49"/>
      <c r="AA1693" s="49"/>
      <c r="AB1693" s="49"/>
      <c r="AC1693" s="49"/>
      <c r="AD1693" s="49"/>
      <c r="AE1693" s="49"/>
      <c r="AF1693" s="49"/>
      <c r="AG1693" s="49"/>
      <c r="AH1693" s="49" t="b">
        <f>IFERROR(__xludf.DUMMYFUNCTION("""COMPUTED_VALUE"""),FALSE)</f>
        <v>0</v>
      </c>
    </row>
    <row r="1694">
      <c r="A1694" s="49"/>
      <c r="B1694" s="49"/>
      <c r="C1694" s="49"/>
      <c r="D1694" s="49"/>
      <c r="E1694" s="49">
        <f>IFERROR(__xludf.DUMMYFUNCTION("""COMPUTED_VALUE"""),1.0)</f>
        <v>1</v>
      </c>
      <c r="F1694" s="112">
        <f>IFERROR(__xludf.DUMMYFUNCTION("""COMPUTED_VALUE"""),0.0)</f>
        <v>0</v>
      </c>
      <c r="G1694" s="49"/>
      <c r="H1694" s="49"/>
      <c r="I1694" s="49"/>
      <c r="J1694" s="49"/>
      <c r="K1694" s="49"/>
      <c r="L1694" s="49"/>
      <c r="M1694" s="49"/>
      <c r="N1694" s="49"/>
      <c r="O1694" s="49"/>
      <c r="P1694" s="49"/>
      <c r="Q1694" s="49"/>
      <c r="R1694" s="49"/>
      <c r="S1694" s="49"/>
      <c r="T1694" s="49"/>
      <c r="U1694" s="49"/>
      <c r="V1694" s="49"/>
      <c r="W1694" s="49"/>
      <c r="X1694" s="49"/>
      <c r="Y1694" s="49"/>
      <c r="Z1694" s="49"/>
      <c r="AA1694" s="49"/>
      <c r="AB1694" s="49"/>
      <c r="AC1694" s="49"/>
      <c r="AD1694" s="49"/>
      <c r="AE1694" s="49"/>
      <c r="AF1694" s="49"/>
      <c r="AG1694" s="49"/>
      <c r="AH1694" s="49" t="b">
        <f>IFERROR(__xludf.DUMMYFUNCTION("""COMPUTED_VALUE"""),FALSE)</f>
        <v>0</v>
      </c>
    </row>
    <row r="1695">
      <c r="A1695" s="49"/>
      <c r="B1695" s="49"/>
      <c r="C1695" s="49"/>
      <c r="D1695" s="49"/>
      <c r="E1695" s="49">
        <f>IFERROR(__xludf.DUMMYFUNCTION("""COMPUTED_VALUE"""),1.0)</f>
        <v>1</v>
      </c>
      <c r="F1695" s="112">
        <f>IFERROR(__xludf.DUMMYFUNCTION("""COMPUTED_VALUE"""),0.0)</f>
        <v>0</v>
      </c>
      <c r="G1695" s="49"/>
      <c r="H1695" s="49"/>
      <c r="I1695" s="49"/>
      <c r="J1695" s="49"/>
      <c r="K1695" s="49"/>
      <c r="L1695" s="49"/>
      <c r="M1695" s="49"/>
      <c r="N1695" s="49"/>
      <c r="O1695" s="49"/>
      <c r="P1695" s="49"/>
      <c r="Q1695" s="49"/>
      <c r="R1695" s="49"/>
      <c r="S1695" s="49"/>
      <c r="T1695" s="49"/>
      <c r="U1695" s="49"/>
      <c r="V1695" s="49"/>
      <c r="W1695" s="49"/>
      <c r="X1695" s="49"/>
      <c r="Y1695" s="49"/>
      <c r="Z1695" s="49"/>
      <c r="AA1695" s="49"/>
      <c r="AB1695" s="49"/>
      <c r="AC1695" s="49"/>
      <c r="AD1695" s="49"/>
      <c r="AE1695" s="49"/>
      <c r="AF1695" s="49"/>
      <c r="AG1695" s="49"/>
      <c r="AH1695" s="49" t="b">
        <f>IFERROR(__xludf.DUMMYFUNCTION("""COMPUTED_VALUE"""),FALSE)</f>
        <v>0</v>
      </c>
    </row>
    <row r="1696">
      <c r="A1696" s="49"/>
      <c r="B1696" s="49"/>
      <c r="C1696" s="49"/>
      <c r="D1696" s="49"/>
      <c r="E1696" s="49">
        <f>IFERROR(__xludf.DUMMYFUNCTION("""COMPUTED_VALUE"""),1.0)</f>
        <v>1</v>
      </c>
      <c r="F1696" s="112">
        <f>IFERROR(__xludf.DUMMYFUNCTION("""COMPUTED_VALUE"""),0.0)</f>
        <v>0</v>
      </c>
      <c r="G1696" s="49"/>
      <c r="H1696" s="49"/>
      <c r="I1696" s="49"/>
      <c r="J1696" s="49"/>
      <c r="K1696" s="49"/>
      <c r="L1696" s="49"/>
      <c r="M1696" s="49"/>
      <c r="N1696" s="49"/>
      <c r="O1696" s="49"/>
      <c r="P1696" s="49"/>
      <c r="Q1696" s="49"/>
      <c r="R1696" s="49"/>
      <c r="S1696" s="49"/>
      <c r="T1696" s="49"/>
      <c r="U1696" s="49"/>
      <c r="V1696" s="49"/>
      <c r="W1696" s="49"/>
      <c r="X1696" s="49"/>
      <c r="Y1696" s="49"/>
      <c r="Z1696" s="49"/>
      <c r="AA1696" s="49"/>
      <c r="AB1696" s="49"/>
      <c r="AC1696" s="49"/>
      <c r="AD1696" s="49"/>
      <c r="AE1696" s="49"/>
      <c r="AF1696" s="49"/>
      <c r="AG1696" s="49"/>
      <c r="AH1696" s="49" t="b">
        <f>IFERROR(__xludf.DUMMYFUNCTION("""COMPUTED_VALUE"""),FALSE)</f>
        <v>0</v>
      </c>
    </row>
    <row r="1697">
      <c r="A1697" s="49"/>
      <c r="B1697" s="49"/>
      <c r="C1697" s="49"/>
      <c r="D1697" s="49"/>
      <c r="E1697" s="49">
        <f>IFERROR(__xludf.DUMMYFUNCTION("""COMPUTED_VALUE"""),1.0)</f>
        <v>1</v>
      </c>
      <c r="F1697" s="112">
        <f>IFERROR(__xludf.DUMMYFUNCTION("""COMPUTED_VALUE"""),0.0)</f>
        <v>0</v>
      </c>
      <c r="G1697" s="49"/>
      <c r="H1697" s="49"/>
      <c r="I1697" s="49"/>
      <c r="J1697" s="49"/>
      <c r="K1697" s="49"/>
      <c r="L1697" s="49"/>
      <c r="M1697" s="49"/>
      <c r="N1697" s="49"/>
      <c r="O1697" s="49"/>
      <c r="P1697" s="49"/>
      <c r="Q1697" s="49"/>
      <c r="R1697" s="49"/>
      <c r="S1697" s="49"/>
      <c r="T1697" s="49"/>
      <c r="U1697" s="49"/>
      <c r="V1697" s="49"/>
      <c r="W1697" s="49"/>
      <c r="X1697" s="49"/>
      <c r="Y1697" s="49"/>
      <c r="Z1697" s="49"/>
      <c r="AA1697" s="49"/>
      <c r="AB1697" s="49"/>
      <c r="AC1697" s="49"/>
      <c r="AD1697" s="49"/>
      <c r="AE1697" s="49"/>
      <c r="AF1697" s="49"/>
      <c r="AG1697" s="49"/>
      <c r="AH1697" s="49" t="b">
        <f>IFERROR(__xludf.DUMMYFUNCTION("""COMPUTED_VALUE"""),FALSE)</f>
        <v>0</v>
      </c>
    </row>
    <row r="1698">
      <c r="A1698" s="49"/>
      <c r="B1698" s="49"/>
      <c r="C1698" s="49"/>
      <c r="D1698" s="49"/>
      <c r="E1698" s="49">
        <f>IFERROR(__xludf.DUMMYFUNCTION("""COMPUTED_VALUE"""),1.0)</f>
        <v>1</v>
      </c>
      <c r="F1698" s="112">
        <f>IFERROR(__xludf.DUMMYFUNCTION("""COMPUTED_VALUE"""),0.0)</f>
        <v>0</v>
      </c>
      <c r="G1698" s="49"/>
      <c r="H1698" s="49"/>
      <c r="I1698" s="49"/>
      <c r="J1698" s="49"/>
      <c r="K1698" s="49"/>
      <c r="L1698" s="49"/>
      <c r="M1698" s="49"/>
      <c r="N1698" s="49"/>
      <c r="O1698" s="49"/>
      <c r="P1698" s="49"/>
      <c r="Q1698" s="49"/>
      <c r="R1698" s="49"/>
      <c r="S1698" s="49"/>
      <c r="T1698" s="49"/>
      <c r="U1698" s="49"/>
      <c r="V1698" s="49"/>
      <c r="W1698" s="49"/>
      <c r="X1698" s="49"/>
      <c r="Y1698" s="49"/>
      <c r="Z1698" s="49"/>
      <c r="AA1698" s="49"/>
      <c r="AB1698" s="49"/>
      <c r="AC1698" s="49"/>
      <c r="AD1698" s="49"/>
      <c r="AE1698" s="49"/>
      <c r="AF1698" s="49"/>
      <c r="AG1698" s="49"/>
      <c r="AH1698" s="49" t="b">
        <f>IFERROR(__xludf.DUMMYFUNCTION("""COMPUTED_VALUE"""),FALSE)</f>
        <v>0</v>
      </c>
    </row>
    <row r="1699">
      <c r="A1699" s="49"/>
      <c r="B1699" s="49"/>
      <c r="C1699" s="49"/>
      <c r="D1699" s="49"/>
      <c r="E1699" s="49">
        <f>IFERROR(__xludf.DUMMYFUNCTION("""COMPUTED_VALUE"""),1.0)</f>
        <v>1</v>
      </c>
      <c r="F1699" s="112">
        <f>IFERROR(__xludf.DUMMYFUNCTION("""COMPUTED_VALUE"""),0.0)</f>
        <v>0</v>
      </c>
      <c r="G1699" s="49"/>
      <c r="H1699" s="49"/>
      <c r="I1699" s="49"/>
      <c r="J1699" s="49"/>
      <c r="K1699" s="49"/>
      <c r="L1699" s="49"/>
      <c r="M1699" s="49"/>
      <c r="N1699" s="49"/>
      <c r="O1699" s="49"/>
      <c r="P1699" s="49"/>
      <c r="Q1699" s="49"/>
      <c r="R1699" s="49"/>
      <c r="S1699" s="49"/>
      <c r="T1699" s="49"/>
      <c r="U1699" s="49"/>
      <c r="V1699" s="49"/>
      <c r="W1699" s="49"/>
      <c r="X1699" s="49"/>
      <c r="Y1699" s="49"/>
      <c r="Z1699" s="49"/>
      <c r="AA1699" s="49"/>
      <c r="AB1699" s="49"/>
      <c r="AC1699" s="49"/>
      <c r="AD1699" s="49"/>
      <c r="AE1699" s="49"/>
      <c r="AF1699" s="49"/>
      <c r="AG1699" s="49"/>
      <c r="AH1699" s="49" t="b">
        <f>IFERROR(__xludf.DUMMYFUNCTION("""COMPUTED_VALUE"""),FALSE)</f>
        <v>0</v>
      </c>
    </row>
    <row r="1700">
      <c r="A1700" s="49"/>
      <c r="B1700" s="49"/>
      <c r="C1700" s="49"/>
      <c r="D1700" s="49"/>
      <c r="E1700" s="49">
        <f>IFERROR(__xludf.DUMMYFUNCTION("""COMPUTED_VALUE"""),1.0)</f>
        <v>1</v>
      </c>
      <c r="F1700" s="112">
        <f>IFERROR(__xludf.DUMMYFUNCTION("""COMPUTED_VALUE"""),0.0)</f>
        <v>0</v>
      </c>
      <c r="G1700" s="49"/>
      <c r="H1700" s="49"/>
      <c r="I1700" s="49"/>
      <c r="J1700" s="49"/>
      <c r="K1700" s="49"/>
      <c r="L1700" s="49"/>
      <c r="M1700" s="49"/>
      <c r="N1700" s="49"/>
      <c r="O1700" s="49"/>
      <c r="P1700" s="49"/>
      <c r="Q1700" s="49"/>
      <c r="R1700" s="49"/>
      <c r="S1700" s="49"/>
      <c r="T1700" s="49"/>
      <c r="U1700" s="49"/>
      <c r="V1700" s="49"/>
      <c r="W1700" s="49"/>
      <c r="X1700" s="49"/>
      <c r="Y1700" s="49"/>
      <c r="Z1700" s="49"/>
      <c r="AA1700" s="49"/>
      <c r="AB1700" s="49"/>
      <c r="AC1700" s="49"/>
      <c r="AD1700" s="49"/>
      <c r="AE1700" s="49"/>
      <c r="AF1700" s="49"/>
      <c r="AG1700" s="49"/>
      <c r="AH1700" s="49" t="b">
        <f>IFERROR(__xludf.DUMMYFUNCTION("""COMPUTED_VALUE"""),FALSE)</f>
        <v>0</v>
      </c>
    </row>
    <row r="1701">
      <c r="A1701" s="49"/>
      <c r="B1701" s="49"/>
      <c r="C1701" s="49"/>
      <c r="D1701" s="49"/>
      <c r="E1701" s="49">
        <f>IFERROR(__xludf.DUMMYFUNCTION("""COMPUTED_VALUE"""),1.0)</f>
        <v>1</v>
      </c>
      <c r="F1701" s="112">
        <f>IFERROR(__xludf.DUMMYFUNCTION("""COMPUTED_VALUE"""),0.0)</f>
        <v>0</v>
      </c>
      <c r="G1701" s="49"/>
      <c r="H1701" s="49"/>
      <c r="I1701" s="49"/>
      <c r="J1701" s="49"/>
      <c r="K1701" s="49"/>
      <c r="L1701" s="49"/>
      <c r="M1701" s="49"/>
      <c r="N1701" s="49"/>
      <c r="O1701" s="49"/>
      <c r="P1701" s="49"/>
      <c r="Q1701" s="49"/>
      <c r="R1701" s="49"/>
      <c r="S1701" s="49"/>
      <c r="T1701" s="49"/>
      <c r="U1701" s="49"/>
      <c r="V1701" s="49"/>
      <c r="W1701" s="49"/>
      <c r="X1701" s="49"/>
      <c r="Y1701" s="49"/>
      <c r="Z1701" s="49"/>
      <c r="AA1701" s="49"/>
      <c r="AB1701" s="49"/>
      <c r="AC1701" s="49"/>
      <c r="AD1701" s="49"/>
      <c r="AE1701" s="49"/>
      <c r="AF1701" s="49"/>
      <c r="AG1701" s="49"/>
      <c r="AH1701" s="49" t="b">
        <f>IFERROR(__xludf.DUMMYFUNCTION("""COMPUTED_VALUE"""),FALSE)</f>
        <v>0</v>
      </c>
    </row>
    <row r="1702">
      <c r="A1702" s="49"/>
      <c r="B1702" s="49"/>
      <c r="C1702" s="49"/>
      <c r="D1702" s="49"/>
      <c r="E1702" s="49">
        <f>IFERROR(__xludf.DUMMYFUNCTION("""COMPUTED_VALUE"""),1.0)</f>
        <v>1</v>
      </c>
      <c r="F1702" s="112">
        <f>IFERROR(__xludf.DUMMYFUNCTION("""COMPUTED_VALUE"""),0.0)</f>
        <v>0</v>
      </c>
      <c r="G1702" s="49"/>
      <c r="H1702" s="49"/>
      <c r="I1702" s="49"/>
      <c r="J1702" s="49"/>
      <c r="K1702" s="49"/>
      <c r="L1702" s="49"/>
      <c r="M1702" s="49"/>
      <c r="N1702" s="49"/>
      <c r="O1702" s="49"/>
      <c r="P1702" s="49"/>
      <c r="Q1702" s="49"/>
      <c r="R1702" s="49"/>
      <c r="S1702" s="49"/>
      <c r="T1702" s="49"/>
      <c r="U1702" s="49"/>
      <c r="V1702" s="49"/>
      <c r="W1702" s="49"/>
      <c r="X1702" s="49"/>
      <c r="Y1702" s="49"/>
      <c r="Z1702" s="49"/>
      <c r="AA1702" s="49"/>
      <c r="AB1702" s="49"/>
      <c r="AC1702" s="49"/>
      <c r="AD1702" s="49"/>
      <c r="AE1702" s="49"/>
      <c r="AF1702" s="49"/>
      <c r="AG1702" s="49"/>
      <c r="AH1702" s="49" t="b">
        <f>IFERROR(__xludf.DUMMYFUNCTION("""COMPUTED_VALUE"""),FALSE)</f>
        <v>0</v>
      </c>
    </row>
    <row r="1703">
      <c r="A1703" s="49"/>
      <c r="B1703" s="49"/>
      <c r="C1703" s="49"/>
      <c r="D1703" s="49"/>
      <c r="E1703" s="49">
        <f>IFERROR(__xludf.DUMMYFUNCTION("""COMPUTED_VALUE"""),1.0)</f>
        <v>1</v>
      </c>
      <c r="F1703" s="112">
        <f>IFERROR(__xludf.DUMMYFUNCTION("""COMPUTED_VALUE"""),0.0)</f>
        <v>0</v>
      </c>
      <c r="G1703" s="49"/>
      <c r="H1703" s="49"/>
      <c r="I1703" s="49"/>
      <c r="J1703" s="49"/>
      <c r="K1703" s="49"/>
      <c r="L1703" s="49"/>
      <c r="M1703" s="49"/>
      <c r="N1703" s="49"/>
      <c r="O1703" s="49"/>
      <c r="P1703" s="49"/>
      <c r="Q1703" s="49"/>
      <c r="R1703" s="49"/>
      <c r="S1703" s="49"/>
      <c r="T1703" s="49"/>
      <c r="U1703" s="49"/>
      <c r="V1703" s="49"/>
      <c r="W1703" s="49"/>
      <c r="X1703" s="49"/>
      <c r="Y1703" s="49"/>
      <c r="Z1703" s="49"/>
      <c r="AA1703" s="49"/>
      <c r="AB1703" s="49"/>
      <c r="AC1703" s="49"/>
      <c r="AD1703" s="49"/>
      <c r="AE1703" s="49"/>
      <c r="AF1703" s="49"/>
      <c r="AG1703" s="49"/>
      <c r="AH1703" s="49" t="b">
        <f>IFERROR(__xludf.DUMMYFUNCTION("""COMPUTED_VALUE"""),FALSE)</f>
        <v>0</v>
      </c>
    </row>
    <row r="1704">
      <c r="A1704" s="49"/>
      <c r="B1704" s="49"/>
      <c r="C1704" s="49"/>
      <c r="D1704" s="49"/>
      <c r="E1704" s="49">
        <f>IFERROR(__xludf.DUMMYFUNCTION("""COMPUTED_VALUE"""),1.0)</f>
        <v>1</v>
      </c>
      <c r="F1704" s="112">
        <f>IFERROR(__xludf.DUMMYFUNCTION("""COMPUTED_VALUE"""),0.0)</f>
        <v>0</v>
      </c>
      <c r="G1704" s="49"/>
      <c r="H1704" s="49"/>
      <c r="I1704" s="49"/>
      <c r="J1704" s="49"/>
      <c r="K1704" s="49"/>
      <c r="L1704" s="49"/>
      <c r="M1704" s="49"/>
      <c r="N1704" s="49"/>
      <c r="O1704" s="49"/>
      <c r="P1704" s="49"/>
      <c r="Q1704" s="49"/>
      <c r="R1704" s="49"/>
      <c r="S1704" s="49"/>
      <c r="T1704" s="49"/>
      <c r="U1704" s="49"/>
      <c r="V1704" s="49"/>
      <c r="W1704" s="49"/>
      <c r="X1704" s="49"/>
      <c r="Y1704" s="49"/>
      <c r="Z1704" s="49"/>
      <c r="AA1704" s="49"/>
      <c r="AB1704" s="49"/>
      <c r="AC1704" s="49"/>
      <c r="AD1704" s="49"/>
      <c r="AE1704" s="49"/>
      <c r="AF1704" s="49"/>
      <c r="AG1704" s="49"/>
      <c r="AH1704" s="49" t="b">
        <f>IFERROR(__xludf.DUMMYFUNCTION("""COMPUTED_VALUE"""),FALSE)</f>
        <v>0</v>
      </c>
    </row>
    <row r="1705">
      <c r="A1705" s="49"/>
      <c r="B1705" s="49"/>
      <c r="C1705" s="49"/>
      <c r="D1705" s="49"/>
      <c r="E1705" s="49">
        <f>IFERROR(__xludf.DUMMYFUNCTION("""COMPUTED_VALUE"""),1.0)</f>
        <v>1</v>
      </c>
      <c r="F1705" s="112">
        <f>IFERROR(__xludf.DUMMYFUNCTION("""COMPUTED_VALUE"""),0.0)</f>
        <v>0</v>
      </c>
      <c r="G1705" s="49"/>
      <c r="H1705" s="49"/>
      <c r="I1705" s="49"/>
      <c r="J1705" s="49"/>
      <c r="K1705" s="49"/>
      <c r="L1705" s="49"/>
      <c r="M1705" s="49"/>
      <c r="N1705" s="49"/>
      <c r="O1705" s="49"/>
      <c r="P1705" s="49"/>
      <c r="Q1705" s="49"/>
      <c r="R1705" s="49"/>
      <c r="S1705" s="49"/>
      <c r="T1705" s="49"/>
      <c r="U1705" s="49"/>
      <c r="V1705" s="49"/>
      <c r="W1705" s="49"/>
      <c r="X1705" s="49"/>
      <c r="Y1705" s="49"/>
      <c r="Z1705" s="49"/>
      <c r="AA1705" s="49"/>
      <c r="AB1705" s="49"/>
      <c r="AC1705" s="49"/>
      <c r="AD1705" s="49"/>
      <c r="AE1705" s="49"/>
      <c r="AF1705" s="49"/>
      <c r="AG1705" s="49"/>
      <c r="AH1705" s="49" t="b">
        <f>IFERROR(__xludf.DUMMYFUNCTION("""COMPUTED_VALUE"""),FALSE)</f>
        <v>0</v>
      </c>
    </row>
    <row r="1706">
      <c r="A1706" s="49"/>
      <c r="B1706" s="49"/>
      <c r="C1706" s="49"/>
      <c r="D1706" s="49"/>
      <c r="E1706" s="49">
        <f>IFERROR(__xludf.DUMMYFUNCTION("""COMPUTED_VALUE"""),1.0)</f>
        <v>1</v>
      </c>
      <c r="F1706" s="112">
        <f>IFERROR(__xludf.DUMMYFUNCTION("""COMPUTED_VALUE"""),0.0)</f>
        <v>0</v>
      </c>
      <c r="G1706" s="49"/>
      <c r="H1706" s="49"/>
      <c r="I1706" s="49"/>
      <c r="J1706" s="49"/>
      <c r="K1706" s="49"/>
      <c r="L1706" s="49"/>
      <c r="M1706" s="49"/>
      <c r="N1706" s="49"/>
      <c r="O1706" s="49"/>
      <c r="P1706" s="49"/>
      <c r="Q1706" s="49"/>
      <c r="R1706" s="49"/>
      <c r="S1706" s="49"/>
      <c r="T1706" s="49"/>
      <c r="U1706" s="49"/>
      <c r="V1706" s="49"/>
      <c r="W1706" s="49"/>
      <c r="X1706" s="49"/>
      <c r="Y1706" s="49"/>
      <c r="Z1706" s="49"/>
      <c r="AA1706" s="49"/>
      <c r="AB1706" s="49"/>
      <c r="AC1706" s="49"/>
      <c r="AD1706" s="49"/>
      <c r="AE1706" s="49"/>
      <c r="AF1706" s="49"/>
      <c r="AG1706" s="49"/>
      <c r="AH1706" s="49" t="b">
        <f>IFERROR(__xludf.DUMMYFUNCTION("""COMPUTED_VALUE"""),FALSE)</f>
        <v>0</v>
      </c>
    </row>
    <row r="1707">
      <c r="A1707" s="49"/>
      <c r="B1707" s="49"/>
      <c r="C1707" s="49"/>
      <c r="D1707" s="49"/>
      <c r="E1707" s="49">
        <f>IFERROR(__xludf.DUMMYFUNCTION("""COMPUTED_VALUE"""),1.0)</f>
        <v>1</v>
      </c>
      <c r="F1707" s="112">
        <f>IFERROR(__xludf.DUMMYFUNCTION("""COMPUTED_VALUE"""),0.0)</f>
        <v>0</v>
      </c>
      <c r="G1707" s="49"/>
      <c r="H1707" s="49"/>
      <c r="I1707" s="49"/>
      <c r="J1707" s="49"/>
      <c r="K1707" s="49"/>
      <c r="L1707" s="49"/>
      <c r="M1707" s="49"/>
      <c r="N1707" s="49"/>
      <c r="O1707" s="49"/>
      <c r="P1707" s="49"/>
      <c r="Q1707" s="49"/>
      <c r="R1707" s="49"/>
      <c r="S1707" s="49"/>
      <c r="T1707" s="49"/>
      <c r="U1707" s="49"/>
      <c r="V1707" s="49"/>
      <c r="W1707" s="49"/>
      <c r="X1707" s="49"/>
      <c r="Y1707" s="49"/>
      <c r="Z1707" s="49"/>
      <c r="AA1707" s="49"/>
      <c r="AB1707" s="49"/>
      <c r="AC1707" s="49"/>
      <c r="AD1707" s="49"/>
      <c r="AE1707" s="49"/>
      <c r="AF1707" s="49"/>
      <c r="AG1707" s="49"/>
      <c r="AH1707" s="49" t="b">
        <f>IFERROR(__xludf.DUMMYFUNCTION("""COMPUTED_VALUE"""),FALSE)</f>
        <v>0</v>
      </c>
    </row>
    <row r="1708">
      <c r="A1708" s="49"/>
      <c r="B1708" s="49"/>
      <c r="C1708" s="49"/>
      <c r="D1708" s="49"/>
      <c r="E1708" s="49">
        <f>IFERROR(__xludf.DUMMYFUNCTION("""COMPUTED_VALUE"""),1.0)</f>
        <v>1</v>
      </c>
      <c r="F1708" s="112">
        <f>IFERROR(__xludf.DUMMYFUNCTION("""COMPUTED_VALUE"""),0.0)</f>
        <v>0</v>
      </c>
      <c r="G1708" s="49"/>
      <c r="H1708" s="49"/>
      <c r="I1708" s="49"/>
      <c r="J1708" s="49"/>
      <c r="K1708" s="49"/>
      <c r="L1708" s="49"/>
      <c r="M1708" s="49"/>
      <c r="N1708" s="49"/>
      <c r="O1708" s="49"/>
      <c r="P1708" s="49"/>
      <c r="Q1708" s="49"/>
      <c r="R1708" s="49"/>
      <c r="S1708" s="49"/>
      <c r="T1708" s="49"/>
      <c r="U1708" s="49"/>
      <c r="V1708" s="49"/>
      <c r="W1708" s="49"/>
      <c r="X1708" s="49"/>
      <c r="Y1708" s="49"/>
      <c r="Z1708" s="49"/>
      <c r="AA1708" s="49"/>
      <c r="AB1708" s="49"/>
      <c r="AC1708" s="49"/>
      <c r="AD1708" s="49"/>
      <c r="AE1708" s="49"/>
      <c r="AF1708" s="49"/>
      <c r="AG1708" s="49"/>
      <c r="AH1708" s="49" t="b">
        <f>IFERROR(__xludf.DUMMYFUNCTION("""COMPUTED_VALUE"""),FALSE)</f>
        <v>0</v>
      </c>
    </row>
    <row r="1709">
      <c r="A1709" s="49"/>
      <c r="B1709" s="49"/>
      <c r="C1709" s="49"/>
      <c r="D1709" s="49"/>
      <c r="E1709" s="49">
        <f>IFERROR(__xludf.DUMMYFUNCTION("""COMPUTED_VALUE"""),1.0)</f>
        <v>1</v>
      </c>
      <c r="F1709" s="112">
        <f>IFERROR(__xludf.DUMMYFUNCTION("""COMPUTED_VALUE"""),0.0)</f>
        <v>0</v>
      </c>
      <c r="G1709" s="49"/>
      <c r="H1709" s="49"/>
      <c r="I1709" s="49"/>
      <c r="J1709" s="49"/>
      <c r="K1709" s="49"/>
      <c r="L1709" s="49"/>
      <c r="M1709" s="49"/>
      <c r="N1709" s="49"/>
      <c r="O1709" s="49"/>
      <c r="P1709" s="49"/>
      <c r="Q1709" s="49"/>
      <c r="R1709" s="49"/>
      <c r="S1709" s="49"/>
      <c r="T1709" s="49"/>
      <c r="U1709" s="49"/>
      <c r="V1709" s="49"/>
      <c r="W1709" s="49"/>
      <c r="X1709" s="49"/>
      <c r="Y1709" s="49"/>
      <c r="Z1709" s="49"/>
      <c r="AA1709" s="49"/>
      <c r="AB1709" s="49"/>
      <c r="AC1709" s="49"/>
      <c r="AD1709" s="49"/>
      <c r="AE1709" s="49"/>
      <c r="AF1709" s="49"/>
      <c r="AG1709" s="49"/>
      <c r="AH1709" s="49" t="b">
        <f>IFERROR(__xludf.DUMMYFUNCTION("""COMPUTED_VALUE"""),FALSE)</f>
        <v>0</v>
      </c>
    </row>
    <row r="1710">
      <c r="A1710" s="49"/>
      <c r="B1710" s="49"/>
      <c r="C1710" s="49"/>
      <c r="D1710" s="49"/>
      <c r="E1710" s="49">
        <f>IFERROR(__xludf.DUMMYFUNCTION("""COMPUTED_VALUE"""),1.0)</f>
        <v>1</v>
      </c>
      <c r="F1710" s="112">
        <f>IFERROR(__xludf.DUMMYFUNCTION("""COMPUTED_VALUE"""),0.0)</f>
        <v>0</v>
      </c>
      <c r="G1710" s="49"/>
      <c r="H1710" s="49"/>
      <c r="I1710" s="49"/>
      <c r="J1710" s="49"/>
      <c r="K1710" s="49"/>
      <c r="L1710" s="49"/>
      <c r="M1710" s="49"/>
      <c r="N1710" s="49"/>
      <c r="O1710" s="49"/>
      <c r="P1710" s="49"/>
      <c r="Q1710" s="49"/>
      <c r="R1710" s="49"/>
      <c r="S1710" s="49"/>
      <c r="T1710" s="49"/>
      <c r="U1710" s="49"/>
      <c r="V1710" s="49"/>
      <c r="W1710" s="49"/>
      <c r="X1710" s="49"/>
      <c r="Y1710" s="49"/>
      <c r="Z1710" s="49"/>
      <c r="AA1710" s="49"/>
      <c r="AB1710" s="49"/>
      <c r="AC1710" s="49"/>
      <c r="AD1710" s="49"/>
      <c r="AE1710" s="49"/>
      <c r="AF1710" s="49"/>
      <c r="AG1710" s="49"/>
      <c r="AH1710" s="49" t="b">
        <f>IFERROR(__xludf.DUMMYFUNCTION("""COMPUTED_VALUE"""),FALSE)</f>
        <v>0</v>
      </c>
    </row>
    <row r="1711">
      <c r="A1711" s="49"/>
      <c r="B1711" s="49"/>
      <c r="C1711" s="49"/>
      <c r="D1711" s="49"/>
      <c r="E1711" s="49">
        <f>IFERROR(__xludf.DUMMYFUNCTION("""COMPUTED_VALUE"""),1.0)</f>
        <v>1</v>
      </c>
      <c r="F1711" s="112">
        <f>IFERROR(__xludf.DUMMYFUNCTION("""COMPUTED_VALUE"""),0.0)</f>
        <v>0</v>
      </c>
      <c r="G1711" s="49"/>
      <c r="H1711" s="49"/>
      <c r="I1711" s="49"/>
      <c r="J1711" s="49"/>
      <c r="K1711" s="49"/>
      <c r="L1711" s="49"/>
      <c r="M1711" s="49"/>
      <c r="N1711" s="49"/>
      <c r="O1711" s="49"/>
      <c r="P1711" s="49"/>
      <c r="Q1711" s="49"/>
      <c r="R1711" s="49"/>
      <c r="S1711" s="49"/>
      <c r="T1711" s="49"/>
      <c r="U1711" s="49"/>
      <c r="V1711" s="49"/>
      <c r="W1711" s="49"/>
      <c r="X1711" s="49"/>
      <c r="Y1711" s="49"/>
      <c r="Z1711" s="49"/>
      <c r="AA1711" s="49"/>
      <c r="AB1711" s="49"/>
      <c r="AC1711" s="49"/>
      <c r="AD1711" s="49"/>
      <c r="AE1711" s="49"/>
      <c r="AF1711" s="49"/>
      <c r="AG1711" s="49"/>
      <c r="AH1711" s="49" t="b">
        <f>IFERROR(__xludf.DUMMYFUNCTION("""COMPUTED_VALUE"""),FALSE)</f>
        <v>0</v>
      </c>
    </row>
    <row r="1712">
      <c r="A1712" s="49"/>
      <c r="B1712" s="49"/>
      <c r="C1712" s="49"/>
      <c r="D1712" s="49"/>
      <c r="E1712" s="49">
        <f>IFERROR(__xludf.DUMMYFUNCTION("""COMPUTED_VALUE"""),1.0)</f>
        <v>1</v>
      </c>
      <c r="F1712" s="112">
        <f>IFERROR(__xludf.DUMMYFUNCTION("""COMPUTED_VALUE"""),0.0)</f>
        <v>0</v>
      </c>
      <c r="G1712" s="49"/>
      <c r="H1712" s="49"/>
      <c r="I1712" s="49"/>
      <c r="J1712" s="49"/>
      <c r="K1712" s="49"/>
      <c r="L1712" s="49"/>
      <c r="M1712" s="49"/>
      <c r="N1712" s="49"/>
      <c r="O1712" s="49"/>
      <c r="P1712" s="49"/>
      <c r="Q1712" s="49"/>
      <c r="R1712" s="49"/>
      <c r="S1712" s="49"/>
      <c r="T1712" s="49"/>
      <c r="U1712" s="49"/>
      <c r="V1712" s="49"/>
      <c r="W1712" s="49"/>
      <c r="X1712" s="49"/>
      <c r="Y1712" s="49"/>
      <c r="Z1712" s="49"/>
      <c r="AA1712" s="49"/>
      <c r="AB1712" s="49"/>
      <c r="AC1712" s="49"/>
      <c r="AD1712" s="49"/>
      <c r="AE1712" s="49"/>
      <c r="AF1712" s="49"/>
      <c r="AG1712" s="49"/>
      <c r="AH1712" s="49" t="b">
        <f>IFERROR(__xludf.DUMMYFUNCTION("""COMPUTED_VALUE"""),FALSE)</f>
        <v>0</v>
      </c>
    </row>
    <row r="1713">
      <c r="A1713" s="49"/>
      <c r="B1713" s="49"/>
      <c r="C1713" s="49"/>
      <c r="D1713" s="49"/>
      <c r="E1713" s="49">
        <f>IFERROR(__xludf.DUMMYFUNCTION("""COMPUTED_VALUE"""),1.0)</f>
        <v>1</v>
      </c>
      <c r="F1713" s="112">
        <f>IFERROR(__xludf.DUMMYFUNCTION("""COMPUTED_VALUE"""),0.0)</f>
        <v>0</v>
      </c>
      <c r="G1713" s="49"/>
      <c r="H1713" s="49"/>
      <c r="I1713" s="49"/>
      <c r="J1713" s="49"/>
      <c r="K1713" s="49"/>
      <c r="L1713" s="49"/>
      <c r="M1713" s="49"/>
      <c r="N1713" s="49"/>
      <c r="O1713" s="49"/>
      <c r="P1713" s="49"/>
      <c r="Q1713" s="49"/>
      <c r="R1713" s="49"/>
      <c r="S1713" s="49"/>
      <c r="T1713" s="49"/>
      <c r="U1713" s="49"/>
      <c r="V1713" s="49"/>
      <c r="W1713" s="49"/>
      <c r="X1713" s="49"/>
      <c r="Y1713" s="49"/>
      <c r="Z1713" s="49"/>
      <c r="AA1713" s="49"/>
      <c r="AB1713" s="49"/>
      <c r="AC1713" s="49"/>
      <c r="AD1713" s="49"/>
      <c r="AE1713" s="49"/>
      <c r="AF1713" s="49"/>
      <c r="AG1713" s="49"/>
      <c r="AH1713" s="49" t="b">
        <f>IFERROR(__xludf.DUMMYFUNCTION("""COMPUTED_VALUE"""),FALSE)</f>
        <v>0</v>
      </c>
    </row>
    <row r="1714">
      <c r="A1714" s="49"/>
      <c r="B1714" s="49"/>
      <c r="C1714" s="49"/>
      <c r="D1714" s="49"/>
      <c r="E1714" s="49">
        <f>IFERROR(__xludf.DUMMYFUNCTION("""COMPUTED_VALUE"""),1.0)</f>
        <v>1</v>
      </c>
      <c r="F1714" s="112">
        <f>IFERROR(__xludf.DUMMYFUNCTION("""COMPUTED_VALUE"""),0.0)</f>
        <v>0</v>
      </c>
      <c r="G1714" s="49"/>
      <c r="H1714" s="49"/>
      <c r="I1714" s="49"/>
      <c r="J1714" s="49"/>
      <c r="K1714" s="49"/>
      <c r="L1714" s="49"/>
      <c r="M1714" s="49"/>
      <c r="N1714" s="49"/>
      <c r="O1714" s="49"/>
      <c r="P1714" s="49"/>
      <c r="Q1714" s="49"/>
      <c r="R1714" s="49"/>
      <c r="S1714" s="49"/>
      <c r="T1714" s="49"/>
      <c r="U1714" s="49"/>
      <c r="V1714" s="49"/>
      <c r="W1714" s="49"/>
      <c r="X1714" s="49"/>
      <c r="Y1714" s="49"/>
      <c r="Z1714" s="49"/>
      <c r="AA1714" s="49"/>
      <c r="AB1714" s="49"/>
      <c r="AC1714" s="49"/>
      <c r="AD1714" s="49"/>
      <c r="AE1714" s="49"/>
      <c r="AF1714" s="49"/>
      <c r="AG1714" s="49"/>
      <c r="AH1714" s="49" t="b">
        <f>IFERROR(__xludf.DUMMYFUNCTION("""COMPUTED_VALUE"""),FALSE)</f>
        <v>0</v>
      </c>
    </row>
    <row r="1715">
      <c r="A1715" s="49"/>
      <c r="B1715" s="49"/>
      <c r="C1715" s="49"/>
      <c r="D1715" s="49"/>
      <c r="E1715" s="49">
        <f>IFERROR(__xludf.DUMMYFUNCTION("""COMPUTED_VALUE"""),1.0)</f>
        <v>1</v>
      </c>
      <c r="F1715" s="112">
        <f>IFERROR(__xludf.DUMMYFUNCTION("""COMPUTED_VALUE"""),0.0)</f>
        <v>0</v>
      </c>
      <c r="G1715" s="49"/>
      <c r="H1715" s="49"/>
      <c r="I1715" s="49"/>
      <c r="J1715" s="49"/>
      <c r="K1715" s="49"/>
      <c r="L1715" s="49"/>
      <c r="M1715" s="49"/>
      <c r="N1715" s="49"/>
      <c r="O1715" s="49"/>
      <c r="P1715" s="49"/>
      <c r="Q1715" s="49"/>
      <c r="R1715" s="49"/>
      <c r="S1715" s="49"/>
      <c r="T1715" s="49"/>
      <c r="U1715" s="49"/>
      <c r="V1715" s="49"/>
      <c r="W1715" s="49"/>
      <c r="X1715" s="49"/>
      <c r="Y1715" s="49"/>
      <c r="Z1715" s="49"/>
      <c r="AA1715" s="49"/>
      <c r="AB1715" s="49"/>
      <c r="AC1715" s="49"/>
      <c r="AD1715" s="49"/>
      <c r="AE1715" s="49"/>
      <c r="AF1715" s="49"/>
      <c r="AG1715" s="49"/>
      <c r="AH1715" s="49" t="b">
        <f>IFERROR(__xludf.DUMMYFUNCTION("""COMPUTED_VALUE"""),FALSE)</f>
        <v>0</v>
      </c>
    </row>
    <row r="1716">
      <c r="A1716" s="49"/>
      <c r="B1716" s="49"/>
      <c r="C1716" s="49"/>
      <c r="D1716" s="49"/>
      <c r="E1716" s="49">
        <f>IFERROR(__xludf.DUMMYFUNCTION("""COMPUTED_VALUE"""),1.0)</f>
        <v>1</v>
      </c>
      <c r="F1716" s="112">
        <f>IFERROR(__xludf.DUMMYFUNCTION("""COMPUTED_VALUE"""),0.0)</f>
        <v>0</v>
      </c>
      <c r="G1716" s="49"/>
      <c r="H1716" s="49"/>
      <c r="I1716" s="49"/>
      <c r="J1716" s="49"/>
      <c r="K1716" s="49"/>
      <c r="L1716" s="49"/>
      <c r="M1716" s="49"/>
      <c r="N1716" s="49"/>
      <c r="O1716" s="49"/>
      <c r="P1716" s="49"/>
      <c r="Q1716" s="49"/>
      <c r="R1716" s="49"/>
      <c r="S1716" s="49"/>
      <c r="T1716" s="49"/>
      <c r="U1716" s="49"/>
      <c r="V1716" s="49"/>
      <c r="W1716" s="49"/>
      <c r="X1716" s="49"/>
      <c r="Y1716" s="49"/>
      <c r="Z1716" s="49"/>
      <c r="AA1716" s="49"/>
      <c r="AB1716" s="49"/>
      <c r="AC1716" s="49"/>
      <c r="AD1716" s="49"/>
      <c r="AE1716" s="49"/>
      <c r="AF1716" s="49"/>
      <c r="AG1716" s="49"/>
      <c r="AH1716" s="49" t="b">
        <f>IFERROR(__xludf.DUMMYFUNCTION("""COMPUTED_VALUE"""),FALSE)</f>
        <v>0</v>
      </c>
    </row>
    <row r="1717">
      <c r="A1717" s="49"/>
      <c r="B1717" s="49"/>
      <c r="C1717" s="49"/>
      <c r="D1717" s="49"/>
      <c r="E1717" s="49">
        <f>IFERROR(__xludf.DUMMYFUNCTION("""COMPUTED_VALUE"""),1.0)</f>
        <v>1</v>
      </c>
      <c r="F1717" s="112">
        <f>IFERROR(__xludf.DUMMYFUNCTION("""COMPUTED_VALUE"""),0.0)</f>
        <v>0</v>
      </c>
      <c r="G1717" s="49"/>
      <c r="H1717" s="49"/>
      <c r="I1717" s="49"/>
      <c r="J1717" s="49"/>
      <c r="K1717" s="49"/>
      <c r="L1717" s="49"/>
      <c r="M1717" s="49"/>
      <c r="N1717" s="49"/>
      <c r="O1717" s="49"/>
      <c r="P1717" s="49"/>
      <c r="Q1717" s="49"/>
      <c r="R1717" s="49"/>
      <c r="S1717" s="49"/>
      <c r="T1717" s="49"/>
      <c r="U1717" s="49"/>
      <c r="V1717" s="49"/>
      <c r="W1717" s="49"/>
      <c r="X1717" s="49"/>
      <c r="Y1717" s="49"/>
      <c r="Z1717" s="49"/>
      <c r="AA1717" s="49"/>
      <c r="AB1717" s="49"/>
      <c r="AC1717" s="49"/>
      <c r="AD1717" s="49"/>
      <c r="AE1717" s="49"/>
      <c r="AF1717" s="49"/>
      <c r="AG1717" s="49"/>
      <c r="AH1717" s="49" t="b">
        <f>IFERROR(__xludf.DUMMYFUNCTION("""COMPUTED_VALUE"""),FALSE)</f>
        <v>0</v>
      </c>
    </row>
    <row r="1718">
      <c r="A1718" s="49"/>
      <c r="B1718" s="49"/>
      <c r="C1718" s="49"/>
      <c r="D1718" s="49"/>
      <c r="E1718" s="49">
        <f>IFERROR(__xludf.DUMMYFUNCTION("""COMPUTED_VALUE"""),1.0)</f>
        <v>1</v>
      </c>
      <c r="F1718" s="112">
        <f>IFERROR(__xludf.DUMMYFUNCTION("""COMPUTED_VALUE"""),0.0)</f>
        <v>0</v>
      </c>
      <c r="G1718" s="49"/>
      <c r="H1718" s="49"/>
      <c r="I1718" s="49"/>
      <c r="J1718" s="49"/>
      <c r="K1718" s="49"/>
      <c r="L1718" s="49"/>
      <c r="M1718" s="49"/>
      <c r="N1718" s="49"/>
      <c r="O1718" s="49"/>
      <c r="P1718" s="49"/>
      <c r="Q1718" s="49"/>
      <c r="R1718" s="49"/>
      <c r="S1718" s="49"/>
      <c r="T1718" s="49"/>
      <c r="U1718" s="49"/>
      <c r="V1718" s="49"/>
      <c r="W1718" s="49"/>
      <c r="X1718" s="49"/>
      <c r="Y1718" s="49"/>
      <c r="Z1718" s="49"/>
      <c r="AA1718" s="49"/>
      <c r="AB1718" s="49"/>
      <c r="AC1718" s="49"/>
      <c r="AD1718" s="49"/>
      <c r="AE1718" s="49"/>
      <c r="AF1718" s="49"/>
      <c r="AG1718" s="49"/>
      <c r="AH1718" s="49" t="b">
        <f>IFERROR(__xludf.DUMMYFUNCTION("""COMPUTED_VALUE"""),FALSE)</f>
        <v>0</v>
      </c>
    </row>
    <row r="1719">
      <c r="A1719" s="49"/>
      <c r="B1719" s="49"/>
      <c r="C1719" s="49"/>
      <c r="D1719" s="49"/>
      <c r="E1719" s="49">
        <f>IFERROR(__xludf.DUMMYFUNCTION("""COMPUTED_VALUE"""),1.0)</f>
        <v>1</v>
      </c>
      <c r="F1719" s="112">
        <f>IFERROR(__xludf.DUMMYFUNCTION("""COMPUTED_VALUE"""),0.0)</f>
        <v>0</v>
      </c>
      <c r="G1719" s="49"/>
      <c r="H1719" s="49"/>
      <c r="I1719" s="49"/>
      <c r="J1719" s="49"/>
      <c r="K1719" s="49"/>
      <c r="L1719" s="49"/>
      <c r="M1719" s="49"/>
      <c r="N1719" s="49"/>
      <c r="O1719" s="49"/>
      <c r="P1719" s="49"/>
      <c r="Q1719" s="49"/>
      <c r="R1719" s="49"/>
      <c r="S1719" s="49"/>
      <c r="T1719" s="49"/>
      <c r="U1719" s="49"/>
      <c r="V1719" s="49"/>
      <c r="W1719" s="49"/>
      <c r="X1719" s="49"/>
      <c r="Y1719" s="49"/>
      <c r="Z1719" s="49"/>
      <c r="AA1719" s="49"/>
      <c r="AB1719" s="49"/>
      <c r="AC1719" s="49"/>
      <c r="AD1719" s="49"/>
      <c r="AE1719" s="49"/>
      <c r="AF1719" s="49"/>
      <c r="AG1719" s="49"/>
      <c r="AH1719" s="49" t="b">
        <f>IFERROR(__xludf.DUMMYFUNCTION("""COMPUTED_VALUE"""),FALSE)</f>
        <v>0</v>
      </c>
    </row>
    <row r="1720">
      <c r="A1720" s="49"/>
      <c r="B1720" s="49"/>
      <c r="C1720" s="49"/>
      <c r="D1720" s="49"/>
      <c r="E1720" s="49">
        <f>IFERROR(__xludf.DUMMYFUNCTION("""COMPUTED_VALUE"""),1.0)</f>
        <v>1</v>
      </c>
      <c r="F1720" s="112">
        <f>IFERROR(__xludf.DUMMYFUNCTION("""COMPUTED_VALUE"""),0.0)</f>
        <v>0</v>
      </c>
      <c r="G1720" s="49"/>
      <c r="H1720" s="49"/>
      <c r="I1720" s="49"/>
      <c r="J1720" s="49"/>
      <c r="K1720" s="49"/>
      <c r="L1720" s="49"/>
      <c r="M1720" s="49"/>
      <c r="N1720" s="49"/>
      <c r="O1720" s="49"/>
      <c r="P1720" s="49"/>
      <c r="Q1720" s="49"/>
      <c r="R1720" s="49"/>
      <c r="S1720" s="49"/>
      <c r="T1720" s="49"/>
      <c r="U1720" s="49"/>
      <c r="V1720" s="49"/>
      <c r="W1720" s="49"/>
      <c r="X1720" s="49"/>
      <c r="Y1720" s="49"/>
      <c r="Z1720" s="49"/>
      <c r="AA1720" s="49"/>
      <c r="AB1720" s="49"/>
      <c r="AC1720" s="49"/>
      <c r="AD1720" s="49"/>
      <c r="AE1720" s="49"/>
      <c r="AF1720" s="49"/>
      <c r="AG1720" s="49"/>
      <c r="AH1720" s="49" t="b">
        <f>IFERROR(__xludf.DUMMYFUNCTION("""COMPUTED_VALUE"""),FALSE)</f>
        <v>0</v>
      </c>
    </row>
    <row r="1721">
      <c r="A1721" s="49"/>
      <c r="B1721" s="49"/>
      <c r="C1721" s="49"/>
      <c r="D1721" s="49"/>
      <c r="E1721" s="49">
        <f>IFERROR(__xludf.DUMMYFUNCTION("""COMPUTED_VALUE"""),1.0)</f>
        <v>1</v>
      </c>
      <c r="F1721" s="112">
        <f>IFERROR(__xludf.DUMMYFUNCTION("""COMPUTED_VALUE"""),0.0)</f>
        <v>0</v>
      </c>
      <c r="G1721" s="49"/>
      <c r="H1721" s="49"/>
      <c r="I1721" s="49"/>
      <c r="J1721" s="49"/>
      <c r="K1721" s="49"/>
      <c r="L1721" s="49"/>
      <c r="M1721" s="49"/>
      <c r="N1721" s="49"/>
      <c r="O1721" s="49"/>
      <c r="P1721" s="49"/>
      <c r="Q1721" s="49"/>
      <c r="R1721" s="49"/>
      <c r="S1721" s="49"/>
      <c r="T1721" s="49"/>
      <c r="U1721" s="49"/>
      <c r="V1721" s="49"/>
      <c r="W1721" s="49"/>
      <c r="X1721" s="49"/>
      <c r="Y1721" s="49"/>
      <c r="Z1721" s="49"/>
      <c r="AA1721" s="49"/>
      <c r="AB1721" s="49"/>
      <c r="AC1721" s="49"/>
      <c r="AD1721" s="49"/>
      <c r="AE1721" s="49"/>
      <c r="AF1721" s="49"/>
      <c r="AG1721" s="49"/>
      <c r="AH1721" s="49" t="b">
        <f>IFERROR(__xludf.DUMMYFUNCTION("""COMPUTED_VALUE"""),FALSE)</f>
        <v>0</v>
      </c>
    </row>
    <row r="1722">
      <c r="A1722" s="49"/>
      <c r="B1722" s="49"/>
      <c r="C1722" s="49"/>
      <c r="D1722" s="49"/>
      <c r="E1722" s="49">
        <f>IFERROR(__xludf.DUMMYFUNCTION("""COMPUTED_VALUE"""),1.0)</f>
        <v>1</v>
      </c>
      <c r="F1722" s="112">
        <f>IFERROR(__xludf.DUMMYFUNCTION("""COMPUTED_VALUE"""),0.0)</f>
        <v>0</v>
      </c>
      <c r="G1722" s="49"/>
      <c r="H1722" s="49"/>
      <c r="I1722" s="49"/>
      <c r="J1722" s="49"/>
      <c r="K1722" s="49"/>
      <c r="L1722" s="49"/>
      <c r="M1722" s="49"/>
      <c r="N1722" s="49"/>
      <c r="O1722" s="49"/>
      <c r="P1722" s="49"/>
      <c r="Q1722" s="49"/>
      <c r="R1722" s="49"/>
      <c r="S1722" s="49"/>
      <c r="T1722" s="49"/>
      <c r="U1722" s="49"/>
      <c r="V1722" s="49"/>
      <c r="W1722" s="49"/>
      <c r="X1722" s="49"/>
      <c r="Y1722" s="49"/>
      <c r="Z1722" s="49"/>
      <c r="AA1722" s="49"/>
      <c r="AB1722" s="49"/>
      <c r="AC1722" s="49"/>
      <c r="AD1722" s="49"/>
      <c r="AE1722" s="49"/>
      <c r="AF1722" s="49"/>
      <c r="AG1722" s="49"/>
      <c r="AH1722" s="49" t="b">
        <f>IFERROR(__xludf.DUMMYFUNCTION("""COMPUTED_VALUE"""),FALSE)</f>
        <v>0</v>
      </c>
    </row>
    <row r="1723">
      <c r="A1723" s="49"/>
      <c r="B1723" s="49"/>
      <c r="C1723" s="49"/>
      <c r="D1723" s="49"/>
      <c r="E1723" s="49">
        <f>IFERROR(__xludf.DUMMYFUNCTION("""COMPUTED_VALUE"""),1.0)</f>
        <v>1</v>
      </c>
      <c r="F1723" s="112">
        <f>IFERROR(__xludf.DUMMYFUNCTION("""COMPUTED_VALUE"""),0.0)</f>
        <v>0</v>
      </c>
      <c r="G1723" s="49"/>
      <c r="H1723" s="49"/>
      <c r="I1723" s="49"/>
      <c r="J1723" s="49"/>
      <c r="K1723" s="49"/>
      <c r="L1723" s="49"/>
      <c r="M1723" s="49"/>
      <c r="N1723" s="49"/>
      <c r="O1723" s="49"/>
      <c r="P1723" s="49"/>
      <c r="Q1723" s="49"/>
      <c r="R1723" s="49"/>
      <c r="S1723" s="49"/>
      <c r="T1723" s="49"/>
      <c r="U1723" s="49"/>
      <c r="V1723" s="49"/>
      <c r="W1723" s="49"/>
      <c r="X1723" s="49"/>
      <c r="Y1723" s="49"/>
      <c r="Z1723" s="49"/>
      <c r="AA1723" s="49"/>
      <c r="AB1723" s="49"/>
      <c r="AC1723" s="49"/>
      <c r="AD1723" s="49"/>
      <c r="AE1723" s="49"/>
      <c r="AF1723" s="49"/>
      <c r="AG1723" s="49"/>
      <c r="AH1723" s="49" t="b">
        <f>IFERROR(__xludf.DUMMYFUNCTION("""COMPUTED_VALUE"""),FALSE)</f>
        <v>0</v>
      </c>
    </row>
    <row r="1724">
      <c r="A1724" s="49"/>
      <c r="B1724" s="49"/>
      <c r="C1724" s="49"/>
      <c r="D1724" s="49"/>
      <c r="E1724" s="49">
        <f>IFERROR(__xludf.DUMMYFUNCTION("""COMPUTED_VALUE"""),1.0)</f>
        <v>1</v>
      </c>
      <c r="F1724" s="112">
        <f>IFERROR(__xludf.DUMMYFUNCTION("""COMPUTED_VALUE"""),0.0)</f>
        <v>0</v>
      </c>
      <c r="G1724" s="49"/>
      <c r="H1724" s="49"/>
      <c r="I1724" s="49"/>
      <c r="J1724" s="49"/>
      <c r="K1724" s="49"/>
      <c r="L1724" s="49"/>
      <c r="M1724" s="49"/>
      <c r="N1724" s="49"/>
      <c r="O1724" s="49"/>
      <c r="P1724" s="49"/>
      <c r="Q1724" s="49"/>
      <c r="R1724" s="49"/>
      <c r="S1724" s="49"/>
      <c r="T1724" s="49"/>
      <c r="U1724" s="49"/>
      <c r="V1724" s="49"/>
      <c r="W1724" s="49"/>
      <c r="X1724" s="49"/>
      <c r="Y1724" s="49"/>
      <c r="Z1724" s="49"/>
      <c r="AA1724" s="49"/>
      <c r="AB1724" s="49"/>
      <c r="AC1724" s="49"/>
      <c r="AD1724" s="49"/>
      <c r="AE1724" s="49"/>
      <c r="AF1724" s="49"/>
      <c r="AG1724" s="49"/>
      <c r="AH1724" s="49" t="b">
        <f>IFERROR(__xludf.DUMMYFUNCTION("""COMPUTED_VALUE"""),FALSE)</f>
        <v>0</v>
      </c>
    </row>
    <row r="1725">
      <c r="A1725" s="49"/>
      <c r="B1725" s="49"/>
      <c r="C1725" s="49"/>
      <c r="D1725" s="49"/>
      <c r="E1725" s="49">
        <f>IFERROR(__xludf.DUMMYFUNCTION("""COMPUTED_VALUE"""),1.0)</f>
        <v>1</v>
      </c>
      <c r="F1725" s="112">
        <f>IFERROR(__xludf.DUMMYFUNCTION("""COMPUTED_VALUE"""),0.0)</f>
        <v>0</v>
      </c>
      <c r="G1725" s="49"/>
      <c r="H1725" s="49"/>
      <c r="I1725" s="49"/>
      <c r="J1725" s="49"/>
      <c r="K1725" s="49"/>
      <c r="L1725" s="49"/>
      <c r="M1725" s="49"/>
      <c r="N1725" s="49"/>
      <c r="O1725" s="49"/>
      <c r="P1725" s="49"/>
      <c r="Q1725" s="49"/>
      <c r="R1725" s="49"/>
      <c r="S1725" s="49"/>
      <c r="T1725" s="49"/>
      <c r="U1725" s="49"/>
      <c r="V1725" s="49"/>
      <c r="W1725" s="49"/>
      <c r="X1725" s="49"/>
      <c r="Y1725" s="49"/>
      <c r="Z1725" s="49"/>
      <c r="AA1725" s="49"/>
      <c r="AB1725" s="49"/>
      <c r="AC1725" s="49"/>
      <c r="AD1725" s="49"/>
      <c r="AE1725" s="49"/>
      <c r="AF1725" s="49"/>
      <c r="AG1725" s="49"/>
      <c r="AH1725" s="49" t="b">
        <f>IFERROR(__xludf.DUMMYFUNCTION("""COMPUTED_VALUE"""),FALSE)</f>
        <v>0</v>
      </c>
    </row>
    <row r="1726">
      <c r="A1726" s="49"/>
      <c r="B1726" s="49"/>
      <c r="C1726" s="49"/>
      <c r="D1726" s="49"/>
      <c r="E1726" s="49">
        <f>IFERROR(__xludf.DUMMYFUNCTION("""COMPUTED_VALUE"""),1.0)</f>
        <v>1</v>
      </c>
      <c r="F1726" s="112">
        <f>IFERROR(__xludf.DUMMYFUNCTION("""COMPUTED_VALUE"""),0.0)</f>
        <v>0</v>
      </c>
      <c r="G1726" s="49"/>
      <c r="H1726" s="49"/>
      <c r="I1726" s="49"/>
      <c r="J1726" s="49"/>
      <c r="K1726" s="49"/>
      <c r="L1726" s="49"/>
      <c r="M1726" s="49"/>
      <c r="N1726" s="49"/>
      <c r="O1726" s="49"/>
      <c r="P1726" s="49"/>
      <c r="Q1726" s="49"/>
      <c r="R1726" s="49"/>
      <c r="S1726" s="49"/>
      <c r="T1726" s="49"/>
      <c r="U1726" s="49"/>
      <c r="V1726" s="49"/>
      <c r="W1726" s="49"/>
      <c r="X1726" s="49"/>
      <c r="Y1726" s="49"/>
      <c r="Z1726" s="49"/>
      <c r="AA1726" s="49"/>
      <c r="AB1726" s="49"/>
      <c r="AC1726" s="49"/>
      <c r="AD1726" s="49"/>
      <c r="AE1726" s="49"/>
      <c r="AF1726" s="49"/>
      <c r="AG1726" s="49"/>
      <c r="AH1726" s="49" t="b">
        <f>IFERROR(__xludf.DUMMYFUNCTION("""COMPUTED_VALUE"""),FALSE)</f>
        <v>0</v>
      </c>
    </row>
    <row r="1727">
      <c r="A1727" s="49"/>
      <c r="B1727" s="49"/>
      <c r="C1727" s="49"/>
      <c r="D1727" s="49"/>
      <c r="E1727" s="49">
        <f>IFERROR(__xludf.DUMMYFUNCTION("""COMPUTED_VALUE"""),1.0)</f>
        <v>1</v>
      </c>
      <c r="F1727" s="112">
        <f>IFERROR(__xludf.DUMMYFUNCTION("""COMPUTED_VALUE"""),0.0)</f>
        <v>0</v>
      </c>
      <c r="G1727" s="49"/>
      <c r="H1727" s="49"/>
      <c r="I1727" s="49"/>
      <c r="J1727" s="49"/>
      <c r="K1727" s="49"/>
      <c r="L1727" s="49"/>
      <c r="M1727" s="49"/>
      <c r="N1727" s="49"/>
      <c r="O1727" s="49"/>
      <c r="P1727" s="49"/>
      <c r="Q1727" s="49"/>
      <c r="R1727" s="49"/>
      <c r="S1727" s="49"/>
      <c r="T1727" s="49"/>
      <c r="U1727" s="49"/>
      <c r="V1727" s="49"/>
      <c r="W1727" s="49"/>
      <c r="X1727" s="49"/>
      <c r="Y1727" s="49"/>
      <c r="Z1727" s="49"/>
      <c r="AA1727" s="49"/>
      <c r="AB1727" s="49"/>
      <c r="AC1727" s="49"/>
      <c r="AD1727" s="49"/>
      <c r="AE1727" s="49"/>
      <c r="AF1727" s="49"/>
      <c r="AG1727" s="49"/>
      <c r="AH1727" s="49" t="b">
        <f>IFERROR(__xludf.DUMMYFUNCTION("""COMPUTED_VALUE"""),FALSE)</f>
        <v>0</v>
      </c>
    </row>
    <row r="1728">
      <c r="A1728" s="49"/>
      <c r="B1728" s="49"/>
      <c r="C1728" s="49"/>
      <c r="D1728" s="49"/>
      <c r="E1728" s="49">
        <f>IFERROR(__xludf.DUMMYFUNCTION("""COMPUTED_VALUE"""),1.0)</f>
        <v>1</v>
      </c>
      <c r="F1728" s="112">
        <f>IFERROR(__xludf.DUMMYFUNCTION("""COMPUTED_VALUE"""),0.0)</f>
        <v>0</v>
      </c>
      <c r="G1728" s="49"/>
      <c r="H1728" s="49"/>
      <c r="I1728" s="49"/>
      <c r="J1728" s="49"/>
      <c r="K1728" s="49"/>
      <c r="L1728" s="49"/>
      <c r="M1728" s="49"/>
      <c r="N1728" s="49"/>
      <c r="O1728" s="49"/>
      <c r="P1728" s="49"/>
      <c r="Q1728" s="49"/>
      <c r="R1728" s="49"/>
      <c r="S1728" s="49"/>
      <c r="T1728" s="49"/>
      <c r="U1728" s="49"/>
      <c r="V1728" s="49"/>
      <c r="W1728" s="49"/>
      <c r="X1728" s="49"/>
      <c r="Y1728" s="49"/>
      <c r="Z1728" s="49"/>
      <c r="AA1728" s="49"/>
      <c r="AB1728" s="49"/>
      <c r="AC1728" s="49"/>
      <c r="AD1728" s="49"/>
      <c r="AE1728" s="49"/>
      <c r="AF1728" s="49"/>
      <c r="AG1728" s="49"/>
      <c r="AH1728" s="49" t="b">
        <f>IFERROR(__xludf.DUMMYFUNCTION("""COMPUTED_VALUE"""),FALSE)</f>
        <v>0</v>
      </c>
    </row>
    <row r="1729">
      <c r="A1729" s="49"/>
      <c r="B1729" s="49"/>
      <c r="C1729" s="49"/>
      <c r="D1729" s="49"/>
      <c r="E1729" s="49">
        <f>IFERROR(__xludf.DUMMYFUNCTION("""COMPUTED_VALUE"""),1.0)</f>
        <v>1</v>
      </c>
      <c r="F1729" s="112">
        <f>IFERROR(__xludf.DUMMYFUNCTION("""COMPUTED_VALUE"""),0.0)</f>
        <v>0</v>
      </c>
      <c r="G1729" s="49"/>
      <c r="H1729" s="49"/>
      <c r="I1729" s="49"/>
      <c r="J1729" s="49"/>
      <c r="K1729" s="49"/>
      <c r="L1729" s="49"/>
      <c r="M1729" s="49"/>
      <c r="N1729" s="49"/>
      <c r="O1729" s="49"/>
      <c r="P1729" s="49"/>
      <c r="Q1729" s="49"/>
      <c r="R1729" s="49"/>
      <c r="S1729" s="49"/>
      <c r="T1729" s="49"/>
      <c r="U1729" s="49"/>
      <c r="V1729" s="49"/>
      <c r="W1729" s="49"/>
      <c r="X1729" s="49"/>
      <c r="Y1729" s="49"/>
      <c r="Z1729" s="49"/>
      <c r="AA1729" s="49"/>
      <c r="AB1729" s="49"/>
      <c r="AC1729" s="49"/>
      <c r="AD1729" s="49"/>
      <c r="AE1729" s="49"/>
      <c r="AF1729" s="49"/>
      <c r="AG1729" s="49"/>
      <c r="AH1729" s="49" t="b">
        <f>IFERROR(__xludf.DUMMYFUNCTION("""COMPUTED_VALUE"""),FALSE)</f>
        <v>0</v>
      </c>
    </row>
    <row r="1730">
      <c r="A1730" s="49"/>
      <c r="B1730" s="49"/>
      <c r="C1730" s="49"/>
      <c r="D1730" s="49"/>
      <c r="E1730" s="49">
        <f>IFERROR(__xludf.DUMMYFUNCTION("""COMPUTED_VALUE"""),1.0)</f>
        <v>1</v>
      </c>
      <c r="F1730" s="112">
        <f>IFERROR(__xludf.DUMMYFUNCTION("""COMPUTED_VALUE"""),0.0)</f>
        <v>0</v>
      </c>
      <c r="G1730" s="49"/>
      <c r="H1730" s="49"/>
      <c r="I1730" s="49"/>
      <c r="J1730" s="49"/>
      <c r="K1730" s="49"/>
      <c r="L1730" s="49"/>
      <c r="M1730" s="49"/>
      <c r="N1730" s="49"/>
      <c r="O1730" s="49"/>
      <c r="P1730" s="49"/>
      <c r="Q1730" s="49"/>
      <c r="R1730" s="49"/>
      <c r="S1730" s="49"/>
      <c r="T1730" s="49"/>
      <c r="U1730" s="49"/>
      <c r="V1730" s="49"/>
      <c r="W1730" s="49"/>
      <c r="X1730" s="49"/>
      <c r="Y1730" s="49"/>
      <c r="Z1730" s="49"/>
      <c r="AA1730" s="49"/>
      <c r="AB1730" s="49"/>
      <c r="AC1730" s="49"/>
      <c r="AD1730" s="49"/>
      <c r="AE1730" s="49"/>
      <c r="AF1730" s="49"/>
      <c r="AG1730" s="49"/>
      <c r="AH1730" s="49" t="b">
        <f>IFERROR(__xludf.DUMMYFUNCTION("""COMPUTED_VALUE"""),FALSE)</f>
        <v>0</v>
      </c>
    </row>
    <row r="1731">
      <c r="A1731" s="49"/>
      <c r="B1731" s="49"/>
      <c r="C1731" s="49"/>
      <c r="D1731" s="49"/>
      <c r="E1731" s="49">
        <f>IFERROR(__xludf.DUMMYFUNCTION("""COMPUTED_VALUE"""),1.0)</f>
        <v>1</v>
      </c>
      <c r="F1731" s="112">
        <f>IFERROR(__xludf.DUMMYFUNCTION("""COMPUTED_VALUE"""),0.0)</f>
        <v>0</v>
      </c>
      <c r="G1731" s="49"/>
      <c r="H1731" s="49"/>
      <c r="I1731" s="49"/>
      <c r="J1731" s="49"/>
      <c r="K1731" s="49"/>
      <c r="L1731" s="49"/>
      <c r="M1731" s="49"/>
      <c r="N1731" s="49"/>
      <c r="O1731" s="49"/>
      <c r="P1731" s="49"/>
      <c r="Q1731" s="49"/>
      <c r="R1731" s="49"/>
      <c r="S1731" s="49"/>
      <c r="T1731" s="49"/>
      <c r="U1731" s="49"/>
      <c r="V1731" s="49"/>
      <c r="W1731" s="49"/>
      <c r="X1731" s="49"/>
      <c r="Y1731" s="49"/>
      <c r="Z1731" s="49"/>
      <c r="AA1731" s="49"/>
      <c r="AB1731" s="49"/>
      <c r="AC1731" s="49"/>
      <c r="AD1731" s="49"/>
      <c r="AE1731" s="49"/>
      <c r="AF1731" s="49"/>
      <c r="AG1731" s="49"/>
      <c r="AH1731" s="49" t="b">
        <f>IFERROR(__xludf.DUMMYFUNCTION("""COMPUTED_VALUE"""),FALSE)</f>
        <v>0</v>
      </c>
    </row>
    <row r="1732">
      <c r="A1732" s="49"/>
      <c r="B1732" s="49"/>
      <c r="C1732" s="49"/>
      <c r="D1732" s="49"/>
      <c r="E1732" s="49">
        <f>IFERROR(__xludf.DUMMYFUNCTION("""COMPUTED_VALUE"""),1.0)</f>
        <v>1</v>
      </c>
      <c r="F1732" s="112">
        <f>IFERROR(__xludf.DUMMYFUNCTION("""COMPUTED_VALUE"""),0.0)</f>
        <v>0</v>
      </c>
      <c r="G1732" s="49"/>
      <c r="H1732" s="49"/>
      <c r="I1732" s="49"/>
      <c r="J1732" s="49"/>
      <c r="K1732" s="49"/>
      <c r="L1732" s="49"/>
      <c r="M1732" s="49"/>
      <c r="N1732" s="49"/>
      <c r="O1732" s="49"/>
      <c r="P1732" s="49"/>
      <c r="Q1732" s="49"/>
      <c r="R1732" s="49"/>
      <c r="S1732" s="49"/>
      <c r="T1732" s="49"/>
      <c r="U1732" s="49"/>
      <c r="V1732" s="49"/>
      <c r="W1732" s="49"/>
      <c r="X1732" s="49"/>
      <c r="Y1732" s="49"/>
      <c r="Z1732" s="49"/>
      <c r="AA1732" s="49"/>
      <c r="AB1732" s="49"/>
      <c r="AC1732" s="49"/>
      <c r="AD1732" s="49"/>
      <c r="AE1732" s="49"/>
      <c r="AF1732" s="49"/>
      <c r="AG1732" s="49"/>
      <c r="AH1732" s="49" t="b">
        <f>IFERROR(__xludf.DUMMYFUNCTION("""COMPUTED_VALUE"""),FALSE)</f>
        <v>0</v>
      </c>
    </row>
    <row r="1733">
      <c r="A1733" s="49"/>
      <c r="B1733" s="49"/>
      <c r="C1733" s="49"/>
      <c r="D1733" s="49"/>
      <c r="E1733" s="49">
        <f>IFERROR(__xludf.DUMMYFUNCTION("""COMPUTED_VALUE"""),1.0)</f>
        <v>1</v>
      </c>
      <c r="F1733" s="112">
        <f>IFERROR(__xludf.DUMMYFUNCTION("""COMPUTED_VALUE"""),0.0)</f>
        <v>0</v>
      </c>
      <c r="G1733" s="49"/>
      <c r="H1733" s="49"/>
      <c r="I1733" s="49"/>
      <c r="J1733" s="49"/>
      <c r="K1733" s="49"/>
      <c r="L1733" s="49"/>
      <c r="M1733" s="49"/>
      <c r="N1733" s="49"/>
      <c r="O1733" s="49"/>
      <c r="P1733" s="49"/>
      <c r="Q1733" s="49"/>
      <c r="R1733" s="49"/>
      <c r="S1733" s="49"/>
      <c r="T1733" s="49"/>
      <c r="U1733" s="49"/>
      <c r="V1733" s="49"/>
      <c r="W1733" s="49"/>
      <c r="X1733" s="49"/>
      <c r="Y1733" s="49"/>
      <c r="Z1733" s="49"/>
      <c r="AA1733" s="49"/>
      <c r="AB1733" s="49"/>
      <c r="AC1733" s="49"/>
      <c r="AD1733" s="49"/>
      <c r="AE1733" s="49"/>
      <c r="AF1733" s="49"/>
      <c r="AG1733" s="49"/>
      <c r="AH1733" s="49" t="b">
        <f>IFERROR(__xludf.DUMMYFUNCTION("""COMPUTED_VALUE"""),FALSE)</f>
        <v>0</v>
      </c>
    </row>
    <row r="1734">
      <c r="A1734" s="49"/>
      <c r="B1734" s="49"/>
      <c r="C1734" s="49"/>
      <c r="D1734" s="49"/>
      <c r="E1734" s="49">
        <f>IFERROR(__xludf.DUMMYFUNCTION("""COMPUTED_VALUE"""),1.0)</f>
        <v>1</v>
      </c>
      <c r="F1734" s="112">
        <f>IFERROR(__xludf.DUMMYFUNCTION("""COMPUTED_VALUE"""),0.0)</f>
        <v>0</v>
      </c>
      <c r="G1734" s="49"/>
      <c r="H1734" s="49"/>
      <c r="I1734" s="49"/>
      <c r="J1734" s="49"/>
      <c r="K1734" s="49"/>
      <c r="L1734" s="49"/>
      <c r="M1734" s="49"/>
      <c r="N1734" s="49"/>
      <c r="O1734" s="49"/>
      <c r="P1734" s="49"/>
      <c r="Q1734" s="49"/>
      <c r="R1734" s="49"/>
      <c r="S1734" s="49"/>
      <c r="T1734" s="49"/>
      <c r="U1734" s="49"/>
      <c r="V1734" s="49"/>
      <c r="W1734" s="49"/>
      <c r="X1734" s="49"/>
      <c r="Y1734" s="49"/>
      <c r="Z1734" s="49"/>
      <c r="AA1734" s="49"/>
      <c r="AB1734" s="49"/>
      <c r="AC1734" s="49"/>
      <c r="AD1734" s="49"/>
      <c r="AE1734" s="49"/>
      <c r="AF1734" s="49"/>
      <c r="AG1734" s="49"/>
      <c r="AH1734" s="49" t="b">
        <f>IFERROR(__xludf.DUMMYFUNCTION("""COMPUTED_VALUE"""),FALSE)</f>
        <v>0</v>
      </c>
    </row>
    <row r="1735">
      <c r="A1735" s="49"/>
      <c r="B1735" s="49"/>
      <c r="C1735" s="49"/>
      <c r="D1735" s="49"/>
      <c r="E1735" s="49">
        <f>IFERROR(__xludf.DUMMYFUNCTION("""COMPUTED_VALUE"""),1.0)</f>
        <v>1</v>
      </c>
      <c r="F1735" s="112">
        <f>IFERROR(__xludf.DUMMYFUNCTION("""COMPUTED_VALUE"""),0.0)</f>
        <v>0</v>
      </c>
      <c r="G1735" s="49"/>
      <c r="H1735" s="49"/>
      <c r="I1735" s="49"/>
      <c r="J1735" s="49"/>
      <c r="K1735" s="49"/>
      <c r="L1735" s="49"/>
      <c r="M1735" s="49"/>
      <c r="N1735" s="49"/>
      <c r="O1735" s="49"/>
      <c r="P1735" s="49"/>
      <c r="Q1735" s="49"/>
      <c r="R1735" s="49"/>
      <c r="S1735" s="49"/>
      <c r="T1735" s="49"/>
      <c r="U1735" s="49"/>
      <c r="V1735" s="49"/>
      <c r="W1735" s="49"/>
      <c r="X1735" s="49"/>
      <c r="Y1735" s="49"/>
      <c r="Z1735" s="49"/>
      <c r="AA1735" s="49"/>
      <c r="AB1735" s="49"/>
      <c r="AC1735" s="49"/>
      <c r="AD1735" s="49"/>
      <c r="AE1735" s="49"/>
      <c r="AF1735" s="49"/>
      <c r="AG1735" s="49"/>
      <c r="AH1735" s="49" t="b">
        <f>IFERROR(__xludf.DUMMYFUNCTION("""COMPUTED_VALUE"""),FALSE)</f>
        <v>0</v>
      </c>
    </row>
    <row r="1736">
      <c r="A1736" s="49"/>
      <c r="B1736" s="49"/>
      <c r="C1736" s="49"/>
      <c r="D1736" s="49"/>
      <c r="E1736" s="49">
        <f>IFERROR(__xludf.DUMMYFUNCTION("""COMPUTED_VALUE"""),1.0)</f>
        <v>1</v>
      </c>
      <c r="F1736" s="112">
        <f>IFERROR(__xludf.DUMMYFUNCTION("""COMPUTED_VALUE"""),0.0)</f>
        <v>0</v>
      </c>
      <c r="G1736" s="49"/>
      <c r="H1736" s="49"/>
      <c r="I1736" s="49"/>
      <c r="J1736" s="49"/>
      <c r="K1736" s="49"/>
      <c r="L1736" s="49"/>
      <c r="M1736" s="49"/>
      <c r="N1736" s="49"/>
      <c r="O1736" s="49"/>
      <c r="P1736" s="49"/>
      <c r="Q1736" s="49"/>
      <c r="R1736" s="49"/>
      <c r="S1736" s="49"/>
      <c r="T1736" s="49"/>
      <c r="U1736" s="49"/>
      <c r="V1736" s="49"/>
      <c r="W1736" s="49"/>
      <c r="X1736" s="49"/>
      <c r="Y1736" s="49"/>
      <c r="Z1736" s="49"/>
      <c r="AA1736" s="49"/>
      <c r="AB1736" s="49"/>
      <c r="AC1736" s="49"/>
      <c r="AD1736" s="49"/>
      <c r="AE1736" s="49"/>
      <c r="AF1736" s="49"/>
      <c r="AG1736" s="49"/>
      <c r="AH1736" s="49" t="b">
        <f>IFERROR(__xludf.DUMMYFUNCTION("""COMPUTED_VALUE"""),FALSE)</f>
        <v>0</v>
      </c>
    </row>
    <row r="1737">
      <c r="A1737" s="49"/>
      <c r="B1737" s="49"/>
      <c r="C1737" s="49"/>
      <c r="D1737" s="49"/>
      <c r="E1737" s="49">
        <f>IFERROR(__xludf.DUMMYFUNCTION("""COMPUTED_VALUE"""),1.0)</f>
        <v>1</v>
      </c>
      <c r="F1737" s="112">
        <f>IFERROR(__xludf.DUMMYFUNCTION("""COMPUTED_VALUE"""),0.0)</f>
        <v>0</v>
      </c>
      <c r="G1737" s="49"/>
      <c r="H1737" s="49"/>
      <c r="I1737" s="49"/>
      <c r="J1737" s="49"/>
      <c r="K1737" s="49"/>
      <c r="L1737" s="49"/>
      <c r="M1737" s="49"/>
      <c r="N1737" s="49"/>
      <c r="O1737" s="49"/>
      <c r="P1737" s="49"/>
      <c r="Q1737" s="49"/>
      <c r="R1737" s="49"/>
      <c r="S1737" s="49"/>
      <c r="T1737" s="49"/>
      <c r="U1737" s="49"/>
      <c r="V1737" s="49"/>
      <c r="W1737" s="49"/>
      <c r="X1737" s="49"/>
      <c r="Y1737" s="49"/>
      <c r="Z1737" s="49"/>
      <c r="AA1737" s="49"/>
      <c r="AB1737" s="49"/>
      <c r="AC1737" s="49"/>
      <c r="AD1737" s="49"/>
      <c r="AE1737" s="49"/>
      <c r="AF1737" s="49"/>
      <c r="AG1737" s="49"/>
      <c r="AH1737" s="49" t="b">
        <f>IFERROR(__xludf.DUMMYFUNCTION("""COMPUTED_VALUE"""),FALSE)</f>
        <v>0</v>
      </c>
    </row>
    <row r="1738">
      <c r="A1738" s="49"/>
      <c r="B1738" s="49"/>
      <c r="C1738" s="49"/>
      <c r="D1738" s="49"/>
      <c r="E1738" s="49">
        <f>IFERROR(__xludf.DUMMYFUNCTION("""COMPUTED_VALUE"""),1.0)</f>
        <v>1</v>
      </c>
      <c r="F1738" s="112">
        <f>IFERROR(__xludf.DUMMYFUNCTION("""COMPUTED_VALUE"""),0.0)</f>
        <v>0</v>
      </c>
      <c r="G1738" s="49"/>
      <c r="H1738" s="49"/>
      <c r="I1738" s="49"/>
      <c r="J1738" s="49"/>
      <c r="K1738" s="49"/>
      <c r="L1738" s="49"/>
      <c r="M1738" s="49"/>
      <c r="N1738" s="49"/>
      <c r="O1738" s="49"/>
      <c r="P1738" s="49"/>
      <c r="Q1738" s="49"/>
      <c r="R1738" s="49"/>
      <c r="S1738" s="49"/>
      <c r="T1738" s="49"/>
      <c r="U1738" s="49"/>
      <c r="V1738" s="49"/>
      <c r="W1738" s="49"/>
      <c r="X1738" s="49"/>
      <c r="Y1738" s="49"/>
      <c r="Z1738" s="49"/>
      <c r="AA1738" s="49"/>
      <c r="AB1738" s="49"/>
      <c r="AC1738" s="49"/>
      <c r="AD1738" s="49"/>
      <c r="AE1738" s="49"/>
      <c r="AF1738" s="49"/>
      <c r="AG1738" s="49"/>
      <c r="AH1738" s="49" t="b">
        <f>IFERROR(__xludf.DUMMYFUNCTION("""COMPUTED_VALUE"""),FALSE)</f>
        <v>0</v>
      </c>
    </row>
    <row r="1739">
      <c r="A1739" s="49"/>
      <c r="B1739" s="49"/>
      <c r="C1739" s="49"/>
      <c r="D1739" s="49"/>
      <c r="E1739" s="49">
        <f>IFERROR(__xludf.DUMMYFUNCTION("""COMPUTED_VALUE"""),1.0)</f>
        <v>1</v>
      </c>
      <c r="F1739" s="112">
        <f>IFERROR(__xludf.DUMMYFUNCTION("""COMPUTED_VALUE"""),0.0)</f>
        <v>0</v>
      </c>
      <c r="G1739" s="49"/>
      <c r="H1739" s="49"/>
      <c r="I1739" s="49"/>
      <c r="J1739" s="49"/>
      <c r="K1739" s="49"/>
      <c r="L1739" s="49"/>
      <c r="M1739" s="49"/>
      <c r="N1739" s="49"/>
      <c r="O1739" s="49"/>
      <c r="P1739" s="49"/>
      <c r="Q1739" s="49"/>
      <c r="R1739" s="49"/>
      <c r="S1739" s="49"/>
      <c r="T1739" s="49"/>
      <c r="U1739" s="49"/>
      <c r="V1739" s="49"/>
      <c r="W1739" s="49"/>
      <c r="X1739" s="49"/>
      <c r="Y1739" s="49"/>
      <c r="Z1739" s="49"/>
      <c r="AA1739" s="49"/>
      <c r="AB1739" s="49"/>
      <c r="AC1739" s="49"/>
      <c r="AD1739" s="49"/>
      <c r="AE1739" s="49"/>
      <c r="AF1739" s="49"/>
      <c r="AG1739" s="49"/>
      <c r="AH1739" s="49" t="b">
        <f>IFERROR(__xludf.DUMMYFUNCTION("""COMPUTED_VALUE"""),FALSE)</f>
        <v>0</v>
      </c>
    </row>
    <row r="1740">
      <c r="A1740" s="49"/>
      <c r="B1740" s="49"/>
      <c r="C1740" s="49"/>
      <c r="D1740" s="49"/>
      <c r="E1740" s="49">
        <f>IFERROR(__xludf.DUMMYFUNCTION("""COMPUTED_VALUE"""),1.0)</f>
        <v>1</v>
      </c>
      <c r="F1740" s="112">
        <f>IFERROR(__xludf.DUMMYFUNCTION("""COMPUTED_VALUE"""),0.0)</f>
        <v>0</v>
      </c>
      <c r="G1740" s="49"/>
      <c r="H1740" s="49"/>
      <c r="I1740" s="49"/>
      <c r="J1740" s="49"/>
      <c r="K1740" s="49"/>
      <c r="L1740" s="49"/>
      <c r="M1740" s="49"/>
      <c r="N1740" s="49"/>
      <c r="O1740" s="49"/>
      <c r="P1740" s="49"/>
      <c r="Q1740" s="49"/>
      <c r="R1740" s="49"/>
      <c r="S1740" s="49"/>
      <c r="T1740" s="49"/>
      <c r="U1740" s="49"/>
      <c r="V1740" s="49"/>
      <c r="W1740" s="49"/>
      <c r="X1740" s="49"/>
      <c r="Y1740" s="49"/>
      <c r="Z1740" s="49"/>
      <c r="AA1740" s="49"/>
      <c r="AB1740" s="49"/>
      <c r="AC1740" s="49"/>
      <c r="AD1740" s="49"/>
      <c r="AE1740" s="49"/>
      <c r="AF1740" s="49"/>
      <c r="AG1740" s="49"/>
      <c r="AH1740" s="49" t="b">
        <f>IFERROR(__xludf.DUMMYFUNCTION("""COMPUTED_VALUE"""),FALSE)</f>
        <v>0</v>
      </c>
    </row>
    <row r="1741">
      <c r="A1741" s="49"/>
      <c r="B1741" s="49"/>
      <c r="C1741" s="49"/>
      <c r="D1741" s="49"/>
      <c r="E1741" s="49">
        <f>IFERROR(__xludf.DUMMYFUNCTION("""COMPUTED_VALUE"""),1.0)</f>
        <v>1</v>
      </c>
      <c r="F1741" s="112">
        <f>IFERROR(__xludf.DUMMYFUNCTION("""COMPUTED_VALUE"""),0.0)</f>
        <v>0</v>
      </c>
      <c r="G1741" s="49"/>
      <c r="H1741" s="49"/>
      <c r="I1741" s="49"/>
      <c r="J1741" s="49"/>
      <c r="K1741" s="49"/>
      <c r="L1741" s="49"/>
      <c r="M1741" s="49"/>
      <c r="N1741" s="49"/>
      <c r="O1741" s="49"/>
      <c r="P1741" s="49"/>
      <c r="Q1741" s="49"/>
      <c r="R1741" s="49"/>
      <c r="S1741" s="49"/>
      <c r="T1741" s="49"/>
      <c r="U1741" s="49"/>
      <c r="V1741" s="49"/>
      <c r="W1741" s="49"/>
      <c r="X1741" s="49"/>
      <c r="Y1741" s="49"/>
      <c r="Z1741" s="49"/>
      <c r="AA1741" s="49"/>
      <c r="AB1741" s="49"/>
      <c r="AC1741" s="49"/>
      <c r="AD1741" s="49"/>
      <c r="AE1741" s="49"/>
      <c r="AF1741" s="49"/>
      <c r="AG1741" s="49"/>
      <c r="AH1741" s="49" t="b">
        <f>IFERROR(__xludf.DUMMYFUNCTION("""COMPUTED_VALUE"""),FALSE)</f>
        <v>0</v>
      </c>
    </row>
    <row r="1742">
      <c r="A1742" s="49"/>
      <c r="B1742" s="49"/>
      <c r="C1742" s="49"/>
      <c r="D1742" s="49"/>
      <c r="E1742" s="49">
        <f>IFERROR(__xludf.DUMMYFUNCTION("""COMPUTED_VALUE"""),1.0)</f>
        <v>1</v>
      </c>
      <c r="F1742" s="112">
        <f>IFERROR(__xludf.DUMMYFUNCTION("""COMPUTED_VALUE"""),0.0)</f>
        <v>0</v>
      </c>
      <c r="G1742" s="49"/>
      <c r="H1742" s="49"/>
      <c r="I1742" s="49"/>
      <c r="J1742" s="49"/>
      <c r="K1742" s="49"/>
      <c r="L1742" s="49"/>
      <c r="M1742" s="49"/>
      <c r="N1742" s="49"/>
      <c r="O1742" s="49"/>
      <c r="P1742" s="49"/>
      <c r="Q1742" s="49"/>
      <c r="R1742" s="49"/>
      <c r="S1742" s="49"/>
      <c r="T1742" s="49"/>
      <c r="U1742" s="49"/>
      <c r="V1742" s="49"/>
      <c r="W1742" s="49"/>
      <c r="X1742" s="49"/>
      <c r="Y1742" s="49"/>
      <c r="Z1742" s="49"/>
      <c r="AA1742" s="49"/>
      <c r="AB1742" s="49"/>
      <c r="AC1742" s="49"/>
      <c r="AD1742" s="49"/>
      <c r="AE1742" s="49"/>
      <c r="AF1742" s="49"/>
      <c r="AG1742" s="49"/>
      <c r="AH1742" s="49" t="b">
        <f>IFERROR(__xludf.DUMMYFUNCTION("""COMPUTED_VALUE"""),FALSE)</f>
        <v>0</v>
      </c>
    </row>
    <row r="1743">
      <c r="A1743" s="49"/>
      <c r="B1743" s="49"/>
      <c r="C1743" s="49"/>
      <c r="D1743" s="49"/>
      <c r="E1743" s="49">
        <f>IFERROR(__xludf.DUMMYFUNCTION("""COMPUTED_VALUE"""),1.0)</f>
        <v>1</v>
      </c>
      <c r="F1743" s="112">
        <f>IFERROR(__xludf.DUMMYFUNCTION("""COMPUTED_VALUE"""),0.0)</f>
        <v>0</v>
      </c>
      <c r="G1743" s="49"/>
      <c r="H1743" s="49"/>
      <c r="I1743" s="49"/>
      <c r="J1743" s="49"/>
      <c r="K1743" s="49"/>
      <c r="L1743" s="49"/>
      <c r="M1743" s="49"/>
      <c r="N1743" s="49"/>
      <c r="O1743" s="49"/>
      <c r="P1743" s="49"/>
      <c r="Q1743" s="49"/>
      <c r="R1743" s="49"/>
      <c r="S1743" s="49"/>
      <c r="T1743" s="49"/>
      <c r="U1743" s="49"/>
      <c r="V1743" s="49"/>
      <c r="W1743" s="49"/>
      <c r="X1743" s="49"/>
      <c r="Y1743" s="49"/>
      <c r="Z1743" s="49"/>
      <c r="AA1743" s="49"/>
      <c r="AB1743" s="49"/>
      <c r="AC1743" s="49"/>
      <c r="AD1743" s="49"/>
      <c r="AE1743" s="49"/>
      <c r="AF1743" s="49"/>
      <c r="AG1743" s="49"/>
      <c r="AH1743" s="49" t="b">
        <f>IFERROR(__xludf.DUMMYFUNCTION("""COMPUTED_VALUE"""),FALSE)</f>
        <v>0</v>
      </c>
    </row>
    <row r="1744">
      <c r="A1744" s="49"/>
      <c r="B1744" s="49"/>
      <c r="C1744" s="49"/>
      <c r="D1744" s="49"/>
      <c r="E1744" s="49">
        <f>IFERROR(__xludf.DUMMYFUNCTION("""COMPUTED_VALUE"""),1.0)</f>
        <v>1</v>
      </c>
      <c r="F1744" s="112">
        <f>IFERROR(__xludf.DUMMYFUNCTION("""COMPUTED_VALUE"""),0.0)</f>
        <v>0</v>
      </c>
      <c r="G1744" s="49"/>
      <c r="H1744" s="49"/>
      <c r="I1744" s="49"/>
      <c r="J1744" s="49"/>
      <c r="K1744" s="49"/>
      <c r="L1744" s="49"/>
      <c r="M1744" s="49"/>
      <c r="N1744" s="49"/>
      <c r="O1744" s="49"/>
      <c r="P1744" s="49"/>
      <c r="Q1744" s="49"/>
      <c r="R1744" s="49"/>
      <c r="S1744" s="49"/>
      <c r="T1744" s="49"/>
      <c r="U1744" s="49"/>
      <c r="V1744" s="49"/>
      <c r="W1744" s="49"/>
      <c r="X1744" s="49"/>
      <c r="Y1744" s="49"/>
      <c r="Z1744" s="49"/>
      <c r="AA1744" s="49"/>
      <c r="AB1744" s="49"/>
      <c r="AC1744" s="49"/>
      <c r="AD1744" s="49"/>
      <c r="AE1744" s="49"/>
      <c r="AF1744" s="49"/>
      <c r="AG1744" s="49"/>
      <c r="AH1744" s="49" t="b">
        <f>IFERROR(__xludf.DUMMYFUNCTION("""COMPUTED_VALUE"""),FALSE)</f>
        <v>0</v>
      </c>
    </row>
    <row r="1745">
      <c r="A1745" s="49"/>
      <c r="B1745" s="49"/>
      <c r="C1745" s="49"/>
      <c r="D1745" s="49"/>
      <c r="E1745" s="49">
        <f>IFERROR(__xludf.DUMMYFUNCTION("""COMPUTED_VALUE"""),1.0)</f>
        <v>1</v>
      </c>
      <c r="F1745" s="112">
        <f>IFERROR(__xludf.DUMMYFUNCTION("""COMPUTED_VALUE"""),0.0)</f>
        <v>0</v>
      </c>
      <c r="G1745" s="49"/>
      <c r="H1745" s="49"/>
      <c r="I1745" s="49"/>
      <c r="J1745" s="49"/>
      <c r="K1745" s="49"/>
      <c r="L1745" s="49"/>
      <c r="M1745" s="49"/>
      <c r="N1745" s="49"/>
      <c r="O1745" s="49"/>
      <c r="P1745" s="49"/>
      <c r="Q1745" s="49"/>
      <c r="R1745" s="49"/>
      <c r="S1745" s="49"/>
      <c r="T1745" s="49"/>
      <c r="U1745" s="49"/>
      <c r="V1745" s="49"/>
      <c r="W1745" s="49"/>
      <c r="X1745" s="49"/>
      <c r="Y1745" s="49"/>
      <c r="Z1745" s="49"/>
      <c r="AA1745" s="49"/>
      <c r="AB1745" s="49"/>
      <c r="AC1745" s="49"/>
      <c r="AD1745" s="49"/>
      <c r="AE1745" s="49"/>
      <c r="AF1745" s="49"/>
      <c r="AG1745" s="49"/>
      <c r="AH1745" s="49" t="b">
        <f>IFERROR(__xludf.DUMMYFUNCTION("""COMPUTED_VALUE"""),FALSE)</f>
        <v>0</v>
      </c>
    </row>
    <row r="1746">
      <c r="A1746" s="49"/>
      <c r="B1746" s="49"/>
      <c r="C1746" s="49"/>
      <c r="D1746" s="49"/>
      <c r="E1746" s="49">
        <f>IFERROR(__xludf.DUMMYFUNCTION("""COMPUTED_VALUE"""),1.0)</f>
        <v>1</v>
      </c>
      <c r="F1746" s="112">
        <f>IFERROR(__xludf.DUMMYFUNCTION("""COMPUTED_VALUE"""),0.0)</f>
        <v>0</v>
      </c>
      <c r="G1746" s="49"/>
      <c r="H1746" s="49"/>
      <c r="I1746" s="49"/>
      <c r="J1746" s="49"/>
      <c r="K1746" s="49"/>
      <c r="L1746" s="49"/>
      <c r="M1746" s="49"/>
      <c r="N1746" s="49"/>
      <c r="O1746" s="49"/>
      <c r="P1746" s="49"/>
      <c r="Q1746" s="49"/>
      <c r="R1746" s="49"/>
      <c r="S1746" s="49"/>
      <c r="T1746" s="49"/>
      <c r="U1746" s="49"/>
      <c r="V1746" s="49"/>
      <c r="W1746" s="49"/>
      <c r="X1746" s="49"/>
      <c r="Y1746" s="49"/>
      <c r="Z1746" s="49"/>
      <c r="AA1746" s="49"/>
      <c r="AB1746" s="49"/>
      <c r="AC1746" s="49"/>
      <c r="AD1746" s="49"/>
      <c r="AE1746" s="49"/>
      <c r="AF1746" s="49"/>
      <c r="AG1746" s="49"/>
      <c r="AH1746" s="49" t="b">
        <f>IFERROR(__xludf.DUMMYFUNCTION("""COMPUTED_VALUE"""),FALSE)</f>
        <v>0</v>
      </c>
    </row>
    <row r="1747">
      <c r="A1747" s="49"/>
      <c r="B1747" s="49"/>
      <c r="C1747" s="49"/>
      <c r="D1747" s="49"/>
      <c r="E1747" s="49">
        <f>IFERROR(__xludf.DUMMYFUNCTION("""COMPUTED_VALUE"""),1.0)</f>
        <v>1</v>
      </c>
      <c r="F1747" s="112">
        <f>IFERROR(__xludf.DUMMYFUNCTION("""COMPUTED_VALUE"""),0.0)</f>
        <v>0</v>
      </c>
      <c r="G1747" s="49"/>
      <c r="H1747" s="49"/>
      <c r="I1747" s="49"/>
      <c r="J1747" s="49"/>
      <c r="K1747" s="49"/>
      <c r="L1747" s="49"/>
      <c r="M1747" s="49"/>
      <c r="N1747" s="49"/>
      <c r="O1747" s="49"/>
      <c r="P1747" s="49"/>
      <c r="Q1747" s="49"/>
      <c r="R1747" s="49"/>
      <c r="S1747" s="49"/>
      <c r="T1747" s="49"/>
      <c r="U1747" s="49"/>
      <c r="V1747" s="49"/>
      <c r="W1747" s="49"/>
      <c r="X1747" s="49"/>
      <c r="Y1747" s="49"/>
      <c r="Z1747" s="49"/>
      <c r="AA1747" s="49"/>
      <c r="AB1747" s="49"/>
      <c r="AC1747" s="49"/>
      <c r="AD1747" s="49"/>
      <c r="AE1747" s="49"/>
      <c r="AF1747" s="49"/>
      <c r="AG1747" s="49"/>
      <c r="AH1747" s="49" t="b">
        <f>IFERROR(__xludf.DUMMYFUNCTION("""COMPUTED_VALUE"""),FALSE)</f>
        <v>0</v>
      </c>
    </row>
    <row r="1748">
      <c r="A1748" s="49"/>
      <c r="B1748" s="49"/>
      <c r="C1748" s="49"/>
      <c r="D1748" s="49"/>
      <c r="E1748" s="49">
        <f>IFERROR(__xludf.DUMMYFUNCTION("""COMPUTED_VALUE"""),1.0)</f>
        <v>1</v>
      </c>
      <c r="F1748" s="112">
        <f>IFERROR(__xludf.DUMMYFUNCTION("""COMPUTED_VALUE"""),0.0)</f>
        <v>0</v>
      </c>
      <c r="G1748" s="49"/>
      <c r="H1748" s="49"/>
      <c r="I1748" s="49"/>
      <c r="J1748" s="49"/>
      <c r="K1748" s="49"/>
      <c r="L1748" s="49"/>
      <c r="M1748" s="49"/>
      <c r="N1748" s="49"/>
      <c r="O1748" s="49"/>
      <c r="P1748" s="49"/>
      <c r="Q1748" s="49"/>
      <c r="R1748" s="49"/>
      <c r="S1748" s="49"/>
      <c r="T1748" s="49"/>
      <c r="U1748" s="49"/>
      <c r="V1748" s="49"/>
      <c r="W1748" s="49"/>
      <c r="X1748" s="49"/>
      <c r="Y1748" s="49"/>
      <c r="Z1748" s="49"/>
      <c r="AA1748" s="49"/>
      <c r="AB1748" s="49"/>
      <c r="AC1748" s="49"/>
      <c r="AD1748" s="49"/>
      <c r="AE1748" s="49"/>
      <c r="AF1748" s="49"/>
      <c r="AG1748" s="49"/>
      <c r="AH1748" s="49" t="b">
        <f>IFERROR(__xludf.DUMMYFUNCTION("""COMPUTED_VALUE"""),FALSE)</f>
        <v>0</v>
      </c>
    </row>
    <row r="1749">
      <c r="A1749" s="49"/>
      <c r="B1749" s="49"/>
      <c r="C1749" s="49"/>
      <c r="D1749" s="49"/>
      <c r="E1749" s="49">
        <f>IFERROR(__xludf.DUMMYFUNCTION("""COMPUTED_VALUE"""),1.0)</f>
        <v>1</v>
      </c>
      <c r="F1749" s="112">
        <f>IFERROR(__xludf.DUMMYFUNCTION("""COMPUTED_VALUE"""),0.0)</f>
        <v>0</v>
      </c>
      <c r="G1749" s="49"/>
      <c r="H1749" s="49"/>
      <c r="I1749" s="49"/>
      <c r="J1749" s="49"/>
      <c r="K1749" s="49"/>
      <c r="L1749" s="49"/>
      <c r="M1749" s="49"/>
      <c r="N1749" s="49"/>
      <c r="O1749" s="49"/>
      <c r="P1749" s="49"/>
      <c r="Q1749" s="49"/>
      <c r="R1749" s="49"/>
      <c r="S1749" s="49"/>
      <c r="T1749" s="49"/>
      <c r="U1749" s="49"/>
      <c r="V1749" s="49"/>
      <c r="W1749" s="49"/>
      <c r="X1749" s="49"/>
      <c r="Y1749" s="49"/>
      <c r="Z1749" s="49"/>
      <c r="AA1749" s="49"/>
      <c r="AB1749" s="49"/>
      <c r="AC1749" s="49"/>
      <c r="AD1749" s="49"/>
      <c r="AE1749" s="49"/>
      <c r="AF1749" s="49"/>
      <c r="AG1749" s="49"/>
      <c r="AH1749" s="49" t="b">
        <f>IFERROR(__xludf.DUMMYFUNCTION("""COMPUTED_VALUE"""),FALSE)</f>
        <v>0</v>
      </c>
    </row>
    <row r="1750">
      <c r="A1750" s="49"/>
      <c r="B1750" s="49"/>
      <c r="C1750" s="49"/>
      <c r="D1750" s="49"/>
      <c r="E1750" s="49">
        <f>IFERROR(__xludf.DUMMYFUNCTION("""COMPUTED_VALUE"""),1.0)</f>
        <v>1</v>
      </c>
      <c r="F1750" s="112">
        <f>IFERROR(__xludf.DUMMYFUNCTION("""COMPUTED_VALUE"""),0.0)</f>
        <v>0</v>
      </c>
      <c r="G1750" s="49"/>
      <c r="H1750" s="49"/>
      <c r="I1750" s="49"/>
      <c r="J1750" s="49"/>
      <c r="K1750" s="49"/>
      <c r="L1750" s="49"/>
      <c r="M1750" s="49"/>
      <c r="N1750" s="49"/>
      <c r="O1750" s="49"/>
      <c r="P1750" s="49"/>
      <c r="Q1750" s="49"/>
      <c r="R1750" s="49"/>
      <c r="S1750" s="49"/>
      <c r="T1750" s="49"/>
      <c r="U1750" s="49"/>
      <c r="V1750" s="49"/>
      <c r="W1750" s="49"/>
      <c r="X1750" s="49"/>
      <c r="Y1750" s="49"/>
      <c r="Z1750" s="49"/>
      <c r="AA1750" s="49"/>
      <c r="AB1750" s="49"/>
      <c r="AC1750" s="49"/>
      <c r="AD1750" s="49"/>
      <c r="AE1750" s="49"/>
      <c r="AF1750" s="49"/>
      <c r="AG1750" s="49"/>
      <c r="AH1750" s="49" t="b">
        <f>IFERROR(__xludf.DUMMYFUNCTION("""COMPUTED_VALUE"""),FALSE)</f>
        <v>0</v>
      </c>
    </row>
    <row r="1751">
      <c r="A1751" s="49"/>
      <c r="B1751" s="49"/>
      <c r="C1751" s="49"/>
      <c r="D1751" s="49"/>
      <c r="E1751" s="49">
        <f>IFERROR(__xludf.DUMMYFUNCTION("""COMPUTED_VALUE"""),1.0)</f>
        <v>1</v>
      </c>
      <c r="F1751" s="112">
        <f>IFERROR(__xludf.DUMMYFUNCTION("""COMPUTED_VALUE"""),0.0)</f>
        <v>0</v>
      </c>
      <c r="G1751" s="49"/>
      <c r="H1751" s="49"/>
      <c r="I1751" s="49"/>
      <c r="J1751" s="49"/>
      <c r="K1751" s="49"/>
      <c r="L1751" s="49"/>
      <c r="M1751" s="49"/>
      <c r="N1751" s="49"/>
      <c r="O1751" s="49"/>
      <c r="P1751" s="49"/>
      <c r="Q1751" s="49"/>
      <c r="R1751" s="49"/>
      <c r="S1751" s="49"/>
      <c r="T1751" s="49"/>
      <c r="U1751" s="49"/>
      <c r="V1751" s="49"/>
      <c r="W1751" s="49"/>
      <c r="X1751" s="49"/>
      <c r="Y1751" s="49"/>
      <c r="Z1751" s="49"/>
      <c r="AA1751" s="49"/>
      <c r="AB1751" s="49"/>
      <c r="AC1751" s="49"/>
      <c r="AD1751" s="49"/>
      <c r="AE1751" s="49"/>
      <c r="AF1751" s="49"/>
      <c r="AG1751" s="49"/>
      <c r="AH1751" s="49" t="b">
        <f>IFERROR(__xludf.DUMMYFUNCTION("""COMPUTED_VALUE"""),FALSE)</f>
        <v>0</v>
      </c>
    </row>
    <row r="1752">
      <c r="A1752" s="49"/>
      <c r="B1752" s="49"/>
      <c r="C1752" s="49"/>
      <c r="D1752" s="49"/>
      <c r="E1752" s="49">
        <f>IFERROR(__xludf.DUMMYFUNCTION("""COMPUTED_VALUE"""),1.0)</f>
        <v>1</v>
      </c>
      <c r="F1752" s="112">
        <f>IFERROR(__xludf.DUMMYFUNCTION("""COMPUTED_VALUE"""),0.0)</f>
        <v>0</v>
      </c>
      <c r="G1752" s="49"/>
      <c r="H1752" s="49"/>
      <c r="I1752" s="49"/>
      <c r="J1752" s="49"/>
      <c r="K1752" s="49"/>
      <c r="L1752" s="49"/>
      <c r="M1752" s="49"/>
      <c r="N1752" s="49"/>
      <c r="O1752" s="49"/>
      <c r="P1752" s="49"/>
      <c r="Q1752" s="49"/>
      <c r="R1752" s="49"/>
      <c r="S1752" s="49"/>
      <c r="T1752" s="49"/>
      <c r="U1752" s="49"/>
      <c r="V1752" s="49"/>
      <c r="W1752" s="49"/>
      <c r="X1752" s="49"/>
      <c r="Y1752" s="49"/>
      <c r="Z1752" s="49"/>
      <c r="AA1752" s="49"/>
      <c r="AB1752" s="49"/>
      <c r="AC1752" s="49"/>
      <c r="AD1752" s="49"/>
      <c r="AE1752" s="49"/>
      <c r="AF1752" s="49"/>
      <c r="AG1752" s="49"/>
      <c r="AH1752" s="49" t="b">
        <f>IFERROR(__xludf.DUMMYFUNCTION("""COMPUTED_VALUE"""),FALSE)</f>
        <v>0</v>
      </c>
    </row>
    <row r="1753">
      <c r="A1753" s="49"/>
      <c r="B1753" s="49"/>
      <c r="C1753" s="49"/>
      <c r="D1753" s="49"/>
      <c r="E1753" s="49">
        <f>IFERROR(__xludf.DUMMYFUNCTION("""COMPUTED_VALUE"""),1.0)</f>
        <v>1</v>
      </c>
      <c r="F1753" s="112">
        <f>IFERROR(__xludf.DUMMYFUNCTION("""COMPUTED_VALUE"""),0.0)</f>
        <v>0</v>
      </c>
      <c r="G1753" s="49"/>
      <c r="H1753" s="49"/>
      <c r="I1753" s="49"/>
      <c r="J1753" s="49"/>
      <c r="K1753" s="49"/>
      <c r="L1753" s="49"/>
      <c r="M1753" s="49"/>
      <c r="N1753" s="49"/>
      <c r="O1753" s="49"/>
      <c r="P1753" s="49"/>
      <c r="Q1753" s="49"/>
      <c r="R1753" s="49"/>
      <c r="S1753" s="49"/>
      <c r="T1753" s="49"/>
      <c r="U1753" s="49"/>
      <c r="V1753" s="49"/>
      <c r="W1753" s="49"/>
      <c r="X1753" s="49"/>
      <c r="Y1753" s="49"/>
      <c r="Z1753" s="49"/>
      <c r="AA1753" s="49"/>
      <c r="AB1753" s="49"/>
      <c r="AC1753" s="49"/>
      <c r="AD1753" s="49"/>
      <c r="AE1753" s="49"/>
      <c r="AF1753" s="49"/>
      <c r="AG1753" s="49"/>
      <c r="AH1753" s="49" t="b">
        <f>IFERROR(__xludf.DUMMYFUNCTION("""COMPUTED_VALUE"""),FALSE)</f>
        <v>0</v>
      </c>
    </row>
    <row r="1754">
      <c r="A1754" s="49"/>
      <c r="B1754" s="49"/>
      <c r="C1754" s="49"/>
      <c r="D1754" s="49"/>
      <c r="E1754" s="49">
        <f>IFERROR(__xludf.DUMMYFUNCTION("""COMPUTED_VALUE"""),1.0)</f>
        <v>1</v>
      </c>
      <c r="F1754" s="112">
        <f>IFERROR(__xludf.DUMMYFUNCTION("""COMPUTED_VALUE"""),0.0)</f>
        <v>0</v>
      </c>
      <c r="G1754" s="49"/>
      <c r="H1754" s="49"/>
      <c r="I1754" s="49"/>
      <c r="J1754" s="49"/>
      <c r="K1754" s="49"/>
      <c r="L1754" s="49"/>
      <c r="M1754" s="49"/>
      <c r="N1754" s="49"/>
      <c r="O1754" s="49"/>
      <c r="P1754" s="49"/>
      <c r="Q1754" s="49"/>
      <c r="R1754" s="49"/>
      <c r="S1754" s="49"/>
      <c r="T1754" s="49"/>
      <c r="U1754" s="49"/>
      <c r="V1754" s="49"/>
      <c r="W1754" s="49"/>
      <c r="X1754" s="49"/>
      <c r="Y1754" s="49"/>
      <c r="Z1754" s="49"/>
      <c r="AA1754" s="49"/>
      <c r="AB1754" s="49"/>
      <c r="AC1754" s="49"/>
      <c r="AD1754" s="49"/>
      <c r="AE1754" s="49"/>
      <c r="AF1754" s="49"/>
      <c r="AG1754" s="49"/>
      <c r="AH1754" s="49" t="b">
        <f>IFERROR(__xludf.DUMMYFUNCTION("""COMPUTED_VALUE"""),FALSE)</f>
        <v>0</v>
      </c>
    </row>
    <row r="1755">
      <c r="A1755" s="49"/>
      <c r="B1755" s="49"/>
      <c r="C1755" s="49"/>
      <c r="D1755" s="49"/>
      <c r="E1755" s="49">
        <f>IFERROR(__xludf.DUMMYFUNCTION("""COMPUTED_VALUE"""),1.0)</f>
        <v>1</v>
      </c>
      <c r="F1755" s="112">
        <f>IFERROR(__xludf.DUMMYFUNCTION("""COMPUTED_VALUE"""),0.0)</f>
        <v>0</v>
      </c>
      <c r="G1755" s="49"/>
      <c r="H1755" s="49"/>
      <c r="I1755" s="49"/>
      <c r="J1755" s="49"/>
      <c r="K1755" s="49"/>
      <c r="L1755" s="49"/>
      <c r="M1755" s="49"/>
      <c r="N1755" s="49"/>
      <c r="O1755" s="49"/>
      <c r="P1755" s="49"/>
      <c r="Q1755" s="49"/>
      <c r="R1755" s="49"/>
      <c r="S1755" s="49"/>
      <c r="T1755" s="49"/>
      <c r="U1755" s="49"/>
      <c r="V1755" s="49"/>
      <c r="W1755" s="49"/>
      <c r="X1755" s="49"/>
      <c r="Y1755" s="49"/>
      <c r="Z1755" s="49"/>
      <c r="AA1755" s="49"/>
      <c r="AB1755" s="49"/>
      <c r="AC1755" s="49"/>
      <c r="AD1755" s="49"/>
      <c r="AE1755" s="49"/>
      <c r="AF1755" s="49"/>
      <c r="AG1755" s="49"/>
      <c r="AH1755" s="49" t="b">
        <f>IFERROR(__xludf.DUMMYFUNCTION("""COMPUTED_VALUE"""),FALSE)</f>
        <v>0</v>
      </c>
    </row>
    <row r="1756">
      <c r="A1756" s="49"/>
      <c r="B1756" s="49"/>
      <c r="C1756" s="49"/>
      <c r="D1756" s="49"/>
      <c r="E1756" s="49">
        <f>IFERROR(__xludf.DUMMYFUNCTION("""COMPUTED_VALUE"""),1.0)</f>
        <v>1</v>
      </c>
      <c r="F1756" s="112">
        <f>IFERROR(__xludf.DUMMYFUNCTION("""COMPUTED_VALUE"""),0.0)</f>
        <v>0</v>
      </c>
      <c r="G1756" s="49"/>
      <c r="H1756" s="49"/>
      <c r="I1756" s="49"/>
      <c r="J1756" s="49"/>
      <c r="K1756" s="49"/>
      <c r="L1756" s="49"/>
      <c r="M1756" s="49"/>
      <c r="N1756" s="49"/>
      <c r="O1756" s="49"/>
      <c r="P1756" s="49"/>
      <c r="Q1756" s="49"/>
      <c r="R1756" s="49"/>
      <c r="S1756" s="49"/>
      <c r="T1756" s="49"/>
      <c r="U1756" s="49"/>
      <c r="V1756" s="49"/>
      <c r="W1756" s="49"/>
      <c r="X1756" s="49"/>
      <c r="Y1756" s="49"/>
      <c r="Z1756" s="49"/>
      <c r="AA1756" s="49"/>
      <c r="AB1756" s="49"/>
      <c r="AC1756" s="49"/>
      <c r="AD1756" s="49"/>
      <c r="AE1756" s="49"/>
      <c r="AF1756" s="49"/>
      <c r="AG1756" s="49"/>
      <c r="AH1756" s="49" t="b">
        <f>IFERROR(__xludf.DUMMYFUNCTION("""COMPUTED_VALUE"""),FALSE)</f>
        <v>0</v>
      </c>
    </row>
    <row r="1757">
      <c r="A1757" s="49"/>
      <c r="B1757" s="49"/>
      <c r="C1757" s="49"/>
      <c r="D1757" s="49"/>
      <c r="E1757" s="49">
        <f>IFERROR(__xludf.DUMMYFUNCTION("""COMPUTED_VALUE"""),1.0)</f>
        <v>1</v>
      </c>
      <c r="F1757" s="112">
        <f>IFERROR(__xludf.DUMMYFUNCTION("""COMPUTED_VALUE"""),0.0)</f>
        <v>0</v>
      </c>
      <c r="G1757" s="49"/>
      <c r="H1757" s="49"/>
      <c r="I1757" s="49"/>
      <c r="J1757" s="49"/>
      <c r="K1757" s="49"/>
      <c r="L1757" s="49"/>
      <c r="M1757" s="49"/>
      <c r="N1757" s="49"/>
      <c r="O1757" s="49"/>
      <c r="P1757" s="49"/>
      <c r="Q1757" s="49"/>
      <c r="R1757" s="49"/>
      <c r="S1757" s="49"/>
      <c r="T1757" s="49"/>
      <c r="U1757" s="49"/>
      <c r="V1757" s="49"/>
      <c r="W1757" s="49"/>
      <c r="X1757" s="49"/>
      <c r="Y1757" s="49"/>
      <c r="Z1757" s="49"/>
      <c r="AA1757" s="49"/>
      <c r="AB1757" s="49"/>
      <c r="AC1757" s="49"/>
      <c r="AD1757" s="49"/>
      <c r="AE1757" s="49"/>
      <c r="AF1757" s="49"/>
      <c r="AG1757" s="49"/>
      <c r="AH1757" s="49" t="b">
        <f>IFERROR(__xludf.DUMMYFUNCTION("""COMPUTED_VALUE"""),FALSE)</f>
        <v>0</v>
      </c>
    </row>
    <row r="1758">
      <c r="A1758" s="49"/>
      <c r="B1758" s="49"/>
      <c r="C1758" s="49"/>
      <c r="D1758" s="49"/>
      <c r="E1758" s="49">
        <f>IFERROR(__xludf.DUMMYFUNCTION("""COMPUTED_VALUE"""),1.0)</f>
        <v>1</v>
      </c>
      <c r="F1758" s="112">
        <f>IFERROR(__xludf.DUMMYFUNCTION("""COMPUTED_VALUE"""),0.0)</f>
        <v>0</v>
      </c>
      <c r="G1758" s="49"/>
      <c r="H1758" s="49"/>
      <c r="I1758" s="49"/>
      <c r="J1758" s="49"/>
      <c r="K1758" s="49"/>
      <c r="L1758" s="49"/>
      <c r="M1758" s="49"/>
      <c r="N1758" s="49"/>
      <c r="O1758" s="49"/>
      <c r="P1758" s="49"/>
      <c r="Q1758" s="49"/>
      <c r="R1758" s="49"/>
      <c r="S1758" s="49"/>
      <c r="T1758" s="49"/>
      <c r="U1758" s="49"/>
      <c r="V1758" s="49"/>
      <c r="W1758" s="49"/>
      <c r="X1758" s="49"/>
      <c r="Y1758" s="49"/>
      <c r="Z1758" s="49"/>
      <c r="AA1758" s="49"/>
      <c r="AB1758" s="49"/>
      <c r="AC1758" s="49"/>
      <c r="AD1758" s="49"/>
      <c r="AE1758" s="49"/>
      <c r="AF1758" s="49"/>
      <c r="AG1758" s="49"/>
      <c r="AH1758" s="49" t="b">
        <f>IFERROR(__xludf.DUMMYFUNCTION("""COMPUTED_VALUE"""),FALSE)</f>
        <v>0</v>
      </c>
    </row>
    <row r="1759">
      <c r="A1759" s="49"/>
      <c r="B1759" s="49"/>
      <c r="C1759" s="49"/>
      <c r="D1759" s="49"/>
      <c r="E1759" s="49">
        <f>IFERROR(__xludf.DUMMYFUNCTION("""COMPUTED_VALUE"""),1.0)</f>
        <v>1</v>
      </c>
      <c r="F1759" s="112">
        <f>IFERROR(__xludf.DUMMYFUNCTION("""COMPUTED_VALUE"""),0.0)</f>
        <v>0</v>
      </c>
      <c r="G1759" s="49"/>
      <c r="H1759" s="49"/>
      <c r="I1759" s="49"/>
      <c r="J1759" s="49"/>
      <c r="K1759" s="49"/>
      <c r="L1759" s="49"/>
      <c r="M1759" s="49"/>
      <c r="N1759" s="49"/>
      <c r="O1759" s="49"/>
      <c r="P1759" s="49"/>
      <c r="Q1759" s="49"/>
      <c r="R1759" s="49"/>
      <c r="S1759" s="49"/>
      <c r="T1759" s="49"/>
      <c r="U1759" s="49"/>
      <c r="V1759" s="49"/>
      <c r="W1759" s="49"/>
      <c r="X1759" s="49"/>
      <c r="Y1759" s="49"/>
      <c r="Z1759" s="49"/>
      <c r="AA1759" s="49"/>
      <c r="AB1759" s="49"/>
      <c r="AC1759" s="49"/>
      <c r="AD1759" s="49"/>
      <c r="AE1759" s="49"/>
      <c r="AF1759" s="49"/>
      <c r="AG1759" s="49"/>
      <c r="AH1759" s="49" t="b">
        <f>IFERROR(__xludf.DUMMYFUNCTION("""COMPUTED_VALUE"""),FALSE)</f>
        <v>0</v>
      </c>
    </row>
    <row r="1760">
      <c r="A1760" s="49"/>
      <c r="B1760" s="49"/>
      <c r="C1760" s="49"/>
      <c r="D1760" s="49"/>
      <c r="E1760" s="49">
        <f>IFERROR(__xludf.DUMMYFUNCTION("""COMPUTED_VALUE"""),1.0)</f>
        <v>1</v>
      </c>
      <c r="F1760" s="112">
        <f>IFERROR(__xludf.DUMMYFUNCTION("""COMPUTED_VALUE"""),0.0)</f>
        <v>0</v>
      </c>
      <c r="G1760" s="49"/>
      <c r="H1760" s="49"/>
      <c r="I1760" s="49"/>
      <c r="J1760" s="49"/>
      <c r="K1760" s="49"/>
      <c r="L1760" s="49"/>
      <c r="M1760" s="49"/>
      <c r="N1760" s="49"/>
      <c r="O1760" s="49"/>
      <c r="P1760" s="49"/>
      <c r="Q1760" s="49"/>
      <c r="R1760" s="49"/>
      <c r="S1760" s="49"/>
      <c r="T1760" s="49"/>
      <c r="U1760" s="49"/>
      <c r="V1760" s="49"/>
      <c r="W1760" s="49"/>
      <c r="X1760" s="49"/>
      <c r="Y1760" s="49"/>
      <c r="Z1760" s="49"/>
      <c r="AA1760" s="49"/>
      <c r="AB1760" s="49"/>
      <c r="AC1760" s="49"/>
      <c r="AD1760" s="49"/>
      <c r="AE1760" s="49"/>
      <c r="AF1760" s="49"/>
      <c r="AG1760" s="49"/>
      <c r="AH1760" s="49" t="b">
        <f>IFERROR(__xludf.DUMMYFUNCTION("""COMPUTED_VALUE"""),FALSE)</f>
        <v>0</v>
      </c>
    </row>
    <row r="1761">
      <c r="A1761" s="49"/>
      <c r="B1761" s="49"/>
      <c r="C1761" s="49"/>
      <c r="D1761" s="49"/>
      <c r="E1761" s="49">
        <f>IFERROR(__xludf.DUMMYFUNCTION("""COMPUTED_VALUE"""),1.0)</f>
        <v>1</v>
      </c>
      <c r="F1761" s="112">
        <f>IFERROR(__xludf.DUMMYFUNCTION("""COMPUTED_VALUE"""),0.0)</f>
        <v>0</v>
      </c>
      <c r="G1761" s="49"/>
      <c r="H1761" s="49"/>
      <c r="I1761" s="49"/>
      <c r="J1761" s="49"/>
      <c r="K1761" s="49"/>
      <c r="L1761" s="49"/>
      <c r="M1761" s="49"/>
      <c r="N1761" s="49"/>
      <c r="O1761" s="49"/>
      <c r="P1761" s="49"/>
      <c r="Q1761" s="49"/>
      <c r="R1761" s="49"/>
      <c r="S1761" s="49"/>
      <c r="T1761" s="49"/>
      <c r="U1761" s="49"/>
      <c r="V1761" s="49"/>
      <c r="W1761" s="49"/>
      <c r="X1761" s="49"/>
      <c r="Y1761" s="49"/>
      <c r="Z1761" s="49"/>
      <c r="AA1761" s="49"/>
      <c r="AB1761" s="49"/>
      <c r="AC1761" s="49"/>
      <c r="AD1761" s="49"/>
      <c r="AE1761" s="49"/>
      <c r="AF1761" s="49"/>
      <c r="AG1761" s="49"/>
      <c r="AH1761" s="49" t="b">
        <f>IFERROR(__xludf.DUMMYFUNCTION("""COMPUTED_VALUE"""),FALSE)</f>
        <v>0</v>
      </c>
    </row>
    <row r="1762">
      <c r="A1762" s="49"/>
      <c r="B1762" s="49"/>
      <c r="C1762" s="49"/>
      <c r="D1762" s="49"/>
      <c r="E1762" s="49">
        <f>IFERROR(__xludf.DUMMYFUNCTION("""COMPUTED_VALUE"""),1.0)</f>
        <v>1</v>
      </c>
      <c r="F1762" s="112">
        <f>IFERROR(__xludf.DUMMYFUNCTION("""COMPUTED_VALUE"""),0.0)</f>
        <v>0</v>
      </c>
      <c r="G1762" s="49"/>
      <c r="H1762" s="49"/>
      <c r="I1762" s="49"/>
      <c r="J1762" s="49"/>
      <c r="K1762" s="49"/>
      <c r="L1762" s="49"/>
      <c r="M1762" s="49"/>
      <c r="N1762" s="49"/>
      <c r="O1762" s="49"/>
      <c r="P1762" s="49"/>
      <c r="Q1762" s="49"/>
      <c r="R1762" s="49"/>
      <c r="S1762" s="49"/>
      <c r="T1762" s="49"/>
      <c r="U1762" s="49"/>
      <c r="V1762" s="49"/>
      <c r="W1762" s="49"/>
      <c r="X1762" s="49"/>
      <c r="Y1762" s="49"/>
      <c r="Z1762" s="49"/>
      <c r="AA1762" s="49"/>
      <c r="AB1762" s="49"/>
      <c r="AC1762" s="49"/>
      <c r="AD1762" s="49"/>
      <c r="AE1762" s="49"/>
      <c r="AF1762" s="49"/>
      <c r="AG1762" s="49"/>
      <c r="AH1762" s="49" t="b">
        <f>IFERROR(__xludf.DUMMYFUNCTION("""COMPUTED_VALUE"""),FALSE)</f>
        <v>0</v>
      </c>
    </row>
    <row r="1763">
      <c r="A1763" s="49"/>
      <c r="B1763" s="49"/>
      <c r="C1763" s="49"/>
      <c r="D1763" s="49"/>
      <c r="E1763" s="49">
        <f>IFERROR(__xludf.DUMMYFUNCTION("""COMPUTED_VALUE"""),1.0)</f>
        <v>1</v>
      </c>
      <c r="F1763" s="112">
        <f>IFERROR(__xludf.DUMMYFUNCTION("""COMPUTED_VALUE"""),0.0)</f>
        <v>0</v>
      </c>
      <c r="G1763" s="49"/>
      <c r="H1763" s="49"/>
      <c r="I1763" s="49"/>
      <c r="J1763" s="49"/>
      <c r="K1763" s="49"/>
      <c r="L1763" s="49"/>
      <c r="M1763" s="49"/>
      <c r="N1763" s="49"/>
      <c r="O1763" s="49"/>
      <c r="P1763" s="49"/>
      <c r="Q1763" s="49"/>
      <c r="R1763" s="49"/>
      <c r="S1763" s="49"/>
      <c r="T1763" s="49"/>
      <c r="U1763" s="49"/>
      <c r="V1763" s="49"/>
      <c r="W1763" s="49"/>
      <c r="X1763" s="49"/>
      <c r="Y1763" s="49"/>
      <c r="Z1763" s="49"/>
      <c r="AA1763" s="49"/>
      <c r="AB1763" s="49"/>
      <c r="AC1763" s="49"/>
      <c r="AD1763" s="49"/>
      <c r="AE1763" s="49"/>
      <c r="AF1763" s="49"/>
      <c r="AG1763" s="49"/>
      <c r="AH1763" s="49" t="b">
        <f>IFERROR(__xludf.DUMMYFUNCTION("""COMPUTED_VALUE"""),FALSE)</f>
        <v>0</v>
      </c>
    </row>
    <row r="1764">
      <c r="A1764" s="49"/>
      <c r="B1764" s="49"/>
      <c r="C1764" s="49"/>
      <c r="D1764" s="49"/>
      <c r="E1764" s="49">
        <f>IFERROR(__xludf.DUMMYFUNCTION("""COMPUTED_VALUE"""),1.0)</f>
        <v>1</v>
      </c>
      <c r="F1764" s="112">
        <f>IFERROR(__xludf.DUMMYFUNCTION("""COMPUTED_VALUE"""),0.0)</f>
        <v>0</v>
      </c>
      <c r="G1764" s="49"/>
      <c r="H1764" s="49"/>
      <c r="I1764" s="49"/>
      <c r="J1764" s="49"/>
      <c r="K1764" s="49"/>
      <c r="L1764" s="49"/>
      <c r="M1764" s="49"/>
      <c r="N1764" s="49"/>
      <c r="O1764" s="49"/>
      <c r="P1764" s="49"/>
      <c r="Q1764" s="49"/>
      <c r="R1764" s="49"/>
      <c r="S1764" s="49"/>
      <c r="T1764" s="49"/>
      <c r="U1764" s="49"/>
      <c r="V1764" s="49"/>
      <c r="W1764" s="49"/>
      <c r="X1764" s="49"/>
      <c r="Y1764" s="49"/>
      <c r="Z1764" s="49"/>
      <c r="AA1764" s="49"/>
      <c r="AB1764" s="49"/>
      <c r="AC1764" s="49"/>
      <c r="AD1764" s="49"/>
      <c r="AE1764" s="49"/>
      <c r="AF1764" s="49"/>
      <c r="AG1764" s="49"/>
      <c r="AH1764" s="49" t="b">
        <f>IFERROR(__xludf.DUMMYFUNCTION("""COMPUTED_VALUE"""),FALSE)</f>
        <v>0</v>
      </c>
    </row>
    <row r="1765">
      <c r="A1765" s="49"/>
      <c r="B1765" s="49"/>
      <c r="C1765" s="49"/>
      <c r="D1765" s="49"/>
      <c r="E1765" s="49">
        <f>IFERROR(__xludf.DUMMYFUNCTION("""COMPUTED_VALUE"""),1.0)</f>
        <v>1</v>
      </c>
      <c r="F1765" s="112">
        <f>IFERROR(__xludf.DUMMYFUNCTION("""COMPUTED_VALUE"""),0.0)</f>
        <v>0</v>
      </c>
      <c r="G1765" s="49"/>
      <c r="H1765" s="49"/>
      <c r="I1765" s="49"/>
      <c r="J1765" s="49"/>
      <c r="K1765" s="49"/>
      <c r="L1765" s="49"/>
      <c r="M1765" s="49"/>
      <c r="N1765" s="49"/>
      <c r="O1765" s="49"/>
      <c r="P1765" s="49"/>
      <c r="Q1765" s="49"/>
      <c r="R1765" s="49"/>
      <c r="S1765" s="49"/>
      <c r="T1765" s="49"/>
      <c r="U1765" s="49"/>
      <c r="V1765" s="49"/>
      <c r="W1765" s="49"/>
      <c r="X1765" s="49"/>
      <c r="Y1765" s="49"/>
      <c r="Z1765" s="49"/>
      <c r="AA1765" s="49"/>
      <c r="AB1765" s="49"/>
      <c r="AC1765" s="49"/>
      <c r="AD1765" s="49"/>
      <c r="AE1765" s="49"/>
      <c r="AF1765" s="49"/>
      <c r="AG1765" s="49"/>
      <c r="AH1765" s="49" t="b">
        <f>IFERROR(__xludf.DUMMYFUNCTION("""COMPUTED_VALUE"""),FALSE)</f>
        <v>0</v>
      </c>
    </row>
    <row r="1766">
      <c r="A1766" s="49"/>
      <c r="B1766" s="49"/>
      <c r="C1766" s="49"/>
      <c r="D1766" s="49"/>
      <c r="E1766" s="49">
        <f>IFERROR(__xludf.DUMMYFUNCTION("""COMPUTED_VALUE"""),1.0)</f>
        <v>1</v>
      </c>
      <c r="F1766" s="112">
        <f>IFERROR(__xludf.DUMMYFUNCTION("""COMPUTED_VALUE"""),0.0)</f>
        <v>0</v>
      </c>
      <c r="G1766" s="49"/>
      <c r="H1766" s="49"/>
      <c r="I1766" s="49"/>
      <c r="J1766" s="49"/>
      <c r="K1766" s="49"/>
      <c r="L1766" s="49"/>
      <c r="M1766" s="49"/>
      <c r="N1766" s="49"/>
      <c r="O1766" s="49"/>
      <c r="P1766" s="49"/>
      <c r="Q1766" s="49"/>
      <c r="R1766" s="49"/>
      <c r="S1766" s="49"/>
      <c r="T1766" s="49"/>
      <c r="U1766" s="49"/>
      <c r="V1766" s="49"/>
      <c r="W1766" s="49"/>
      <c r="X1766" s="49"/>
      <c r="Y1766" s="49"/>
      <c r="Z1766" s="49"/>
      <c r="AA1766" s="49"/>
      <c r="AB1766" s="49"/>
      <c r="AC1766" s="49"/>
      <c r="AD1766" s="49"/>
      <c r="AE1766" s="49"/>
      <c r="AF1766" s="49"/>
      <c r="AG1766" s="49"/>
      <c r="AH1766" s="49" t="b">
        <f>IFERROR(__xludf.DUMMYFUNCTION("""COMPUTED_VALUE"""),FALSE)</f>
        <v>0</v>
      </c>
    </row>
    <row r="1767">
      <c r="A1767" s="49"/>
      <c r="B1767" s="49"/>
      <c r="C1767" s="49"/>
      <c r="D1767" s="49"/>
      <c r="E1767" s="49">
        <f>IFERROR(__xludf.DUMMYFUNCTION("""COMPUTED_VALUE"""),1.0)</f>
        <v>1</v>
      </c>
      <c r="F1767" s="112">
        <f>IFERROR(__xludf.DUMMYFUNCTION("""COMPUTED_VALUE"""),0.0)</f>
        <v>0</v>
      </c>
      <c r="G1767" s="49"/>
      <c r="H1767" s="49"/>
      <c r="I1767" s="49"/>
      <c r="J1767" s="49"/>
      <c r="K1767" s="49"/>
      <c r="L1767" s="49"/>
      <c r="M1767" s="49"/>
      <c r="N1767" s="49"/>
      <c r="O1767" s="49"/>
      <c r="P1767" s="49"/>
      <c r="Q1767" s="49"/>
      <c r="R1767" s="49"/>
      <c r="S1767" s="49"/>
      <c r="T1767" s="49"/>
      <c r="U1767" s="49"/>
      <c r="V1767" s="49"/>
      <c r="W1767" s="49"/>
      <c r="X1767" s="49"/>
      <c r="Y1767" s="49"/>
      <c r="Z1767" s="49"/>
      <c r="AA1767" s="49"/>
      <c r="AB1767" s="49"/>
      <c r="AC1767" s="49"/>
      <c r="AD1767" s="49"/>
      <c r="AE1767" s="49"/>
      <c r="AF1767" s="49"/>
      <c r="AG1767" s="49"/>
      <c r="AH1767" s="49" t="b">
        <f>IFERROR(__xludf.DUMMYFUNCTION("""COMPUTED_VALUE"""),FALSE)</f>
        <v>0</v>
      </c>
    </row>
    <row r="1768">
      <c r="A1768" s="49"/>
      <c r="B1768" s="49"/>
      <c r="C1768" s="49"/>
      <c r="D1768" s="49"/>
      <c r="E1768" s="49">
        <f>IFERROR(__xludf.DUMMYFUNCTION("""COMPUTED_VALUE"""),1.0)</f>
        <v>1</v>
      </c>
      <c r="F1768" s="112">
        <f>IFERROR(__xludf.DUMMYFUNCTION("""COMPUTED_VALUE"""),0.0)</f>
        <v>0</v>
      </c>
      <c r="G1768" s="49"/>
      <c r="H1768" s="49"/>
      <c r="I1768" s="49"/>
      <c r="J1768" s="49"/>
      <c r="K1768" s="49"/>
      <c r="L1768" s="49"/>
      <c r="M1768" s="49"/>
      <c r="N1768" s="49"/>
      <c r="O1768" s="49"/>
      <c r="P1768" s="49"/>
      <c r="Q1768" s="49"/>
      <c r="R1768" s="49"/>
      <c r="S1768" s="49"/>
      <c r="T1768" s="49"/>
      <c r="U1768" s="49"/>
      <c r="V1768" s="49"/>
      <c r="W1768" s="49"/>
      <c r="X1768" s="49"/>
      <c r="Y1768" s="49"/>
      <c r="Z1768" s="49"/>
      <c r="AA1768" s="49"/>
      <c r="AB1768" s="49"/>
      <c r="AC1768" s="49"/>
      <c r="AD1768" s="49"/>
      <c r="AE1768" s="49"/>
      <c r="AF1768" s="49"/>
      <c r="AG1768" s="49"/>
      <c r="AH1768" s="49" t="b">
        <f>IFERROR(__xludf.DUMMYFUNCTION("""COMPUTED_VALUE"""),FALSE)</f>
        <v>0</v>
      </c>
    </row>
    <row r="1769">
      <c r="A1769" s="49"/>
      <c r="B1769" s="49"/>
      <c r="C1769" s="49"/>
      <c r="D1769" s="49"/>
      <c r="E1769" s="49">
        <f>IFERROR(__xludf.DUMMYFUNCTION("""COMPUTED_VALUE"""),1.0)</f>
        <v>1</v>
      </c>
      <c r="F1769" s="112">
        <f>IFERROR(__xludf.DUMMYFUNCTION("""COMPUTED_VALUE"""),0.0)</f>
        <v>0</v>
      </c>
      <c r="G1769" s="49"/>
      <c r="H1769" s="49"/>
      <c r="I1769" s="49"/>
      <c r="J1769" s="49"/>
      <c r="K1769" s="49"/>
      <c r="L1769" s="49"/>
      <c r="M1769" s="49"/>
      <c r="N1769" s="49"/>
      <c r="O1769" s="49"/>
      <c r="P1769" s="49"/>
      <c r="Q1769" s="49"/>
      <c r="R1769" s="49"/>
      <c r="S1769" s="49"/>
      <c r="T1769" s="49"/>
      <c r="U1769" s="49"/>
      <c r="V1769" s="49"/>
      <c r="W1769" s="49"/>
      <c r="X1769" s="49"/>
      <c r="Y1769" s="49"/>
      <c r="Z1769" s="49"/>
      <c r="AA1769" s="49"/>
      <c r="AB1769" s="49"/>
      <c r="AC1769" s="49"/>
      <c r="AD1769" s="49"/>
      <c r="AE1769" s="49"/>
      <c r="AF1769" s="49"/>
      <c r="AG1769" s="49"/>
      <c r="AH1769" s="49" t="b">
        <f>IFERROR(__xludf.DUMMYFUNCTION("""COMPUTED_VALUE"""),FALSE)</f>
        <v>0</v>
      </c>
    </row>
    <row r="1770">
      <c r="A1770" s="49"/>
      <c r="B1770" s="49"/>
      <c r="C1770" s="49"/>
      <c r="D1770" s="49"/>
      <c r="E1770" s="49">
        <f>IFERROR(__xludf.DUMMYFUNCTION("""COMPUTED_VALUE"""),1.0)</f>
        <v>1</v>
      </c>
      <c r="F1770" s="112">
        <f>IFERROR(__xludf.DUMMYFUNCTION("""COMPUTED_VALUE"""),0.0)</f>
        <v>0</v>
      </c>
      <c r="G1770" s="49"/>
      <c r="H1770" s="49"/>
      <c r="I1770" s="49"/>
      <c r="J1770" s="49"/>
      <c r="K1770" s="49"/>
      <c r="L1770" s="49"/>
      <c r="M1770" s="49"/>
      <c r="N1770" s="49"/>
      <c r="O1770" s="49"/>
      <c r="P1770" s="49"/>
      <c r="Q1770" s="49"/>
      <c r="R1770" s="49"/>
      <c r="S1770" s="49"/>
      <c r="T1770" s="49"/>
      <c r="U1770" s="49"/>
      <c r="V1770" s="49"/>
      <c r="W1770" s="49"/>
      <c r="X1770" s="49"/>
      <c r="Y1770" s="49"/>
      <c r="Z1770" s="49"/>
      <c r="AA1770" s="49"/>
      <c r="AB1770" s="49"/>
      <c r="AC1770" s="49"/>
      <c r="AD1770" s="49"/>
      <c r="AE1770" s="49"/>
      <c r="AF1770" s="49"/>
      <c r="AG1770" s="49"/>
      <c r="AH1770" s="49" t="b">
        <f>IFERROR(__xludf.DUMMYFUNCTION("""COMPUTED_VALUE"""),FALSE)</f>
        <v>0</v>
      </c>
    </row>
    <row r="1771">
      <c r="A1771" s="49"/>
      <c r="B1771" s="49"/>
      <c r="C1771" s="49"/>
      <c r="D1771" s="49"/>
      <c r="E1771" s="49">
        <f>IFERROR(__xludf.DUMMYFUNCTION("""COMPUTED_VALUE"""),1.0)</f>
        <v>1</v>
      </c>
      <c r="F1771" s="112">
        <f>IFERROR(__xludf.DUMMYFUNCTION("""COMPUTED_VALUE"""),0.0)</f>
        <v>0</v>
      </c>
      <c r="G1771" s="49"/>
      <c r="H1771" s="49"/>
      <c r="I1771" s="49"/>
      <c r="J1771" s="49"/>
      <c r="K1771" s="49"/>
      <c r="L1771" s="49"/>
      <c r="M1771" s="49"/>
      <c r="N1771" s="49"/>
      <c r="O1771" s="49"/>
      <c r="P1771" s="49"/>
      <c r="Q1771" s="49"/>
      <c r="R1771" s="49"/>
      <c r="S1771" s="49"/>
      <c r="T1771" s="49"/>
      <c r="U1771" s="49"/>
      <c r="V1771" s="49"/>
      <c r="W1771" s="49"/>
      <c r="X1771" s="49"/>
      <c r="Y1771" s="49"/>
      <c r="Z1771" s="49"/>
      <c r="AA1771" s="49"/>
      <c r="AB1771" s="49"/>
      <c r="AC1771" s="49"/>
      <c r="AD1771" s="49"/>
      <c r="AE1771" s="49"/>
      <c r="AF1771" s="49"/>
      <c r="AG1771" s="49"/>
      <c r="AH1771" s="49" t="b">
        <f>IFERROR(__xludf.DUMMYFUNCTION("""COMPUTED_VALUE"""),FALSE)</f>
        <v>0</v>
      </c>
    </row>
    <row r="1772">
      <c r="A1772" s="49"/>
      <c r="B1772" s="49"/>
      <c r="C1772" s="49"/>
      <c r="D1772" s="49"/>
      <c r="E1772" s="49">
        <f>IFERROR(__xludf.DUMMYFUNCTION("""COMPUTED_VALUE"""),1.0)</f>
        <v>1</v>
      </c>
      <c r="F1772" s="112">
        <f>IFERROR(__xludf.DUMMYFUNCTION("""COMPUTED_VALUE"""),0.0)</f>
        <v>0</v>
      </c>
      <c r="G1772" s="49"/>
      <c r="H1772" s="49"/>
      <c r="I1772" s="49"/>
      <c r="J1772" s="49"/>
      <c r="K1772" s="49"/>
      <c r="L1772" s="49"/>
      <c r="M1772" s="49"/>
      <c r="N1772" s="49"/>
      <c r="O1772" s="49"/>
      <c r="P1772" s="49"/>
      <c r="Q1772" s="49"/>
      <c r="R1772" s="49"/>
      <c r="S1772" s="49"/>
      <c r="T1772" s="49"/>
      <c r="U1772" s="49"/>
      <c r="V1772" s="49"/>
      <c r="W1772" s="49"/>
      <c r="X1772" s="49"/>
      <c r="Y1772" s="49"/>
      <c r="Z1772" s="49"/>
      <c r="AA1772" s="49"/>
      <c r="AB1772" s="49"/>
      <c r="AC1772" s="49"/>
      <c r="AD1772" s="49"/>
      <c r="AE1772" s="49"/>
      <c r="AF1772" s="49"/>
      <c r="AG1772" s="49"/>
      <c r="AH1772" s="49" t="b">
        <f>IFERROR(__xludf.DUMMYFUNCTION("""COMPUTED_VALUE"""),FALSE)</f>
        <v>0</v>
      </c>
    </row>
    <row r="1773">
      <c r="A1773" s="49"/>
      <c r="B1773" s="49"/>
      <c r="C1773" s="49"/>
      <c r="D1773" s="49"/>
      <c r="E1773" s="49">
        <f>IFERROR(__xludf.DUMMYFUNCTION("""COMPUTED_VALUE"""),1.0)</f>
        <v>1</v>
      </c>
      <c r="F1773" s="112">
        <f>IFERROR(__xludf.DUMMYFUNCTION("""COMPUTED_VALUE"""),0.0)</f>
        <v>0</v>
      </c>
      <c r="G1773" s="49"/>
      <c r="H1773" s="49"/>
      <c r="I1773" s="49"/>
      <c r="J1773" s="49"/>
      <c r="K1773" s="49"/>
      <c r="L1773" s="49"/>
      <c r="M1773" s="49"/>
      <c r="N1773" s="49"/>
      <c r="O1773" s="49"/>
      <c r="P1773" s="49"/>
      <c r="Q1773" s="49"/>
      <c r="R1773" s="49"/>
      <c r="S1773" s="49"/>
      <c r="T1773" s="49"/>
      <c r="U1773" s="49"/>
      <c r="V1773" s="49"/>
      <c r="W1773" s="49"/>
      <c r="X1773" s="49"/>
      <c r="Y1773" s="49"/>
      <c r="Z1773" s="49"/>
      <c r="AA1773" s="49"/>
      <c r="AB1773" s="49"/>
      <c r="AC1773" s="49"/>
      <c r="AD1773" s="49"/>
      <c r="AE1773" s="49"/>
      <c r="AF1773" s="49"/>
      <c r="AG1773" s="49"/>
      <c r="AH1773" s="49" t="b">
        <f>IFERROR(__xludf.DUMMYFUNCTION("""COMPUTED_VALUE"""),FALSE)</f>
        <v>0</v>
      </c>
    </row>
    <row r="1774">
      <c r="A1774" s="49"/>
      <c r="B1774" s="49"/>
      <c r="C1774" s="49"/>
      <c r="D1774" s="49"/>
      <c r="E1774" s="49">
        <f>IFERROR(__xludf.DUMMYFUNCTION("""COMPUTED_VALUE"""),1.0)</f>
        <v>1</v>
      </c>
      <c r="F1774" s="112">
        <f>IFERROR(__xludf.DUMMYFUNCTION("""COMPUTED_VALUE"""),0.0)</f>
        <v>0</v>
      </c>
      <c r="G1774" s="49"/>
      <c r="H1774" s="49"/>
      <c r="I1774" s="49"/>
      <c r="J1774" s="49"/>
      <c r="K1774" s="49"/>
      <c r="L1774" s="49"/>
      <c r="M1774" s="49"/>
      <c r="N1774" s="49"/>
      <c r="O1774" s="49"/>
      <c r="P1774" s="49"/>
      <c r="Q1774" s="49"/>
      <c r="R1774" s="49"/>
      <c r="S1774" s="49"/>
      <c r="T1774" s="49"/>
      <c r="U1774" s="49"/>
      <c r="V1774" s="49"/>
      <c r="W1774" s="49"/>
      <c r="X1774" s="49"/>
      <c r="Y1774" s="49"/>
      <c r="Z1774" s="49"/>
      <c r="AA1774" s="49"/>
      <c r="AB1774" s="49"/>
      <c r="AC1774" s="49"/>
      <c r="AD1774" s="49"/>
      <c r="AE1774" s="49"/>
      <c r="AF1774" s="49"/>
      <c r="AG1774" s="49"/>
      <c r="AH1774" s="49" t="b">
        <f>IFERROR(__xludf.DUMMYFUNCTION("""COMPUTED_VALUE"""),FALSE)</f>
        <v>0</v>
      </c>
    </row>
    <row r="1775">
      <c r="A1775" s="49"/>
      <c r="B1775" s="49"/>
      <c r="C1775" s="49"/>
      <c r="D1775" s="49"/>
      <c r="E1775" s="49">
        <f>IFERROR(__xludf.DUMMYFUNCTION("""COMPUTED_VALUE"""),1.0)</f>
        <v>1</v>
      </c>
      <c r="F1775" s="112">
        <f>IFERROR(__xludf.DUMMYFUNCTION("""COMPUTED_VALUE"""),0.0)</f>
        <v>0</v>
      </c>
      <c r="G1775" s="49"/>
      <c r="H1775" s="49"/>
      <c r="I1775" s="49"/>
      <c r="J1775" s="49"/>
      <c r="K1775" s="49"/>
      <c r="L1775" s="49"/>
      <c r="M1775" s="49"/>
      <c r="N1775" s="49"/>
      <c r="O1775" s="49"/>
      <c r="P1775" s="49"/>
      <c r="Q1775" s="49"/>
      <c r="R1775" s="49"/>
      <c r="S1775" s="49"/>
      <c r="T1775" s="49"/>
      <c r="U1775" s="49"/>
      <c r="V1775" s="49"/>
      <c r="W1775" s="49"/>
      <c r="X1775" s="49"/>
      <c r="Y1775" s="49"/>
      <c r="Z1775" s="49"/>
      <c r="AA1775" s="49"/>
      <c r="AB1775" s="49"/>
      <c r="AC1775" s="49"/>
      <c r="AD1775" s="49"/>
      <c r="AE1775" s="49"/>
      <c r="AF1775" s="49"/>
      <c r="AG1775" s="49"/>
      <c r="AH1775" s="49" t="b">
        <f>IFERROR(__xludf.DUMMYFUNCTION("""COMPUTED_VALUE"""),FALSE)</f>
        <v>0</v>
      </c>
    </row>
    <row r="1776">
      <c r="A1776" s="49"/>
      <c r="B1776" s="49"/>
      <c r="C1776" s="49"/>
      <c r="D1776" s="49"/>
      <c r="E1776" s="49">
        <f>IFERROR(__xludf.DUMMYFUNCTION("""COMPUTED_VALUE"""),1.0)</f>
        <v>1</v>
      </c>
      <c r="F1776" s="112">
        <f>IFERROR(__xludf.DUMMYFUNCTION("""COMPUTED_VALUE"""),0.0)</f>
        <v>0</v>
      </c>
      <c r="G1776" s="49"/>
      <c r="H1776" s="49"/>
      <c r="I1776" s="49"/>
      <c r="J1776" s="49"/>
      <c r="K1776" s="49"/>
      <c r="L1776" s="49"/>
      <c r="M1776" s="49"/>
      <c r="N1776" s="49"/>
      <c r="O1776" s="49"/>
      <c r="P1776" s="49"/>
      <c r="Q1776" s="49"/>
      <c r="R1776" s="49"/>
      <c r="S1776" s="49"/>
      <c r="T1776" s="49"/>
      <c r="U1776" s="49"/>
      <c r="V1776" s="49"/>
      <c r="W1776" s="49"/>
      <c r="X1776" s="49"/>
      <c r="Y1776" s="49"/>
      <c r="Z1776" s="49"/>
      <c r="AA1776" s="49"/>
      <c r="AB1776" s="49"/>
      <c r="AC1776" s="49"/>
      <c r="AD1776" s="49"/>
      <c r="AE1776" s="49"/>
      <c r="AF1776" s="49"/>
      <c r="AG1776" s="49"/>
      <c r="AH1776" s="49" t="b">
        <f>IFERROR(__xludf.DUMMYFUNCTION("""COMPUTED_VALUE"""),FALSE)</f>
        <v>0</v>
      </c>
    </row>
    <row r="1777">
      <c r="A1777" s="49"/>
      <c r="B1777" s="49"/>
      <c r="C1777" s="49"/>
      <c r="D1777" s="49"/>
      <c r="E1777" s="49">
        <f>IFERROR(__xludf.DUMMYFUNCTION("""COMPUTED_VALUE"""),1.0)</f>
        <v>1</v>
      </c>
      <c r="F1777" s="112">
        <f>IFERROR(__xludf.DUMMYFUNCTION("""COMPUTED_VALUE"""),0.0)</f>
        <v>0</v>
      </c>
      <c r="G1777" s="49"/>
      <c r="H1777" s="49"/>
      <c r="I1777" s="49"/>
      <c r="J1777" s="49"/>
      <c r="K1777" s="49"/>
      <c r="L1777" s="49"/>
      <c r="M1777" s="49"/>
      <c r="N1777" s="49"/>
      <c r="O1777" s="49"/>
      <c r="P1777" s="49"/>
      <c r="Q1777" s="49"/>
      <c r="R1777" s="49"/>
      <c r="S1777" s="49"/>
      <c r="T1777" s="49"/>
      <c r="U1777" s="49"/>
      <c r="V1777" s="49"/>
      <c r="W1777" s="49"/>
      <c r="X1777" s="49"/>
      <c r="Y1777" s="49"/>
      <c r="Z1777" s="49"/>
      <c r="AA1777" s="49"/>
      <c r="AB1777" s="49"/>
      <c r="AC1777" s="49"/>
      <c r="AD1777" s="49"/>
      <c r="AE1777" s="49"/>
      <c r="AF1777" s="49"/>
      <c r="AG1777" s="49"/>
      <c r="AH1777" s="49" t="b">
        <f>IFERROR(__xludf.DUMMYFUNCTION("""COMPUTED_VALUE"""),FALSE)</f>
        <v>0</v>
      </c>
    </row>
    <row r="1778">
      <c r="A1778" s="49"/>
      <c r="B1778" s="49"/>
      <c r="C1778" s="49"/>
      <c r="D1778" s="49"/>
      <c r="E1778" s="49">
        <f>IFERROR(__xludf.DUMMYFUNCTION("""COMPUTED_VALUE"""),1.0)</f>
        <v>1</v>
      </c>
      <c r="F1778" s="112">
        <f>IFERROR(__xludf.DUMMYFUNCTION("""COMPUTED_VALUE"""),0.0)</f>
        <v>0</v>
      </c>
      <c r="G1778" s="49"/>
      <c r="H1778" s="49"/>
      <c r="I1778" s="49"/>
      <c r="J1778" s="49"/>
      <c r="K1778" s="49"/>
      <c r="L1778" s="49"/>
      <c r="M1778" s="49"/>
      <c r="N1778" s="49"/>
      <c r="O1778" s="49"/>
      <c r="P1778" s="49"/>
      <c r="Q1778" s="49"/>
      <c r="R1778" s="49"/>
      <c r="S1778" s="49"/>
      <c r="T1778" s="49"/>
      <c r="U1778" s="49"/>
      <c r="V1778" s="49"/>
      <c r="W1778" s="49"/>
      <c r="X1778" s="49"/>
      <c r="Y1778" s="49"/>
      <c r="Z1778" s="49"/>
      <c r="AA1778" s="49"/>
      <c r="AB1778" s="49"/>
      <c r="AC1778" s="49"/>
      <c r="AD1778" s="49"/>
      <c r="AE1778" s="49"/>
      <c r="AF1778" s="49"/>
      <c r="AG1778" s="49"/>
      <c r="AH1778" s="49" t="b">
        <f>IFERROR(__xludf.DUMMYFUNCTION("""COMPUTED_VALUE"""),FALSE)</f>
        <v>0</v>
      </c>
    </row>
    <row r="1779">
      <c r="A1779" s="49"/>
      <c r="B1779" s="49"/>
      <c r="C1779" s="49"/>
      <c r="D1779" s="49"/>
      <c r="E1779" s="49">
        <f>IFERROR(__xludf.DUMMYFUNCTION("""COMPUTED_VALUE"""),1.0)</f>
        <v>1</v>
      </c>
      <c r="F1779" s="112">
        <f>IFERROR(__xludf.DUMMYFUNCTION("""COMPUTED_VALUE"""),0.0)</f>
        <v>0</v>
      </c>
      <c r="G1779" s="49"/>
      <c r="H1779" s="49"/>
      <c r="I1779" s="49"/>
      <c r="J1779" s="49"/>
      <c r="K1779" s="49"/>
      <c r="L1779" s="49"/>
      <c r="M1779" s="49"/>
      <c r="N1779" s="49"/>
      <c r="O1779" s="49"/>
      <c r="P1779" s="49"/>
      <c r="Q1779" s="49"/>
      <c r="R1779" s="49"/>
      <c r="S1779" s="49"/>
      <c r="T1779" s="49"/>
      <c r="U1779" s="49"/>
      <c r="V1779" s="49"/>
      <c r="W1779" s="49"/>
      <c r="X1779" s="49"/>
      <c r="Y1779" s="49"/>
      <c r="Z1779" s="49"/>
      <c r="AA1779" s="49"/>
      <c r="AB1779" s="49"/>
      <c r="AC1779" s="49"/>
      <c r="AD1779" s="49"/>
      <c r="AE1779" s="49"/>
      <c r="AF1779" s="49"/>
      <c r="AG1779" s="49"/>
      <c r="AH1779" s="49" t="b">
        <f>IFERROR(__xludf.DUMMYFUNCTION("""COMPUTED_VALUE"""),FALSE)</f>
        <v>0</v>
      </c>
    </row>
    <row r="1780">
      <c r="A1780" s="49"/>
      <c r="B1780" s="49"/>
      <c r="C1780" s="49"/>
      <c r="D1780" s="49"/>
      <c r="E1780" s="49">
        <f>IFERROR(__xludf.DUMMYFUNCTION("""COMPUTED_VALUE"""),1.0)</f>
        <v>1</v>
      </c>
      <c r="F1780" s="112">
        <f>IFERROR(__xludf.DUMMYFUNCTION("""COMPUTED_VALUE"""),0.0)</f>
        <v>0</v>
      </c>
      <c r="G1780" s="49"/>
      <c r="H1780" s="49"/>
      <c r="I1780" s="49"/>
      <c r="J1780" s="49"/>
      <c r="K1780" s="49"/>
      <c r="L1780" s="49"/>
      <c r="M1780" s="49"/>
      <c r="N1780" s="49"/>
      <c r="O1780" s="49"/>
      <c r="P1780" s="49"/>
      <c r="Q1780" s="49"/>
      <c r="R1780" s="49"/>
      <c r="S1780" s="49"/>
      <c r="T1780" s="49"/>
      <c r="U1780" s="49"/>
      <c r="V1780" s="49"/>
      <c r="W1780" s="49"/>
      <c r="X1780" s="49"/>
      <c r="Y1780" s="49"/>
      <c r="Z1780" s="49"/>
      <c r="AA1780" s="49"/>
      <c r="AB1780" s="49"/>
      <c r="AC1780" s="49"/>
      <c r="AD1780" s="49"/>
      <c r="AE1780" s="49"/>
      <c r="AF1780" s="49"/>
      <c r="AG1780" s="49"/>
      <c r="AH1780" s="49" t="b">
        <f>IFERROR(__xludf.DUMMYFUNCTION("""COMPUTED_VALUE"""),FALSE)</f>
        <v>0</v>
      </c>
    </row>
    <row r="1781">
      <c r="A1781" s="49"/>
      <c r="B1781" s="49"/>
      <c r="C1781" s="49"/>
      <c r="D1781" s="49"/>
      <c r="E1781" s="49">
        <f>IFERROR(__xludf.DUMMYFUNCTION("""COMPUTED_VALUE"""),1.0)</f>
        <v>1</v>
      </c>
      <c r="F1781" s="112">
        <f>IFERROR(__xludf.DUMMYFUNCTION("""COMPUTED_VALUE"""),0.0)</f>
        <v>0</v>
      </c>
      <c r="G1781" s="49"/>
      <c r="H1781" s="49"/>
      <c r="I1781" s="49"/>
      <c r="J1781" s="49"/>
      <c r="K1781" s="49"/>
      <c r="L1781" s="49"/>
      <c r="M1781" s="49"/>
      <c r="N1781" s="49"/>
      <c r="O1781" s="49"/>
      <c r="P1781" s="49"/>
      <c r="Q1781" s="49"/>
      <c r="R1781" s="49"/>
      <c r="S1781" s="49"/>
      <c r="T1781" s="49"/>
      <c r="U1781" s="49"/>
      <c r="V1781" s="49"/>
      <c r="W1781" s="49"/>
      <c r="X1781" s="49"/>
      <c r="Y1781" s="49"/>
      <c r="Z1781" s="49"/>
      <c r="AA1781" s="49"/>
      <c r="AB1781" s="49"/>
      <c r="AC1781" s="49"/>
      <c r="AD1781" s="49"/>
      <c r="AE1781" s="49"/>
      <c r="AF1781" s="49"/>
      <c r="AG1781" s="49"/>
      <c r="AH1781" s="49" t="b">
        <f>IFERROR(__xludf.DUMMYFUNCTION("""COMPUTED_VALUE"""),FALSE)</f>
        <v>0</v>
      </c>
    </row>
    <row r="1782">
      <c r="A1782" s="49"/>
      <c r="B1782" s="49"/>
      <c r="C1782" s="49"/>
      <c r="D1782" s="49"/>
      <c r="E1782" s="49">
        <f>IFERROR(__xludf.DUMMYFUNCTION("""COMPUTED_VALUE"""),1.0)</f>
        <v>1</v>
      </c>
      <c r="F1782" s="112">
        <f>IFERROR(__xludf.DUMMYFUNCTION("""COMPUTED_VALUE"""),0.0)</f>
        <v>0</v>
      </c>
      <c r="G1782" s="49"/>
      <c r="H1782" s="49"/>
      <c r="I1782" s="49"/>
      <c r="J1782" s="49"/>
      <c r="K1782" s="49"/>
      <c r="L1782" s="49"/>
      <c r="M1782" s="49"/>
      <c r="N1782" s="49"/>
      <c r="O1782" s="49"/>
      <c r="P1782" s="49"/>
      <c r="Q1782" s="49"/>
      <c r="R1782" s="49"/>
      <c r="S1782" s="49"/>
      <c r="T1782" s="49"/>
      <c r="U1782" s="49"/>
      <c r="V1782" s="49"/>
      <c r="W1782" s="49"/>
      <c r="X1782" s="49"/>
      <c r="Y1782" s="49"/>
      <c r="Z1782" s="49"/>
      <c r="AA1782" s="49"/>
      <c r="AB1782" s="49"/>
      <c r="AC1782" s="49"/>
      <c r="AD1782" s="49"/>
      <c r="AE1782" s="49"/>
      <c r="AF1782" s="49"/>
      <c r="AG1782" s="49"/>
      <c r="AH1782" s="49" t="b">
        <f>IFERROR(__xludf.DUMMYFUNCTION("""COMPUTED_VALUE"""),FALSE)</f>
        <v>0</v>
      </c>
    </row>
    <row r="1783">
      <c r="A1783" s="49"/>
      <c r="B1783" s="49"/>
      <c r="C1783" s="49"/>
      <c r="D1783" s="49"/>
      <c r="E1783" s="49">
        <f>IFERROR(__xludf.DUMMYFUNCTION("""COMPUTED_VALUE"""),1.0)</f>
        <v>1</v>
      </c>
      <c r="F1783" s="112">
        <f>IFERROR(__xludf.DUMMYFUNCTION("""COMPUTED_VALUE"""),0.0)</f>
        <v>0</v>
      </c>
      <c r="G1783" s="49"/>
      <c r="H1783" s="49"/>
      <c r="I1783" s="49"/>
      <c r="J1783" s="49"/>
      <c r="K1783" s="49"/>
      <c r="L1783" s="49"/>
      <c r="M1783" s="49"/>
      <c r="N1783" s="49"/>
      <c r="O1783" s="49"/>
      <c r="P1783" s="49"/>
      <c r="Q1783" s="49"/>
      <c r="R1783" s="49"/>
      <c r="S1783" s="49"/>
      <c r="T1783" s="49"/>
      <c r="U1783" s="49"/>
      <c r="V1783" s="49"/>
      <c r="W1783" s="49"/>
      <c r="X1783" s="49"/>
      <c r="Y1783" s="49"/>
      <c r="Z1783" s="49"/>
      <c r="AA1783" s="49"/>
      <c r="AB1783" s="49"/>
      <c r="AC1783" s="49"/>
      <c r="AD1783" s="49"/>
      <c r="AE1783" s="49"/>
      <c r="AF1783" s="49"/>
      <c r="AG1783" s="49"/>
      <c r="AH1783" s="49" t="b">
        <f>IFERROR(__xludf.DUMMYFUNCTION("""COMPUTED_VALUE"""),FALSE)</f>
        <v>0</v>
      </c>
    </row>
    <row r="1784">
      <c r="A1784" s="49"/>
      <c r="B1784" s="49"/>
      <c r="C1784" s="49"/>
      <c r="D1784" s="49"/>
      <c r="E1784" s="49">
        <f>IFERROR(__xludf.DUMMYFUNCTION("""COMPUTED_VALUE"""),1.0)</f>
        <v>1</v>
      </c>
      <c r="F1784" s="112">
        <f>IFERROR(__xludf.DUMMYFUNCTION("""COMPUTED_VALUE"""),0.0)</f>
        <v>0</v>
      </c>
      <c r="G1784" s="49"/>
      <c r="H1784" s="49"/>
      <c r="I1784" s="49"/>
      <c r="J1784" s="49"/>
      <c r="K1784" s="49"/>
      <c r="L1784" s="49"/>
      <c r="M1784" s="49"/>
      <c r="N1784" s="49"/>
      <c r="O1784" s="49"/>
      <c r="P1784" s="49"/>
      <c r="Q1784" s="49"/>
      <c r="R1784" s="49"/>
      <c r="S1784" s="49"/>
      <c r="T1784" s="49"/>
      <c r="U1784" s="49"/>
      <c r="V1784" s="49"/>
      <c r="W1784" s="49"/>
      <c r="X1784" s="49"/>
      <c r="Y1784" s="49"/>
      <c r="Z1784" s="49"/>
      <c r="AA1784" s="49"/>
      <c r="AB1784" s="49"/>
      <c r="AC1784" s="49"/>
      <c r="AD1784" s="49"/>
      <c r="AE1784" s="49"/>
      <c r="AF1784" s="49"/>
      <c r="AG1784" s="49"/>
      <c r="AH1784" s="49" t="b">
        <f>IFERROR(__xludf.DUMMYFUNCTION("""COMPUTED_VALUE"""),FALSE)</f>
        <v>0</v>
      </c>
    </row>
    <row r="1785">
      <c r="A1785" s="49"/>
      <c r="B1785" s="49"/>
      <c r="C1785" s="49"/>
      <c r="D1785" s="49"/>
      <c r="E1785" s="49">
        <f>IFERROR(__xludf.DUMMYFUNCTION("""COMPUTED_VALUE"""),1.0)</f>
        <v>1</v>
      </c>
      <c r="F1785" s="112">
        <f>IFERROR(__xludf.DUMMYFUNCTION("""COMPUTED_VALUE"""),0.0)</f>
        <v>0</v>
      </c>
      <c r="G1785" s="49"/>
      <c r="H1785" s="49"/>
      <c r="I1785" s="49"/>
      <c r="J1785" s="49"/>
      <c r="K1785" s="49"/>
      <c r="L1785" s="49"/>
      <c r="M1785" s="49"/>
      <c r="N1785" s="49"/>
      <c r="O1785" s="49"/>
      <c r="P1785" s="49"/>
      <c r="Q1785" s="49"/>
      <c r="R1785" s="49"/>
      <c r="S1785" s="49"/>
      <c r="T1785" s="49"/>
      <c r="U1785" s="49"/>
      <c r="V1785" s="49"/>
      <c r="W1785" s="49"/>
      <c r="X1785" s="49"/>
      <c r="Y1785" s="49"/>
      <c r="Z1785" s="49"/>
      <c r="AA1785" s="49"/>
      <c r="AB1785" s="49"/>
      <c r="AC1785" s="49"/>
      <c r="AD1785" s="49"/>
      <c r="AE1785" s="49"/>
      <c r="AF1785" s="49"/>
      <c r="AG1785" s="49"/>
      <c r="AH1785" s="49" t="b">
        <f>IFERROR(__xludf.DUMMYFUNCTION("""COMPUTED_VALUE"""),FALSE)</f>
        <v>0</v>
      </c>
    </row>
    <row r="1786">
      <c r="A1786" s="49"/>
      <c r="B1786" s="49"/>
      <c r="C1786" s="49"/>
      <c r="D1786" s="49"/>
      <c r="E1786" s="49">
        <f>IFERROR(__xludf.DUMMYFUNCTION("""COMPUTED_VALUE"""),1.0)</f>
        <v>1</v>
      </c>
      <c r="F1786" s="112">
        <f>IFERROR(__xludf.DUMMYFUNCTION("""COMPUTED_VALUE"""),0.0)</f>
        <v>0</v>
      </c>
      <c r="G1786" s="49"/>
      <c r="H1786" s="49"/>
      <c r="I1786" s="49"/>
      <c r="J1786" s="49"/>
      <c r="K1786" s="49"/>
      <c r="L1786" s="49"/>
      <c r="M1786" s="49"/>
      <c r="N1786" s="49"/>
      <c r="O1786" s="49"/>
      <c r="P1786" s="49"/>
      <c r="Q1786" s="49"/>
      <c r="R1786" s="49"/>
      <c r="S1786" s="49"/>
      <c r="T1786" s="49"/>
      <c r="U1786" s="49"/>
      <c r="V1786" s="49"/>
      <c r="W1786" s="49"/>
      <c r="X1786" s="49"/>
      <c r="Y1786" s="49"/>
      <c r="Z1786" s="49"/>
      <c r="AA1786" s="49"/>
      <c r="AB1786" s="49"/>
      <c r="AC1786" s="49"/>
      <c r="AD1786" s="49"/>
      <c r="AE1786" s="49"/>
      <c r="AF1786" s="49"/>
      <c r="AG1786" s="49"/>
      <c r="AH1786" s="49" t="b">
        <f>IFERROR(__xludf.DUMMYFUNCTION("""COMPUTED_VALUE"""),FALSE)</f>
        <v>0</v>
      </c>
    </row>
    <row r="1787">
      <c r="A1787" s="49"/>
      <c r="B1787" s="49"/>
      <c r="C1787" s="49"/>
      <c r="D1787" s="49"/>
      <c r="E1787" s="49">
        <f>IFERROR(__xludf.DUMMYFUNCTION("""COMPUTED_VALUE"""),1.0)</f>
        <v>1</v>
      </c>
      <c r="F1787" s="112">
        <f>IFERROR(__xludf.DUMMYFUNCTION("""COMPUTED_VALUE"""),0.0)</f>
        <v>0</v>
      </c>
      <c r="G1787" s="49"/>
      <c r="H1787" s="49"/>
      <c r="I1787" s="49"/>
      <c r="J1787" s="49"/>
      <c r="K1787" s="49"/>
      <c r="L1787" s="49"/>
      <c r="M1787" s="49"/>
      <c r="N1787" s="49"/>
      <c r="O1787" s="49"/>
      <c r="P1787" s="49"/>
      <c r="Q1787" s="49"/>
      <c r="R1787" s="49"/>
      <c r="S1787" s="49"/>
      <c r="T1787" s="49"/>
      <c r="U1787" s="49"/>
      <c r="V1787" s="49"/>
      <c r="W1787" s="49"/>
      <c r="X1787" s="49"/>
      <c r="Y1787" s="49"/>
      <c r="Z1787" s="49"/>
      <c r="AA1787" s="49"/>
      <c r="AB1787" s="49"/>
      <c r="AC1787" s="49"/>
      <c r="AD1787" s="49"/>
      <c r="AE1787" s="49"/>
      <c r="AF1787" s="49"/>
      <c r="AG1787" s="49"/>
      <c r="AH1787" s="49" t="b">
        <f>IFERROR(__xludf.DUMMYFUNCTION("""COMPUTED_VALUE"""),FALSE)</f>
        <v>0</v>
      </c>
    </row>
    <row r="1788">
      <c r="A1788" s="49"/>
      <c r="B1788" s="49"/>
      <c r="C1788" s="49"/>
      <c r="D1788" s="49"/>
      <c r="E1788" s="49">
        <f>IFERROR(__xludf.DUMMYFUNCTION("""COMPUTED_VALUE"""),1.0)</f>
        <v>1</v>
      </c>
      <c r="F1788" s="112">
        <f>IFERROR(__xludf.DUMMYFUNCTION("""COMPUTED_VALUE"""),0.0)</f>
        <v>0</v>
      </c>
      <c r="G1788" s="49"/>
      <c r="H1788" s="49"/>
      <c r="I1788" s="49"/>
      <c r="J1788" s="49"/>
      <c r="K1788" s="49"/>
      <c r="L1788" s="49"/>
      <c r="M1788" s="49"/>
      <c r="N1788" s="49"/>
      <c r="O1788" s="49"/>
      <c r="P1788" s="49"/>
      <c r="Q1788" s="49"/>
      <c r="R1788" s="49"/>
      <c r="S1788" s="49"/>
      <c r="T1788" s="49"/>
      <c r="U1788" s="49"/>
      <c r="V1788" s="49"/>
      <c r="W1788" s="49"/>
      <c r="X1788" s="49"/>
      <c r="Y1788" s="49"/>
      <c r="Z1788" s="49"/>
      <c r="AA1788" s="49"/>
      <c r="AB1788" s="49"/>
      <c r="AC1788" s="49"/>
      <c r="AD1788" s="49"/>
      <c r="AE1788" s="49"/>
      <c r="AF1788" s="49"/>
      <c r="AG1788" s="49"/>
      <c r="AH1788" s="49" t="b">
        <f>IFERROR(__xludf.DUMMYFUNCTION("""COMPUTED_VALUE"""),FALSE)</f>
        <v>0</v>
      </c>
    </row>
    <row r="1789">
      <c r="A1789" s="49"/>
      <c r="B1789" s="49"/>
      <c r="C1789" s="49"/>
      <c r="D1789" s="49"/>
      <c r="E1789" s="49">
        <f>IFERROR(__xludf.DUMMYFUNCTION("""COMPUTED_VALUE"""),1.0)</f>
        <v>1</v>
      </c>
      <c r="F1789" s="112">
        <f>IFERROR(__xludf.DUMMYFUNCTION("""COMPUTED_VALUE"""),0.0)</f>
        <v>0</v>
      </c>
      <c r="G1789" s="49"/>
      <c r="H1789" s="49"/>
      <c r="I1789" s="49"/>
      <c r="J1789" s="49"/>
      <c r="K1789" s="49"/>
      <c r="L1789" s="49"/>
      <c r="M1789" s="49"/>
      <c r="N1789" s="49"/>
      <c r="O1789" s="49"/>
      <c r="P1789" s="49"/>
      <c r="Q1789" s="49"/>
      <c r="R1789" s="49"/>
      <c r="S1789" s="49"/>
      <c r="T1789" s="49"/>
      <c r="U1789" s="49"/>
      <c r="V1789" s="49"/>
      <c r="W1789" s="49"/>
      <c r="X1789" s="49"/>
      <c r="Y1789" s="49"/>
      <c r="Z1789" s="49"/>
      <c r="AA1789" s="49"/>
      <c r="AB1789" s="49"/>
      <c r="AC1789" s="49"/>
      <c r="AD1789" s="49"/>
      <c r="AE1789" s="49"/>
      <c r="AF1789" s="49"/>
      <c r="AG1789" s="49"/>
      <c r="AH1789" s="49" t="b">
        <f>IFERROR(__xludf.DUMMYFUNCTION("""COMPUTED_VALUE"""),FALSE)</f>
        <v>0</v>
      </c>
    </row>
    <row r="1790">
      <c r="A1790" s="49"/>
      <c r="B1790" s="49"/>
      <c r="C1790" s="49"/>
      <c r="D1790" s="49"/>
      <c r="E1790" s="49">
        <f>IFERROR(__xludf.DUMMYFUNCTION("""COMPUTED_VALUE"""),1.0)</f>
        <v>1</v>
      </c>
      <c r="F1790" s="112">
        <f>IFERROR(__xludf.DUMMYFUNCTION("""COMPUTED_VALUE"""),0.0)</f>
        <v>0</v>
      </c>
      <c r="G1790" s="49"/>
      <c r="H1790" s="49"/>
      <c r="I1790" s="49"/>
      <c r="J1790" s="49"/>
      <c r="K1790" s="49"/>
      <c r="L1790" s="49"/>
      <c r="M1790" s="49"/>
      <c r="N1790" s="49"/>
      <c r="O1790" s="49"/>
      <c r="P1790" s="49"/>
      <c r="Q1790" s="49"/>
      <c r="R1790" s="49"/>
      <c r="S1790" s="49"/>
      <c r="T1790" s="49"/>
      <c r="U1790" s="49"/>
      <c r="V1790" s="49"/>
      <c r="W1790" s="49"/>
      <c r="X1790" s="49"/>
      <c r="Y1790" s="49"/>
      <c r="Z1790" s="49"/>
      <c r="AA1790" s="49"/>
      <c r="AB1790" s="49"/>
      <c r="AC1790" s="49"/>
      <c r="AD1790" s="49"/>
      <c r="AE1790" s="49"/>
      <c r="AF1790" s="49"/>
      <c r="AG1790" s="49"/>
      <c r="AH1790" s="49" t="b">
        <f>IFERROR(__xludf.DUMMYFUNCTION("""COMPUTED_VALUE"""),FALSE)</f>
        <v>0</v>
      </c>
    </row>
    <row r="1791">
      <c r="A1791" s="49"/>
      <c r="B1791" s="49"/>
      <c r="C1791" s="49"/>
      <c r="D1791" s="49"/>
      <c r="E1791" s="49">
        <f>IFERROR(__xludf.DUMMYFUNCTION("""COMPUTED_VALUE"""),1.0)</f>
        <v>1</v>
      </c>
      <c r="F1791" s="112">
        <f>IFERROR(__xludf.DUMMYFUNCTION("""COMPUTED_VALUE"""),0.0)</f>
        <v>0</v>
      </c>
      <c r="G1791" s="49"/>
      <c r="H1791" s="49"/>
      <c r="I1791" s="49"/>
      <c r="J1791" s="49"/>
      <c r="K1791" s="49"/>
      <c r="L1791" s="49"/>
      <c r="M1791" s="49"/>
      <c r="N1791" s="49"/>
      <c r="O1791" s="49"/>
      <c r="P1791" s="49"/>
      <c r="Q1791" s="49"/>
      <c r="R1791" s="49"/>
      <c r="S1791" s="49"/>
      <c r="T1791" s="49"/>
      <c r="U1791" s="49"/>
      <c r="V1791" s="49"/>
      <c r="W1791" s="49"/>
      <c r="X1791" s="49"/>
      <c r="Y1791" s="49"/>
      <c r="Z1791" s="49"/>
      <c r="AA1791" s="49"/>
      <c r="AB1791" s="49"/>
      <c r="AC1791" s="49"/>
      <c r="AD1791" s="49"/>
      <c r="AE1791" s="49"/>
      <c r="AF1791" s="49"/>
      <c r="AG1791" s="49"/>
      <c r="AH1791" s="49" t="b">
        <f>IFERROR(__xludf.DUMMYFUNCTION("""COMPUTED_VALUE"""),FALSE)</f>
        <v>0</v>
      </c>
    </row>
    <row r="1792">
      <c r="A1792" s="49"/>
      <c r="B1792" s="49"/>
      <c r="C1792" s="49"/>
      <c r="D1792" s="49"/>
      <c r="E1792" s="49">
        <f>IFERROR(__xludf.DUMMYFUNCTION("""COMPUTED_VALUE"""),1.0)</f>
        <v>1</v>
      </c>
      <c r="F1792" s="112">
        <f>IFERROR(__xludf.DUMMYFUNCTION("""COMPUTED_VALUE"""),0.0)</f>
        <v>0</v>
      </c>
      <c r="G1792" s="49"/>
      <c r="H1792" s="49"/>
      <c r="I1792" s="49"/>
      <c r="J1792" s="49"/>
      <c r="K1792" s="49"/>
      <c r="L1792" s="49"/>
      <c r="M1792" s="49"/>
      <c r="N1792" s="49"/>
      <c r="O1792" s="49"/>
      <c r="P1792" s="49"/>
      <c r="Q1792" s="49"/>
      <c r="R1792" s="49"/>
      <c r="S1792" s="49"/>
      <c r="T1792" s="49"/>
      <c r="U1792" s="49"/>
      <c r="V1792" s="49"/>
      <c r="W1792" s="49"/>
      <c r="X1792" s="49"/>
      <c r="Y1792" s="49"/>
      <c r="Z1792" s="49"/>
      <c r="AA1792" s="49"/>
      <c r="AB1792" s="49"/>
      <c r="AC1792" s="49"/>
      <c r="AD1792" s="49"/>
      <c r="AE1792" s="49"/>
      <c r="AF1792" s="49"/>
      <c r="AG1792" s="49"/>
      <c r="AH1792" s="49" t="b">
        <f>IFERROR(__xludf.DUMMYFUNCTION("""COMPUTED_VALUE"""),FALSE)</f>
        <v>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22.75"/>
  </cols>
  <sheetData>
    <row r="1">
      <c r="A1" s="49" t="str">
        <f>IFERROR(__xludf.DUMMYFUNCTION("IMPORTRANGE(""https://docs.google.com/spreadsheets/d/""&amp;Config!B1,""Equipconvert!A:AH"")"),"Name")</f>
        <v>Name</v>
      </c>
      <c r="B1" s="49" t="str">
        <f>IFERROR(__xludf.DUMMYFUNCTION("""COMPUTED_VALUE"""),"Description")</f>
        <v>Description</v>
      </c>
      <c r="C1" s="49" t="str">
        <f>IFERROR(__xludf.DUMMYFUNCTION("""COMPUTED_VALUE"""),"Type")</f>
        <v>Type</v>
      </c>
      <c r="D1" s="49" t="str">
        <f>IFERROR(__xludf.DUMMYFUNCTION("""COMPUTED_VALUE"""),"Slot")</f>
        <v>Slot</v>
      </c>
      <c r="E1" s="49" t="str">
        <f>IFERROR(__xludf.DUMMYFUNCTION("""COMPUTED_VALUE"""),"Level Requirement")</f>
        <v>Level Requirement</v>
      </c>
      <c r="F1" s="49" t="str">
        <f>IFERROR(__xludf.DUMMYFUNCTION("""COMPUTED_VALUE"""),"Abilities")</f>
        <v>Abilities</v>
      </c>
      <c r="G1" s="49" t="str">
        <f>IFERROR(__xludf.DUMMYFUNCTION("""COMPUTED_VALUE"""),"Estimated Price")</f>
        <v>Estimated Price</v>
      </c>
      <c r="H1" s="49"/>
      <c r="I1" s="49"/>
      <c r="J1" s="49"/>
      <c r="K1" s="49"/>
      <c r="L1" s="49"/>
      <c r="M1" s="49"/>
      <c r="N1" s="49"/>
      <c r="O1" s="49"/>
      <c r="P1" s="49"/>
      <c r="Q1" s="49"/>
      <c r="R1" s="49"/>
      <c r="S1" s="49"/>
      <c r="T1" s="49"/>
      <c r="U1" s="49"/>
      <c r="V1" s="49"/>
      <c r="W1" s="49"/>
      <c r="X1" s="49"/>
      <c r="Y1" s="49"/>
      <c r="Z1" s="49"/>
    </row>
    <row r="2">
      <c r="A2" s="49" t="str">
        <f>IFERROR(__xludf.DUMMYFUNCTION("""COMPUTED_VALUE"""),"""Hellfire Club"" Vest of Metal Harmony's")</f>
        <v>"Hellfire Club" Vest of Metal Harmony's</v>
      </c>
      <c r="B2" s="49"/>
      <c r="C2" s="49"/>
      <c r="D2" s="49" t="str">
        <f>IFERROR(__xludf.DUMMYFUNCTION("""COMPUTED_VALUE"""),"Torso")</f>
        <v>Torso</v>
      </c>
      <c r="E2" s="49">
        <f>IFERROR(__xludf.DUMMYFUNCTION("""COMPUTED_VALUE"""),200.0)</f>
        <v>200</v>
      </c>
      <c r="F2" s="49" t="str">
        <f>IFERROR(__xludf.DUMMYFUNCTION("""COMPUTED_VALUE"""),"DEF: ++10000 ++When dealing damage with an instrument you will regain sp equal to the damage you caused.")</f>
        <v>DEF: ++10000 ++When dealing damage with an instrument you will regain sp equal to the damage you caused.</v>
      </c>
      <c r="G2" s="49">
        <f>IFERROR(__xludf.DUMMYFUNCTION("""COMPUTED_VALUE"""),1900000.0)</f>
        <v>1900000</v>
      </c>
      <c r="H2" s="49"/>
      <c r="I2" s="49"/>
      <c r="J2" s="49"/>
      <c r="K2" s="49"/>
      <c r="L2" s="49"/>
      <c r="M2" s="49"/>
      <c r="N2" s="49"/>
      <c r="O2" s="49"/>
      <c r="P2" s="49"/>
      <c r="Q2" s="49"/>
      <c r="R2" s="49"/>
      <c r="S2" s="49"/>
      <c r="T2" s="49"/>
      <c r="U2" s="49"/>
      <c r="V2" s="49"/>
      <c r="W2" s="49"/>
      <c r="X2" s="49"/>
      <c r="Y2" s="49"/>
      <c r="Z2" s="49"/>
    </row>
    <row r="3">
      <c r="A3" s="49" t="str">
        <f>IFERROR(__xludf.DUMMYFUNCTION("""COMPUTED_VALUE"""),"""Sweetheart"" Guitar of The Upside Down")</f>
        <v>"Sweetheart" Guitar of The Upside Down</v>
      </c>
      <c r="B3" s="49"/>
      <c r="C3" s="49" t="str">
        <f>IFERROR(__xludf.DUMMYFUNCTION("""COMPUTED_VALUE"""),"Instrument")</f>
        <v>Instrument</v>
      </c>
      <c r="D3" s="49" t="str">
        <f>IFERROR(__xludf.DUMMYFUNCTION("""COMPUTED_VALUE"""),"Hand")</f>
        <v>Hand</v>
      </c>
      <c r="E3" s="49">
        <f>IFERROR(__xludf.DUMMYFUNCTION("""COMPUTED_VALUE"""),200.0)</f>
        <v>200</v>
      </c>
      <c r="F3" s="49"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49">
        <f>IFERROR(__xludf.DUMMYFUNCTION("""COMPUTED_VALUE"""),1900000.0)</f>
        <v>1900000</v>
      </c>
      <c r="H3" s="49"/>
      <c r="I3" s="49"/>
      <c r="J3" s="49"/>
      <c r="K3" s="49"/>
      <c r="L3" s="49"/>
      <c r="M3" s="49"/>
      <c r="N3" s="49"/>
      <c r="O3" s="49"/>
      <c r="P3" s="49"/>
      <c r="Q3" s="49"/>
      <c r="R3" s="49"/>
      <c r="S3" s="49"/>
      <c r="T3" s="49"/>
      <c r="U3" s="49"/>
      <c r="V3" s="49"/>
      <c r="W3" s="49"/>
      <c r="X3" s="49"/>
      <c r="Y3" s="49"/>
      <c r="Z3" s="49"/>
    </row>
    <row r="4">
      <c r="A4" s="49" t="str">
        <f>IFERROR(__xludf.DUMMYFUNCTION("""COMPUTED_VALUE"""),"Alpha Sword")</f>
        <v>Alpha Sword</v>
      </c>
      <c r="B4" s="49"/>
      <c r="C4" s="49" t="str">
        <f>IFERROR(__xludf.DUMMYFUNCTION("""COMPUTED_VALUE"""),"Sword")</f>
        <v>Sword</v>
      </c>
      <c r="D4" s="49" t="str">
        <f>IFERROR(__xludf.DUMMYFUNCTION("""COMPUTED_VALUE"""),"Hand")</f>
        <v>Hand</v>
      </c>
      <c r="E4" s="49">
        <f>IFERROR(__xludf.DUMMYFUNCTION("""COMPUTED_VALUE"""),4000.0)</f>
        <v>4000</v>
      </c>
      <c r="F4" s="49"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49">
        <f>IFERROR(__xludf.DUMMYFUNCTION("""COMPUTED_VALUE"""),7.98E8)</f>
        <v>798000000</v>
      </c>
      <c r="H4" s="49"/>
      <c r="I4" s="49"/>
      <c r="J4" s="49"/>
      <c r="K4" s="49"/>
      <c r="L4" s="49"/>
      <c r="M4" s="49"/>
      <c r="N4" s="49"/>
      <c r="O4" s="49"/>
      <c r="P4" s="49"/>
      <c r="Q4" s="49"/>
      <c r="R4" s="49"/>
      <c r="S4" s="49"/>
      <c r="T4" s="49"/>
      <c r="U4" s="49"/>
      <c r="V4" s="49"/>
      <c r="W4" s="49"/>
      <c r="X4" s="49"/>
      <c r="Y4" s="49"/>
      <c r="Z4" s="49"/>
    </row>
    <row r="5">
      <c r="A5" s="49" t="str">
        <f>IFERROR(__xludf.DUMMYFUNCTION("""COMPUTED_VALUE"""),"Ancient Colossus Forest Hammer")</f>
        <v>Ancient Colossus Forest Hammer</v>
      </c>
      <c r="B5" s="49"/>
      <c r="C5" s="49" t="str">
        <f>IFERROR(__xludf.DUMMYFUNCTION("""COMPUTED_VALUE"""),"Club")</f>
        <v>Club</v>
      </c>
      <c r="D5" s="49" t="str">
        <f>IFERROR(__xludf.DUMMYFUNCTION("""COMPUTED_VALUE"""),"Hand")</f>
        <v>Hand</v>
      </c>
      <c r="E5" s="49">
        <f>IFERROR(__xludf.DUMMYFUNCTION("""COMPUTED_VALUE"""),700.0)</f>
        <v>700</v>
      </c>
      <c r="F5" s="49"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49">
        <f>IFERROR(__xludf.DUMMYFUNCTION("""COMPUTED_VALUE"""),2.415E7)</f>
        <v>24150000</v>
      </c>
      <c r="H5" s="49"/>
      <c r="I5" s="49"/>
      <c r="J5" s="49"/>
      <c r="K5" s="49"/>
      <c r="L5" s="49"/>
      <c r="M5" s="49"/>
      <c r="N5" s="49"/>
      <c r="O5" s="49"/>
      <c r="P5" s="49"/>
      <c r="Q5" s="49"/>
      <c r="R5" s="49"/>
      <c r="S5" s="49"/>
      <c r="T5" s="49"/>
      <c r="U5" s="49"/>
      <c r="V5" s="49"/>
      <c r="W5" s="49"/>
      <c r="X5" s="49"/>
      <c r="Y5" s="49"/>
      <c r="Z5" s="49"/>
    </row>
    <row r="6">
      <c r="A6" s="49" t="str">
        <f>IFERROR(__xludf.DUMMYFUNCTION("""COMPUTED_VALUE"""),"Ancient Samurai Sword")</f>
        <v>Ancient Samurai Sword</v>
      </c>
      <c r="B6" s="49"/>
      <c r="C6" s="49" t="str">
        <f>IFERROR(__xludf.DUMMYFUNCTION("""COMPUTED_VALUE"""),"Sword")</f>
        <v>Sword</v>
      </c>
      <c r="D6" s="49" t="str">
        <f>IFERROR(__xludf.DUMMYFUNCTION("""COMPUTED_VALUE"""),"Hand")</f>
        <v>Hand</v>
      </c>
      <c r="E6" s="49">
        <f>IFERROR(__xludf.DUMMYFUNCTION("""COMPUTED_VALUE"""),800.0)</f>
        <v>800</v>
      </c>
      <c r="F6" s="49"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49">
        <f>IFERROR(__xludf.DUMMYFUNCTION("""COMPUTED_VALUE"""),3.16E7)</f>
        <v>31600000</v>
      </c>
      <c r="H6" s="49"/>
      <c r="I6" s="49"/>
      <c r="J6" s="49"/>
      <c r="K6" s="49"/>
      <c r="L6" s="49"/>
      <c r="M6" s="49"/>
      <c r="N6" s="49"/>
      <c r="O6" s="49"/>
      <c r="P6" s="49"/>
      <c r="Q6" s="49"/>
      <c r="R6" s="49"/>
      <c r="S6" s="49"/>
      <c r="T6" s="49"/>
      <c r="U6" s="49"/>
      <c r="V6" s="49"/>
      <c r="W6" s="49"/>
      <c r="X6" s="49"/>
      <c r="Y6" s="49"/>
      <c r="Z6" s="49"/>
    </row>
    <row r="7">
      <c r="A7" s="49" t="str">
        <f>IFERROR(__xludf.DUMMYFUNCTION("""COMPUTED_VALUE"""),"Ancient Stone Guardians Sword")</f>
        <v>Ancient Stone Guardians Sword</v>
      </c>
      <c r="B7" s="49"/>
      <c r="C7" s="49" t="str">
        <f>IFERROR(__xludf.DUMMYFUNCTION("""COMPUTED_VALUE"""),"Sword")</f>
        <v>Sword</v>
      </c>
      <c r="D7" s="49" t="str">
        <f>IFERROR(__xludf.DUMMYFUNCTION("""COMPUTED_VALUE"""),"Hand")</f>
        <v>Hand</v>
      </c>
      <c r="E7" s="49">
        <f>IFERROR(__xludf.DUMMYFUNCTION("""COMPUTED_VALUE"""),1200.0)</f>
        <v>1200</v>
      </c>
      <c r="F7" s="49" t="str">
        <f>IFERROR(__xludf.DUMMYFUNCTION("""COMPUTED_VALUE"""),"DMG: +20000, Earth DMG: +20000, Light DMG: +20000 ++X2 Defense for all allies")</f>
        <v>DMG: +20000, Earth DMG: +20000, Light DMG: +20000 ++X2 Defense for all allies</v>
      </c>
      <c r="G7" s="49">
        <f>IFERROR(__xludf.DUMMYFUNCTION("""COMPUTED_VALUE"""),7.14E7)</f>
        <v>71400000</v>
      </c>
      <c r="H7" s="49"/>
      <c r="I7" s="49"/>
      <c r="J7" s="49"/>
      <c r="K7" s="49"/>
      <c r="L7" s="49"/>
      <c r="M7" s="49"/>
      <c r="N7" s="49"/>
      <c r="O7" s="49"/>
      <c r="P7" s="49"/>
      <c r="Q7" s="49"/>
      <c r="R7" s="49"/>
      <c r="S7" s="49"/>
      <c r="T7" s="49"/>
      <c r="U7" s="49"/>
      <c r="V7" s="49"/>
      <c r="W7" s="49"/>
      <c r="X7" s="49"/>
      <c r="Y7" s="49"/>
      <c r="Z7" s="49"/>
    </row>
    <row r="8">
      <c r="A8" s="49" t="str">
        <f>IFERROR(__xludf.DUMMYFUNCTION("""COMPUTED_VALUE"""),"Aqua Robe")</f>
        <v>Aqua Robe</v>
      </c>
      <c r="B8" s="49"/>
      <c r="C8" s="49"/>
      <c r="D8" s="49" t="str">
        <f>IFERROR(__xludf.DUMMYFUNCTION("""COMPUTED_VALUE"""),"Torso")</f>
        <v>Torso</v>
      </c>
      <c r="E8" s="49">
        <f>IFERROR(__xludf.DUMMYFUNCTION("""COMPUTED_VALUE"""),40.0)</f>
        <v>40</v>
      </c>
      <c r="F8" s="49" t="str">
        <f>IFERROR(__xludf.DUMMYFUNCTION("""COMPUTED_VALUE"""),"DEF: +1000, Water DEF: +1000 ++X4 damage additional water damage for the user.")</f>
        <v>DEF: +1000, Water DEF: +1000 ++X4 damage additional water damage for the user.</v>
      </c>
      <c r="G8" s="49">
        <f>IFERROR(__xludf.DUMMYFUNCTION("""COMPUTED_VALUE"""),60000.0)</f>
        <v>60000</v>
      </c>
      <c r="H8" s="49"/>
      <c r="I8" s="49"/>
      <c r="J8" s="49"/>
      <c r="K8" s="49"/>
      <c r="L8" s="49"/>
      <c r="M8" s="49"/>
      <c r="N8" s="49"/>
      <c r="O8" s="49"/>
      <c r="P8" s="49"/>
      <c r="Q8" s="49"/>
      <c r="R8" s="49"/>
      <c r="S8" s="49"/>
      <c r="T8" s="49"/>
      <c r="U8" s="49"/>
      <c r="V8" s="49"/>
      <c r="W8" s="49"/>
      <c r="X8" s="49"/>
      <c r="Y8" s="49"/>
      <c r="Z8" s="49"/>
    </row>
    <row r="9">
      <c r="A9" s="49" t="str">
        <f>IFERROR(__xludf.DUMMYFUNCTION("""COMPUTED_VALUE"""),"Aquatic Boots of Atlantis")</f>
        <v>Aquatic Boots of Atlantis</v>
      </c>
      <c r="B9" s="49"/>
      <c r="C9" s="49"/>
      <c r="D9" s="49" t="str">
        <f>IFERROR(__xludf.DUMMYFUNCTION("""COMPUTED_VALUE"""),"Feet")</f>
        <v>Feet</v>
      </c>
      <c r="E9" s="49">
        <f>IFERROR(__xludf.DUMMYFUNCTION("""COMPUTED_VALUE"""),300.0)</f>
        <v>300</v>
      </c>
      <c r="F9" s="49" t="str">
        <f>IFERROR(__xludf.DUMMYFUNCTION("""COMPUTED_VALUE"""),"DEF: +7500, Water DEF: +7500 ++X6 additional water damage for self.")</f>
        <v>DEF: +7500, Water DEF: +7500 ++X6 additional water damage for self.</v>
      </c>
      <c r="G9" s="49">
        <f>IFERROR(__xludf.DUMMYFUNCTION("""COMPUTED_VALUE"""),4350000.0)</f>
        <v>4350000</v>
      </c>
      <c r="H9" s="49"/>
      <c r="I9" s="49"/>
      <c r="J9" s="49"/>
      <c r="K9" s="49"/>
      <c r="L9" s="49"/>
      <c r="M9" s="49"/>
      <c r="N9" s="49"/>
      <c r="O9" s="49"/>
      <c r="P9" s="49"/>
      <c r="Q9" s="49"/>
      <c r="R9" s="49"/>
      <c r="S9" s="49"/>
      <c r="T9" s="49"/>
      <c r="U9" s="49"/>
      <c r="V9" s="49"/>
      <c r="W9" s="49"/>
      <c r="X9" s="49"/>
      <c r="Y9" s="49"/>
      <c r="Z9" s="49"/>
    </row>
    <row r="10">
      <c r="A10" s="49" t="str">
        <f>IFERROR(__xludf.DUMMYFUNCTION("""COMPUTED_VALUE"""),"Aquatic Chestplate of Atlantis")</f>
        <v>Aquatic Chestplate of Atlantis</v>
      </c>
      <c r="B10" s="49"/>
      <c r="C10" s="49"/>
      <c r="D10" s="49" t="str">
        <f>IFERROR(__xludf.DUMMYFUNCTION("""COMPUTED_VALUE"""),"Torso")</f>
        <v>Torso</v>
      </c>
      <c r="E10" s="49">
        <f>IFERROR(__xludf.DUMMYFUNCTION("""COMPUTED_VALUE"""),600.0)</f>
        <v>600</v>
      </c>
      <c r="F10" s="49"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49">
        <f>IFERROR(__xludf.DUMMYFUNCTION("""COMPUTED_VALUE"""),1.77E7)</f>
        <v>17700000</v>
      </c>
      <c r="H10" s="49"/>
      <c r="I10" s="49"/>
      <c r="J10" s="49"/>
      <c r="K10" s="49"/>
      <c r="L10" s="49"/>
      <c r="M10" s="49"/>
      <c r="N10" s="49"/>
      <c r="O10" s="49"/>
      <c r="P10" s="49"/>
      <c r="Q10" s="49"/>
      <c r="R10" s="49"/>
      <c r="S10" s="49"/>
      <c r="T10" s="49"/>
      <c r="U10" s="49"/>
      <c r="V10" s="49"/>
      <c r="W10" s="49"/>
      <c r="X10" s="49"/>
      <c r="Y10" s="49"/>
      <c r="Z10" s="49"/>
    </row>
    <row r="11">
      <c r="A11" s="49" t="str">
        <f>IFERROR(__xludf.DUMMYFUNCTION("""COMPUTED_VALUE"""),"Aquatic Greaves of Atlantis")</f>
        <v>Aquatic Greaves of Atlantis</v>
      </c>
      <c r="B11" s="49"/>
      <c r="C11" s="49"/>
      <c r="D11" s="49" t="str">
        <f>IFERROR(__xludf.DUMMYFUNCTION("""COMPUTED_VALUE"""),"Legs")</f>
        <v>Legs</v>
      </c>
      <c r="E11" s="49">
        <f>IFERROR(__xludf.DUMMYFUNCTION("""COMPUTED_VALUE"""),300.0)</f>
        <v>300</v>
      </c>
      <c r="F11" s="49" t="str">
        <f>IFERROR(__xludf.DUMMYFUNCTION("""COMPUTED_VALUE"""),"DEF: +7500, Water DEF: +7500 ++X6 additional water damage for self.")</f>
        <v>DEF: +7500, Water DEF: +7500 ++X6 additional water damage for self.</v>
      </c>
      <c r="G11" s="49">
        <f>IFERROR(__xludf.DUMMYFUNCTION("""COMPUTED_VALUE"""),4350000.0)</f>
        <v>4350000</v>
      </c>
      <c r="H11" s="49"/>
      <c r="I11" s="49"/>
      <c r="J11" s="49"/>
      <c r="K11" s="49"/>
      <c r="L11" s="49"/>
      <c r="M11" s="49"/>
      <c r="N11" s="49"/>
      <c r="O11" s="49"/>
      <c r="P11" s="49"/>
      <c r="Q11" s="49"/>
      <c r="R11" s="49"/>
      <c r="S11" s="49"/>
      <c r="T11" s="49"/>
      <c r="U11" s="49"/>
      <c r="V11" s="49"/>
      <c r="W11" s="49"/>
      <c r="X11" s="49"/>
      <c r="Y11" s="49"/>
      <c r="Z11" s="49"/>
    </row>
    <row r="12">
      <c r="A12" s="49" t="str">
        <f>IFERROR(__xludf.DUMMYFUNCTION("""COMPUTED_VALUE"""),"Aquatic Helmet of Atlantis")</f>
        <v>Aquatic Helmet of Atlantis</v>
      </c>
      <c r="B12" s="49"/>
      <c r="C12" s="49"/>
      <c r="D12" s="49" t="str">
        <f>IFERROR(__xludf.DUMMYFUNCTION("""COMPUTED_VALUE"""),"Head")</f>
        <v>Head</v>
      </c>
      <c r="E12" s="49">
        <f>IFERROR(__xludf.DUMMYFUNCTION("""COMPUTED_VALUE"""),300.0)</f>
        <v>300</v>
      </c>
      <c r="F12" s="49" t="str">
        <f>IFERROR(__xludf.DUMMYFUNCTION("""COMPUTED_VALUE"""),"DEF: +7500, Water DEF: +7500 ++X6 additional water damage for self.")</f>
        <v>DEF: +7500, Water DEF: +7500 ++X6 additional water damage for self.</v>
      </c>
      <c r="G12" s="49">
        <f>IFERROR(__xludf.DUMMYFUNCTION("""COMPUTED_VALUE"""),4350000.0)</f>
        <v>4350000</v>
      </c>
      <c r="H12" s="49"/>
      <c r="I12" s="49"/>
      <c r="J12" s="49"/>
      <c r="K12" s="49"/>
      <c r="L12" s="49"/>
      <c r="M12" s="49"/>
      <c r="N12" s="49"/>
      <c r="O12" s="49"/>
      <c r="P12" s="49"/>
      <c r="Q12" s="49"/>
      <c r="R12" s="49"/>
      <c r="S12" s="49"/>
      <c r="T12" s="49"/>
      <c r="U12" s="49"/>
      <c r="V12" s="49"/>
      <c r="W12" s="49"/>
      <c r="X12" s="49"/>
      <c r="Y12" s="49"/>
      <c r="Z12" s="49"/>
    </row>
    <row r="13">
      <c r="A13" s="49" t="str">
        <f>IFERROR(__xludf.DUMMYFUNCTION("""COMPUTED_VALUE"""),"Aquatic Pauldrons of Atlantis")</f>
        <v>Aquatic Pauldrons of Atlantis</v>
      </c>
      <c r="B13" s="49"/>
      <c r="C13" s="49"/>
      <c r="D13" s="49" t="str">
        <f>IFERROR(__xludf.DUMMYFUNCTION("""COMPUTED_VALUE"""),"Shoulders")</f>
        <v>Shoulders</v>
      </c>
      <c r="E13" s="49">
        <f>IFERROR(__xludf.DUMMYFUNCTION("""COMPUTED_VALUE"""),300.0)</f>
        <v>300</v>
      </c>
      <c r="F13" s="49" t="str">
        <f>IFERROR(__xludf.DUMMYFUNCTION("""COMPUTED_VALUE"""),"DEF: +7500, Water DEF: +7500 ++X6 additional water damage for self.")</f>
        <v>DEF: +7500, Water DEF: +7500 ++X6 additional water damage for self.</v>
      </c>
      <c r="G13" s="49">
        <f>IFERROR(__xludf.DUMMYFUNCTION("""COMPUTED_VALUE"""),4350000.0)</f>
        <v>4350000</v>
      </c>
      <c r="H13" s="49"/>
      <c r="I13" s="49"/>
      <c r="J13" s="49"/>
      <c r="K13" s="49"/>
      <c r="L13" s="49"/>
      <c r="M13" s="49"/>
      <c r="N13" s="49"/>
      <c r="O13" s="49"/>
      <c r="P13" s="49"/>
      <c r="Q13" s="49"/>
      <c r="R13" s="49"/>
      <c r="S13" s="49"/>
      <c r="T13" s="49"/>
      <c r="U13" s="49"/>
      <c r="V13" s="49"/>
      <c r="W13" s="49"/>
      <c r="X13" s="49"/>
      <c r="Y13" s="49"/>
      <c r="Z13" s="49"/>
    </row>
    <row r="14">
      <c r="A14" s="49" t="str">
        <f>IFERROR(__xludf.DUMMYFUNCTION("""COMPUTED_VALUE"""),"Aquatic Sword of Atlantis")</f>
        <v>Aquatic Sword of Atlantis</v>
      </c>
      <c r="B14" s="49"/>
      <c r="C14" s="49" t="str">
        <f>IFERROR(__xludf.DUMMYFUNCTION("""COMPUTED_VALUE"""),"Sword")</f>
        <v>Sword</v>
      </c>
      <c r="D14" s="49" t="str">
        <f>IFERROR(__xludf.DUMMYFUNCTION("""COMPUTED_VALUE"""),"Hand")</f>
        <v>Hand</v>
      </c>
      <c r="E14" s="49">
        <f>IFERROR(__xludf.DUMMYFUNCTION("""COMPUTED_VALUE"""),1200.0)</f>
        <v>1200</v>
      </c>
      <c r="F14" s="49"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49">
        <f>IFERROR(__xludf.DUMMYFUNCTION("""COMPUTED_VALUE"""),7.14E7)</f>
        <v>71400000</v>
      </c>
      <c r="H14" s="49"/>
      <c r="I14" s="49"/>
      <c r="J14" s="49"/>
      <c r="K14" s="49"/>
      <c r="L14" s="49"/>
      <c r="M14" s="49"/>
      <c r="N14" s="49"/>
      <c r="O14" s="49"/>
      <c r="P14" s="49"/>
      <c r="Q14" s="49"/>
      <c r="R14" s="49"/>
      <c r="S14" s="49"/>
      <c r="T14" s="49"/>
      <c r="U14" s="49"/>
      <c r="V14" s="49"/>
      <c r="W14" s="49"/>
      <c r="X14" s="49"/>
      <c r="Y14" s="49"/>
      <c r="Z14" s="49"/>
    </row>
    <row r="15">
      <c r="A15" s="49" t="str">
        <f>IFERROR(__xludf.DUMMYFUNCTION("""COMPUTED_VALUE"""),"Aquatic Vambraces of Atlantis")</f>
        <v>Aquatic Vambraces of Atlantis</v>
      </c>
      <c r="B15" s="49"/>
      <c r="C15" s="49"/>
      <c r="D15" s="49" t="str">
        <f>IFERROR(__xludf.DUMMYFUNCTION("""COMPUTED_VALUE"""),"Arms")</f>
        <v>Arms</v>
      </c>
      <c r="E15" s="49">
        <f>IFERROR(__xludf.DUMMYFUNCTION("""COMPUTED_VALUE"""),300.0)</f>
        <v>300</v>
      </c>
      <c r="F15" s="49" t="str">
        <f>IFERROR(__xludf.DUMMYFUNCTION("""COMPUTED_VALUE"""),"DEF: +7500, Water DEF: +7500 X6 additional water damage for self.")</f>
        <v>DEF: +7500, Water DEF: +7500 X6 additional water damage for self.</v>
      </c>
      <c r="G15" s="49">
        <f>IFERROR(__xludf.DUMMYFUNCTION("""COMPUTED_VALUE"""),4350000.0)</f>
        <v>4350000</v>
      </c>
      <c r="H15" s="49"/>
      <c r="I15" s="49"/>
      <c r="J15" s="49"/>
      <c r="K15" s="49"/>
      <c r="L15" s="49"/>
      <c r="M15" s="49"/>
      <c r="N15" s="49"/>
      <c r="O15" s="49"/>
      <c r="P15" s="49"/>
      <c r="Q15" s="49"/>
      <c r="R15" s="49"/>
      <c r="S15" s="49"/>
      <c r="T15" s="49"/>
      <c r="U15" s="49"/>
      <c r="V15" s="49"/>
      <c r="W15" s="49"/>
      <c r="X15" s="49"/>
      <c r="Y15" s="49"/>
      <c r="Z15" s="49"/>
    </row>
    <row r="16">
      <c r="A16" s="49" t="str">
        <f>IFERROR(__xludf.DUMMYFUNCTION("""COMPUTED_VALUE"""),"Archer’s Cloaked Vest")</f>
        <v>Archer’s Cloaked Vest</v>
      </c>
      <c r="B16" s="49"/>
      <c r="C16" s="49"/>
      <c r="D16" s="49" t="str">
        <f>IFERROR(__xludf.DUMMYFUNCTION("""COMPUTED_VALUE"""),"Torso")</f>
        <v>Torso</v>
      </c>
      <c r="E16" s="49">
        <f>IFERROR(__xludf.DUMMYFUNCTION("""COMPUTED_VALUE"""),20.0)</f>
        <v>20</v>
      </c>
      <c r="F16" s="49"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49">
        <f>IFERROR(__xludf.DUMMYFUNCTION("""COMPUTED_VALUE"""),1000.0)</f>
        <v>1000</v>
      </c>
      <c r="H16" s="49"/>
      <c r="I16" s="49"/>
      <c r="J16" s="49"/>
      <c r="K16" s="49"/>
      <c r="L16" s="49"/>
      <c r="M16" s="49"/>
      <c r="N16" s="49"/>
      <c r="O16" s="49"/>
      <c r="P16" s="49"/>
      <c r="Q16" s="49"/>
      <c r="R16" s="49"/>
      <c r="S16" s="49"/>
      <c r="T16" s="49"/>
      <c r="U16" s="49"/>
      <c r="V16" s="49"/>
      <c r="W16" s="49"/>
      <c r="X16" s="49"/>
      <c r="Y16" s="49"/>
      <c r="Z16" s="49"/>
    </row>
    <row r="17">
      <c r="A17" s="49" t="str">
        <f>IFERROR(__xludf.DUMMYFUNCTION("""COMPUTED_VALUE"""),"Archers Boots")</f>
        <v>Archers Boots</v>
      </c>
      <c r="B17" s="49"/>
      <c r="C17" s="49"/>
      <c r="D17" s="49" t="str">
        <f>IFERROR(__xludf.DUMMYFUNCTION("""COMPUTED_VALUE"""),"Feet")</f>
        <v>Feet</v>
      </c>
      <c r="E17" s="49">
        <f>IFERROR(__xludf.DUMMYFUNCTION("""COMPUTED_VALUE"""),1.0)</f>
        <v>1</v>
      </c>
      <c r="F17" s="49" t="str">
        <f>IFERROR(__xludf.DUMMYFUNCTION("""COMPUTED_VALUE""")," (Ranger Set) ++5 evasion ++Only archers can equip, +-Cannot be duplicated or forged.")</f>
        <v> (Ranger Set) ++5 evasion ++Only archers can equip, +-Cannot be duplicated or forged.</v>
      </c>
      <c r="G17" s="49">
        <f>IFERROR(__xludf.DUMMYFUNCTION("""COMPUTED_VALUE"""),0.0)</f>
        <v>0</v>
      </c>
      <c r="H17" s="49"/>
      <c r="I17" s="49"/>
      <c r="J17" s="49"/>
      <c r="K17" s="49"/>
      <c r="L17" s="49"/>
      <c r="M17" s="49"/>
      <c r="N17" s="49"/>
      <c r="O17" s="49"/>
      <c r="P17" s="49"/>
      <c r="Q17" s="49"/>
      <c r="R17" s="49"/>
      <c r="S17" s="49"/>
      <c r="T17" s="49"/>
      <c r="U17" s="49"/>
      <c r="V17" s="49"/>
      <c r="W17" s="49"/>
      <c r="X17" s="49"/>
      <c r="Y17" s="49"/>
      <c r="Z17" s="49"/>
    </row>
    <row r="18">
      <c r="A18" s="49" t="str">
        <f>IFERROR(__xludf.DUMMYFUNCTION("""COMPUTED_VALUE"""),"Archers Cloak")</f>
        <v>Archers Cloak</v>
      </c>
      <c r="B18" s="49"/>
      <c r="C18" s="49"/>
      <c r="D18" s="49" t="str">
        <f>IFERROR(__xludf.DUMMYFUNCTION("""COMPUTED_VALUE"""),"Torso")</f>
        <v>Torso</v>
      </c>
      <c r="E18" s="49">
        <f>IFERROR(__xludf.DUMMYFUNCTION("""COMPUTED_VALUE"""),1.0)</f>
        <v>1</v>
      </c>
      <c r="F18" s="49" t="str">
        <f>IFERROR(__xludf.DUMMYFUNCTION("""COMPUTED_VALUE""")," (Ranger Set) ++Ranged Spells cost half the sp cost ++Only archers can equip")</f>
        <v> (Ranger Set) ++Ranged Spells cost half the sp cost ++Only archers can equip</v>
      </c>
      <c r="G18" s="49">
        <f>IFERROR(__xludf.DUMMYFUNCTION("""COMPUTED_VALUE"""),0.0)</f>
        <v>0</v>
      </c>
      <c r="H18" s="49"/>
      <c r="I18" s="49"/>
      <c r="J18" s="49"/>
      <c r="K18" s="49"/>
      <c r="L18" s="49"/>
      <c r="M18" s="49"/>
      <c r="N18" s="49"/>
      <c r="O18" s="49"/>
      <c r="P18" s="49"/>
      <c r="Q18" s="49"/>
      <c r="R18" s="49"/>
      <c r="S18" s="49"/>
      <c r="T18" s="49"/>
      <c r="U18" s="49"/>
      <c r="V18" s="49"/>
      <c r="W18" s="49"/>
      <c r="X18" s="49"/>
      <c r="Y18" s="49"/>
      <c r="Z18" s="49"/>
    </row>
    <row r="19">
      <c r="A19" s="49" t="str">
        <f>IFERROR(__xludf.DUMMYFUNCTION("""COMPUTED_VALUE"""),"Armor Of Cthulhu")</f>
        <v>Armor Of Cthulhu</v>
      </c>
      <c r="B19" s="49"/>
      <c r="C19" s="49"/>
      <c r="D19" s="49" t="str">
        <f>IFERROR(__xludf.DUMMYFUNCTION("""COMPUTED_VALUE"""),"Torso")</f>
        <v>Torso</v>
      </c>
      <c r="E19" s="49">
        <f>IFERROR(__xludf.DUMMYFUNCTION("""COMPUTED_VALUE"""),400.0)</f>
        <v>400</v>
      </c>
      <c r="F19" s="49"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49">
        <f>IFERROR(__xludf.DUMMYFUNCTION("""COMPUTED_VALUE"""),7800000.0)</f>
        <v>7800000</v>
      </c>
      <c r="H19" s="49"/>
      <c r="I19" s="49"/>
      <c r="J19" s="49"/>
      <c r="K19" s="49"/>
      <c r="L19" s="49"/>
      <c r="M19" s="49"/>
      <c r="N19" s="49"/>
      <c r="O19" s="49"/>
      <c r="P19" s="49"/>
      <c r="Q19" s="49"/>
      <c r="R19" s="49"/>
      <c r="S19" s="49"/>
      <c r="T19" s="49"/>
      <c r="U19" s="49"/>
      <c r="V19" s="49"/>
      <c r="W19" s="49"/>
      <c r="X19" s="49"/>
      <c r="Y19" s="49"/>
      <c r="Z19" s="49"/>
    </row>
    <row r="20">
      <c r="A20" s="49" t="str">
        <f>IFERROR(__xludf.DUMMYFUNCTION("""COMPUTED_VALUE"""),"Armor Of Zeldron")</f>
        <v>Armor Of Zeldron</v>
      </c>
      <c r="B20" s="49" t="str">
        <f>IFERROR(__xludf.DUMMYFUNCTION("""COMPUTED_VALUE"""),"Made of gold")</f>
        <v>Made of gold</v>
      </c>
      <c r="C20" s="49"/>
      <c r="D20" s="49" t="str">
        <f>IFERROR(__xludf.DUMMYFUNCTION("""COMPUTED_VALUE"""),"Torso")</f>
        <v>Torso</v>
      </c>
      <c r="E20" s="49">
        <f>IFERROR(__xludf.DUMMYFUNCTION("""COMPUTED_VALUE"""),400.0)</f>
        <v>400</v>
      </c>
      <c r="F20" s="49" t="str">
        <f>IFERROR(__xludf.DUMMYFUNCTION("""COMPUTED_VALUE"""),"DEF: +10000, Order DEF: +10000")</f>
        <v>DEF: +10000, Order DEF: +10000</v>
      </c>
      <c r="G20" s="49">
        <f>IFERROR(__xludf.DUMMYFUNCTION("""COMPUTED_VALUE"""),7800000.0)</f>
        <v>7800000</v>
      </c>
      <c r="H20" s="49"/>
      <c r="I20" s="49"/>
      <c r="J20" s="49"/>
      <c r="K20" s="49"/>
      <c r="L20" s="49"/>
      <c r="M20" s="49"/>
      <c r="N20" s="49"/>
      <c r="O20" s="49"/>
      <c r="P20" s="49"/>
      <c r="Q20" s="49"/>
      <c r="R20" s="49"/>
      <c r="S20" s="49"/>
      <c r="T20" s="49"/>
      <c r="U20" s="49"/>
      <c r="V20" s="49"/>
      <c r="W20" s="49"/>
      <c r="X20" s="49"/>
      <c r="Y20" s="49"/>
      <c r="Z20" s="49"/>
    </row>
    <row r="21">
      <c r="A21" s="49" t="str">
        <f>IFERROR(__xludf.DUMMYFUNCTION("""COMPUTED_VALUE"""),"Ashen Pole Axe")</f>
        <v>Ashen Pole Axe</v>
      </c>
      <c r="B21" s="49"/>
      <c r="C21" s="49" t="str">
        <f>IFERROR(__xludf.DUMMYFUNCTION("""COMPUTED_VALUE"""),"Axe")</f>
        <v>Axe</v>
      </c>
      <c r="D21" s="49" t="str">
        <f>IFERROR(__xludf.DUMMYFUNCTION("""COMPUTED_VALUE"""),"Hand")</f>
        <v>Hand</v>
      </c>
      <c r="E21" s="49">
        <f>IFERROR(__xludf.DUMMYFUNCTION("""COMPUTED_VALUE"""),20.0)</f>
        <v>20</v>
      </c>
      <c r="F21" s="49" t="str">
        <f>IFERROR(__xludf.DUMMYFUNCTION("""COMPUTED_VALUE"""),"DMG: +500, Fire DMG: +500 ++Inflicts Burn 500")</f>
        <v>DMG: +500, Fire DMG: +500 ++Inflicts Burn 500</v>
      </c>
      <c r="G21" s="49">
        <f>IFERROR(__xludf.DUMMYFUNCTION("""COMPUTED_VALUE"""),10000.0)</f>
        <v>10000</v>
      </c>
      <c r="H21" s="49"/>
      <c r="I21" s="49"/>
      <c r="J21" s="49"/>
      <c r="K21" s="49"/>
      <c r="L21" s="49"/>
      <c r="M21" s="49"/>
      <c r="N21" s="49"/>
      <c r="O21" s="49"/>
      <c r="P21" s="49"/>
      <c r="Q21" s="49"/>
      <c r="R21" s="49"/>
      <c r="S21" s="49"/>
      <c r="T21" s="49"/>
      <c r="U21" s="49"/>
      <c r="V21" s="49"/>
      <c r="W21" s="49"/>
      <c r="X21" s="49"/>
      <c r="Y21" s="49"/>
      <c r="Z21" s="49"/>
    </row>
    <row r="22">
      <c r="A22" s="49" t="str">
        <f>IFERROR(__xludf.DUMMYFUNCTION("""COMPUTED_VALUE"""),"Bamboo Spear")</f>
        <v>Bamboo Spear</v>
      </c>
      <c r="B22" s="49"/>
      <c r="C22" s="49" t="str">
        <f>IFERROR(__xludf.DUMMYFUNCTION("""COMPUTED_VALUE"""),"Spear")</f>
        <v>Spear</v>
      </c>
      <c r="D22" s="49" t="str">
        <f>IFERROR(__xludf.DUMMYFUNCTION("""COMPUTED_VALUE"""),"Hand")</f>
        <v>Hand</v>
      </c>
      <c r="E22" s="49">
        <f>IFERROR(__xludf.DUMMYFUNCTION("""COMPUTED_VALUE"""),60.0)</f>
        <v>60</v>
      </c>
      <c r="F22" s="49"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49">
        <f>IFERROR(__xludf.DUMMYFUNCTION("""COMPUTED_VALUE"""),150000.0)</f>
        <v>150000</v>
      </c>
      <c r="H22" s="49"/>
      <c r="I22" s="49"/>
      <c r="J22" s="49"/>
      <c r="K22" s="49"/>
      <c r="L22" s="49"/>
      <c r="M22" s="49"/>
      <c r="N22" s="49"/>
      <c r="O22" s="49"/>
      <c r="P22" s="49"/>
      <c r="Q22" s="49"/>
      <c r="R22" s="49"/>
      <c r="S22" s="49"/>
      <c r="T22" s="49"/>
      <c r="U22" s="49"/>
      <c r="V22" s="49"/>
      <c r="W22" s="49"/>
      <c r="X22" s="49"/>
      <c r="Y22" s="49"/>
      <c r="Z22" s="49"/>
    </row>
    <row r="23">
      <c r="A23" s="49" t="str">
        <f>IFERROR(__xludf.DUMMYFUNCTION("""COMPUTED_VALUE"""),"Baosheng’s Restore Pendant")</f>
        <v>Baosheng’s Restore Pendant</v>
      </c>
      <c r="B23" s="49"/>
      <c r="C23" s="49"/>
      <c r="D23" s="49" t="str">
        <f>IFERROR(__xludf.DUMMYFUNCTION("""COMPUTED_VALUE"""),"Neck")</f>
        <v>Neck</v>
      </c>
      <c r="E23" s="49">
        <f>IFERROR(__xludf.DUMMYFUNCTION("""COMPUTED_VALUE"""),1.0)</f>
        <v>1</v>
      </c>
      <c r="F23" s="49" t="str">
        <f>IFERROR(__xludf.DUMMYFUNCTION("""COMPUTED_VALUE""")," ++Restores 100 HP and SP per round during battle.")</f>
        <v> ++Restores 100 HP and SP per round during battle.</v>
      </c>
      <c r="G23" s="49">
        <f>IFERROR(__xludf.DUMMYFUNCTION("""COMPUTED_VALUE"""),0.0)</f>
        <v>0</v>
      </c>
      <c r="H23" s="49"/>
      <c r="I23" s="49"/>
      <c r="J23" s="49"/>
      <c r="K23" s="49"/>
      <c r="L23" s="49"/>
      <c r="M23" s="49"/>
      <c r="N23" s="49"/>
      <c r="O23" s="49"/>
      <c r="P23" s="49"/>
      <c r="Q23" s="49"/>
      <c r="R23" s="49"/>
      <c r="S23" s="49"/>
      <c r="T23" s="49"/>
      <c r="U23" s="49"/>
      <c r="V23" s="49"/>
      <c r="W23" s="49"/>
      <c r="X23" s="49"/>
      <c r="Y23" s="49"/>
      <c r="Z23" s="49"/>
    </row>
    <row r="24">
      <c r="A24" s="49" t="str">
        <f>IFERROR(__xludf.DUMMYFUNCTION("""COMPUTED_VALUE"""),"Basic Cannon")</f>
        <v>Basic Cannon</v>
      </c>
      <c r="B24" s="49"/>
      <c r="C24" s="49" t="str">
        <f>IFERROR(__xludf.DUMMYFUNCTION("""COMPUTED_VALUE"""),"Firearm")</f>
        <v>Firearm</v>
      </c>
      <c r="D24" s="49" t="str">
        <f>IFERROR(__xludf.DUMMYFUNCTION("""COMPUTED_VALUE"""),"BoatGun")</f>
        <v>BoatGun</v>
      </c>
      <c r="E24" s="49">
        <f>IFERROR(__xludf.DUMMYFUNCTION("""COMPUTED_VALUE"""),400.0)</f>
        <v>400</v>
      </c>
      <c r="F24" s="49" t="str">
        <f>IFERROR(__xludf.DUMMYFUNCTION("""COMPUTED_VALUE"""),"DMG: +20000")</f>
        <v>DMG: +20000</v>
      </c>
      <c r="G24" s="49">
        <f>IFERROR(__xludf.DUMMYFUNCTION("""COMPUTED_VALUE"""),7800000.0)</f>
        <v>7800000</v>
      </c>
      <c r="H24" s="49"/>
      <c r="I24" s="49"/>
      <c r="J24" s="49"/>
      <c r="K24" s="49"/>
      <c r="L24" s="49"/>
      <c r="M24" s="49"/>
      <c r="N24" s="49"/>
      <c r="O24" s="49"/>
      <c r="P24" s="49"/>
      <c r="Q24" s="49"/>
      <c r="R24" s="49"/>
      <c r="S24" s="49"/>
      <c r="T24" s="49"/>
      <c r="U24" s="49"/>
      <c r="V24" s="49"/>
      <c r="W24" s="49"/>
      <c r="X24" s="49"/>
      <c r="Y24" s="49"/>
      <c r="Z24" s="49"/>
    </row>
    <row r="25">
      <c r="A25" s="49" t="str">
        <f>IFERROR(__xludf.DUMMYFUNCTION("""COMPUTED_VALUE"""),"Beltane Floral crown")</f>
        <v>Beltane Floral crown</v>
      </c>
      <c r="B25" s="49"/>
      <c r="C25" s="49"/>
      <c r="D25" s="49" t="str">
        <f>IFERROR(__xludf.DUMMYFUNCTION("""COMPUTED_VALUE"""),"Head")</f>
        <v>Head</v>
      </c>
      <c r="E25" s="49">
        <f>IFERROR(__xludf.DUMMYFUNCTION("""COMPUTED_VALUE"""),1.0)</f>
        <v>1</v>
      </c>
      <c r="F25" s="49" t="str">
        <f>IFERROR(__xludf.DUMMYFUNCTION("""COMPUTED_VALUE""")," ++Grants immunity to Nature.")</f>
        <v> ++Grants immunity to Nature.</v>
      </c>
      <c r="G25" s="49">
        <f>IFERROR(__xludf.DUMMYFUNCTION("""COMPUTED_VALUE"""),0.0)</f>
        <v>0</v>
      </c>
      <c r="H25" s="49"/>
      <c r="I25" s="49"/>
      <c r="J25" s="49"/>
      <c r="K25" s="49"/>
      <c r="L25" s="49"/>
      <c r="M25" s="49"/>
      <c r="N25" s="49"/>
      <c r="O25" s="49"/>
      <c r="P25" s="49"/>
      <c r="Q25" s="49"/>
      <c r="R25" s="49"/>
      <c r="S25" s="49"/>
      <c r="T25" s="49"/>
      <c r="U25" s="49"/>
      <c r="V25" s="49"/>
      <c r="W25" s="49"/>
      <c r="X25" s="49"/>
      <c r="Y25" s="49"/>
      <c r="Z25" s="49"/>
    </row>
    <row r="26">
      <c r="A26" s="49" t="str">
        <f>IFERROR(__xludf.DUMMYFUNCTION("""COMPUTED_VALUE"""),"Beta Sword")</f>
        <v>Beta Sword</v>
      </c>
      <c r="B26" s="49"/>
      <c r="C26" s="49"/>
      <c r="D26" s="49" t="str">
        <f>IFERROR(__xludf.DUMMYFUNCTION("""COMPUTED_VALUE"""),"Hand")</f>
        <v>Hand</v>
      </c>
      <c r="E26" s="49">
        <f>IFERROR(__xludf.DUMMYFUNCTION("""COMPUTED_VALUE"""),3000.0)</f>
        <v>3000</v>
      </c>
      <c r="F26" s="49" t="str">
        <f>IFERROR(__xludf.DUMMYFUNCTION("""COMPUTED_VALUE"""),"DMG: +125000, Dark DMG: +25000 ++Allows you to use another party members companion on your turn as a second action.")</f>
        <v>DMG: +125000, Dark DMG: +25000 ++Allows you to use another party members companion on your turn as a second action.</v>
      </c>
      <c r="G26" s="49">
        <f>IFERROR(__xludf.DUMMYFUNCTION("""COMPUTED_VALUE"""),4.485E8)</f>
        <v>448500000</v>
      </c>
      <c r="H26" s="49"/>
      <c r="I26" s="49"/>
      <c r="J26" s="49"/>
      <c r="K26" s="49"/>
      <c r="L26" s="49"/>
      <c r="M26" s="49"/>
      <c r="N26" s="49"/>
      <c r="O26" s="49"/>
      <c r="P26" s="49"/>
      <c r="Q26" s="49"/>
      <c r="R26" s="49"/>
      <c r="S26" s="49"/>
      <c r="T26" s="49"/>
      <c r="U26" s="49"/>
      <c r="V26" s="49"/>
      <c r="W26" s="49"/>
      <c r="X26" s="49"/>
      <c r="Y26" s="49"/>
      <c r="Z26" s="49"/>
    </row>
    <row r="27">
      <c r="A27" s="49" t="str">
        <f>IFERROR(__xludf.DUMMYFUNCTION("""COMPUTED_VALUE"""),"Black Crystal Necklace of Luck")</f>
        <v>Black Crystal Necklace of Luck</v>
      </c>
      <c r="B27" s="49"/>
      <c r="C27" s="49"/>
      <c r="D27" s="49" t="str">
        <f>IFERROR(__xludf.DUMMYFUNCTION("""COMPUTED_VALUE"""),"Neck")</f>
        <v>Neck</v>
      </c>
      <c r="E27" s="49">
        <f>IFERROR(__xludf.DUMMYFUNCTION("""COMPUTED_VALUE"""),1.0)</f>
        <v>1</v>
      </c>
      <c r="F27" s="49" t="str">
        <f>IFERROR(__xludf.DUMMYFUNCTION("""COMPUTED_VALUE""")," ++Plus 2 is added to whatever number you roll on a d20 ++can only wear one, +-Cannot be forged or duplicated.")</f>
        <v> ++Plus 2 is added to whatever number you roll on a d20 ++can only wear one, +-Cannot be forged or duplicated.</v>
      </c>
      <c r="G27" s="49">
        <f>IFERROR(__xludf.DUMMYFUNCTION("""COMPUTED_VALUE"""),0.0)</f>
        <v>0</v>
      </c>
      <c r="H27" s="49"/>
      <c r="I27" s="49"/>
      <c r="J27" s="49"/>
      <c r="K27" s="49"/>
      <c r="L27" s="49"/>
      <c r="M27" s="49"/>
      <c r="N27" s="49"/>
      <c r="O27" s="49"/>
      <c r="P27" s="49"/>
      <c r="Q27" s="49"/>
      <c r="R27" s="49"/>
      <c r="S27" s="49"/>
      <c r="T27" s="49"/>
      <c r="U27" s="49"/>
      <c r="V27" s="49"/>
      <c r="W27" s="49"/>
      <c r="X27" s="49"/>
      <c r="Y27" s="49"/>
      <c r="Z27" s="49"/>
    </row>
    <row r="28">
      <c r="A28" s="49" t="str">
        <f>IFERROR(__xludf.DUMMYFUNCTION("""COMPUTED_VALUE"""),"Black Serpent Dragon Pendant")</f>
        <v>Black Serpent Dragon Pendant</v>
      </c>
      <c r="B28" s="49"/>
      <c r="C28" s="49"/>
      <c r="D28" s="49" t="str">
        <f>IFERROR(__xludf.DUMMYFUNCTION("""COMPUTED_VALUE"""),"Neck")</f>
        <v>Neck</v>
      </c>
      <c r="E28" s="49">
        <f>IFERROR(__xludf.DUMMYFUNCTION("""COMPUTED_VALUE"""),1.0)</f>
        <v>1</v>
      </c>
      <c r="F28" s="49" t="str">
        <f>IFERROR(__xludf.DUMMYFUNCTION("""COMPUTED_VALUE""")," ++Immunity to dark and water damage. ++X2 additional dark and water damage for the wearer.")</f>
        <v> ++Immunity to dark and water damage. ++X2 additional dark and water damage for the wearer.</v>
      </c>
      <c r="G28" s="49">
        <f>IFERROR(__xludf.DUMMYFUNCTION("""COMPUTED_VALUE"""),0.0)</f>
        <v>0</v>
      </c>
      <c r="H28" s="49"/>
      <c r="I28" s="49"/>
      <c r="J28" s="49"/>
      <c r="K28" s="49"/>
      <c r="L28" s="49"/>
      <c r="M28" s="49"/>
      <c r="N28" s="49"/>
      <c r="O28" s="49"/>
      <c r="P28" s="49"/>
      <c r="Q28" s="49"/>
      <c r="R28" s="49"/>
      <c r="S28" s="49"/>
      <c r="T28" s="49"/>
      <c r="U28" s="49"/>
      <c r="V28" s="49"/>
      <c r="W28" s="49"/>
      <c r="X28" s="49"/>
      <c r="Y28" s="49"/>
      <c r="Z28" s="49"/>
    </row>
    <row r="29">
      <c r="A29" s="49" t="str">
        <f>IFERROR(__xludf.DUMMYFUNCTION("""COMPUTED_VALUE"""),"Blade of Burning Energy")</f>
        <v>Blade of Burning Energy</v>
      </c>
      <c r="B29" s="49"/>
      <c r="C29" s="49" t="str">
        <f>IFERROR(__xludf.DUMMYFUNCTION("""COMPUTED_VALUE"""),"Sword")</f>
        <v>Sword</v>
      </c>
      <c r="D29" s="49" t="str">
        <f>IFERROR(__xludf.DUMMYFUNCTION("""COMPUTED_VALUE"""),"Hand")</f>
        <v>Hand</v>
      </c>
      <c r="E29" s="49">
        <f>IFERROR(__xludf.DUMMYFUNCTION("""COMPUTED_VALUE"""),400.0)</f>
        <v>400</v>
      </c>
      <c r="F29" s="49" t="str">
        <f>IFERROR(__xludf.DUMMYFUNCTION("""COMPUTED_VALUE"""),"DMG: +10000, Fire DMG: +10000 ++Burn 5000")</f>
        <v>DMG: +10000, Fire DMG: +10000 ++Burn 5000</v>
      </c>
      <c r="G29" s="49">
        <f>IFERROR(__xludf.DUMMYFUNCTION("""COMPUTED_VALUE"""),7800000.0)</f>
        <v>7800000</v>
      </c>
      <c r="H29" s="49"/>
      <c r="I29" s="49"/>
      <c r="J29" s="49"/>
      <c r="K29" s="49"/>
      <c r="L29" s="49"/>
      <c r="M29" s="49"/>
      <c r="N29" s="49"/>
      <c r="O29" s="49"/>
      <c r="P29" s="49"/>
      <c r="Q29" s="49"/>
      <c r="R29" s="49"/>
      <c r="S29" s="49"/>
      <c r="T29" s="49"/>
      <c r="U29" s="49"/>
      <c r="V29" s="49"/>
      <c r="W29" s="49"/>
      <c r="X29" s="49"/>
      <c r="Y29" s="49"/>
      <c r="Z29" s="49"/>
    </row>
    <row r="30">
      <c r="A30" s="49" t="str">
        <f>IFERROR(__xludf.DUMMYFUNCTION("""COMPUTED_VALUE"""),"Blood Katana")</f>
        <v>Blood Katana</v>
      </c>
      <c r="B30" s="49"/>
      <c r="C30" s="49" t="str">
        <f>IFERROR(__xludf.DUMMYFUNCTION("""COMPUTED_VALUE"""),"Sword")</f>
        <v>Sword</v>
      </c>
      <c r="D30" s="49" t="str">
        <f>IFERROR(__xludf.DUMMYFUNCTION("""COMPUTED_VALUE"""),"Hand")</f>
        <v>Hand</v>
      </c>
      <c r="E30" s="49">
        <f>IFERROR(__xludf.DUMMYFUNCTION("""COMPUTED_VALUE"""),400.0)</f>
        <v>400</v>
      </c>
      <c r="F30" s="49" t="str">
        <f>IFERROR(__xludf.DUMMYFUNCTION("""COMPUTED_VALUE"""),"DMG: +10000, Blood DMG: +10000 ++X2 blood damage for spells and weapons. +-Cannot be duplicated.")</f>
        <v>DMG: +10000, Blood DMG: +10000 ++X2 blood damage for spells and weapons. +-Cannot be duplicated.</v>
      </c>
      <c r="G30" s="49">
        <f>IFERROR(__xludf.DUMMYFUNCTION("""COMPUTED_VALUE"""),7800000.0)</f>
        <v>7800000</v>
      </c>
      <c r="H30" s="49"/>
      <c r="I30" s="49"/>
      <c r="J30" s="49"/>
      <c r="K30" s="49"/>
      <c r="L30" s="49"/>
      <c r="M30" s="49"/>
      <c r="N30" s="49"/>
      <c r="O30" s="49"/>
      <c r="P30" s="49"/>
      <c r="Q30" s="49"/>
      <c r="R30" s="49"/>
      <c r="S30" s="49"/>
      <c r="T30" s="49"/>
      <c r="U30" s="49"/>
      <c r="V30" s="49"/>
      <c r="W30" s="49"/>
      <c r="X30" s="49"/>
      <c r="Y30" s="49"/>
      <c r="Z30" s="49"/>
    </row>
    <row r="31">
      <c r="A31" s="49" t="str">
        <f>IFERROR(__xludf.DUMMYFUNCTION("""COMPUTED_VALUE"""),"Blue Steel Sword")</f>
        <v>Blue Steel Sword</v>
      </c>
      <c r="B31" s="49"/>
      <c r="C31" s="49" t="str">
        <f>IFERROR(__xludf.DUMMYFUNCTION("""COMPUTED_VALUE"""),"Sword")</f>
        <v>Sword</v>
      </c>
      <c r="D31" s="49" t="str">
        <f>IFERROR(__xludf.DUMMYFUNCTION("""COMPUTED_VALUE"""),"Hand")</f>
        <v>Hand</v>
      </c>
      <c r="E31" s="49">
        <f>IFERROR(__xludf.DUMMYFUNCTION("""COMPUTED_VALUE"""),40.0)</f>
        <v>40</v>
      </c>
      <c r="F31" s="49" t="str">
        <f>IFERROR(__xludf.DUMMYFUNCTION("""COMPUTED_VALUE"""),"DMG: +1000, Water DMG: +1000")</f>
        <v>DMG: +1000, Water DMG: +1000</v>
      </c>
      <c r="G31" s="49">
        <f>IFERROR(__xludf.DUMMYFUNCTION("""COMPUTED_VALUE"""),60000.0)</f>
        <v>60000</v>
      </c>
      <c r="H31" s="49"/>
      <c r="I31" s="49"/>
      <c r="J31" s="49"/>
      <c r="K31" s="49"/>
      <c r="L31" s="49"/>
      <c r="M31" s="49"/>
      <c r="N31" s="49"/>
      <c r="O31" s="49"/>
      <c r="P31" s="49"/>
      <c r="Q31" s="49"/>
      <c r="R31" s="49"/>
      <c r="S31" s="49"/>
      <c r="T31" s="49"/>
      <c r="U31" s="49"/>
      <c r="V31" s="49"/>
      <c r="W31" s="49"/>
      <c r="X31" s="49"/>
      <c r="Y31" s="49"/>
      <c r="Z31" s="49"/>
    </row>
    <row r="32">
      <c r="A32" s="49" t="str">
        <f>IFERROR(__xludf.DUMMYFUNCTION("""COMPUTED_VALUE"""),"Blunderbuss (Exclusive)")</f>
        <v>Blunderbuss (Exclusive)</v>
      </c>
      <c r="B32" s="49"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49" t="str">
        <f>IFERROR(__xludf.DUMMYFUNCTION("""COMPUTED_VALUE"""),"Firearm")</f>
        <v>Firearm</v>
      </c>
      <c r="D32" s="49" t="str">
        <f>IFERROR(__xludf.DUMMYFUNCTION("""COMPUTED_VALUE"""),"Hand")</f>
        <v>Hand</v>
      </c>
      <c r="E32" s="49">
        <f>IFERROR(__xludf.DUMMYFUNCTION("""COMPUTED_VALUE"""),200.0)</f>
        <v>200</v>
      </c>
      <c r="F32" s="49"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49">
        <f>IFERROR(__xludf.DUMMYFUNCTION("""COMPUTED_VALUE"""),1.99E8)</f>
        <v>199000000</v>
      </c>
      <c r="H32" s="49"/>
      <c r="I32" s="49"/>
      <c r="J32" s="49"/>
      <c r="K32" s="49"/>
      <c r="L32" s="49"/>
      <c r="M32" s="49"/>
      <c r="N32" s="49"/>
      <c r="O32" s="49"/>
      <c r="P32" s="49"/>
      <c r="Q32" s="49"/>
      <c r="R32" s="49"/>
      <c r="S32" s="49"/>
      <c r="T32" s="49"/>
      <c r="U32" s="49"/>
      <c r="V32" s="49"/>
      <c r="W32" s="49"/>
      <c r="X32" s="49"/>
      <c r="Y32" s="49"/>
      <c r="Z32" s="49"/>
    </row>
    <row r="33">
      <c r="A33" s="49" t="str">
        <f>IFERROR(__xludf.DUMMYFUNCTION("""COMPUTED_VALUE"""),"Bone Sword ")</f>
        <v>Bone Sword </v>
      </c>
      <c r="B33" s="49"/>
      <c r="C33" s="49" t="str">
        <f>IFERROR(__xludf.DUMMYFUNCTION("""COMPUTED_VALUE"""),"Sword")</f>
        <v>Sword</v>
      </c>
      <c r="D33" s="49" t="str">
        <f>IFERROR(__xludf.DUMMYFUNCTION("""COMPUTED_VALUE"""),"Hand")</f>
        <v>Hand</v>
      </c>
      <c r="E33" s="49">
        <f>IFERROR(__xludf.DUMMYFUNCTION("""COMPUTED_VALUE"""),300.0)</f>
        <v>300</v>
      </c>
      <c r="F33" s="49" t="str">
        <f>IFERROR(__xludf.DUMMYFUNCTION("""COMPUTED_VALUE"""),"DMG: +5000, Earth DMG: +5000, Dark DMG: +5000 ++X2 Earth damage. ")</f>
        <v>DMG: +5000, Earth DMG: +5000, Dark DMG: +5000 ++X2 Earth damage. </v>
      </c>
      <c r="G33" s="49">
        <f>IFERROR(__xludf.DUMMYFUNCTION("""COMPUTED_VALUE"""),4350000.0)</f>
        <v>4350000</v>
      </c>
      <c r="H33" s="49"/>
      <c r="I33" s="49"/>
      <c r="J33" s="49"/>
      <c r="K33" s="49"/>
      <c r="L33" s="49"/>
      <c r="M33" s="49"/>
      <c r="N33" s="49"/>
      <c r="O33" s="49"/>
      <c r="P33" s="49"/>
      <c r="Q33" s="49"/>
      <c r="R33" s="49"/>
      <c r="S33" s="49"/>
      <c r="T33" s="49"/>
      <c r="U33" s="49"/>
      <c r="V33" s="49"/>
      <c r="W33" s="49"/>
      <c r="X33" s="49"/>
      <c r="Y33" s="49"/>
      <c r="Z33" s="49"/>
    </row>
    <row r="34">
      <c r="A34" s="49" t="str">
        <f>IFERROR(__xludf.DUMMYFUNCTION("""COMPUTED_VALUE"""),"Boots of Waking Waters")</f>
        <v>Boots of Waking Waters</v>
      </c>
      <c r="B34" s="49"/>
      <c r="C34" s="49"/>
      <c r="D34" s="49" t="str">
        <f>IFERROR(__xludf.DUMMYFUNCTION("""COMPUTED_VALUE"""),"Feet")</f>
        <v>Feet</v>
      </c>
      <c r="E34" s="49">
        <f>IFERROR(__xludf.DUMMYFUNCTION("""COMPUTED_VALUE"""),200.0)</f>
        <v>200</v>
      </c>
      <c r="F34" s="49" t="str">
        <f>IFERROR(__xludf.DUMMYFUNCTION("""COMPUTED_VALUE"""),"DEF: +5000, Water DEF: +5000 ++X4 additional water damage for self.")</f>
        <v>DEF: +5000, Water DEF: +5000 ++X4 additional water damage for self.</v>
      </c>
      <c r="G34" s="49">
        <f>IFERROR(__xludf.DUMMYFUNCTION("""COMPUTED_VALUE"""),1900000.0)</f>
        <v>1900000</v>
      </c>
      <c r="H34" s="49"/>
      <c r="I34" s="49"/>
      <c r="J34" s="49"/>
      <c r="K34" s="49"/>
      <c r="L34" s="49"/>
      <c r="M34" s="49"/>
      <c r="N34" s="49"/>
      <c r="O34" s="49"/>
      <c r="P34" s="49"/>
      <c r="Q34" s="49"/>
      <c r="R34" s="49"/>
      <c r="S34" s="49"/>
      <c r="T34" s="49"/>
      <c r="U34" s="49"/>
      <c r="V34" s="49"/>
      <c r="W34" s="49"/>
      <c r="X34" s="49"/>
      <c r="Y34" s="49"/>
      <c r="Z34" s="49"/>
    </row>
    <row r="35">
      <c r="A35" s="49" t="str">
        <f>IFERROR(__xludf.DUMMYFUNCTION("""COMPUTED_VALUE"""),"Bow of Chaotic Darkness")</f>
        <v>Bow of Chaotic Darkness</v>
      </c>
      <c r="B35" s="49"/>
      <c r="C35" s="49" t="str">
        <f>IFERROR(__xludf.DUMMYFUNCTION("""COMPUTED_VALUE"""),"Bow")</f>
        <v>Bow</v>
      </c>
      <c r="D35" s="49" t="str">
        <f>IFERROR(__xludf.DUMMYFUNCTION("""COMPUTED_VALUE"""),"Hand")</f>
        <v>Hand</v>
      </c>
      <c r="E35" s="49">
        <f>IFERROR(__xludf.DUMMYFUNCTION("""COMPUTED_VALUE"""),4400.0)</f>
        <v>4400</v>
      </c>
      <c r="F35" s="49" t="str">
        <f>IFERROR(__xludf.DUMMYFUNCTION("""COMPUTED_VALUE"""),"DMG: +140000, Dark DMG: +40000, Chaos DMG: +40000 ++You may use up to 4 arrows with this bow.")</f>
        <v>DMG: +140000, Dark DMG: +40000, Chaos DMG: +40000 ++You may use up to 4 arrows with this bow.</v>
      </c>
      <c r="G35" s="49">
        <f>IFERROR(__xludf.DUMMYFUNCTION("""COMPUTED_VALUE"""),9.658E8)</f>
        <v>965800000</v>
      </c>
      <c r="H35" s="49"/>
      <c r="I35" s="49"/>
      <c r="J35" s="49"/>
      <c r="K35" s="49"/>
      <c r="L35" s="49"/>
      <c r="M35" s="49"/>
      <c r="N35" s="49"/>
      <c r="O35" s="49"/>
      <c r="P35" s="49"/>
      <c r="Q35" s="49"/>
      <c r="R35" s="49"/>
      <c r="S35" s="49"/>
      <c r="T35" s="49"/>
      <c r="U35" s="49"/>
      <c r="V35" s="49"/>
      <c r="W35" s="49"/>
      <c r="X35" s="49"/>
      <c r="Y35" s="49"/>
      <c r="Z35" s="49"/>
    </row>
    <row r="36">
      <c r="A36" s="49" t="str">
        <f>IFERROR(__xludf.DUMMYFUNCTION("""COMPUTED_VALUE"""),"Bow of Luck")</f>
        <v>Bow of Luck</v>
      </c>
      <c r="B36" s="49"/>
      <c r="C36" s="49" t="str">
        <f>IFERROR(__xludf.DUMMYFUNCTION("""COMPUTED_VALUE"""),"Bow")</f>
        <v>Bow</v>
      </c>
      <c r="D36" s="49" t="str">
        <f>IFERROR(__xludf.DUMMYFUNCTION("""COMPUTED_VALUE"""),"Hand")</f>
        <v>Hand</v>
      </c>
      <c r="E36" s="49">
        <f>IFERROR(__xludf.DUMMYFUNCTION("""COMPUTED_VALUE"""),3000.0)</f>
        <v>3000</v>
      </c>
      <c r="F36" s="49"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49">
        <f>IFERROR(__xludf.DUMMYFUNCTION("""COMPUTED_VALUE"""),4.485E8)</f>
        <v>448500000</v>
      </c>
      <c r="H36" s="49"/>
      <c r="I36" s="49"/>
      <c r="J36" s="49"/>
      <c r="K36" s="49"/>
      <c r="L36" s="49"/>
      <c r="M36" s="49"/>
      <c r="N36" s="49"/>
      <c r="O36" s="49"/>
      <c r="P36" s="49"/>
      <c r="Q36" s="49"/>
      <c r="R36" s="49"/>
      <c r="S36" s="49"/>
      <c r="T36" s="49"/>
      <c r="U36" s="49"/>
      <c r="V36" s="49"/>
      <c r="W36" s="49"/>
      <c r="X36" s="49"/>
      <c r="Y36" s="49"/>
      <c r="Z36" s="49"/>
    </row>
    <row r="37">
      <c r="A37" s="49" t="str">
        <f>IFERROR(__xludf.DUMMYFUNCTION("""COMPUTED_VALUE"""),"Bow of The Sacred Druids")</f>
        <v>Bow of The Sacred Druids</v>
      </c>
      <c r="B37" s="49"/>
      <c r="C37" s="49" t="str">
        <f>IFERROR(__xludf.DUMMYFUNCTION("""COMPUTED_VALUE"""),"Bow")</f>
        <v>Bow</v>
      </c>
      <c r="D37" s="49" t="str">
        <f>IFERROR(__xludf.DUMMYFUNCTION("""COMPUTED_VALUE"""),"Hand")</f>
        <v>Hand</v>
      </c>
      <c r="E37" s="49">
        <f>IFERROR(__xludf.DUMMYFUNCTION("""COMPUTED_VALUE"""),200.0)</f>
        <v>200</v>
      </c>
      <c r="F37" s="49" t="str">
        <f>IFERROR(__xludf.DUMMYFUNCTION("""COMPUTED_VALUE"""),"DMG: +5000, Nature DMG: +5000 ++Druids Call - X4 additional damage for ranged weapons.")</f>
        <v>DMG: +5000, Nature DMG: +5000 ++Druids Call - X4 additional damage for ranged weapons.</v>
      </c>
      <c r="G37" s="49">
        <f>IFERROR(__xludf.DUMMYFUNCTION("""COMPUTED_VALUE"""),1900000.0)</f>
        <v>1900000</v>
      </c>
      <c r="H37" s="49"/>
      <c r="I37" s="49"/>
      <c r="J37" s="49"/>
      <c r="K37" s="49"/>
      <c r="L37" s="49"/>
      <c r="M37" s="49"/>
      <c r="N37" s="49"/>
      <c r="O37" s="49"/>
      <c r="P37" s="49"/>
      <c r="Q37" s="49"/>
      <c r="R37" s="49"/>
      <c r="S37" s="49"/>
      <c r="T37" s="49"/>
      <c r="U37" s="49"/>
      <c r="V37" s="49"/>
      <c r="W37" s="49"/>
      <c r="X37" s="49"/>
      <c r="Y37" s="49"/>
      <c r="Z37" s="49"/>
    </row>
    <row r="38">
      <c r="A38" s="49" t="str">
        <f>IFERROR(__xludf.DUMMYFUNCTION("""COMPUTED_VALUE"""),"Bo Staff Of Zhenmay")</f>
        <v>Bo Staff Of Zhenmay</v>
      </c>
      <c r="B38" s="49"/>
      <c r="C38" s="49" t="str">
        <f>IFERROR(__xludf.DUMMYFUNCTION("""COMPUTED_VALUE"""),"Club")</f>
        <v>Club</v>
      </c>
      <c r="D38" s="49" t="str">
        <f>IFERROR(__xludf.DUMMYFUNCTION("""COMPUTED_VALUE"""),"Hand")</f>
        <v>Hand</v>
      </c>
      <c r="E38" s="49">
        <f>IFERROR(__xludf.DUMMYFUNCTION("""COMPUTED_VALUE"""),3000.0)</f>
        <v>3000</v>
      </c>
      <c r="F38" s="49" t="str">
        <f>IFERROR(__xludf.DUMMYFUNCTION("""COMPUTED_VALUE"""),"DMG: +100000, Zen DMG: +50000 ++Blindness 2. ")</f>
        <v>DMG: +100000, Zen DMG: +50000 ++Blindness 2. </v>
      </c>
      <c r="G38" s="49">
        <f>IFERROR(__xludf.DUMMYFUNCTION("""COMPUTED_VALUE"""),4.485E8)</f>
        <v>448500000</v>
      </c>
      <c r="H38" s="49"/>
      <c r="I38" s="49"/>
      <c r="J38" s="49"/>
      <c r="K38" s="49"/>
      <c r="L38" s="49"/>
      <c r="M38" s="49"/>
      <c r="N38" s="49"/>
      <c r="O38" s="49"/>
      <c r="P38" s="49"/>
      <c r="Q38" s="49"/>
      <c r="R38" s="49"/>
      <c r="S38" s="49"/>
      <c r="T38" s="49"/>
      <c r="U38" s="49"/>
      <c r="V38" s="49"/>
      <c r="W38" s="49"/>
      <c r="X38" s="49"/>
      <c r="Y38" s="49"/>
      <c r="Z38" s="49"/>
    </row>
    <row r="39">
      <c r="A39" s="49" t="str">
        <f>IFERROR(__xludf.DUMMYFUNCTION("""COMPUTED_VALUE"""),"Breezy Clothes")</f>
        <v>Breezy Clothes</v>
      </c>
      <c r="B39" s="49"/>
      <c r="C39" s="49"/>
      <c r="D39" s="49" t="str">
        <f>IFERROR(__xludf.DUMMYFUNCTION("""COMPUTED_VALUE"""),"Torso")</f>
        <v>Torso</v>
      </c>
      <c r="E39" s="49">
        <f>IFERROR(__xludf.DUMMYFUNCTION("""COMPUTED_VALUE"""),1.0)</f>
        <v>1</v>
      </c>
      <c r="F39" s="49" t="str">
        <f>IFERROR(__xludf.DUMMYFUNCTION("""COMPUTED_VALUE""")," ++While equipped, Take half damage from fire damage, But decrease water damage you deal by half. ")</f>
        <v> ++While equipped, Take half damage from fire damage, But decrease water damage you deal by half. </v>
      </c>
      <c r="G39" s="49">
        <f>IFERROR(__xludf.DUMMYFUNCTION("""COMPUTED_VALUE"""),0.0)</f>
        <v>0</v>
      </c>
      <c r="H39" s="49"/>
      <c r="I39" s="49"/>
      <c r="J39" s="49"/>
      <c r="K39" s="49"/>
      <c r="L39" s="49"/>
      <c r="M39" s="49"/>
      <c r="N39" s="49"/>
      <c r="O39" s="49"/>
      <c r="P39" s="49"/>
      <c r="Q39" s="49"/>
      <c r="R39" s="49"/>
      <c r="S39" s="49"/>
      <c r="T39" s="49"/>
      <c r="U39" s="49"/>
      <c r="V39" s="49"/>
      <c r="W39" s="49"/>
      <c r="X39" s="49"/>
      <c r="Y39" s="49"/>
      <c r="Z39" s="49"/>
    </row>
    <row r="40">
      <c r="A40" s="49" t="str">
        <f>IFERROR(__xludf.DUMMYFUNCTION("""COMPUTED_VALUE"""),"Bright Flame Sword")</f>
        <v>Bright Flame Sword</v>
      </c>
      <c r="B40" s="49"/>
      <c r="C40" s="49" t="str">
        <f>IFERROR(__xludf.DUMMYFUNCTION("""COMPUTED_VALUE"""),"Sword")</f>
        <v>Sword</v>
      </c>
      <c r="D40" s="49" t="str">
        <f>IFERROR(__xludf.DUMMYFUNCTION("""COMPUTED_VALUE"""),"Hand")</f>
        <v>Hand</v>
      </c>
      <c r="E40" s="49">
        <f>IFERROR(__xludf.DUMMYFUNCTION("""COMPUTED_VALUE"""),300.0)</f>
        <v>300</v>
      </c>
      <c r="F40" s="49" t="str">
        <f>IFERROR(__xludf.DUMMYFUNCTION("""COMPUTED_VALUE"""),"DMG: +10000, Fire DMG: +5000")</f>
        <v>DMG: +10000, Fire DMG: +5000</v>
      </c>
      <c r="G40" s="49">
        <f>IFERROR(__xludf.DUMMYFUNCTION("""COMPUTED_VALUE"""),4350000.0)</f>
        <v>4350000</v>
      </c>
      <c r="H40" s="49"/>
      <c r="I40" s="49"/>
      <c r="J40" s="49"/>
      <c r="K40" s="49"/>
      <c r="L40" s="49"/>
      <c r="M40" s="49"/>
      <c r="N40" s="49"/>
      <c r="O40" s="49"/>
      <c r="P40" s="49"/>
      <c r="Q40" s="49"/>
      <c r="R40" s="49"/>
      <c r="S40" s="49"/>
      <c r="T40" s="49"/>
      <c r="U40" s="49"/>
      <c r="V40" s="49"/>
      <c r="W40" s="49"/>
      <c r="X40" s="49"/>
      <c r="Y40" s="49"/>
      <c r="Z40" s="49"/>
    </row>
    <row r="41">
      <c r="A41" s="49" t="str">
        <f>IFERROR(__xludf.DUMMYFUNCTION("""COMPUTED_VALUE"""),"Broken Sword")</f>
        <v>Broken Sword</v>
      </c>
      <c r="B41" s="49"/>
      <c r="C41" s="49" t="str">
        <f>IFERROR(__xludf.DUMMYFUNCTION("""COMPUTED_VALUE"""),"Knife")</f>
        <v>Knife</v>
      </c>
      <c r="D41" s="49" t="str">
        <f>IFERROR(__xludf.DUMMYFUNCTION("""COMPUTED_VALUE"""),"Hand")</f>
        <v>Hand</v>
      </c>
      <c r="E41" s="49">
        <f>IFERROR(__xludf.DUMMYFUNCTION("""COMPUTED_VALUE"""),1.0)</f>
        <v>1</v>
      </c>
      <c r="F41" s="49" t="str">
        <f>IFERROR(__xludf.DUMMYFUNCTION("""COMPUTED_VALUE"""),"DMG: +1 ++ -1 evasion")</f>
        <v>DMG: +1 ++ -1 evasion</v>
      </c>
      <c r="G41" s="49">
        <f>IFERROR(__xludf.DUMMYFUNCTION("""COMPUTED_VALUE"""),0.0)</f>
        <v>0</v>
      </c>
      <c r="H41" s="49"/>
      <c r="I41" s="49"/>
      <c r="J41" s="49"/>
      <c r="K41" s="49"/>
      <c r="L41" s="49"/>
      <c r="M41" s="49"/>
      <c r="N41" s="49"/>
      <c r="O41" s="49"/>
      <c r="P41" s="49"/>
      <c r="Q41" s="49"/>
      <c r="R41" s="49"/>
      <c r="S41" s="49"/>
      <c r="T41" s="49"/>
      <c r="U41" s="49"/>
      <c r="V41" s="49"/>
      <c r="W41" s="49"/>
      <c r="X41" s="49"/>
      <c r="Y41" s="49"/>
      <c r="Z41" s="49"/>
    </row>
    <row r="42">
      <c r="A42" s="49" t="str">
        <f>IFERROR(__xludf.DUMMYFUNCTION("""COMPUTED_VALUE"""),"Burning Broadsword")</f>
        <v>Burning Broadsword</v>
      </c>
      <c r="B42" s="49"/>
      <c r="C42" s="49" t="str">
        <f>IFERROR(__xludf.DUMMYFUNCTION("""COMPUTED_VALUE"""),"Sword")</f>
        <v>Sword</v>
      </c>
      <c r="D42" s="49" t="str">
        <f>IFERROR(__xludf.DUMMYFUNCTION("""COMPUTED_VALUE"""),"Hand")</f>
        <v>Hand</v>
      </c>
      <c r="E42" s="49">
        <f>IFERROR(__xludf.DUMMYFUNCTION("""COMPUTED_VALUE"""),200.0)</f>
        <v>200</v>
      </c>
      <c r="F42" s="49" t="str">
        <f>IFERROR(__xludf.DUMMYFUNCTION("""COMPUTED_VALUE"""),"DMG: +5000, Fire DMG: +5000 ++10,000 fire damage per round for 3 rounds.")</f>
        <v>DMG: +5000, Fire DMG: +5000 ++10,000 fire damage per round for 3 rounds.</v>
      </c>
      <c r="G42" s="49">
        <f>IFERROR(__xludf.DUMMYFUNCTION("""COMPUTED_VALUE"""),1900000.0)</f>
        <v>1900000</v>
      </c>
      <c r="H42" s="49"/>
      <c r="I42" s="49"/>
      <c r="J42" s="49"/>
      <c r="K42" s="49"/>
      <c r="L42" s="49"/>
      <c r="M42" s="49"/>
      <c r="N42" s="49"/>
      <c r="O42" s="49"/>
      <c r="P42" s="49"/>
      <c r="Q42" s="49"/>
      <c r="R42" s="49"/>
      <c r="S42" s="49"/>
      <c r="T42" s="49"/>
      <c r="U42" s="49"/>
      <c r="V42" s="49"/>
      <c r="W42" s="49"/>
      <c r="X42" s="49"/>
      <c r="Y42" s="49"/>
      <c r="Z42" s="49"/>
    </row>
    <row r="43">
      <c r="A43" s="49" t="str">
        <f>IFERROR(__xludf.DUMMYFUNCTION("""COMPUTED_VALUE"""),"Candy Corn Necklace")</f>
        <v>Candy Corn Necklace</v>
      </c>
      <c r="B43" s="49" t="str">
        <f>IFERROR(__xludf.DUMMYFUNCTION("""COMPUTED_VALUE"""),"Halloween Exclusive")</f>
        <v>Halloween Exclusive</v>
      </c>
      <c r="C43" s="49"/>
      <c r="D43" s="49" t="str">
        <f>IFERROR(__xludf.DUMMYFUNCTION("""COMPUTED_VALUE"""),"Neck")</f>
        <v>Neck</v>
      </c>
      <c r="E43" s="49">
        <f>IFERROR(__xludf.DUMMYFUNCTION("""COMPUTED_VALUE"""),1.0)</f>
        <v>1</v>
      </c>
      <c r="F43" s="49" t="str">
        <f>IFERROR(__xludf.DUMMYFUNCTION("""COMPUTED_VALUE""")," ++Gives Immunity to Dark and Chaos Damage, ++ +2 Intimidation.")</f>
        <v> ++Gives Immunity to Dark and Chaos Damage, ++ +2 Intimidation.</v>
      </c>
      <c r="G43" s="49">
        <f>IFERROR(__xludf.DUMMYFUNCTION("""COMPUTED_VALUE"""),0.0)</f>
        <v>0</v>
      </c>
      <c r="H43" s="49"/>
      <c r="I43" s="49"/>
      <c r="J43" s="49"/>
      <c r="K43" s="49"/>
      <c r="L43" s="49"/>
      <c r="M43" s="49"/>
      <c r="N43" s="49"/>
      <c r="O43" s="49"/>
      <c r="P43" s="49"/>
      <c r="Q43" s="49"/>
      <c r="R43" s="49"/>
      <c r="S43" s="49"/>
      <c r="T43" s="49"/>
      <c r="U43" s="49"/>
      <c r="V43" s="49"/>
      <c r="W43" s="49"/>
      <c r="X43" s="49"/>
      <c r="Y43" s="49"/>
      <c r="Z43" s="49"/>
    </row>
    <row r="44">
      <c r="A44" s="49" t="str">
        <f>IFERROR(__xludf.DUMMYFUNCTION("""COMPUTED_VALUE"""),"Candy Corn Rifle")</f>
        <v>Candy Corn Rifle</v>
      </c>
      <c r="B44" s="49" t="str">
        <f>IFERROR(__xludf.DUMMYFUNCTION("""COMPUTED_VALUE"""),"Halloween Exclusive")</f>
        <v>Halloween Exclusive</v>
      </c>
      <c r="C44" s="49" t="str">
        <f>IFERROR(__xludf.DUMMYFUNCTION("""COMPUTED_VALUE"""),"Firearm")</f>
        <v>Firearm</v>
      </c>
      <c r="D44" s="49" t="str">
        <f>IFERROR(__xludf.DUMMYFUNCTION("""COMPUTED_VALUE"""),"Hand")</f>
        <v>Hand</v>
      </c>
      <c r="E44" s="49">
        <f>IFERROR(__xludf.DUMMYFUNCTION("""COMPUTED_VALUE"""),200.0)</f>
        <v>200</v>
      </c>
      <c r="F44" s="49"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49">
        <f>IFERROR(__xludf.DUMMYFUNCTION("""COMPUTED_VALUE"""),1.272E8)</f>
        <v>127200000</v>
      </c>
      <c r="H44" s="49"/>
      <c r="I44" s="49"/>
      <c r="J44" s="49"/>
      <c r="K44" s="49"/>
      <c r="L44" s="49"/>
      <c r="M44" s="49"/>
      <c r="N44" s="49"/>
      <c r="O44" s="49"/>
      <c r="P44" s="49"/>
      <c r="Q44" s="49"/>
      <c r="R44" s="49"/>
      <c r="S44" s="49"/>
      <c r="T44" s="49"/>
      <c r="U44" s="49"/>
      <c r="V44" s="49"/>
      <c r="W44" s="49"/>
      <c r="X44" s="49"/>
      <c r="Y44" s="49"/>
      <c r="Z44" s="49"/>
    </row>
    <row r="45">
      <c r="A45" s="49" t="str">
        <f>IFERROR(__xludf.DUMMYFUNCTION("""COMPUTED_VALUE"""),"Cap of Metal Harmony's")</f>
        <v>Cap of Metal Harmony's</v>
      </c>
      <c r="B45" s="49"/>
      <c r="C45" s="49"/>
      <c r="D45" s="49" t="str">
        <f>IFERROR(__xludf.DUMMYFUNCTION("""COMPUTED_VALUE"""),"Head")</f>
        <v>Head</v>
      </c>
      <c r="E45" s="49">
        <f>IFERROR(__xludf.DUMMYFUNCTION("""COMPUTED_VALUE"""),200.0)</f>
        <v>200</v>
      </c>
      <c r="F45" s="49" t="str">
        <f>IFERROR(__xludf.DUMMYFUNCTION("""COMPUTED_VALUE"""),"DEF: +10000 ++Half the SP cost for Fire, Water, Storm, Earth, and Nature spells.")</f>
        <v>DEF: +10000 ++Half the SP cost for Fire, Water, Storm, Earth, and Nature spells.</v>
      </c>
      <c r="G45" s="49">
        <f>IFERROR(__xludf.DUMMYFUNCTION("""COMPUTED_VALUE"""),1900000.0)</f>
        <v>1900000</v>
      </c>
      <c r="H45" s="49"/>
      <c r="I45" s="49"/>
      <c r="J45" s="49"/>
      <c r="K45" s="49"/>
      <c r="L45" s="49"/>
      <c r="M45" s="49"/>
      <c r="N45" s="49"/>
      <c r="O45" s="49"/>
      <c r="P45" s="49"/>
      <c r="Q45" s="49"/>
      <c r="R45" s="49"/>
      <c r="S45" s="49"/>
      <c r="T45" s="49"/>
      <c r="U45" s="49"/>
      <c r="V45" s="49"/>
      <c r="W45" s="49"/>
      <c r="X45" s="49"/>
      <c r="Y45" s="49"/>
      <c r="Z45" s="49"/>
    </row>
    <row r="46">
      <c r="A46" s="49" t="str">
        <f>IFERROR(__xludf.DUMMYFUNCTION("""COMPUTED_VALUE"""),"Celestian Royal Shield")</f>
        <v>Celestian Royal Shield</v>
      </c>
      <c r="B46" s="49" t="str">
        <f>IFERROR(__xludf.DUMMYFUNCTION("""COMPUTED_VALUE"""),"Quest Item")</f>
        <v>Quest Item</v>
      </c>
      <c r="C46" s="49" t="str">
        <f>IFERROR(__xludf.DUMMYFUNCTION("""COMPUTED_VALUE"""),"Towershield")</f>
        <v>Towershield</v>
      </c>
      <c r="D46" s="49" t="str">
        <f>IFERROR(__xludf.DUMMYFUNCTION("""COMPUTED_VALUE"""),"Hand")</f>
        <v>Hand</v>
      </c>
      <c r="E46" s="49">
        <f>IFERROR(__xludf.DUMMYFUNCTION("""COMPUTED_VALUE"""),200.0)</f>
        <v>200</v>
      </c>
      <c r="F46" s="49"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49">
        <f>IFERROR(__xludf.DUMMYFUNCTION("""COMPUTED_VALUE"""),3.196E9)</f>
        <v>3196000000</v>
      </c>
      <c r="H46" s="49"/>
      <c r="I46" s="49"/>
      <c r="J46" s="49"/>
      <c r="K46" s="49"/>
      <c r="L46" s="49"/>
      <c r="M46" s="49"/>
      <c r="N46" s="49"/>
      <c r="O46" s="49"/>
      <c r="P46" s="49"/>
      <c r="Q46" s="49"/>
      <c r="R46" s="49"/>
      <c r="S46" s="49"/>
      <c r="T46" s="49"/>
      <c r="U46" s="49"/>
      <c r="V46" s="49"/>
      <c r="W46" s="49"/>
      <c r="X46" s="49"/>
      <c r="Y46" s="49"/>
      <c r="Z46" s="49"/>
    </row>
    <row r="47">
      <c r="A47" s="49" t="str">
        <f>IFERROR(__xludf.DUMMYFUNCTION("""COMPUTED_VALUE"""),"Celestian Royal Sword")</f>
        <v>Celestian Royal Sword</v>
      </c>
      <c r="B47" s="49" t="str">
        <f>IFERROR(__xludf.DUMMYFUNCTION("""COMPUTED_VALUE"""),"Quest Item")</f>
        <v>Quest Item</v>
      </c>
      <c r="C47" s="49" t="str">
        <f>IFERROR(__xludf.DUMMYFUNCTION("""COMPUTED_VALUE"""),"Sword")</f>
        <v>Sword</v>
      </c>
      <c r="D47" s="49" t="str">
        <f>IFERROR(__xludf.DUMMYFUNCTION("""COMPUTED_VALUE"""),"Hand")</f>
        <v>Hand</v>
      </c>
      <c r="E47" s="49">
        <f>IFERROR(__xludf.DUMMYFUNCTION("""COMPUTED_VALUE"""),200.0)</f>
        <v>200</v>
      </c>
      <c r="F47" s="49"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49">
        <f>IFERROR(__xludf.DUMMYFUNCTION("""COMPUTED_VALUE"""),3.196E9)</f>
        <v>3196000000</v>
      </c>
      <c r="H47" s="49"/>
      <c r="I47" s="49"/>
      <c r="J47" s="49"/>
      <c r="K47" s="49"/>
      <c r="L47" s="49"/>
      <c r="M47" s="49"/>
      <c r="N47" s="49"/>
      <c r="O47" s="49"/>
      <c r="P47" s="49"/>
      <c r="Q47" s="49"/>
      <c r="R47" s="49"/>
      <c r="S47" s="49"/>
      <c r="T47" s="49"/>
      <c r="U47" s="49"/>
      <c r="V47" s="49"/>
      <c r="W47" s="49"/>
      <c r="X47" s="49"/>
      <c r="Y47" s="49"/>
      <c r="Z47" s="49"/>
    </row>
    <row r="48">
      <c r="A48" s="49" t="str">
        <f>IFERROR(__xludf.DUMMYFUNCTION("""COMPUTED_VALUE"""),"Chain Link Armor")</f>
        <v>Chain Link Armor</v>
      </c>
      <c r="B48" s="49"/>
      <c r="C48" s="49"/>
      <c r="D48" s="49" t="str">
        <f>IFERROR(__xludf.DUMMYFUNCTION("""COMPUTED_VALUE"""),"Torso")</f>
        <v>Torso</v>
      </c>
      <c r="E48" s="49">
        <f>IFERROR(__xludf.DUMMYFUNCTION("""COMPUTED_VALUE"""),40.0)</f>
        <v>40</v>
      </c>
      <c r="F48" s="49"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49">
        <f>IFERROR(__xludf.DUMMYFUNCTION("""COMPUTED_VALUE"""),60000.0)</f>
        <v>60000</v>
      </c>
      <c r="H48" s="49"/>
      <c r="I48" s="49"/>
      <c r="J48" s="49"/>
      <c r="K48" s="49"/>
      <c r="L48" s="49"/>
      <c r="M48" s="49"/>
      <c r="N48" s="49"/>
      <c r="O48" s="49"/>
      <c r="P48" s="49"/>
      <c r="Q48" s="49"/>
      <c r="R48" s="49"/>
      <c r="S48" s="49"/>
      <c r="T48" s="49"/>
      <c r="U48" s="49"/>
      <c r="V48" s="49"/>
      <c r="W48" s="49"/>
      <c r="X48" s="49"/>
      <c r="Y48" s="49"/>
      <c r="Z48" s="49"/>
    </row>
    <row r="49">
      <c r="A49" s="49" t="str">
        <f>IFERROR(__xludf.DUMMYFUNCTION("""COMPUTED_VALUE"""),"Chaos Sword")</f>
        <v>Chaos Sword</v>
      </c>
      <c r="B49" s="49"/>
      <c r="C49" s="49" t="str">
        <f>IFERROR(__xludf.DUMMYFUNCTION("""COMPUTED_VALUE"""),"Sword")</f>
        <v>Sword</v>
      </c>
      <c r="D49" s="49" t="str">
        <f>IFERROR(__xludf.DUMMYFUNCTION("""COMPUTED_VALUE"""),"Hand")</f>
        <v>Hand</v>
      </c>
      <c r="E49" s="49">
        <f>IFERROR(__xludf.DUMMYFUNCTION("""COMPUTED_VALUE"""),90.0)</f>
        <v>90</v>
      </c>
      <c r="F49" s="49" t="str">
        <f>IFERROR(__xludf.DUMMYFUNCTION("""COMPUTED_VALUE"""),"DMG: +2500, Chaos DMG: +2000 ++ +2 Intimidation. +-Cannot be duplicated. +-Can only equip one.")</f>
        <v>DMG: +2500, Chaos DMG: +2000 ++ +2 Intimidation. +-Cannot be duplicated. +-Can only equip one.</v>
      </c>
      <c r="G49" s="49">
        <f>IFERROR(__xludf.DUMMYFUNCTION("""COMPUTED_VALUE"""),360000.0)</f>
        <v>360000</v>
      </c>
      <c r="H49" s="49"/>
      <c r="I49" s="49"/>
      <c r="J49" s="49"/>
      <c r="K49" s="49"/>
      <c r="L49" s="49"/>
      <c r="M49" s="49"/>
      <c r="N49" s="49"/>
      <c r="O49" s="49"/>
      <c r="P49" s="49"/>
      <c r="Q49" s="49"/>
      <c r="R49" s="49"/>
      <c r="S49" s="49"/>
      <c r="T49" s="49"/>
      <c r="U49" s="49"/>
      <c r="V49" s="49"/>
      <c r="W49" s="49"/>
      <c r="X49" s="49"/>
      <c r="Y49" s="49"/>
      <c r="Z49" s="49"/>
    </row>
    <row r="50">
      <c r="A50" s="49" t="str">
        <f>IFERROR(__xludf.DUMMYFUNCTION("""COMPUTED_VALUE"""),"Chaotic Amulet")</f>
        <v>Chaotic Amulet</v>
      </c>
      <c r="B50" s="49"/>
      <c r="C50" s="49"/>
      <c r="D50" s="49" t="str">
        <f>IFERROR(__xludf.DUMMYFUNCTION("""COMPUTED_VALUE"""),"Neck")</f>
        <v>Neck</v>
      </c>
      <c r="E50" s="49">
        <f>IFERROR(__xludf.DUMMYFUNCTION("""COMPUTED_VALUE"""),1.0)</f>
        <v>1</v>
      </c>
      <c r="F50" s="49" t="str">
        <f>IFERROR(__xludf.DUMMYFUNCTION("""COMPUTED_VALUE""")," ++Immunity to all Chaos Dmg, ++Deal 2x more Chaos Dmg.")</f>
        <v> ++Immunity to all Chaos Dmg, ++Deal 2x more Chaos Dmg.</v>
      </c>
      <c r="G50" s="49">
        <f>IFERROR(__xludf.DUMMYFUNCTION("""COMPUTED_VALUE"""),0.0)</f>
        <v>0</v>
      </c>
      <c r="H50" s="49"/>
      <c r="I50" s="49"/>
      <c r="J50" s="49"/>
      <c r="K50" s="49"/>
      <c r="L50" s="49"/>
      <c r="M50" s="49"/>
      <c r="N50" s="49"/>
      <c r="O50" s="49"/>
      <c r="P50" s="49"/>
      <c r="Q50" s="49"/>
      <c r="R50" s="49"/>
      <c r="S50" s="49"/>
      <c r="T50" s="49"/>
      <c r="U50" s="49"/>
      <c r="V50" s="49"/>
      <c r="W50" s="49"/>
      <c r="X50" s="49"/>
      <c r="Y50" s="49"/>
      <c r="Z50" s="49"/>
    </row>
    <row r="51">
      <c r="A51" s="49" t="str">
        <f>IFERROR(__xludf.DUMMYFUNCTION("""COMPUTED_VALUE"""),"Ring")</f>
        <v>Ring</v>
      </c>
      <c r="B51" s="49"/>
      <c r="C51" s="49"/>
      <c r="D51" s="49" t="str">
        <f>IFERROR(__xludf.DUMMYFUNCTION("""COMPUTED_VALUE"""),"Ring")</f>
        <v>Ring</v>
      </c>
      <c r="E51" s="49">
        <f>IFERROR(__xludf.DUMMYFUNCTION("""COMPUTED_VALUE"""),1.0)</f>
        <v>1</v>
      </c>
      <c r="F51" s="49" t="str">
        <f>IFERROR(__xludf.DUMMYFUNCTION("""COMPUTED_VALUE""")," ++X2 additional Chaos and Blood damage")</f>
        <v> ++X2 additional Chaos and Blood damage</v>
      </c>
      <c r="G51" s="49">
        <f>IFERROR(__xludf.DUMMYFUNCTION("""COMPUTED_VALUE"""),0.0)</f>
        <v>0</v>
      </c>
      <c r="H51" s="49"/>
      <c r="I51" s="49"/>
      <c r="J51" s="49"/>
      <c r="K51" s="49"/>
      <c r="L51" s="49"/>
      <c r="M51" s="49"/>
      <c r="N51" s="49"/>
      <c r="O51" s="49"/>
      <c r="P51" s="49"/>
      <c r="Q51" s="49"/>
      <c r="R51" s="49"/>
      <c r="S51" s="49"/>
      <c r="T51" s="49"/>
      <c r="U51" s="49"/>
      <c r="V51" s="49"/>
      <c r="W51" s="49"/>
      <c r="X51" s="49"/>
      <c r="Y51" s="49"/>
      <c r="Z51" s="49"/>
    </row>
    <row r="52">
      <c r="A52" s="49" t="str">
        <f>IFERROR(__xludf.DUMMYFUNCTION("""COMPUTED_VALUE"""),"Chaotic Shadow Life Orb")</f>
        <v>Chaotic Shadow Life Orb</v>
      </c>
      <c r="B52" s="49"/>
      <c r="C52" s="49"/>
      <c r="D52" s="49" t="str">
        <f>IFERROR(__xludf.DUMMYFUNCTION("""COMPUTED_VALUE"""),"Hand")</f>
        <v>Hand</v>
      </c>
      <c r="E52" s="49">
        <f>IFERROR(__xludf.DUMMYFUNCTION("""COMPUTED_VALUE"""),1.0)</f>
        <v>1</v>
      </c>
      <c r="F52" s="49"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49">
        <f>IFERROR(__xludf.DUMMYFUNCTION("""COMPUTED_VALUE"""),0.0)</f>
        <v>0</v>
      </c>
      <c r="H52" s="49"/>
      <c r="I52" s="49"/>
      <c r="J52" s="49"/>
      <c r="K52" s="49"/>
      <c r="L52" s="49"/>
      <c r="M52" s="49"/>
      <c r="N52" s="49"/>
      <c r="O52" s="49"/>
      <c r="P52" s="49"/>
      <c r="Q52" s="49"/>
      <c r="R52" s="49"/>
      <c r="S52" s="49"/>
      <c r="T52" s="49"/>
      <c r="U52" s="49"/>
      <c r="V52" s="49"/>
      <c r="W52" s="49"/>
      <c r="X52" s="49"/>
      <c r="Y52" s="49"/>
      <c r="Z52" s="49"/>
    </row>
    <row r="53">
      <c r="A53" s="49" t="str">
        <f>IFERROR(__xludf.DUMMYFUNCTION("""COMPUTED_VALUE"""),"Charm of Awaken")</f>
        <v>Charm of Awaken</v>
      </c>
      <c r="B53" s="49"/>
      <c r="C53" s="49"/>
      <c r="D53" s="49" t="str">
        <f>IFERROR(__xludf.DUMMYFUNCTION("""COMPUTED_VALUE"""),"Neck")</f>
        <v>Neck</v>
      </c>
      <c r="E53" s="49">
        <f>IFERROR(__xludf.DUMMYFUNCTION("""COMPUTED_VALUE"""),1.0)</f>
        <v>1</v>
      </c>
      <c r="F53" s="49" t="str">
        <f>IFERROR(__xludf.DUMMYFUNCTION("""COMPUTED_VALUE""")," ++Immunity to sleep.")</f>
        <v> ++Immunity to sleep.</v>
      </c>
      <c r="G53" s="49">
        <f>IFERROR(__xludf.DUMMYFUNCTION("""COMPUTED_VALUE"""),0.0)</f>
        <v>0</v>
      </c>
      <c r="H53" s="49"/>
      <c r="I53" s="49"/>
      <c r="J53" s="49"/>
      <c r="K53" s="49"/>
      <c r="L53" s="49"/>
      <c r="M53" s="49"/>
      <c r="N53" s="49"/>
      <c r="O53" s="49"/>
      <c r="P53" s="49"/>
      <c r="Q53" s="49"/>
      <c r="R53" s="49"/>
      <c r="S53" s="49"/>
      <c r="T53" s="49"/>
      <c r="U53" s="49"/>
      <c r="V53" s="49"/>
      <c r="W53" s="49"/>
      <c r="X53" s="49"/>
      <c r="Y53" s="49"/>
      <c r="Z53" s="49"/>
    </row>
    <row r="54">
      <c r="A54" s="49" t="str">
        <f>IFERROR(__xludf.DUMMYFUNCTION("""COMPUTED_VALUE"""),"Chestplate of Foul Night")</f>
        <v>Chestplate of Foul Night</v>
      </c>
      <c r="B54" s="49"/>
      <c r="C54" s="49"/>
      <c r="D54" s="49" t="str">
        <f>IFERROR(__xludf.DUMMYFUNCTION("""COMPUTED_VALUE"""),"Torso")</f>
        <v>Torso</v>
      </c>
      <c r="E54" s="49">
        <f>IFERROR(__xludf.DUMMYFUNCTION("""COMPUTED_VALUE"""),200.0)</f>
        <v>200</v>
      </c>
      <c r="F54" s="49" t="str">
        <f>IFERROR(__xludf.DUMMYFUNCTION("""COMPUTED_VALUE"""),"DEF: +5000, Nature DEF: +5000 (Foul Night Set) ++X2 Nature and Poison damage, ++Poison Immunity.")</f>
        <v>DEF: +5000, Nature DEF: +5000 (Foul Night Set) ++X2 Nature and Poison damage, ++Poison Immunity.</v>
      </c>
      <c r="G54" s="49">
        <f>IFERROR(__xludf.DUMMYFUNCTION("""COMPUTED_VALUE"""),1900000.0)</f>
        <v>1900000</v>
      </c>
      <c r="H54" s="49"/>
      <c r="I54" s="49"/>
      <c r="J54" s="49"/>
      <c r="K54" s="49"/>
      <c r="L54" s="49"/>
      <c r="M54" s="49"/>
      <c r="N54" s="49"/>
      <c r="O54" s="49"/>
      <c r="P54" s="49"/>
      <c r="Q54" s="49"/>
      <c r="R54" s="49"/>
      <c r="S54" s="49"/>
      <c r="T54" s="49"/>
      <c r="U54" s="49"/>
      <c r="V54" s="49"/>
      <c r="W54" s="49"/>
      <c r="X54" s="49"/>
      <c r="Y54" s="49"/>
      <c r="Z54" s="49"/>
    </row>
    <row r="55">
      <c r="A55" s="49" t="str">
        <f>IFERROR(__xludf.DUMMYFUNCTION("""COMPUTED_VALUE"""),"Chestplate of Waking Waters")</f>
        <v>Chestplate of Waking Waters</v>
      </c>
      <c r="B55" s="49"/>
      <c r="C55" s="49"/>
      <c r="D55" s="49" t="str">
        <f>IFERROR(__xludf.DUMMYFUNCTION("""COMPUTED_VALUE"""),"Torso")</f>
        <v>Torso</v>
      </c>
      <c r="E55" s="49">
        <f>IFERROR(__xludf.DUMMYFUNCTION("""COMPUTED_VALUE"""),400.0)</f>
        <v>400</v>
      </c>
      <c r="F55" s="49" t="str">
        <f>IFERROR(__xludf.DUMMYFUNCTION("""COMPUTED_VALUE"""),"DEF: +10000, Water DEF: +10000 ++X4 additional water damage for self.")</f>
        <v>DEF: +10000, Water DEF: +10000 ++X4 additional water damage for self.</v>
      </c>
      <c r="G55" s="49">
        <f>IFERROR(__xludf.DUMMYFUNCTION("""COMPUTED_VALUE"""),7800000.0)</f>
        <v>7800000</v>
      </c>
      <c r="H55" s="49"/>
      <c r="I55" s="49"/>
      <c r="J55" s="49"/>
      <c r="K55" s="49"/>
      <c r="L55" s="49"/>
      <c r="M55" s="49"/>
      <c r="N55" s="49"/>
      <c r="O55" s="49"/>
      <c r="P55" s="49"/>
      <c r="Q55" s="49"/>
      <c r="R55" s="49"/>
      <c r="S55" s="49"/>
      <c r="T55" s="49"/>
      <c r="U55" s="49"/>
      <c r="V55" s="49"/>
      <c r="W55" s="49"/>
      <c r="X55" s="49"/>
      <c r="Y55" s="49"/>
      <c r="Z55" s="49"/>
    </row>
    <row r="56">
      <c r="A56" s="49" t="str">
        <f>IFERROR(__xludf.DUMMYFUNCTION("""COMPUTED_VALUE"""),"Cloth Cap")</f>
        <v>Cloth Cap</v>
      </c>
      <c r="B56" s="49"/>
      <c r="C56" s="49"/>
      <c r="D56" s="49" t="str">
        <f>IFERROR(__xludf.DUMMYFUNCTION("""COMPUTED_VALUE"""),"Head")</f>
        <v>Head</v>
      </c>
      <c r="E56" s="49">
        <f>IFERROR(__xludf.DUMMYFUNCTION("""COMPUTED_VALUE"""),50.0)</f>
        <v>50</v>
      </c>
      <c r="F56" s="49" t="str">
        <f>IFERROR(__xludf.DUMMYFUNCTION("""COMPUTED_VALUE"""),"DEF: +2500")</f>
        <v>DEF: +2500</v>
      </c>
      <c r="G56" s="49">
        <f>IFERROR(__xludf.DUMMYFUNCTION("""COMPUTED_VALUE"""),100000.0)</f>
        <v>100000</v>
      </c>
      <c r="H56" s="49"/>
      <c r="I56" s="49"/>
      <c r="J56" s="49"/>
      <c r="K56" s="49"/>
      <c r="L56" s="49"/>
      <c r="M56" s="49"/>
      <c r="N56" s="49"/>
      <c r="O56" s="49"/>
      <c r="P56" s="49"/>
      <c r="Q56" s="49"/>
      <c r="R56" s="49"/>
      <c r="S56" s="49"/>
      <c r="T56" s="49"/>
      <c r="U56" s="49"/>
      <c r="V56" s="49"/>
      <c r="W56" s="49"/>
      <c r="X56" s="49"/>
      <c r="Y56" s="49"/>
      <c r="Z56" s="49"/>
    </row>
    <row r="57">
      <c r="A57" s="49" t="str">
        <f>IFERROR(__xludf.DUMMYFUNCTION("""COMPUTED_VALUE"""),"Colossus Bone Sword")</f>
        <v>Colossus Bone Sword</v>
      </c>
      <c r="B57" s="49" t="str">
        <f>IFERROR(__xludf.DUMMYFUNCTION("""COMPUTED_VALUE"""),"Mob Exclusive")</f>
        <v>Mob Exclusive</v>
      </c>
      <c r="C57" s="49" t="str">
        <f>IFERROR(__xludf.DUMMYFUNCTION("""COMPUTED_VALUE"""),"Sword")</f>
        <v>Sword</v>
      </c>
      <c r="D57" s="49" t="str">
        <f>IFERROR(__xludf.DUMMYFUNCTION("""COMPUTED_VALUE"""),"Hand")</f>
        <v>Hand</v>
      </c>
      <c r="E57" s="49">
        <f>IFERROR(__xludf.DUMMYFUNCTION("""COMPUTED_VALUE"""),1500.0)</f>
        <v>1500</v>
      </c>
      <c r="F57" s="49" t="str">
        <f>IFERROR(__xludf.DUMMYFUNCTION("""COMPUTED_VALUE"""),"DMG: +25000, Earth DMG: +25000, Dark DMG: +25000 ++X2 additional damage for the user.")</f>
        <v>DMG: +25000, Earth DMG: +25000, Dark DMG: +25000 ++X2 additional damage for the user.</v>
      </c>
      <c r="G57" s="49">
        <f>IFERROR(__xludf.DUMMYFUNCTION("""COMPUTED_VALUE"""),1.1175E8)</f>
        <v>111750000</v>
      </c>
      <c r="H57" s="49"/>
      <c r="I57" s="49"/>
      <c r="J57" s="49"/>
      <c r="K57" s="49"/>
      <c r="L57" s="49"/>
      <c r="M57" s="49"/>
      <c r="N57" s="49"/>
      <c r="O57" s="49"/>
      <c r="P57" s="49"/>
      <c r="Q57" s="49"/>
      <c r="R57" s="49"/>
      <c r="S57" s="49"/>
      <c r="T57" s="49"/>
      <c r="U57" s="49"/>
      <c r="V57" s="49"/>
      <c r="W57" s="49"/>
      <c r="X57" s="49"/>
      <c r="Y57" s="49"/>
      <c r="Z57" s="49"/>
    </row>
    <row r="58">
      <c r="A58" s="49" t="str">
        <f>IFERROR(__xludf.DUMMYFUNCTION("""COMPUTED_VALUE"""),"Coral Hat")</f>
        <v>Coral Hat</v>
      </c>
      <c r="B58" s="49"/>
      <c r="C58" s="49"/>
      <c r="D58" s="49" t="str">
        <f>IFERROR(__xludf.DUMMYFUNCTION("""COMPUTED_VALUE"""),"Head")</f>
        <v>Head</v>
      </c>
      <c r="E58" s="49">
        <f>IFERROR(__xludf.DUMMYFUNCTION("""COMPUTED_VALUE"""),20.0)</f>
        <v>20</v>
      </c>
      <c r="F58" s="49" t="str">
        <f>IFERROR(__xludf.DUMMYFUNCTION("""COMPUTED_VALUE"""),"DEF: +800 ++Immunity to water damage.")</f>
        <v>DEF: +800 ++Immunity to water damage.</v>
      </c>
      <c r="G58" s="49">
        <f>IFERROR(__xludf.DUMMYFUNCTION("""COMPUTED_VALUE"""),1000.0)</f>
        <v>1000</v>
      </c>
      <c r="H58" s="49"/>
      <c r="I58" s="49"/>
      <c r="J58" s="49"/>
      <c r="K58" s="49"/>
      <c r="L58" s="49"/>
      <c r="M58" s="49"/>
      <c r="N58" s="49"/>
      <c r="O58" s="49"/>
      <c r="P58" s="49"/>
      <c r="Q58" s="49"/>
      <c r="R58" s="49"/>
      <c r="S58" s="49"/>
      <c r="T58" s="49"/>
      <c r="U58" s="49"/>
      <c r="V58" s="49"/>
      <c r="W58" s="49"/>
      <c r="X58" s="49"/>
      <c r="Y58" s="49"/>
      <c r="Z58" s="49"/>
    </row>
    <row r="59">
      <c r="A59" s="49" t="str">
        <f>IFERROR(__xludf.DUMMYFUNCTION("""COMPUTED_VALUE"""),"Critical Vanish Armor")</f>
        <v>Critical Vanish Armor</v>
      </c>
      <c r="B59" s="49"/>
      <c r="C59" s="49"/>
      <c r="D59" s="49" t="str">
        <f>IFERROR(__xludf.DUMMYFUNCTION("""COMPUTED_VALUE"""),"Torso")</f>
        <v>Torso</v>
      </c>
      <c r="E59" s="49">
        <f>IFERROR(__xludf.DUMMYFUNCTION("""COMPUTED_VALUE"""),10.0)</f>
        <v>10</v>
      </c>
      <c r="F59" s="49" t="str">
        <f>IFERROR(__xludf.DUMMYFUNCTION("""COMPUTED_VALUE"""),"DEF: +500 ++will negate a critical hit to the wearer")</f>
        <v>DEF: +500 ++will negate a critical hit to the wearer</v>
      </c>
      <c r="G59" s="49">
        <f>IFERROR(__xludf.DUMMYFUNCTION("""COMPUTED_VALUE"""),1000.0)</f>
        <v>1000</v>
      </c>
      <c r="H59" s="49"/>
      <c r="I59" s="49"/>
      <c r="J59" s="49"/>
      <c r="K59" s="49"/>
      <c r="L59" s="49"/>
      <c r="M59" s="49"/>
      <c r="N59" s="49"/>
      <c r="O59" s="49"/>
      <c r="P59" s="49"/>
      <c r="Q59" s="49"/>
      <c r="R59" s="49"/>
      <c r="S59" s="49"/>
      <c r="T59" s="49"/>
      <c r="U59" s="49"/>
      <c r="V59" s="49"/>
      <c r="W59" s="49"/>
      <c r="X59" s="49"/>
      <c r="Y59" s="49"/>
      <c r="Z59" s="49"/>
    </row>
    <row r="60">
      <c r="A60" s="49" t="str">
        <f>IFERROR(__xludf.DUMMYFUNCTION("""COMPUTED_VALUE"""),"Crow Staff")</f>
        <v>Crow Staff</v>
      </c>
      <c r="B60" s="49"/>
      <c r="C60" s="49" t="str">
        <f>IFERROR(__xludf.DUMMYFUNCTION("""COMPUTED_VALUE"""),"Staff")</f>
        <v>Staff</v>
      </c>
      <c r="D60" s="49" t="str">
        <f>IFERROR(__xludf.DUMMYFUNCTION("""COMPUTED_VALUE"""),"Hand")</f>
        <v>Hand</v>
      </c>
      <c r="E60" s="49">
        <f>IFERROR(__xludf.DUMMYFUNCTION("""COMPUTED_VALUE"""),400.0)</f>
        <v>400</v>
      </c>
      <c r="F60" s="49" t="str">
        <f>IFERROR(__xludf.DUMMYFUNCTION("""COMPUTED_VALUE"""),"DMG: +10000, Dark DMG: +10000 ++Swarm: inflicts 10000 bleed to all enemies. +- 300SP")</f>
        <v>DMG: +10000, Dark DMG: +10000 ++Swarm: inflicts 10000 bleed to all enemies. +- 300SP</v>
      </c>
      <c r="G60" s="49">
        <f>IFERROR(__xludf.DUMMYFUNCTION("""COMPUTED_VALUE"""),7800000.0)</f>
        <v>7800000</v>
      </c>
      <c r="H60" s="49"/>
      <c r="I60" s="49"/>
      <c r="J60" s="49"/>
      <c r="K60" s="49"/>
      <c r="L60" s="49"/>
      <c r="M60" s="49"/>
      <c r="N60" s="49"/>
      <c r="O60" s="49"/>
      <c r="P60" s="49"/>
      <c r="Q60" s="49"/>
      <c r="R60" s="49"/>
      <c r="S60" s="49"/>
      <c r="T60" s="49"/>
      <c r="U60" s="49"/>
      <c r="V60" s="49"/>
      <c r="W60" s="49"/>
      <c r="X60" s="49"/>
      <c r="Y60" s="49"/>
      <c r="Z60" s="49"/>
    </row>
    <row r="61">
      <c r="A61" s="49" t="str">
        <f>IFERROR(__xludf.DUMMYFUNCTION("""COMPUTED_VALUE"""),"Crown of Control")</f>
        <v>Crown of Control</v>
      </c>
      <c r="B61" s="49"/>
      <c r="C61" s="49"/>
      <c r="D61" s="49" t="str">
        <f>IFERROR(__xludf.DUMMYFUNCTION("""COMPUTED_VALUE"""),"Head")</f>
        <v>Head</v>
      </c>
      <c r="E61" s="49">
        <f>IFERROR(__xludf.DUMMYFUNCTION("""COMPUTED_VALUE"""),300.0)</f>
        <v>300</v>
      </c>
      <c r="F61" s="49"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49">
        <f>IFERROR(__xludf.DUMMYFUNCTION("""COMPUTED_VALUE"""),4350000.0)</f>
        <v>4350000</v>
      </c>
      <c r="H61" s="49"/>
      <c r="I61" s="49"/>
      <c r="J61" s="49"/>
      <c r="K61" s="49"/>
      <c r="L61" s="49"/>
      <c r="M61" s="49"/>
      <c r="N61" s="49"/>
      <c r="O61" s="49"/>
      <c r="P61" s="49"/>
      <c r="Q61" s="49"/>
      <c r="R61" s="49"/>
      <c r="S61" s="49"/>
      <c r="T61" s="49"/>
      <c r="U61" s="49"/>
      <c r="V61" s="49"/>
      <c r="W61" s="49"/>
      <c r="X61" s="49"/>
      <c r="Y61" s="49"/>
      <c r="Z61" s="49"/>
    </row>
    <row r="62">
      <c r="A62" s="49" t="str">
        <f>IFERROR(__xludf.DUMMYFUNCTION("""COMPUTED_VALUE"""),"Crown of Ice Spears")</f>
        <v>Crown of Ice Spears</v>
      </c>
      <c r="B62" s="49"/>
      <c r="C62" s="49"/>
      <c r="D62" s="49" t="str">
        <f>IFERROR(__xludf.DUMMYFUNCTION("""COMPUTED_VALUE"""),"Head")</f>
        <v>Head</v>
      </c>
      <c r="E62" s="49">
        <f>IFERROR(__xludf.DUMMYFUNCTION("""COMPUTED_VALUE"""),200.0)</f>
        <v>200</v>
      </c>
      <c r="F62" s="49"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49">
        <f>IFERROR(__xludf.DUMMYFUNCTION("""COMPUTED_VALUE"""),1900000.0)</f>
        <v>1900000</v>
      </c>
      <c r="H62" s="49"/>
      <c r="I62" s="49"/>
      <c r="J62" s="49"/>
      <c r="K62" s="49"/>
      <c r="L62" s="49"/>
      <c r="M62" s="49"/>
      <c r="N62" s="49"/>
      <c r="O62" s="49"/>
      <c r="P62" s="49"/>
      <c r="Q62" s="49"/>
      <c r="R62" s="49"/>
      <c r="S62" s="49"/>
      <c r="T62" s="49"/>
      <c r="U62" s="49"/>
      <c r="V62" s="49"/>
      <c r="W62" s="49"/>
      <c r="X62" s="49"/>
      <c r="Y62" s="49"/>
      <c r="Z62" s="49"/>
    </row>
    <row r="63">
      <c r="A63" s="49" t="str">
        <f>IFERROR(__xludf.DUMMYFUNCTION("""COMPUTED_VALUE"""),"Crown of the Forgotten")</f>
        <v>Crown of the Forgotten</v>
      </c>
      <c r="B63" s="49"/>
      <c r="C63" s="49"/>
      <c r="D63" s="49" t="str">
        <f>IFERROR(__xludf.DUMMYFUNCTION("""COMPUTED_VALUE"""),"Head")</f>
        <v>Head</v>
      </c>
      <c r="E63" s="49">
        <f>IFERROR(__xludf.DUMMYFUNCTION("""COMPUTED_VALUE"""),20.0)</f>
        <v>20</v>
      </c>
      <c r="F63" s="49"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49">
        <f>IFERROR(__xludf.DUMMYFUNCTION("""COMPUTED_VALUE"""),10000.0)</f>
        <v>10000</v>
      </c>
      <c r="H63" s="49"/>
      <c r="I63" s="49"/>
      <c r="J63" s="49"/>
      <c r="K63" s="49"/>
      <c r="L63" s="49"/>
      <c r="M63" s="49"/>
      <c r="N63" s="49"/>
      <c r="O63" s="49"/>
      <c r="P63" s="49"/>
      <c r="Q63" s="49"/>
      <c r="R63" s="49"/>
      <c r="S63" s="49"/>
      <c r="T63" s="49"/>
      <c r="U63" s="49"/>
      <c r="V63" s="49"/>
      <c r="W63" s="49"/>
      <c r="X63" s="49"/>
      <c r="Y63" s="49"/>
      <c r="Z63" s="49"/>
    </row>
    <row r="64">
      <c r="A64" s="49" t="str">
        <f>IFERROR(__xludf.DUMMYFUNCTION("""COMPUTED_VALUE"""),"Crown Of The Sea Serpent")</f>
        <v>Crown Of The Sea Serpent</v>
      </c>
      <c r="B64" s="49"/>
      <c r="C64" s="49"/>
      <c r="D64" s="49" t="str">
        <f>IFERROR(__xludf.DUMMYFUNCTION("""COMPUTED_VALUE"""),"Head")</f>
        <v>Head</v>
      </c>
      <c r="E64" s="49">
        <f>IFERROR(__xludf.DUMMYFUNCTION("""COMPUTED_VALUE"""),1.0)</f>
        <v>1</v>
      </c>
      <c r="F64" s="49" t="str">
        <f>IFERROR(__xludf.DUMMYFUNCTION("""COMPUTED_VALUE""")," ++X4 additional water damage for the user, ++Water spells cost half sp, +-Cannot be duplicated.")</f>
        <v> ++X4 additional water damage for the user, ++Water spells cost half sp, +-Cannot be duplicated.</v>
      </c>
      <c r="G64" s="49">
        <f>IFERROR(__xludf.DUMMYFUNCTION("""COMPUTED_VALUE"""),0.0)</f>
        <v>0</v>
      </c>
      <c r="H64" s="49"/>
      <c r="I64" s="49"/>
      <c r="J64" s="49"/>
      <c r="K64" s="49"/>
      <c r="L64" s="49"/>
      <c r="M64" s="49"/>
      <c r="N64" s="49"/>
      <c r="O64" s="49"/>
      <c r="P64" s="49"/>
      <c r="Q64" s="49"/>
      <c r="R64" s="49"/>
      <c r="S64" s="49"/>
      <c r="T64" s="49"/>
      <c r="U64" s="49"/>
      <c r="V64" s="49"/>
      <c r="W64" s="49"/>
      <c r="X64" s="49"/>
      <c r="Y64" s="49"/>
      <c r="Z64" s="49"/>
    </row>
    <row r="65">
      <c r="A65" s="49" t="str">
        <f>IFERROR(__xludf.DUMMYFUNCTION("""COMPUTED_VALUE"""),"Crown Of Tritonoch")</f>
        <v>Crown Of Tritonoch</v>
      </c>
      <c r="B65" s="49"/>
      <c r="C65" s="49"/>
      <c r="D65" s="49" t="str">
        <f>IFERROR(__xludf.DUMMYFUNCTION("""COMPUTED_VALUE"""),"Head")</f>
        <v>Head</v>
      </c>
      <c r="E65" s="49">
        <f>IFERROR(__xludf.DUMMYFUNCTION("""COMPUTED_VALUE"""),400.0)</f>
        <v>400</v>
      </c>
      <c r="F65" s="49" t="str">
        <f>IFERROR(__xludf.DUMMYFUNCTION("""COMPUTED_VALUE"""),"DEF: +20000 ++Waves of Entitlement - x5 additional Water damage")</f>
        <v>DEF: +20000 ++Waves of Entitlement - x5 additional Water damage</v>
      </c>
      <c r="G65" s="49">
        <f>IFERROR(__xludf.DUMMYFUNCTION("""COMPUTED_VALUE"""),7800000.0)</f>
        <v>7800000</v>
      </c>
      <c r="H65" s="49"/>
      <c r="I65" s="49"/>
      <c r="J65" s="49"/>
      <c r="K65" s="49"/>
      <c r="L65" s="49"/>
      <c r="M65" s="49"/>
      <c r="N65" s="49"/>
      <c r="O65" s="49"/>
      <c r="P65" s="49"/>
      <c r="Q65" s="49"/>
      <c r="R65" s="49"/>
      <c r="S65" s="49"/>
      <c r="T65" s="49"/>
      <c r="U65" s="49"/>
      <c r="V65" s="49"/>
      <c r="W65" s="49"/>
      <c r="X65" s="49"/>
      <c r="Y65" s="49"/>
      <c r="Z65" s="49"/>
    </row>
    <row r="66">
      <c r="A66" s="49" t="str">
        <f>IFERROR(__xludf.DUMMYFUNCTION("""COMPUTED_VALUE"""),"Cryogenic Claymore")</f>
        <v>Cryogenic Claymore</v>
      </c>
      <c r="B66" s="49" t="str">
        <f>IFERROR(__xludf.DUMMYFUNCTION("""COMPUTED_VALUE"""),"(The Frozen Blade Master Set)")</f>
        <v>(The Frozen Blade Master Set)</v>
      </c>
      <c r="C66" s="49" t="str">
        <f>IFERROR(__xludf.DUMMYFUNCTION("""COMPUTED_VALUE"""),"Sword")</f>
        <v>Sword</v>
      </c>
      <c r="D66" s="49" t="str">
        <f>IFERROR(__xludf.DUMMYFUNCTION("""COMPUTED_VALUE"""),"Hand")</f>
        <v>Hand</v>
      </c>
      <c r="E66" s="49">
        <f>IFERROR(__xludf.DUMMYFUNCTION("""COMPUTED_VALUE"""),400.0)</f>
        <v>400</v>
      </c>
      <c r="F66" s="49" t="str">
        <f>IFERROR(__xludf.DUMMYFUNCTION("""COMPUTED_VALUE"""),"DMG: +10000, Water DMG: +10000 ++10% chance to freeze all enemies.")</f>
        <v>DMG: +10000, Water DMG: +10000 ++10% chance to freeze all enemies.</v>
      </c>
      <c r="G66" s="49">
        <f>IFERROR(__xludf.DUMMYFUNCTION("""COMPUTED_VALUE"""),7800000.0)</f>
        <v>7800000</v>
      </c>
      <c r="H66" s="49"/>
      <c r="I66" s="49"/>
      <c r="J66" s="49"/>
      <c r="K66" s="49"/>
      <c r="L66" s="49"/>
      <c r="M66" s="49"/>
      <c r="N66" s="49"/>
      <c r="O66" s="49"/>
      <c r="P66" s="49"/>
      <c r="Q66" s="49"/>
      <c r="R66" s="49"/>
      <c r="S66" s="49"/>
      <c r="T66" s="49"/>
      <c r="U66" s="49"/>
      <c r="V66" s="49"/>
      <c r="W66" s="49"/>
      <c r="X66" s="49"/>
      <c r="Y66" s="49"/>
      <c r="Z66" s="49"/>
    </row>
    <row r="67">
      <c r="A67" s="49" t="str">
        <f>IFERROR(__xludf.DUMMYFUNCTION("""COMPUTED_VALUE"""),"Crystal Forged Helmet")</f>
        <v>Crystal Forged Helmet</v>
      </c>
      <c r="B67" s="49"/>
      <c r="C67" s="49"/>
      <c r="D67" s="49" t="str">
        <f>IFERROR(__xludf.DUMMYFUNCTION("""COMPUTED_VALUE"""),"Head")</f>
        <v>Head</v>
      </c>
      <c r="E67" s="49">
        <f>IFERROR(__xludf.DUMMYFUNCTION("""COMPUTED_VALUE"""),200.0)</f>
        <v>200</v>
      </c>
      <c r="F67" s="49" t="str">
        <f>IFERROR(__xludf.DUMMYFUNCTION("""COMPUTED_VALUE"""),"DEF: +10000 ++When equipped, Gem and Crystal related weapons deal an additional X2 damage for the user.")</f>
        <v>DEF: +10000 ++When equipped, Gem and Crystal related weapons deal an additional X2 damage for the user.</v>
      </c>
      <c r="G67" s="49">
        <f>IFERROR(__xludf.DUMMYFUNCTION("""COMPUTED_VALUE"""),1900000.0)</f>
        <v>1900000</v>
      </c>
      <c r="H67" s="49"/>
      <c r="I67" s="49"/>
      <c r="J67" s="49"/>
      <c r="K67" s="49"/>
      <c r="L67" s="49"/>
      <c r="M67" s="49"/>
      <c r="N67" s="49"/>
      <c r="O67" s="49"/>
      <c r="P67" s="49"/>
      <c r="Q67" s="49"/>
      <c r="R67" s="49"/>
      <c r="S67" s="49"/>
      <c r="T67" s="49"/>
      <c r="U67" s="49"/>
      <c r="V67" s="49"/>
      <c r="W67" s="49"/>
      <c r="X67" s="49"/>
      <c r="Y67" s="49"/>
      <c r="Z67" s="49"/>
    </row>
    <row r="68">
      <c r="A68" s="49" t="str">
        <f>IFERROR(__xludf.DUMMYFUNCTION("""COMPUTED_VALUE"""),"Crystal Forged Axe")</f>
        <v>Crystal Forged Axe</v>
      </c>
      <c r="B68" s="49"/>
      <c r="C68" s="49"/>
      <c r="D68" s="49" t="str">
        <f>IFERROR(__xludf.DUMMYFUNCTION("""COMPUTED_VALUE"""),"Hand")</f>
        <v>Hand</v>
      </c>
      <c r="E68" s="49">
        <f>IFERROR(__xludf.DUMMYFUNCTION("""COMPUTED_VALUE"""),400.0)</f>
        <v>400</v>
      </c>
      <c r="F68" s="49"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49">
        <f>IFERROR(__xludf.DUMMYFUNCTION("""COMPUTED_VALUE"""),7800000.0)</f>
        <v>7800000</v>
      </c>
      <c r="H68" s="49"/>
      <c r="I68" s="49"/>
      <c r="J68" s="49"/>
      <c r="K68" s="49"/>
      <c r="L68" s="49"/>
      <c r="M68" s="49"/>
      <c r="N68" s="49"/>
      <c r="O68" s="49"/>
      <c r="P68" s="49"/>
      <c r="Q68" s="49"/>
      <c r="R68" s="49"/>
      <c r="S68" s="49"/>
      <c r="T68" s="49"/>
      <c r="U68" s="49"/>
      <c r="V68" s="49"/>
      <c r="W68" s="49"/>
      <c r="X68" s="49"/>
      <c r="Y68" s="49"/>
      <c r="Z68" s="49"/>
    </row>
    <row r="69">
      <c r="A69" s="49" t="str">
        <f>IFERROR(__xludf.DUMMYFUNCTION("""COMPUTED_VALUE"""),"Crystal Forged Chestplate")</f>
        <v>Crystal Forged Chestplate</v>
      </c>
      <c r="B69" s="49"/>
      <c r="C69" s="49"/>
      <c r="D69" s="49" t="str">
        <f>IFERROR(__xludf.DUMMYFUNCTION("""COMPUTED_VALUE"""),"Torso")</f>
        <v>Torso</v>
      </c>
      <c r="E69" s="49">
        <f>IFERROR(__xludf.DUMMYFUNCTION("""COMPUTED_VALUE"""),200.0)</f>
        <v>200</v>
      </c>
      <c r="F69" s="49"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49">
        <f>IFERROR(__xludf.DUMMYFUNCTION("""COMPUTED_VALUE"""),1900000.0)</f>
        <v>1900000</v>
      </c>
      <c r="H69" s="49"/>
      <c r="I69" s="49"/>
      <c r="J69" s="49"/>
      <c r="K69" s="49"/>
      <c r="L69" s="49"/>
      <c r="M69" s="49"/>
      <c r="N69" s="49"/>
      <c r="O69" s="49"/>
      <c r="P69" s="49"/>
      <c r="Q69" s="49"/>
      <c r="R69" s="49"/>
      <c r="S69" s="49"/>
      <c r="T69" s="49"/>
      <c r="U69" s="49"/>
      <c r="V69" s="49"/>
      <c r="W69" s="49"/>
      <c r="X69" s="49"/>
      <c r="Y69" s="49"/>
      <c r="Z69" s="49"/>
    </row>
    <row r="70">
      <c r="A70" s="49" t="str">
        <f>IFERROR(__xludf.DUMMYFUNCTION("""COMPUTED_VALUE"""),"Crystal Healing Amulet")</f>
        <v>Crystal Healing Amulet</v>
      </c>
      <c r="B70" s="49"/>
      <c r="C70" s="49"/>
      <c r="D70" s="49" t="str">
        <f>IFERROR(__xludf.DUMMYFUNCTION("""COMPUTED_VALUE"""),"Neck")</f>
        <v>Neck</v>
      </c>
      <c r="E70" s="49">
        <f>IFERROR(__xludf.DUMMYFUNCTION("""COMPUTED_VALUE"""),1.0)</f>
        <v>1</v>
      </c>
      <c r="F70" s="49"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49">
        <f>IFERROR(__xludf.DUMMYFUNCTION("""COMPUTED_VALUE"""),0.0)</f>
        <v>0</v>
      </c>
      <c r="H70" s="49"/>
      <c r="I70" s="49"/>
      <c r="J70" s="49"/>
      <c r="K70" s="49"/>
      <c r="L70" s="49"/>
      <c r="M70" s="49"/>
      <c r="N70" s="49"/>
      <c r="O70" s="49"/>
      <c r="P70" s="49"/>
      <c r="Q70" s="49"/>
      <c r="R70" s="49"/>
      <c r="S70" s="49"/>
      <c r="T70" s="49"/>
      <c r="U70" s="49"/>
      <c r="V70" s="49"/>
      <c r="W70" s="49"/>
      <c r="X70" s="49"/>
      <c r="Y70" s="49"/>
      <c r="Z70" s="49"/>
    </row>
    <row r="71">
      <c r="A71" s="49" t="str">
        <f>IFERROR(__xludf.DUMMYFUNCTION("""COMPUTED_VALUE"""),"Crystal Longsword")</f>
        <v>Crystal Longsword</v>
      </c>
      <c r="B71" s="49"/>
      <c r="C71" s="49" t="str">
        <f>IFERROR(__xludf.DUMMYFUNCTION("""COMPUTED_VALUE"""),"Sword")</f>
        <v>Sword</v>
      </c>
      <c r="D71" s="49" t="str">
        <f>IFERROR(__xludf.DUMMYFUNCTION("""COMPUTED_VALUE"""),"Hand")</f>
        <v>Hand</v>
      </c>
      <c r="E71" s="49">
        <f>IFERROR(__xludf.DUMMYFUNCTION("""COMPUTED_VALUE"""),200.0)</f>
        <v>200</v>
      </c>
      <c r="F71" s="49"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49">
        <f>IFERROR(__xludf.DUMMYFUNCTION("""COMPUTED_VALUE"""),1900000.0)</f>
        <v>1900000</v>
      </c>
      <c r="H71" s="49"/>
      <c r="I71" s="49"/>
      <c r="J71" s="49"/>
      <c r="K71" s="49"/>
      <c r="L71" s="49"/>
      <c r="M71" s="49"/>
      <c r="N71" s="49"/>
      <c r="O71" s="49"/>
      <c r="P71" s="49"/>
      <c r="Q71" s="49"/>
      <c r="R71" s="49"/>
      <c r="S71" s="49"/>
      <c r="T71" s="49"/>
      <c r="U71" s="49"/>
      <c r="V71" s="49"/>
      <c r="W71" s="49"/>
      <c r="X71" s="49"/>
      <c r="Y71" s="49"/>
      <c r="Z71" s="49"/>
    </row>
    <row r="72">
      <c r="A72" s="49" t="str">
        <f>IFERROR(__xludf.DUMMYFUNCTION("""COMPUTED_VALUE"""),"Crystal Ring")</f>
        <v>Crystal Ring</v>
      </c>
      <c r="B72" s="49"/>
      <c r="C72" s="49"/>
      <c r="D72" s="49" t="str">
        <f>IFERROR(__xludf.DUMMYFUNCTION("""COMPUTED_VALUE"""),"Ring")</f>
        <v>Ring</v>
      </c>
      <c r="E72" s="49">
        <f>IFERROR(__xludf.DUMMYFUNCTION("""COMPUTED_VALUE"""),1.0)</f>
        <v>1</v>
      </c>
      <c r="F72" s="49" t="str">
        <f>IFERROR(__xludf.DUMMYFUNCTION("""COMPUTED_VALUE""")," ++When equipped, Gem and Crystal related weapons deal an additional X2 damage for the user.")</f>
        <v> ++When equipped, Gem and Crystal related weapons deal an additional X2 damage for the user.</v>
      </c>
      <c r="G72" s="49">
        <f>IFERROR(__xludf.DUMMYFUNCTION("""COMPUTED_VALUE"""),0.0)</f>
        <v>0</v>
      </c>
      <c r="H72" s="49"/>
      <c r="I72" s="49"/>
      <c r="J72" s="49"/>
      <c r="K72" s="49"/>
      <c r="L72" s="49"/>
      <c r="M72" s="49"/>
      <c r="N72" s="49"/>
      <c r="O72" s="49"/>
      <c r="P72" s="49"/>
      <c r="Q72" s="49"/>
      <c r="R72" s="49"/>
      <c r="S72" s="49"/>
      <c r="T72" s="49"/>
      <c r="U72" s="49"/>
      <c r="V72" s="49"/>
      <c r="W72" s="49"/>
      <c r="X72" s="49"/>
      <c r="Y72" s="49"/>
      <c r="Z72" s="49"/>
    </row>
    <row r="73">
      <c r="A73" s="49" t="str">
        <f>IFERROR(__xludf.DUMMYFUNCTION("""COMPUTED_VALUE"""),"Crystal Shield")</f>
        <v>Crystal Shield</v>
      </c>
      <c r="B73" s="49"/>
      <c r="C73" s="49" t="str">
        <f>IFERROR(__xludf.DUMMYFUNCTION("""COMPUTED_VALUE"""),"Buckler")</f>
        <v>Buckler</v>
      </c>
      <c r="D73" s="49" t="str">
        <f>IFERROR(__xludf.DUMMYFUNCTION("""COMPUTED_VALUE"""),"Hand")</f>
        <v>Hand</v>
      </c>
      <c r="E73" s="49">
        <f>IFERROR(__xludf.DUMMYFUNCTION("""COMPUTED_VALUE"""),200.0)</f>
        <v>200</v>
      </c>
      <c r="F73" s="49" t="str">
        <f>IFERROR(__xludf.DUMMYFUNCTION("""COMPUTED_VALUE"""),"DEF: +10000 ++Take half damage from Gem and Crystal related weapons.")</f>
        <v>DEF: +10000 ++Take half damage from Gem and Crystal related weapons.</v>
      </c>
      <c r="G73" s="49">
        <f>IFERROR(__xludf.DUMMYFUNCTION("""COMPUTED_VALUE"""),1900000.0)</f>
        <v>1900000</v>
      </c>
      <c r="H73" s="49"/>
      <c r="I73" s="49"/>
      <c r="J73" s="49"/>
      <c r="K73" s="49"/>
      <c r="L73" s="49"/>
      <c r="M73" s="49"/>
      <c r="N73" s="49"/>
      <c r="O73" s="49"/>
      <c r="P73" s="49"/>
      <c r="Q73" s="49"/>
      <c r="R73" s="49"/>
      <c r="S73" s="49"/>
      <c r="T73" s="49"/>
      <c r="U73" s="49"/>
      <c r="V73" s="49"/>
      <c r="W73" s="49"/>
      <c r="X73" s="49"/>
      <c r="Y73" s="49"/>
      <c r="Z73" s="49"/>
    </row>
    <row r="74">
      <c r="A74" s="49" t="str">
        <f>IFERROR(__xludf.DUMMYFUNCTION("""COMPUTED_VALUE"""),"Crystal Staff")</f>
        <v>Crystal Staff</v>
      </c>
      <c r="B74" s="49"/>
      <c r="C74" s="49" t="str">
        <f>IFERROR(__xludf.DUMMYFUNCTION("""COMPUTED_VALUE"""),"Staff")</f>
        <v>Staff</v>
      </c>
      <c r="D74" s="49" t="str">
        <f>IFERROR(__xludf.DUMMYFUNCTION("""COMPUTED_VALUE"""),"Hand")</f>
        <v>Hand</v>
      </c>
      <c r="E74" s="49">
        <f>IFERROR(__xludf.DUMMYFUNCTION("""COMPUTED_VALUE"""),1.0)</f>
        <v>1</v>
      </c>
      <c r="F74" s="49"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49">
        <f>IFERROR(__xludf.DUMMYFUNCTION("""COMPUTED_VALUE"""),0.0)</f>
        <v>0</v>
      </c>
      <c r="H74" s="49"/>
      <c r="I74" s="49"/>
      <c r="J74" s="49"/>
      <c r="K74" s="49"/>
      <c r="L74" s="49"/>
      <c r="M74" s="49"/>
      <c r="N74" s="49"/>
      <c r="O74" s="49"/>
      <c r="P74" s="49"/>
      <c r="Q74" s="49"/>
      <c r="R74" s="49"/>
      <c r="S74" s="49"/>
      <c r="T74" s="49"/>
      <c r="U74" s="49"/>
      <c r="V74" s="49"/>
      <c r="W74" s="49"/>
      <c r="X74" s="49"/>
      <c r="Y74" s="49"/>
      <c r="Z74" s="49"/>
    </row>
    <row r="75">
      <c r="A75" s="49" t="str">
        <f>IFERROR(__xludf.DUMMYFUNCTION("""COMPUTED_VALUE"""),"Crystal Sword")</f>
        <v>Crystal Sword</v>
      </c>
      <c r="B75" s="49"/>
      <c r="C75" s="49" t="str">
        <f>IFERROR(__xludf.DUMMYFUNCTION("""COMPUTED_VALUE"""),"Sword")</f>
        <v>Sword</v>
      </c>
      <c r="D75" s="49" t="str">
        <f>IFERROR(__xludf.DUMMYFUNCTION("""COMPUTED_VALUE"""),"Hand")</f>
        <v>Hand</v>
      </c>
      <c r="E75" s="49">
        <f>IFERROR(__xludf.DUMMYFUNCTION("""COMPUTED_VALUE"""),80.0)</f>
        <v>80</v>
      </c>
      <c r="F75" s="49"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49">
        <f>IFERROR(__xludf.DUMMYFUNCTION("""COMPUTED_VALUE"""),280000.0)</f>
        <v>280000</v>
      </c>
      <c r="H75" s="49"/>
      <c r="I75" s="49"/>
      <c r="J75" s="49"/>
      <c r="K75" s="49"/>
      <c r="L75" s="49"/>
      <c r="M75" s="49"/>
      <c r="N75" s="49"/>
      <c r="O75" s="49"/>
      <c r="P75" s="49"/>
      <c r="Q75" s="49"/>
      <c r="R75" s="49"/>
      <c r="S75" s="49"/>
      <c r="T75" s="49"/>
      <c r="U75" s="49"/>
      <c r="V75" s="49"/>
      <c r="W75" s="49"/>
      <c r="X75" s="49"/>
      <c r="Y75" s="49"/>
      <c r="Z75" s="49"/>
    </row>
    <row r="76">
      <c r="A76" s="49" t="str">
        <f>IFERROR(__xludf.DUMMYFUNCTION("""COMPUTED_VALUE"""),"Cursed Blade")</f>
        <v>Cursed Blade</v>
      </c>
      <c r="B76" s="49"/>
      <c r="C76" s="49" t="str">
        <f>IFERROR(__xludf.DUMMYFUNCTION("""COMPUTED_VALUE"""),"Sword")</f>
        <v>Sword</v>
      </c>
      <c r="D76" s="49" t="str">
        <f>IFERROR(__xludf.DUMMYFUNCTION("""COMPUTED_VALUE"""),"Hand")</f>
        <v>Hand</v>
      </c>
      <c r="E76" s="49">
        <f>IFERROR(__xludf.DUMMYFUNCTION("""COMPUTED_VALUE"""),620.0)</f>
        <v>620</v>
      </c>
      <c r="F76" s="49" t="str">
        <f>IFERROR(__xludf.DUMMYFUNCTION("""COMPUTED_VALUE"""),"DMG: +30000, Dark DMG: +1000 +- -5 evasion and mobility while equipped.")</f>
        <v>DMG: +30000, Dark DMG: +1000 +- -5 evasion and mobility while equipped.</v>
      </c>
      <c r="G76" s="49">
        <f>IFERROR(__xludf.DUMMYFUNCTION("""COMPUTED_VALUE"""),1.891E7)</f>
        <v>18910000</v>
      </c>
      <c r="H76" s="49"/>
      <c r="I76" s="49"/>
      <c r="J76" s="49"/>
      <c r="K76" s="49"/>
      <c r="L76" s="49"/>
      <c r="M76" s="49"/>
      <c r="N76" s="49"/>
      <c r="O76" s="49"/>
      <c r="P76" s="49"/>
      <c r="Q76" s="49"/>
      <c r="R76" s="49"/>
      <c r="S76" s="49"/>
      <c r="T76" s="49"/>
      <c r="U76" s="49"/>
      <c r="V76" s="49"/>
      <c r="W76" s="49"/>
      <c r="X76" s="49"/>
      <c r="Y76" s="49"/>
      <c r="Z76" s="49"/>
    </row>
    <row r="77">
      <c r="A77" s="49" t="str">
        <f>IFERROR(__xludf.DUMMYFUNCTION("""COMPUTED_VALUE"""),"Cursed Blade of The Void Realm")</f>
        <v>Cursed Blade of The Void Realm</v>
      </c>
      <c r="B77" s="49"/>
      <c r="C77" s="49" t="str">
        <f>IFERROR(__xludf.DUMMYFUNCTION("""COMPUTED_VALUE"""),"Sword")</f>
        <v>Sword</v>
      </c>
      <c r="D77" s="49" t="str">
        <f>IFERROR(__xludf.DUMMYFUNCTION("""COMPUTED_VALUE"""),"Hand")</f>
        <v>Hand</v>
      </c>
      <c r="E77" s="49">
        <f>IFERROR(__xludf.DUMMYFUNCTION("""COMPUTED_VALUE"""),1.0)</f>
        <v>1</v>
      </c>
      <c r="F77" s="49" t="str">
        <f>IFERROR(__xludf.DUMMYFUNCTION("""COMPUTED_VALUE""")," +-When equipped this item cannot be unequipped for 3 rounds, +-Depletes 1000 SP per round.")</f>
        <v> +-When equipped this item cannot be unequipped for 3 rounds, +-Depletes 1000 SP per round.</v>
      </c>
      <c r="G77" s="49">
        <f>IFERROR(__xludf.DUMMYFUNCTION("""COMPUTED_VALUE"""),0.0)</f>
        <v>0</v>
      </c>
      <c r="H77" s="49"/>
      <c r="I77" s="49"/>
      <c r="J77" s="49"/>
      <c r="K77" s="49"/>
      <c r="L77" s="49"/>
      <c r="M77" s="49"/>
      <c r="N77" s="49"/>
      <c r="O77" s="49"/>
      <c r="P77" s="49"/>
      <c r="Q77" s="49"/>
      <c r="R77" s="49"/>
      <c r="S77" s="49"/>
      <c r="T77" s="49"/>
      <c r="U77" s="49"/>
      <c r="V77" s="49"/>
      <c r="W77" s="49"/>
      <c r="X77" s="49"/>
      <c r="Y77" s="49"/>
      <c r="Z77" s="49"/>
    </row>
    <row r="78">
      <c r="A78" s="49" t="str">
        <f>IFERROR(__xludf.DUMMYFUNCTION("""COMPUTED_VALUE"""),"Dagger")</f>
        <v>Dagger</v>
      </c>
      <c r="B78" s="49" t="str">
        <f>IFERROR(__xludf.DUMMYFUNCTION("""COMPUTED_VALUE"""),"The first weapon ")</f>
        <v>The first weapon </v>
      </c>
      <c r="C78" s="49" t="str">
        <f>IFERROR(__xludf.DUMMYFUNCTION("""COMPUTED_VALUE"""),"Knife")</f>
        <v>Knife</v>
      </c>
      <c r="D78" s="49" t="str">
        <f>IFERROR(__xludf.DUMMYFUNCTION("""COMPUTED_VALUE"""),"Hand")</f>
        <v>Hand</v>
      </c>
      <c r="E78" s="49">
        <f>IFERROR(__xludf.DUMMYFUNCTION("""COMPUTED_VALUE"""),20.0)</f>
        <v>20</v>
      </c>
      <c r="F78" s="49" t="str">
        <f>IFERROR(__xludf.DUMMYFUNCTION("""COMPUTED_VALUE"""),"DMG: +1000")</f>
        <v>DMG: +1000</v>
      </c>
      <c r="G78" s="49">
        <f>IFERROR(__xludf.DUMMYFUNCTION("""COMPUTED_VALUE"""),10000.0)</f>
        <v>10000</v>
      </c>
      <c r="H78" s="49"/>
      <c r="I78" s="49"/>
      <c r="J78" s="49"/>
      <c r="K78" s="49"/>
      <c r="L78" s="49"/>
      <c r="M78" s="49"/>
      <c r="N78" s="49"/>
      <c r="O78" s="49"/>
      <c r="P78" s="49"/>
      <c r="Q78" s="49"/>
      <c r="R78" s="49"/>
      <c r="S78" s="49"/>
      <c r="T78" s="49"/>
      <c r="U78" s="49"/>
      <c r="V78" s="49"/>
      <c r="W78" s="49"/>
      <c r="X78" s="49"/>
      <c r="Y78" s="49"/>
      <c r="Z78" s="49"/>
    </row>
    <row r="79">
      <c r="A79" s="49" t="str">
        <f>IFERROR(__xludf.DUMMYFUNCTION("""COMPUTED_VALUE"""),"Dagger of Flowers")</f>
        <v>Dagger of Flowers</v>
      </c>
      <c r="B79" s="49" t="str">
        <f>IFERROR(__xludf.DUMMYFUNCTION("""COMPUTED_VALUE"""),"(Event Exclusive)")</f>
        <v>(Event Exclusive)</v>
      </c>
      <c r="C79" s="49" t="str">
        <f>IFERROR(__xludf.DUMMYFUNCTION("""COMPUTED_VALUE"""),"Knife")</f>
        <v>Knife</v>
      </c>
      <c r="D79" s="49" t="str">
        <f>IFERROR(__xludf.DUMMYFUNCTION("""COMPUTED_VALUE"""),"Hand")</f>
        <v>Hand</v>
      </c>
      <c r="E79" s="49">
        <f>IFERROR(__xludf.DUMMYFUNCTION("""COMPUTED_VALUE"""),90.0)</f>
        <v>90</v>
      </c>
      <c r="F79" s="49" t="str">
        <f>IFERROR(__xludf.DUMMYFUNCTION("""COMPUTED_VALUE"""),"DMG: +3000, Nature DMG: +1500")</f>
        <v>DMG: +3000, Nature DMG: +1500</v>
      </c>
      <c r="G79" s="49">
        <f>IFERROR(__xludf.DUMMYFUNCTION("""COMPUTED_VALUE"""),360000.0)</f>
        <v>360000</v>
      </c>
      <c r="H79" s="49"/>
      <c r="I79" s="49"/>
      <c r="J79" s="49"/>
      <c r="K79" s="49"/>
      <c r="L79" s="49"/>
      <c r="M79" s="49"/>
      <c r="N79" s="49"/>
      <c r="O79" s="49"/>
      <c r="P79" s="49"/>
      <c r="Q79" s="49"/>
      <c r="R79" s="49"/>
      <c r="S79" s="49"/>
      <c r="T79" s="49"/>
      <c r="U79" s="49"/>
      <c r="V79" s="49"/>
      <c r="W79" s="49"/>
      <c r="X79" s="49"/>
      <c r="Y79" s="49"/>
      <c r="Z79" s="49"/>
    </row>
    <row r="80">
      <c r="A80" s="49" t="str">
        <f>IFERROR(__xludf.DUMMYFUNCTION("""COMPUTED_VALUE"""),"Dagger of The Cultist")</f>
        <v>Dagger of The Cultist</v>
      </c>
      <c r="B80" s="49"/>
      <c r="C80" s="49" t="str">
        <f>IFERROR(__xludf.DUMMYFUNCTION("""COMPUTED_VALUE"""),"Knife")</f>
        <v>Knife</v>
      </c>
      <c r="D80" s="49" t="str">
        <f>IFERROR(__xludf.DUMMYFUNCTION("""COMPUTED_VALUE"""),"Hand")</f>
        <v>Hand</v>
      </c>
      <c r="E80" s="49">
        <f>IFERROR(__xludf.DUMMYFUNCTION("""COMPUTED_VALUE"""),120.0)</f>
        <v>120</v>
      </c>
      <c r="F80" s="49" t="str">
        <f>IFERROR(__xludf.DUMMYFUNCTION("""COMPUTED_VALUE"""),"DMG: +2000, Dark DMG: +2000, Chaos DMG: +2000 (Cultist Set) ++25% chance of instant death to the target.")</f>
        <v>DMG: +2000, Dark DMG: +2000, Chaos DMG: +2000 (Cultist Set) ++25% chance of instant death to the target.</v>
      </c>
      <c r="G80" s="49">
        <f>IFERROR(__xludf.DUMMYFUNCTION("""COMPUTED_VALUE"""),660000.0)</f>
        <v>660000</v>
      </c>
      <c r="H80" s="49"/>
      <c r="I80" s="49"/>
      <c r="J80" s="49"/>
      <c r="K80" s="49"/>
      <c r="L80" s="49"/>
      <c r="M80" s="49"/>
      <c r="N80" s="49"/>
      <c r="O80" s="49"/>
      <c r="P80" s="49"/>
      <c r="Q80" s="49"/>
      <c r="R80" s="49"/>
      <c r="S80" s="49"/>
      <c r="T80" s="49"/>
      <c r="U80" s="49"/>
      <c r="V80" s="49"/>
      <c r="W80" s="49"/>
      <c r="X80" s="49"/>
      <c r="Y80" s="49"/>
      <c r="Z80" s="49"/>
    </row>
    <row r="81">
      <c r="A81" s="49" t="str">
        <f>IFERROR(__xludf.DUMMYFUNCTION("""COMPUTED_VALUE"""),"Dark Ice Sword")</f>
        <v>Dark Ice Sword</v>
      </c>
      <c r="B81" s="49"/>
      <c r="C81" s="49" t="str">
        <f>IFERROR(__xludf.DUMMYFUNCTION("""COMPUTED_VALUE"""),"Sword")</f>
        <v>Sword</v>
      </c>
      <c r="D81" s="49" t="str">
        <f>IFERROR(__xludf.DUMMYFUNCTION("""COMPUTED_VALUE"""),"Hand")</f>
        <v>Hand</v>
      </c>
      <c r="E81" s="49">
        <f>IFERROR(__xludf.DUMMYFUNCTION("""COMPUTED_VALUE"""),20.0)</f>
        <v>20</v>
      </c>
      <c r="F81" s="49" t="str">
        <f>IFERROR(__xludf.DUMMYFUNCTION("""COMPUTED_VALUE"""),"DMG: +600 ++25% Chance to freeze target.")</f>
        <v>DMG: +600 ++25% Chance to freeze target.</v>
      </c>
      <c r="G81" s="49">
        <f>IFERROR(__xludf.DUMMYFUNCTION("""COMPUTED_VALUE"""),1000.0)</f>
        <v>1000</v>
      </c>
      <c r="H81" s="49"/>
      <c r="I81" s="49"/>
      <c r="J81" s="49"/>
      <c r="K81" s="49"/>
      <c r="L81" s="49"/>
      <c r="M81" s="49"/>
      <c r="N81" s="49"/>
      <c r="O81" s="49"/>
      <c r="P81" s="49"/>
      <c r="Q81" s="49"/>
      <c r="R81" s="49"/>
      <c r="S81" s="49"/>
      <c r="T81" s="49"/>
      <c r="U81" s="49"/>
      <c r="V81" s="49"/>
      <c r="W81" s="49"/>
      <c r="X81" s="49"/>
      <c r="Y81" s="49"/>
      <c r="Z81" s="49"/>
    </row>
    <row r="82">
      <c r="A82" s="49" t="str">
        <f>IFERROR(__xludf.DUMMYFUNCTION("""COMPUTED_VALUE"""),"Dark Knight Helm")</f>
        <v>Dark Knight Helm</v>
      </c>
      <c r="B82" s="49"/>
      <c r="C82" s="49"/>
      <c r="D82" s="49" t="str">
        <f>IFERROR(__xludf.DUMMYFUNCTION("""COMPUTED_VALUE"""),"Head")</f>
        <v>Head</v>
      </c>
      <c r="E82" s="49">
        <f>IFERROR(__xludf.DUMMYFUNCTION("""COMPUTED_VALUE"""),10.0)</f>
        <v>10</v>
      </c>
      <c r="F82" s="49" t="str">
        <f>IFERROR(__xludf.DUMMYFUNCTION("""COMPUTED_VALUE"""),"DEF: +500 ++Immune to dark damage")</f>
        <v>DEF: +500 ++Immune to dark damage</v>
      </c>
      <c r="G82" s="49">
        <f>IFERROR(__xludf.DUMMYFUNCTION("""COMPUTED_VALUE"""),1000.0)</f>
        <v>1000</v>
      </c>
      <c r="H82" s="49"/>
      <c r="I82" s="49"/>
      <c r="J82" s="49"/>
      <c r="K82" s="49"/>
      <c r="L82" s="49"/>
      <c r="M82" s="49"/>
      <c r="N82" s="49"/>
      <c r="O82" s="49"/>
      <c r="P82" s="49"/>
      <c r="Q82" s="49"/>
      <c r="R82" s="49"/>
      <c r="S82" s="49"/>
      <c r="T82" s="49"/>
      <c r="U82" s="49"/>
      <c r="V82" s="49"/>
      <c r="W82" s="49"/>
      <c r="X82" s="49"/>
      <c r="Y82" s="49"/>
      <c r="Z82" s="49"/>
    </row>
    <row r="83">
      <c r="A83" s="49" t="str">
        <f>IFERROR(__xludf.DUMMYFUNCTION("""COMPUTED_VALUE"""),"Dark Wand")</f>
        <v>Dark Wand</v>
      </c>
      <c r="B83" s="49"/>
      <c r="C83" s="49" t="str">
        <f>IFERROR(__xludf.DUMMYFUNCTION("""COMPUTED_VALUE"""),"Wand")</f>
        <v>Wand</v>
      </c>
      <c r="D83" s="49" t="str">
        <f>IFERROR(__xludf.DUMMYFUNCTION("""COMPUTED_VALUE"""),"Hand")</f>
        <v>Hand</v>
      </c>
      <c r="E83" s="49">
        <f>IFERROR(__xludf.DUMMYFUNCTION("""COMPUTED_VALUE"""),1.0)</f>
        <v>1</v>
      </c>
      <c r="F83" s="49" t="str">
        <f>IFERROR(__xludf.DUMMYFUNCTION("""COMPUTED_VALUE""")," ++Half the SP cost of dark spells")</f>
        <v> ++Half the SP cost of dark spells</v>
      </c>
      <c r="G83" s="49">
        <f>IFERROR(__xludf.DUMMYFUNCTION("""COMPUTED_VALUE"""),0.0)</f>
        <v>0</v>
      </c>
      <c r="H83" s="49"/>
      <c r="I83" s="49"/>
      <c r="J83" s="49"/>
      <c r="K83" s="49"/>
      <c r="L83" s="49"/>
      <c r="M83" s="49"/>
      <c r="N83" s="49"/>
      <c r="O83" s="49"/>
      <c r="P83" s="49"/>
      <c r="Q83" s="49"/>
      <c r="R83" s="49"/>
      <c r="S83" s="49"/>
      <c r="T83" s="49"/>
      <c r="U83" s="49"/>
      <c r="V83" s="49"/>
      <c r="W83" s="49"/>
      <c r="X83" s="49"/>
      <c r="Y83" s="49"/>
      <c r="Z83" s="49"/>
    </row>
    <row r="84">
      <c r="A84" s="49" t="str">
        <f>IFERROR(__xludf.DUMMYFUNCTION("""COMPUTED_VALUE"""),"Dead Forest Blade")</f>
        <v>Dead Forest Blade</v>
      </c>
      <c r="B84" s="49"/>
      <c r="C84" s="49" t="str">
        <f>IFERROR(__xludf.DUMMYFUNCTION("""COMPUTED_VALUE"""),"Sword")</f>
        <v>Sword</v>
      </c>
      <c r="D84" s="49" t="str">
        <f>IFERROR(__xludf.DUMMYFUNCTION("""COMPUTED_VALUE"""),"Hand")</f>
        <v>Hand</v>
      </c>
      <c r="E84" s="49">
        <f>IFERROR(__xludf.DUMMYFUNCTION("""COMPUTED_VALUE"""),180.0)</f>
        <v>180</v>
      </c>
      <c r="F84" s="49"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49">
        <f>IFERROR(__xludf.DUMMYFUNCTION("""COMPUTED_VALUE"""),1530000.0)</f>
        <v>1530000</v>
      </c>
      <c r="H84" s="49"/>
      <c r="I84" s="49"/>
      <c r="J84" s="49"/>
      <c r="K84" s="49"/>
      <c r="L84" s="49"/>
      <c r="M84" s="49"/>
      <c r="N84" s="49"/>
      <c r="O84" s="49"/>
      <c r="P84" s="49"/>
      <c r="Q84" s="49"/>
      <c r="R84" s="49"/>
      <c r="S84" s="49"/>
      <c r="T84" s="49"/>
      <c r="U84" s="49"/>
      <c r="V84" s="49"/>
      <c r="W84" s="49"/>
      <c r="X84" s="49"/>
      <c r="Y84" s="49"/>
      <c r="Z84" s="49"/>
    </row>
    <row r="85">
      <c r="A85" s="49" t="str">
        <f>IFERROR(__xludf.DUMMYFUNCTION("""COMPUTED_VALUE"""),"Dead Forest Branch")</f>
        <v>Dead Forest Branch</v>
      </c>
      <c r="B85" s="49"/>
      <c r="C85" s="49" t="str">
        <f>IFERROR(__xludf.DUMMYFUNCTION("""COMPUTED_VALUE"""),"Club")</f>
        <v>Club</v>
      </c>
      <c r="D85" s="49" t="str">
        <f>IFERROR(__xludf.DUMMYFUNCTION("""COMPUTED_VALUE"""),"Hand")</f>
        <v>Hand</v>
      </c>
      <c r="E85" s="49">
        <f>IFERROR(__xludf.DUMMYFUNCTION("""COMPUTED_VALUE"""),200.0)</f>
        <v>200</v>
      </c>
      <c r="F85" s="49" t="str">
        <f>IFERROR(__xludf.DUMMYFUNCTION("""COMPUTED_VALUE"""),", Celestial DMG: +10000000 ++This Branch will deal 10,000,000 celestial damage but it has a 95% chance to break")</f>
        <v>, Celestial DMG: +10000000 ++This Branch will deal 10,000,000 celestial damage but it has a 95% chance to break</v>
      </c>
      <c r="G85" s="49">
        <f>IFERROR(__xludf.DUMMYFUNCTION("""COMPUTED_VALUE"""),2.8788E10)</f>
        <v>28788000000</v>
      </c>
      <c r="H85" s="49"/>
      <c r="I85" s="49"/>
      <c r="J85" s="49"/>
      <c r="K85" s="49"/>
      <c r="L85" s="49"/>
      <c r="M85" s="49"/>
      <c r="N85" s="49"/>
      <c r="O85" s="49"/>
      <c r="P85" s="49"/>
      <c r="Q85" s="49"/>
      <c r="R85" s="49"/>
      <c r="S85" s="49"/>
      <c r="T85" s="49"/>
      <c r="U85" s="49"/>
      <c r="V85" s="49"/>
      <c r="W85" s="49"/>
      <c r="X85" s="49"/>
      <c r="Y85" s="49"/>
      <c r="Z85" s="49"/>
    </row>
    <row r="86">
      <c r="A86" s="49" t="str">
        <f>IFERROR(__xludf.DUMMYFUNCTION("""COMPUTED_VALUE"""),"Death's Scythe")</f>
        <v>Death's Scythe</v>
      </c>
      <c r="B86" s="49"/>
      <c r="C86" s="49" t="str">
        <f>IFERROR(__xludf.DUMMYFUNCTION("""COMPUTED_VALUE"""),"Scythe")</f>
        <v>Scythe</v>
      </c>
      <c r="D86" s="49" t="str">
        <f>IFERROR(__xludf.DUMMYFUNCTION("""COMPUTED_VALUE"""),"Hand")</f>
        <v>Hand</v>
      </c>
      <c r="E86" s="49">
        <f>IFERROR(__xludf.DUMMYFUNCTION("""COMPUTED_VALUE"""),600.0)</f>
        <v>600</v>
      </c>
      <c r="F86" s="49"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49">
        <f>IFERROR(__xludf.DUMMYFUNCTION("""COMPUTED_VALUE"""),1.77E7)</f>
        <v>17700000</v>
      </c>
      <c r="H86" s="49"/>
      <c r="I86" s="49"/>
      <c r="J86" s="49"/>
      <c r="K86" s="49"/>
      <c r="L86" s="49"/>
      <c r="M86" s="49"/>
      <c r="N86" s="49"/>
      <c r="O86" s="49"/>
      <c r="P86" s="49"/>
      <c r="Q86" s="49"/>
      <c r="R86" s="49"/>
      <c r="S86" s="49"/>
      <c r="T86" s="49"/>
      <c r="U86" s="49"/>
      <c r="V86" s="49"/>
      <c r="W86" s="49"/>
      <c r="X86" s="49"/>
      <c r="Y86" s="49"/>
      <c r="Z86" s="49"/>
    </row>
    <row r="87">
      <c r="A87" s="49" t="str">
        <f>IFERROR(__xludf.DUMMYFUNCTION("""COMPUTED_VALUE"""),"Demonic Scythe of Chaos ")</f>
        <v>Demonic Scythe of Chaos </v>
      </c>
      <c r="B87" s="49"/>
      <c r="C87" s="49" t="str">
        <f>IFERROR(__xludf.DUMMYFUNCTION("""COMPUTED_VALUE"""),"Scythe")</f>
        <v>Scythe</v>
      </c>
      <c r="D87" s="49" t="str">
        <f>IFERROR(__xludf.DUMMYFUNCTION("""COMPUTED_VALUE"""),"Hand")</f>
        <v>Hand</v>
      </c>
      <c r="E87" s="49">
        <f>IFERROR(__xludf.DUMMYFUNCTION("""COMPUTED_VALUE"""),3000.0)</f>
        <v>3000</v>
      </c>
      <c r="F87" s="49" t="str">
        <f>IFERROR(__xludf.DUMMYFUNCTION("""COMPUTED_VALUE"""),"DMG: +50000, Fire DMG: +50000, Chaos DMG: +50000 ++X2  Additional Fire and Chaos damage. +-Cannot be duplicated.")</f>
        <v>DMG: +50000, Fire DMG: +50000, Chaos DMG: +50000 ++X2  Additional Fire and Chaos damage. +-Cannot be duplicated.</v>
      </c>
      <c r="G87" s="49">
        <f>IFERROR(__xludf.DUMMYFUNCTION("""COMPUTED_VALUE"""),4.485E8)</f>
        <v>448500000</v>
      </c>
      <c r="H87" s="49"/>
      <c r="I87" s="49"/>
      <c r="J87" s="49"/>
      <c r="K87" s="49"/>
      <c r="L87" s="49"/>
      <c r="M87" s="49"/>
      <c r="N87" s="49"/>
      <c r="O87" s="49"/>
      <c r="P87" s="49"/>
      <c r="Q87" s="49"/>
      <c r="R87" s="49"/>
      <c r="S87" s="49"/>
      <c r="T87" s="49"/>
      <c r="U87" s="49"/>
      <c r="V87" s="49"/>
      <c r="W87" s="49"/>
      <c r="X87" s="49"/>
      <c r="Y87" s="49"/>
      <c r="Z87" s="49"/>
    </row>
    <row r="88">
      <c r="A88" s="49" t="str">
        <f>IFERROR(__xludf.DUMMYFUNCTION("""COMPUTED_VALUE"""),"Demonic Sword of The King")</f>
        <v>Demonic Sword of The King</v>
      </c>
      <c r="B88" s="49"/>
      <c r="C88" s="49" t="str">
        <f>IFERROR(__xludf.DUMMYFUNCTION("""COMPUTED_VALUE"""),"Sword")</f>
        <v>Sword</v>
      </c>
      <c r="D88" s="49" t="str">
        <f>IFERROR(__xludf.DUMMYFUNCTION("""COMPUTED_VALUE"""),"Hand")</f>
        <v>Hand</v>
      </c>
      <c r="E88" s="49">
        <f>IFERROR(__xludf.DUMMYFUNCTION("""COMPUTED_VALUE"""),200.0)</f>
        <v>200</v>
      </c>
      <c r="F88" s="49"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49">
        <f>IFERROR(__xludf.DUMMYFUNCTION("""COMPUTED_VALUE"""),3.196E9)</f>
        <v>3196000000</v>
      </c>
      <c r="H88" s="49"/>
      <c r="I88" s="49"/>
      <c r="J88" s="49"/>
      <c r="K88" s="49"/>
      <c r="L88" s="49"/>
      <c r="M88" s="49"/>
      <c r="N88" s="49"/>
      <c r="O88" s="49"/>
      <c r="P88" s="49"/>
      <c r="Q88" s="49"/>
      <c r="R88" s="49"/>
      <c r="S88" s="49"/>
      <c r="T88" s="49"/>
      <c r="U88" s="49"/>
      <c r="V88" s="49"/>
      <c r="W88" s="49"/>
      <c r="X88" s="49"/>
      <c r="Y88" s="49"/>
      <c r="Z88" s="49"/>
    </row>
    <row r="89">
      <c r="A89" s="49" t="str">
        <f>IFERROR(__xludf.DUMMYFUNCTION("""COMPUTED_VALUE"""),"Dimensional Dagger")</f>
        <v>Dimensional Dagger</v>
      </c>
      <c r="B89" s="49"/>
      <c r="C89" s="49" t="str">
        <f>IFERROR(__xludf.DUMMYFUNCTION("""COMPUTED_VALUE"""),"Knife")</f>
        <v>Knife</v>
      </c>
      <c r="D89" s="49" t="str">
        <f>IFERROR(__xludf.DUMMYFUNCTION("""COMPUTED_VALUE"""),"Hand")</f>
        <v>Hand</v>
      </c>
      <c r="E89" s="49">
        <f>IFERROR(__xludf.DUMMYFUNCTION("""COMPUTED_VALUE"""),200.0)</f>
        <v>200</v>
      </c>
      <c r="F89" s="49" t="str">
        <f>IFERROR(__xludf.DUMMYFUNCTION("""COMPUTED_VALUE"""),"DMG: +5000, Chaos DMG: +5000 ++25% chance to teleport the target being attacked to a random location.")</f>
        <v>DMG: +5000, Chaos DMG: +5000 ++25% chance to teleport the target being attacked to a random location.</v>
      </c>
      <c r="G89" s="49">
        <f>IFERROR(__xludf.DUMMYFUNCTION("""COMPUTED_VALUE"""),1900000.0)</f>
        <v>1900000</v>
      </c>
      <c r="H89" s="49"/>
      <c r="I89" s="49"/>
      <c r="J89" s="49"/>
      <c r="K89" s="49"/>
      <c r="L89" s="49"/>
      <c r="M89" s="49"/>
      <c r="N89" s="49"/>
      <c r="O89" s="49"/>
      <c r="P89" s="49"/>
      <c r="Q89" s="49"/>
      <c r="R89" s="49"/>
      <c r="S89" s="49"/>
      <c r="T89" s="49"/>
      <c r="U89" s="49"/>
      <c r="V89" s="49"/>
      <c r="W89" s="49"/>
      <c r="X89" s="49"/>
      <c r="Y89" s="49"/>
      <c r="Z89" s="49"/>
    </row>
    <row r="90">
      <c r="A90" s="49" t="str">
        <f>IFERROR(__xludf.DUMMYFUNCTION("""COMPUTED_VALUE"""),"Draconic Shield")</f>
        <v>Draconic Shield</v>
      </c>
      <c r="B90" s="49"/>
      <c r="C90" s="49" t="str">
        <f>IFERROR(__xludf.DUMMYFUNCTION("""COMPUTED_VALUE"""),"Towershield")</f>
        <v>Towershield</v>
      </c>
      <c r="D90" s="49" t="str">
        <f>IFERROR(__xludf.DUMMYFUNCTION("""COMPUTED_VALUE"""),"Hand")</f>
        <v>Hand</v>
      </c>
      <c r="E90" s="49">
        <f>IFERROR(__xludf.DUMMYFUNCTION("""COMPUTED_VALUE"""),5000.0)</f>
        <v>5000</v>
      </c>
      <c r="F90" s="49"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49">
        <f>IFERROR(__xludf.DUMMYFUNCTION("""COMPUTED_VALUE"""),1.2475E9)</f>
        <v>1247500000</v>
      </c>
      <c r="H90" s="49"/>
      <c r="I90" s="49"/>
      <c r="J90" s="49"/>
      <c r="K90" s="49"/>
      <c r="L90" s="49"/>
      <c r="M90" s="49"/>
      <c r="N90" s="49"/>
      <c r="O90" s="49"/>
      <c r="P90" s="49"/>
      <c r="Q90" s="49"/>
      <c r="R90" s="49"/>
      <c r="S90" s="49"/>
      <c r="T90" s="49"/>
      <c r="U90" s="49"/>
      <c r="V90" s="49"/>
      <c r="W90" s="49"/>
      <c r="X90" s="49"/>
      <c r="Y90" s="49"/>
      <c r="Z90" s="49"/>
    </row>
    <row r="91">
      <c r="A91" s="49" t="str">
        <f>IFERROR(__xludf.DUMMYFUNCTION("""COMPUTED_VALUE"""),"Dragon's Skull")</f>
        <v>Dragon's Skull</v>
      </c>
      <c r="B91" s="49"/>
      <c r="C91" s="49"/>
      <c r="D91" s="49" t="str">
        <f>IFERROR(__xludf.DUMMYFUNCTION("""COMPUTED_VALUE"""),"Head")</f>
        <v>Head</v>
      </c>
      <c r="E91" s="49">
        <f>IFERROR(__xludf.DUMMYFUNCTION("""COMPUTED_VALUE"""),200.0)</f>
        <v>200</v>
      </c>
      <c r="F91" s="49" t="str">
        <f>IFERROR(__xludf.DUMMYFUNCTION("""COMPUTED_VALUE"""),"DEF: +10000 ++Any damage that is dealt to the wearer by a dragon is negated. ++(Dragon Tamers Cannot Wear This)")</f>
        <v>DEF: +10000 ++Any damage that is dealt to the wearer by a dragon is negated. ++(Dragon Tamers Cannot Wear This)</v>
      </c>
      <c r="G91" s="49">
        <f>IFERROR(__xludf.DUMMYFUNCTION("""COMPUTED_VALUE"""),1900000.0)</f>
        <v>1900000</v>
      </c>
      <c r="H91" s="49"/>
      <c r="I91" s="49"/>
      <c r="J91" s="49"/>
      <c r="K91" s="49"/>
      <c r="L91" s="49"/>
      <c r="M91" s="49"/>
      <c r="N91" s="49"/>
      <c r="O91" s="49"/>
      <c r="P91" s="49"/>
      <c r="Q91" s="49"/>
      <c r="R91" s="49"/>
      <c r="S91" s="49"/>
      <c r="T91" s="49"/>
      <c r="U91" s="49"/>
      <c r="V91" s="49"/>
      <c r="W91" s="49"/>
      <c r="X91" s="49"/>
      <c r="Y91" s="49"/>
      <c r="Z91" s="49"/>
    </row>
    <row r="92">
      <c r="A92" s="49" t="str">
        <f>IFERROR(__xludf.DUMMYFUNCTION("""COMPUTED_VALUE"""),"Dragonbone Greatsword")</f>
        <v>Dragonbone Greatsword</v>
      </c>
      <c r="B92" s="49"/>
      <c r="C92" s="49" t="str">
        <f>IFERROR(__xludf.DUMMYFUNCTION("""COMPUTED_VALUE"""),"Sword")</f>
        <v>Sword</v>
      </c>
      <c r="D92" s="49" t="str">
        <f>IFERROR(__xludf.DUMMYFUNCTION("""COMPUTED_VALUE"""),"Hand")</f>
        <v>Hand</v>
      </c>
      <c r="E92" s="49">
        <f>IFERROR(__xludf.DUMMYFUNCTION("""COMPUTED_VALUE"""),200.0)</f>
        <v>200</v>
      </c>
      <c r="F92" s="49"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49">
        <f>IFERROR(__xludf.DUMMYFUNCTION("""COMPUTED_VALUE"""),7.194E9)</f>
        <v>7194000000</v>
      </c>
      <c r="H92" s="49"/>
      <c r="I92" s="49"/>
      <c r="J92" s="49"/>
      <c r="K92" s="49"/>
      <c r="L92" s="49"/>
      <c r="M92" s="49"/>
      <c r="N92" s="49"/>
      <c r="O92" s="49"/>
      <c r="P92" s="49"/>
      <c r="Q92" s="49"/>
      <c r="R92" s="49"/>
      <c r="S92" s="49"/>
      <c r="T92" s="49"/>
      <c r="U92" s="49"/>
      <c r="V92" s="49"/>
      <c r="W92" s="49"/>
      <c r="X92" s="49"/>
      <c r="Y92" s="49"/>
      <c r="Z92" s="49"/>
    </row>
    <row r="93">
      <c r="A93" s="49" t="str">
        <f>IFERROR(__xludf.DUMMYFUNCTION("""COMPUTED_VALUE"""),"Dreading Wand Of Fire")</f>
        <v>Dreading Wand Of Fire</v>
      </c>
      <c r="B93" s="49"/>
      <c r="C93" s="49" t="str">
        <f>IFERROR(__xludf.DUMMYFUNCTION("""COMPUTED_VALUE"""),"Wand")</f>
        <v>Wand</v>
      </c>
      <c r="D93" s="49" t="str">
        <f>IFERROR(__xludf.DUMMYFUNCTION("""COMPUTED_VALUE"""),"Hand")</f>
        <v>Hand</v>
      </c>
      <c r="E93" s="49">
        <f>IFERROR(__xludf.DUMMYFUNCTION("""COMPUTED_VALUE"""),1.0)</f>
        <v>1</v>
      </c>
      <c r="F93" s="49" t="str">
        <f>IFERROR(__xludf.DUMMYFUNCTION("""COMPUTED_VALUE""")," ++Half SP costs for fire spells")</f>
        <v> ++Half SP costs for fire spells</v>
      </c>
      <c r="G93" s="49">
        <f>IFERROR(__xludf.DUMMYFUNCTION("""COMPUTED_VALUE"""),0.0)</f>
        <v>0</v>
      </c>
      <c r="H93" s="49"/>
      <c r="I93" s="49"/>
      <c r="J93" s="49"/>
      <c r="K93" s="49"/>
      <c r="L93" s="49"/>
      <c r="M93" s="49"/>
      <c r="N93" s="49"/>
      <c r="O93" s="49"/>
      <c r="P93" s="49"/>
      <c r="Q93" s="49"/>
      <c r="R93" s="49"/>
      <c r="S93" s="49"/>
      <c r="T93" s="49"/>
      <c r="U93" s="49"/>
      <c r="V93" s="49"/>
      <c r="W93" s="49"/>
      <c r="X93" s="49"/>
      <c r="Y93" s="49"/>
      <c r="Z93" s="49"/>
    </row>
    <row r="94">
      <c r="A94" s="49" t="str">
        <f>IFERROR(__xludf.DUMMYFUNCTION("""COMPUTED_VALUE"""),"Dy Yu’s Plated Armor")</f>
        <v>Dy Yu’s Plated Armor</v>
      </c>
      <c r="B94" s="49"/>
      <c r="C94" s="49"/>
      <c r="D94" s="49" t="str">
        <f>IFERROR(__xludf.DUMMYFUNCTION("""COMPUTED_VALUE"""),"Torso")</f>
        <v>Torso</v>
      </c>
      <c r="E94" s="49">
        <f>IFERROR(__xludf.DUMMYFUNCTION("""COMPUTED_VALUE"""),4000.0)</f>
        <v>4000</v>
      </c>
      <c r="F94" s="49"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49">
        <f>IFERROR(__xludf.DUMMYFUNCTION("""COMPUTED_VALUE"""),7.98E8)</f>
        <v>798000000</v>
      </c>
      <c r="H94" s="49"/>
      <c r="I94" s="49"/>
      <c r="J94" s="49"/>
      <c r="K94" s="49"/>
      <c r="L94" s="49"/>
      <c r="M94" s="49"/>
      <c r="N94" s="49"/>
      <c r="O94" s="49"/>
      <c r="P94" s="49"/>
      <c r="Q94" s="49"/>
      <c r="R94" s="49"/>
      <c r="S94" s="49"/>
      <c r="T94" s="49"/>
      <c r="U94" s="49"/>
      <c r="V94" s="49"/>
      <c r="W94" s="49"/>
      <c r="X94" s="49"/>
      <c r="Y94" s="49"/>
      <c r="Z94" s="49"/>
    </row>
    <row r="95">
      <c r="A95" s="49" t="str">
        <f>IFERROR(__xludf.DUMMYFUNCTION("""COMPUTED_VALUE"""),"Easters Ring (Exclusive)")</f>
        <v>Easters Ring (Exclusive)</v>
      </c>
      <c r="B95" s="49"/>
      <c r="C95" s="49"/>
      <c r="D95" s="49" t="str">
        <f>IFERROR(__xludf.DUMMYFUNCTION("""COMPUTED_VALUE"""),"Ring")</f>
        <v>Ring</v>
      </c>
      <c r="E95" s="49">
        <f>IFERROR(__xludf.DUMMYFUNCTION("""COMPUTED_VALUE"""),1.0)</f>
        <v>1</v>
      </c>
      <c r="F95" s="49" t="str">
        <f>IFERROR(__xludf.DUMMYFUNCTION("""COMPUTED_VALUE""")," ++Can turn one bad day of travel into a good day of travel. +-Cannot be forged")</f>
        <v> ++Can turn one bad day of travel into a good day of travel. +-Cannot be forged</v>
      </c>
      <c r="G95" s="49">
        <f>IFERROR(__xludf.DUMMYFUNCTION("""COMPUTED_VALUE"""),0.0)</f>
        <v>0</v>
      </c>
      <c r="H95" s="49"/>
      <c r="I95" s="49"/>
      <c r="J95" s="49"/>
      <c r="K95" s="49"/>
      <c r="L95" s="49"/>
      <c r="M95" s="49"/>
      <c r="N95" s="49"/>
      <c r="O95" s="49"/>
      <c r="P95" s="49"/>
      <c r="Q95" s="49"/>
      <c r="R95" s="49"/>
      <c r="S95" s="49"/>
      <c r="T95" s="49"/>
      <c r="U95" s="49"/>
      <c r="V95" s="49"/>
      <c r="W95" s="49"/>
      <c r="X95" s="49"/>
      <c r="Y95" s="49"/>
      <c r="Z95" s="49"/>
    </row>
    <row r="96">
      <c r="A96" s="49" t="str">
        <f>IFERROR(__xludf.DUMMYFUNCTION("""COMPUTED_VALUE"""),"Enchanted Chestplate of Defense")</f>
        <v>Enchanted Chestplate of Defense</v>
      </c>
      <c r="B96" s="49"/>
      <c r="C96" s="49"/>
      <c r="D96" s="49" t="str">
        <f>IFERROR(__xludf.DUMMYFUNCTION("""COMPUTED_VALUE"""),"Torso")</f>
        <v>Torso</v>
      </c>
      <c r="E96" s="49">
        <f>IFERROR(__xludf.DUMMYFUNCTION("""COMPUTED_VALUE"""),100.0)</f>
        <v>100</v>
      </c>
      <c r="F96" s="49" t="str">
        <f>IFERROR(__xludf.DUMMYFUNCTION("""COMPUTED_VALUE"""),"DEF: +5000 ++Damage received by Spells and Weapons are reduced to half when wearing this.")</f>
        <v>DEF: +5000 ++Damage received by Spells and Weapons are reduced to half when wearing this.</v>
      </c>
      <c r="G96" s="49">
        <f>IFERROR(__xludf.DUMMYFUNCTION("""COMPUTED_VALUE"""),450000.0)</f>
        <v>450000</v>
      </c>
      <c r="H96" s="49"/>
      <c r="I96" s="49"/>
      <c r="J96" s="49"/>
      <c r="K96" s="49"/>
      <c r="L96" s="49"/>
      <c r="M96" s="49"/>
      <c r="N96" s="49"/>
      <c r="O96" s="49"/>
      <c r="P96" s="49"/>
      <c r="Q96" s="49"/>
      <c r="R96" s="49"/>
      <c r="S96" s="49"/>
      <c r="T96" s="49"/>
      <c r="U96" s="49"/>
      <c r="V96" s="49"/>
      <c r="W96" s="49"/>
      <c r="X96" s="49"/>
      <c r="Y96" s="49"/>
      <c r="Z96" s="49"/>
    </row>
    <row r="97">
      <c r="A97" s="49" t="str">
        <f>IFERROR(__xludf.DUMMYFUNCTION("""COMPUTED_VALUE"""),"Enchanted Dagger")</f>
        <v>Enchanted Dagger</v>
      </c>
      <c r="B97" s="49"/>
      <c r="C97" s="49" t="str">
        <f>IFERROR(__xludf.DUMMYFUNCTION("""COMPUTED_VALUE"""),"Knife")</f>
        <v>Knife</v>
      </c>
      <c r="D97" s="49" t="str">
        <f>IFERROR(__xludf.DUMMYFUNCTION("""COMPUTED_VALUE"""),"Hand")</f>
        <v>Hand</v>
      </c>
      <c r="E97" s="49">
        <f>IFERROR(__xludf.DUMMYFUNCTION("""COMPUTED_VALUE"""),1.0)</f>
        <v>1</v>
      </c>
      <c r="F97" s="49" t="str">
        <f>IFERROR(__xludf.DUMMYFUNCTION("""COMPUTED_VALUE"""),": +1 ++100% of instantly killing the target.")</f>
        <v>: +1 ++100% of instantly killing the target.</v>
      </c>
      <c r="G97" s="49">
        <f>IFERROR(__xludf.DUMMYFUNCTION("""COMPUTED_VALUE"""),0.0)</f>
        <v>0</v>
      </c>
      <c r="H97" s="49"/>
      <c r="I97" s="49"/>
      <c r="J97" s="49"/>
      <c r="K97" s="49"/>
      <c r="L97" s="49"/>
      <c r="M97" s="49"/>
      <c r="N97" s="49"/>
      <c r="O97" s="49"/>
      <c r="P97" s="49"/>
      <c r="Q97" s="49"/>
      <c r="R97" s="49"/>
      <c r="S97" s="49"/>
      <c r="T97" s="49"/>
      <c r="U97" s="49"/>
      <c r="V97" s="49"/>
      <c r="W97" s="49"/>
      <c r="X97" s="49"/>
      <c r="Y97" s="49"/>
      <c r="Z97" s="49"/>
    </row>
    <row r="98">
      <c r="A98" s="49" t="str">
        <f>IFERROR(__xludf.DUMMYFUNCTION("""COMPUTED_VALUE"""),"Enchanted Falcon Blade")</f>
        <v>Enchanted Falcon Blade</v>
      </c>
      <c r="B98" s="49"/>
      <c r="C98" s="49" t="str">
        <f>IFERROR(__xludf.DUMMYFUNCTION("""COMPUTED_VALUE"""),"Sword")</f>
        <v>Sword</v>
      </c>
      <c r="D98" s="49" t="str">
        <f>IFERROR(__xludf.DUMMYFUNCTION("""COMPUTED_VALUE"""),"Hand")</f>
        <v>Hand</v>
      </c>
      <c r="E98" s="49">
        <f>IFERROR(__xludf.DUMMYFUNCTION("""COMPUTED_VALUE"""),60.0)</f>
        <v>60</v>
      </c>
      <c r="F98" s="49"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49">
        <f>IFERROR(__xludf.DUMMYFUNCTION("""COMPUTED_VALUE"""),100000.0)</f>
        <v>100000</v>
      </c>
      <c r="H98" s="49"/>
      <c r="I98" s="49"/>
      <c r="J98" s="49"/>
      <c r="K98" s="49"/>
      <c r="L98" s="49"/>
      <c r="M98" s="49"/>
      <c r="N98" s="49"/>
      <c r="O98" s="49"/>
      <c r="P98" s="49"/>
      <c r="Q98" s="49"/>
      <c r="R98" s="49"/>
      <c r="S98" s="49"/>
      <c r="T98" s="49"/>
      <c r="U98" s="49"/>
      <c r="V98" s="49"/>
      <c r="W98" s="49"/>
      <c r="X98" s="49"/>
      <c r="Y98" s="49"/>
      <c r="Z98" s="49"/>
    </row>
    <row r="99">
      <c r="A99" s="49" t="str">
        <f>IFERROR(__xludf.DUMMYFUNCTION("""COMPUTED_VALUE"""),"Energy Prong")</f>
        <v>Energy Prong</v>
      </c>
      <c r="B99" s="49"/>
      <c r="C99" s="49" t="str">
        <f>IFERROR(__xludf.DUMMYFUNCTION("""COMPUTED_VALUE"""),"Spear")</f>
        <v>Spear</v>
      </c>
      <c r="D99" s="49" t="str">
        <f>IFERROR(__xludf.DUMMYFUNCTION("""COMPUTED_VALUE"""),"Hand")</f>
        <v>Hand</v>
      </c>
      <c r="E99" s="49">
        <f>IFERROR(__xludf.DUMMYFUNCTION("""COMPUTED_VALUE"""),10.0)</f>
        <v>10</v>
      </c>
      <c r="F99" s="49" t="str">
        <f>IFERROR(__xludf.DUMMYFUNCTION("""COMPUTED_VALUE"""),"DMG: +500 ++50% chance of stun 3.")</f>
        <v>DMG: +500 ++50% chance of stun 3.</v>
      </c>
      <c r="G99" s="49">
        <f>IFERROR(__xludf.DUMMYFUNCTION("""COMPUTED_VALUE"""),1000.0)</f>
        <v>1000</v>
      </c>
      <c r="H99" s="49"/>
      <c r="I99" s="49"/>
      <c r="J99" s="49"/>
      <c r="K99" s="49"/>
      <c r="L99" s="49"/>
      <c r="M99" s="49"/>
      <c r="N99" s="49"/>
      <c r="O99" s="49"/>
      <c r="P99" s="49"/>
      <c r="Q99" s="49"/>
      <c r="R99" s="49"/>
      <c r="S99" s="49"/>
      <c r="T99" s="49"/>
      <c r="U99" s="49"/>
      <c r="V99" s="49"/>
      <c r="W99" s="49"/>
      <c r="X99" s="49"/>
      <c r="Y99" s="49"/>
      <c r="Z99" s="49"/>
    </row>
    <row r="100">
      <c r="A100" s="49" t="str">
        <f>IFERROR(__xludf.DUMMYFUNCTION("""COMPUTED_VALUE"""),"Faery Kings Sword")</f>
        <v>Faery Kings Sword</v>
      </c>
      <c r="B100" s="49"/>
      <c r="C100" s="49" t="str">
        <f>IFERROR(__xludf.DUMMYFUNCTION("""COMPUTED_VALUE"""),"Sword")</f>
        <v>Sword</v>
      </c>
      <c r="D100" s="49" t="str">
        <f>IFERROR(__xludf.DUMMYFUNCTION("""COMPUTED_VALUE"""),"Hand")</f>
        <v>Hand</v>
      </c>
      <c r="E100" s="49">
        <f>IFERROR(__xludf.DUMMYFUNCTION("""COMPUTED_VALUE"""),200.0)</f>
        <v>200</v>
      </c>
      <c r="F100" s="49" t="str">
        <f>IFERROR(__xludf.DUMMYFUNCTION("""COMPUTED_VALUE"""),"DMG: +500000, Nature DMG: +25000, Celestial DMG: +25000")</f>
        <v>DMG: +500000, Nature DMG: +25000, Celestial DMG: +25000</v>
      </c>
      <c r="G100" s="49">
        <f>IFERROR(__xludf.DUMMYFUNCTION("""COMPUTED_VALUE"""),6.0445E9)</f>
        <v>6044500000</v>
      </c>
      <c r="H100" s="49"/>
      <c r="I100" s="49"/>
      <c r="J100" s="49"/>
      <c r="K100" s="49"/>
      <c r="L100" s="49"/>
      <c r="M100" s="49"/>
      <c r="N100" s="49"/>
      <c r="O100" s="49"/>
      <c r="P100" s="49"/>
      <c r="Q100" s="49"/>
      <c r="R100" s="49"/>
      <c r="S100" s="49"/>
      <c r="T100" s="49"/>
      <c r="U100" s="49"/>
      <c r="V100" s="49"/>
      <c r="W100" s="49"/>
      <c r="X100" s="49"/>
      <c r="Y100" s="49"/>
      <c r="Z100" s="49"/>
    </row>
    <row r="101">
      <c r="A101" s="49" t="str">
        <f>IFERROR(__xludf.DUMMYFUNCTION("""COMPUTED_VALUE"""),"False Helmet")</f>
        <v>False Helmet</v>
      </c>
      <c r="B101" s="49"/>
      <c r="C101" s="49"/>
      <c r="D101" s="49" t="str">
        <f>IFERROR(__xludf.DUMMYFUNCTION("""COMPUTED_VALUE"""),"Head")</f>
        <v>Head</v>
      </c>
      <c r="E101" s="49">
        <f>IFERROR(__xludf.DUMMYFUNCTION("""COMPUTED_VALUE"""),1.0)</f>
        <v>1</v>
      </c>
      <c r="F101" s="49" t="str">
        <f>IFERROR(__xludf.DUMMYFUNCTION("""COMPUTED_VALUE""")," ++ ++5 Intimidation, ++ - 2 Charisma. +-Cannot be forged +-Cannot be duplicated.")</f>
        <v> ++ ++5 Intimidation, ++ - 2 Charisma. +-Cannot be forged +-Cannot be duplicated.</v>
      </c>
      <c r="G101" s="49">
        <f>IFERROR(__xludf.DUMMYFUNCTION("""COMPUTED_VALUE"""),0.0)</f>
        <v>0</v>
      </c>
      <c r="H101" s="49"/>
      <c r="I101" s="49"/>
      <c r="J101" s="49"/>
      <c r="K101" s="49"/>
      <c r="L101" s="49"/>
      <c r="M101" s="49"/>
      <c r="N101" s="49"/>
      <c r="O101" s="49"/>
      <c r="P101" s="49"/>
      <c r="Q101" s="49"/>
      <c r="R101" s="49"/>
      <c r="S101" s="49"/>
      <c r="T101" s="49"/>
      <c r="U101" s="49"/>
      <c r="V101" s="49"/>
      <c r="W101" s="49"/>
      <c r="X101" s="49"/>
      <c r="Y101" s="49"/>
      <c r="Z101" s="49"/>
    </row>
    <row r="102">
      <c r="A102" s="49" t="str">
        <f>IFERROR(__xludf.DUMMYFUNCTION("""COMPUTED_VALUE"""),"Felt Cap")</f>
        <v>Felt Cap</v>
      </c>
      <c r="B102" s="49"/>
      <c r="C102" s="49"/>
      <c r="D102" s="49" t="str">
        <f>IFERROR(__xludf.DUMMYFUNCTION("""COMPUTED_VALUE"""),"Head")</f>
        <v>Head</v>
      </c>
      <c r="E102" s="49">
        <f>IFERROR(__xludf.DUMMYFUNCTION("""COMPUTED_VALUE"""),1.0)</f>
        <v>1</v>
      </c>
      <c r="F102" s="49" t="str">
        <f>IFERROR(__xludf.DUMMYFUNCTION("""COMPUTED_VALUE""")," ++ -1 Evasion ++ +2 Intimidation, +-Can only wear one, +-Cannot be duplicated.")</f>
        <v> ++ -1 Evasion ++ +2 Intimidation, +-Can only wear one, +-Cannot be duplicated.</v>
      </c>
      <c r="G102" s="49">
        <f>IFERROR(__xludf.DUMMYFUNCTION("""COMPUTED_VALUE"""),0.0)</f>
        <v>0</v>
      </c>
      <c r="H102" s="49"/>
      <c r="I102" s="49"/>
      <c r="J102" s="49"/>
      <c r="K102" s="49"/>
      <c r="L102" s="49"/>
      <c r="M102" s="49"/>
      <c r="N102" s="49"/>
      <c r="O102" s="49"/>
      <c r="P102" s="49"/>
      <c r="Q102" s="49"/>
      <c r="R102" s="49"/>
      <c r="S102" s="49"/>
      <c r="T102" s="49"/>
      <c r="U102" s="49"/>
      <c r="V102" s="49"/>
      <c r="W102" s="49"/>
      <c r="X102" s="49"/>
      <c r="Y102" s="49"/>
      <c r="Z102" s="49"/>
    </row>
    <row r="103">
      <c r="A103" s="49" t="str">
        <f>IFERROR(__xludf.DUMMYFUNCTION("""COMPUTED_VALUE"""),"Fire Resistant Boots")</f>
        <v>Fire Resistant Boots</v>
      </c>
      <c r="B103" s="49"/>
      <c r="C103" s="49"/>
      <c r="D103" s="49" t="str">
        <f>IFERROR(__xludf.DUMMYFUNCTION("""COMPUTED_VALUE"""),"Feet")</f>
        <v>Feet</v>
      </c>
      <c r="E103" s="49">
        <f>IFERROR(__xludf.DUMMYFUNCTION("""COMPUTED_VALUE"""),200.0)</f>
        <v>200</v>
      </c>
      <c r="F103" s="49" t="str">
        <f>IFERROR(__xludf.DUMMYFUNCTION("""COMPUTED_VALUE"""),", Fire DEF: +10000 ++Fire Immune, ++X2 Additional fire damage. +-Cannot be duplicated.")</f>
        <v>, Fire DEF: +10000 ++Fire Immune, ++X2 Additional fire damage. +-Cannot be duplicated.</v>
      </c>
      <c r="G103" s="49">
        <f>IFERROR(__xludf.DUMMYFUNCTION("""COMPUTED_VALUE"""),1900000.0)</f>
        <v>1900000</v>
      </c>
      <c r="H103" s="49"/>
      <c r="I103" s="49"/>
      <c r="J103" s="49"/>
      <c r="K103" s="49"/>
      <c r="L103" s="49"/>
      <c r="M103" s="49"/>
      <c r="N103" s="49"/>
      <c r="O103" s="49"/>
      <c r="P103" s="49"/>
      <c r="Q103" s="49"/>
      <c r="R103" s="49"/>
      <c r="S103" s="49"/>
      <c r="T103" s="49"/>
      <c r="U103" s="49"/>
      <c r="V103" s="49"/>
      <c r="W103" s="49"/>
      <c r="X103" s="49"/>
      <c r="Y103" s="49"/>
      <c r="Z103" s="49"/>
    </row>
    <row r="104">
      <c r="A104" s="49" t="str">
        <f>IFERROR(__xludf.DUMMYFUNCTION("""COMPUTED_VALUE"""),"Fire Ring")</f>
        <v>Fire Ring</v>
      </c>
      <c r="B104" s="49"/>
      <c r="C104" s="49"/>
      <c r="D104" s="49" t="str">
        <f>IFERROR(__xludf.DUMMYFUNCTION("""COMPUTED_VALUE"""),"Ring")</f>
        <v>Ring</v>
      </c>
      <c r="E104" s="49">
        <f>IFERROR(__xludf.DUMMYFUNCTION("""COMPUTED_VALUE"""),1.0)</f>
        <v>1</v>
      </c>
      <c r="F104" s="49" t="str">
        <f>IFERROR(__xludf.DUMMYFUNCTION("""COMPUTED_VALUE""")," ++Fire Immune, ++X2 Additional fire damage. +-Cannot be duplicated.")</f>
        <v> ++Fire Immune, ++X2 Additional fire damage. +-Cannot be duplicated.</v>
      </c>
      <c r="G104" s="49">
        <f>IFERROR(__xludf.DUMMYFUNCTION("""COMPUTED_VALUE"""),0.0)</f>
        <v>0</v>
      </c>
      <c r="H104" s="49"/>
      <c r="I104" s="49"/>
      <c r="J104" s="49"/>
      <c r="K104" s="49"/>
      <c r="L104" s="49"/>
      <c r="M104" s="49"/>
      <c r="N104" s="49"/>
      <c r="O104" s="49"/>
      <c r="P104" s="49"/>
      <c r="Q104" s="49"/>
      <c r="R104" s="49"/>
      <c r="S104" s="49"/>
      <c r="T104" s="49"/>
      <c r="U104" s="49"/>
      <c r="V104" s="49"/>
      <c r="W104" s="49"/>
      <c r="X104" s="49"/>
      <c r="Y104" s="49"/>
      <c r="Z104" s="49"/>
    </row>
    <row r="105">
      <c r="A105" s="49" t="str">
        <f>IFERROR(__xludf.DUMMYFUNCTION("""COMPUTED_VALUE"""),"Fire Shield")</f>
        <v>Fire Shield</v>
      </c>
      <c r="B105" s="49"/>
      <c r="C105" s="49" t="str">
        <f>IFERROR(__xludf.DUMMYFUNCTION("""COMPUTED_VALUE"""),"Towershield")</f>
        <v>Towershield</v>
      </c>
      <c r="D105" s="49" t="str">
        <f>IFERROR(__xludf.DUMMYFUNCTION("""COMPUTED_VALUE"""),"Hand")</f>
        <v>Hand</v>
      </c>
      <c r="E105" s="49">
        <f>IFERROR(__xludf.DUMMYFUNCTION("""COMPUTED_VALUE"""),200.0)</f>
        <v>200</v>
      </c>
      <c r="F105" s="49" t="str">
        <f>IFERROR(__xludf.DUMMYFUNCTION("""COMPUTED_VALUE"""),"DEF: +5000, Fire DEF: +5000 ++ Immunity to Fire, ++X2 Additional fire resistance. +-Cannot be duplicated.")</f>
        <v>DEF: +5000, Fire DEF: +5000 ++ Immunity to Fire, ++X2 Additional fire resistance. +-Cannot be duplicated.</v>
      </c>
      <c r="G105" s="49">
        <f>IFERROR(__xludf.DUMMYFUNCTION("""COMPUTED_VALUE"""),1900000.0)</f>
        <v>1900000</v>
      </c>
      <c r="H105" s="49"/>
      <c r="I105" s="49"/>
      <c r="J105" s="49"/>
      <c r="K105" s="49"/>
      <c r="L105" s="49"/>
      <c r="M105" s="49"/>
      <c r="N105" s="49"/>
      <c r="O105" s="49"/>
      <c r="P105" s="49"/>
      <c r="Q105" s="49"/>
      <c r="R105" s="49"/>
      <c r="S105" s="49"/>
      <c r="T105" s="49"/>
      <c r="U105" s="49"/>
      <c r="V105" s="49"/>
      <c r="W105" s="49"/>
      <c r="X105" s="49"/>
      <c r="Y105" s="49"/>
      <c r="Z105" s="49"/>
    </row>
    <row r="106">
      <c r="A106" s="49" t="str">
        <f>IFERROR(__xludf.DUMMYFUNCTION("""COMPUTED_VALUE"""),"Fire Sword")</f>
        <v>Fire Sword</v>
      </c>
      <c r="B106" s="49"/>
      <c r="C106" s="49" t="str">
        <f>IFERROR(__xludf.DUMMYFUNCTION("""COMPUTED_VALUE"""),"Sword")</f>
        <v>Sword</v>
      </c>
      <c r="D106" s="49" t="str">
        <f>IFERROR(__xludf.DUMMYFUNCTION("""COMPUTED_VALUE"""),"Hand")</f>
        <v>Hand</v>
      </c>
      <c r="E106" s="49">
        <f>IFERROR(__xludf.DUMMYFUNCTION("""COMPUTED_VALUE"""),200.0)</f>
        <v>200</v>
      </c>
      <c r="F106" s="49" t="str">
        <f>IFERROR(__xludf.DUMMYFUNCTION("""COMPUTED_VALUE"""),"DMG: +5000, Fire DMG: +5000 ++X2 Additional Fire damage. Burn 2500. Cannot be duplicated.")</f>
        <v>DMG: +5000, Fire DMG: +5000 ++X2 Additional Fire damage. Burn 2500. Cannot be duplicated.</v>
      </c>
      <c r="G106" s="49">
        <f>IFERROR(__xludf.DUMMYFUNCTION("""COMPUTED_VALUE"""),1900000.0)</f>
        <v>1900000</v>
      </c>
      <c r="H106" s="49"/>
      <c r="I106" s="49"/>
      <c r="J106" s="49"/>
      <c r="K106" s="49"/>
      <c r="L106" s="49"/>
      <c r="M106" s="49"/>
      <c r="N106" s="49"/>
      <c r="O106" s="49"/>
      <c r="P106" s="49"/>
      <c r="Q106" s="49"/>
      <c r="R106" s="49"/>
      <c r="S106" s="49"/>
      <c r="T106" s="49"/>
      <c r="U106" s="49"/>
      <c r="V106" s="49"/>
      <c r="W106" s="49"/>
      <c r="X106" s="49"/>
      <c r="Y106" s="49"/>
      <c r="Z106" s="49"/>
    </row>
    <row r="107">
      <c r="A107" s="49" t="str">
        <f>IFERROR(__xludf.DUMMYFUNCTION("""COMPUTED_VALUE"""),"Fireproof Suit")</f>
        <v>Fireproof Suit</v>
      </c>
      <c r="B107" s="49"/>
      <c r="C107" s="49"/>
      <c r="D107" s="49" t="str">
        <f>IFERROR(__xludf.DUMMYFUNCTION("""COMPUTED_VALUE"""),"Torso")</f>
        <v>Torso</v>
      </c>
      <c r="E107" s="49">
        <f>IFERROR(__xludf.DUMMYFUNCTION("""COMPUTED_VALUE"""),400.0)</f>
        <v>400</v>
      </c>
      <c r="F107" s="49" t="str">
        <f>IFERROR(__xludf.DUMMYFUNCTION("""COMPUTED_VALUE"""),"DEF: +5000, Fire DEF: +15000 Fire Immune, X2 Additional fire resistance. Cannot be duplicated.")</f>
        <v>DEF: +5000, Fire DEF: +15000 Fire Immune, X2 Additional fire resistance. Cannot be duplicated.</v>
      </c>
      <c r="G107" s="49">
        <f>IFERROR(__xludf.DUMMYFUNCTION("""COMPUTED_VALUE"""),7800000.0)</f>
        <v>7800000</v>
      </c>
      <c r="H107" s="49"/>
      <c r="I107" s="49"/>
      <c r="J107" s="49"/>
      <c r="K107" s="49"/>
      <c r="L107" s="49"/>
      <c r="M107" s="49"/>
      <c r="N107" s="49"/>
      <c r="O107" s="49"/>
      <c r="P107" s="49"/>
      <c r="Q107" s="49"/>
      <c r="R107" s="49"/>
      <c r="S107" s="49"/>
      <c r="T107" s="49"/>
      <c r="U107" s="49"/>
      <c r="V107" s="49"/>
      <c r="W107" s="49"/>
      <c r="X107" s="49"/>
      <c r="Y107" s="49"/>
      <c r="Z107" s="49"/>
    </row>
    <row r="108">
      <c r="A108" s="49" t="str">
        <f>IFERROR(__xludf.DUMMYFUNCTION("""COMPUTED_VALUE"""),"Fish Pendant")</f>
        <v>Fish Pendant</v>
      </c>
      <c r="B108" s="49"/>
      <c r="C108" s="49"/>
      <c r="D108" s="49" t="str">
        <f>IFERROR(__xludf.DUMMYFUNCTION("""COMPUTED_VALUE"""),"Neck")</f>
        <v>Neck</v>
      </c>
      <c r="E108" s="49">
        <f>IFERROR(__xludf.DUMMYFUNCTION("""COMPUTED_VALUE"""),1.0)</f>
        <v>1</v>
      </c>
      <c r="F108" s="49" t="str">
        <f>IFERROR(__xludf.DUMMYFUNCTION("""COMPUTED_VALUE""")," ++Choose the rarity of the fish when fishing +-Cannot be forged +-Cannot be duplicated +-Can only equip one")</f>
        <v> ++Choose the rarity of the fish when fishing +-Cannot be forged +-Cannot be duplicated +-Can only equip one</v>
      </c>
      <c r="G108" s="49">
        <f>IFERROR(__xludf.DUMMYFUNCTION("""COMPUTED_VALUE"""),0.0)</f>
        <v>0</v>
      </c>
      <c r="H108" s="49"/>
      <c r="I108" s="49"/>
      <c r="J108" s="49"/>
      <c r="K108" s="49"/>
      <c r="L108" s="49"/>
      <c r="M108" s="49"/>
      <c r="N108" s="49"/>
      <c r="O108" s="49"/>
      <c r="P108" s="49"/>
      <c r="Q108" s="49"/>
      <c r="R108" s="49"/>
      <c r="S108" s="49"/>
      <c r="T108" s="49"/>
      <c r="U108" s="49"/>
      <c r="V108" s="49"/>
      <c r="W108" s="49"/>
      <c r="X108" s="49"/>
      <c r="Y108" s="49"/>
      <c r="Z108" s="49"/>
    </row>
    <row r="109">
      <c r="A109" s="49" t="str">
        <f>IFERROR(__xludf.DUMMYFUNCTION("""COMPUTED_VALUE"""),"Flame Band")</f>
        <v>Flame Band</v>
      </c>
      <c r="B109" s="49"/>
      <c r="C109" s="49"/>
      <c r="D109" s="49" t="str">
        <f>IFERROR(__xludf.DUMMYFUNCTION("""COMPUTED_VALUE"""),"Arms")</f>
        <v>Arms</v>
      </c>
      <c r="E109" s="49">
        <f>IFERROR(__xludf.DUMMYFUNCTION("""COMPUTED_VALUE"""),1.0)</f>
        <v>1</v>
      </c>
      <c r="F109" s="49" t="str">
        <f>IFERROR(__xludf.DUMMYFUNCTION("""COMPUTED_VALUE""")," Fire Immune, X2 Additional fire damage. +-Cannot be duplicated")</f>
        <v> Fire Immune, X2 Additional fire damage. +-Cannot be duplicated</v>
      </c>
      <c r="G109" s="49">
        <f>IFERROR(__xludf.DUMMYFUNCTION("""COMPUTED_VALUE"""),0.0)</f>
        <v>0</v>
      </c>
      <c r="H109" s="49"/>
      <c r="I109" s="49"/>
      <c r="J109" s="49"/>
      <c r="K109" s="49"/>
      <c r="L109" s="49"/>
      <c r="M109" s="49"/>
      <c r="N109" s="49"/>
      <c r="O109" s="49"/>
      <c r="P109" s="49"/>
      <c r="Q109" s="49"/>
      <c r="R109" s="49"/>
      <c r="S109" s="49"/>
      <c r="T109" s="49"/>
      <c r="U109" s="49"/>
      <c r="V109" s="49"/>
      <c r="W109" s="49"/>
      <c r="X109" s="49"/>
      <c r="Y109" s="49"/>
      <c r="Z109" s="49"/>
    </row>
    <row r="110">
      <c r="A110" s="49" t="str">
        <f>IFERROR(__xludf.DUMMYFUNCTION("""COMPUTED_VALUE"""),"Flame Mask")</f>
        <v>Flame Mask</v>
      </c>
      <c r="B110" s="49"/>
      <c r="C110" s="49"/>
      <c r="D110" s="49" t="str">
        <f>IFERROR(__xludf.DUMMYFUNCTION("""COMPUTED_VALUE"""),"Head")</f>
        <v>Head</v>
      </c>
      <c r="E110" s="49">
        <f>IFERROR(__xludf.DUMMYFUNCTION("""COMPUTED_VALUE"""),130.0)</f>
        <v>130</v>
      </c>
      <c r="F110" s="49" t="str">
        <f>IFERROR(__xludf.DUMMYFUNCTION("""COMPUTED_VALUE"""),"DEF: +5000, Fire DEF: +1500 ++Fire Immunity, ++X2 Additional fire resistance. +-Cannot be duplicated.")</f>
        <v>DEF: +5000, Fire DEF: +1500 ++Fire Immunity, ++X2 Additional fire resistance. +-Cannot be duplicated.</v>
      </c>
      <c r="G110" s="49">
        <f>IFERROR(__xludf.DUMMYFUNCTION("""COMPUTED_VALUE"""),780000.0)</f>
        <v>780000</v>
      </c>
      <c r="H110" s="49"/>
      <c r="I110" s="49"/>
      <c r="J110" s="49"/>
      <c r="K110" s="49"/>
      <c r="L110" s="49"/>
      <c r="M110" s="49"/>
      <c r="N110" s="49"/>
      <c r="O110" s="49"/>
      <c r="P110" s="49"/>
      <c r="Q110" s="49"/>
      <c r="R110" s="49"/>
      <c r="S110" s="49"/>
      <c r="T110" s="49"/>
      <c r="U110" s="49"/>
      <c r="V110" s="49"/>
      <c r="W110" s="49"/>
      <c r="X110" s="49"/>
      <c r="Y110" s="49"/>
      <c r="Z110" s="49"/>
    </row>
    <row r="111">
      <c r="A111" s="49" t="str">
        <f>IFERROR(__xludf.DUMMYFUNCTION("""COMPUTED_VALUE"""),"Flamethrower")</f>
        <v>Flamethrower</v>
      </c>
      <c r="B111" s="49"/>
      <c r="C111" s="49" t="str">
        <f>IFERROR(__xludf.DUMMYFUNCTION("""COMPUTED_VALUE"""),"Firearm")</f>
        <v>Firearm</v>
      </c>
      <c r="D111" s="49" t="str">
        <f>IFERROR(__xludf.DUMMYFUNCTION("""COMPUTED_VALUE"""),"Hand")</f>
        <v>Hand</v>
      </c>
      <c r="E111" s="49">
        <f>IFERROR(__xludf.DUMMYFUNCTION("""COMPUTED_VALUE"""),700.0)</f>
        <v>700</v>
      </c>
      <c r="F111" s="49" t="str">
        <f>IFERROR(__xludf.DUMMYFUNCTION("""COMPUTED_VALUE"""),", Fire DMG: +35000 ++20% chance of hitting all enemies")</f>
        <v>, Fire DMG: +35000 ++20% chance of hitting all enemies</v>
      </c>
      <c r="G111" s="49">
        <f>IFERROR(__xludf.DUMMYFUNCTION("""COMPUTED_VALUE"""),2.415E7)</f>
        <v>24150000</v>
      </c>
      <c r="H111" s="49"/>
      <c r="I111" s="49"/>
      <c r="J111" s="49"/>
      <c r="K111" s="49"/>
      <c r="L111" s="49"/>
      <c r="M111" s="49"/>
      <c r="N111" s="49"/>
      <c r="O111" s="49"/>
      <c r="P111" s="49"/>
      <c r="Q111" s="49"/>
      <c r="R111" s="49"/>
      <c r="S111" s="49"/>
      <c r="T111" s="49"/>
      <c r="U111" s="49"/>
      <c r="V111" s="49"/>
      <c r="W111" s="49"/>
      <c r="X111" s="49"/>
      <c r="Y111" s="49"/>
      <c r="Z111" s="49"/>
    </row>
    <row r="112">
      <c r="A112" s="49" t="str">
        <f>IFERROR(__xludf.DUMMYFUNCTION("""COMPUTED_VALUE"""),"Flaming Sword")</f>
        <v>Flaming Sword</v>
      </c>
      <c r="B112" s="49"/>
      <c r="C112" s="49" t="str">
        <f>IFERROR(__xludf.DUMMYFUNCTION("""COMPUTED_VALUE"""),"Sword")</f>
        <v>Sword</v>
      </c>
      <c r="D112" s="49" t="str">
        <f>IFERROR(__xludf.DUMMYFUNCTION("""COMPUTED_VALUE"""),"Hand")</f>
        <v>Hand</v>
      </c>
      <c r="E112" s="49">
        <f>IFERROR(__xludf.DUMMYFUNCTION("""COMPUTED_VALUE"""),300.0)</f>
        <v>300</v>
      </c>
      <c r="F112" s="49" t="str">
        <f>IFERROR(__xludf.DUMMYFUNCTION("""COMPUTED_VALUE"""),"DMG: +5000, Fire DMG: +5000, Nature DMG: +5000 ++Burn 1000")</f>
        <v>DMG: +5000, Fire DMG: +5000, Nature DMG: +5000 ++Burn 1000</v>
      </c>
      <c r="G112" s="49">
        <f>IFERROR(__xludf.DUMMYFUNCTION("""COMPUTED_VALUE"""),4350000.0)</f>
        <v>4350000</v>
      </c>
      <c r="H112" s="49"/>
      <c r="I112" s="49"/>
      <c r="J112" s="49"/>
      <c r="K112" s="49"/>
      <c r="L112" s="49"/>
      <c r="M112" s="49"/>
      <c r="N112" s="49"/>
      <c r="O112" s="49"/>
      <c r="P112" s="49"/>
      <c r="Q112" s="49"/>
      <c r="R112" s="49"/>
      <c r="S112" s="49"/>
      <c r="T112" s="49"/>
      <c r="U112" s="49"/>
      <c r="V112" s="49"/>
      <c r="W112" s="49"/>
      <c r="X112" s="49"/>
      <c r="Y112" s="49"/>
      <c r="Z112" s="49"/>
    </row>
    <row r="113">
      <c r="A113" s="49" t="str">
        <f>IFERROR(__xludf.DUMMYFUNCTION("""COMPUTED_VALUE"""),"Foul Night Blade")</f>
        <v>Foul Night Blade</v>
      </c>
      <c r="B113" s="49"/>
      <c r="C113" s="49" t="str">
        <f>IFERROR(__xludf.DUMMYFUNCTION("""COMPUTED_VALUE"""),"Sword")</f>
        <v>Sword</v>
      </c>
      <c r="D113" s="49" t="str">
        <f>IFERROR(__xludf.DUMMYFUNCTION("""COMPUTED_VALUE"""),"Hand")</f>
        <v>Hand</v>
      </c>
      <c r="E113" s="49">
        <f>IFERROR(__xludf.DUMMYFUNCTION("""COMPUTED_VALUE"""),200.0)</f>
        <v>200</v>
      </c>
      <c r="F113" s="49"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49">
        <f>IFERROR(__xludf.DUMMYFUNCTION("""COMPUTED_VALUE"""),1900000.0)</f>
        <v>1900000</v>
      </c>
      <c r="H113" s="49"/>
      <c r="I113" s="49"/>
      <c r="J113" s="49"/>
      <c r="K113" s="49"/>
      <c r="L113" s="49"/>
      <c r="M113" s="49"/>
      <c r="N113" s="49"/>
      <c r="O113" s="49"/>
      <c r="P113" s="49"/>
      <c r="Q113" s="49"/>
      <c r="R113" s="49"/>
      <c r="S113" s="49"/>
      <c r="T113" s="49"/>
      <c r="U113" s="49"/>
      <c r="V113" s="49"/>
      <c r="W113" s="49"/>
      <c r="X113" s="49"/>
      <c r="Y113" s="49"/>
      <c r="Z113" s="49"/>
    </row>
    <row r="114">
      <c r="A114" s="49" t="str">
        <f>IFERROR(__xludf.DUMMYFUNCTION("""COMPUTED_VALUE"""),"Freezing Chains")</f>
        <v>Freezing Chains</v>
      </c>
      <c r="B114" s="49"/>
      <c r="C114" s="49" t="str">
        <f>IFERROR(__xludf.DUMMYFUNCTION("""COMPUTED_VALUE"""),"Club")</f>
        <v>Club</v>
      </c>
      <c r="D114" s="49" t="str">
        <f>IFERROR(__xludf.DUMMYFUNCTION("""COMPUTED_VALUE"""),"Hand")</f>
        <v>Hand</v>
      </c>
      <c r="E114" s="49">
        <f>IFERROR(__xludf.DUMMYFUNCTION("""COMPUTED_VALUE"""),200.0)</f>
        <v>200</v>
      </c>
      <c r="F114" s="49" t="str">
        <f>IFERROR(__xludf.DUMMYFUNCTION("""COMPUTED_VALUE"""),"DMG: +5000, Water DMG: +5000 ++Frost Bind- binds the target freezing them until the end of their next turn")</f>
        <v>DMG: +5000, Water DMG: +5000 ++Frost Bind- binds the target freezing them until the end of their next turn</v>
      </c>
      <c r="G114" s="49">
        <f>IFERROR(__xludf.DUMMYFUNCTION("""COMPUTED_VALUE"""),1900000.0)</f>
        <v>1900000</v>
      </c>
      <c r="H114" s="49"/>
      <c r="I114" s="49"/>
      <c r="J114" s="49"/>
      <c r="K114" s="49"/>
      <c r="L114" s="49"/>
      <c r="M114" s="49"/>
      <c r="N114" s="49"/>
      <c r="O114" s="49"/>
      <c r="P114" s="49"/>
      <c r="Q114" s="49"/>
      <c r="R114" s="49"/>
      <c r="S114" s="49"/>
      <c r="T114" s="49"/>
      <c r="U114" s="49"/>
      <c r="V114" s="49"/>
      <c r="W114" s="49"/>
      <c r="X114" s="49"/>
      <c r="Y114" s="49"/>
      <c r="Z114" s="49"/>
    </row>
    <row r="115">
      <c r="A115" s="49" t="str">
        <f>IFERROR(__xludf.DUMMYFUNCTION("""COMPUTED_VALUE"""),"Frost Bow")</f>
        <v>Frost Bow</v>
      </c>
      <c r="B115" s="49"/>
      <c r="C115" s="49" t="str">
        <f>IFERROR(__xludf.DUMMYFUNCTION("""COMPUTED_VALUE"""),"Bow")</f>
        <v>Bow</v>
      </c>
      <c r="D115" s="49" t="str">
        <f>IFERROR(__xludf.DUMMYFUNCTION("""COMPUTED_VALUE"""),"Hand")</f>
        <v>Hand</v>
      </c>
      <c r="E115" s="49">
        <f>IFERROR(__xludf.DUMMYFUNCTION("""COMPUTED_VALUE"""),180.0)</f>
        <v>180</v>
      </c>
      <c r="F115" s="49" t="str">
        <f>IFERROR(__xludf.DUMMYFUNCTION("""COMPUTED_VALUE"""),"DMG: +5000, Water DMG: +4000 ++Arrows Used with this bow have a 50% chance to freeze the target(s)")</f>
        <v>DMG: +5000, Water DMG: +4000 ++Arrows Used with this bow have a 50% chance to freeze the target(s)</v>
      </c>
      <c r="G115" s="49">
        <f>IFERROR(__xludf.DUMMYFUNCTION("""COMPUTED_VALUE"""),1530000.0)</f>
        <v>1530000</v>
      </c>
      <c r="H115" s="49"/>
      <c r="I115" s="49"/>
      <c r="J115" s="49"/>
      <c r="K115" s="49"/>
      <c r="L115" s="49"/>
      <c r="M115" s="49"/>
      <c r="N115" s="49"/>
      <c r="O115" s="49"/>
      <c r="P115" s="49"/>
      <c r="Q115" s="49"/>
      <c r="R115" s="49"/>
      <c r="S115" s="49"/>
      <c r="T115" s="49"/>
      <c r="U115" s="49"/>
      <c r="V115" s="49"/>
      <c r="W115" s="49"/>
      <c r="X115" s="49"/>
      <c r="Y115" s="49"/>
      <c r="Z115" s="49"/>
    </row>
    <row r="116">
      <c r="A116" s="49" t="str">
        <f>IFERROR(__xludf.DUMMYFUNCTION("""COMPUTED_VALUE"""),"Frost Cloak")</f>
        <v>Frost Cloak</v>
      </c>
      <c r="B116" s="49"/>
      <c r="C116" s="49"/>
      <c r="D116" s="49" t="str">
        <f>IFERROR(__xludf.DUMMYFUNCTION("""COMPUTED_VALUE"""),"Torso")</f>
        <v>Torso</v>
      </c>
      <c r="E116" s="49">
        <f>IFERROR(__xludf.DUMMYFUNCTION("""COMPUTED_VALUE"""),1.0)</f>
        <v>1</v>
      </c>
      <c r="F116" s="49" t="str">
        <f>IFERROR(__xludf.DUMMYFUNCTION("""COMPUTED_VALUE""")," (Frost Mage Set) ++When caster is hit by an enemy,the enemy is frozen for 5r/s caster,s cloak last for 3 r/s 90 sp")</f>
        <v> (Frost Mage Set) ++When caster is hit by an enemy,the enemy is frozen for 5r/s caster,s cloak last for 3 r/s 90 sp</v>
      </c>
      <c r="G116" s="49">
        <f>IFERROR(__xludf.DUMMYFUNCTION("""COMPUTED_VALUE"""),0.0)</f>
        <v>0</v>
      </c>
      <c r="H116" s="49"/>
      <c r="I116" s="49"/>
      <c r="J116" s="49"/>
      <c r="K116" s="49"/>
      <c r="L116" s="49"/>
      <c r="M116" s="49"/>
      <c r="N116" s="49"/>
      <c r="O116" s="49"/>
      <c r="P116" s="49"/>
      <c r="Q116" s="49"/>
      <c r="R116" s="49"/>
      <c r="S116" s="49"/>
      <c r="T116" s="49"/>
      <c r="U116" s="49"/>
      <c r="V116" s="49"/>
      <c r="W116" s="49"/>
      <c r="X116" s="49"/>
      <c r="Y116" s="49"/>
      <c r="Z116" s="49"/>
    </row>
    <row r="117">
      <c r="A117" s="49" t="str">
        <f>IFERROR(__xludf.DUMMYFUNCTION("""COMPUTED_VALUE"""),"Frost Spear")</f>
        <v>Frost Spear</v>
      </c>
      <c r="B117" s="49" t="str">
        <f>IFERROR(__xludf.DUMMYFUNCTION("""COMPUTED_VALUE"""),"Event Exclusive")</f>
        <v>Event Exclusive</v>
      </c>
      <c r="C117" s="49" t="str">
        <f>IFERROR(__xludf.DUMMYFUNCTION("""COMPUTED_VALUE"""),"Spear")</f>
        <v>Spear</v>
      </c>
      <c r="D117" s="49" t="str">
        <f>IFERROR(__xludf.DUMMYFUNCTION("""COMPUTED_VALUE"""),"Hand")</f>
        <v>Hand</v>
      </c>
      <c r="E117" s="49">
        <f>IFERROR(__xludf.DUMMYFUNCTION("""COMPUTED_VALUE"""),1000.0)</f>
        <v>1000</v>
      </c>
      <c r="F117" s="49" t="str">
        <f>IFERROR(__xludf.DUMMYFUNCTION("""COMPUTED_VALUE"""),"DMG: +25000, Storm DMG: +25000 (The Frozen Spear Master Set) ++50% chance to freeze any enemies hit with this weapon")</f>
        <v>DMG: +25000, Storm DMG: +25000 (The Frozen Spear Master Set) ++50% chance to freeze any enemies hit with this weapon</v>
      </c>
      <c r="G117" s="49">
        <f>IFERROR(__xludf.DUMMYFUNCTION("""COMPUTED_VALUE"""),4.95E7)</f>
        <v>49500000</v>
      </c>
      <c r="H117" s="49"/>
      <c r="I117" s="49"/>
      <c r="J117" s="49"/>
      <c r="K117" s="49"/>
      <c r="L117" s="49"/>
      <c r="M117" s="49"/>
      <c r="N117" s="49"/>
      <c r="O117" s="49"/>
      <c r="P117" s="49"/>
      <c r="Q117" s="49"/>
      <c r="R117" s="49"/>
      <c r="S117" s="49"/>
      <c r="T117" s="49"/>
      <c r="U117" s="49"/>
      <c r="V117" s="49"/>
      <c r="W117" s="49"/>
      <c r="X117" s="49"/>
      <c r="Y117" s="49"/>
      <c r="Z117" s="49"/>
    </row>
    <row r="118">
      <c r="A118" s="49" t="str">
        <f>IFERROR(__xludf.DUMMYFUNCTION("""COMPUTED_VALUE"""),"Frozen Carrot Dagger")</f>
        <v>Frozen Carrot Dagger</v>
      </c>
      <c r="B118" s="49" t="str">
        <f>IFERROR(__xludf.DUMMYFUNCTION("""COMPUTED_VALUE"""),"Event Exclusive")</f>
        <v>Event Exclusive</v>
      </c>
      <c r="C118" s="49" t="str">
        <f>IFERROR(__xludf.DUMMYFUNCTION("""COMPUTED_VALUE"""),"Knife")</f>
        <v>Knife</v>
      </c>
      <c r="D118" s="49" t="str">
        <f>IFERROR(__xludf.DUMMYFUNCTION("""COMPUTED_VALUE"""),"Hand")</f>
        <v>Hand</v>
      </c>
      <c r="E118" s="49">
        <f>IFERROR(__xludf.DUMMYFUNCTION("""COMPUTED_VALUE"""),200.0)</f>
        <v>200</v>
      </c>
      <c r="F118" s="49" t="str">
        <f>IFERROR(__xludf.DUMMYFUNCTION("""COMPUTED_VALUE"""),"DMG: +5000, Water DMG: +5000")</f>
        <v>DMG: +5000, Water DMG: +5000</v>
      </c>
      <c r="G118" s="49">
        <f>IFERROR(__xludf.DUMMYFUNCTION("""COMPUTED_VALUE"""),1900000.0)</f>
        <v>1900000</v>
      </c>
      <c r="H118" s="49"/>
      <c r="I118" s="49"/>
      <c r="J118" s="49"/>
      <c r="K118" s="49"/>
      <c r="L118" s="49"/>
      <c r="M118" s="49"/>
      <c r="N118" s="49"/>
      <c r="O118" s="49"/>
      <c r="P118" s="49"/>
      <c r="Q118" s="49"/>
      <c r="R118" s="49"/>
      <c r="S118" s="49"/>
      <c r="T118" s="49"/>
      <c r="U118" s="49"/>
      <c r="V118" s="49"/>
      <c r="W118" s="49"/>
      <c r="X118" s="49"/>
      <c r="Y118" s="49"/>
      <c r="Z118" s="49"/>
    </row>
    <row r="119">
      <c r="A119" s="49" t="str">
        <f>IFERROR(__xludf.DUMMYFUNCTION("""COMPUTED_VALUE"""),"Frozen Falchion")</f>
        <v>Frozen Falchion</v>
      </c>
      <c r="B119" s="49"/>
      <c r="C119" s="49" t="str">
        <f>IFERROR(__xludf.DUMMYFUNCTION("""COMPUTED_VALUE"""),"Sword")</f>
        <v>Sword</v>
      </c>
      <c r="D119" s="49" t="str">
        <f>IFERROR(__xludf.DUMMYFUNCTION("""COMPUTED_VALUE"""),"Hand")</f>
        <v>Hand</v>
      </c>
      <c r="E119" s="49">
        <f>IFERROR(__xludf.DUMMYFUNCTION("""COMPUTED_VALUE"""),400.0)</f>
        <v>400</v>
      </c>
      <c r="F119" s="49"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49">
        <f>IFERROR(__xludf.DUMMYFUNCTION("""COMPUTED_VALUE"""),7800000.0)</f>
        <v>7800000</v>
      </c>
      <c r="H119" s="49"/>
      <c r="I119" s="49"/>
      <c r="J119" s="49"/>
      <c r="K119" s="49"/>
      <c r="L119" s="49"/>
      <c r="M119" s="49"/>
      <c r="N119" s="49"/>
      <c r="O119" s="49"/>
      <c r="P119" s="49"/>
      <c r="Q119" s="49"/>
      <c r="R119" s="49"/>
      <c r="S119" s="49"/>
      <c r="T119" s="49"/>
      <c r="U119" s="49"/>
      <c r="V119" s="49"/>
      <c r="W119" s="49"/>
      <c r="X119" s="49"/>
      <c r="Y119" s="49"/>
      <c r="Z119" s="49"/>
    </row>
    <row r="120">
      <c r="A120" s="49" t="str">
        <f>IFERROR(__xludf.DUMMYFUNCTION("""COMPUTED_VALUE"""),"Frozen Soul Lantern")</f>
        <v>Frozen Soul Lantern</v>
      </c>
      <c r="B120" s="49"/>
      <c r="C120" s="49" t="str">
        <f>IFERROR(__xludf.DUMMYFUNCTION("""COMPUTED_VALUE"""),"Wand")</f>
        <v>Wand</v>
      </c>
      <c r="D120" s="49" t="str">
        <f>IFERROR(__xludf.DUMMYFUNCTION("""COMPUTED_VALUE"""),"Hand")</f>
        <v>Hand</v>
      </c>
      <c r="E120" s="49">
        <f>IFERROR(__xludf.DUMMYFUNCTION("""COMPUTED_VALUE"""),1.0)</f>
        <v>1</v>
      </c>
      <c r="F120" s="49"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49">
        <f>IFERROR(__xludf.DUMMYFUNCTION("""COMPUTED_VALUE"""),0.0)</f>
        <v>0</v>
      </c>
      <c r="H120" s="49"/>
      <c r="I120" s="49"/>
      <c r="J120" s="49"/>
      <c r="K120" s="49"/>
      <c r="L120" s="49"/>
      <c r="M120" s="49"/>
      <c r="N120" s="49"/>
      <c r="O120" s="49"/>
      <c r="P120" s="49"/>
      <c r="Q120" s="49"/>
      <c r="R120" s="49"/>
      <c r="S120" s="49"/>
      <c r="T120" s="49"/>
      <c r="U120" s="49"/>
      <c r="V120" s="49"/>
      <c r="W120" s="49"/>
      <c r="X120" s="49"/>
      <c r="Y120" s="49"/>
      <c r="Z120" s="49"/>
    </row>
    <row r="121">
      <c r="A121" s="49" t="str">
        <f>IFERROR(__xludf.DUMMYFUNCTION("""COMPUTED_VALUE"""),"Gargoyle War Horn")</f>
        <v>Gargoyle War Horn</v>
      </c>
      <c r="B121" s="49"/>
      <c r="C121" s="49" t="str">
        <f>IFERROR(__xludf.DUMMYFUNCTION("""COMPUTED_VALUE"""),"Wand")</f>
        <v>Wand</v>
      </c>
      <c r="D121" s="49" t="str">
        <f>IFERROR(__xludf.DUMMYFUNCTION("""COMPUTED_VALUE"""),"Hand")</f>
        <v>Hand</v>
      </c>
      <c r="E121" s="49">
        <f>IFERROR(__xludf.DUMMYFUNCTION("""COMPUTED_VALUE"""),1.0)</f>
        <v>1</v>
      </c>
      <c r="F121" s="49" t="str">
        <f>IFERROR(__xludf.DUMMYFUNCTION("""COMPUTED_VALUE""")," ++Summons a d2 of Gargoyles to help you in battle. +-Can only be used once per battle.")</f>
        <v> ++Summons a d2 of Gargoyles to help you in battle. +-Can only be used once per battle.</v>
      </c>
      <c r="G121" s="49">
        <f>IFERROR(__xludf.DUMMYFUNCTION("""COMPUTED_VALUE"""),0.0)</f>
        <v>0</v>
      </c>
      <c r="H121" s="49"/>
      <c r="I121" s="49"/>
      <c r="J121" s="49"/>
      <c r="K121" s="49"/>
      <c r="L121" s="49"/>
      <c r="M121" s="49"/>
      <c r="N121" s="49"/>
      <c r="O121" s="49"/>
      <c r="P121" s="49"/>
      <c r="Q121" s="49"/>
      <c r="R121" s="49"/>
      <c r="S121" s="49"/>
      <c r="T121" s="49"/>
      <c r="U121" s="49"/>
      <c r="V121" s="49"/>
      <c r="W121" s="49"/>
      <c r="X121" s="49"/>
      <c r="Y121" s="49"/>
      <c r="Z121" s="49"/>
    </row>
    <row r="122">
      <c r="A122" s="49" t="str">
        <f>IFERROR(__xludf.DUMMYFUNCTION("""COMPUTED_VALUE"""),"Gargoyle’s Heavy Enchanted Bow")</f>
        <v>Gargoyle’s Heavy Enchanted Bow</v>
      </c>
      <c r="B122" s="49"/>
      <c r="C122" s="49" t="str">
        <f>IFERROR(__xludf.DUMMYFUNCTION("""COMPUTED_VALUE"""),"Bow")</f>
        <v>Bow</v>
      </c>
      <c r="D122" s="49" t="str">
        <f>IFERROR(__xludf.DUMMYFUNCTION("""COMPUTED_VALUE"""),"Hand")</f>
        <v>Hand</v>
      </c>
      <c r="E122" s="49">
        <f>IFERROR(__xludf.DUMMYFUNCTION("""COMPUTED_VALUE"""),3000.0)</f>
        <v>3000</v>
      </c>
      <c r="F122" s="49" t="str">
        <f>IFERROR(__xludf.DUMMYFUNCTION("""COMPUTED_VALUE"""),"DMG: +100000, Earth DMG: +50000 ++Damage dealt with this bow gives you hp back equal to the damage you dealt. ")</f>
        <v>DMG: +100000, Earth DMG: +50000 ++Damage dealt with this bow gives you hp back equal to the damage you dealt. </v>
      </c>
      <c r="G122" s="49">
        <f>IFERROR(__xludf.DUMMYFUNCTION("""COMPUTED_VALUE"""),4.485E8)</f>
        <v>448500000</v>
      </c>
      <c r="H122" s="49"/>
      <c r="I122" s="49"/>
      <c r="J122" s="49"/>
      <c r="K122" s="49"/>
      <c r="L122" s="49"/>
      <c r="M122" s="49"/>
      <c r="N122" s="49"/>
      <c r="O122" s="49"/>
      <c r="P122" s="49"/>
      <c r="Q122" s="49"/>
      <c r="R122" s="49"/>
      <c r="S122" s="49"/>
      <c r="T122" s="49"/>
      <c r="U122" s="49"/>
      <c r="V122" s="49"/>
      <c r="W122" s="49"/>
      <c r="X122" s="49"/>
      <c r="Y122" s="49"/>
      <c r="Z122" s="49"/>
    </row>
    <row r="123">
      <c r="A123" s="49" t="str">
        <f>IFERROR(__xludf.DUMMYFUNCTION("""COMPUTED_VALUE"""),"Gargoyle’s Necklace of Luck ")</f>
        <v>Gargoyle’s Necklace of Luck </v>
      </c>
      <c r="B123" s="49"/>
      <c r="C123" s="49"/>
      <c r="D123" s="49" t="str">
        <f>IFERROR(__xludf.DUMMYFUNCTION("""COMPUTED_VALUE"""),"Neck")</f>
        <v>Neck</v>
      </c>
      <c r="E123" s="49">
        <f>IFERROR(__xludf.DUMMYFUNCTION("""COMPUTED_VALUE"""),1.0)</f>
        <v>1</v>
      </c>
      <c r="F123" s="49"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49">
        <f>IFERROR(__xludf.DUMMYFUNCTION("""COMPUTED_VALUE"""),0.0)</f>
        <v>0</v>
      </c>
      <c r="H123" s="49"/>
      <c r="I123" s="49"/>
      <c r="J123" s="49"/>
      <c r="K123" s="49"/>
      <c r="L123" s="49"/>
      <c r="M123" s="49"/>
      <c r="N123" s="49"/>
      <c r="O123" s="49"/>
      <c r="P123" s="49"/>
      <c r="Q123" s="49"/>
      <c r="R123" s="49"/>
      <c r="S123" s="49"/>
      <c r="T123" s="49"/>
      <c r="U123" s="49"/>
      <c r="V123" s="49"/>
      <c r="W123" s="49"/>
      <c r="X123" s="49"/>
      <c r="Y123" s="49"/>
      <c r="Z123" s="49"/>
    </row>
    <row r="124">
      <c r="A124" s="49" t="str">
        <f>IFERROR(__xludf.DUMMYFUNCTION("""COMPUTED_VALUE"""),"Gargoyle’s Ring")</f>
        <v>Gargoyle’s Ring</v>
      </c>
      <c r="B124" s="49"/>
      <c r="C124" s="49"/>
      <c r="D124" s="49" t="str">
        <f>IFERROR(__xludf.DUMMYFUNCTION("""COMPUTED_VALUE"""),"Ring")</f>
        <v>Ring</v>
      </c>
      <c r="E124" s="49">
        <f>IFERROR(__xludf.DUMMYFUNCTION("""COMPUTED_VALUE"""),1.0)</f>
        <v>1</v>
      </c>
      <c r="F124" s="49"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49">
        <f>IFERROR(__xludf.DUMMYFUNCTION("""COMPUTED_VALUE"""),0.0)</f>
        <v>0</v>
      </c>
      <c r="H124" s="49"/>
      <c r="I124" s="49"/>
      <c r="J124" s="49"/>
      <c r="K124" s="49"/>
      <c r="L124" s="49"/>
      <c r="M124" s="49"/>
      <c r="N124" s="49"/>
      <c r="O124" s="49"/>
      <c r="P124" s="49"/>
      <c r="Q124" s="49"/>
      <c r="R124" s="49"/>
      <c r="S124" s="49"/>
      <c r="T124" s="49"/>
      <c r="U124" s="49"/>
      <c r="V124" s="49"/>
      <c r="W124" s="49"/>
      <c r="X124" s="49"/>
      <c r="Y124" s="49"/>
      <c r="Z124" s="49"/>
    </row>
    <row r="125">
      <c r="A125" s="49" t="str">
        <f>IFERROR(__xludf.DUMMYFUNCTION("""COMPUTED_VALUE"""),"Giant Spider Leg")</f>
        <v>Giant Spider Leg</v>
      </c>
      <c r="B125" s="49"/>
      <c r="C125" s="49" t="str">
        <f>IFERROR(__xludf.DUMMYFUNCTION("""COMPUTED_VALUE"""),"Knife")</f>
        <v>Knife</v>
      </c>
      <c r="D125" s="49" t="str">
        <f>IFERROR(__xludf.DUMMYFUNCTION("""COMPUTED_VALUE"""),"Hand")</f>
        <v>Hand</v>
      </c>
      <c r="E125" s="49">
        <f>IFERROR(__xludf.DUMMYFUNCTION("""COMPUTED_VALUE"""),200.0)</f>
        <v>200</v>
      </c>
      <c r="F125" s="49" t="str">
        <f>IFERROR(__xludf.DUMMYFUNCTION("""COMPUTED_VALUE"""),"ATK: +10000 ++When hitting an enemy inflict them with poison 500")</f>
        <v>ATK: +10000 ++When hitting an enemy inflict them with poison 500</v>
      </c>
      <c r="G125" s="49">
        <f>IFERROR(__xludf.DUMMYFUNCTION("""COMPUTED_VALUE"""),1900000.0)</f>
        <v>1900000</v>
      </c>
      <c r="H125" s="49"/>
      <c r="I125" s="49"/>
      <c r="J125" s="49"/>
      <c r="K125" s="49"/>
      <c r="L125" s="49"/>
      <c r="M125" s="49"/>
      <c r="N125" s="49"/>
      <c r="O125" s="49"/>
      <c r="P125" s="49"/>
      <c r="Q125" s="49"/>
      <c r="R125" s="49"/>
      <c r="S125" s="49"/>
      <c r="T125" s="49"/>
      <c r="U125" s="49"/>
      <c r="V125" s="49"/>
      <c r="W125" s="49"/>
      <c r="X125" s="49"/>
      <c r="Y125" s="49"/>
      <c r="Z125" s="49"/>
    </row>
    <row r="126">
      <c r="A126" s="49" t="str">
        <f>IFERROR(__xludf.DUMMYFUNCTION("""COMPUTED_VALUE"""),"Glass Shield")</f>
        <v>Glass Shield</v>
      </c>
      <c r="B126" s="49"/>
      <c r="C126" s="49" t="str">
        <f>IFERROR(__xludf.DUMMYFUNCTION("""COMPUTED_VALUE"""),"Towershield")</f>
        <v>Towershield</v>
      </c>
      <c r="D126" s="49" t="str">
        <f>IFERROR(__xludf.DUMMYFUNCTION("""COMPUTED_VALUE"""),"Hand")</f>
        <v>Hand</v>
      </c>
      <c r="E126" s="49">
        <f>IFERROR(__xludf.DUMMYFUNCTION("""COMPUTED_VALUE"""),1000.0)</f>
        <v>1000</v>
      </c>
      <c r="F126" s="49" t="str">
        <f>IFERROR(__xludf.DUMMYFUNCTION("""COMPUTED_VALUE"""),"DEF: +50000 +-has a 50% chance of breaking upon taking damage")</f>
        <v>DEF: +50000 +-has a 50% chance of breaking upon taking damage</v>
      </c>
      <c r="G126" s="49">
        <f>IFERROR(__xludf.DUMMYFUNCTION("""COMPUTED_VALUE"""),4.95E7)</f>
        <v>49500000</v>
      </c>
      <c r="H126" s="49"/>
      <c r="I126" s="49"/>
      <c r="J126" s="49"/>
      <c r="K126" s="49"/>
      <c r="L126" s="49"/>
      <c r="M126" s="49"/>
      <c r="N126" s="49"/>
      <c r="O126" s="49"/>
      <c r="P126" s="49"/>
      <c r="Q126" s="49"/>
      <c r="R126" s="49"/>
      <c r="S126" s="49"/>
      <c r="T126" s="49"/>
      <c r="U126" s="49"/>
      <c r="V126" s="49"/>
      <c r="W126" s="49"/>
      <c r="X126" s="49"/>
      <c r="Y126" s="49"/>
      <c r="Z126" s="49"/>
    </row>
    <row r="127">
      <c r="A127" s="49" t="str">
        <f>IFERROR(__xludf.DUMMYFUNCTION("""COMPUTED_VALUE"""),"Goose Staff")</f>
        <v>Goose Staff</v>
      </c>
      <c r="B127" s="49"/>
      <c r="C127" s="49" t="str">
        <f>IFERROR(__xludf.DUMMYFUNCTION("""COMPUTED_VALUE"""),"Staff")</f>
        <v>Staff</v>
      </c>
      <c r="D127" s="49" t="str">
        <f>IFERROR(__xludf.DUMMYFUNCTION("""COMPUTED_VALUE"""),"Hand")</f>
        <v>Hand</v>
      </c>
      <c r="E127" s="49">
        <f>IFERROR(__xludf.DUMMYFUNCTION("""COMPUTED_VALUE"""),1.0)</f>
        <v>1</v>
      </c>
      <c r="F127" s="49" t="str">
        <f>IFERROR(__xludf.DUMMYFUNCTION("""COMPUTED_VALUE""")," ++Summons Lord Goose to aid you in battle, 1000 SP.")</f>
        <v> ++Summons Lord Goose to aid you in battle, 1000 SP.</v>
      </c>
      <c r="G127" s="49">
        <f>IFERROR(__xludf.DUMMYFUNCTION("""COMPUTED_VALUE"""),0.0)</f>
        <v>0</v>
      </c>
      <c r="H127" s="49"/>
      <c r="I127" s="49"/>
      <c r="J127" s="49"/>
      <c r="K127" s="49"/>
      <c r="L127" s="49"/>
      <c r="M127" s="49"/>
      <c r="N127" s="49"/>
      <c r="O127" s="49"/>
      <c r="P127" s="49"/>
      <c r="Q127" s="49"/>
      <c r="R127" s="49"/>
      <c r="S127" s="49"/>
      <c r="T127" s="49"/>
      <c r="U127" s="49"/>
      <c r="V127" s="49"/>
      <c r="W127" s="49"/>
      <c r="X127" s="49"/>
      <c r="Y127" s="49"/>
      <c r="Z127" s="49"/>
    </row>
    <row r="128">
      <c r="A128" s="49" t="str">
        <f>IFERROR(__xludf.DUMMYFUNCTION("""COMPUTED_VALUE"""),"Grand Hellfire Sword")</f>
        <v>Grand Hellfire Sword</v>
      </c>
      <c r="B128" s="49"/>
      <c r="C128" s="49" t="str">
        <f>IFERROR(__xludf.DUMMYFUNCTION("""COMPUTED_VALUE"""),"Sword")</f>
        <v>Sword</v>
      </c>
      <c r="D128" s="49" t="str">
        <f>IFERROR(__xludf.DUMMYFUNCTION("""COMPUTED_VALUE"""),"Hand")</f>
        <v>Hand</v>
      </c>
      <c r="E128" s="49">
        <f>IFERROR(__xludf.DUMMYFUNCTION("""COMPUTED_VALUE"""),200.0)</f>
        <v>200</v>
      </c>
      <c r="F128" s="49"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49">
        <f>IFERROR(__xludf.DUMMYFUNCTION("""COMPUTED_VALUE"""),1.797E9)</f>
        <v>1797000000</v>
      </c>
      <c r="H128" s="49"/>
      <c r="I128" s="49"/>
      <c r="J128" s="49"/>
      <c r="K128" s="49"/>
      <c r="L128" s="49"/>
      <c r="M128" s="49"/>
      <c r="N128" s="49"/>
      <c r="O128" s="49"/>
      <c r="P128" s="49"/>
      <c r="Q128" s="49"/>
      <c r="R128" s="49"/>
      <c r="S128" s="49"/>
      <c r="T128" s="49"/>
      <c r="U128" s="49"/>
      <c r="V128" s="49"/>
      <c r="W128" s="49"/>
      <c r="X128" s="49"/>
      <c r="Y128" s="49"/>
      <c r="Z128" s="49"/>
    </row>
    <row r="129">
      <c r="A129" s="49" t="str">
        <f>IFERROR(__xludf.DUMMYFUNCTION("""COMPUTED_VALUE"""),"Grand Master Bow")</f>
        <v>Grand Master Bow</v>
      </c>
      <c r="B129" s="49"/>
      <c r="C129" s="49" t="str">
        <f>IFERROR(__xludf.DUMMYFUNCTION("""COMPUTED_VALUE"""),"Bow")</f>
        <v>Bow</v>
      </c>
      <c r="D129" s="49" t="str">
        <f>IFERROR(__xludf.DUMMYFUNCTION("""COMPUTED_VALUE"""),"Hand")</f>
        <v>Hand</v>
      </c>
      <c r="E129" s="49">
        <f>IFERROR(__xludf.DUMMYFUNCTION("""COMPUTED_VALUE"""),20.0)</f>
        <v>20</v>
      </c>
      <c r="F129" s="49" t="str">
        <f>IFERROR(__xludf.DUMMYFUNCTION("""COMPUTED_VALUE"""),"DMG: +1000 ++X4 additional damage towards ranged attacks. +-Only Archers can equip. +-Cannot be duplicated. ")</f>
        <v>DMG: +1000 ++X4 additional damage towards ranged attacks. +-Only Archers can equip. +-Cannot be duplicated. </v>
      </c>
      <c r="G129" s="49">
        <f>IFERROR(__xludf.DUMMYFUNCTION("""COMPUTED_VALUE"""),10000.0)</f>
        <v>10000</v>
      </c>
      <c r="H129" s="49"/>
      <c r="I129" s="49"/>
      <c r="J129" s="49"/>
      <c r="K129" s="49"/>
      <c r="L129" s="49"/>
      <c r="M129" s="49"/>
      <c r="N129" s="49"/>
      <c r="O129" s="49"/>
      <c r="P129" s="49"/>
      <c r="Q129" s="49"/>
      <c r="R129" s="49"/>
      <c r="S129" s="49"/>
      <c r="T129" s="49"/>
      <c r="U129" s="49"/>
      <c r="V129" s="49"/>
      <c r="W129" s="49"/>
      <c r="X129" s="49"/>
      <c r="Y129" s="49"/>
      <c r="Z129" s="49"/>
    </row>
    <row r="130">
      <c r="A130" s="49" t="str">
        <f>IFERROR(__xludf.DUMMYFUNCTION("""COMPUTED_VALUE"""),"Grass Sword")</f>
        <v>Grass Sword</v>
      </c>
      <c r="B130" s="49" t="str">
        <f>IFERROR(__xludf.DUMMYFUNCTION("""COMPUTED_VALUE"""),"A strong grass entity in the form of a sword")</f>
        <v>A strong grass entity in the form of a sword</v>
      </c>
      <c r="C130" s="49" t="str">
        <f>IFERROR(__xludf.DUMMYFUNCTION("""COMPUTED_VALUE"""),"Sword")</f>
        <v>Sword</v>
      </c>
      <c r="D130" s="49" t="str">
        <f>IFERROR(__xludf.DUMMYFUNCTION("""COMPUTED_VALUE"""),"Hand")</f>
        <v>Hand</v>
      </c>
      <c r="E130" s="49">
        <f>IFERROR(__xludf.DUMMYFUNCTION("""COMPUTED_VALUE"""),1.0)</f>
        <v>1</v>
      </c>
      <c r="F130" s="49" t="str">
        <f>IFERROR(__xludf.DUMMYFUNCTION("""COMPUTED_VALUE"""),"DMG: +250")</f>
        <v>DMG: +250</v>
      </c>
      <c r="G130" s="49">
        <f>IFERROR(__xludf.DUMMYFUNCTION("""COMPUTED_VALUE"""),0.0)</f>
        <v>0</v>
      </c>
      <c r="H130" s="49"/>
      <c r="I130" s="49"/>
      <c r="J130" s="49"/>
      <c r="K130" s="49"/>
      <c r="L130" s="49"/>
      <c r="M130" s="49"/>
      <c r="N130" s="49"/>
      <c r="O130" s="49"/>
      <c r="P130" s="49"/>
      <c r="Q130" s="49"/>
      <c r="R130" s="49"/>
      <c r="S130" s="49"/>
      <c r="T130" s="49"/>
      <c r="U130" s="49"/>
      <c r="V130" s="49"/>
      <c r="W130" s="49"/>
      <c r="X130" s="49"/>
      <c r="Y130" s="49"/>
      <c r="Z130" s="49"/>
    </row>
    <row r="131">
      <c r="A131" s="49" t="str">
        <f>IFERROR(__xludf.DUMMYFUNCTION("""COMPUTED_VALUE"""),"Great Stone Gargoyle Sword")</f>
        <v>Great Stone Gargoyle Sword</v>
      </c>
      <c r="B131" s="49"/>
      <c r="C131" s="49" t="str">
        <f>IFERROR(__xludf.DUMMYFUNCTION("""COMPUTED_VALUE"""),"Sword")</f>
        <v>Sword</v>
      </c>
      <c r="D131" s="49" t="str">
        <f>IFERROR(__xludf.DUMMYFUNCTION("""COMPUTED_VALUE"""),"Hand")</f>
        <v>Hand</v>
      </c>
      <c r="E131" s="49">
        <f>IFERROR(__xludf.DUMMYFUNCTION("""COMPUTED_VALUE"""),4000.0)</f>
        <v>4000</v>
      </c>
      <c r="F131" s="49"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49">
        <f>IFERROR(__xludf.DUMMYFUNCTION("""COMPUTED_VALUE"""),7.98E8)</f>
        <v>798000000</v>
      </c>
      <c r="H131" s="49"/>
      <c r="I131" s="49"/>
      <c r="J131" s="49"/>
      <c r="K131" s="49"/>
      <c r="L131" s="49"/>
      <c r="M131" s="49"/>
      <c r="N131" s="49"/>
      <c r="O131" s="49"/>
      <c r="P131" s="49"/>
      <c r="Q131" s="49"/>
      <c r="R131" s="49"/>
      <c r="S131" s="49"/>
      <c r="T131" s="49"/>
      <c r="U131" s="49"/>
      <c r="V131" s="49"/>
      <c r="W131" s="49"/>
      <c r="X131" s="49"/>
      <c r="Y131" s="49"/>
      <c r="Z131" s="49"/>
    </row>
    <row r="132">
      <c r="A132" s="49" t="str">
        <f>IFERROR(__xludf.DUMMYFUNCTION("""COMPUTED_VALUE"""),"Greaves of The Sea Serpent")</f>
        <v>Greaves of The Sea Serpent</v>
      </c>
      <c r="B132" s="49"/>
      <c r="C132" s="49"/>
      <c r="D132" s="49" t="str">
        <f>IFERROR(__xludf.DUMMYFUNCTION("""COMPUTED_VALUE"""),"Legs")</f>
        <v>Legs</v>
      </c>
      <c r="E132" s="49">
        <f>IFERROR(__xludf.DUMMYFUNCTION("""COMPUTED_VALUE"""),100.0)</f>
        <v>100</v>
      </c>
      <c r="F132" s="49" t="str">
        <f>IFERROR(__xludf.DUMMYFUNCTION("""COMPUTED_VALUE"""),"DEF: +2500, Water DEF: +2500 ++X2 additional water damage for self.")</f>
        <v>DEF: +2500, Water DEF: +2500 ++X2 additional water damage for self.</v>
      </c>
      <c r="G132" s="49">
        <f>IFERROR(__xludf.DUMMYFUNCTION("""COMPUTED_VALUE"""),450000.0)</f>
        <v>450000</v>
      </c>
      <c r="H132" s="49"/>
      <c r="I132" s="49"/>
      <c r="J132" s="49"/>
      <c r="K132" s="49"/>
      <c r="L132" s="49"/>
      <c r="M132" s="49"/>
      <c r="N132" s="49"/>
      <c r="O132" s="49"/>
      <c r="P132" s="49"/>
      <c r="Q132" s="49"/>
      <c r="R132" s="49"/>
      <c r="S132" s="49"/>
      <c r="T132" s="49"/>
      <c r="U132" s="49"/>
      <c r="V132" s="49"/>
      <c r="W132" s="49"/>
      <c r="X132" s="49"/>
      <c r="Y132" s="49"/>
      <c r="Z132" s="49"/>
    </row>
    <row r="133">
      <c r="A133" s="49" t="str">
        <f>IFERROR(__xludf.DUMMYFUNCTION("""COMPUTED_VALUE"""),"Greaves of Waking Waters")</f>
        <v>Greaves of Waking Waters</v>
      </c>
      <c r="B133" s="49"/>
      <c r="C133" s="49"/>
      <c r="D133" s="49" t="str">
        <f>IFERROR(__xludf.DUMMYFUNCTION("""COMPUTED_VALUE"""),"Legs")</f>
        <v>Legs</v>
      </c>
      <c r="E133" s="49">
        <f>IFERROR(__xludf.DUMMYFUNCTION("""COMPUTED_VALUE"""),200.0)</f>
        <v>200</v>
      </c>
      <c r="F133" s="49" t="str">
        <f>IFERROR(__xludf.DUMMYFUNCTION("""COMPUTED_VALUE"""),"DEF: +5000, Water DEF: +5000 ++X4 additional water damage for self.")</f>
        <v>DEF: +5000, Water DEF: +5000 ++X4 additional water damage for self.</v>
      </c>
      <c r="G133" s="49">
        <f>IFERROR(__xludf.DUMMYFUNCTION("""COMPUTED_VALUE"""),1900000.0)</f>
        <v>1900000</v>
      </c>
      <c r="H133" s="49"/>
      <c r="I133" s="49"/>
      <c r="J133" s="49"/>
      <c r="K133" s="49"/>
      <c r="L133" s="49"/>
      <c r="M133" s="49"/>
      <c r="N133" s="49"/>
      <c r="O133" s="49"/>
      <c r="P133" s="49"/>
      <c r="Q133" s="49"/>
      <c r="R133" s="49"/>
      <c r="S133" s="49"/>
      <c r="T133" s="49"/>
      <c r="U133" s="49"/>
      <c r="V133" s="49"/>
      <c r="W133" s="49"/>
      <c r="X133" s="49"/>
      <c r="Y133" s="49"/>
      <c r="Z133" s="49"/>
    </row>
    <row r="134">
      <c r="A134" s="49" t="str">
        <f>IFERROR(__xludf.DUMMYFUNCTION("""COMPUTED_VALUE"""),"Halloween Staff")</f>
        <v>Halloween Staff</v>
      </c>
      <c r="B134" s="49" t="str">
        <f>IFERROR(__xludf.DUMMYFUNCTION("""COMPUTED_VALUE"""),"Halloween exclusive")</f>
        <v>Halloween exclusive</v>
      </c>
      <c r="C134" s="49" t="str">
        <f>IFERROR(__xludf.DUMMYFUNCTION("""COMPUTED_VALUE"""),"Staff")</f>
        <v>Staff</v>
      </c>
      <c r="D134" s="49" t="str">
        <f>IFERROR(__xludf.DUMMYFUNCTION("""COMPUTED_VALUE"""),"Hand")</f>
        <v>Hand</v>
      </c>
      <c r="E134" s="49">
        <f>IFERROR(__xludf.DUMMYFUNCTION("""COMPUTED_VALUE"""),1.0)</f>
        <v>1</v>
      </c>
      <c r="F134" s="49" t="str">
        <f>IFERROR(__xludf.DUMMYFUNCTION("""COMPUTED_VALUE""")," ++Transform into the Headless Horseman for 3 rounds.")</f>
        <v> ++Transform into the Headless Horseman for 3 rounds.</v>
      </c>
      <c r="G134" s="49">
        <f>IFERROR(__xludf.DUMMYFUNCTION("""COMPUTED_VALUE"""),0.0)</f>
        <v>0</v>
      </c>
      <c r="H134" s="49"/>
      <c r="I134" s="49"/>
      <c r="J134" s="49"/>
      <c r="K134" s="49"/>
      <c r="L134" s="49"/>
      <c r="M134" s="49"/>
      <c r="N134" s="49"/>
      <c r="O134" s="49"/>
      <c r="P134" s="49"/>
      <c r="Q134" s="49"/>
      <c r="R134" s="49"/>
      <c r="S134" s="49"/>
      <c r="T134" s="49"/>
      <c r="U134" s="49"/>
      <c r="V134" s="49"/>
      <c r="W134" s="49"/>
      <c r="X134" s="49"/>
      <c r="Y134" s="49"/>
      <c r="Z134" s="49"/>
    </row>
    <row r="135">
      <c r="A135" s="49" t="str">
        <f>IFERROR(__xludf.DUMMYFUNCTION("""COMPUTED_VALUE"""),"Hammer of Chaotic Shadows")</f>
        <v>Hammer of Chaotic Shadows</v>
      </c>
      <c r="B135" s="49"/>
      <c r="C135" s="49" t="str">
        <f>IFERROR(__xludf.DUMMYFUNCTION("""COMPUTED_VALUE"""),"Club")</f>
        <v>Club</v>
      </c>
      <c r="D135" s="49" t="str">
        <f>IFERROR(__xludf.DUMMYFUNCTION("""COMPUTED_VALUE"""),"Hand")</f>
        <v>Hand</v>
      </c>
      <c r="E135" s="49">
        <f>IFERROR(__xludf.DUMMYFUNCTION("""COMPUTED_VALUE"""),300.0)</f>
        <v>300</v>
      </c>
      <c r="F135" s="49" t="str">
        <f>IFERROR(__xludf.DUMMYFUNCTION("""COMPUTED_VALUE"""),"DMG: +5000, Dark DMG: +5000, Chaos DMG: +5000 ++X2 Additional Dark and Chaos Damage. ")</f>
        <v>DMG: +5000, Dark DMG: +5000, Chaos DMG: +5000 ++X2 Additional Dark and Chaos Damage. </v>
      </c>
      <c r="G135" s="49">
        <f>IFERROR(__xludf.DUMMYFUNCTION("""COMPUTED_VALUE"""),4350000.0)</f>
        <v>4350000</v>
      </c>
      <c r="H135" s="49"/>
      <c r="I135" s="49"/>
      <c r="J135" s="49"/>
      <c r="K135" s="49"/>
      <c r="L135" s="49"/>
      <c r="M135" s="49"/>
      <c r="N135" s="49"/>
      <c r="O135" s="49"/>
      <c r="P135" s="49"/>
      <c r="Q135" s="49"/>
      <c r="R135" s="49"/>
      <c r="S135" s="49"/>
      <c r="T135" s="49"/>
      <c r="U135" s="49"/>
      <c r="V135" s="49"/>
      <c r="W135" s="49"/>
      <c r="X135" s="49"/>
      <c r="Y135" s="49"/>
      <c r="Z135" s="49"/>
    </row>
    <row r="136">
      <c r="A136" s="49" t="str">
        <f>IFERROR(__xludf.DUMMYFUNCTION("""COMPUTED_VALUE"""),"Hardened Ice Sickle")</f>
        <v>Hardened Ice Sickle</v>
      </c>
      <c r="B136" s="49" t="str">
        <f>IFERROR(__xludf.DUMMYFUNCTION("""COMPUTED_VALUE"""),"Event Exclusive")</f>
        <v>Event Exclusive</v>
      </c>
      <c r="C136" s="49" t="str">
        <f>IFERROR(__xludf.DUMMYFUNCTION("""COMPUTED_VALUE"""),"Knife")</f>
        <v>Knife</v>
      </c>
      <c r="D136" s="49" t="str">
        <f>IFERROR(__xludf.DUMMYFUNCTION("""COMPUTED_VALUE"""),"Hand")</f>
        <v>Hand</v>
      </c>
      <c r="E136" s="49">
        <f>IFERROR(__xludf.DUMMYFUNCTION("""COMPUTED_VALUE"""),200.0)</f>
        <v>200</v>
      </c>
      <c r="F136" s="49" t="str">
        <f>IFERROR(__xludf.DUMMYFUNCTION("""COMPUTED_VALUE"""),"DMG: +5000, Water DMG: +5000 ++75% chance to freeze the target.")</f>
        <v>DMG: +5000, Water DMG: +5000 ++75% chance to freeze the target.</v>
      </c>
      <c r="G136" s="49">
        <f>IFERROR(__xludf.DUMMYFUNCTION("""COMPUTED_VALUE"""),1900000.0)</f>
        <v>1900000</v>
      </c>
      <c r="H136" s="49"/>
      <c r="I136" s="49"/>
      <c r="J136" s="49"/>
      <c r="K136" s="49"/>
      <c r="L136" s="49"/>
      <c r="M136" s="49"/>
      <c r="N136" s="49"/>
      <c r="O136" s="49"/>
      <c r="P136" s="49"/>
      <c r="Q136" s="49"/>
      <c r="R136" s="49"/>
      <c r="S136" s="49"/>
      <c r="T136" s="49"/>
      <c r="U136" s="49"/>
      <c r="V136" s="49"/>
      <c r="W136" s="49"/>
      <c r="X136" s="49"/>
      <c r="Y136" s="49"/>
      <c r="Z136" s="49"/>
    </row>
    <row r="137">
      <c r="A137" s="49" t="str">
        <f>IFERROR(__xludf.DUMMYFUNCTION("""COMPUTED_VALUE"""),"Haunted Katana")</f>
        <v>Haunted Katana</v>
      </c>
      <c r="B137" s="49"/>
      <c r="C137" s="49" t="str">
        <f>IFERROR(__xludf.DUMMYFUNCTION("""COMPUTED_VALUE"""),"Sword")</f>
        <v>Sword</v>
      </c>
      <c r="D137" s="49" t="str">
        <f>IFERROR(__xludf.DUMMYFUNCTION("""COMPUTED_VALUE"""),"Hand")</f>
        <v>Hand</v>
      </c>
      <c r="E137" s="49">
        <f>IFERROR(__xludf.DUMMYFUNCTION("""COMPUTED_VALUE"""),600.0)</f>
        <v>600</v>
      </c>
      <c r="F137" s="49" t="str">
        <f>IFERROR(__xludf.DUMMYFUNCTION("""COMPUTED_VALUE"""),"DMG: +10000, Dark DMG: +10000, Spirit DMG: +10000 +-You go last during the turn order in battle.. ")</f>
        <v>DMG: +10000, Dark DMG: +10000, Spirit DMG: +10000 +-You go last during the turn order in battle.. </v>
      </c>
      <c r="G137" s="49">
        <f>IFERROR(__xludf.DUMMYFUNCTION("""COMPUTED_VALUE"""),1.77E7)</f>
        <v>17700000</v>
      </c>
      <c r="H137" s="49"/>
      <c r="I137" s="49"/>
      <c r="J137" s="49"/>
      <c r="K137" s="49"/>
      <c r="L137" s="49"/>
      <c r="M137" s="49"/>
      <c r="N137" s="49"/>
      <c r="O137" s="49"/>
      <c r="P137" s="49"/>
      <c r="Q137" s="49"/>
      <c r="R137" s="49"/>
      <c r="S137" s="49"/>
      <c r="T137" s="49"/>
      <c r="U137" s="49"/>
      <c r="V137" s="49"/>
      <c r="W137" s="49"/>
      <c r="X137" s="49"/>
      <c r="Y137" s="49"/>
      <c r="Z137" s="49"/>
    </row>
    <row r="138">
      <c r="A138" s="49" t="str">
        <f>IFERROR(__xludf.DUMMYFUNCTION("""COMPUTED_VALUE"""),"Haunted King's Favorite Shield")</f>
        <v>Haunted King's Favorite Shield</v>
      </c>
      <c r="B138" s="49" t="str">
        <f>IFERROR(__xludf.DUMMYFUNCTION("""COMPUTED_VALUE"""),"Halloween exclusive")</f>
        <v>Halloween exclusive</v>
      </c>
      <c r="C138" s="49" t="str">
        <f>IFERROR(__xludf.DUMMYFUNCTION("""COMPUTED_VALUE"""),"Towershield")</f>
        <v>Towershield</v>
      </c>
      <c r="D138" s="49" t="str">
        <f>IFERROR(__xludf.DUMMYFUNCTION("""COMPUTED_VALUE"""),"Hand")</f>
        <v>Hand</v>
      </c>
      <c r="E138" s="49">
        <f>IFERROR(__xludf.DUMMYFUNCTION("""COMPUTED_VALUE"""),20.0)</f>
        <v>20</v>
      </c>
      <c r="F138" s="49"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49">
        <f>IFERROR(__xludf.DUMMYFUNCTION("""COMPUTED_VALUE"""),10000.0)</f>
        <v>10000</v>
      </c>
      <c r="H138" s="49"/>
      <c r="I138" s="49"/>
      <c r="J138" s="49"/>
      <c r="K138" s="49"/>
      <c r="L138" s="49"/>
      <c r="M138" s="49"/>
      <c r="N138" s="49"/>
      <c r="O138" s="49"/>
      <c r="P138" s="49"/>
      <c r="Q138" s="49"/>
      <c r="R138" s="49"/>
      <c r="S138" s="49"/>
      <c r="T138" s="49"/>
      <c r="U138" s="49"/>
      <c r="V138" s="49"/>
      <c r="W138" s="49"/>
      <c r="X138" s="49"/>
      <c r="Y138" s="49"/>
      <c r="Z138" s="49"/>
    </row>
    <row r="139">
      <c r="A139" s="49" t="str">
        <f>IFERROR(__xludf.DUMMYFUNCTION("""COMPUTED_VALUE"""),"Haunted King's Favorite Sword")</f>
        <v>Haunted King's Favorite Sword</v>
      </c>
      <c r="B139" s="49" t="str">
        <f>IFERROR(__xludf.DUMMYFUNCTION("""COMPUTED_VALUE"""),"Halloween exclusive")</f>
        <v>Halloween exclusive</v>
      </c>
      <c r="C139" s="49" t="str">
        <f>IFERROR(__xludf.DUMMYFUNCTION("""COMPUTED_VALUE"""),"Sword")</f>
        <v>Sword</v>
      </c>
      <c r="D139" s="49" t="str">
        <f>IFERROR(__xludf.DUMMYFUNCTION("""COMPUTED_VALUE"""),"Hand")</f>
        <v>Hand</v>
      </c>
      <c r="E139" s="49">
        <f>IFERROR(__xludf.DUMMYFUNCTION("""COMPUTED_VALUE"""),60.0)</f>
        <v>60</v>
      </c>
      <c r="F139" s="49"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49">
        <f>IFERROR(__xludf.DUMMYFUNCTION("""COMPUTED_VALUE"""),150000.0)</f>
        <v>150000</v>
      </c>
      <c r="H139" s="49"/>
      <c r="I139" s="49"/>
      <c r="J139" s="49"/>
      <c r="K139" s="49"/>
      <c r="L139" s="49"/>
      <c r="M139" s="49"/>
      <c r="N139" s="49"/>
      <c r="O139" s="49"/>
      <c r="P139" s="49"/>
      <c r="Q139" s="49"/>
      <c r="R139" s="49"/>
      <c r="S139" s="49"/>
      <c r="T139" s="49"/>
      <c r="U139" s="49"/>
      <c r="V139" s="49"/>
      <c r="W139" s="49"/>
      <c r="X139" s="49"/>
      <c r="Y139" s="49"/>
      <c r="Z139" s="49"/>
    </row>
    <row r="140">
      <c r="A140" s="49" t="str">
        <f>IFERROR(__xludf.DUMMYFUNCTION("""COMPUTED_VALUE"""),"Heatmore Flame Golem Head")</f>
        <v>Heatmore Flame Golem Head</v>
      </c>
      <c r="B140" s="49"/>
      <c r="C140" s="49"/>
      <c r="D140" s="49" t="str">
        <f>IFERROR(__xludf.DUMMYFUNCTION("""COMPUTED_VALUE"""),"Head")</f>
        <v>Head</v>
      </c>
      <c r="E140" s="49">
        <f>IFERROR(__xludf.DUMMYFUNCTION("""COMPUTED_VALUE"""),300.0)</f>
        <v>300</v>
      </c>
      <c r="F140" s="49" t="str">
        <f>IFERROR(__xludf.DUMMYFUNCTION("""COMPUTED_VALUE"""),"DEF: +5000, Fire DEF: +5000, Earth DEF: +5000 ++X2 additional Earth and Fire Resistance.")</f>
        <v>DEF: +5000, Fire DEF: +5000, Earth DEF: +5000 ++X2 additional Earth and Fire Resistance.</v>
      </c>
      <c r="G140" s="49">
        <f>IFERROR(__xludf.DUMMYFUNCTION("""COMPUTED_VALUE"""),4350000.0)</f>
        <v>4350000</v>
      </c>
      <c r="H140" s="49"/>
      <c r="I140" s="49"/>
      <c r="J140" s="49"/>
      <c r="K140" s="49"/>
      <c r="L140" s="49"/>
      <c r="M140" s="49"/>
      <c r="N140" s="49"/>
      <c r="O140" s="49"/>
      <c r="P140" s="49"/>
      <c r="Q140" s="49"/>
      <c r="R140" s="49"/>
      <c r="S140" s="49"/>
      <c r="T140" s="49"/>
      <c r="U140" s="49"/>
      <c r="V140" s="49"/>
      <c r="W140" s="49"/>
      <c r="X140" s="49"/>
      <c r="Y140" s="49"/>
      <c r="Z140" s="49"/>
    </row>
    <row r="141">
      <c r="A141" s="49" t="str">
        <f>IFERROR(__xludf.DUMMYFUNCTION("""COMPUTED_VALUE"""),"Helmet of Darkness")</f>
        <v>Helmet of Darkness</v>
      </c>
      <c r="B141" s="49"/>
      <c r="C141" s="49"/>
      <c r="D141" s="49" t="str">
        <f>IFERROR(__xludf.DUMMYFUNCTION("""COMPUTED_VALUE"""),"Head")</f>
        <v>Head</v>
      </c>
      <c r="E141" s="49">
        <f>IFERROR(__xludf.DUMMYFUNCTION("""COMPUTED_VALUE"""),400.0)</f>
        <v>400</v>
      </c>
      <c r="F141" s="49" t="str">
        <f>IFERROR(__xludf.DUMMYFUNCTION("""COMPUTED_VALUE"""),"DEF: +10000, Dark DEF: +10000 ++Immunity to Dark damage.")</f>
        <v>DEF: +10000, Dark DEF: +10000 ++Immunity to Dark damage.</v>
      </c>
      <c r="G141" s="49">
        <f>IFERROR(__xludf.DUMMYFUNCTION("""COMPUTED_VALUE"""),7800000.0)</f>
        <v>7800000</v>
      </c>
      <c r="H141" s="49"/>
      <c r="I141" s="49"/>
      <c r="J141" s="49"/>
      <c r="K141" s="49"/>
      <c r="L141" s="49"/>
      <c r="M141" s="49"/>
      <c r="N141" s="49"/>
      <c r="O141" s="49"/>
      <c r="P141" s="49"/>
      <c r="Q141" s="49"/>
      <c r="R141" s="49"/>
      <c r="S141" s="49"/>
      <c r="T141" s="49"/>
      <c r="U141" s="49"/>
      <c r="V141" s="49"/>
      <c r="W141" s="49"/>
      <c r="X141" s="49"/>
      <c r="Y141" s="49"/>
      <c r="Z141" s="49"/>
    </row>
    <row r="142">
      <c r="A142" s="49" t="str">
        <f>IFERROR(__xludf.DUMMYFUNCTION("""COMPUTED_VALUE"""),"Helmet of Waking Waters")</f>
        <v>Helmet of Waking Waters</v>
      </c>
      <c r="B142" s="49"/>
      <c r="C142" s="49"/>
      <c r="D142" s="49" t="str">
        <f>IFERROR(__xludf.DUMMYFUNCTION("""COMPUTED_VALUE"""),"Head")</f>
        <v>Head</v>
      </c>
      <c r="E142" s="49">
        <f>IFERROR(__xludf.DUMMYFUNCTION("""COMPUTED_VALUE"""),200.0)</f>
        <v>200</v>
      </c>
      <c r="F142" s="49" t="str">
        <f>IFERROR(__xludf.DUMMYFUNCTION("""COMPUTED_VALUE"""),"DEF: +5000, Water DEF: +5000 ++X4 additional water damage.")</f>
        <v>DEF: +5000, Water DEF: +5000 ++X4 additional water damage.</v>
      </c>
      <c r="G142" s="49">
        <f>IFERROR(__xludf.DUMMYFUNCTION("""COMPUTED_VALUE"""),1900000.0)</f>
        <v>1900000</v>
      </c>
      <c r="H142" s="49"/>
      <c r="I142" s="49"/>
      <c r="J142" s="49"/>
      <c r="K142" s="49"/>
      <c r="L142" s="49"/>
      <c r="M142" s="49"/>
      <c r="N142" s="49"/>
      <c r="O142" s="49"/>
      <c r="P142" s="49"/>
      <c r="Q142" s="49"/>
      <c r="R142" s="49"/>
      <c r="S142" s="49"/>
      <c r="T142" s="49"/>
      <c r="U142" s="49"/>
      <c r="V142" s="49"/>
      <c r="W142" s="49"/>
      <c r="X142" s="49"/>
      <c r="Y142" s="49"/>
      <c r="Z142" s="49"/>
    </row>
    <row r="143">
      <c r="A143" s="49" t="str">
        <f>IFERROR(__xludf.DUMMYFUNCTION("""COMPUTED_VALUE"""),"High Range Bow")</f>
        <v>High Range Bow</v>
      </c>
      <c r="B143" s="49"/>
      <c r="C143" s="49" t="str">
        <f>IFERROR(__xludf.DUMMYFUNCTION("""COMPUTED_VALUE"""),"Bow")</f>
        <v>Bow</v>
      </c>
      <c r="D143" s="49" t="str">
        <f>IFERROR(__xludf.DUMMYFUNCTION("""COMPUTED_VALUE"""),"Hand")</f>
        <v>Hand</v>
      </c>
      <c r="E143" s="49">
        <f>IFERROR(__xludf.DUMMYFUNCTION("""COMPUTED_VALUE"""),10.0)</f>
        <v>10</v>
      </c>
      <c r="F143" s="49" t="str">
        <f>IFERROR(__xludf.DUMMYFUNCTION("""COMPUTED_VALUE"""),"DMG: +500 ++Hawkeye: X2 more arrow damage and ranged attacks deal half damage that are dealt to the wearer. ")</f>
        <v>DMG: +500 ++Hawkeye: X2 more arrow damage and ranged attacks deal half damage that are dealt to the wearer. </v>
      </c>
      <c r="G143" s="49">
        <f>IFERROR(__xludf.DUMMYFUNCTION("""COMPUTED_VALUE"""),1000.0)</f>
        <v>1000</v>
      </c>
      <c r="H143" s="49"/>
      <c r="I143" s="49"/>
      <c r="J143" s="49"/>
      <c r="K143" s="49"/>
      <c r="L143" s="49"/>
      <c r="M143" s="49"/>
      <c r="N143" s="49"/>
      <c r="O143" s="49"/>
      <c r="P143" s="49"/>
      <c r="Q143" s="49"/>
      <c r="R143" s="49"/>
      <c r="S143" s="49"/>
      <c r="T143" s="49"/>
      <c r="U143" s="49"/>
      <c r="V143" s="49"/>
      <c r="W143" s="49"/>
      <c r="X143" s="49"/>
      <c r="Y143" s="49"/>
      <c r="Z143" s="49"/>
    </row>
    <row r="144">
      <c r="A144" s="49" t="str">
        <f>IFERROR(__xludf.DUMMYFUNCTION("""COMPUTED_VALUE"""),"Horn of The Forgotten")</f>
        <v>Horn of The Forgotten</v>
      </c>
      <c r="B144" s="49"/>
      <c r="C144" s="49" t="str">
        <f>IFERROR(__xludf.DUMMYFUNCTION("""COMPUTED_VALUE"""),"Wand")</f>
        <v>Wand</v>
      </c>
      <c r="D144" s="49" t="str">
        <f>IFERROR(__xludf.DUMMYFUNCTION("""COMPUTED_VALUE"""),"Hand")</f>
        <v>Hand</v>
      </c>
      <c r="E144" s="49">
        <f>IFERROR(__xludf.DUMMYFUNCTION("""COMPUTED_VALUE"""),1.0)</f>
        <v>1</v>
      </c>
      <c r="F144" s="49"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49">
        <f>IFERROR(__xludf.DUMMYFUNCTION("""COMPUTED_VALUE"""),0.0)</f>
        <v>0</v>
      </c>
      <c r="H144" s="49"/>
      <c r="I144" s="49"/>
      <c r="J144" s="49"/>
      <c r="K144" s="49"/>
      <c r="L144" s="49"/>
      <c r="M144" s="49"/>
      <c r="N144" s="49"/>
      <c r="O144" s="49"/>
      <c r="P144" s="49"/>
      <c r="Q144" s="49"/>
      <c r="R144" s="49"/>
      <c r="S144" s="49"/>
      <c r="T144" s="49"/>
      <c r="U144" s="49"/>
      <c r="V144" s="49"/>
      <c r="W144" s="49"/>
      <c r="X144" s="49"/>
      <c r="Y144" s="49"/>
      <c r="Z144" s="49"/>
    </row>
    <row r="145">
      <c r="A145" s="49" t="str">
        <f>IFERROR(__xludf.DUMMYFUNCTION("""COMPUTED_VALUE"""),"Houyi's Bow")</f>
        <v>Houyi's Bow</v>
      </c>
      <c r="B145" s="49"/>
      <c r="C145" s="49" t="str">
        <f>IFERROR(__xludf.DUMMYFUNCTION("""COMPUTED_VALUE"""),"Bow")</f>
        <v>Bow</v>
      </c>
      <c r="D145" s="49" t="str">
        <f>IFERROR(__xludf.DUMMYFUNCTION("""COMPUTED_VALUE"""),"Hand")</f>
        <v>Hand</v>
      </c>
      <c r="E145" s="49">
        <f>IFERROR(__xludf.DUMMYFUNCTION("""COMPUTED_VALUE"""),400.0)</f>
        <v>400</v>
      </c>
      <c r="F145" s="49" t="str">
        <f>IFERROR(__xludf.DUMMYFUNCTION("""COMPUTED_VALUE"""),"DMG: +20000 ++Skill Shot - gives the wielder X2 accuracy and X2 damage for bows.")</f>
        <v>DMG: +20000 ++Skill Shot - gives the wielder X2 accuracy and X2 damage for bows.</v>
      </c>
      <c r="G145" s="49">
        <f>IFERROR(__xludf.DUMMYFUNCTION("""COMPUTED_VALUE"""),7800000.0)</f>
        <v>7800000</v>
      </c>
      <c r="H145" s="49"/>
      <c r="I145" s="49"/>
      <c r="J145" s="49"/>
      <c r="K145" s="49"/>
      <c r="L145" s="49"/>
      <c r="M145" s="49"/>
      <c r="N145" s="49"/>
      <c r="O145" s="49"/>
      <c r="P145" s="49"/>
      <c r="Q145" s="49"/>
      <c r="R145" s="49"/>
      <c r="S145" s="49"/>
      <c r="T145" s="49"/>
      <c r="U145" s="49"/>
      <c r="V145" s="49"/>
      <c r="W145" s="49"/>
      <c r="X145" s="49"/>
      <c r="Y145" s="49"/>
      <c r="Z145" s="49"/>
    </row>
    <row r="146">
      <c r="A146" s="49" t="str">
        <f>IFERROR(__xludf.DUMMYFUNCTION("""COMPUTED_VALUE"""),"Ice Blade")</f>
        <v>Ice Blade</v>
      </c>
      <c r="B146" s="49"/>
      <c r="C146" s="49" t="str">
        <f>IFERROR(__xludf.DUMMYFUNCTION("""COMPUTED_VALUE"""),"Sword")</f>
        <v>Sword</v>
      </c>
      <c r="D146" s="49" t="str">
        <f>IFERROR(__xludf.DUMMYFUNCTION("""COMPUTED_VALUE"""),"Hand")</f>
        <v>Hand</v>
      </c>
      <c r="E146" s="49">
        <f>IFERROR(__xludf.DUMMYFUNCTION("""COMPUTED_VALUE"""),100.0)</f>
        <v>100</v>
      </c>
      <c r="F146" s="49" t="str">
        <f>IFERROR(__xludf.DUMMYFUNCTION("""COMPUTED_VALUE"""),"DMG: +2000, Water DMG: +3000 ++50% chance to freeze the target.")</f>
        <v>DMG: +2000, Water DMG: +3000 ++50% chance to freeze the target.</v>
      </c>
      <c r="G146" s="49">
        <f>IFERROR(__xludf.DUMMYFUNCTION("""COMPUTED_VALUE"""),450000.0)</f>
        <v>450000</v>
      </c>
      <c r="H146" s="49"/>
      <c r="I146" s="49"/>
      <c r="J146" s="49"/>
      <c r="K146" s="49"/>
      <c r="L146" s="49"/>
      <c r="M146" s="49"/>
      <c r="N146" s="49"/>
      <c r="O146" s="49"/>
      <c r="P146" s="49"/>
      <c r="Q146" s="49"/>
      <c r="R146" s="49"/>
      <c r="S146" s="49"/>
      <c r="T146" s="49"/>
      <c r="U146" s="49"/>
      <c r="V146" s="49"/>
      <c r="W146" s="49"/>
      <c r="X146" s="49"/>
      <c r="Y146" s="49"/>
      <c r="Z146" s="49"/>
    </row>
    <row r="147">
      <c r="A147" s="49" t="str">
        <f>IFERROR(__xludf.DUMMYFUNCTION("""COMPUTED_VALUE"""),"Inferno Staff")</f>
        <v>Inferno Staff</v>
      </c>
      <c r="B147" s="49"/>
      <c r="C147" s="49" t="str">
        <f>IFERROR(__xludf.DUMMYFUNCTION("""COMPUTED_VALUE"""),"Staff")</f>
        <v>Staff</v>
      </c>
      <c r="D147" s="49" t="str">
        <f>IFERROR(__xludf.DUMMYFUNCTION("""COMPUTED_VALUE"""),"Hand")</f>
        <v>Hand</v>
      </c>
      <c r="E147" s="49">
        <f>IFERROR(__xludf.DUMMYFUNCTION("""COMPUTED_VALUE"""),200.0)</f>
        <v>200</v>
      </c>
      <c r="F147" s="49" t="str">
        <f>IFERROR(__xludf.DUMMYFUNCTION("""COMPUTED_VALUE"""),", Fire : +10000 ++Burn 10,000 to 1 target for 3 rounds. 100sp.")</f>
        <v>, Fire : +10000 ++Burn 10,000 to 1 target for 3 rounds. 100sp.</v>
      </c>
      <c r="G147" s="49">
        <f>IFERROR(__xludf.DUMMYFUNCTION("""COMPUTED_VALUE"""),1900000.0)</f>
        <v>1900000</v>
      </c>
      <c r="H147" s="49"/>
      <c r="I147" s="49"/>
      <c r="J147" s="49"/>
      <c r="K147" s="49"/>
      <c r="L147" s="49"/>
      <c r="M147" s="49"/>
      <c r="N147" s="49"/>
      <c r="O147" s="49"/>
      <c r="P147" s="49"/>
      <c r="Q147" s="49"/>
      <c r="R147" s="49"/>
      <c r="S147" s="49"/>
      <c r="T147" s="49"/>
      <c r="U147" s="49"/>
      <c r="V147" s="49"/>
      <c r="W147" s="49"/>
      <c r="X147" s="49"/>
      <c r="Y147" s="49"/>
      <c r="Z147" s="49"/>
    </row>
    <row r="148">
      <c r="A148" s="49" t="str">
        <f>IFERROR(__xludf.DUMMYFUNCTION("""COMPUTED_VALUE"""),"Jack's Special Archer Robe")</f>
        <v>Jack's Special Archer Robe</v>
      </c>
      <c r="B148" s="49" t="str">
        <f>IFERROR(__xludf.DUMMYFUNCTION("""COMPUTED_VALUE"""),"Halloween exclusive")</f>
        <v>Halloween exclusive</v>
      </c>
      <c r="C148" s="49"/>
      <c r="D148" s="49" t="str">
        <f>IFERROR(__xludf.DUMMYFUNCTION("""COMPUTED_VALUE"""),"Torso")</f>
        <v>Torso</v>
      </c>
      <c r="E148" s="49">
        <f>IFERROR(__xludf.DUMMYFUNCTION("""COMPUTED_VALUE"""),20.0)</f>
        <v>20</v>
      </c>
      <c r="F148" s="49" t="str">
        <f>IFERROR(__xludf.DUMMYFUNCTION("""COMPUTED_VALUE"""),"DEF: +900 ++Range Spells cost half the SP cost and all damage is doubled for ranged spells +-Archer Class Only")</f>
        <v>DEF: +900 ++Range Spells cost half the SP cost and all damage is doubled for ranged spells +-Archer Class Only</v>
      </c>
      <c r="G148" s="49">
        <f>IFERROR(__xludf.DUMMYFUNCTION("""COMPUTED_VALUE"""),1000.0)</f>
        <v>1000</v>
      </c>
      <c r="H148" s="49"/>
      <c r="I148" s="49"/>
      <c r="J148" s="49"/>
      <c r="K148" s="49"/>
      <c r="L148" s="49"/>
      <c r="M148" s="49"/>
      <c r="N148" s="49"/>
      <c r="O148" s="49"/>
      <c r="P148" s="49"/>
      <c r="Q148" s="49"/>
      <c r="R148" s="49"/>
      <c r="S148" s="49"/>
      <c r="T148" s="49"/>
      <c r="U148" s="49"/>
      <c r="V148" s="49"/>
      <c r="W148" s="49"/>
      <c r="X148" s="49"/>
      <c r="Y148" s="49"/>
      <c r="Z148" s="49"/>
    </row>
    <row r="149">
      <c r="A149" s="49" t="str">
        <f>IFERROR(__xludf.DUMMYFUNCTION("""COMPUTED_VALUE"""),"Jack's Special Ring")</f>
        <v>Jack's Special Ring</v>
      </c>
      <c r="B149" s="49" t="str">
        <f>IFERROR(__xludf.DUMMYFUNCTION("""COMPUTED_VALUE"""),"Halloween exclusive")</f>
        <v>Halloween exclusive</v>
      </c>
      <c r="C149" s="49"/>
      <c r="D149" s="49" t="str">
        <f>IFERROR(__xludf.DUMMYFUNCTION("""COMPUTED_VALUE"""),"Ring")</f>
        <v>Ring</v>
      </c>
      <c r="E149" s="49">
        <f>IFERROR(__xludf.DUMMYFUNCTION("""COMPUTED_VALUE"""),1.0)</f>
        <v>1</v>
      </c>
      <c r="F149" s="49" t="str">
        <f>IFERROR(__xludf.DUMMYFUNCTION("""COMPUTED_VALUE""")," ++Increase all types of damage by X2. +-Cannot be forged +-Cannot be duplicated")</f>
        <v> ++Increase all types of damage by X2. +-Cannot be forged +-Cannot be duplicated</v>
      </c>
      <c r="G149" s="49">
        <f>IFERROR(__xludf.DUMMYFUNCTION("""COMPUTED_VALUE"""),0.0)</f>
        <v>0</v>
      </c>
      <c r="H149" s="49"/>
      <c r="I149" s="49"/>
      <c r="J149" s="49"/>
      <c r="K149" s="49"/>
      <c r="L149" s="49"/>
      <c r="M149" s="49"/>
      <c r="N149" s="49"/>
      <c r="O149" s="49"/>
      <c r="P149" s="49"/>
      <c r="Q149" s="49"/>
      <c r="R149" s="49"/>
      <c r="S149" s="49"/>
      <c r="T149" s="49"/>
      <c r="U149" s="49"/>
      <c r="V149" s="49"/>
      <c r="W149" s="49"/>
      <c r="X149" s="49"/>
      <c r="Y149" s="49"/>
      <c r="Z149" s="49"/>
    </row>
    <row r="150">
      <c r="A150" s="49" t="str">
        <f>IFERROR(__xludf.DUMMYFUNCTION("""COMPUTED_VALUE"""),"Jack's Special Sword")</f>
        <v>Jack's Special Sword</v>
      </c>
      <c r="B150" s="49" t="str">
        <f>IFERROR(__xludf.DUMMYFUNCTION("""COMPUTED_VALUE"""),"Halloween exclusive")</f>
        <v>Halloween exclusive</v>
      </c>
      <c r="C150" s="49" t="str">
        <f>IFERROR(__xludf.DUMMYFUNCTION("""COMPUTED_VALUE"""),"Sword")</f>
        <v>Sword</v>
      </c>
      <c r="D150" s="49" t="str">
        <f>IFERROR(__xludf.DUMMYFUNCTION("""COMPUTED_VALUE"""),"Hand")</f>
        <v>Hand</v>
      </c>
      <c r="E150" s="49">
        <f>IFERROR(__xludf.DUMMYFUNCTION("""COMPUTED_VALUE"""),60.0)</f>
        <v>60</v>
      </c>
      <c r="F150" s="49"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49">
        <f>IFERROR(__xludf.DUMMYFUNCTION("""COMPUTED_VALUE"""),150000.0)</f>
        <v>150000</v>
      </c>
      <c r="H150" s="49"/>
      <c r="I150" s="49"/>
      <c r="J150" s="49"/>
      <c r="K150" s="49"/>
      <c r="L150" s="49"/>
      <c r="M150" s="49"/>
      <c r="N150" s="49"/>
      <c r="O150" s="49"/>
      <c r="P150" s="49"/>
      <c r="Q150" s="49"/>
      <c r="R150" s="49"/>
      <c r="S150" s="49"/>
      <c r="T150" s="49"/>
      <c r="U150" s="49"/>
      <c r="V150" s="49"/>
      <c r="W150" s="49"/>
      <c r="X150" s="49"/>
      <c r="Y150" s="49"/>
      <c r="Z150" s="49"/>
    </row>
    <row r="151">
      <c r="A151" s="49" t="str">
        <f>IFERROR(__xludf.DUMMYFUNCTION("""COMPUTED_VALUE"""),"Jack’o Lantern Helmet of Swampy Hallow")</f>
        <v>Jack’o Lantern Helmet of Swampy Hallow</v>
      </c>
      <c r="B151" s="49" t="str">
        <f>IFERROR(__xludf.DUMMYFUNCTION("""COMPUTED_VALUE"""),"Halloween exclusive")</f>
        <v>Halloween exclusive</v>
      </c>
      <c r="C151" s="49"/>
      <c r="D151" s="49" t="str">
        <f>IFERROR(__xludf.DUMMYFUNCTION("""COMPUTED_VALUE"""),"Head")</f>
        <v>Head</v>
      </c>
      <c r="E151" s="49">
        <f>IFERROR(__xludf.DUMMYFUNCTION("""COMPUTED_VALUE"""),600.0)</f>
        <v>600</v>
      </c>
      <c r="F151" s="49"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49">
        <f>IFERROR(__xludf.DUMMYFUNCTION("""COMPUTED_VALUE"""),1.77E7)</f>
        <v>17700000</v>
      </c>
      <c r="H151" s="49"/>
      <c r="I151" s="49"/>
      <c r="J151" s="49"/>
      <c r="K151" s="49"/>
      <c r="L151" s="49"/>
      <c r="M151" s="49"/>
      <c r="N151" s="49"/>
      <c r="O151" s="49"/>
      <c r="P151" s="49"/>
      <c r="Q151" s="49"/>
      <c r="R151" s="49"/>
      <c r="S151" s="49"/>
      <c r="T151" s="49"/>
      <c r="U151" s="49"/>
      <c r="V151" s="49"/>
      <c r="W151" s="49"/>
      <c r="X151" s="49"/>
      <c r="Y151" s="49"/>
      <c r="Z151" s="49"/>
    </row>
    <row r="152">
      <c r="A152" s="49" t="str">
        <f>IFERROR(__xludf.DUMMYFUNCTION("""COMPUTED_VALUE"""),"Katana")</f>
        <v>Katana</v>
      </c>
      <c r="B152" s="49"/>
      <c r="C152" s="49" t="str">
        <f>IFERROR(__xludf.DUMMYFUNCTION("""COMPUTED_VALUE"""),"Sword")</f>
        <v>Sword</v>
      </c>
      <c r="D152" s="49" t="str">
        <f>IFERROR(__xludf.DUMMYFUNCTION("""COMPUTED_VALUE"""),"Hand")</f>
        <v>Hand</v>
      </c>
      <c r="E152" s="49">
        <f>IFERROR(__xludf.DUMMYFUNCTION("""COMPUTED_VALUE"""),10.0)</f>
        <v>10</v>
      </c>
      <c r="F152" s="49" t="str">
        <f>IFERROR(__xludf.DUMMYFUNCTION("""COMPUTED_VALUE"""),"DMG: +500 ++ +10% chance of the sword ability activating.")</f>
        <v>DMG: +500 ++ +10% chance of the sword ability activating.</v>
      </c>
      <c r="G152" s="49">
        <f>IFERROR(__xludf.DUMMYFUNCTION("""COMPUTED_VALUE"""),1000.0)</f>
        <v>1000</v>
      </c>
      <c r="H152" s="49"/>
      <c r="I152" s="49"/>
      <c r="J152" s="49"/>
      <c r="K152" s="49"/>
      <c r="L152" s="49"/>
      <c r="M152" s="49"/>
      <c r="N152" s="49"/>
      <c r="O152" s="49"/>
      <c r="P152" s="49"/>
      <c r="Q152" s="49"/>
      <c r="R152" s="49"/>
      <c r="S152" s="49"/>
      <c r="T152" s="49"/>
      <c r="U152" s="49"/>
      <c r="V152" s="49"/>
      <c r="W152" s="49"/>
      <c r="X152" s="49"/>
      <c r="Y152" s="49"/>
      <c r="Z152" s="49"/>
    </row>
    <row r="153">
      <c r="A153" s="49" t="str">
        <f>IFERROR(__xludf.DUMMYFUNCTION("""COMPUTED_VALUE"""),"King Of Mekanas Sword")</f>
        <v>King Of Mekanas Sword</v>
      </c>
      <c r="B153" s="49" t="str">
        <f>IFERROR(__xludf.DUMMYFUNCTION("""COMPUTED_VALUE"""),"Mob Exclusive")</f>
        <v>Mob Exclusive</v>
      </c>
      <c r="C153" s="49" t="str">
        <f>IFERROR(__xludf.DUMMYFUNCTION("""COMPUTED_VALUE"""),"Sword")</f>
        <v>Sword</v>
      </c>
      <c r="D153" s="49" t="str">
        <f>IFERROR(__xludf.DUMMYFUNCTION("""COMPUTED_VALUE"""),"Hand")</f>
        <v>Hand</v>
      </c>
      <c r="E153" s="49">
        <f>IFERROR(__xludf.DUMMYFUNCTION("""COMPUTED_VALUE"""),3000.0)</f>
        <v>3000</v>
      </c>
      <c r="F153" s="49" t="str">
        <f>IFERROR(__xludf.DUMMYFUNCTION("""COMPUTED_VALUE"""),"DMG: +50000, Fire DMG: +50000, Storm DMG: +50000 ++X8 additional Fire and Storm damage. ")</f>
        <v>DMG: +50000, Fire DMG: +50000, Storm DMG: +50000 ++X8 additional Fire and Storm damage. </v>
      </c>
      <c r="G153" s="49">
        <f>IFERROR(__xludf.DUMMYFUNCTION("""COMPUTED_VALUE"""),4.485E8)</f>
        <v>448500000</v>
      </c>
      <c r="H153" s="49"/>
      <c r="I153" s="49"/>
      <c r="J153" s="49"/>
      <c r="K153" s="49"/>
      <c r="L153" s="49"/>
      <c r="M153" s="49"/>
      <c r="N153" s="49"/>
      <c r="O153" s="49"/>
      <c r="P153" s="49"/>
      <c r="Q153" s="49"/>
      <c r="R153" s="49"/>
      <c r="S153" s="49"/>
      <c r="T153" s="49"/>
      <c r="U153" s="49"/>
      <c r="V153" s="49"/>
      <c r="W153" s="49"/>
      <c r="X153" s="49"/>
      <c r="Y153" s="49"/>
      <c r="Z153" s="49"/>
    </row>
    <row r="154">
      <c r="A154" s="49" t="str">
        <f>IFERROR(__xludf.DUMMYFUNCTION("""COMPUTED_VALUE"""),"King's Royal Sword")</f>
        <v>King's Royal Sword</v>
      </c>
      <c r="B154" s="49" t="str">
        <f>IFERROR(__xludf.DUMMYFUNCTION("""COMPUTED_VALUE"""),"Quest Item")</f>
        <v>Quest Item</v>
      </c>
      <c r="C154" s="49" t="str">
        <f>IFERROR(__xludf.DUMMYFUNCTION("""COMPUTED_VALUE"""),"Sword")</f>
        <v>Sword</v>
      </c>
      <c r="D154" s="49" t="str">
        <f>IFERROR(__xludf.DUMMYFUNCTION("""COMPUTED_VALUE"""),"Hand")</f>
        <v>Hand</v>
      </c>
      <c r="E154" s="49">
        <f>IFERROR(__xludf.DUMMYFUNCTION("""COMPUTED_VALUE"""),200.0)</f>
        <v>200</v>
      </c>
      <c r="F154" s="49"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49">
        <f>IFERROR(__xludf.DUMMYFUNCTION("""COMPUTED_VALUE"""),7.98E8)</f>
        <v>798000000</v>
      </c>
      <c r="H154" s="49"/>
      <c r="I154" s="49"/>
      <c r="J154" s="49"/>
      <c r="K154" s="49"/>
      <c r="L154" s="49"/>
      <c r="M154" s="49"/>
      <c r="N154" s="49"/>
      <c r="O154" s="49"/>
      <c r="P154" s="49"/>
      <c r="Q154" s="49"/>
      <c r="R154" s="49"/>
      <c r="S154" s="49"/>
      <c r="T154" s="49"/>
      <c r="U154" s="49"/>
      <c r="V154" s="49"/>
      <c r="W154" s="49"/>
      <c r="X154" s="49"/>
      <c r="Y154" s="49"/>
      <c r="Z154" s="49"/>
    </row>
    <row r="155">
      <c r="A155" s="49" t="str">
        <f>IFERROR(__xludf.DUMMYFUNCTION("""COMPUTED_VALUE"""),"Knife")</f>
        <v>Knife</v>
      </c>
      <c r="B155" s="49"/>
      <c r="C155" s="49" t="str">
        <f>IFERROR(__xludf.DUMMYFUNCTION("""COMPUTED_VALUE"""),"Knife")</f>
        <v>Knife</v>
      </c>
      <c r="D155" s="49" t="str">
        <f>IFERROR(__xludf.DUMMYFUNCTION("""COMPUTED_VALUE"""),"Hand")</f>
        <v>Hand</v>
      </c>
      <c r="E155" s="49">
        <f>IFERROR(__xludf.DUMMYFUNCTION("""COMPUTED_VALUE"""),20.0)</f>
        <v>20</v>
      </c>
      <c r="F155" s="49" t="str">
        <f>IFERROR(__xludf.DUMMYFUNCTION("""COMPUTED_VALUE"""),"DMG: +1000")</f>
        <v>DMG: +1000</v>
      </c>
      <c r="G155" s="49">
        <f>IFERROR(__xludf.DUMMYFUNCTION("""COMPUTED_VALUE"""),10000.0)</f>
        <v>10000</v>
      </c>
      <c r="H155" s="49"/>
      <c r="I155" s="49"/>
      <c r="J155" s="49"/>
      <c r="K155" s="49"/>
      <c r="L155" s="49"/>
      <c r="M155" s="49"/>
      <c r="N155" s="49"/>
      <c r="O155" s="49"/>
      <c r="P155" s="49"/>
      <c r="Q155" s="49"/>
      <c r="R155" s="49"/>
      <c r="S155" s="49"/>
      <c r="T155" s="49"/>
      <c r="U155" s="49"/>
      <c r="V155" s="49"/>
      <c r="W155" s="49"/>
      <c r="X155" s="49"/>
      <c r="Y155" s="49"/>
      <c r="Z155" s="49"/>
    </row>
    <row r="156">
      <c r="A156" s="49" t="str">
        <f>IFERROR(__xludf.DUMMYFUNCTION("""COMPUTED_VALUE"""),"Knife of Jinx")</f>
        <v>Knife of Jinx</v>
      </c>
      <c r="B156" s="49"/>
      <c r="C156" s="49" t="str">
        <f>IFERROR(__xludf.DUMMYFUNCTION("""COMPUTED_VALUE"""),"Knife")</f>
        <v>Knife</v>
      </c>
      <c r="D156" s="49" t="str">
        <f>IFERROR(__xludf.DUMMYFUNCTION("""COMPUTED_VALUE"""),"Hand")</f>
        <v>Hand</v>
      </c>
      <c r="E156" s="49">
        <f>IFERROR(__xludf.DUMMYFUNCTION("""COMPUTED_VALUE"""),1.0)</f>
        <v>1</v>
      </c>
      <c r="F156" s="49"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49">
        <f>IFERROR(__xludf.DUMMYFUNCTION("""COMPUTED_VALUE"""),0.0)</f>
        <v>0</v>
      </c>
      <c r="H156" s="49"/>
      <c r="I156" s="49"/>
      <c r="J156" s="49"/>
      <c r="K156" s="49"/>
      <c r="L156" s="49"/>
      <c r="M156" s="49"/>
      <c r="N156" s="49"/>
      <c r="O156" s="49"/>
      <c r="P156" s="49"/>
      <c r="Q156" s="49"/>
      <c r="R156" s="49"/>
      <c r="S156" s="49"/>
      <c r="T156" s="49"/>
      <c r="U156" s="49"/>
      <c r="V156" s="49"/>
      <c r="W156" s="49"/>
      <c r="X156" s="49"/>
      <c r="Y156" s="49"/>
      <c r="Z156" s="49"/>
    </row>
    <row r="157">
      <c r="A157" s="49" t="str">
        <f>IFERROR(__xludf.DUMMYFUNCTION("""COMPUTED_VALUE"""),"kraken's power ring")</f>
        <v>kraken's power ring</v>
      </c>
      <c r="B157" s="49"/>
      <c r="C157" s="49"/>
      <c r="D157" s="49" t="str">
        <f>IFERROR(__xludf.DUMMYFUNCTION("""COMPUTED_VALUE"""),"Ring")</f>
        <v>Ring</v>
      </c>
      <c r="E157" s="49">
        <f>IFERROR(__xludf.DUMMYFUNCTION("""COMPUTED_VALUE"""),1.0)</f>
        <v>1</v>
      </c>
      <c r="F157" s="49" t="str">
        <f>IFERROR(__xludf.DUMMYFUNCTION("""COMPUTED_VALUE""")," ++water based attacks double in damage. ++sp cost is halved for water spells only")</f>
        <v> ++water based attacks double in damage. ++sp cost is halved for water spells only</v>
      </c>
      <c r="G157" s="49">
        <f>IFERROR(__xludf.DUMMYFUNCTION("""COMPUTED_VALUE"""),0.0)</f>
        <v>0</v>
      </c>
      <c r="H157" s="49"/>
      <c r="I157" s="49"/>
      <c r="J157" s="49"/>
      <c r="K157" s="49"/>
      <c r="L157" s="49"/>
      <c r="M157" s="49"/>
      <c r="N157" s="49"/>
      <c r="O157" s="49"/>
      <c r="P157" s="49"/>
      <c r="Q157" s="49"/>
      <c r="R157" s="49"/>
      <c r="S157" s="49"/>
      <c r="T157" s="49"/>
      <c r="U157" s="49"/>
      <c r="V157" s="49"/>
      <c r="W157" s="49"/>
      <c r="X157" s="49"/>
      <c r="Y157" s="49"/>
      <c r="Z157" s="49"/>
    </row>
    <row r="158">
      <c r="A158" s="49" t="str">
        <f>IFERROR(__xludf.DUMMYFUNCTION("""COMPUTED_VALUE"""),"Krakens Power Ring")</f>
        <v>Krakens Power Ring</v>
      </c>
      <c r="B158" s="49"/>
      <c r="C158" s="49"/>
      <c r="D158" s="49" t="str">
        <f>IFERROR(__xludf.DUMMYFUNCTION("""COMPUTED_VALUE"""),"Ring")</f>
        <v>Ring</v>
      </c>
      <c r="E158" s="49">
        <f>IFERROR(__xludf.DUMMYFUNCTION("""COMPUTED_VALUE"""),1.0)</f>
        <v>1</v>
      </c>
      <c r="F158" s="49" t="str">
        <f>IFERROR(__xludf.DUMMYFUNCTION("""COMPUTED_VALUE""")," ++water based attacks deal x2 damage, ++sp is halved for water spells only. +-(one use per battle)")</f>
        <v> ++water based attacks deal x2 damage, ++sp is halved for water spells only. +-(one use per battle)</v>
      </c>
      <c r="G158" s="49">
        <f>IFERROR(__xludf.DUMMYFUNCTION("""COMPUTED_VALUE"""),0.0)</f>
        <v>0</v>
      </c>
      <c r="H158" s="49"/>
      <c r="I158" s="49"/>
      <c r="J158" s="49"/>
      <c r="K158" s="49"/>
      <c r="L158" s="49"/>
      <c r="M158" s="49"/>
      <c r="N158" s="49"/>
      <c r="O158" s="49"/>
      <c r="P158" s="49"/>
      <c r="Q158" s="49"/>
      <c r="R158" s="49"/>
      <c r="S158" s="49"/>
      <c r="T158" s="49"/>
      <c r="U158" s="49"/>
      <c r="V158" s="49"/>
      <c r="W158" s="49"/>
      <c r="X158" s="49"/>
      <c r="Y158" s="49"/>
      <c r="Z158" s="49"/>
    </row>
    <row r="159">
      <c r="A159" s="49" t="str">
        <f>IFERROR(__xludf.DUMMYFUNCTION("""COMPUTED_VALUE"""),"Lava Longsword")</f>
        <v>Lava Longsword</v>
      </c>
      <c r="B159" s="49"/>
      <c r="C159" s="49" t="str">
        <f>IFERROR(__xludf.DUMMYFUNCTION("""COMPUTED_VALUE"""),"Sword")</f>
        <v>Sword</v>
      </c>
      <c r="D159" s="49" t="str">
        <f>IFERROR(__xludf.DUMMYFUNCTION("""COMPUTED_VALUE"""),"Hand")</f>
        <v>Hand</v>
      </c>
      <c r="E159" s="49">
        <f>IFERROR(__xludf.DUMMYFUNCTION("""COMPUTED_VALUE"""),800.0)</f>
        <v>800</v>
      </c>
      <c r="F159" s="49" t="str">
        <f>IFERROR(__xludf.DUMMYFUNCTION("""COMPUTED_VALUE"""),"DMG: +20000, Fire DMG: +20000 ++Burn 10,000 for 3 rounds.")</f>
        <v>DMG: +20000, Fire DMG: +20000 ++Burn 10,000 for 3 rounds.</v>
      </c>
      <c r="G159" s="49">
        <f>IFERROR(__xludf.DUMMYFUNCTION("""COMPUTED_VALUE"""),3.16E7)</f>
        <v>31600000</v>
      </c>
      <c r="H159" s="49"/>
      <c r="I159" s="49"/>
      <c r="J159" s="49"/>
      <c r="K159" s="49"/>
      <c r="L159" s="49"/>
      <c r="M159" s="49"/>
      <c r="N159" s="49"/>
      <c r="O159" s="49"/>
      <c r="P159" s="49"/>
      <c r="Q159" s="49"/>
      <c r="R159" s="49"/>
      <c r="S159" s="49"/>
      <c r="T159" s="49"/>
      <c r="U159" s="49"/>
      <c r="V159" s="49"/>
      <c r="W159" s="49"/>
      <c r="X159" s="49"/>
      <c r="Y159" s="49"/>
      <c r="Z159" s="49"/>
    </row>
    <row r="160">
      <c r="A160" s="49" t="str">
        <f>IFERROR(__xludf.DUMMYFUNCTION("""COMPUTED_VALUE"""),"Lazer Infused Sword")</f>
        <v>Lazer Infused Sword</v>
      </c>
      <c r="B160" s="49"/>
      <c r="C160" s="49" t="str">
        <f>IFERROR(__xludf.DUMMYFUNCTION("""COMPUTED_VALUE"""),"Sword")</f>
        <v>Sword</v>
      </c>
      <c r="D160" s="49" t="str">
        <f>IFERROR(__xludf.DUMMYFUNCTION("""COMPUTED_VALUE"""),"Hand")</f>
        <v>Hand</v>
      </c>
      <c r="E160" s="49">
        <f>IFERROR(__xludf.DUMMYFUNCTION("""COMPUTED_VALUE"""),600.0)</f>
        <v>600</v>
      </c>
      <c r="F160" s="49" t="str">
        <f>IFERROR(__xludf.DUMMYFUNCTION("""COMPUTED_VALUE"""),"DMG: +10000, Fire DMG: +10000, Blood DMG: +10000 ++Ignores Defense. +-Cannot be duplicated.")</f>
        <v>DMG: +10000, Fire DMG: +10000, Blood DMG: +10000 ++Ignores Defense. +-Cannot be duplicated.</v>
      </c>
      <c r="G160" s="49">
        <f>IFERROR(__xludf.DUMMYFUNCTION("""COMPUTED_VALUE"""),1.77E7)</f>
        <v>17700000</v>
      </c>
      <c r="H160" s="49"/>
      <c r="I160" s="49"/>
      <c r="J160" s="49"/>
      <c r="K160" s="49"/>
      <c r="L160" s="49"/>
      <c r="M160" s="49"/>
      <c r="N160" s="49"/>
      <c r="O160" s="49"/>
      <c r="P160" s="49"/>
      <c r="Q160" s="49"/>
      <c r="R160" s="49"/>
      <c r="S160" s="49"/>
      <c r="T160" s="49"/>
      <c r="U160" s="49"/>
      <c r="V160" s="49"/>
      <c r="W160" s="49"/>
      <c r="X160" s="49"/>
      <c r="Y160" s="49"/>
      <c r="Z160" s="49"/>
    </row>
    <row r="161">
      <c r="A161" s="49" t="str">
        <f>IFERROR(__xludf.DUMMYFUNCTION("""COMPUTED_VALUE"""),"Legendary Sword of Heatmore")</f>
        <v>Legendary Sword of Heatmore</v>
      </c>
      <c r="B161" s="49"/>
      <c r="C161" s="49" t="str">
        <f>IFERROR(__xludf.DUMMYFUNCTION("""COMPUTED_VALUE"""),"Sword")</f>
        <v>Sword</v>
      </c>
      <c r="D161" s="49" t="str">
        <f>IFERROR(__xludf.DUMMYFUNCTION("""COMPUTED_VALUE"""),"Hand")</f>
        <v>Hand</v>
      </c>
      <c r="E161" s="49">
        <f>IFERROR(__xludf.DUMMYFUNCTION("""COMPUTED_VALUE"""),200.0)</f>
        <v>200</v>
      </c>
      <c r="F161" s="49"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49">
        <f>IFERROR(__xludf.DUMMYFUNCTION("""COMPUTED_VALUE"""),1.272E8)</f>
        <v>127200000</v>
      </c>
      <c r="H161" s="49"/>
      <c r="I161" s="49"/>
      <c r="J161" s="49"/>
      <c r="K161" s="49"/>
      <c r="L161" s="49"/>
      <c r="M161" s="49"/>
      <c r="N161" s="49"/>
      <c r="O161" s="49"/>
      <c r="P161" s="49"/>
      <c r="Q161" s="49"/>
      <c r="R161" s="49"/>
      <c r="S161" s="49"/>
      <c r="T161" s="49"/>
      <c r="U161" s="49"/>
      <c r="V161" s="49"/>
      <c r="W161" s="49"/>
      <c r="X161" s="49"/>
      <c r="Y161" s="49"/>
      <c r="Z161" s="49"/>
    </row>
    <row r="162">
      <c r="A162" s="49" t="str">
        <f>IFERROR(__xludf.DUMMYFUNCTION("""COMPUTED_VALUE"""),"Legendary Tree Sword")</f>
        <v>Legendary Tree Sword</v>
      </c>
      <c r="B162" s="49"/>
      <c r="C162" s="49" t="str">
        <f>IFERROR(__xludf.DUMMYFUNCTION("""COMPUTED_VALUE"""),"Sword")</f>
        <v>Sword</v>
      </c>
      <c r="D162" s="49" t="str">
        <f>IFERROR(__xludf.DUMMYFUNCTION("""COMPUTED_VALUE"""),"Hand")</f>
        <v>Hand</v>
      </c>
      <c r="E162" s="49">
        <f>IFERROR(__xludf.DUMMYFUNCTION("""COMPUTED_VALUE"""),200.0)</f>
        <v>200</v>
      </c>
      <c r="F162" s="49"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49">
        <f>IFERROR(__xludf.DUMMYFUNCTION("""COMPUTED_VALUE"""),4.485E8)</f>
        <v>448500000</v>
      </c>
      <c r="H162" s="49"/>
      <c r="I162" s="49"/>
      <c r="J162" s="49"/>
      <c r="K162" s="49"/>
      <c r="L162" s="49"/>
      <c r="M162" s="49"/>
      <c r="N162" s="49"/>
      <c r="O162" s="49"/>
      <c r="P162" s="49"/>
      <c r="Q162" s="49"/>
      <c r="R162" s="49"/>
      <c r="S162" s="49"/>
      <c r="T162" s="49"/>
      <c r="U162" s="49"/>
      <c r="V162" s="49"/>
      <c r="W162" s="49"/>
      <c r="X162" s="49"/>
      <c r="Y162" s="49"/>
      <c r="Z162" s="49"/>
    </row>
    <row r="163">
      <c r="A163" s="49" t="str">
        <f>IFERROR(__xludf.DUMMYFUNCTION("""COMPUTED_VALUE"""),"Leggings Of Tritonoch")</f>
        <v>Leggings Of Tritonoch</v>
      </c>
      <c r="B163" s="49"/>
      <c r="C163" s="49"/>
      <c r="D163" s="49" t="str">
        <f>IFERROR(__xludf.DUMMYFUNCTION("""COMPUTED_VALUE"""),"Legs")</f>
        <v>Legs</v>
      </c>
      <c r="E163" s="49">
        <f>IFERROR(__xludf.DUMMYFUNCTION("""COMPUTED_VALUE"""),400.0)</f>
        <v>400</v>
      </c>
      <c r="F163" s="49" t="str">
        <f>IFERROR(__xludf.DUMMYFUNCTION("""COMPUTED_VALUE"""),"DEF: +20000 ++Waves of Entitlement - x5 additional Water damage")</f>
        <v>DEF: +20000 ++Waves of Entitlement - x5 additional Water damage</v>
      </c>
      <c r="G163" s="49">
        <f>IFERROR(__xludf.DUMMYFUNCTION("""COMPUTED_VALUE"""),7800000.0)</f>
        <v>7800000</v>
      </c>
      <c r="H163" s="49"/>
      <c r="I163" s="49"/>
      <c r="J163" s="49"/>
      <c r="K163" s="49"/>
      <c r="L163" s="49"/>
      <c r="M163" s="49"/>
      <c r="N163" s="49"/>
      <c r="O163" s="49"/>
      <c r="P163" s="49"/>
      <c r="Q163" s="49"/>
      <c r="R163" s="49"/>
      <c r="S163" s="49"/>
      <c r="T163" s="49"/>
      <c r="U163" s="49"/>
      <c r="V163" s="49"/>
      <c r="W163" s="49"/>
      <c r="X163" s="49"/>
      <c r="Y163" s="49"/>
      <c r="Z163" s="49"/>
    </row>
    <row r="164">
      <c r="A164" s="49" t="str">
        <f>IFERROR(__xludf.DUMMYFUNCTION("""COMPUTED_VALUE"""),"Lightning Lance")</f>
        <v>Lightning Lance</v>
      </c>
      <c r="B164" s="49"/>
      <c r="C164" s="49" t="str">
        <f>IFERROR(__xludf.DUMMYFUNCTION("""COMPUTED_VALUE"""),"Spear")</f>
        <v>Spear</v>
      </c>
      <c r="D164" s="49" t="str">
        <f>IFERROR(__xludf.DUMMYFUNCTION("""COMPUTED_VALUE"""),"Hand")</f>
        <v>Hand</v>
      </c>
      <c r="E164" s="49">
        <f>IFERROR(__xludf.DUMMYFUNCTION("""COMPUTED_VALUE"""),500.0)</f>
        <v>500</v>
      </c>
      <c r="F164" s="49" t="str">
        <f>IFERROR(__xludf.DUMMYFUNCTION("""COMPUTED_VALUE"""),"DMG: +10000, Storm DMG: +15000 ++Stun 2")</f>
        <v>DMG: +10000, Storm DMG: +15000 ++Stun 2</v>
      </c>
      <c r="G164" s="49">
        <f>IFERROR(__xludf.DUMMYFUNCTION("""COMPUTED_VALUE"""),1.225E7)</f>
        <v>12250000</v>
      </c>
      <c r="H164" s="49"/>
      <c r="I164" s="49"/>
      <c r="J164" s="49"/>
      <c r="K164" s="49"/>
      <c r="L164" s="49"/>
      <c r="M164" s="49"/>
      <c r="N164" s="49"/>
      <c r="O164" s="49"/>
      <c r="P164" s="49"/>
      <c r="Q164" s="49"/>
      <c r="R164" s="49"/>
      <c r="S164" s="49"/>
      <c r="T164" s="49"/>
      <c r="U164" s="49"/>
      <c r="V164" s="49"/>
      <c r="W164" s="49"/>
      <c r="X164" s="49"/>
      <c r="Y164" s="49"/>
      <c r="Z164" s="49"/>
    </row>
    <row r="165">
      <c r="A165" s="49" t="str">
        <f>IFERROR(__xludf.DUMMYFUNCTION("""COMPUTED_VALUE"""),"Long Spear")</f>
        <v>Long Spear</v>
      </c>
      <c r="B165" s="49"/>
      <c r="C165" s="49" t="str">
        <f>IFERROR(__xludf.DUMMYFUNCTION("""COMPUTED_VALUE"""),"Spear")</f>
        <v>Spear</v>
      </c>
      <c r="D165" s="49" t="str">
        <f>IFERROR(__xludf.DUMMYFUNCTION("""COMPUTED_VALUE"""),"Hand")</f>
        <v>Hand</v>
      </c>
      <c r="E165" s="49">
        <f>IFERROR(__xludf.DUMMYFUNCTION("""COMPUTED_VALUE"""),10.0)</f>
        <v>10</v>
      </c>
      <c r="F165" s="49" t="str">
        <f>IFERROR(__xludf.DUMMYFUNCTION("""COMPUTED_VALUE"""),"DMG: +500 ++25% chance of instant death. ")</f>
        <v>DMG: +500 ++25% chance of instant death. </v>
      </c>
      <c r="G165" s="49">
        <f>IFERROR(__xludf.DUMMYFUNCTION("""COMPUTED_VALUE"""),1000.0)</f>
        <v>1000</v>
      </c>
      <c r="H165" s="49"/>
      <c r="I165" s="49"/>
      <c r="J165" s="49"/>
      <c r="K165" s="49"/>
      <c r="L165" s="49"/>
      <c r="M165" s="49"/>
      <c r="N165" s="49"/>
      <c r="O165" s="49"/>
      <c r="P165" s="49"/>
      <c r="Q165" s="49"/>
      <c r="R165" s="49"/>
      <c r="S165" s="49"/>
      <c r="T165" s="49"/>
      <c r="U165" s="49"/>
      <c r="V165" s="49"/>
      <c r="W165" s="49"/>
      <c r="X165" s="49"/>
      <c r="Y165" s="49"/>
      <c r="Z165" s="49"/>
    </row>
    <row r="166">
      <c r="A166" s="49" t="str">
        <f>IFERROR(__xludf.DUMMYFUNCTION("""COMPUTED_VALUE"""),"Lord Dreadfuls Sword")</f>
        <v>Lord Dreadfuls Sword</v>
      </c>
      <c r="B166" s="49"/>
      <c r="C166" s="49" t="str">
        <f>IFERROR(__xludf.DUMMYFUNCTION("""COMPUTED_VALUE"""),"Sword")</f>
        <v>Sword</v>
      </c>
      <c r="D166" s="49" t="str">
        <f>IFERROR(__xludf.DUMMYFUNCTION("""COMPUTED_VALUE"""),"Hand")</f>
        <v>Hand</v>
      </c>
      <c r="E166" s="49">
        <f>IFERROR(__xludf.DUMMYFUNCTION("""COMPUTED_VALUE"""),800.0)</f>
        <v>800</v>
      </c>
      <c r="F166" s="49" t="str">
        <f>IFERROR(__xludf.DUMMYFUNCTION("""COMPUTED_VALUE"""),"DMG: +20000, Dark DMG: +10000, Chaos DMG: +10000")</f>
        <v>DMG: +20000, Dark DMG: +10000, Chaos DMG: +10000</v>
      </c>
      <c r="G166" s="49">
        <f>IFERROR(__xludf.DUMMYFUNCTION("""COMPUTED_VALUE"""),3.16E7)</f>
        <v>31600000</v>
      </c>
      <c r="H166" s="49"/>
      <c r="I166" s="49"/>
      <c r="J166" s="49"/>
      <c r="K166" s="49"/>
      <c r="L166" s="49"/>
      <c r="M166" s="49"/>
      <c r="N166" s="49"/>
      <c r="O166" s="49"/>
      <c r="P166" s="49"/>
      <c r="Q166" s="49"/>
      <c r="R166" s="49"/>
      <c r="S166" s="49"/>
      <c r="T166" s="49"/>
      <c r="U166" s="49"/>
      <c r="V166" s="49"/>
      <c r="W166" s="49"/>
      <c r="X166" s="49"/>
      <c r="Y166" s="49"/>
      <c r="Z166" s="49"/>
    </row>
    <row r="167">
      <c r="A167" s="49" t="str">
        <f>IFERROR(__xludf.DUMMYFUNCTION("""COMPUTED_VALUE"""),"Magma Morningstar")</f>
        <v>Magma Morningstar</v>
      </c>
      <c r="B167" s="49"/>
      <c r="C167" s="49" t="str">
        <f>IFERROR(__xludf.DUMMYFUNCTION("""COMPUTED_VALUE"""),"Club")</f>
        <v>Club</v>
      </c>
      <c r="D167" s="49" t="str">
        <f>IFERROR(__xludf.DUMMYFUNCTION("""COMPUTED_VALUE"""),"Hand")</f>
        <v>Hand</v>
      </c>
      <c r="E167" s="49">
        <f>IFERROR(__xludf.DUMMYFUNCTION("""COMPUTED_VALUE"""),20.0)</f>
        <v>20</v>
      </c>
      <c r="F167" s="49" t="str">
        <f>IFERROR(__xludf.DUMMYFUNCTION("""COMPUTED_VALUE"""),"DMG: +500, Fire DMG: +400 ++Will return to you each round when thrown")</f>
        <v>DMG: +500, Fire DMG: +400 ++Will return to you each round when thrown</v>
      </c>
      <c r="G167" s="49">
        <f>IFERROR(__xludf.DUMMYFUNCTION("""COMPUTED_VALUE"""),1000.0)</f>
        <v>1000</v>
      </c>
      <c r="H167" s="49"/>
      <c r="I167" s="49"/>
      <c r="J167" s="49"/>
      <c r="K167" s="49"/>
      <c r="L167" s="49"/>
      <c r="M167" s="49"/>
      <c r="N167" s="49"/>
      <c r="O167" s="49"/>
      <c r="P167" s="49"/>
      <c r="Q167" s="49"/>
      <c r="R167" s="49"/>
      <c r="S167" s="49"/>
      <c r="T167" s="49"/>
      <c r="U167" s="49"/>
      <c r="V167" s="49"/>
      <c r="W167" s="49"/>
      <c r="X167" s="49"/>
      <c r="Y167" s="49"/>
      <c r="Z167" s="49"/>
    </row>
    <row r="168">
      <c r="A168" s="49" t="str">
        <f>IFERROR(__xludf.DUMMYFUNCTION("""COMPUTED_VALUE"""),"Magma Sword")</f>
        <v>Magma Sword</v>
      </c>
      <c r="B168" s="49" t="str">
        <f>IFERROR(__xludf.DUMMYFUNCTION("""COMPUTED_VALUE"""),"A sword that turned Forest View into Ash View.")</f>
        <v>A sword that turned Forest View into Ash View.</v>
      </c>
      <c r="C168" s="49" t="str">
        <f>IFERROR(__xludf.DUMMYFUNCTION("""COMPUTED_VALUE"""),"Sword")</f>
        <v>Sword</v>
      </c>
      <c r="D168" s="49" t="str">
        <f>IFERROR(__xludf.DUMMYFUNCTION("""COMPUTED_VALUE"""),"Hand")</f>
        <v>Hand</v>
      </c>
      <c r="E168" s="49">
        <f>IFERROR(__xludf.DUMMYFUNCTION("""COMPUTED_VALUE"""),200.0)</f>
        <v>200</v>
      </c>
      <c r="F168" s="49"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49">
        <f>IFERROR(__xludf.DUMMYFUNCTION("""COMPUTED_VALUE"""),4.485E8)</f>
        <v>448500000</v>
      </c>
      <c r="H168" s="49"/>
      <c r="I168" s="49"/>
      <c r="J168" s="49"/>
      <c r="K168" s="49"/>
      <c r="L168" s="49"/>
      <c r="M168" s="49"/>
      <c r="N168" s="49"/>
      <c r="O168" s="49"/>
      <c r="P168" s="49"/>
      <c r="Q168" s="49"/>
      <c r="R168" s="49"/>
      <c r="S168" s="49"/>
      <c r="T168" s="49"/>
      <c r="U168" s="49"/>
      <c r="V168" s="49"/>
      <c r="W168" s="49"/>
      <c r="X168" s="49"/>
      <c r="Y168" s="49"/>
      <c r="Z168" s="49"/>
    </row>
    <row r="169">
      <c r="A169" s="49" t="str">
        <f>IFERROR(__xludf.DUMMYFUNCTION("""COMPUTED_VALUE"""),"Masking Cloak")</f>
        <v>Masking Cloak</v>
      </c>
      <c r="B169" s="49"/>
      <c r="C169" s="49"/>
      <c r="D169" s="49" t="str">
        <f>IFERROR(__xludf.DUMMYFUNCTION("""COMPUTED_VALUE"""),"Torso")</f>
        <v>Torso</v>
      </c>
      <c r="E169" s="49">
        <f>IFERROR(__xludf.DUMMYFUNCTION("""COMPUTED_VALUE"""),1.0)</f>
        <v>1</v>
      </c>
      <c r="F169" s="49" t="str">
        <f>IFERROR(__xludf.DUMMYFUNCTION("""COMPUTED_VALUE""")," ++5 Evasion +-(Cannot be duplicated)")</f>
        <v> ++5 Evasion +-(Cannot be duplicated)</v>
      </c>
      <c r="G169" s="49">
        <f>IFERROR(__xludf.DUMMYFUNCTION("""COMPUTED_VALUE"""),0.0)</f>
        <v>0</v>
      </c>
      <c r="H169" s="49"/>
      <c r="I169" s="49"/>
      <c r="J169" s="49"/>
      <c r="K169" s="49"/>
      <c r="L169" s="49"/>
      <c r="M169" s="49"/>
      <c r="N169" s="49"/>
      <c r="O169" s="49"/>
      <c r="P169" s="49"/>
      <c r="Q169" s="49"/>
      <c r="R169" s="49"/>
      <c r="S169" s="49"/>
      <c r="T169" s="49"/>
      <c r="U169" s="49"/>
      <c r="V169" s="49"/>
      <c r="W169" s="49"/>
      <c r="X169" s="49"/>
      <c r="Y169" s="49"/>
      <c r="Z169" s="49"/>
    </row>
    <row r="170">
      <c r="A170" s="49" t="str">
        <f>IFERROR(__xludf.DUMMYFUNCTION("""COMPUTED_VALUE"""),"Mini Lucky Fish in a Bottle")</f>
        <v>Mini Lucky Fish in a Bottle</v>
      </c>
      <c r="B170" s="49"/>
      <c r="C170" s="49" t="str">
        <f>IFERROR(__xludf.DUMMYFUNCTION("""COMPUTED_VALUE"""),"Wand")</f>
        <v>Wand</v>
      </c>
      <c r="D170" s="49" t="str">
        <f>IFERROR(__xludf.DUMMYFUNCTION("""COMPUTED_VALUE"""),"Hand")</f>
        <v>Hand</v>
      </c>
      <c r="E170" s="49">
        <f>IFERROR(__xludf.DUMMYFUNCTION("""COMPUTED_VALUE"""),1.0)</f>
        <v>1</v>
      </c>
      <c r="F170" s="49" t="str">
        <f>IFERROR(__xludf.DUMMYFUNCTION("""COMPUTED_VALUE""")," ++Percentage rolls are now increased by 10% for caster that holds this item. +-Can only equip one")</f>
        <v> ++Percentage rolls are now increased by 10% for caster that holds this item. +-Can only equip one</v>
      </c>
      <c r="G170" s="49">
        <f>IFERROR(__xludf.DUMMYFUNCTION("""COMPUTED_VALUE"""),0.0)</f>
        <v>0</v>
      </c>
      <c r="H170" s="49"/>
      <c r="I170" s="49"/>
      <c r="J170" s="49"/>
      <c r="K170" s="49"/>
      <c r="L170" s="49"/>
      <c r="M170" s="49"/>
      <c r="N170" s="49"/>
      <c r="O170" s="49"/>
      <c r="P170" s="49"/>
      <c r="Q170" s="49"/>
      <c r="R170" s="49"/>
      <c r="S170" s="49"/>
      <c r="T170" s="49"/>
      <c r="U170" s="49"/>
      <c r="V170" s="49"/>
      <c r="W170" s="49"/>
      <c r="X170" s="49"/>
      <c r="Y170" s="49"/>
      <c r="Z170" s="49"/>
    </row>
    <row r="171">
      <c r="A171" s="49" t="str">
        <f>IFERROR(__xludf.DUMMYFUNCTION("""COMPUTED_VALUE"""),"Nature Faery Wand")</f>
        <v>Nature Faery Wand</v>
      </c>
      <c r="B171" s="49"/>
      <c r="C171" s="49" t="str">
        <f>IFERROR(__xludf.DUMMYFUNCTION("""COMPUTED_VALUE"""),"Wand")</f>
        <v>Wand</v>
      </c>
      <c r="D171" s="49" t="str">
        <f>IFERROR(__xludf.DUMMYFUNCTION("""COMPUTED_VALUE"""),"Hand")</f>
        <v>Hand</v>
      </c>
      <c r="E171" s="49">
        <f>IFERROR(__xludf.DUMMYFUNCTION("""COMPUTED_VALUE"""),1.0)</f>
        <v>1</v>
      </c>
      <c r="F171" s="49" t="str">
        <f>IFERROR(__xludf.DUMMYFUNCTION("""COMPUTED_VALUE""")," ++half the sp cost of nature spells")</f>
        <v> ++half the sp cost of nature spells</v>
      </c>
      <c r="G171" s="49">
        <f>IFERROR(__xludf.DUMMYFUNCTION("""COMPUTED_VALUE"""),0.0)</f>
        <v>0</v>
      </c>
      <c r="H171" s="49"/>
      <c r="I171" s="49"/>
      <c r="J171" s="49"/>
      <c r="K171" s="49"/>
      <c r="L171" s="49"/>
      <c r="M171" s="49"/>
      <c r="N171" s="49"/>
      <c r="O171" s="49"/>
      <c r="P171" s="49"/>
      <c r="Q171" s="49"/>
      <c r="R171" s="49"/>
      <c r="S171" s="49"/>
      <c r="T171" s="49"/>
      <c r="U171" s="49"/>
      <c r="V171" s="49"/>
      <c r="W171" s="49"/>
      <c r="X171" s="49"/>
      <c r="Y171" s="49"/>
      <c r="Z171" s="49"/>
    </row>
    <row r="172">
      <c r="A172" s="49" t="str">
        <f>IFERROR(__xludf.DUMMYFUNCTION("""COMPUTED_VALUE"""),"Nature's Sword")</f>
        <v>Nature's Sword</v>
      </c>
      <c r="B172" s="49"/>
      <c r="C172" s="49" t="str">
        <f>IFERROR(__xludf.DUMMYFUNCTION("""COMPUTED_VALUE"""),"Sword")</f>
        <v>Sword</v>
      </c>
      <c r="D172" s="49" t="str">
        <f>IFERROR(__xludf.DUMMYFUNCTION("""COMPUTED_VALUE"""),"Hand")</f>
        <v>Hand</v>
      </c>
      <c r="E172" s="49">
        <f>IFERROR(__xludf.DUMMYFUNCTION("""COMPUTED_VALUE"""),40.0)</f>
        <v>40</v>
      </c>
      <c r="F172" s="49" t="str">
        <f>IFERROR(__xludf.DUMMYFUNCTION("""COMPUTED_VALUE"""),"DMG: +800, Nature DMG: +800 ++Upon a successful hit, the next turn you will automatically use the spell Tree Stance.")</f>
        <v>DMG: +800, Nature DMG: +800 ++Upon a successful hit, the next turn you will automatically use the spell Tree Stance.</v>
      </c>
      <c r="G172" s="49">
        <f>IFERROR(__xludf.DUMMYFUNCTION("""COMPUTED_VALUE"""),30000.0)</f>
        <v>30000</v>
      </c>
      <c r="H172" s="49"/>
      <c r="I172" s="49"/>
      <c r="J172" s="49"/>
      <c r="K172" s="49"/>
      <c r="L172" s="49"/>
      <c r="M172" s="49"/>
      <c r="N172" s="49"/>
      <c r="O172" s="49"/>
      <c r="P172" s="49"/>
      <c r="Q172" s="49"/>
      <c r="R172" s="49"/>
      <c r="S172" s="49"/>
      <c r="T172" s="49"/>
      <c r="U172" s="49"/>
      <c r="V172" s="49"/>
      <c r="W172" s="49"/>
      <c r="X172" s="49"/>
      <c r="Y172" s="49"/>
      <c r="Z172" s="49"/>
    </row>
    <row r="173">
      <c r="A173" s="49" t="str">
        <f>IFERROR(__xludf.DUMMYFUNCTION("""COMPUTED_VALUE"""),"Necklace o' Lending")</f>
        <v>Necklace o' Lending</v>
      </c>
      <c r="B173" s="49"/>
      <c r="C173" s="49"/>
      <c r="D173" s="49" t="str">
        <f>IFERROR(__xludf.DUMMYFUNCTION("""COMPUTED_VALUE"""),"Neck")</f>
        <v>Neck</v>
      </c>
      <c r="E173" s="49">
        <f>IFERROR(__xludf.DUMMYFUNCTION("""COMPUTED_VALUE"""),1.0)</f>
        <v>1</v>
      </c>
      <c r="F173" s="49" t="str">
        <f>IFERROR(__xludf.DUMMYFUNCTION("""COMPUTED_VALUE""")," ++Decrease XHP and XSP from your character sheet and add that amount to another target.")</f>
        <v> ++Decrease XHP and XSP from your character sheet and add that amount to another target.</v>
      </c>
      <c r="G173" s="49">
        <f>IFERROR(__xludf.DUMMYFUNCTION("""COMPUTED_VALUE"""),0.0)</f>
        <v>0</v>
      </c>
      <c r="H173" s="49"/>
      <c r="I173" s="49"/>
      <c r="J173" s="49"/>
      <c r="K173" s="49"/>
      <c r="L173" s="49"/>
      <c r="M173" s="49"/>
      <c r="N173" s="49"/>
      <c r="O173" s="49"/>
      <c r="P173" s="49"/>
      <c r="Q173" s="49"/>
      <c r="R173" s="49"/>
      <c r="S173" s="49"/>
      <c r="T173" s="49"/>
      <c r="U173" s="49"/>
      <c r="V173" s="49"/>
      <c r="W173" s="49"/>
      <c r="X173" s="49"/>
      <c r="Y173" s="49"/>
      <c r="Z173" s="49"/>
    </row>
    <row r="174">
      <c r="A174" s="49" t="str">
        <f>IFERROR(__xludf.DUMMYFUNCTION("""COMPUTED_VALUE"""),"Necklace Of Ancient Mountains")</f>
        <v>Necklace Of Ancient Mountains</v>
      </c>
      <c r="B174" s="49"/>
      <c r="C174" s="49"/>
      <c r="D174" s="49" t="str">
        <f>IFERROR(__xludf.DUMMYFUNCTION("""COMPUTED_VALUE"""),"Neck")</f>
        <v>Neck</v>
      </c>
      <c r="E174" s="49">
        <f>IFERROR(__xludf.DUMMYFUNCTION("""COMPUTED_VALUE"""),1.0)</f>
        <v>1</v>
      </c>
      <c r="F174" s="49"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49">
        <f>IFERROR(__xludf.DUMMYFUNCTION("""COMPUTED_VALUE"""),0.0)</f>
        <v>0</v>
      </c>
      <c r="H174" s="49"/>
      <c r="I174" s="49"/>
      <c r="J174" s="49"/>
      <c r="K174" s="49"/>
      <c r="L174" s="49"/>
      <c r="M174" s="49"/>
      <c r="N174" s="49"/>
      <c r="O174" s="49"/>
      <c r="P174" s="49"/>
      <c r="Q174" s="49"/>
      <c r="R174" s="49"/>
      <c r="S174" s="49"/>
      <c r="T174" s="49"/>
      <c r="U174" s="49"/>
      <c r="V174" s="49"/>
      <c r="W174" s="49"/>
      <c r="X174" s="49"/>
      <c r="Y174" s="49"/>
      <c r="Z174" s="49"/>
    </row>
    <row r="175">
      <c r="A175" s="49" t="str">
        <f>IFERROR(__xludf.DUMMYFUNCTION("""COMPUTED_VALUE"""),"Necklace Of Heatmore")</f>
        <v>Necklace Of Heatmore</v>
      </c>
      <c r="B175" s="49"/>
      <c r="C175" s="49"/>
      <c r="D175" s="49" t="str">
        <f>IFERROR(__xludf.DUMMYFUNCTION("""COMPUTED_VALUE"""),"Neck")</f>
        <v>Neck</v>
      </c>
      <c r="E175" s="49">
        <f>IFERROR(__xludf.DUMMYFUNCTION("""COMPUTED_VALUE"""),1.0)</f>
        <v>1</v>
      </c>
      <c r="F175" s="49" t="str">
        <f>IFERROR(__xludf.DUMMYFUNCTION("""COMPUTED_VALUE""")," ++ +2 is added to your d20 roll.")</f>
        <v> ++ +2 is added to your d20 roll.</v>
      </c>
      <c r="G175" s="49">
        <f>IFERROR(__xludf.DUMMYFUNCTION("""COMPUTED_VALUE"""),0.0)</f>
        <v>0</v>
      </c>
      <c r="H175" s="49"/>
      <c r="I175" s="49"/>
      <c r="J175" s="49"/>
      <c r="K175" s="49"/>
      <c r="L175" s="49"/>
      <c r="M175" s="49"/>
      <c r="N175" s="49"/>
      <c r="O175" s="49"/>
      <c r="P175" s="49"/>
      <c r="Q175" s="49"/>
      <c r="R175" s="49"/>
      <c r="S175" s="49"/>
      <c r="T175" s="49"/>
      <c r="U175" s="49"/>
      <c r="V175" s="49"/>
      <c r="W175" s="49"/>
      <c r="X175" s="49"/>
      <c r="Y175" s="49"/>
      <c r="Z175" s="49"/>
    </row>
    <row r="176">
      <c r="A176" s="49" t="str">
        <f>IFERROR(__xludf.DUMMYFUNCTION("""COMPUTED_VALUE"""),"Necklace of Shards")</f>
        <v>Necklace of Shards</v>
      </c>
      <c r="B176" s="49"/>
      <c r="C176" s="49"/>
      <c r="D176" s="49" t="str">
        <f>IFERROR(__xludf.DUMMYFUNCTION("""COMPUTED_VALUE"""),"Neck")</f>
        <v>Neck</v>
      </c>
      <c r="E176" s="49">
        <f>IFERROR(__xludf.DUMMYFUNCTION("""COMPUTED_VALUE"""),1.0)</f>
        <v>1</v>
      </c>
      <c r="F176" s="49" t="str">
        <f>IFERROR(__xludf.DUMMYFUNCTION("""COMPUTED_VALUE""")," ++X6 Chaos and Dark Damage. +-Cannot be duplicated.")</f>
        <v> ++X6 Chaos and Dark Damage. +-Cannot be duplicated.</v>
      </c>
      <c r="G176" s="49">
        <f>IFERROR(__xludf.DUMMYFUNCTION("""COMPUTED_VALUE"""),0.0)</f>
        <v>0</v>
      </c>
      <c r="H176" s="49"/>
      <c r="I176" s="49"/>
      <c r="J176" s="49"/>
      <c r="K176" s="49"/>
      <c r="L176" s="49"/>
      <c r="M176" s="49"/>
      <c r="N176" s="49"/>
      <c r="O176" s="49"/>
      <c r="P176" s="49"/>
      <c r="Q176" s="49"/>
      <c r="R176" s="49"/>
      <c r="S176" s="49"/>
      <c r="T176" s="49"/>
      <c r="U176" s="49"/>
      <c r="V176" s="49"/>
      <c r="W176" s="49"/>
      <c r="X176" s="49"/>
      <c r="Y176" s="49"/>
      <c r="Z176" s="49"/>
    </row>
    <row r="177">
      <c r="A177" s="49" t="str">
        <f>IFERROR(__xludf.DUMMYFUNCTION("""COMPUTED_VALUE"""),"Necklace of The Lost Soul")</f>
        <v>Necklace of The Lost Soul</v>
      </c>
      <c r="B177" s="49"/>
      <c r="C177" s="49"/>
      <c r="D177" s="49" t="str">
        <f>IFERROR(__xludf.DUMMYFUNCTION("""COMPUTED_VALUE"""),"Neck")</f>
        <v>Neck</v>
      </c>
      <c r="E177" s="49">
        <f>IFERROR(__xludf.DUMMYFUNCTION("""COMPUTED_VALUE"""),1.0)</f>
        <v>1</v>
      </c>
      <c r="F177" s="49"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49">
        <f>IFERROR(__xludf.DUMMYFUNCTION("""COMPUTED_VALUE"""),0.0)</f>
        <v>0</v>
      </c>
      <c r="H177" s="49"/>
      <c r="I177" s="49"/>
      <c r="J177" s="49"/>
      <c r="K177" s="49"/>
      <c r="L177" s="49"/>
      <c r="M177" s="49"/>
      <c r="N177" s="49"/>
      <c r="O177" s="49"/>
      <c r="P177" s="49"/>
      <c r="Q177" s="49"/>
      <c r="R177" s="49"/>
      <c r="S177" s="49"/>
      <c r="T177" s="49"/>
      <c r="U177" s="49"/>
      <c r="V177" s="49"/>
      <c r="W177" s="49"/>
      <c r="X177" s="49"/>
      <c r="Y177" s="49"/>
      <c r="Z177" s="49"/>
    </row>
    <row r="178">
      <c r="A178" s="49" t="str">
        <f>IFERROR(__xludf.DUMMYFUNCTION("""COMPUTED_VALUE"""),"Necklace of the Pumpkin")</f>
        <v>Necklace of the Pumpkin</v>
      </c>
      <c r="B178" s="49"/>
      <c r="C178" s="49"/>
      <c r="D178" s="49" t="str">
        <f>IFERROR(__xludf.DUMMYFUNCTION("""COMPUTED_VALUE"""),"Neck")</f>
        <v>Neck</v>
      </c>
      <c r="E178" s="49">
        <f>IFERROR(__xludf.DUMMYFUNCTION("""COMPUTED_VALUE"""),1.0)</f>
        <v>1</v>
      </c>
      <c r="F178" s="49" t="str">
        <f>IFERROR(__xludf.DUMMYFUNCTION("""COMPUTED_VALUE""")," ++Gives Immunity to Fire, Dark, and Nature damage")</f>
        <v> ++Gives Immunity to Fire, Dark, and Nature damage</v>
      </c>
      <c r="G178" s="49">
        <f>IFERROR(__xludf.DUMMYFUNCTION("""COMPUTED_VALUE"""),0.0)</f>
        <v>0</v>
      </c>
      <c r="H178" s="49"/>
      <c r="I178" s="49"/>
      <c r="J178" s="49"/>
      <c r="K178" s="49"/>
      <c r="L178" s="49"/>
      <c r="M178" s="49"/>
      <c r="N178" s="49"/>
      <c r="O178" s="49"/>
      <c r="P178" s="49"/>
      <c r="Q178" s="49"/>
      <c r="R178" s="49"/>
      <c r="S178" s="49"/>
      <c r="T178" s="49"/>
      <c r="U178" s="49"/>
      <c r="V178" s="49"/>
      <c r="W178" s="49"/>
      <c r="X178" s="49"/>
      <c r="Y178" s="49"/>
      <c r="Z178" s="49"/>
    </row>
    <row r="179">
      <c r="A179" s="49" t="str">
        <f>IFERROR(__xludf.DUMMYFUNCTION("""COMPUTED_VALUE"""),"Necklace Of Tritonoch")</f>
        <v>Necklace Of Tritonoch</v>
      </c>
      <c r="B179" s="49"/>
      <c r="C179" s="49"/>
      <c r="D179" s="49" t="str">
        <f>IFERROR(__xludf.DUMMYFUNCTION("""COMPUTED_VALUE"""),"Neck")</f>
        <v>Neck</v>
      </c>
      <c r="E179" s="49">
        <f>IFERROR(__xludf.DUMMYFUNCTION("""COMPUTED_VALUE"""),1.0)</f>
        <v>1</v>
      </c>
      <c r="F179" s="49"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49">
        <f>IFERROR(__xludf.DUMMYFUNCTION("""COMPUTED_VALUE"""),0.0)</f>
        <v>0</v>
      </c>
      <c r="H179" s="49"/>
      <c r="I179" s="49"/>
      <c r="J179" s="49"/>
      <c r="K179" s="49"/>
      <c r="L179" s="49"/>
      <c r="M179" s="49"/>
      <c r="N179" s="49"/>
      <c r="O179" s="49"/>
      <c r="P179" s="49"/>
      <c r="Q179" s="49"/>
      <c r="R179" s="49"/>
      <c r="S179" s="49"/>
      <c r="T179" s="49"/>
      <c r="U179" s="49"/>
      <c r="V179" s="49"/>
      <c r="W179" s="49"/>
      <c r="X179" s="49"/>
      <c r="Y179" s="49"/>
      <c r="Z179" s="49"/>
    </row>
    <row r="180">
      <c r="A180" s="49" t="str">
        <f>IFERROR(__xludf.DUMMYFUNCTION("""COMPUTED_VALUE"""),"Necklace of Waking Waters")</f>
        <v>Necklace of Waking Waters</v>
      </c>
      <c r="B180" s="49"/>
      <c r="C180" s="49"/>
      <c r="D180" s="49" t="str">
        <f>IFERROR(__xludf.DUMMYFUNCTION("""COMPUTED_VALUE"""),"Neck")</f>
        <v>Neck</v>
      </c>
      <c r="E180" s="49">
        <f>IFERROR(__xludf.DUMMYFUNCTION("""COMPUTED_VALUE"""),1.0)</f>
        <v>1</v>
      </c>
      <c r="F180" s="49" t="str">
        <f>IFERROR(__xludf.DUMMYFUNCTION("""COMPUTED_VALUE""")," ++Immunity to sleep. ++X4 Water damage.")</f>
        <v> ++Immunity to sleep. ++X4 Water damage.</v>
      </c>
      <c r="G180" s="49">
        <f>IFERROR(__xludf.DUMMYFUNCTION("""COMPUTED_VALUE"""),0.0)</f>
        <v>0</v>
      </c>
      <c r="H180" s="49"/>
      <c r="I180" s="49"/>
      <c r="J180" s="49"/>
      <c r="K180" s="49"/>
      <c r="L180" s="49"/>
      <c r="M180" s="49"/>
      <c r="N180" s="49"/>
      <c r="O180" s="49"/>
      <c r="P180" s="49"/>
      <c r="Q180" s="49"/>
      <c r="R180" s="49"/>
      <c r="S180" s="49"/>
      <c r="T180" s="49"/>
      <c r="U180" s="49"/>
      <c r="V180" s="49"/>
      <c r="W180" s="49"/>
      <c r="X180" s="49"/>
      <c r="Y180" s="49"/>
      <c r="Z180" s="49"/>
    </row>
    <row r="181">
      <c r="A181" s="49" t="str">
        <f>IFERROR(__xludf.DUMMYFUNCTION("""COMPUTED_VALUE"""),"Necklace of Water Breathing")</f>
        <v>Necklace of Water Breathing</v>
      </c>
      <c r="B181" s="49"/>
      <c r="C181" s="49"/>
      <c r="D181" s="49" t="str">
        <f>IFERROR(__xludf.DUMMYFUNCTION("""COMPUTED_VALUE"""),"Neck")</f>
        <v>Neck</v>
      </c>
      <c r="E181" s="49">
        <f>IFERROR(__xludf.DUMMYFUNCTION("""COMPUTED_VALUE"""),1.0)</f>
        <v>1</v>
      </c>
      <c r="F181" s="49" t="str">
        <f>IFERROR(__xludf.DUMMYFUNCTION("""COMPUTED_VALUE""")," ++Allows you to breath underwater.")</f>
        <v> ++Allows you to breath underwater.</v>
      </c>
      <c r="G181" s="49">
        <f>IFERROR(__xludf.DUMMYFUNCTION("""COMPUTED_VALUE"""),0.0)</f>
        <v>0</v>
      </c>
      <c r="H181" s="49"/>
      <c r="I181" s="49"/>
      <c r="J181" s="49"/>
      <c r="K181" s="49"/>
      <c r="L181" s="49"/>
      <c r="M181" s="49"/>
      <c r="N181" s="49"/>
      <c r="O181" s="49"/>
      <c r="P181" s="49"/>
      <c r="Q181" s="49"/>
      <c r="R181" s="49"/>
      <c r="S181" s="49"/>
      <c r="T181" s="49"/>
      <c r="U181" s="49"/>
      <c r="V181" s="49"/>
      <c r="W181" s="49"/>
      <c r="X181" s="49"/>
      <c r="Y181" s="49"/>
      <c r="Z181" s="49"/>
    </row>
    <row r="182">
      <c r="A182" s="49" t="str">
        <f>IFERROR(__xludf.DUMMYFUNCTION("""COMPUTED_VALUE"""),"Obsidian Chestplate")</f>
        <v>Obsidian Chestplate</v>
      </c>
      <c r="B182" s="49" t="str">
        <f>IFERROR(__xludf.DUMMYFUNCTION("""COMPUTED_VALUE"""),"Quest Item")</f>
        <v>Quest Item</v>
      </c>
      <c r="C182" s="49"/>
      <c r="D182" s="49" t="str">
        <f>IFERROR(__xludf.DUMMYFUNCTION("""COMPUTED_VALUE"""),"Torso")</f>
        <v>Torso</v>
      </c>
      <c r="E182" s="49">
        <f>IFERROR(__xludf.DUMMYFUNCTION("""COMPUTED_VALUE"""),4000.0)</f>
        <v>4000</v>
      </c>
      <c r="F182" s="49" t="str">
        <f>IFERROR(__xludf.DUMMYFUNCTION("""COMPUTED_VALUE"""),"DEF: +100000, Fire DEF: +100000 ++Fire Immunity. +-Cannot be duplicated.")</f>
        <v>DEF: +100000, Fire DEF: +100000 ++Fire Immunity. +-Cannot be duplicated.</v>
      </c>
      <c r="G182" s="49">
        <f>IFERROR(__xludf.DUMMYFUNCTION("""COMPUTED_VALUE"""),7.98E8)</f>
        <v>798000000</v>
      </c>
      <c r="H182" s="49"/>
      <c r="I182" s="49"/>
      <c r="J182" s="49"/>
      <c r="K182" s="49"/>
      <c r="L182" s="49"/>
      <c r="M182" s="49"/>
      <c r="N182" s="49"/>
      <c r="O182" s="49"/>
      <c r="P182" s="49"/>
      <c r="Q182" s="49"/>
      <c r="R182" s="49"/>
      <c r="S182" s="49"/>
      <c r="T182" s="49"/>
      <c r="U182" s="49"/>
      <c r="V182" s="49"/>
      <c r="W182" s="49"/>
      <c r="X182" s="49"/>
      <c r="Y182" s="49"/>
      <c r="Z182" s="49"/>
    </row>
    <row r="183">
      <c r="A183" s="49" t="str">
        <f>IFERROR(__xludf.DUMMYFUNCTION("""COMPUTED_VALUE"""),"Ancient Oni Mask")</f>
        <v>Ancient Oni Mask</v>
      </c>
      <c r="B183" s="49" t="str">
        <f>IFERROR(__xludf.DUMMYFUNCTION("""COMPUTED_VALUE"""),"An ancient relic to Zhenmay")</f>
        <v>An ancient relic to Zhenmay</v>
      </c>
      <c r="C183" s="49"/>
      <c r="D183" s="49" t="str">
        <f>IFERROR(__xludf.DUMMYFUNCTION("""COMPUTED_VALUE"""),"Head")</f>
        <v>Head</v>
      </c>
      <c r="E183" s="49">
        <f>IFERROR(__xludf.DUMMYFUNCTION("""COMPUTED_VALUE"""),200.0)</f>
        <v>200</v>
      </c>
      <c r="F183" s="49"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49">
        <f>IFERROR(__xludf.DUMMYFUNCTION("""COMPUTED_VALUE"""),5.104E8)</f>
        <v>510400000</v>
      </c>
      <c r="H183" s="49"/>
      <c r="I183" s="49"/>
      <c r="J183" s="49"/>
      <c r="K183" s="49"/>
      <c r="L183" s="49"/>
      <c r="M183" s="49"/>
      <c r="N183" s="49"/>
      <c r="O183" s="49"/>
      <c r="P183" s="49"/>
      <c r="Q183" s="49"/>
      <c r="R183" s="49"/>
      <c r="S183" s="49"/>
      <c r="T183" s="49"/>
      <c r="U183" s="49"/>
      <c r="V183" s="49"/>
      <c r="W183" s="49"/>
      <c r="X183" s="49"/>
      <c r="Y183" s="49"/>
      <c r="Z183" s="49"/>
    </row>
    <row r="184">
      <c r="A184" s="49" t="str">
        <f>IFERROR(__xludf.DUMMYFUNCTION("""COMPUTED_VALUE"""),"Pauldrons of Waking Waters")</f>
        <v>Pauldrons of Waking Waters</v>
      </c>
      <c r="B184" s="49"/>
      <c r="C184" s="49"/>
      <c r="D184" s="49" t="str">
        <f>IFERROR(__xludf.DUMMYFUNCTION("""COMPUTED_VALUE"""),"Shoulders")</f>
        <v>Shoulders</v>
      </c>
      <c r="E184" s="49">
        <f>IFERROR(__xludf.DUMMYFUNCTION("""COMPUTED_VALUE"""),200.0)</f>
        <v>200</v>
      </c>
      <c r="F184" s="49" t="str">
        <f>IFERROR(__xludf.DUMMYFUNCTION("""COMPUTED_VALUE"""),"DEF: +5000, Water DEF: +5000 ++X4 additional water damage for self.")</f>
        <v>DEF: +5000, Water DEF: +5000 ++X4 additional water damage for self.</v>
      </c>
      <c r="G184" s="49">
        <f>IFERROR(__xludf.DUMMYFUNCTION("""COMPUTED_VALUE"""),1900000.0)</f>
        <v>1900000</v>
      </c>
      <c r="H184" s="49"/>
      <c r="I184" s="49"/>
      <c r="J184" s="49"/>
      <c r="K184" s="49"/>
      <c r="L184" s="49"/>
      <c r="M184" s="49"/>
      <c r="N184" s="49"/>
      <c r="O184" s="49"/>
      <c r="P184" s="49"/>
      <c r="Q184" s="49"/>
      <c r="R184" s="49"/>
      <c r="S184" s="49"/>
      <c r="T184" s="49"/>
      <c r="U184" s="49"/>
      <c r="V184" s="49"/>
      <c r="W184" s="49"/>
      <c r="X184" s="49"/>
      <c r="Y184" s="49"/>
      <c r="Z184" s="49"/>
    </row>
    <row r="185">
      <c r="A185" s="49" t="str">
        <f>IFERROR(__xludf.DUMMYFUNCTION("""COMPUTED_VALUE"""),"Pendent of the Sea Serpent")</f>
        <v>Pendent of the Sea Serpent</v>
      </c>
      <c r="B185" s="49"/>
      <c r="C185" s="49"/>
      <c r="D185" s="49" t="str">
        <f>IFERROR(__xludf.DUMMYFUNCTION("""COMPUTED_VALUE"""),"Neck")</f>
        <v>Neck</v>
      </c>
      <c r="E185" s="49">
        <f>IFERROR(__xludf.DUMMYFUNCTION("""COMPUTED_VALUE"""),1.0)</f>
        <v>1</v>
      </c>
      <c r="F185" s="49" t="str">
        <f>IFERROR(__xludf.DUMMYFUNCTION("""COMPUTED_VALUE""")," ++X2 Water Resistance.")</f>
        <v> ++X2 Water Resistance.</v>
      </c>
      <c r="G185" s="49">
        <f>IFERROR(__xludf.DUMMYFUNCTION("""COMPUTED_VALUE"""),0.0)</f>
        <v>0</v>
      </c>
      <c r="H185" s="49"/>
      <c r="I185" s="49"/>
      <c r="J185" s="49"/>
      <c r="K185" s="49"/>
      <c r="L185" s="49"/>
      <c r="M185" s="49"/>
      <c r="N185" s="49"/>
      <c r="O185" s="49"/>
      <c r="P185" s="49"/>
      <c r="Q185" s="49"/>
      <c r="R185" s="49"/>
      <c r="S185" s="49"/>
      <c r="T185" s="49"/>
      <c r="U185" s="49"/>
      <c r="V185" s="49"/>
      <c r="W185" s="49"/>
      <c r="X185" s="49"/>
      <c r="Y185" s="49"/>
      <c r="Z185" s="49"/>
    </row>
    <row r="186">
      <c r="A186" s="49" t="str">
        <f>IFERROR(__xludf.DUMMYFUNCTION("""COMPUTED_VALUE"""),"Pendent of Confusion")</f>
        <v>Pendent of Confusion</v>
      </c>
      <c r="B186" s="49"/>
      <c r="C186" s="49"/>
      <c r="D186" s="49" t="str">
        <f>IFERROR(__xludf.DUMMYFUNCTION("""COMPUTED_VALUE"""),"Neck")</f>
        <v>Neck</v>
      </c>
      <c r="E186" s="49">
        <f>IFERROR(__xludf.DUMMYFUNCTION("""COMPUTED_VALUE"""),1.0)</f>
        <v>1</v>
      </c>
      <c r="F186" s="49"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49">
        <f>IFERROR(__xludf.DUMMYFUNCTION("""COMPUTED_VALUE"""),0.0)</f>
        <v>0</v>
      </c>
      <c r="H186" s="49"/>
      <c r="I186" s="49"/>
      <c r="J186" s="49"/>
      <c r="K186" s="49"/>
      <c r="L186" s="49"/>
      <c r="M186" s="49"/>
      <c r="N186" s="49"/>
      <c r="O186" s="49"/>
      <c r="P186" s="49"/>
      <c r="Q186" s="49"/>
      <c r="R186" s="49"/>
      <c r="S186" s="49"/>
      <c r="T186" s="49"/>
      <c r="U186" s="49"/>
      <c r="V186" s="49"/>
      <c r="W186" s="49"/>
      <c r="X186" s="49"/>
      <c r="Y186" s="49"/>
      <c r="Z186" s="49"/>
    </row>
    <row r="187">
      <c r="A187" s="49" t="str">
        <f>IFERROR(__xludf.DUMMYFUNCTION("""COMPUTED_VALUE"""),"Pendent of Luck")</f>
        <v>Pendent of Luck</v>
      </c>
      <c r="B187" s="49"/>
      <c r="C187" s="49"/>
      <c r="D187" s="49" t="str">
        <f>IFERROR(__xludf.DUMMYFUNCTION("""COMPUTED_VALUE"""),"Neck")</f>
        <v>Neck</v>
      </c>
      <c r="E187" s="49">
        <f>IFERROR(__xludf.DUMMYFUNCTION("""COMPUTED_VALUE"""),1.0)</f>
        <v>1</v>
      </c>
      <c r="F187" s="49" t="str">
        <f>IFERROR(__xludf.DUMMYFUNCTION("""COMPUTED_VALUE""")," ++Plus 100 to each base Stat.")</f>
        <v> ++Plus 100 to each base Stat.</v>
      </c>
      <c r="G187" s="49">
        <f>IFERROR(__xludf.DUMMYFUNCTION("""COMPUTED_VALUE"""),0.0)</f>
        <v>0</v>
      </c>
      <c r="H187" s="49"/>
      <c r="I187" s="49"/>
      <c r="J187" s="49"/>
      <c r="K187" s="49"/>
      <c r="L187" s="49"/>
      <c r="M187" s="49"/>
      <c r="N187" s="49"/>
      <c r="O187" s="49"/>
      <c r="P187" s="49"/>
      <c r="Q187" s="49"/>
      <c r="R187" s="49"/>
      <c r="S187" s="49"/>
      <c r="T187" s="49"/>
      <c r="U187" s="49"/>
      <c r="V187" s="49"/>
      <c r="W187" s="49"/>
      <c r="X187" s="49"/>
      <c r="Y187" s="49"/>
      <c r="Z187" s="49"/>
    </row>
    <row r="188">
      <c r="A188" s="49" t="str">
        <f>IFERROR(__xludf.DUMMYFUNCTION("""COMPUTED_VALUE"""),"Pillow of Dreams")</f>
        <v>Pillow of Dreams</v>
      </c>
      <c r="B188" s="49"/>
      <c r="C188" s="49" t="str">
        <f>IFERROR(__xludf.DUMMYFUNCTION("""COMPUTED_VALUE"""),"Towershield")</f>
        <v>Towershield</v>
      </c>
      <c r="D188" s="49" t="str">
        <f>IFERROR(__xludf.DUMMYFUNCTION("""COMPUTED_VALUE"""),"Hand")</f>
        <v>Hand</v>
      </c>
      <c r="E188" s="49">
        <f>IFERROR(__xludf.DUMMYFUNCTION("""COMPUTED_VALUE"""),200.0)</f>
        <v>200</v>
      </c>
      <c r="F188" s="49"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49">
        <f>IFERROR(__xludf.DUMMYFUNCTION("""COMPUTED_VALUE"""),1.2475E9)</f>
        <v>1247500000</v>
      </c>
      <c r="H188" s="49"/>
      <c r="I188" s="49"/>
      <c r="J188" s="49"/>
      <c r="K188" s="49"/>
      <c r="L188" s="49"/>
      <c r="M188" s="49"/>
      <c r="N188" s="49"/>
      <c r="O188" s="49"/>
      <c r="P188" s="49"/>
      <c r="Q188" s="49"/>
      <c r="R188" s="49"/>
      <c r="S188" s="49"/>
      <c r="T188" s="49"/>
      <c r="U188" s="49"/>
      <c r="V188" s="49"/>
      <c r="W188" s="49"/>
      <c r="X188" s="49"/>
      <c r="Y188" s="49"/>
      <c r="Z188" s="49"/>
    </row>
    <row r="189">
      <c r="A189" s="49" t="str">
        <f>IFERROR(__xludf.DUMMYFUNCTION("""COMPUTED_VALUE"""),"Poison Vine Sword")</f>
        <v>Poison Vine Sword</v>
      </c>
      <c r="B189" s="49"/>
      <c r="C189" s="49" t="str">
        <f>IFERROR(__xludf.DUMMYFUNCTION("""COMPUTED_VALUE"""),"Sword")</f>
        <v>Sword</v>
      </c>
      <c r="D189" s="49" t="str">
        <f>IFERROR(__xludf.DUMMYFUNCTION("""COMPUTED_VALUE"""),"Hand")</f>
        <v>Hand</v>
      </c>
      <c r="E189" s="49">
        <f>IFERROR(__xludf.DUMMYFUNCTION("""COMPUTED_VALUE"""),2000.0)</f>
        <v>2000</v>
      </c>
      <c r="F189" s="49" t="str">
        <f>IFERROR(__xludf.DUMMYFUNCTION("""COMPUTED_VALUE"""),"DMG: +50000, Nature DMG: +50000 ++Poison 25,000")</f>
        <v>DMG: +50000, Nature DMG: +50000 ++Poison 25,000</v>
      </c>
      <c r="G189" s="49">
        <f>IFERROR(__xludf.DUMMYFUNCTION("""COMPUTED_VALUE"""),1.99E8)</f>
        <v>199000000</v>
      </c>
      <c r="H189" s="49"/>
      <c r="I189" s="49"/>
      <c r="J189" s="49"/>
      <c r="K189" s="49"/>
      <c r="L189" s="49"/>
      <c r="M189" s="49"/>
      <c r="N189" s="49"/>
      <c r="O189" s="49"/>
      <c r="P189" s="49"/>
      <c r="Q189" s="49"/>
      <c r="R189" s="49"/>
      <c r="S189" s="49"/>
      <c r="T189" s="49"/>
      <c r="U189" s="49"/>
      <c r="V189" s="49"/>
      <c r="W189" s="49"/>
      <c r="X189" s="49"/>
      <c r="Y189" s="49"/>
      <c r="Z189" s="49"/>
    </row>
    <row r="190">
      <c r="A190" s="49" t="str">
        <f>IFERROR(__xludf.DUMMYFUNCTION("""COMPUTED_VALUE"""),"Poseidon's Boots")</f>
        <v>Poseidon's Boots</v>
      </c>
      <c r="B190" s="49"/>
      <c r="C190" s="49"/>
      <c r="D190" s="49" t="str">
        <f>IFERROR(__xludf.DUMMYFUNCTION("""COMPUTED_VALUE"""),"Feet")</f>
        <v>Feet</v>
      </c>
      <c r="E190" s="49">
        <f>IFERROR(__xludf.DUMMYFUNCTION("""COMPUTED_VALUE"""),400.0)</f>
        <v>400</v>
      </c>
      <c r="F190" s="49" t="str">
        <f>IFERROR(__xludf.DUMMYFUNCTION("""COMPUTED_VALUE"""),"DEF: +10000, Water DEF: +10000 ++X8 additional water damage for self.")</f>
        <v>DEF: +10000, Water DEF: +10000 ++X8 additional water damage for self.</v>
      </c>
      <c r="G190" s="49">
        <f>IFERROR(__xludf.DUMMYFUNCTION("""COMPUTED_VALUE"""),7800000.0)</f>
        <v>7800000</v>
      </c>
      <c r="H190" s="49"/>
      <c r="I190" s="49"/>
      <c r="J190" s="49"/>
      <c r="K190" s="49"/>
      <c r="L190" s="49"/>
      <c r="M190" s="49"/>
      <c r="N190" s="49"/>
      <c r="O190" s="49"/>
      <c r="P190" s="49"/>
      <c r="Q190" s="49"/>
      <c r="R190" s="49"/>
      <c r="S190" s="49"/>
      <c r="T190" s="49"/>
      <c r="U190" s="49"/>
      <c r="V190" s="49"/>
      <c r="W190" s="49"/>
      <c r="X190" s="49"/>
      <c r="Y190" s="49"/>
      <c r="Z190" s="49"/>
    </row>
    <row r="191">
      <c r="A191" s="49" t="str">
        <f>IFERROR(__xludf.DUMMYFUNCTION("""COMPUTED_VALUE"""),"Poseidon's Chestplate")</f>
        <v>Poseidon's Chestplate</v>
      </c>
      <c r="B191" s="49"/>
      <c r="C191" s="49"/>
      <c r="D191" s="49" t="str">
        <f>IFERROR(__xludf.DUMMYFUNCTION("""COMPUTED_VALUE"""),"Torso")</f>
        <v>Torso</v>
      </c>
      <c r="E191" s="49">
        <f>IFERROR(__xludf.DUMMYFUNCTION("""COMPUTED_VALUE"""),800.0)</f>
        <v>800</v>
      </c>
      <c r="F191" s="49"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49">
        <f>IFERROR(__xludf.DUMMYFUNCTION("""COMPUTED_VALUE"""),3.16E7)</f>
        <v>31600000</v>
      </c>
      <c r="H191" s="49"/>
      <c r="I191" s="49"/>
      <c r="J191" s="49"/>
      <c r="K191" s="49"/>
      <c r="L191" s="49"/>
      <c r="M191" s="49"/>
      <c r="N191" s="49"/>
      <c r="O191" s="49"/>
      <c r="P191" s="49"/>
      <c r="Q191" s="49"/>
      <c r="R191" s="49"/>
      <c r="S191" s="49"/>
      <c r="T191" s="49"/>
      <c r="U191" s="49"/>
      <c r="V191" s="49"/>
      <c r="W191" s="49"/>
      <c r="X191" s="49"/>
      <c r="Y191" s="49"/>
      <c r="Z191" s="49"/>
    </row>
    <row r="192">
      <c r="A192" s="49" t="str">
        <f>IFERROR(__xludf.DUMMYFUNCTION("""COMPUTED_VALUE"""),"Poseidon's Greaves")</f>
        <v>Poseidon's Greaves</v>
      </c>
      <c r="B192" s="49"/>
      <c r="C192" s="49"/>
      <c r="D192" s="49" t="str">
        <f>IFERROR(__xludf.DUMMYFUNCTION("""COMPUTED_VALUE"""),"Legs")</f>
        <v>Legs</v>
      </c>
      <c r="E192" s="49">
        <f>IFERROR(__xludf.DUMMYFUNCTION("""COMPUTED_VALUE"""),400.0)</f>
        <v>400</v>
      </c>
      <c r="F192" s="49" t="str">
        <f>IFERROR(__xludf.DUMMYFUNCTION("""COMPUTED_VALUE"""),"DEF: +10000, Water DEF: +10000 ++X8 additional water damage for self.")</f>
        <v>DEF: +10000, Water DEF: +10000 ++X8 additional water damage for self.</v>
      </c>
      <c r="G192" s="49">
        <f>IFERROR(__xludf.DUMMYFUNCTION("""COMPUTED_VALUE"""),7800000.0)</f>
        <v>7800000</v>
      </c>
      <c r="H192" s="49"/>
      <c r="I192" s="49"/>
      <c r="J192" s="49"/>
      <c r="K192" s="49"/>
      <c r="L192" s="49"/>
      <c r="M192" s="49"/>
      <c r="N192" s="49"/>
      <c r="O192" s="49"/>
      <c r="P192" s="49"/>
      <c r="Q192" s="49"/>
      <c r="R192" s="49"/>
      <c r="S192" s="49"/>
      <c r="T192" s="49"/>
      <c r="U192" s="49"/>
      <c r="V192" s="49"/>
      <c r="W192" s="49"/>
      <c r="X192" s="49"/>
      <c r="Y192" s="49"/>
      <c r="Z192" s="49"/>
    </row>
    <row r="193">
      <c r="A193" s="49" t="str">
        <f>IFERROR(__xludf.DUMMYFUNCTION("""COMPUTED_VALUE"""),"Poseidon's Helmet")</f>
        <v>Poseidon's Helmet</v>
      </c>
      <c r="B193" s="49"/>
      <c r="C193" s="49"/>
      <c r="D193" s="49" t="str">
        <f>IFERROR(__xludf.DUMMYFUNCTION("""COMPUTED_VALUE"""),"Head")</f>
        <v>Head</v>
      </c>
      <c r="E193" s="49">
        <f>IFERROR(__xludf.DUMMYFUNCTION("""COMPUTED_VALUE"""),400.0)</f>
        <v>400</v>
      </c>
      <c r="F193" s="49" t="str">
        <f>IFERROR(__xludf.DUMMYFUNCTION("""COMPUTED_VALUE"""),"DEF: +10000, Water DEF: +10000 ++X8 additional water damage for self.")</f>
        <v>DEF: +10000, Water DEF: +10000 ++X8 additional water damage for self.</v>
      </c>
      <c r="G193" s="49">
        <f>IFERROR(__xludf.DUMMYFUNCTION("""COMPUTED_VALUE"""),7800000.0)</f>
        <v>7800000</v>
      </c>
      <c r="H193" s="49"/>
      <c r="I193" s="49"/>
      <c r="J193" s="49"/>
      <c r="K193" s="49"/>
      <c r="L193" s="49"/>
      <c r="M193" s="49"/>
      <c r="N193" s="49"/>
      <c r="O193" s="49"/>
      <c r="P193" s="49"/>
      <c r="Q193" s="49"/>
      <c r="R193" s="49"/>
      <c r="S193" s="49"/>
      <c r="T193" s="49"/>
      <c r="U193" s="49"/>
      <c r="V193" s="49"/>
      <c r="W193" s="49"/>
      <c r="X193" s="49"/>
      <c r="Y193" s="49"/>
      <c r="Z193" s="49"/>
    </row>
    <row r="194">
      <c r="A194" s="49" t="str">
        <f>IFERROR(__xludf.DUMMYFUNCTION("""COMPUTED_VALUE"""),"Poseidon's Pauldrons")</f>
        <v>Poseidon's Pauldrons</v>
      </c>
      <c r="B194" s="49"/>
      <c r="C194" s="49"/>
      <c r="D194" s="49" t="str">
        <f>IFERROR(__xludf.DUMMYFUNCTION("""COMPUTED_VALUE"""),"Shoulders")</f>
        <v>Shoulders</v>
      </c>
      <c r="E194" s="49">
        <f>IFERROR(__xludf.DUMMYFUNCTION("""COMPUTED_VALUE"""),400.0)</f>
        <v>400</v>
      </c>
      <c r="F194" s="49" t="str">
        <f>IFERROR(__xludf.DUMMYFUNCTION("""COMPUTED_VALUE"""),"DEF: +10000, Water DEF: +10000 ++X8 additional water damage for self.")</f>
        <v>DEF: +10000, Water DEF: +10000 ++X8 additional water damage for self.</v>
      </c>
      <c r="G194" s="49">
        <f>IFERROR(__xludf.DUMMYFUNCTION("""COMPUTED_VALUE"""),7800000.0)</f>
        <v>7800000</v>
      </c>
      <c r="H194" s="49"/>
      <c r="I194" s="49"/>
      <c r="J194" s="49"/>
      <c r="K194" s="49"/>
      <c r="L194" s="49"/>
      <c r="M194" s="49"/>
      <c r="N194" s="49"/>
      <c r="O194" s="49"/>
      <c r="P194" s="49"/>
      <c r="Q194" s="49"/>
      <c r="R194" s="49"/>
      <c r="S194" s="49"/>
      <c r="T194" s="49"/>
      <c r="U194" s="49"/>
      <c r="V194" s="49"/>
      <c r="W194" s="49"/>
      <c r="X194" s="49"/>
      <c r="Y194" s="49"/>
      <c r="Z194" s="49"/>
    </row>
    <row r="195">
      <c r="A195" s="49" t="str">
        <f>IFERROR(__xludf.DUMMYFUNCTION("""COMPUTED_VALUE"""),"Poseidon's Ring")</f>
        <v>Poseidon's Ring</v>
      </c>
      <c r="B195" s="49"/>
      <c r="C195" s="49"/>
      <c r="D195" s="49" t="str">
        <f>IFERROR(__xludf.DUMMYFUNCTION("""COMPUTED_VALUE"""),"Ring")</f>
        <v>Ring</v>
      </c>
      <c r="E195" s="49">
        <f>IFERROR(__xludf.DUMMYFUNCTION("""COMPUTED_VALUE"""),20.0)</f>
        <v>20</v>
      </c>
      <c r="F195" s="49" t="str">
        <f>IFERROR(__xludf.DUMMYFUNCTION("""COMPUTED_VALUE"""),"DEF: +1000 ++X8 additional water damage for self. ")</f>
        <v>DEF: +1000 ++X8 additional water damage for self. </v>
      </c>
      <c r="G195" s="49">
        <f>IFERROR(__xludf.DUMMYFUNCTION("""COMPUTED_VALUE"""),10000.0)</f>
        <v>10000</v>
      </c>
      <c r="H195" s="49"/>
      <c r="I195" s="49"/>
      <c r="J195" s="49"/>
      <c r="K195" s="49"/>
      <c r="L195" s="49"/>
      <c r="M195" s="49"/>
      <c r="N195" s="49"/>
      <c r="O195" s="49"/>
      <c r="P195" s="49"/>
      <c r="Q195" s="49"/>
      <c r="R195" s="49"/>
      <c r="S195" s="49"/>
      <c r="T195" s="49"/>
      <c r="U195" s="49"/>
      <c r="V195" s="49"/>
      <c r="W195" s="49"/>
      <c r="X195" s="49"/>
      <c r="Y195" s="49"/>
      <c r="Z195" s="49"/>
    </row>
    <row r="196">
      <c r="A196" s="49" t="str">
        <f>IFERROR(__xludf.DUMMYFUNCTION("""COMPUTED_VALUE"""),"Poseidon's Sword")</f>
        <v>Poseidon's Sword</v>
      </c>
      <c r="B196" s="49"/>
      <c r="C196" s="49" t="str">
        <f>IFERROR(__xludf.DUMMYFUNCTION("""COMPUTED_VALUE"""),"Sword")</f>
        <v>Sword</v>
      </c>
      <c r="D196" s="49" t="str">
        <f>IFERROR(__xludf.DUMMYFUNCTION("""COMPUTED_VALUE"""),"Hand")</f>
        <v>Hand</v>
      </c>
      <c r="E196" s="49">
        <f>IFERROR(__xludf.DUMMYFUNCTION("""COMPUTED_VALUE"""),200.0)</f>
        <v>200</v>
      </c>
      <c r="F196" s="49"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49">
        <f>IFERROR(__xludf.DUMMYFUNCTION("""COMPUTED_VALUE"""),1.99E8)</f>
        <v>199000000</v>
      </c>
      <c r="H196" s="49"/>
      <c r="I196" s="49"/>
      <c r="J196" s="49"/>
      <c r="K196" s="49"/>
      <c r="L196" s="49"/>
      <c r="M196" s="49"/>
      <c r="N196" s="49"/>
      <c r="O196" s="49"/>
      <c r="P196" s="49"/>
      <c r="Q196" s="49"/>
      <c r="R196" s="49"/>
      <c r="S196" s="49"/>
      <c r="T196" s="49"/>
      <c r="U196" s="49"/>
      <c r="V196" s="49"/>
      <c r="W196" s="49"/>
      <c r="X196" s="49"/>
      <c r="Y196" s="49"/>
      <c r="Z196" s="49"/>
    </row>
    <row r="197">
      <c r="A197" s="49" t="str">
        <f>IFERROR(__xludf.DUMMYFUNCTION("""COMPUTED_VALUE"""),"Poseidon's Trident")</f>
        <v>Poseidon's Trident</v>
      </c>
      <c r="B197" s="49"/>
      <c r="C197" s="49" t="str">
        <f>IFERROR(__xludf.DUMMYFUNCTION("""COMPUTED_VALUE"""),"Spear")</f>
        <v>Spear</v>
      </c>
      <c r="D197" s="49" t="str">
        <f>IFERROR(__xludf.DUMMYFUNCTION("""COMPUTED_VALUE"""),"Hand")</f>
        <v>Hand</v>
      </c>
      <c r="E197" s="49">
        <f>IFERROR(__xludf.DUMMYFUNCTION("""COMPUTED_VALUE"""),200.0)</f>
        <v>200</v>
      </c>
      <c r="F197" s="49"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49">
        <f>IFERROR(__xludf.DUMMYFUNCTION("""COMPUTED_VALUE"""),3.1125E8)</f>
        <v>311250000</v>
      </c>
      <c r="H197" s="49"/>
      <c r="I197" s="49"/>
      <c r="J197" s="49"/>
      <c r="K197" s="49"/>
      <c r="L197" s="49"/>
      <c r="M197" s="49"/>
      <c r="N197" s="49"/>
      <c r="O197" s="49"/>
      <c r="P197" s="49"/>
      <c r="Q197" s="49"/>
      <c r="R197" s="49"/>
      <c r="S197" s="49"/>
      <c r="T197" s="49"/>
      <c r="U197" s="49"/>
      <c r="V197" s="49"/>
      <c r="W197" s="49"/>
      <c r="X197" s="49"/>
      <c r="Y197" s="49"/>
      <c r="Z197" s="49"/>
    </row>
    <row r="198">
      <c r="A198" s="49" t="str">
        <f>IFERROR(__xludf.DUMMYFUNCTION("""COMPUTED_VALUE"""),"Poseidon's Vambraces")</f>
        <v>Poseidon's Vambraces</v>
      </c>
      <c r="B198" s="49"/>
      <c r="C198" s="49"/>
      <c r="D198" s="49" t="str">
        <f>IFERROR(__xludf.DUMMYFUNCTION("""COMPUTED_VALUE"""),"Arms")</f>
        <v>Arms</v>
      </c>
      <c r="E198" s="49">
        <f>IFERROR(__xludf.DUMMYFUNCTION("""COMPUTED_VALUE"""),400.0)</f>
        <v>400</v>
      </c>
      <c r="F198" s="49" t="str">
        <f>IFERROR(__xludf.DUMMYFUNCTION("""COMPUTED_VALUE"""),"DEF: +10000, Water DEF: +10000 ++X8 additional water damage for self.")</f>
        <v>DEF: +10000, Water DEF: +10000 ++X8 additional water damage for self.</v>
      </c>
      <c r="G198" s="49">
        <f>IFERROR(__xludf.DUMMYFUNCTION("""COMPUTED_VALUE"""),7800000.0)</f>
        <v>7800000</v>
      </c>
      <c r="H198" s="49"/>
      <c r="I198" s="49"/>
      <c r="J198" s="49"/>
      <c r="K198" s="49"/>
      <c r="L198" s="49"/>
      <c r="M198" s="49"/>
      <c r="N198" s="49"/>
      <c r="O198" s="49"/>
      <c r="P198" s="49"/>
      <c r="Q198" s="49"/>
      <c r="R198" s="49"/>
      <c r="S198" s="49"/>
      <c r="T198" s="49"/>
      <c r="U198" s="49"/>
      <c r="V198" s="49"/>
      <c r="W198" s="49"/>
      <c r="X198" s="49"/>
      <c r="Y198" s="49"/>
      <c r="Z198" s="49"/>
    </row>
    <row r="199">
      <c r="A199" s="49" t="str">
        <f>IFERROR(__xludf.DUMMYFUNCTION("""COMPUTED_VALUE"""),"Riftblade")</f>
        <v>Riftblade</v>
      </c>
      <c r="B199" s="49" t="str">
        <f>IFERROR(__xludf.DUMMYFUNCTION("""COMPUTED_VALUE"""),"An ancient blade from a forgotten time")</f>
        <v>An ancient blade from a forgotten time</v>
      </c>
      <c r="C199" s="49" t="str">
        <f>IFERROR(__xludf.DUMMYFUNCTION("""COMPUTED_VALUE"""),"Sword")</f>
        <v>Sword</v>
      </c>
      <c r="D199" s="49" t="str">
        <f>IFERROR(__xludf.DUMMYFUNCTION("""COMPUTED_VALUE"""),"Hand")</f>
        <v>Hand</v>
      </c>
      <c r="E199" s="49">
        <f>IFERROR(__xludf.DUMMYFUNCTION("""COMPUTED_VALUE"""),600.0)</f>
        <v>600</v>
      </c>
      <c r="F199" s="49" t="str">
        <f>IFERROR(__xludf.DUMMYFUNCTION("""COMPUTED_VALUE"""),"DMG: +10000, Chaos DMG: +10000, Nature DMG: +10000")</f>
        <v>DMG: +10000, Chaos DMG: +10000, Nature DMG: +10000</v>
      </c>
      <c r="G199" s="49">
        <f>IFERROR(__xludf.DUMMYFUNCTION("""COMPUTED_VALUE"""),1.77E7)</f>
        <v>17700000</v>
      </c>
      <c r="H199" s="49"/>
      <c r="I199" s="49"/>
      <c r="J199" s="49"/>
      <c r="K199" s="49"/>
      <c r="L199" s="49"/>
      <c r="M199" s="49"/>
      <c r="N199" s="49"/>
      <c r="O199" s="49"/>
      <c r="P199" s="49"/>
      <c r="Q199" s="49"/>
      <c r="R199" s="49"/>
      <c r="S199" s="49"/>
      <c r="T199" s="49"/>
      <c r="U199" s="49"/>
      <c r="V199" s="49"/>
      <c r="W199" s="49"/>
      <c r="X199" s="49"/>
      <c r="Y199" s="49"/>
      <c r="Z199" s="49"/>
    </row>
    <row r="200">
      <c r="A200" s="49" t="str">
        <f>IFERROR(__xludf.DUMMYFUNCTION("""COMPUTED_VALUE"""),"Ring o’ Luck and Nature")</f>
        <v>Ring o’ Luck and Nature</v>
      </c>
      <c r="B200" s="49"/>
      <c r="C200" s="49"/>
      <c r="D200" s="49" t="str">
        <f>IFERROR(__xludf.DUMMYFUNCTION("""COMPUTED_VALUE"""),"Ring")</f>
        <v>Ring</v>
      </c>
      <c r="E200" s="49">
        <f>IFERROR(__xludf.DUMMYFUNCTION("""COMPUTED_VALUE"""),1.0)</f>
        <v>1</v>
      </c>
      <c r="F200" s="49" t="str">
        <f>IFERROR(__xludf.DUMMYFUNCTION("""COMPUTED_VALUE""")," ++Immunity to nature damage, ++increases the roll of a d20 by 2. +-Can only equip one")</f>
        <v> ++Immunity to nature damage, ++increases the roll of a d20 by 2. +-Can only equip one</v>
      </c>
      <c r="G200" s="49">
        <f>IFERROR(__xludf.DUMMYFUNCTION("""COMPUTED_VALUE"""),0.0)</f>
        <v>0</v>
      </c>
      <c r="H200" s="49"/>
      <c r="I200" s="49"/>
      <c r="J200" s="49"/>
      <c r="K200" s="49"/>
      <c r="L200" s="49"/>
      <c r="M200" s="49"/>
      <c r="N200" s="49"/>
      <c r="O200" s="49"/>
      <c r="P200" s="49"/>
      <c r="Q200" s="49"/>
      <c r="R200" s="49"/>
      <c r="S200" s="49"/>
      <c r="T200" s="49"/>
      <c r="U200" s="49"/>
      <c r="V200" s="49"/>
      <c r="W200" s="49"/>
      <c r="X200" s="49"/>
      <c r="Y200" s="49"/>
      <c r="Z200" s="49"/>
    </row>
    <row r="201">
      <c r="A201" s="49" t="str">
        <f>IFERROR(__xludf.DUMMYFUNCTION("""COMPUTED_VALUE"""),"Ring of Darkness")</f>
        <v>Ring of Darkness</v>
      </c>
      <c r="B201" s="49"/>
      <c r="C201" s="49"/>
      <c r="D201" s="49" t="str">
        <f>IFERROR(__xludf.DUMMYFUNCTION("""COMPUTED_VALUE"""),"Ring")</f>
        <v>Ring</v>
      </c>
      <c r="E201" s="49">
        <f>IFERROR(__xludf.DUMMYFUNCTION("""COMPUTED_VALUE"""),1.0)</f>
        <v>1</v>
      </c>
      <c r="F201" s="49"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49">
        <f>IFERROR(__xludf.DUMMYFUNCTION("""COMPUTED_VALUE"""),0.0)</f>
        <v>0</v>
      </c>
      <c r="H201" s="49"/>
      <c r="I201" s="49"/>
      <c r="J201" s="49"/>
      <c r="K201" s="49"/>
      <c r="L201" s="49"/>
      <c r="M201" s="49"/>
      <c r="N201" s="49"/>
      <c r="O201" s="49"/>
      <c r="P201" s="49"/>
      <c r="Q201" s="49"/>
      <c r="R201" s="49"/>
      <c r="S201" s="49"/>
      <c r="T201" s="49"/>
      <c r="U201" s="49"/>
      <c r="V201" s="49"/>
      <c r="W201" s="49"/>
      <c r="X201" s="49"/>
      <c r="Y201" s="49"/>
      <c r="Z201" s="49"/>
    </row>
    <row r="202">
      <c r="A202" s="49" t="str">
        <f>IFERROR(__xludf.DUMMYFUNCTION("""COMPUTED_VALUE"""),"Ring of Death")</f>
        <v>Ring of Death</v>
      </c>
      <c r="B202" s="49"/>
      <c r="C202" s="49"/>
      <c r="D202" s="49" t="str">
        <f>IFERROR(__xludf.DUMMYFUNCTION("""COMPUTED_VALUE"""),"Ring")</f>
        <v>Ring</v>
      </c>
      <c r="E202" s="49">
        <f>IFERROR(__xludf.DUMMYFUNCTION("""COMPUTED_VALUE"""),1.0)</f>
        <v>1</v>
      </c>
      <c r="F202" s="49" t="str">
        <f>IFERROR(__xludf.DUMMYFUNCTION("""COMPUTED_VALUE""")," ++Causes instant death with a fail/succeed roll.")</f>
        <v> ++Causes instant death with a fail/succeed roll.</v>
      </c>
      <c r="G202" s="49">
        <f>IFERROR(__xludf.DUMMYFUNCTION("""COMPUTED_VALUE"""),0.0)</f>
        <v>0</v>
      </c>
      <c r="H202" s="49"/>
      <c r="I202" s="49"/>
      <c r="J202" s="49"/>
      <c r="K202" s="49"/>
      <c r="L202" s="49"/>
      <c r="M202" s="49"/>
      <c r="N202" s="49"/>
      <c r="O202" s="49"/>
      <c r="P202" s="49"/>
      <c r="Q202" s="49"/>
      <c r="R202" s="49"/>
      <c r="S202" s="49"/>
      <c r="T202" s="49"/>
      <c r="U202" s="49"/>
      <c r="V202" s="49"/>
      <c r="W202" s="49"/>
      <c r="X202" s="49"/>
      <c r="Y202" s="49"/>
      <c r="Z202" s="49"/>
    </row>
    <row r="203">
      <c r="A203" s="49" t="str">
        <f>IFERROR(__xludf.DUMMYFUNCTION("""COMPUTED_VALUE"""),"Ring Of Dwelling Waters")</f>
        <v>Ring Of Dwelling Waters</v>
      </c>
      <c r="B203" s="49"/>
      <c r="C203" s="49"/>
      <c r="D203" s="49" t="str">
        <f>IFERROR(__xludf.DUMMYFUNCTION("""COMPUTED_VALUE"""),"Ring")</f>
        <v>Ring</v>
      </c>
      <c r="E203" s="49">
        <f>IFERROR(__xludf.DUMMYFUNCTION("""COMPUTED_VALUE"""),1.0)</f>
        <v>1</v>
      </c>
      <c r="F203" s="49" t="str">
        <f>IFERROR(__xludf.DUMMYFUNCTION("""COMPUTED_VALUE"""),", Fire : +  ++X2 Water and Dark damage.")</f>
        <v>, Fire : +  ++X2 Water and Dark damage.</v>
      </c>
      <c r="G203" s="49">
        <f>IFERROR(__xludf.DUMMYFUNCTION("""COMPUTED_VALUE"""),0.0)</f>
        <v>0</v>
      </c>
      <c r="H203" s="49"/>
      <c r="I203" s="49"/>
      <c r="J203" s="49"/>
      <c r="K203" s="49"/>
      <c r="L203" s="49"/>
      <c r="M203" s="49"/>
      <c r="N203" s="49"/>
      <c r="O203" s="49"/>
      <c r="P203" s="49"/>
      <c r="Q203" s="49"/>
      <c r="R203" s="49"/>
      <c r="S203" s="49"/>
      <c r="T203" s="49"/>
      <c r="U203" s="49"/>
      <c r="V203" s="49"/>
      <c r="W203" s="49"/>
      <c r="X203" s="49"/>
      <c r="Y203" s="49"/>
      <c r="Z203" s="49"/>
    </row>
    <row r="204">
      <c r="A204" s="49" t="str">
        <f>IFERROR(__xludf.DUMMYFUNCTION("""COMPUTED_VALUE"""),"Ring of Endless Souls")</f>
        <v>Ring of Endless Souls</v>
      </c>
      <c r="B204" s="49"/>
      <c r="C204" s="49"/>
      <c r="D204" s="49" t="str">
        <f>IFERROR(__xludf.DUMMYFUNCTION("""COMPUTED_VALUE"""),"Ring")</f>
        <v>Ring</v>
      </c>
      <c r="E204" s="49">
        <f>IFERROR(__xludf.DUMMYFUNCTION("""COMPUTED_VALUE"""),1.0)</f>
        <v>1</v>
      </c>
      <c r="F204" s="49" t="str">
        <f>IFERROR(__xludf.DUMMYFUNCTION("""COMPUTED_VALUE""")," ++0 Def ++Soul Enchanted - Every time you enchant a soul into this item increase the Def of this item by 10. ")</f>
        <v> ++0 Def ++Soul Enchanted - Every time you enchant a soul into this item increase the Def of this item by 10. </v>
      </c>
      <c r="G204" s="49">
        <f>IFERROR(__xludf.DUMMYFUNCTION("""COMPUTED_VALUE"""),0.0)</f>
        <v>0</v>
      </c>
      <c r="H204" s="49"/>
      <c r="I204" s="49"/>
      <c r="J204" s="49"/>
      <c r="K204" s="49"/>
      <c r="L204" s="49"/>
      <c r="M204" s="49"/>
      <c r="N204" s="49"/>
      <c r="O204" s="49"/>
      <c r="P204" s="49"/>
      <c r="Q204" s="49"/>
      <c r="R204" s="49"/>
      <c r="S204" s="49"/>
      <c r="T204" s="49"/>
      <c r="U204" s="49"/>
      <c r="V204" s="49"/>
      <c r="W204" s="49"/>
      <c r="X204" s="49"/>
      <c r="Y204" s="49"/>
      <c r="Z204" s="49"/>
    </row>
    <row r="205">
      <c r="A205" s="49" t="str">
        <f>IFERROR(__xludf.DUMMYFUNCTION("""COMPUTED_VALUE"""),"Ring of Healing")</f>
        <v>Ring of Healing</v>
      </c>
      <c r="B205" s="49"/>
      <c r="C205" s="49"/>
      <c r="D205" s="49" t="str">
        <f>IFERROR(__xludf.DUMMYFUNCTION("""COMPUTED_VALUE"""),"Ring")</f>
        <v>Ring</v>
      </c>
      <c r="E205" s="49">
        <f>IFERROR(__xludf.DUMMYFUNCTION("""COMPUTED_VALUE"""),1.0)</f>
        <v>1</v>
      </c>
      <c r="F205" s="49" t="str">
        <f>IFERROR(__xludf.DUMMYFUNCTION("""COMPUTED_VALUE""")," ++500 hp per round.")</f>
        <v> ++500 hp per round.</v>
      </c>
      <c r="G205" s="49">
        <f>IFERROR(__xludf.DUMMYFUNCTION("""COMPUTED_VALUE"""),0.0)</f>
        <v>0</v>
      </c>
      <c r="H205" s="49"/>
      <c r="I205" s="49"/>
      <c r="J205" s="49"/>
      <c r="K205" s="49"/>
      <c r="L205" s="49"/>
      <c r="M205" s="49"/>
      <c r="N205" s="49"/>
      <c r="O205" s="49"/>
      <c r="P205" s="49"/>
      <c r="Q205" s="49"/>
      <c r="R205" s="49"/>
      <c r="S205" s="49"/>
      <c r="T205" s="49"/>
      <c r="U205" s="49"/>
      <c r="V205" s="49"/>
      <c r="W205" s="49"/>
      <c r="X205" s="49"/>
      <c r="Y205" s="49"/>
      <c r="Z205" s="49"/>
    </row>
    <row r="206">
      <c r="A206" s="49" t="str">
        <f>IFERROR(__xludf.DUMMYFUNCTION("""COMPUTED_VALUE"""),"Ring of Invulnerability ")</f>
        <v>Ring of Invulnerability </v>
      </c>
      <c r="B206" s="49"/>
      <c r="C206" s="49"/>
      <c r="D206" s="49" t="str">
        <f>IFERROR(__xludf.DUMMYFUNCTION("""COMPUTED_VALUE"""),"Ring")</f>
        <v>Ring</v>
      </c>
      <c r="E206" s="49">
        <f>IFERROR(__xludf.DUMMYFUNCTION("""COMPUTED_VALUE"""),1.0)</f>
        <v>1</v>
      </c>
      <c r="F206" s="49"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49">
        <f>IFERROR(__xludf.DUMMYFUNCTION("""COMPUTED_VALUE"""),0.0)</f>
        <v>0</v>
      </c>
      <c r="H206" s="49"/>
      <c r="I206" s="49"/>
      <c r="J206" s="49"/>
      <c r="K206" s="49"/>
      <c r="L206" s="49"/>
      <c r="M206" s="49"/>
      <c r="N206" s="49"/>
      <c r="O206" s="49"/>
      <c r="P206" s="49"/>
      <c r="Q206" s="49"/>
      <c r="R206" s="49"/>
      <c r="S206" s="49"/>
      <c r="T206" s="49"/>
      <c r="U206" s="49"/>
      <c r="V206" s="49"/>
      <c r="W206" s="49"/>
      <c r="X206" s="49"/>
      <c r="Y206" s="49"/>
      <c r="Z206" s="49"/>
    </row>
    <row r="207">
      <c r="A207" s="49" t="str">
        <f>IFERROR(__xludf.DUMMYFUNCTION("""COMPUTED_VALUE"""),"Ring of Pure Chaos")</f>
        <v>Ring of Pure Chaos</v>
      </c>
      <c r="B207" s="49"/>
      <c r="C207" s="49"/>
      <c r="D207" s="49" t="str">
        <f>IFERROR(__xludf.DUMMYFUNCTION("""COMPUTED_VALUE"""),"Ring")</f>
        <v>Ring</v>
      </c>
      <c r="E207" s="49">
        <f>IFERROR(__xludf.DUMMYFUNCTION("""COMPUTED_VALUE"""),1.0)</f>
        <v>1</v>
      </c>
      <c r="F207" s="49" t="str">
        <f>IFERROR(__xludf.DUMMYFUNCTION("""COMPUTED_VALUE""")," ++X2 Chaos damage, ++ +5 Charisma and Intimidation. +-Cannot be forged +-Cannot be duplicated +-Can only equip one")</f>
        <v> ++X2 Chaos damage, ++ +5 Charisma and Intimidation. +-Cannot be forged +-Cannot be duplicated +-Can only equip one</v>
      </c>
      <c r="G207" s="49">
        <f>IFERROR(__xludf.DUMMYFUNCTION("""COMPUTED_VALUE"""),0.0)</f>
        <v>0</v>
      </c>
      <c r="H207" s="49"/>
      <c r="I207" s="49"/>
      <c r="J207" s="49"/>
      <c r="K207" s="49"/>
      <c r="L207" s="49"/>
      <c r="M207" s="49"/>
      <c r="N207" s="49"/>
      <c r="O207" s="49"/>
      <c r="P207" s="49"/>
      <c r="Q207" s="49"/>
      <c r="R207" s="49"/>
      <c r="S207" s="49"/>
      <c r="T207" s="49"/>
      <c r="U207" s="49"/>
      <c r="V207" s="49"/>
      <c r="W207" s="49"/>
      <c r="X207" s="49"/>
      <c r="Y207" s="49"/>
      <c r="Z207" s="49"/>
    </row>
    <row r="208">
      <c r="A208" s="49" t="str">
        <f>IFERROR(__xludf.DUMMYFUNCTION("""COMPUTED_VALUE"""),"Ring of Pure Defense")</f>
        <v>Ring of Pure Defense</v>
      </c>
      <c r="B208" s="49"/>
      <c r="C208" s="49"/>
      <c r="D208" s="49" t="str">
        <f>IFERROR(__xludf.DUMMYFUNCTION("""COMPUTED_VALUE"""),"Ring")</f>
        <v>Ring</v>
      </c>
      <c r="E208" s="49">
        <f>IFERROR(__xludf.DUMMYFUNCTION("""COMPUTED_VALUE"""),1.0)</f>
        <v>1</v>
      </c>
      <c r="F208" s="49" t="str">
        <f>IFERROR(__xludf.DUMMYFUNCTION("""COMPUTED_VALUE""")," ++Half the damage taken from the next attack 100SP Will Succeed.")</f>
        <v> ++Half the damage taken from the next attack 100SP Will Succeed.</v>
      </c>
      <c r="G208" s="49">
        <f>IFERROR(__xludf.DUMMYFUNCTION("""COMPUTED_VALUE"""),0.0)</f>
        <v>0</v>
      </c>
      <c r="H208" s="49"/>
      <c r="I208" s="49"/>
      <c r="J208" s="49"/>
      <c r="K208" s="49"/>
      <c r="L208" s="49"/>
      <c r="M208" s="49"/>
      <c r="N208" s="49"/>
      <c r="O208" s="49"/>
      <c r="P208" s="49"/>
      <c r="Q208" s="49"/>
      <c r="R208" s="49"/>
      <c r="S208" s="49"/>
      <c r="T208" s="49"/>
      <c r="U208" s="49"/>
      <c r="V208" s="49"/>
      <c r="W208" s="49"/>
      <c r="X208" s="49"/>
      <c r="Y208" s="49"/>
      <c r="Z208" s="49"/>
    </row>
    <row r="209">
      <c r="A209" s="49" t="str">
        <f>IFERROR(__xludf.DUMMYFUNCTION("""COMPUTED_VALUE"""),"Ring of Reflect")</f>
        <v>Ring of Reflect</v>
      </c>
      <c r="B209" s="49"/>
      <c r="C209" s="49"/>
      <c r="D209" s="49" t="str">
        <f>IFERROR(__xludf.DUMMYFUNCTION("""COMPUTED_VALUE"""),"Ring")</f>
        <v>Ring</v>
      </c>
      <c r="E209" s="49">
        <f>IFERROR(__xludf.DUMMYFUNCTION("""COMPUTED_VALUE"""),1.0)</f>
        <v>1</v>
      </c>
      <c r="F209" s="49"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49">
        <f>IFERROR(__xludf.DUMMYFUNCTION("""COMPUTED_VALUE"""),0.0)</f>
        <v>0</v>
      </c>
      <c r="H209" s="49"/>
      <c r="I209" s="49"/>
      <c r="J209" s="49"/>
      <c r="K209" s="49"/>
      <c r="L209" s="49"/>
      <c r="M209" s="49"/>
      <c r="N209" s="49"/>
      <c r="O209" s="49"/>
      <c r="P209" s="49"/>
      <c r="Q209" s="49"/>
      <c r="R209" s="49"/>
      <c r="S209" s="49"/>
      <c r="T209" s="49"/>
      <c r="U209" s="49"/>
      <c r="V209" s="49"/>
      <c r="W209" s="49"/>
      <c r="X209" s="49"/>
      <c r="Y209" s="49"/>
      <c r="Z209" s="49"/>
    </row>
    <row r="210">
      <c r="A210" s="49" t="str">
        <f>IFERROR(__xludf.DUMMYFUNCTION("""COMPUTED_VALUE"""),"Ring of the Bonded Undead")</f>
        <v>Ring of the Bonded Undead</v>
      </c>
      <c r="B210" s="49"/>
      <c r="C210" s="49"/>
      <c r="D210" s="49" t="str">
        <f>IFERROR(__xludf.DUMMYFUNCTION("""COMPUTED_VALUE"""),"Ring")</f>
        <v>Ring</v>
      </c>
      <c r="E210" s="49">
        <f>IFERROR(__xludf.DUMMYFUNCTION("""COMPUTED_VALUE"""),1.0)</f>
        <v>1</v>
      </c>
      <c r="F210" s="49" t="str">
        <f>IFERROR(__xludf.DUMMYFUNCTION("""COMPUTED_VALUE""")," ++When you battle with any Undead target you can deal X2 more damage.")</f>
        <v> ++When you battle with any Undead target you can deal X2 more damage.</v>
      </c>
      <c r="G210" s="49">
        <f>IFERROR(__xludf.DUMMYFUNCTION("""COMPUTED_VALUE"""),0.0)</f>
        <v>0</v>
      </c>
      <c r="H210" s="49"/>
      <c r="I210" s="49"/>
      <c r="J210" s="49"/>
      <c r="K210" s="49"/>
      <c r="L210" s="49"/>
      <c r="M210" s="49"/>
      <c r="N210" s="49"/>
      <c r="O210" s="49"/>
      <c r="P210" s="49"/>
      <c r="Q210" s="49"/>
      <c r="R210" s="49"/>
      <c r="S210" s="49"/>
      <c r="T210" s="49"/>
      <c r="U210" s="49"/>
      <c r="V210" s="49"/>
      <c r="W210" s="49"/>
      <c r="X210" s="49"/>
      <c r="Y210" s="49"/>
      <c r="Z210" s="49"/>
    </row>
    <row r="211">
      <c r="A211" s="49" t="str">
        <f>IFERROR(__xludf.DUMMYFUNCTION("""COMPUTED_VALUE"""),"Ring of the Forgotten")</f>
        <v>Ring of the Forgotten</v>
      </c>
      <c r="B211" s="49"/>
      <c r="C211" s="49"/>
      <c r="D211" s="49" t="str">
        <f>IFERROR(__xludf.DUMMYFUNCTION("""COMPUTED_VALUE"""),"Ring")</f>
        <v>Ring</v>
      </c>
      <c r="E211" s="49">
        <f>IFERROR(__xludf.DUMMYFUNCTION("""COMPUTED_VALUE"""),1.0)</f>
        <v>1</v>
      </c>
      <c r="F211" s="49" t="str">
        <f>IFERROR(__xludf.DUMMYFUNCTION("""COMPUTED_VALUE""")," ++Make a fail/succeed roll to make a target forget they were fighting you. +-Cannot be duplicated")</f>
        <v> ++Make a fail/succeed roll to make a target forget they were fighting you. +-Cannot be duplicated</v>
      </c>
      <c r="G211" s="49">
        <f>IFERROR(__xludf.DUMMYFUNCTION("""COMPUTED_VALUE"""),0.0)</f>
        <v>0</v>
      </c>
      <c r="H211" s="49"/>
      <c r="I211" s="49"/>
      <c r="J211" s="49"/>
      <c r="K211" s="49"/>
      <c r="L211" s="49"/>
      <c r="M211" s="49"/>
      <c r="N211" s="49"/>
      <c r="O211" s="49"/>
      <c r="P211" s="49"/>
      <c r="Q211" s="49"/>
      <c r="R211" s="49"/>
      <c r="S211" s="49"/>
      <c r="T211" s="49"/>
      <c r="U211" s="49"/>
      <c r="V211" s="49"/>
      <c r="W211" s="49"/>
      <c r="X211" s="49"/>
      <c r="Y211" s="49"/>
      <c r="Z211" s="49"/>
    </row>
    <row r="212">
      <c r="A212" s="49" t="str">
        <f>IFERROR(__xludf.DUMMYFUNCTION("""COMPUTED_VALUE"""),"Ring Of Tritonoch")</f>
        <v>Ring Of Tritonoch</v>
      </c>
      <c r="B212" s="49"/>
      <c r="C212" s="49"/>
      <c r="D212" s="49" t="str">
        <f>IFERROR(__xludf.DUMMYFUNCTION("""COMPUTED_VALUE"""),"Ring")</f>
        <v>Ring</v>
      </c>
      <c r="E212" s="49">
        <f>IFERROR(__xludf.DUMMYFUNCTION("""COMPUTED_VALUE"""),1.0)</f>
        <v>1</v>
      </c>
      <c r="F212" s="49" t="str">
        <f>IFERROR(__xludf.DUMMYFUNCTION("""COMPUTED_VALUE""")," ++Waves of Entitlement - x5 additional Water damage")</f>
        <v> ++Waves of Entitlement - x5 additional Water damage</v>
      </c>
      <c r="G212" s="49">
        <f>IFERROR(__xludf.DUMMYFUNCTION("""COMPUTED_VALUE"""),0.0)</f>
        <v>0</v>
      </c>
      <c r="H212" s="49"/>
      <c r="I212" s="49"/>
      <c r="J212" s="49"/>
      <c r="K212" s="49"/>
      <c r="L212" s="49"/>
      <c r="M212" s="49"/>
      <c r="N212" s="49"/>
      <c r="O212" s="49"/>
      <c r="P212" s="49"/>
      <c r="Q212" s="49"/>
      <c r="R212" s="49"/>
      <c r="S212" s="49"/>
      <c r="T212" s="49"/>
      <c r="U212" s="49"/>
      <c r="V212" s="49"/>
      <c r="W212" s="49"/>
      <c r="X212" s="49"/>
      <c r="Y212" s="49"/>
      <c r="Z212" s="49"/>
    </row>
    <row r="213">
      <c r="A213" s="49" t="str">
        <f>IFERROR(__xludf.DUMMYFUNCTION("""COMPUTED_VALUE"""),"Ring of Waking Waters")</f>
        <v>Ring of Waking Waters</v>
      </c>
      <c r="B213" s="49"/>
      <c r="C213" s="49"/>
      <c r="D213" s="49" t="str">
        <f>IFERROR(__xludf.DUMMYFUNCTION("""COMPUTED_VALUE"""),"Ring")</f>
        <v>Ring</v>
      </c>
      <c r="E213" s="49">
        <f>IFERROR(__xludf.DUMMYFUNCTION("""COMPUTED_VALUE"""),100.0)</f>
        <v>100</v>
      </c>
      <c r="F213" s="49" t="str">
        <f>IFERROR(__xludf.DUMMYFUNCTION("""COMPUTED_VALUE"""),", Water DEF: +5000 ++X4 additional water damage for self.")</f>
        <v>, Water DEF: +5000 ++X4 additional water damage for self.</v>
      </c>
      <c r="G213" s="49">
        <f>IFERROR(__xludf.DUMMYFUNCTION("""COMPUTED_VALUE"""),450000.0)</f>
        <v>450000</v>
      </c>
      <c r="H213" s="49"/>
      <c r="I213" s="49"/>
      <c r="J213" s="49"/>
      <c r="K213" s="49"/>
      <c r="L213" s="49"/>
      <c r="M213" s="49"/>
      <c r="N213" s="49"/>
      <c r="O213" s="49"/>
      <c r="P213" s="49"/>
      <c r="Q213" s="49"/>
      <c r="R213" s="49"/>
      <c r="S213" s="49"/>
      <c r="T213" s="49"/>
      <c r="U213" s="49"/>
      <c r="V213" s="49"/>
      <c r="W213" s="49"/>
      <c r="X213" s="49"/>
      <c r="Y213" s="49"/>
      <c r="Z213" s="49"/>
    </row>
    <row r="214">
      <c r="A214" s="49" t="str">
        <f>IFERROR(__xludf.DUMMYFUNCTION("""COMPUTED_VALUE"""),"Robe of The Cultist")</f>
        <v>Robe of The Cultist</v>
      </c>
      <c r="B214" s="49"/>
      <c r="C214" s="49"/>
      <c r="D214" s="49" t="str">
        <f>IFERROR(__xludf.DUMMYFUNCTION("""COMPUTED_VALUE"""),"Torso")</f>
        <v>Torso</v>
      </c>
      <c r="E214" s="49">
        <f>IFERROR(__xludf.DUMMYFUNCTION("""COMPUTED_VALUE"""),80.0)</f>
        <v>80</v>
      </c>
      <c r="F214" s="49" t="str">
        <f>IFERROR(__xludf.DUMMYFUNCTION("""COMPUTED_VALUE"""),"DEF: +2000, Dark DEF: +2000 ++Instant Death Immunity. ++500HP +-Cannot be forged +-Cannot be duplicated")</f>
        <v>DEF: +2000, Dark DEF: +2000 ++Instant Death Immunity. ++500HP +-Cannot be forged +-Cannot be duplicated</v>
      </c>
      <c r="G214" s="49">
        <f>IFERROR(__xludf.DUMMYFUNCTION("""COMPUTED_VALUE"""),280000.0)</f>
        <v>280000</v>
      </c>
      <c r="H214" s="49"/>
      <c r="I214" s="49"/>
      <c r="J214" s="49"/>
      <c r="K214" s="49"/>
      <c r="L214" s="49"/>
      <c r="M214" s="49"/>
      <c r="N214" s="49"/>
      <c r="O214" s="49"/>
      <c r="P214" s="49"/>
      <c r="Q214" s="49"/>
      <c r="R214" s="49"/>
      <c r="S214" s="49"/>
      <c r="T214" s="49"/>
      <c r="U214" s="49"/>
      <c r="V214" s="49"/>
      <c r="W214" s="49"/>
      <c r="X214" s="49"/>
      <c r="Y214" s="49"/>
      <c r="Z214" s="49"/>
    </row>
    <row r="215">
      <c r="A215" s="49" t="str">
        <f>IFERROR(__xludf.DUMMYFUNCTION("""COMPUTED_VALUE"""),"Robe of Vanish")</f>
        <v>Robe of Vanish</v>
      </c>
      <c r="B215" s="49"/>
      <c r="C215" s="49"/>
      <c r="D215" s="49" t="str">
        <f>IFERROR(__xludf.DUMMYFUNCTION("""COMPUTED_VALUE"""),"Torso")</f>
        <v>Torso</v>
      </c>
      <c r="E215" s="49">
        <f>IFERROR(__xludf.DUMMYFUNCTION("""COMPUTED_VALUE"""),20.0)</f>
        <v>20</v>
      </c>
      <c r="F215" s="49" t="str">
        <f>IFERROR(__xludf.DUMMYFUNCTION("""COMPUTED_VALUE"""),"DEF: +900 ++Shadow Disappear - When Equipped you are invulnerable to all damage for the first round of battle. ")</f>
        <v>DEF: +900 ++Shadow Disappear - When Equipped you are invulnerable to all damage for the first round of battle. </v>
      </c>
      <c r="G215" s="49">
        <f>IFERROR(__xludf.DUMMYFUNCTION("""COMPUTED_VALUE"""),1000.0)</f>
        <v>1000</v>
      </c>
      <c r="H215" s="49"/>
      <c r="I215" s="49"/>
      <c r="J215" s="49"/>
      <c r="K215" s="49"/>
      <c r="L215" s="49"/>
      <c r="M215" s="49"/>
      <c r="N215" s="49"/>
      <c r="O215" s="49"/>
      <c r="P215" s="49"/>
      <c r="Q215" s="49"/>
      <c r="R215" s="49"/>
      <c r="S215" s="49"/>
      <c r="T215" s="49"/>
      <c r="U215" s="49"/>
      <c r="V215" s="49"/>
      <c r="W215" s="49"/>
      <c r="X215" s="49"/>
      <c r="Y215" s="49"/>
      <c r="Z215" s="49"/>
    </row>
    <row r="216">
      <c r="A216" s="49" t="str">
        <f>IFERROR(__xludf.DUMMYFUNCTION("""COMPUTED_VALUE"""),"Robes of a Peaceful Immortal")</f>
        <v>Robes of a Peaceful Immortal</v>
      </c>
      <c r="B216" s="49"/>
      <c r="C216" s="49"/>
      <c r="D216" s="49" t="str">
        <f>IFERROR(__xludf.DUMMYFUNCTION("""COMPUTED_VALUE"""),"Torso")</f>
        <v>Torso</v>
      </c>
      <c r="E216" s="49">
        <f>IFERROR(__xludf.DUMMYFUNCTION("""COMPUTED_VALUE"""),1.0)</f>
        <v>1</v>
      </c>
      <c r="F216" s="49" t="str">
        <f>IFERROR(__xludf.DUMMYFUNCTION("""COMPUTED_VALUE""")," ++Peaceful Blessing - Incapable of receiving or dealing damage. +-Cannot be duplicated.")</f>
        <v> ++Peaceful Blessing - Incapable of receiving or dealing damage. +-Cannot be duplicated.</v>
      </c>
      <c r="G216" s="49">
        <f>IFERROR(__xludf.DUMMYFUNCTION("""COMPUTED_VALUE"""),0.0)</f>
        <v>0</v>
      </c>
      <c r="H216" s="49"/>
      <c r="I216" s="49"/>
      <c r="J216" s="49"/>
      <c r="K216" s="49"/>
      <c r="L216" s="49"/>
      <c r="M216" s="49"/>
      <c r="N216" s="49"/>
      <c r="O216" s="49"/>
      <c r="P216" s="49"/>
      <c r="Q216" s="49"/>
      <c r="R216" s="49"/>
      <c r="S216" s="49"/>
      <c r="T216" s="49"/>
      <c r="U216" s="49"/>
      <c r="V216" s="49"/>
      <c r="W216" s="49"/>
      <c r="X216" s="49"/>
      <c r="Y216" s="49"/>
      <c r="Z216" s="49"/>
    </row>
    <row r="217">
      <c r="A217" s="49" t="str">
        <f>IFERROR(__xludf.DUMMYFUNCTION("""COMPUTED_VALUE"""),"Royal Amulet Of Heatmore")</f>
        <v>Royal Amulet Of Heatmore</v>
      </c>
      <c r="B217" s="49"/>
      <c r="C217" s="49"/>
      <c r="D217" s="49" t="str">
        <f>IFERROR(__xludf.DUMMYFUNCTION("""COMPUTED_VALUE"""),"Neck")</f>
        <v>Neck</v>
      </c>
      <c r="E217" s="49">
        <f>IFERROR(__xludf.DUMMYFUNCTION("""COMPUTED_VALUE"""),1.0)</f>
        <v>1</v>
      </c>
      <c r="F217" s="49" t="str">
        <f>IFERROR(__xludf.DUMMYFUNCTION("""COMPUTED_VALUE""")," ++ immune to fire dmg")</f>
        <v> ++ immune to fire dmg</v>
      </c>
      <c r="G217" s="49">
        <f>IFERROR(__xludf.DUMMYFUNCTION("""COMPUTED_VALUE"""),0.0)</f>
        <v>0</v>
      </c>
      <c r="H217" s="49"/>
      <c r="I217" s="49"/>
      <c r="J217" s="49"/>
      <c r="K217" s="49"/>
      <c r="L217" s="49"/>
      <c r="M217" s="49"/>
      <c r="N217" s="49"/>
      <c r="O217" s="49"/>
      <c r="P217" s="49"/>
      <c r="Q217" s="49"/>
      <c r="R217" s="49"/>
      <c r="S217" s="49"/>
      <c r="T217" s="49"/>
      <c r="U217" s="49"/>
      <c r="V217" s="49"/>
      <c r="W217" s="49"/>
      <c r="X217" s="49"/>
      <c r="Y217" s="49"/>
      <c r="Z217" s="49"/>
    </row>
    <row r="218">
      <c r="A218" s="49" t="str">
        <f>IFERROR(__xludf.DUMMYFUNCTION("""COMPUTED_VALUE"""),"Royal Guard Axe")</f>
        <v>Royal Guard Axe</v>
      </c>
      <c r="B218" s="49" t="str">
        <f>IFERROR(__xludf.DUMMYFUNCTION("""COMPUTED_VALUE"""),"Quest Item")</f>
        <v>Quest Item</v>
      </c>
      <c r="C218" s="49"/>
      <c r="D218" s="49" t="str">
        <f>IFERROR(__xludf.DUMMYFUNCTION("""COMPUTED_VALUE"""),"Hand")</f>
        <v>Hand</v>
      </c>
      <c r="E218" s="49">
        <f>IFERROR(__xludf.DUMMYFUNCTION("""COMPUTED_VALUE"""),200.0)</f>
        <v>200</v>
      </c>
      <c r="F218" s="49" t="str">
        <f>IFERROR(__xludf.DUMMYFUNCTION("""COMPUTED_VALUE"""),"DMG: +50000, Light DMG: +50000, Celestial DMG: +50000 ++X4 additional Weapon Damage. +-Cannot be duplicated.")</f>
        <v>DMG: +50000, Light DMG: +50000, Celestial DMG: +50000 ++X4 additional Weapon Damage. +-Cannot be duplicated.</v>
      </c>
      <c r="G218" s="49">
        <f>IFERROR(__xludf.DUMMYFUNCTION("""COMPUTED_VALUE"""),4.485E8)</f>
        <v>448500000</v>
      </c>
      <c r="H218" s="49"/>
      <c r="I218" s="49"/>
      <c r="J218" s="49"/>
      <c r="K218" s="49"/>
      <c r="L218" s="49"/>
      <c r="M218" s="49"/>
      <c r="N218" s="49"/>
      <c r="O218" s="49"/>
      <c r="P218" s="49"/>
      <c r="Q218" s="49"/>
      <c r="R218" s="49"/>
      <c r="S218" s="49"/>
      <c r="T218" s="49"/>
      <c r="U218" s="49"/>
      <c r="V218" s="49"/>
      <c r="W218" s="49"/>
      <c r="X218" s="49"/>
      <c r="Y218" s="49"/>
      <c r="Z218" s="49"/>
    </row>
    <row r="219">
      <c r="A219" s="49" t="str">
        <f>IFERROR(__xludf.DUMMYFUNCTION("""COMPUTED_VALUE"""),"Royal Guard Helmet")</f>
        <v>Royal Guard Helmet</v>
      </c>
      <c r="B219" s="49" t="str">
        <f>IFERROR(__xludf.DUMMYFUNCTION("""COMPUTED_VALUE"""),"Quest Item")</f>
        <v>Quest Item</v>
      </c>
      <c r="C219" s="49"/>
      <c r="D219" s="49" t="str">
        <f>IFERROR(__xludf.DUMMYFUNCTION("""COMPUTED_VALUE"""),"Head")</f>
        <v>Head</v>
      </c>
      <c r="E219" s="49">
        <f>IFERROR(__xludf.DUMMYFUNCTION("""COMPUTED_VALUE"""),200.0)</f>
        <v>200</v>
      </c>
      <c r="F219" s="49"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49">
        <f>IFERROR(__xludf.DUMMYFUNCTION("""COMPUTED_VALUE"""),4.485E8)</f>
        <v>448500000</v>
      </c>
      <c r="H219" s="49"/>
      <c r="I219" s="49"/>
      <c r="J219" s="49"/>
      <c r="K219" s="49"/>
      <c r="L219" s="49"/>
      <c r="M219" s="49"/>
      <c r="N219" s="49"/>
      <c r="O219" s="49"/>
      <c r="P219" s="49"/>
      <c r="Q219" s="49"/>
      <c r="R219" s="49"/>
      <c r="S219" s="49"/>
      <c r="T219" s="49"/>
      <c r="U219" s="49"/>
      <c r="V219" s="49"/>
      <c r="W219" s="49"/>
      <c r="X219" s="49"/>
      <c r="Y219" s="49"/>
      <c r="Z219" s="49"/>
    </row>
    <row r="220">
      <c r="A220" s="49" t="str">
        <f>IFERROR(__xludf.DUMMYFUNCTION("""COMPUTED_VALUE"""),"Royal Guard Chestplate")</f>
        <v>Royal Guard Chestplate</v>
      </c>
      <c r="B220" s="49" t="str">
        <f>IFERROR(__xludf.DUMMYFUNCTION("""COMPUTED_VALUE"""),"Quest Item")</f>
        <v>Quest Item</v>
      </c>
      <c r="C220" s="49"/>
      <c r="D220" s="49" t="str">
        <f>IFERROR(__xludf.DUMMYFUNCTION("""COMPUTED_VALUE"""),"Torso")</f>
        <v>Torso</v>
      </c>
      <c r="E220" s="49">
        <f>IFERROR(__xludf.DUMMYFUNCTION("""COMPUTED_VALUE"""),200.0)</f>
        <v>200</v>
      </c>
      <c r="F220" s="49"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49">
        <f>IFERROR(__xludf.DUMMYFUNCTION("""COMPUTED_VALUE"""),4.485E8)</f>
        <v>448500000</v>
      </c>
      <c r="H220" s="49"/>
      <c r="I220" s="49"/>
      <c r="J220" s="49"/>
      <c r="K220" s="49"/>
      <c r="L220" s="49"/>
      <c r="M220" s="49"/>
      <c r="N220" s="49"/>
      <c r="O220" s="49"/>
      <c r="P220" s="49"/>
      <c r="Q220" s="49"/>
      <c r="R220" s="49"/>
      <c r="S220" s="49"/>
      <c r="T220" s="49"/>
      <c r="U220" s="49"/>
      <c r="V220" s="49"/>
      <c r="W220" s="49"/>
      <c r="X220" s="49"/>
      <c r="Y220" s="49"/>
      <c r="Z220" s="49"/>
    </row>
    <row r="221">
      <c r="A221" s="49" t="str">
        <f>IFERROR(__xludf.DUMMYFUNCTION("""COMPUTED_VALUE"""),"Royal Guard Boots")</f>
        <v>Royal Guard Boots</v>
      </c>
      <c r="B221" s="49" t="str">
        <f>IFERROR(__xludf.DUMMYFUNCTION("""COMPUTED_VALUE"""),"Quest Item")</f>
        <v>Quest Item</v>
      </c>
      <c r="C221" s="49"/>
      <c r="D221" s="49" t="str">
        <f>IFERROR(__xludf.DUMMYFUNCTION("""COMPUTED_VALUE"""),"Feet")</f>
        <v>Feet</v>
      </c>
      <c r="E221" s="49">
        <f>IFERROR(__xludf.DUMMYFUNCTION("""COMPUTED_VALUE"""),200.0)</f>
        <v>200</v>
      </c>
      <c r="F221" s="49"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49">
        <f>IFERROR(__xludf.DUMMYFUNCTION("""COMPUTED_VALUE"""),4.485E8)</f>
        <v>448500000</v>
      </c>
      <c r="H221" s="49"/>
      <c r="I221" s="49"/>
      <c r="J221" s="49"/>
      <c r="K221" s="49"/>
      <c r="L221" s="49"/>
      <c r="M221" s="49"/>
      <c r="N221" s="49"/>
      <c r="O221" s="49"/>
      <c r="P221" s="49"/>
      <c r="Q221" s="49"/>
      <c r="R221" s="49"/>
      <c r="S221" s="49"/>
      <c r="T221" s="49"/>
      <c r="U221" s="49"/>
      <c r="V221" s="49"/>
      <c r="W221" s="49"/>
      <c r="X221" s="49"/>
      <c r="Y221" s="49"/>
      <c r="Z221" s="49"/>
    </row>
    <row r="222">
      <c r="A222" s="49" t="str">
        <f>IFERROR(__xludf.DUMMYFUNCTION("""COMPUTED_VALUE"""),"Royal Guard Greaves")</f>
        <v>Royal Guard Greaves</v>
      </c>
      <c r="B222" s="49" t="str">
        <f>IFERROR(__xludf.DUMMYFUNCTION("""COMPUTED_VALUE"""),"Quest Item")</f>
        <v>Quest Item</v>
      </c>
      <c r="C222" s="49"/>
      <c r="D222" s="49" t="str">
        <f>IFERROR(__xludf.DUMMYFUNCTION("""COMPUTED_VALUE"""),"Legs")</f>
        <v>Legs</v>
      </c>
      <c r="E222" s="49">
        <f>IFERROR(__xludf.DUMMYFUNCTION("""COMPUTED_VALUE"""),200.0)</f>
        <v>200</v>
      </c>
      <c r="F222" s="49"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49">
        <f>IFERROR(__xludf.DUMMYFUNCTION("""COMPUTED_VALUE"""),4.485E8)</f>
        <v>448500000</v>
      </c>
      <c r="H222" s="49"/>
      <c r="I222" s="49"/>
      <c r="J222" s="49"/>
      <c r="K222" s="49"/>
      <c r="L222" s="49"/>
      <c r="M222" s="49"/>
      <c r="N222" s="49"/>
      <c r="O222" s="49"/>
      <c r="P222" s="49"/>
      <c r="Q222" s="49"/>
      <c r="R222" s="49"/>
      <c r="S222" s="49"/>
      <c r="T222" s="49"/>
      <c r="U222" s="49"/>
      <c r="V222" s="49"/>
      <c r="W222" s="49"/>
      <c r="X222" s="49"/>
      <c r="Y222" s="49"/>
      <c r="Z222" s="49"/>
    </row>
    <row r="223">
      <c r="A223" s="49" t="str">
        <f>IFERROR(__xludf.DUMMYFUNCTION("""COMPUTED_VALUE"""),"Royal Keeper Shield")</f>
        <v>Royal Keeper Shield</v>
      </c>
      <c r="B223" s="49"/>
      <c r="C223" s="49" t="str">
        <f>IFERROR(__xludf.DUMMYFUNCTION("""COMPUTED_VALUE"""),"Towershield")</f>
        <v>Towershield</v>
      </c>
      <c r="D223" s="49" t="str">
        <f>IFERROR(__xludf.DUMMYFUNCTION("""COMPUTED_VALUE"""),"Hand")</f>
        <v>Hand</v>
      </c>
      <c r="E223" s="49">
        <f>IFERROR(__xludf.DUMMYFUNCTION("""COMPUTED_VALUE"""),20.0)</f>
        <v>20</v>
      </c>
      <c r="F223" s="49" t="str">
        <f>IFERROR(__xludf.DUMMYFUNCTION("""COMPUTED_VALUE"""),"DEF: +1000 ++Royal Block - Gan invulnerability to all damage for 3 rounds of battle. 5000SP Will Succeed.")</f>
        <v>DEF: +1000 ++Royal Block - Gan invulnerability to all damage for 3 rounds of battle. 5000SP Will Succeed.</v>
      </c>
      <c r="G223" s="49">
        <f>IFERROR(__xludf.DUMMYFUNCTION("""COMPUTED_VALUE"""),10000.0)</f>
        <v>10000</v>
      </c>
      <c r="H223" s="49"/>
      <c r="I223" s="49"/>
      <c r="J223" s="49"/>
      <c r="K223" s="49"/>
      <c r="L223" s="49"/>
      <c r="M223" s="49"/>
      <c r="N223" s="49"/>
      <c r="O223" s="49"/>
      <c r="P223" s="49"/>
      <c r="Q223" s="49"/>
      <c r="R223" s="49"/>
      <c r="S223" s="49"/>
      <c r="T223" s="49"/>
      <c r="U223" s="49"/>
      <c r="V223" s="49"/>
      <c r="W223" s="49"/>
      <c r="X223" s="49"/>
      <c r="Y223" s="49"/>
      <c r="Z223" s="49"/>
    </row>
    <row r="224">
      <c r="A224" s="49" t="str">
        <f>IFERROR(__xludf.DUMMYFUNCTION("""COMPUTED_VALUE"""),"Royal Keeper Spear")</f>
        <v>Royal Keeper Spear</v>
      </c>
      <c r="B224" s="49"/>
      <c r="C224" s="49" t="str">
        <f>IFERROR(__xludf.DUMMYFUNCTION("""COMPUTED_VALUE"""),"Spear")</f>
        <v>Spear</v>
      </c>
      <c r="D224" s="49" t="str">
        <f>IFERROR(__xludf.DUMMYFUNCTION("""COMPUTED_VALUE"""),"Hand")</f>
        <v>Hand</v>
      </c>
      <c r="E224" s="49">
        <f>IFERROR(__xludf.DUMMYFUNCTION("""COMPUTED_VALUE"""),400.0)</f>
        <v>400</v>
      </c>
      <c r="F224" s="49" t="str">
        <f>IFERROR(__xludf.DUMMYFUNCTION("""COMPUTED_VALUE"""),"DMG: +10000, Fire DMG: +10000 ++Royal Stance -  Shuttering 1 for the first round of battle.")</f>
        <v>DMG: +10000, Fire DMG: +10000 ++Royal Stance -  Shuttering 1 for the first round of battle.</v>
      </c>
      <c r="G224" s="49">
        <f>IFERROR(__xludf.DUMMYFUNCTION("""COMPUTED_VALUE"""),7800000.0)</f>
        <v>7800000</v>
      </c>
      <c r="H224" s="49"/>
      <c r="I224" s="49"/>
      <c r="J224" s="49"/>
      <c r="K224" s="49"/>
      <c r="L224" s="49"/>
      <c r="M224" s="49"/>
      <c r="N224" s="49"/>
      <c r="O224" s="49"/>
      <c r="P224" s="49"/>
      <c r="Q224" s="49"/>
      <c r="R224" s="49"/>
      <c r="S224" s="49"/>
      <c r="T224" s="49"/>
      <c r="U224" s="49"/>
      <c r="V224" s="49"/>
      <c r="W224" s="49"/>
      <c r="X224" s="49"/>
      <c r="Y224" s="49"/>
      <c r="Z224" s="49"/>
    </row>
    <row r="225">
      <c r="A225" s="49" t="str">
        <f>IFERROR(__xludf.DUMMYFUNCTION("""COMPUTED_VALUE"""),"Royal Sword of Chaotic Shadows")</f>
        <v>Royal Sword of Chaotic Shadows</v>
      </c>
      <c r="B225" s="49"/>
      <c r="C225" s="49" t="str">
        <f>IFERROR(__xludf.DUMMYFUNCTION("""COMPUTED_VALUE"""),"Sword")</f>
        <v>Sword</v>
      </c>
      <c r="D225" s="49" t="str">
        <f>IFERROR(__xludf.DUMMYFUNCTION("""COMPUTED_VALUE"""),"Hand")</f>
        <v>Hand</v>
      </c>
      <c r="E225" s="49">
        <f>IFERROR(__xludf.DUMMYFUNCTION("""COMPUTED_VALUE"""),900.0)</f>
        <v>900</v>
      </c>
      <c r="F225" s="49"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49">
        <f>IFERROR(__xludf.DUMMYFUNCTION("""COMPUTED_VALUE"""),4.005E7)</f>
        <v>40050000</v>
      </c>
      <c r="H225" s="49"/>
      <c r="I225" s="49"/>
      <c r="J225" s="49"/>
      <c r="K225" s="49"/>
      <c r="L225" s="49"/>
      <c r="M225" s="49"/>
      <c r="N225" s="49"/>
      <c r="O225" s="49"/>
      <c r="P225" s="49"/>
      <c r="Q225" s="49"/>
      <c r="R225" s="49"/>
      <c r="S225" s="49"/>
      <c r="T225" s="49"/>
      <c r="U225" s="49"/>
      <c r="V225" s="49"/>
      <c r="W225" s="49"/>
      <c r="X225" s="49"/>
      <c r="Y225" s="49"/>
      <c r="Z225" s="49"/>
    </row>
    <row r="226">
      <c r="A226" s="49" t="str">
        <f>IFERROR(__xludf.DUMMYFUNCTION("""COMPUTED_VALUE"""),"Rusty sword")</f>
        <v>Rusty sword</v>
      </c>
      <c r="B226" s="49"/>
      <c r="C226" s="49" t="str">
        <f>IFERROR(__xludf.DUMMYFUNCTION("""COMPUTED_VALUE"""),"Sword")</f>
        <v>Sword</v>
      </c>
      <c r="D226" s="49" t="str">
        <f>IFERROR(__xludf.DUMMYFUNCTION("""COMPUTED_VALUE"""),"Hand")</f>
        <v>Hand</v>
      </c>
      <c r="E226" s="49">
        <f>IFERROR(__xludf.DUMMYFUNCTION("""COMPUTED_VALUE"""),1.0)</f>
        <v>1</v>
      </c>
      <c r="F226" s="49" t="str">
        <f>IFERROR(__xludf.DUMMYFUNCTION("""COMPUTED_VALUE"""),"DMG: +60 ++25% chance to break with each use")</f>
        <v>DMG: +60 ++25% chance to break with each use</v>
      </c>
      <c r="G226" s="49">
        <f>IFERROR(__xludf.DUMMYFUNCTION("""COMPUTED_VALUE"""),0.0)</f>
        <v>0</v>
      </c>
      <c r="H226" s="49"/>
      <c r="I226" s="49"/>
      <c r="J226" s="49"/>
      <c r="K226" s="49"/>
      <c r="L226" s="49"/>
      <c r="M226" s="49"/>
      <c r="N226" s="49"/>
      <c r="O226" s="49"/>
      <c r="P226" s="49"/>
      <c r="Q226" s="49"/>
      <c r="R226" s="49"/>
      <c r="S226" s="49"/>
      <c r="T226" s="49"/>
      <c r="U226" s="49"/>
      <c r="V226" s="49"/>
      <c r="W226" s="49"/>
      <c r="X226" s="49"/>
      <c r="Y226" s="49"/>
      <c r="Z226" s="49"/>
    </row>
    <row r="227">
      <c r="A227" s="49" t="str">
        <f>IFERROR(__xludf.DUMMYFUNCTION("""COMPUTED_VALUE"""),"Saber Toothed Sword")</f>
        <v>Saber Toothed Sword</v>
      </c>
      <c r="B227" s="49" t="str">
        <f>IFERROR(__xludf.DUMMYFUNCTION("""COMPUTED_VALUE"""),"A sword crafted from the teeth of a saber toothed cat.")</f>
        <v>A sword crafted from the teeth of a saber toothed cat.</v>
      </c>
      <c r="C227" s="49" t="str">
        <f>IFERROR(__xludf.DUMMYFUNCTION("""COMPUTED_VALUE"""),"Sword")</f>
        <v>Sword</v>
      </c>
      <c r="D227" s="49" t="str">
        <f>IFERROR(__xludf.DUMMYFUNCTION("""COMPUTED_VALUE"""),"Hand")</f>
        <v>Hand</v>
      </c>
      <c r="E227" s="49">
        <f>IFERROR(__xludf.DUMMYFUNCTION("""COMPUTED_VALUE"""),2200.0)</f>
        <v>2200</v>
      </c>
      <c r="F227" s="49" t="str">
        <f>IFERROR(__xludf.DUMMYFUNCTION("""COMPUTED_VALUE"""),"DMG: +60000, Blood DMG: +50000 ++X2 additional blood damage.")</f>
        <v>DMG: +60000, Blood DMG: +50000 ++X2 additional blood damage.</v>
      </c>
      <c r="G227" s="49">
        <f>IFERROR(__xludf.DUMMYFUNCTION("""COMPUTED_VALUE"""),2.409E8)</f>
        <v>240900000</v>
      </c>
      <c r="H227" s="49"/>
      <c r="I227" s="49"/>
      <c r="J227" s="49"/>
      <c r="K227" s="49"/>
      <c r="L227" s="49"/>
      <c r="M227" s="49"/>
      <c r="N227" s="49"/>
      <c r="O227" s="49"/>
      <c r="P227" s="49"/>
      <c r="Q227" s="49"/>
      <c r="R227" s="49"/>
      <c r="S227" s="49"/>
      <c r="T227" s="49"/>
      <c r="U227" s="49"/>
      <c r="V227" s="49"/>
      <c r="W227" s="49"/>
      <c r="X227" s="49"/>
      <c r="Y227" s="49"/>
      <c r="Z227" s="49"/>
    </row>
    <row r="228">
      <c r="A228" s="49" t="str">
        <f>IFERROR(__xludf.DUMMYFUNCTION("""COMPUTED_VALUE"""),"Ancient Oni Chestplate")</f>
        <v>Ancient Oni Chestplate</v>
      </c>
      <c r="B228" s="49" t="str">
        <f>IFERROR(__xludf.DUMMYFUNCTION("""COMPUTED_VALUE"""),"An ancient relic to Zhenmay")</f>
        <v>An ancient relic to Zhenmay</v>
      </c>
      <c r="C228" s="49"/>
      <c r="D228" s="49" t="str">
        <f>IFERROR(__xludf.DUMMYFUNCTION("""COMPUTED_VALUE"""),"Torso")</f>
        <v>Torso</v>
      </c>
      <c r="E228" s="49">
        <f>IFERROR(__xludf.DUMMYFUNCTION("""COMPUTED_VALUE"""),200.0)</f>
        <v>200</v>
      </c>
      <c r="F228" s="49"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49">
        <f>IFERROR(__xludf.DUMMYFUNCTION("""COMPUTED_VALUE"""),5.104E8)</f>
        <v>510400000</v>
      </c>
      <c r="H228" s="49"/>
      <c r="I228" s="49"/>
      <c r="J228" s="49"/>
      <c r="K228" s="49"/>
      <c r="L228" s="49"/>
      <c r="M228" s="49"/>
      <c r="N228" s="49"/>
      <c r="O228" s="49"/>
      <c r="P228" s="49"/>
      <c r="Q228" s="49"/>
      <c r="R228" s="49"/>
      <c r="S228" s="49"/>
      <c r="T228" s="49"/>
      <c r="U228" s="49"/>
      <c r="V228" s="49"/>
      <c r="W228" s="49"/>
      <c r="X228" s="49"/>
      <c r="Y228" s="49"/>
      <c r="Z228" s="49"/>
    </row>
    <row r="229">
      <c r="A229" s="49" t="str">
        <f>IFERROR(__xludf.DUMMYFUNCTION("""COMPUTED_VALUE"""),"Scythe of Mischief ")</f>
        <v>Scythe of Mischief </v>
      </c>
      <c r="B229" s="49"/>
      <c r="C229" s="49" t="str">
        <f>IFERROR(__xludf.DUMMYFUNCTION("""COMPUTED_VALUE"""),"Scythe")</f>
        <v>Scythe</v>
      </c>
      <c r="D229" s="49" t="str">
        <f>IFERROR(__xludf.DUMMYFUNCTION("""COMPUTED_VALUE"""),"Hand")</f>
        <v>Hand</v>
      </c>
      <c r="E229" s="49">
        <f>IFERROR(__xludf.DUMMYFUNCTION("""COMPUTED_VALUE"""),200.0)</f>
        <v>200</v>
      </c>
      <c r="F229" s="49"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49">
        <f>IFERROR(__xludf.DUMMYFUNCTION("""COMPUTED_VALUE"""),5.995E7)</f>
        <v>59950000</v>
      </c>
      <c r="H229" s="49"/>
      <c r="I229" s="49"/>
      <c r="J229" s="49"/>
      <c r="K229" s="49"/>
      <c r="L229" s="49"/>
      <c r="M229" s="49"/>
      <c r="N229" s="49"/>
      <c r="O229" s="49"/>
      <c r="P229" s="49"/>
      <c r="Q229" s="49"/>
      <c r="R229" s="49"/>
      <c r="S229" s="49"/>
      <c r="T229" s="49"/>
      <c r="U229" s="49"/>
      <c r="V229" s="49"/>
      <c r="W229" s="49"/>
      <c r="X229" s="49"/>
      <c r="Y229" s="49"/>
      <c r="Z229" s="49"/>
    </row>
    <row r="230">
      <c r="A230" s="49" t="str">
        <f>IFERROR(__xludf.DUMMYFUNCTION("""COMPUTED_VALUE"""),"Sea Serpent Boots")</f>
        <v>Sea Serpent Boots</v>
      </c>
      <c r="B230" s="49"/>
      <c r="C230" s="49"/>
      <c r="D230" s="49" t="str">
        <f>IFERROR(__xludf.DUMMYFUNCTION("""COMPUTED_VALUE"""),"Feet")</f>
        <v>Feet</v>
      </c>
      <c r="E230" s="49">
        <f>IFERROR(__xludf.DUMMYFUNCTION("""COMPUTED_VALUE"""),100.0)</f>
        <v>100</v>
      </c>
      <c r="F230" s="49" t="str">
        <f>IFERROR(__xludf.DUMMYFUNCTION("""COMPUTED_VALUE"""),"DEF: +2500, Water DEF: +2500 ++X2 additional water damage for self.")</f>
        <v>DEF: +2500, Water DEF: +2500 ++X2 additional water damage for self.</v>
      </c>
      <c r="G230" s="49">
        <f>IFERROR(__xludf.DUMMYFUNCTION("""COMPUTED_VALUE"""),450000.0)</f>
        <v>450000</v>
      </c>
      <c r="H230" s="49"/>
      <c r="I230" s="49"/>
      <c r="J230" s="49"/>
      <c r="K230" s="49"/>
      <c r="L230" s="49"/>
      <c r="M230" s="49"/>
      <c r="N230" s="49"/>
      <c r="O230" s="49"/>
      <c r="P230" s="49"/>
      <c r="Q230" s="49"/>
      <c r="R230" s="49"/>
      <c r="S230" s="49"/>
      <c r="T230" s="49"/>
      <c r="U230" s="49"/>
      <c r="V230" s="49"/>
      <c r="W230" s="49"/>
      <c r="X230" s="49"/>
      <c r="Y230" s="49"/>
      <c r="Z230" s="49"/>
    </row>
    <row r="231">
      <c r="A231" s="49" t="str">
        <f>IFERROR(__xludf.DUMMYFUNCTION("""COMPUTED_VALUE"""),"Sea Serpent Pauldrons")</f>
        <v>Sea Serpent Pauldrons</v>
      </c>
      <c r="B231" s="49"/>
      <c r="C231" s="49"/>
      <c r="D231" s="49" t="str">
        <f>IFERROR(__xludf.DUMMYFUNCTION("""COMPUTED_VALUE"""),"Shoulders")</f>
        <v>Shoulders</v>
      </c>
      <c r="E231" s="49">
        <f>IFERROR(__xludf.DUMMYFUNCTION("""COMPUTED_VALUE"""),100.0)</f>
        <v>100</v>
      </c>
      <c r="F231" s="49" t="str">
        <f>IFERROR(__xludf.DUMMYFUNCTION("""COMPUTED_VALUE"""),"DEF: +2500, Water DEF: +2500 ++X2 additional water damage for self.")</f>
        <v>DEF: +2500, Water DEF: +2500 ++X2 additional water damage for self.</v>
      </c>
      <c r="G231" s="49">
        <f>IFERROR(__xludf.DUMMYFUNCTION("""COMPUTED_VALUE"""),450000.0)</f>
        <v>450000</v>
      </c>
      <c r="H231" s="49"/>
      <c r="I231" s="49"/>
      <c r="J231" s="49"/>
      <c r="K231" s="49"/>
      <c r="L231" s="49"/>
      <c r="M231" s="49"/>
      <c r="N231" s="49"/>
      <c r="O231" s="49"/>
      <c r="P231" s="49"/>
      <c r="Q231" s="49"/>
      <c r="R231" s="49"/>
      <c r="S231" s="49"/>
      <c r="T231" s="49"/>
      <c r="U231" s="49"/>
      <c r="V231" s="49"/>
      <c r="W231" s="49"/>
      <c r="X231" s="49"/>
      <c r="Y231" s="49"/>
      <c r="Z231" s="49"/>
    </row>
    <row r="232">
      <c r="A232" s="49" t="str">
        <f>IFERROR(__xludf.DUMMYFUNCTION("""COMPUTED_VALUE"""),"Sea Serpent Vambrace")</f>
        <v>Sea Serpent Vambrace</v>
      </c>
      <c r="B232" s="49"/>
      <c r="C232" s="49"/>
      <c r="D232" s="49" t="str">
        <f>IFERROR(__xludf.DUMMYFUNCTION("""COMPUTED_VALUE"""),"Arms")</f>
        <v>Arms</v>
      </c>
      <c r="E232" s="49">
        <f>IFERROR(__xludf.DUMMYFUNCTION("""COMPUTED_VALUE"""),100.0)</f>
        <v>100</v>
      </c>
      <c r="F232" s="49" t="str">
        <f>IFERROR(__xludf.DUMMYFUNCTION("""COMPUTED_VALUE"""),"DEF: +2500, Water DEF: +2500 ++X2 additional water damage for self.")</f>
        <v>DEF: +2500, Water DEF: +2500 ++X2 additional water damage for self.</v>
      </c>
      <c r="G232" s="49">
        <f>IFERROR(__xludf.DUMMYFUNCTION("""COMPUTED_VALUE"""),450000.0)</f>
        <v>450000</v>
      </c>
      <c r="H232" s="49"/>
      <c r="I232" s="49"/>
      <c r="J232" s="49"/>
      <c r="K232" s="49"/>
      <c r="L232" s="49"/>
      <c r="M232" s="49"/>
      <c r="N232" s="49"/>
      <c r="O232" s="49"/>
      <c r="P232" s="49"/>
      <c r="Q232" s="49"/>
      <c r="R232" s="49"/>
      <c r="S232" s="49"/>
      <c r="T232" s="49"/>
      <c r="U232" s="49"/>
      <c r="V232" s="49"/>
      <c r="W232" s="49"/>
      <c r="X232" s="49"/>
      <c r="Y232" s="49"/>
      <c r="Z232" s="49"/>
    </row>
    <row r="233">
      <c r="A233" s="49" t="str">
        <f>IFERROR(__xludf.DUMMYFUNCTION("""COMPUTED_VALUE"""),"Sea Serpents Mythical Chestplate")</f>
        <v>Sea Serpents Mythical Chestplate</v>
      </c>
      <c r="B233" s="49"/>
      <c r="C233" s="49"/>
      <c r="D233" s="49" t="str">
        <f>IFERROR(__xludf.DUMMYFUNCTION("""COMPUTED_VALUE"""),"Torso")</f>
        <v>Torso</v>
      </c>
      <c r="E233" s="49">
        <f>IFERROR(__xludf.DUMMYFUNCTION("""COMPUTED_VALUE"""),200.0)</f>
        <v>200</v>
      </c>
      <c r="F233" s="49"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49">
        <f>IFERROR(__xludf.DUMMYFUNCTION("""COMPUTED_VALUE"""),1900000.0)</f>
        <v>1900000</v>
      </c>
      <c r="H233" s="49"/>
      <c r="I233" s="49"/>
      <c r="J233" s="49"/>
      <c r="K233" s="49"/>
      <c r="L233" s="49"/>
      <c r="M233" s="49"/>
      <c r="N233" s="49"/>
      <c r="O233" s="49"/>
      <c r="P233" s="49"/>
      <c r="Q233" s="49"/>
      <c r="R233" s="49"/>
      <c r="S233" s="49"/>
      <c r="T233" s="49"/>
      <c r="U233" s="49"/>
      <c r="V233" s="49"/>
      <c r="W233" s="49"/>
      <c r="X233" s="49"/>
      <c r="Y233" s="49"/>
      <c r="Z233" s="49"/>
    </row>
    <row r="234">
      <c r="A234" s="49" t="str">
        <f>IFERROR(__xludf.DUMMYFUNCTION("""COMPUTED_VALUE"""),"Shadow Flute")</f>
        <v>Shadow Flute</v>
      </c>
      <c r="B234" s="49"/>
      <c r="C234" s="49"/>
      <c r="D234" s="49" t="str">
        <f>IFERROR(__xludf.DUMMYFUNCTION("""COMPUTED_VALUE"""),"Hand")</f>
        <v>Hand</v>
      </c>
      <c r="E234" s="49">
        <f>IFERROR(__xludf.DUMMYFUNCTION("""COMPUTED_VALUE"""),1.0)</f>
        <v>1</v>
      </c>
      <c r="F234" s="49" t="str">
        <f>IFERROR(__xludf.DUMMYFUNCTION("""COMPUTED_VALUE""")," ++Can summon a chaotic shadow gnome to battle.")</f>
        <v> ++Can summon a chaotic shadow gnome to battle.</v>
      </c>
      <c r="G234" s="49">
        <f>IFERROR(__xludf.DUMMYFUNCTION("""COMPUTED_VALUE"""),0.0)</f>
        <v>0</v>
      </c>
      <c r="H234" s="49"/>
      <c r="I234" s="49"/>
      <c r="J234" s="49"/>
      <c r="K234" s="49"/>
      <c r="L234" s="49"/>
      <c r="M234" s="49"/>
      <c r="N234" s="49"/>
      <c r="O234" s="49"/>
      <c r="P234" s="49"/>
      <c r="Q234" s="49"/>
      <c r="R234" s="49"/>
      <c r="S234" s="49"/>
      <c r="T234" s="49"/>
      <c r="U234" s="49"/>
      <c r="V234" s="49"/>
      <c r="W234" s="49"/>
      <c r="X234" s="49"/>
      <c r="Y234" s="49"/>
      <c r="Z234" s="49"/>
    </row>
    <row r="235">
      <c r="A235" s="49" t="str">
        <f>IFERROR(__xludf.DUMMYFUNCTION("""COMPUTED_VALUE"""),"Shadow Kings Sword")</f>
        <v>Shadow Kings Sword</v>
      </c>
      <c r="B235" s="49"/>
      <c r="C235" s="49" t="str">
        <f>IFERROR(__xludf.DUMMYFUNCTION("""COMPUTED_VALUE"""),"Sword")</f>
        <v>Sword</v>
      </c>
      <c r="D235" s="49" t="str">
        <f>IFERROR(__xludf.DUMMYFUNCTION("""COMPUTED_VALUE"""),"Hand")</f>
        <v>Hand</v>
      </c>
      <c r="E235" s="49">
        <f>IFERROR(__xludf.DUMMYFUNCTION("""COMPUTED_VALUE"""),400.0)</f>
        <v>400</v>
      </c>
      <c r="F235" s="49" t="str">
        <f>IFERROR(__xludf.DUMMYFUNCTION("""COMPUTED_VALUE"""),"DMG: +10000, Dark DMG: +5000, Chaos DMG: +5000")</f>
        <v>DMG: +10000, Dark DMG: +5000, Chaos DMG: +5000</v>
      </c>
      <c r="G235" s="49">
        <f>IFERROR(__xludf.DUMMYFUNCTION("""COMPUTED_VALUE"""),7800000.0)</f>
        <v>7800000</v>
      </c>
      <c r="H235" s="49"/>
      <c r="I235" s="49"/>
      <c r="J235" s="49"/>
      <c r="K235" s="49"/>
      <c r="L235" s="49"/>
      <c r="M235" s="49"/>
      <c r="N235" s="49"/>
      <c r="O235" s="49"/>
      <c r="P235" s="49"/>
      <c r="Q235" s="49"/>
      <c r="R235" s="49"/>
      <c r="S235" s="49"/>
      <c r="T235" s="49"/>
      <c r="U235" s="49"/>
      <c r="V235" s="49"/>
      <c r="W235" s="49"/>
      <c r="X235" s="49"/>
      <c r="Y235" s="49"/>
      <c r="Z235" s="49"/>
    </row>
    <row r="236">
      <c r="A236" s="49" t="str">
        <f>IFERROR(__xludf.DUMMYFUNCTION("""COMPUTED_VALUE"""),"Shield of Guarding Smite")</f>
        <v>Shield of Guarding Smite</v>
      </c>
      <c r="B236" s="49"/>
      <c r="C236" s="49" t="str">
        <f>IFERROR(__xludf.DUMMYFUNCTION("""COMPUTED_VALUE"""),"Towershield")</f>
        <v>Towershield</v>
      </c>
      <c r="D236" s="49" t="str">
        <f>IFERROR(__xludf.DUMMYFUNCTION("""COMPUTED_VALUE"""),"Hand")</f>
        <v>Hand</v>
      </c>
      <c r="E236" s="49">
        <f>IFERROR(__xludf.DUMMYFUNCTION("""COMPUTED_VALUE"""),2000.0)</f>
        <v>2000</v>
      </c>
      <c r="F236" s="49" t="str">
        <f>IFERROR(__xludf.DUMMYFUNCTION("""COMPUTED_VALUE"""),"DEF: +100000 ++75% chance to melt an enemies weapon that dealt damage to you. +-Cannot be duplicated")</f>
        <v>DEF: +100000 ++75% chance to melt an enemies weapon that dealt damage to you. +-Cannot be duplicated</v>
      </c>
      <c r="G236" s="49">
        <f>IFERROR(__xludf.DUMMYFUNCTION("""COMPUTED_VALUE"""),1.99E8)</f>
        <v>199000000</v>
      </c>
      <c r="H236" s="49"/>
      <c r="I236" s="49"/>
      <c r="J236" s="49"/>
      <c r="K236" s="49"/>
      <c r="L236" s="49"/>
      <c r="M236" s="49"/>
      <c r="N236" s="49"/>
      <c r="O236" s="49"/>
      <c r="P236" s="49"/>
      <c r="Q236" s="49"/>
      <c r="R236" s="49"/>
      <c r="S236" s="49"/>
      <c r="T236" s="49"/>
      <c r="U236" s="49"/>
      <c r="V236" s="49"/>
      <c r="W236" s="49"/>
      <c r="X236" s="49"/>
      <c r="Y236" s="49"/>
      <c r="Z236" s="49"/>
    </row>
    <row r="237">
      <c r="A237" s="49" t="str">
        <f>IFERROR(__xludf.DUMMYFUNCTION("""COMPUTED_VALUE"""),"Shield of Targeting")</f>
        <v>Shield of Targeting</v>
      </c>
      <c r="B237" s="49"/>
      <c r="C237" s="49" t="str">
        <f>IFERROR(__xludf.DUMMYFUNCTION("""COMPUTED_VALUE"""),"Buckler")</f>
        <v>Buckler</v>
      </c>
      <c r="D237" s="49" t="str">
        <f>IFERROR(__xludf.DUMMYFUNCTION("""COMPUTED_VALUE"""),"Hand")</f>
        <v>Hand</v>
      </c>
      <c r="E237" s="49">
        <f>IFERROR(__xludf.DUMMYFUNCTION("""COMPUTED_VALUE"""),20.0)</f>
        <v>20</v>
      </c>
      <c r="F237" s="49"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49">
        <f>IFERROR(__xludf.DUMMYFUNCTION("""COMPUTED_VALUE"""),10000.0)</f>
        <v>10000</v>
      </c>
      <c r="H237" s="49"/>
      <c r="I237" s="49"/>
      <c r="J237" s="49"/>
      <c r="K237" s="49"/>
      <c r="L237" s="49"/>
      <c r="M237" s="49"/>
      <c r="N237" s="49"/>
      <c r="O237" s="49"/>
      <c r="P237" s="49"/>
      <c r="Q237" s="49"/>
      <c r="R237" s="49"/>
      <c r="S237" s="49"/>
      <c r="T237" s="49"/>
      <c r="U237" s="49"/>
      <c r="V237" s="49"/>
      <c r="W237" s="49"/>
      <c r="X237" s="49"/>
      <c r="Y237" s="49"/>
      <c r="Z237" s="49"/>
    </row>
    <row r="238">
      <c r="A238" s="49" t="str">
        <f>IFERROR(__xludf.DUMMYFUNCTION("""COMPUTED_VALUE"""),"Shining Katana")</f>
        <v>Shining Katana</v>
      </c>
      <c r="B238" s="49"/>
      <c r="C238" s="49"/>
      <c r="D238" s="49" t="str">
        <f>IFERROR(__xludf.DUMMYFUNCTION("""COMPUTED_VALUE"""),"Hand")</f>
        <v>Hand</v>
      </c>
      <c r="E238" s="49">
        <f>IFERROR(__xludf.DUMMYFUNCTION("""COMPUTED_VALUE"""),200.0)</f>
        <v>200</v>
      </c>
      <c r="F238" s="49" t="str">
        <f>IFERROR(__xludf.DUMMYFUNCTION("""COMPUTED_VALUE"""),"DMG: +10000 ++++500 bleeding damage p/r.")</f>
        <v>DMG: +10000 ++++500 bleeding damage p/r.</v>
      </c>
      <c r="G238" s="49">
        <f>IFERROR(__xludf.DUMMYFUNCTION("""COMPUTED_VALUE"""),1900000.0)</f>
        <v>1900000</v>
      </c>
      <c r="H238" s="49"/>
      <c r="I238" s="49"/>
      <c r="J238" s="49"/>
      <c r="K238" s="49"/>
      <c r="L238" s="49"/>
      <c r="M238" s="49"/>
      <c r="N238" s="49"/>
      <c r="O238" s="49"/>
      <c r="P238" s="49"/>
      <c r="Q238" s="49"/>
      <c r="R238" s="49"/>
      <c r="S238" s="49"/>
      <c r="T238" s="49"/>
      <c r="U238" s="49"/>
      <c r="V238" s="49"/>
      <c r="W238" s="49"/>
      <c r="X238" s="49"/>
      <c r="Y238" s="49"/>
      <c r="Z238" s="49"/>
    </row>
    <row r="239">
      <c r="A239" s="49" t="str">
        <f>IFERROR(__xludf.DUMMYFUNCTION("""COMPUTED_VALUE"""),"Shoes of Metal Harmony's")</f>
        <v>Shoes of Metal Harmony's</v>
      </c>
      <c r="B239" s="49"/>
      <c r="C239" s="49"/>
      <c r="D239" s="49" t="str">
        <f>IFERROR(__xludf.DUMMYFUNCTION("""COMPUTED_VALUE"""),"Feet")</f>
        <v>Feet</v>
      </c>
      <c r="E239" s="49">
        <f>IFERROR(__xludf.DUMMYFUNCTION("""COMPUTED_VALUE"""),200.0)</f>
        <v>200</v>
      </c>
      <c r="F239" s="49" t="str">
        <f>IFERROR(__xludf.DUMMYFUNCTION("""COMPUTED_VALUE"""),"DEF: +10000 ++When dealing damage with an instrument you will regain hp equal to the damage you caused.")</f>
        <v>DEF: +10000 ++When dealing damage with an instrument you will regain hp equal to the damage you caused.</v>
      </c>
      <c r="G239" s="49">
        <f>IFERROR(__xludf.DUMMYFUNCTION("""COMPUTED_VALUE"""),1900000.0)</f>
        <v>1900000</v>
      </c>
      <c r="H239" s="49"/>
      <c r="I239" s="49"/>
      <c r="J239" s="49"/>
      <c r="K239" s="49"/>
      <c r="L239" s="49"/>
      <c r="M239" s="49"/>
      <c r="N239" s="49"/>
      <c r="O239" s="49"/>
      <c r="P239" s="49"/>
      <c r="Q239" s="49"/>
      <c r="R239" s="49"/>
      <c r="S239" s="49"/>
      <c r="T239" s="49"/>
      <c r="U239" s="49"/>
      <c r="V239" s="49"/>
      <c r="W239" s="49"/>
      <c r="X239" s="49"/>
      <c r="Y239" s="49"/>
      <c r="Z239" s="49"/>
    </row>
    <row r="240">
      <c r="A240" s="49" t="str">
        <f>IFERROR(__xludf.DUMMYFUNCTION("""COMPUTED_VALUE"""),"Shoes of Water Walking")</f>
        <v>Shoes of Water Walking</v>
      </c>
      <c r="B240" s="49"/>
      <c r="C240" s="49"/>
      <c r="D240" s="49" t="str">
        <f>IFERROR(__xludf.DUMMYFUNCTION("""COMPUTED_VALUE"""),"Feet")</f>
        <v>Feet</v>
      </c>
      <c r="E240" s="49">
        <f>IFERROR(__xludf.DUMMYFUNCTION("""COMPUTED_VALUE"""),200.0)</f>
        <v>200</v>
      </c>
      <c r="F240" s="49"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49">
        <f>IFERROR(__xludf.DUMMYFUNCTION("""COMPUTED_VALUE"""),1900000.0)</f>
        <v>1900000</v>
      </c>
      <c r="H240" s="49"/>
      <c r="I240" s="49"/>
      <c r="J240" s="49"/>
      <c r="K240" s="49"/>
      <c r="L240" s="49"/>
      <c r="M240" s="49"/>
      <c r="N240" s="49"/>
      <c r="O240" s="49"/>
      <c r="P240" s="49"/>
      <c r="Q240" s="49"/>
      <c r="R240" s="49"/>
      <c r="S240" s="49"/>
      <c r="T240" s="49"/>
      <c r="U240" s="49"/>
      <c r="V240" s="49"/>
      <c r="W240" s="49"/>
      <c r="X240" s="49"/>
      <c r="Y240" s="49"/>
      <c r="Z240" s="49"/>
    </row>
    <row r="241">
      <c r="A241" s="49" t="str">
        <f>IFERROR(__xludf.DUMMYFUNCTION("""COMPUTED_VALUE"""),"Short Spear")</f>
        <v>Short Spear</v>
      </c>
      <c r="B241" s="49"/>
      <c r="C241" s="49" t="str">
        <f>IFERROR(__xludf.DUMMYFUNCTION("""COMPUTED_VALUE"""),"Spear")</f>
        <v>Spear</v>
      </c>
      <c r="D241" s="49" t="str">
        <f>IFERROR(__xludf.DUMMYFUNCTION("""COMPUTED_VALUE"""),"Hand")</f>
        <v>Hand</v>
      </c>
      <c r="E241" s="49">
        <f>IFERROR(__xludf.DUMMYFUNCTION("""COMPUTED_VALUE"""),1.0)</f>
        <v>1</v>
      </c>
      <c r="F241" s="49" t="str">
        <f>IFERROR(__xludf.DUMMYFUNCTION("""COMPUTED_VALUE"""),"DMG: +250")</f>
        <v>DMG: +250</v>
      </c>
      <c r="G241" s="49">
        <f>IFERROR(__xludf.DUMMYFUNCTION("""COMPUTED_VALUE"""),0.0)</f>
        <v>0</v>
      </c>
      <c r="H241" s="49"/>
      <c r="I241" s="49"/>
      <c r="J241" s="49"/>
      <c r="K241" s="49"/>
      <c r="L241" s="49"/>
      <c r="M241" s="49"/>
      <c r="N241" s="49"/>
      <c r="O241" s="49"/>
      <c r="P241" s="49"/>
      <c r="Q241" s="49"/>
      <c r="R241" s="49"/>
      <c r="S241" s="49"/>
      <c r="T241" s="49"/>
      <c r="U241" s="49"/>
      <c r="V241" s="49"/>
      <c r="W241" s="49"/>
      <c r="X241" s="49"/>
      <c r="Y241" s="49"/>
      <c r="Z241" s="49"/>
    </row>
    <row r="242">
      <c r="A242" s="49" t="str">
        <f>IFERROR(__xludf.DUMMYFUNCTION("""COMPUTED_VALUE"""),"Shuriken")</f>
        <v>Shuriken</v>
      </c>
      <c r="B242" s="49"/>
      <c r="C242" s="49" t="str">
        <f>IFERROR(__xludf.DUMMYFUNCTION("""COMPUTED_VALUE"""),"Boomerang")</f>
        <v>Boomerang</v>
      </c>
      <c r="D242" s="49" t="str">
        <f>IFERROR(__xludf.DUMMYFUNCTION("""COMPUTED_VALUE"""),"Hand")</f>
        <v>Hand</v>
      </c>
      <c r="E242" s="49">
        <f>IFERROR(__xludf.DUMMYFUNCTION("""COMPUTED_VALUE"""),200.0)</f>
        <v>200</v>
      </c>
      <c r="F242" s="49" t="str">
        <f>IFERROR(__xludf.DUMMYFUNCTION("""COMPUTED_VALUE"""),"DMG: +5000, Blood DMG: +5000 ++Will return to you when thrown.")</f>
        <v>DMG: +5000, Blood DMG: +5000 ++Will return to you when thrown.</v>
      </c>
      <c r="G242" s="49">
        <f>IFERROR(__xludf.DUMMYFUNCTION("""COMPUTED_VALUE"""),1900000.0)</f>
        <v>1900000</v>
      </c>
      <c r="H242" s="49"/>
      <c r="I242" s="49"/>
      <c r="J242" s="49"/>
      <c r="K242" s="49"/>
      <c r="L242" s="49"/>
      <c r="M242" s="49"/>
      <c r="N242" s="49"/>
      <c r="O242" s="49"/>
      <c r="P242" s="49"/>
      <c r="Q242" s="49"/>
      <c r="R242" s="49"/>
      <c r="S242" s="49"/>
      <c r="T242" s="49"/>
      <c r="U242" s="49"/>
      <c r="V242" s="49"/>
      <c r="W242" s="49"/>
      <c r="X242" s="49"/>
      <c r="Y242" s="49"/>
      <c r="Z242" s="49"/>
    </row>
    <row r="243">
      <c r="A243" s="49" t="str">
        <f>IFERROR(__xludf.DUMMYFUNCTION("""COMPUTED_VALUE"""),"Shuttering Cloak")</f>
        <v>Shuttering Cloak</v>
      </c>
      <c r="B243" s="49"/>
      <c r="C243" s="49"/>
      <c r="D243" s="49" t="str">
        <f>IFERROR(__xludf.DUMMYFUNCTION("""COMPUTED_VALUE"""),"Torso")</f>
        <v>Torso</v>
      </c>
      <c r="E243" s="49">
        <f>IFERROR(__xludf.DUMMYFUNCTION("""COMPUTED_VALUE"""),1.0)</f>
        <v>1</v>
      </c>
      <c r="F243" s="49" t="str">
        <f>IFERROR(__xludf.DUMMYFUNCTION("""COMPUTED_VALUE""")," ++Plus 10 Evasion and Mobility, +-You Cannot be unaffected by spells or attacks. +-Can only equip one")</f>
        <v> ++Plus 10 Evasion and Mobility, +-You Cannot be unaffected by spells or attacks. +-Can only equip one</v>
      </c>
      <c r="G243" s="49">
        <f>IFERROR(__xludf.DUMMYFUNCTION("""COMPUTED_VALUE"""),0.0)</f>
        <v>0</v>
      </c>
      <c r="H243" s="49"/>
      <c r="I243" s="49"/>
      <c r="J243" s="49"/>
      <c r="K243" s="49"/>
      <c r="L243" s="49"/>
      <c r="M243" s="49"/>
      <c r="N243" s="49"/>
      <c r="O243" s="49"/>
      <c r="P243" s="49"/>
      <c r="Q243" s="49"/>
      <c r="R243" s="49"/>
      <c r="S243" s="49"/>
      <c r="T243" s="49"/>
      <c r="U243" s="49"/>
      <c r="V243" s="49"/>
      <c r="W243" s="49"/>
      <c r="X243" s="49"/>
      <c r="Y243" s="49"/>
      <c r="Z243" s="49"/>
    </row>
    <row r="244">
      <c r="A244" s="49" t="str">
        <f>IFERROR(__xludf.DUMMYFUNCTION("""COMPUTED_VALUE"""),"Silver Armor")</f>
        <v>Silver Armor</v>
      </c>
      <c r="B244" s="49"/>
      <c r="C244" s="49"/>
      <c r="D244" s="49" t="str">
        <f>IFERROR(__xludf.DUMMYFUNCTION("""COMPUTED_VALUE"""),"Torso")</f>
        <v>Torso</v>
      </c>
      <c r="E244" s="49">
        <f>IFERROR(__xludf.DUMMYFUNCTION("""COMPUTED_VALUE"""),1.0)</f>
        <v>1</v>
      </c>
      <c r="F244" s="49" t="str">
        <f>IFERROR(__xludf.DUMMYFUNCTION("""COMPUTED_VALUE"""),"DEF: +30")</f>
        <v>DEF: +30</v>
      </c>
      <c r="G244" s="49">
        <f>IFERROR(__xludf.DUMMYFUNCTION("""COMPUTED_VALUE"""),0.0)</f>
        <v>0</v>
      </c>
      <c r="H244" s="49"/>
      <c r="I244" s="49"/>
      <c r="J244" s="49"/>
      <c r="K244" s="49"/>
      <c r="L244" s="49"/>
      <c r="M244" s="49"/>
      <c r="N244" s="49"/>
      <c r="O244" s="49"/>
      <c r="P244" s="49"/>
      <c r="Q244" s="49"/>
      <c r="R244" s="49"/>
      <c r="S244" s="49"/>
      <c r="T244" s="49"/>
      <c r="U244" s="49"/>
      <c r="V244" s="49"/>
      <c r="W244" s="49"/>
      <c r="X244" s="49"/>
      <c r="Y244" s="49"/>
      <c r="Z244" s="49"/>
    </row>
    <row r="245">
      <c r="A245" s="49" t="str">
        <f>IFERROR(__xludf.DUMMYFUNCTION("""COMPUTED_VALUE"""),"Silver Katana")</f>
        <v>Silver Katana</v>
      </c>
      <c r="B245" s="49"/>
      <c r="C245" s="49" t="str">
        <f>IFERROR(__xludf.DUMMYFUNCTION("""COMPUTED_VALUE"""),"Sword")</f>
        <v>Sword</v>
      </c>
      <c r="D245" s="49" t="str">
        <f>IFERROR(__xludf.DUMMYFUNCTION("""COMPUTED_VALUE"""),"Hand")</f>
        <v>Hand</v>
      </c>
      <c r="E245" s="49">
        <f>IFERROR(__xludf.DUMMYFUNCTION("""COMPUTED_VALUE"""),200.0)</f>
        <v>200</v>
      </c>
      <c r="F245" s="49" t="str">
        <f>IFERROR(__xludf.DUMMYFUNCTION("""COMPUTED_VALUE"""),"DMG: +10000 ++Causes Blindness 3")</f>
        <v>DMG: +10000 ++Causes Blindness 3</v>
      </c>
      <c r="G245" s="49">
        <f>IFERROR(__xludf.DUMMYFUNCTION("""COMPUTED_VALUE"""),1900000.0)</f>
        <v>1900000</v>
      </c>
      <c r="H245" s="49"/>
      <c r="I245" s="49"/>
      <c r="J245" s="49"/>
      <c r="K245" s="49"/>
      <c r="L245" s="49"/>
      <c r="M245" s="49"/>
      <c r="N245" s="49"/>
      <c r="O245" s="49"/>
      <c r="P245" s="49"/>
      <c r="Q245" s="49"/>
      <c r="R245" s="49"/>
      <c r="S245" s="49"/>
      <c r="T245" s="49"/>
      <c r="U245" s="49"/>
      <c r="V245" s="49"/>
      <c r="W245" s="49"/>
      <c r="X245" s="49"/>
      <c r="Y245" s="49"/>
      <c r="Z245" s="49"/>
    </row>
    <row r="246">
      <c r="A246" s="49" t="str">
        <f>IFERROR(__xludf.DUMMYFUNCTION("""COMPUTED_VALUE"""),"Silver Knife")</f>
        <v>Silver Knife</v>
      </c>
      <c r="B246" s="49"/>
      <c r="C246" s="49" t="str">
        <f>IFERROR(__xludf.DUMMYFUNCTION("""COMPUTED_VALUE"""),"Knife")</f>
        <v>Knife</v>
      </c>
      <c r="D246" s="49" t="str">
        <f>IFERROR(__xludf.DUMMYFUNCTION("""COMPUTED_VALUE"""),"Hand")</f>
        <v>Hand</v>
      </c>
      <c r="E246" s="49">
        <f>IFERROR(__xludf.DUMMYFUNCTION("""COMPUTED_VALUE"""),200.0)</f>
        <v>200</v>
      </c>
      <c r="F246" s="49" t="str">
        <f>IFERROR(__xludf.DUMMYFUNCTION("""COMPUTED_VALUE"""),"DMG: +10000")</f>
        <v>DMG: +10000</v>
      </c>
      <c r="G246" s="49">
        <f>IFERROR(__xludf.DUMMYFUNCTION("""COMPUTED_VALUE"""),1900000.0)</f>
        <v>1900000</v>
      </c>
      <c r="H246" s="49"/>
      <c r="I246" s="49"/>
      <c r="J246" s="49"/>
      <c r="K246" s="49"/>
      <c r="L246" s="49"/>
      <c r="M246" s="49"/>
      <c r="N246" s="49"/>
      <c r="O246" s="49"/>
      <c r="P246" s="49"/>
      <c r="Q246" s="49"/>
      <c r="R246" s="49"/>
      <c r="S246" s="49"/>
      <c r="T246" s="49"/>
      <c r="U246" s="49"/>
      <c r="V246" s="49"/>
      <c r="W246" s="49"/>
      <c r="X246" s="49"/>
      <c r="Y246" s="49"/>
      <c r="Z246" s="49"/>
    </row>
    <row r="247">
      <c r="A247" s="49" t="str">
        <f>IFERROR(__xludf.DUMMYFUNCTION("""COMPUTED_VALUE"""),"Skull Cleaver")</f>
        <v>Skull Cleaver</v>
      </c>
      <c r="B247" s="49"/>
      <c r="C247" s="49" t="str">
        <f>IFERROR(__xludf.DUMMYFUNCTION("""COMPUTED_VALUE"""),"Sword")</f>
        <v>Sword</v>
      </c>
      <c r="D247" s="49" t="str">
        <f>IFERROR(__xludf.DUMMYFUNCTION("""COMPUTED_VALUE"""),"Hand")</f>
        <v>Hand</v>
      </c>
      <c r="E247" s="49">
        <f>IFERROR(__xludf.DUMMYFUNCTION("""COMPUTED_VALUE"""),1000.0)</f>
        <v>1000</v>
      </c>
      <c r="F247" s="49" t="str">
        <f>IFERROR(__xludf.DUMMYFUNCTION("""COMPUTED_VALUE"""),"DMG: +30000, Dark DMG: +20000 ++75% Chance of instant death.")</f>
        <v>DMG: +30000, Dark DMG: +20000 ++75% Chance of instant death.</v>
      </c>
      <c r="G247" s="49">
        <f>IFERROR(__xludf.DUMMYFUNCTION("""COMPUTED_VALUE"""),4.95E7)</f>
        <v>49500000</v>
      </c>
      <c r="H247" s="49"/>
      <c r="I247" s="49"/>
      <c r="J247" s="49"/>
      <c r="K247" s="49"/>
      <c r="L247" s="49"/>
      <c r="M247" s="49"/>
      <c r="N247" s="49"/>
      <c r="O247" s="49"/>
      <c r="P247" s="49"/>
      <c r="Q247" s="49"/>
      <c r="R247" s="49"/>
      <c r="S247" s="49"/>
      <c r="T247" s="49"/>
      <c r="U247" s="49"/>
      <c r="V247" s="49"/>
      <c r="W247" s="49"/>
      <c r="X247" s="49"/>
      <c r="Y247" s="49"/>
      <c r="Z247" s="49"/>
    </row>
    <row r="248">
      <c r="A248" s="49" t="str">
        <f>IFERROR(__xludf.DUMMYFUNCTION("""COMPUTED_VALUE"""),"Skull of the many Kings")</f>
        <v>Skull of the many Kings</v>
      </c>
      <c r="B248" s="49"/>
      <c r="C248" s="49"/>
      <c r="D248" s="49" t="str">
        <f>IFERROR(__xludf.DUMMYFUNCTION("""COMPUTED_VALUE"""),"Head")</f>
        <v>Head</v>
      </c>
      <c r="E248" s="49">
        <f>IFERROR(__xludf.DUMMYFUNCTION("""COMPUTED_VALUE"""),1.0)</f>
        <v>1</v>
      </c>
      <c r="F248" s="49" t="str">
        <f>IFERROR(__xludf.DUMMYFUNCTION("""COMPUTED_VALUE"""),"DEF: +300 ++Immunity to all dark damage")</f>
        <v>DEF: +300 ++Immunity to all dark damage</v>
      </c>
      <c r="G248" s="49">
        <f>IFERROR(__xludf.DUMMYFUNCTION("""COMPUTED_VALUE"""),0.0)</f>
        <v>0</v>
      </c>
      <c r="H248" s="49"/>
      <c r="I248" s="49"/>
      <c r="J248" s="49"/>
      <c r="K248" s="49"/>
      <c r="L248" s="49"/>
      <c r="M248" s="49"/>
      <c r="N248" s="49"/>
      <c r="O248" s="49"/>
      <c r="P248" s="49"/>
      <c r="Q248" s="49"/>
      <c r="R248" s="49"/>
      <c r="S248" s="49"/>
      <c r="T248" s="49"/>
      <c r="U248" s="49"/>
      <c r="V248" s="49"/>
      <c r="W248" s="49"/>
      <c r="X248" s="49"/>
      <c r="Y248" s="49"/>
      <c r="Z248" s="49"/>
    </row>
    <row r="249">
      <c r="A249" s="49" t="str">
        <f>IFERROR(__xludf.DUMMYFUNCTION("""COMPUTED_VALUE"""),"Skull Ring")</f>
        <v>Skull Ring</v>
      </c>
      <c r="B249" s="49"/>
      <c r="C249" s="49"/>
      <c r="D249" s="49" t="str">
        <f>IFERROR(__xludf.DUMMYFUNCTION("""COMPUTED_VALUE"""),"Ring")</f>
        <v>Ring</v>
      </c>
      <c r="E249" s="49">
        <f>IFERROR(__xludf.DUMMYFUNCTION("""COMPUTED_VALUE"""),1.0)</f>
        <v>1</v>
      </c>
      <c r="F249" s="49" t="str">
        <f>IFERROR(__xludf.DUMMYFUNCTION("""COMPUTED_VALUE""")," ++Increase damage of all dark spells and weapons by X2")</f>
        <v> ++Increase damage of all dark spells and weapons by X2</v>
      </c>
      <c r="G249" s="49">
        <f>IFERROR(__xludf.DUMMYFUNCTION("""COMPUTED_VALUE"""),0.0)</f>
        <v>0</v>
      </c>
      <c r="H249" s="49"/>
      <c r="I249" s="49"/>
      <c r="J249" s="49"/>
      <c r="K249" s="49"/>
      <c r="L249" s="49"/>
      <c r="M249" s="49"/>
      <c r="N249" s="49"/>
      <c r="O249" s="49"/>
      <c r="P249" s="49"/>
      <c r="Q249" s="49"/>
      <c r="R249" s="49"/>
      <c r="S249" s="49"/>
      <c r="T249" s="49"/>
      <c r="U249" s="49"/>
      <c r="V249" s="49"/>
      <c r="W249" s="49"/>
      <c r="X249" s="49"/>
      <c r="Y249" s="49"/>
      <c r="Z249" s="49"/>
    </row>
    <row r="250">
      <c r="A250" s="49" t="str">
        <f>IFERROR(__xludf.DUMMYFUNCTION("""COMPUTED_VALUE"""),"Spear")</f>
        <v>Spear</v>
      </c>
      <c r="B250" s="49"/>
      <c r="C250" s="49" t="str">
        <f>IFERROR(__xludf.DUMMYFUNCTION("""COMPUTED_VALUE"""),"Spear")</f>
        <v>Spear</v>
      </c>
      <c r="D250" s="49" t="str">
        <f>IFERROR(__xludf.DUMMYFUNCTION("""COMPUTED_VALUE"""),"Hand")</f>
        <v>Hand</v>
      </c>
      <c r="E250" s="49">
        <f>IFERROR(__xludf.DUMMYFUNCTION("""COMPUTED_VALUE"""),1.0)</f>
        <v>1</v>
      </c>
      <c r="F250" s="49" t="str">
        <f>IFERROR(__xludf.DUMMYFUNCTION("""COMPUTED_VALUE"""),"DMG: +100")</f>
        <v>DMG: +100</v>
      </c>
      <c r="G250" s="49">
        <f>IFERROR(__xludf.DUMMYFUNCTION("""COMPUTED_VALUE"""),0.0)</f>
        <v>0</v>
      </c>
      <c r="H250" s="49"/>
      <c r="I250" s="49"/>
      <c r="J250" s="49"/>
      <c r="K250" s="49"/>
      <c r="L250" s="49"/>
      <c r="M250" s="49"/>
      <c r="N250" s="49"/>
      <c r="O250" s="49"/>
      <c r="P250" s="49"/>
      <c r="Q250" s="49"/>
      <c r="R250" s="49"/>
      <c r="S250" s="49"/>
      <c r="T250" s="49"/>
      <c r="U250" s="49"/>
      <c r="V250" s="49"/>
      <c r="W250" s="49"/>
      <c r="X250" s="49"/>
      <c r="Y250" s="49"/>
      <c r="Z250" s="49"/>
    </row>
    <row r="251">
      <c r="A251" s="49" t="str">
        <f>IFERROR(__xludf.DUMMYFUNCTION("""COMPUTED_VALUE"""),"Spear Of Assal ")</f>
        <v>Spear Of Assal </v>
      </c>
      <c r="B251" s="49"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49" t="str">
        <f>IFERROR(__xludf.DUMMYFUNCTION("""COMPUTED_VALUE"""),"Spear")</f>
        <v>Spear</v>
      </c>
      <c r="D251" s="49" t="str">
        <f>IFERROR(__xludf.DUMMYFUNCTION("""COMPUTED_VALUE"""),"Hand")</f>
        <v>Hand</v>
      </c>
      <c r="E251" s="49">
        <f>IFERROR(__xludf.DUMMYFUNCTION("""COMPUTED_VALUE"""),200.0)</f>
        <v>200</v>
      </c>
      <c r="F251" s="49"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49">
        <f>IFERROR(__xludf.DUMMYFUNCTION("""COMPUTED_VALUE"""),4.485E8)</f>
        <v>448500000</v>
      </c>
      <c r="H251" s="49"/>
      <c r="I251" s="49"/>
      <c r="J251" s="49"/>
      <c r="K251" s="49"/>
      <c r="L251" s="49"/>
      <c r="M251" s="49"/>
      <c r="N251" s="49"/>
      <c r="O251" s="49"/>
      <c r="P251" s="49"/>
      <c r="Q251" s="49"/>
      <c r="R251" s="49"/>
      <c r="S251" s="49"/>
      <c r="T251" s="49"/>
      <c r="U251" s="49"/>
      <c r="V251" s="49"/>
      <c r="W251" s="49"/>
      <c r="X251" s="49"/>
      <c r="Y251" s="49"/>
      <c r="Z251" s="49"/>
    </row>
    <row r="252">
      <c r="A252" s="49" t="str">
        <f>IFERROR(__xludf.DUMMYFUNCTION("""COMPUTED_VALUE"""),"Spiked Armor")</f>
        <v>Spiked Armor</v>
      </c>
      <c r="B252" s="49"/>
      <c r="C252" s="49"/>
      <c r="D252" s="49" t="str">
        <f>IFERROR(__xludf.DUMMYFUNCTION("""COMPUTED_VALUE"""),"Torso")</f>
        <v>Torso</v>
      </c>
      <c r="E252" s="49">
        <f>IFERROR(__xludf.DUMMYFUNCTION("""COMPUTED_VALUE"""),1.0)</f>
        <v>1</v>
      </c>
      <c r="F252" s="49" t="str">
        <f>IFERROR(__xludf.DUMMYFUNCTION("""COMPUTED_VALUE"""),"DEF: +100 ++Used for both offense and defense. ++Enemies take half the damage they caused, when they attack you.")</f>
        <v>DEF: +100 ++Used for both offense and defense. ++Enemies take half the damage they caused, when they attack you.</v>
      </c>
      <c r="G252" s="49">
        <f>IFERROR(__xludf.DUMMYFUNCTION("""COMPUTED_VALUE"""),0.0)</f>
        <v>0</v>
      </c>
      <c r="H252" s="49"/>
      <c r="I252" s="49"/>
      <c r="J252" s="49"/>
      <c r="K252" s="49"/>
      <c r="L252" s="49"/>
      <c r="M252" s="49"/>
      <c r="N252" s="49"/>
      <c r="O252" s="49"/>
      <c r="P252" s="49"/>
      <c r="Q252" s="49"/>
      <c r="R252" s="49"/>
      <c r="S252" s="49"/>
      <c r="T252" s="49"/>
      <c r="U252" s="49"/>
      <c r="V252" s="49"/>
      <c r="W252" s="49"/>
      <c r="X252" s="49"/>
      <c r="Y252" s="49"/>
      <c r="Z252" s="49"/>
    </row>
    <row r="253">
      <c r="A253" s="49" t="str">
        <f>IFERROR(__xludf.DUMMYFUNCTION("""COMPUTED_VALUE"""),"Spiny Shield")</f>
        <v>Spiny Shield</v>
      </c>
      <c r="B253" s="49"/>
      <c r="C253" s="49" t="str">
        <f>IFERROR(__xludf.DUMMYFUNCTION("""COMPUTED_VALUE"""),"Buckler")</f>
        <v>Buckler</v>
      </c>
      <c r="D253" s="49" t="str">
        <f>IFERROR(__xludf.DUMMYFUNCTION("""COMPUTED_VALUE"""),"Hand")</f>
        <v>Hand</v>
      </c>
      <c r="E253" s="49">
        <f>IFERROR(__xludf.DUMMYFUNCTION("""COMPUTED_VALUE"""),1.0)</f>
        <v>1</v>
      </c>
      <c r="F253" s="49" t="str">
        <f>IFERROR(__xludf.DUMMYFUNCTION("""COMPUTED_VALUE"""),"DEF: +170")</f>
        <v>DEF: +170</v>
      </c>
      <c r="G253" s="49">
        <f>IFERROR(__xludf.DUMMYFUNCTION("""COMPUTED_VALUE"""),0.0)</f>
        <v>0</v>
      </c>
      <c r="H253" s="49"/>
      <c r="I253" s="49"/>
      <c r="J253" s="49"/>
      <c r="K253" s="49"/>
      <c r="L253" s="49"/>
      <c r="M253" s="49"/>
      <c r="N253" s="49"/>
      <c r="O253" s="49"/>
      <c r="P253" s="49"/>
      <c r="Q253" s="49"/>
      <c r="R253" s="49"/>
      <c r="S253" s="49"/>
      <c r="T253" s="49"/>
      <c r="U253" s="49"/>
      <c r="V253" s="49"/>
      <c r="W253" s="49"/>
      <c r="X253" s="49"/>
      <c r="Y253" s="49"/>
      <c r="Z253" s="49"/>
    </row>
    <row r="254">
      <c r="A254" s="49" t="str">
        <f>IFERROR(__xludf.DUMMYFUNCTION("""COMPUTED_VALUE"""),"Spooky Branch Ring")</f>
        <v>Spooky Branch Ring</v>
      </c>
      <c r="B254" s="49" t="str">
        <f>IFERROR(__xludf.DUMMYFUNCTION("""COMPUTED_VALUE"""),"Halloween Exclusive")</f>
        <v>Halloween Exclusive</v>
      </c>
      <c r="C254" s="49"/>
      <c r="D254" s="49" t="str">
        <f>IFERROR(__xludf.DUMMYFUNCTION("""COMPUTED_VALUE"""),"Ring")</f>
        <v>Ring</v>
      </c>
      <c r="E254" s="49">
        <f>IFERROR(__xludf.DUMMYFUNCTION("""COMPUTED_VALUE"""),1.0)</f>
        <v>1</v>
      </c>
      <c r="F254" s="49" t="str">
        <f>IFERROR(__xludf.DUMMYFUNCTION("""COMPUTED_VALUE""")," ++Increase fire and dark damage by X2.")</f>
        <v> ++Increase fire and dark damage by X2.</v>
      </c>
      <c r="G254" s="49">
        <f>IFERROR(__xludf.DUMMYFUNCTION("""COMPUTED_VALUE"""),0.0)</f>
        <v>0</v>
      </c>
      <c r="H254" s="49"/>
      <c r="I254" s="49"/>
      <c r="J254" s="49"/>
      <c r="K254" s="49"/>
      <c r="L254" s="49"/>
      <c r="M254" s="49"/>
      <c r="N254" s="49"/>
      <c r="O254" s="49"/>
      <c r="P254" s="49"/>
      <c r="Q254" s="49"/>
      <c r="R254" s="49"/>
      <c r="S254" s="49"/>
      <c r="T254" s="49"/>
      <c r="U254" s="49"/>
      <c r="V254" s="49"/>
      <c r="W254" s="49"/>
      <c r="X254" s="49"/>
      <c r="Y254" s="49"/>
      <c r="Z254" s="49"/>
    </row>
    <row r="255">
      <c r="A255" s="49" t="str">
        <f>IFERROR(__xludf.DUMMYFUNCTION("""COMPUTED_VALUE"""),"Staff of Chaotic Shadows")</f>
        <v>Staff of Chaotic Shadows</v>
      </c>
      <c r="B255" s="49"/>
      <c r="C255" s="49" t="str">
        <f>IFERROR(__xludf.DUMMYFUNCTION("""COMPUTED_VALUE"""),"Staff")</f>
        <v>Staff</v>
      </c>
      <c r="D255" s="49" t="str">
        <f>IFERROR(__xludf.DUMMYFUNCTION("""COMPUTED_VALUE"""),"Hand")</f>
        <v>Hand</v>
      </c>
      <c r="E255" s="49">
        <f>IFERROR(__xludf.DUMMYFUNCTION("""COMPUTED_VALUE"""),1200.0)</f>
        <v>1200</v>
      </c>
      <c r="F255" s="49" t="str">
        <f>IFERROR(__xludf.DUMMYFUNCTION("""COMPUTED_VALUE"""),", Fire DMG: +20000, Dark DMG: +20000, Chaos DMG: +20000 ++damages all enemies. +-Cannot be forged.")</f>
        <v>, Fire DMG: +20000, Dark DMG: +20000, Chaos DMG: +20000 ++damages all enemies. +-Cannot be forged.</v>
      </c>
      <c r="G255" s="49">
        <f>IFERROR(__xludf.DUMMYFUNCTION("""COMPUTED_VALUE"""),7.14E7)</f>
        <v>71400000</v>
      </c>
      <c r="H255" s="49"/>
      <c r="I255" s="49"/>
      <c r="J255" s="49"/>
      <c r="K255" s="49"/>
      <c r="L255" s="49"/>
      <c r="M255" s="49"/>
      <c r="N255" s="49"/>
      <c r="O255" s="49"/>
      <c r="P255" s="49"/>
      <c r="Q255" s="49"/>
      <c r="R255" s="49"/>
      <c r="S255" s="49"/>
      <c r="T255" s="49"/>
      <c r="U255" s="49"/>
      <c r="V255" s="49"/>
      <c r="W255" s="49"/>
      <c r="X255" s="49"/>
      <c r="Y255" s="49"/>
      <c r="Z255" s="49"/>
    </row>
    <row r="256">
      <c r="A256" s="49" t="str">
        <f>IFERROR(__xludf.DUMMYFUNCTION("""COMPUTED_VALUE"""),"Staff of Crystals")</f>
        <v>Staff of Crystals</v>
      </c>
      <c r="B256" s="49"/>
      <c r="C256" s="49" t="str">
        <f>IFERROR(__xludf.DUMMYFUNCTION("""COMPUTED_VALUE"""),"Staff")</f>
        <v>Staff</v>
      </c>
      <c r="D256" s="49" t="str">
        <f>IFERROR(__xludf.DUMMYFUNCTION("""COMPUTED_VALUE"""),"Hand")</f>
        <v>Hand</v>
      </c>
      <c r="E256" s="49">
        <f>IFERROR(__xludf.DUMMYFUNCTION("""COMPUTED_VALUE"""),400.0)</f>
        <v>400</v>
      </c>
      <c r="F256" s="49"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49">
        <f>IFERROR(__xludf.DUMMYFUNCTION("""COMPUTED_VALUE"""),7800000.0)</f>
        <v>7800000</v>
      </c>
      <c r="H256" s="49"/>
      <c r="I256" s="49"/>
      <c r="J256" s="49"/>
      <c r="K256" s="49"/>
      <c r="L256" s="49"/>
      <c r="M256" s="49"/>
      <c r="N256" s="49"/>
      <c r="O256" s="49"/>
      <c r="P256" s="49"/>
      <c r="Q256" s="49"/>
      <c r="R256" s="49"/>
      <c r="S256" s="49"/>
      <c r="T256" s="49"/>
      <c r="U256" s="49"/>
      <c r="V256" s="49"/>
      <c r="W256" s="49"/>
      <c r="X256" s="49"/>
      <c r="Y256" s="49"/>
      <c r="Z256" s="49"/>
    </row>
    <row r="257">
      <c r="A257" s="49" t="str">
        <f>IFERROR(__xludf.DUMMYFUNCTION("""COMPUTED_VALUE"""),"Staff Of Heatmore")</f>
        <v>Staff Of Heatmore</v>
      </c>
      <c r="B257" s="49"/>
      <c r="C257" s="49" t="str">
        <f>IFERROR(__xludf.DUMMYFUNCTION("""COMPUTED_VALUE"""),"Staff")</f>
        <v>Staff</v>
      </c>
      <c r="D257" s="49" t="str">
        <f>IFERROR(__xludf.DUMMYFUNCTION("""COMPUTED_VALUE"""),"Hand")</f>
        <v>Hand</v>
      </c>
      <c r="E257" s="49">
        <f>IFERROR(__xludf.DUMMYFUNCTION("""COMPUTED_VALUE"""),1.0)</f>
        <v>1</v>
      </c>
      <c r="F257" s="49" t="str">
        <f>IFERROR(__xludf.DUMMYFUNCTION("""COMPUTED_VALUE""")," ++20,000 fire damage to all enemies, cannot avoid. 10,000sp")</f>
        <v> ++20,000 fire damage to all enemies, cannot avoid. 10,000sp</v>
      </c>
      <c r="G257" s="49">
        <f>IFERROR(__xludf.DUMMYFUNCTION("""COMPUTED_VALUE"""),0.0)</f>
        <v>0</v>
      </c>
      <c r="H257" s="49"/>
      <c r="I257" s="49"/>
      <c r="J257" s="49"/>
      <c r="K257" s="49"/>
      <c r="L257" s="49"/>
      <c r="M257" s="49"/>
      <c r="N257" s="49"/>
      <c r="O257" s="49"/>
      <c r="P257" s="49"/>
      <c r="Q257" s="49"/>
      <c r="R257" s="49"/>
      <c r="S257" s="49"/>
      <c r="T257" s="49"/>
      <c r="U257" s="49"/>
      <c r="V257" s="49"/>
      <c r="W257" s="49"/>
      <c r="X257" s="49"/>
      <c r="Y257" s="49"/>
      <c r="Z257" s="49"/>
    </row>
    <row r="258">
      <c r="A258" s="49" t="str">
        <f>IFERROR(__xludf.DUMMYFUNCTION("""COMPUTED_VALUE"""),"Staff of Shadows")</f>
        <v>Staff of Shadows</v>
      </c>
      <c r="B258" s="49"/>
      <c r="C258" s="49" t="str">
        <f>IFERROR(__xludf.DUMMYFUNCTION("""COMPUTED_VALUE"""),"Staff")</f>
        <v>Staff</v>
      </c>
      <c r="D258" s="49" t="str">
        <f>IFERROR(__xludf.DUMMYFUNCTION("""COMPUTED_VALUE"""),"Hand")</f>
        <v>Hand</v>
      </c>
      <c r="E258" s="49">
        <f>IFERROR(__xludf.DUMMYFUNCTION("""COMPUTED_VALUE"""),1.0)</f>
        <v>1</v>
      </c>
      <c r="F258" s="49" t="str">
        <f>IFERROR(__xludf.DUMMYFUNCTION("""COMPUTED_VALUE""")," ++You are invisible and silent so long as you don't attack. You cannot be attacked while invisible. 200SP")</f>
        <v> ++You are invisible and silent so long as you don't attack. You cannot be attacked while invisible. 200SP</v>
      </c>
      <c r="G258" s="49">
        <f>IFERROR(__xludf.DUMMYFUNCTION("""COMPUTED_VALUE"""),0.0)</f>
        <v>0</v>
      </c>
      <c r="H258" s="49"/>
      <c r="I258" s="49"/>
      <c r="J258" s="49"/>
      <c r="K258" s="49"/>
      <c r="L258" s="49"/>
      <c r="M258" s="49"/>
      <c r="N258" s="49"/>
      <c r="O258" s="49"/>
      <c r="P258" s="49"/>
      <c r="Q258" s="49"/>
      <c r="R258" s="49"/>
      <c r="S258" s="49"/>
      <c r="T258" s="49"/>
      <c r="U258" s="49"/>
      <c r="V258" s="49"/>
      <c r="W258" s="49"/>
      <c r="X258" s="49"/>
      <c r="Y258" s="49"/>
      <c r="Z258" s="49"/>
    </row>
    <row r="259">
      <c r="A259" s="49" t="str">
        <f>IFERROR(__xludf.DUMMYFUNCTION("""COMPUTED_VALUE"""),"Staff Of Suffering")</f>
        <v>Staff Of Suffering</v>
      </c>
      <c r="B259" s="49"/>
      <c r="C259" s="49" t="str">
        <f>IFERROR(__xludf.DUMMYFUNCTION("""COMPUTED_VALUE"""),"Staff")</f>
        <v>Staff</v>
      </c>
      <c r="D259" s="49" t="str">
        <f>IFERROR(__xludf.DUMMYFUNCTION("""COMPUTED_VALUE"""),"Hand")</f>
        <v>Hand</v>
      </c>
      <c r="E259" s="49">
        <f>IFERROR(__xludf.DUMMYFUNCTION("""COMPUTED_VALUE"""),1.0)</f>
        <v>1</v>
      </c>
      <c r="F259" s="49" t="str">
        <f>IFERROR(__xludf.DUMMYFUNCTION("""COMPUTED_VALUE""")," ++Casts a chaotic aura around 1 target dealing 1000 unblockable damage to them each time they cast a spell.")</f>
        <v> ++Casts a chaotic aura around 1 target dealing 1000 unblockable damage to them each time they cast a spell.</v>
      </c>
      <c r="G259" s="49">
        <f>IFERROR(__xludf.DUMMYFUNCTION("""COMPUTED_VALUE"""),0.0)</f>
        <v>0</v>
      </c>
      <c r="H259" s="49"/>
      <c r="I259" s="49"/>
      <c r="J259" s="49"/>
      <c r="K259" s="49"/>
      <c r="L259" s="49"/>
      <c r="M259" s="49"/>
      <c r="N259" s="49"/>
      <c r="O259" s="49"/>
      <c r="P259" s="49"/>
      <c r="Q259" s="49"/>
      <c r="R259" s="49"/>
      <c r="S259" s="49"/>
      <c r="T259" s="49"/>
      <c r="U259" s="49"/>
      <c r="V259" s="49"/>
      <c r="W259" s="49"/>
      <c r="X259" s="49"/>
      <c r="Y259" s="49"/>
      <c r="Z259" s="49"/>
    </row>
    <row r="260">
      <c r="A260" s="49" t="str">
        <f>IFERROR(__xludf.DUMMYFUNCTION("""COMPUTED_VALUE"""),"Staff of Targeting")</f>
        <v>Staff of Targeting</v>
      </c>
      <c r="B260" s="49"/>
      <c r="C260" s="49" t="str">
        <f>IFERROR(__xludf.DUMMYFUNCTION("""COMPUTED_VALUE"""),"Staff")</f>
        <v>Staff</v>
      </c>
      <c r="D260" s="49" t="str">
        <f>IFERROR(__xludf.DUMMYFUNCTION("""COMPUTED_VALUE"""),"Hand")</f>
        <v>Hand</v>
      </c>
      <c r="E260" s="49">
        <f>IFERROR(__xludf.DUMMYFUNCTION("""COMPUTED_VALUE"""),1.0)</f>
        <v>1</v>
      </c>
      <c r="F260" s="49"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49">
        <f>IFERROR(__xludf.DUMMYFUNCTION("""COMPUTED_VALUE"""),0.0)</f>
        <v>0</v>
      </c>
      <c r="H260" s="49"/>
      <c r="I260" s="49"/>
      <c r="J260" s="49"/>
      <c r="K260" s="49"/>
      <c r="L260" s="49"/>
      <c r="M260" s="49"/>
      <c r="N260" s="49"/>
      <c r="O260" s="49"/>
      <c r="P260" s="49"/>
      <c r="Q260" s="49"/>
      <c r="R260" s="49"/>
      <c r="S260" s="49"/>
      <c r="T260" s="49"/>
      <c r="U260" s="49"/>
      <c r="V260" s="49"/>
      <c r="W260" s="49"/>
      <c r="X260" s="49"/>
      <c r="Y260" s="49"/>
      <c r="Z260" s="49"/>
    </row>
    <row r="261">
      <c r="A261" s="49" t="str">
        <f>IFERROR(__xludf.DUMMYFUNCTION("""COMPUTED_VALUE"""),"Staff of Waves")</f>
        <v>Staff of Waves</v>
      </c>
      <c r="B261" s="49"/>
      <c r="C261" s="49" t="str">
        <f>IFERROR(__xludf.DUMMYFUNCTION("""COMPUTED_VALUE"""),"Staff")</f>
        <v>Staff</v>
      </c>
      <c r="D261" s="49" t="str">
        <f>IFERROR(__xludf.DUMMYFUNCTION("""COMPUTED_VALUE"""),"Hand")</f>
        <v>Hand</v>
      </c>
      <c r="E261" s="49">
        <f>IFERROR(__xludf.DUMMYFUNCTION("""COMPUTED_VALUE"""),1.0)</f>
        <v>1</v>
      </c>
      <c r="F261" s="49" t="str">
        <f>IFERROR(__xludf.DUMMYFUNCTION("""COMPUTED_VALUE""")," ++Casts the Spell Tsunami as if you would know it.")</f>
        <v> ++Casts the Spell Tsunami as if you would know it.</v>
      </c>
      <c r="G261" s="49">
        <f>IFERROR(__xludf.DUMMYFUNCTION("""COMPUTED_VALUE"""),0.0)</f>
        <v>0</v>
      </c>
      <c r="H261" s="49"/>
      <c r="I261" s="49"/>
      <c r="J261" s="49"/>
      <c r="K261" s="49"/>
      <c r="L261" s="49"/>
      <c r="M261" s="49"/>
      <c r="N261" s="49"/>
      <c r="O261" s="49"/>
      <c r="P261" s="49"/>
      <c r="Q261" s="49"/>
      <c r="R261" s="49"/>
      <c r="S261" s="49"/>
      <c r="T261" s="49"/>
      <c r="U261" s="49"/>
      <c r="V261" s="49"/>
      <c r="W261" s="49"/>
      <c r="X261" s="49"/>
      <c r="Y261" s="49"/>
      <c r="Z261" s="49"/>
    </row>
    <row r="262">
      <c r="A262" s="49" t="str">
        <f>IFERROR(__xludf.DUMMYFUNCTION("""COMPUTED_VALUE"""),"Guard Helmet")</f>
        <v>Guard Helmet</v>
      </c>
      <c r="B262" s="49" t="str">
        <f>IFERROR(__xludf.DUMMYFUNCTION("""COMPUTED_VALUE"""),"Quest Item")</f>
        <v>Quest Item</v>
      </c>
      <c r="C262" s="49"/>
      <c r="D262" s="49" t="str">
        <f>IFERROR(__xludf.DUMMYFUNCTION("""COMPUTED_VALUE"""),"Head")</f>
        <v>Head</v>
      </c>
      <c r="E262" s="49">
        <f>IFERROR(__xludf.DUMMYFUNCTION("""COMPUTED_VALUE"""),200.0)</f>
        <v>200</v>
      </c>
      <c r="F262" s="49" t="str">
        <f>IFERROR(__xludf.DUMMYFUNCTION("""COMPUTED_VALUE"""),"DEF: +25000, Light DEF: +25000, Celestial DEF: +25000")</f>
        <v>DEF: +25000, Light DEF: +25000, Celestial DEF: +25000</v>
      </c>
      <c r="G262" s="49">
        <f>IFERROR(__xludf.DUMMYFUNCTION("""COMPUTED_VALUE"""),1.1175E8)</f>
        <v>111750000</v>
      </c>
      <c r="H262" s="49"/>
      <c r="I262" s="49"/>
      <c r="J262" s="49"/>
      <c r="K262" s="49"/>
      <c r="L262" s="49"/>
      <c r="M262" s="49"/>
      <c r="N262" s="49"/>
      <c r="O262" s="49"/>
      <c r="P262" s="49"/>
      <c r="Q262" s="49"/>
      <c r="R262" s="49"/>
      <c r="S262" s="49"/>
      <c r="T262" s="49"/>
      <c r="U262" s="49"/>
      <c r="V262" s="49"/>
      <c r="W262" s="49"/>
      <c r="X262" s="49"/>
      <c r="Y262" s="49"/>
      <c r="Z262" s="49"/>
    </row>
    <row r="263">
      <c r="A263" s="49" t="str">
        <f>IFERROR(__xludf.DUMMYFUNCTION("""COMPUTED_VALUE"""),"Guard Shield")</f>
        <v>Guard Shield</v>
      </c>
      <c r="B263" s="49" t="str">
        <f>IFERROR(__xludf.DUMMYFUNCTION("""COMPUTED_VALUE"""),"Quest Item")</f>
        <v>Quest Item</v>
      </c>
      <c r="C263" s="49" t="str">
        <f>IFERROR(__xludf.DUMMYFUNCTION("""COMPUTED_VALUE"""),"Towershield")</f>
        <v>Towershield</v>
      </c>
      <c r="D263" s="49" t="str">
        <f>IFERROR(__xludf.DUMMYFUNCTION("""COMPUTED_VALUE"""),"Hand")</f>
        <v>Hand</v>
      </c>
      <c r="E263" s="49">
        <f>IFERROR(__xludf.DUMMYFUNCTION("""COMPUTED_VALUE"""),200.0)</f>
        <v>200</v>
      </c>
      <c r="F263" s="49" t="str">
        <f>IFERROR(__xludf.DUMMYFUNCTION("""COMPUTED_VALUE"""),"DEF: +25000, Light DEF: +25000, Celestial DEF: +25000")</f>
        <v>DEF: +25000, Light DEF: +25000, Celestial DEF: +25000</v>
      </c>
      <c r="G263" s="49">
        <f>IFERROR(__xludf.DUMMYFUNCTION("""COMPUTED_VALUE"""),1.1175E8)</f>
        <v>111750000</v>
      </c>
      <c r="H263" s="49"/>
      <c r="I263" s="49"/>
      <c r="J263" s="49"/>
      <c r="K263" s="49"/>
      <c r="L263" s="49"/>
      <c r="M263" s="49"/>
      <c r="N263" s="49"/>
      <c r="O263" s="49"/>
      <c r="P263" s="49"/>
      <c r="Q263" s="49"/>
      <c r="R263" s="49"/>
      <c r="S263" s="49"/>
      <c r="T263" s="49"/>
      <c r="U263" s="49"/>
      <c r="V263" s="49"/>
      <c r="W263" s="49"/>
      <c r="X263" s="49"/>
      <c r="Y263" s="49"/>
      <c r="Z263" s="49"/>
    </row>
    <row r="264">
      <c r="A264" s="49" t="str">
        <f>IFERROR(__xludf.DUMMYFUNCTION("""COMPUTED_VALUE"""),"Guard Sword")</f>
        <v>Guard Sword</v>
      </c>
      <c r="B264" s="49" t="str">
        <f>IFERROR(__xludf.DUMMYFUNCTION("""COMPUTED_VALUE"""),"Quest Item")</f>
        <v>Quest Item</v>
      </c>
      <c r="C264" s="49" t="str">
        <f>IFERROR(__xludf.DUMMYFUNCTION("""COMPUTED_VALUE"""),"Sword")</f>
        <v>Sword</v>
      </c>
      <c r="D264" s="49" t="str">
        <f>IFERROR(__xludf.DUMMYFUNCTION("""COMPUTED_VALUE"""),"Hand")</f>
        <v>Hand</v>
      </c>
      <c r="E264" s="49">
        <f>IFERROR(__xludf.DUMMYFUNCTION("""COMPUTED_VALUE"""),200.0)</f>
        <v>200</v>
      </c>
      <c r="F264" s="49" t="str">
        <f>IFERROR(__xludf.DUMMYFUNCTION("""COMPUTED_VALUE"""),"DMG: +25000, Light DMG: +25000, Celestial DMG: +25000")</f>
        <v>DMG: +25000, Light DMG: +25000, Celestial DMG: +25000</v>
      </c>
      <c r="G264" s="49">
        <f>IFERROR(__xludf.DUMMYFUNCTION("""COMPUTED_VALUE"""),1.1175E8)</f>
        <v>111750000</v>
      </c>
      <c r="H264" s="49"/>
      <c r="I264" s="49"/>
      <c r="J264" s="49"/>
      <c r="K264" s="49"/>
      <c r="L264" s="49"/>
      <c r="M264" s="49"/>
      <c r="N264" s="49"/>
      <c r="O264" s="49"/>
      <c r="P264" s="49"/>
      <c r="Q264" s="49"/>
      <c r="R264" s="49"/>
      <c r="S264" s="49"/>
      <c r="T264" s="49"/>
      <c r="U264" s="49"/>
      <c r="V264" s="49"/>
      <c r="W264" s="49"/>
      <c r="X264" s="49"/>
      <c r="Y264" s="49"/>
      <c r="Z264" s="49"/>
    </row>
    <row r="265">
      <c r="A265" s="49" t="str">
        <f>IFERROR(__xludf.DUMMYFUNCTION("""COMPUTED_VALUE"""),"Steel Armor")</f>
        <v>Steel Armor</v>
      </c>
      <c r="B265" s="49"/>
      <c r="C265" s="49"/>
      <c r="D265" s="49" t="str">
        <f>IFERROR(__xludf.DUMMYFUNCTION("""COMPUTED_VALUE"""),"Torso")</f>
        <v>Torso</v>
      </c>
      <c r="E265" s="49">
        <f>IFERROR(__xludf.DUMMYFUNCTION("""COMPUTED_VALUE"""),1.0)</f>
        <v>1</v>
      </c>
      <c r="F265" s="49" t="str">
        <f>IFERROR(__xludf.DUMMYFUNCTION("""COMPUTED_VALUE"""),"DEF: +20")</f>
        <v>DEF: +20</v>
      </c>
      <c r="G265" s="49">
        <f>IFERROR(__xludf.DUMMYFUNCTION("""COMPUTED_VALUE"""),0.0)</f>
        <v>0</v>
      </c>
      <c r="H265" s="49"/>
      <c r="I265" s="49"/>
      <c r="J265" s="49"/>
      <c r="K265" s="49"/>
      <c r="L265" s="49"/>
      <c r="M265" s="49"/>
      <c r="N265" s="49"/>
      <c r="O265" s="49"/>
      <c r="P265" s="49"/>
      <c r="Q265" s="49"/>
      <c r="R265" s="49"/>
      <c r="S265" s="49"/>
      <c r="T265" s="49"/>
      <c r="U265" s="49"/>
      <c r="V265" s="49"/>
      <c r="W265" s="49"/>
      <c r="X265" s="49"/>
      <c r="Y265" s="49"/>
      <c r="Z265" s="49"/>
    </row>
    <row r="266">
      <c r="A266" s="49" t="str">
        <f>IFERROR(__xludf.DUMMYFUNCTION("""COMPUTED_VALUE"""),"Steel Broadsword")</f>
        <v>Steel Broadsword</v>
      </c>
      <c r="B266" s="49"/>
      <c r="C266" s="49" t="str">
        <f>IFERROR(__xludf.DUMMYFUNCTION("""COMPUTED_VALUE"""),"Sword")</f>
        <v>Sword</v>
      </c>
      <c r="D266" s="49" t="str">
        <f>IFERROR(__xludf.DUMMYFUNCTION("""COMPUTED_VALUE"""),"Hand")</f>
        <v>Hand</v>
      </c>
      <c r="E266" s="49">
        <f>IFERROR(__xludf.DUMMYFUNCTION("""COMPUTED_VALUE"""),40.0)</f>
        <v>40</v>
      </c>
      <c r="F266" s="49" t="str">
        <f>IFERROR(__xludf.DUMMYFUNCTION("""COMPUTED_VALUE"""),"DMG: +2000")</f>
        <v>DMG: +2000</v>
      </c>
      <c r="G266" s="49">
        <f>IFERROR(__xludf.DUMMYFUNCTION("""COMPUTED_VALUE"""),60000.0)</f>
        <v>60000</v>
      </c>
      <c r="H266" s="49"/>
      <c r="I266" s="49"/>
      <c r="J266" s="49"/>
      <c r="K266" s="49"/>
      <c r="L266" s="49"/>
      <c r="M266" s="49"/>
      <c r="N266" s="49"/>
      <c r="O266" s="49"/>
      <c r="P266" s="49"/>
      <c r="Q266" s="49"/>
      <c r="R266" s="49"/>
      <c r="S266" s="49"/>
      <c r="T266" s="49"/>
      <c r="U266" s="49"/>
      <c r="V266" s="49"/>
      <c r="W266" s="49"/>
      <c r="X266" s="49"/>
      <c r="Y266" s="49"/>
      <c r="Z266" s="49"/>
    </row>
    <row r="267">
      <c r="A267" s="49" t="str">
        <f>IFERROR(__xludf.DUMMYFUNCTION("""COMPUTED_VALUE"""),"Steel Sword")</f>
        <v>Steel Sword</v>
      </c>
      <c r="B267" s="49"/>
      <c r="C267" s="49" t="str">
        <f>IFERROR(__xludf.DUMMYFUNCTION("""COMPUTED_VALUE"""),"Sword")</f>
        <v>Sword</v>
      </c>
      <c r="D267" s="49" t="str">
        <f>IFERROR(__xludf.DUMMYFUNCTION("""COMPUTED_VALUE"""),"Hand")</f>
        <v>Hand</v>
      </c>
      <c r="E267" s="49">
        <f>IFERROR(__xludf.DUMMYFUNCTION("""COMPUTED_VALUE"""),10.0)</f>
        <v>10</v>
      </c>
      <c r="F267" s="49" t="str">
        <f>IFERROR(__xludf.DUMMYFUNCTION("""COMPUTED_VALUE"""),"DMG: +500")</f>
        <v>DMG: +500</v>
      </c>
      <c r="G267" s="49">
        <f>IFERROR(__xludf.DUMMYFUNCTION("""COMPUTED_VALUE"""),1000.0)</f>
        <v>1000</v>
      </c>
      <c r="H267" s="49"/>
      <c r="I267" s="49"/>
      <c r="J267" s="49"/>
      <c r="K267" s="49"/>
      <c r="L267" s="49"/>
      <c r="M267" s="49"/>
      <c r="N267" s="49"/>
      <c r="O267" s="49"/>
      <c r="P267" s="49"/>
      <c r="Q267" s="49"/>
      <c r="R267" s="49"/>
      <c r="S267" s="49"/>
      <c r="T267" s="49"/>
      <c r="U267" s="49"/>
      <c r="V267" s="49"/>
      <c r="W267" s="49"/>
      <c r="X267" s="49"/>
      <c r="Y267" s="49"/>
      <c r="Z267" s="49"/>
    </row>
    <row r="268">
      <c r="A268" s="49" t="str">
        <f>IFERROR(__xludf.DUMMYFUNCTION("""COMPUTED_VALUE"""),"Stick of Mystery ")</f>
        <v>Stick of Mystery </v>
      </c>
      <c r="B268" s="49" t="str">
        <f>IFERROR(__xludf.DUMMYFUNCTION("""COMPUTED_VALUE"""),"Those who doubt the stick's power will suffer the stick's wrath")</f>
        <v>Those who doubt the stick's power will suffer the stick's wrath</v>
      </c>
      <c r="C268" s="49" t="str">
        <f>IFERROR(__xludf.DUMMYFUNCTION("""COMPUTED_VALUE"""),"Wand")</f>
        <v>Wand</v>
      </c>
      <c r="D268" s="49" t="str">
        <f>IFERROR(__xludf.DUMMYFUNCTION("""COMPUTED_VALUE"""),"Hand")</f>
        <v>Hand</v>
      </c>
      <c r="E268" s="49">
        <f>IFERROR(__xludf.DUMMYFUNCTION("""COMPUTED_VALUE"""),1.0)</f>
        <v>1</v>
      </c>
      <c r="F268" s="49" t="str">
        <f>IFERROR(__xludf.DUMMYFUNCTION("""COMPUTED_VALUE""")," ++roll a d20 to see what it does :)")</f>
        <v> ++roll a d20 to see what it does :)</v>
      </c>
      <c r="G268" s="49">
        <f>IFERROR(__xludf.DUMMYFUNCTION("""COMPUTED_VALUE"""),0.0)</f>
        <v>0</v>
      </c>
      <c r="H268" s="49"/>
      <c r="I268" s="49"/>
      <c r="J268" s="49"/>
      <c r="K268" s="49"/>
      <c r="L268" s="49"/>
      <c r="M268" s="49"/>
      <c r="N268" s="49"/>
      <c r="O268" s="49"/>
      <c r="P268" s="49"/>
      <c r="Q268" s="49"/>
      <c r="R268" s="49"/>
      <c r="S268" s="49"/>
      <c r="T268" s="49"/>
      <c r="U268" s="49"/>
      <c r="V268" s="49"/>
      <c r="W268" s="49"/>
      <c r="X268" s="49"/>
      <c r="Y268" s="49"/>
      <c r="Z268" s="49"/>
    </row>
    <row r="269">
      <c r="A269" s="49" t="str">
        <f>IFERROR(__xludf.DUMMYFUNCTION("""COMPUTED_VALUE"""),"Stone Arming Sword")</f>
        <v>Stone Arming Sword</v>
      </c>
      <c r="B269" s="49"/>
      <c r="C269" s="49" t="str">
        <f>IFERROR(__xludf.DUMMYFUNCTION("""COMPUTED_VALUE"""),"Sword")</f>
        <v>Sword</v>
      </c>
      <c r="D269" s="49" t="str">
        <f>IFERROR(__xludf.DUMMYFUNCTION("""COMPUTED_VALUE"""),"Hand")</f>
        <v>Hand</v>
      </c>
      <c r="E269" s="49">
        <f>IFERROR(__xludf.DUMMYFUNCTION("""COMPUTED_VALUE"""),20.0)</f>
        <v>20</v>
      </c>
      <c r="F269" s="49" t="str">
        <f>IFERROR(__xludf.DUMMYFUNCTION("""COMPUTED_VALUE"""),"DMG: +500, Dark DMG: +200")</f>
        <v>DMG: +500, Dark DMG: +200</v>
      </c>
      <c r="G269" s="49">
        <f>IFERROR(__xludf.DUMMYFUNCTION("""COMPUTED_VALUE"""),1000.0)</f>
        <v>1000</v>
      </c>
      <c r="H269" s="49"/>
      <c r="I269" s="49"/>
      <c r="J269" s="49"/>
      <c r="K269" s="49"/>
      <c r="L269" s="49"/>
      <c r="M269" s="49"/>
      <c r="N269" s="49"/>
      <c r="O269" s="49"/>
      <c r="P269" s="49"/>
      <c r="Q269" s="49"/>
      <c r="R269" s="49"/>
      <c r="S269" s="49"/>
      <c r="T269" s="49"/>
      <c r="U269" s="49"/>
      <c r="V269" s="49"/>
      <c r="W269" s="49"/>
      <c r="X269" s="49"/>
      <c r="Y269" s="49"/>
      <c r="Z269" s="49"/>
    </row>
    <row r="270">
      <c r="A270" s="49" t="str">
        <f>IFERROR(__xludf.DUMMYFUNCTION("""COMPUTED_VALUE"""),"Stone Sledgehammer")</f>
        <v>Stone Sledgehammer</v>
      </c>
      <c r="B270" s="49"/>
      <c r="C270" s="49" t="str">
        <f>IFERROR(__xludf.DUMMYFUNCTION("""COMPUTED_VALUE"""),"Club")</f>
        <v>Club</v>
      </c>
      <c r="D270" s="49" t="str">
        <f>IFERROR(__xludf.DUMMYFUNCTION("""COMPUTED_VALUE"""),"Hand")</f>
        <v>Hand</v>
      </c>
      <c r="E270" s="49">
        <f>IFERROR(__xludf.DUMMYFUNCTION("""COMPUTED_VALUE"""),20.0)</f>
        <v>20</v>
      </c>
      <c r="F270" s="49" t="str">
        <f>IFERROR(__xludf.DUMMYFUNCTION("""COMPUTED_VALUE"""),"DMG: +400, Earth DMG: +200")</f>
        <v>DMG: +400, Earth DMG: +200</v>
      </c>
      <c r="G270" s="49">
        <f>IFERROR(__xludf.DUMMYFUNCTION("""COMPUTED_VALUE"""),1000.0)</f>
        <v>1000</v>
      </c>
      <c r="H270" s="49"/>
      <c r="I270" s="49"/>
      <c r="J270" s="49"/>
      <c r="K270" s="49"/>
      <c r="L270" s="49"/>
      <c r="M270" s="49"/>
      <c r="N270" s="49"/>
      <c r="O270" s="49"/>
      <c r="P270" s="49"/>
      <c r="Q270" s="49"/>
      <c r="R270" s="49"/>
      <c r="S270" s="49"/>
      <c r="T270" s="49"/>
      <c r="U270" s="49"/>
      <c r="V270" s="49"/>
      <c r="W270" s="49"/>
      <c r="X270" s="49"/>
      <c r="Y270" s="49"/>
      <c r="Z270" s="49"/>
    </row>
    <row r="271">
      <c r="A271" s="49" t="str">
        <f>IFERROR(__xludf.DUMMYFUNCTION("""COMPUTED_VALUE"""),"Stone Small Shield")</f>
        <v>Stone Small Shield</v>
      </c>
      <c r="B271" s="49"/>
      <c r="C271" s="49" t="str">
        <f>IFERROR(__xludf.DUMMYFUNCTION("""COMPUTED_VALUE"""),"Buckler")</f>
        <v>Buckler</v>
      </c>
      <c r="D271" s="49" t="str">
        <f>IFERROR(__xludf.DUMMYFUNCTION("""COMPUTED_VALUE"""),"Hand")</f>
        <v>Hand</v>
      </c>
      <c r="E271" s="49">
        <f>IFERROR(__xludf.DUMMYFUNCTION("""COMPUTED_VALUE"""),1.0)</f>
        <v>1</v>
      </c>
      <c r="F271" s="49" t="str">
        <f>IFERROR(__xludf.DUMMYFUNCTION("""COMPUTED_VALUE"""),"DEF: +100")</f>
        <v>DEF: +100</v>
      </c>
      <c r="G271" s="49">
        <f>IFERROR(__xludf.DUMMYFUNCTION("""COMPUTED_VALUE"""),0.0)</f>
        <v>0</v>
      </c>
      <c r="H271" s="49"/>
      <c r="I271" s="49"/>
      <c r="J271" s="49"/>
      <c r="K271" s="49"/>
      <c r="L271" s="49"/>
      <c r="M271" s="49"/>
      <c r="N271" s="49"/>
      <c r="O271" s="49"/>
      <c r="P271" s="49"/>
      <c r="Q271" s="49"/>
      <c r="R271" s="49"/>
      <c r="S271" s="49"/>
      <c r="T271" s="49"/>
      <c r="U271" s="49"/>
      <c r="V271" s="49"/>
      <c r="W271" s="49"/>
      <c r="X271" s="49"/>
      <c r="Y271" s="49"/>
      <c r="Z271" s="49"/>
    </row>
    <row r="272">
      <c r="A272" s="49" t="str">
        <f>IFERROR(__xludf.DUMMYFUNCTION("""COMPUTED_VALUE"""),"Stonewall Shield")</f>
        <v>Stonewall Shield</v>
      </c>
      <c r="B272" s="49"/>
      <c r="C272" s="49" t="str">
        <f>IFERROR(__xludf.DUMMYFUNCTION("""COMPUTED_VALUE"""),"Towershield")</f>
        <v>Towershield</v>
      </c>
      <c r="D272" s="49" t="str">
        <f>IFERROR(__xludf.DUMMYFUNCTION("""COMPUTED_VALUE"""),"Hand")</f>
        <v>Hand</v>
      </c>
      <c r="E272" s="49">
        <f>IFERROR(__xludf.DUMMYFUNCTION("""COMPUTED_VALUE"""),10.0)</f>
        <v>10</v>
      </c>
      <c r="F272" s="49" t="str">
        <f>IFERROR(__xludf.DUMMYFUNCTION("""COMPUTED_VALUE"""),"DEF: +500 ++Immunity to earth")</f>
        <v>DEF: +500 ++Immunity to earth</v>
      </c>
      <c r="G272" s="49">
        <f>IFERROR(__xludf.DUMMYFUNCTION("""COMPUTED_VALUE"""),1000.0)</f>
        <v>1000</v>
      </c>
      <c r="H272" s="49"/>
      <c r="I272" s="49"/>
      <c r="J272" s="49"/>
      <c r="K272" s="49"/>
      <c r="L272" s="49"/>
      <c r="M272" s="49"/>
      <c r="N272" s="49"/>
      <c r="O272" s="49"/>
      <c r="P272" s="49"/>
      <c r="Q272" s="49"/>
      <c r="R272" s="49"/>
      <c r="S272" s="49"/>
      <c r="T272" s="49"/>
      <c r="U272" s="49"/>
      <c r="V272" s="49"/>
      <c r="W272" s="49"/>
      <c r="X272" s="49"/>
      <c r="Y272" s="49"/>
      <c r="Z272" s="49"/>
    </row>
    <row r="273">
      <c r="A273" s="49" t="str">
        <f>IFERROR(__xludf.DUMMYFUNCTION("""COMPUTED_VALUE"""),"Sturdy Wooden Shield")</f>
        <v>Sturdy Wooden Shield</v>
      </c>
      <c r="B273" s="49" t="str">
        <f>IFERROR(__xludf.DUMMYFUNCTION("""COMPUTED_VALUE"""),"A wooden shield")</f>
        <v>A wooden shield</v>
      </c>
      <c r="C273" s="49" t="str">
        <f>IFERROR(__xludf.DUMMYFUNCTION("""COMPUTED_VALUE"""),"Towershield")</f>
        <v>Towershield</v>
      </c>
      <c r="D273" s="49" t="str">
        <f>IFERROR(__xludf.DUMMYFUNCTION("""COMPUTED_VALUE"""),"Hand")</f>
        <v>Hand</v>
      </c>
      <c r="E273" s="49">
        <f>IFERROR(__xludf.DUMMYFUNCTION("""COMPUTED_VALUE"""),1.0)</f>
        <v>1</v>
      </c>
      <c r="F273" s="49" t="str">
        <f>IFERROR(__xludf.DUMMYFUNCTION("""COMPUTED_VALUE"""),"DEF: +50")</f>
        <v>DEF: +50</v>
      </c>
      <c r="G273" s="49">
        <f>IFERROR(__xludf.DUMMYFUNCTION("""COMPUTED_VALUE"""),0.0)</f>
        <v>0</v>
      </c>
      <c r="H273" s="49"/>
      <c r="I273" s="49"/>
      <c r="J273" s="49"/>
      <c r="K273" s="49"/>
      <c r="L273" s="49"/>
      <c r="M273" s="49"/>
      <c r="N273" s="49"/>
      <c r="O273" s="49"/>
      <c r="P273" s="49"/>
      <c r="Q273" s="49"/>
      <c r="R273" s="49"/>
      <c r="S273" s="49"/>
      <c r="T273" s="49"/>
      <c r="U273" s="49"/>
      <c r="V273" s="49"/>
      <c r="W273" s="49"/>
      <c r="X273" s="49"/>
      <c r="Y273" s="49"/>
      <c r="Z273" s="49"/>
    </row>
    <row r="274">
      <c r="A274" s="49" t="str">
        <f>IFERROR(__xludf.DUMMYFUNCTION("""COMPUTED_VALUE"""),"Swampville Dagger")</f>
        <v>Swampville Dagger</v>
      </c>
      <c r="B274" s="49"/>
      <c r="C274" s="49" t="str">
        <f>IFERROR(__xludf.DUMMYFUNCTION("""COMPUTED_VALUE"""),"Knife")</f>
        <v>Knife</v>
      </c>
      <c r="D274" s="49" t="str">
        <f>IFERROR(__xludf.DUMMYFUNCTION("""COMPUTED_VALUE"""),"Hand")</f>
        <v>Hand</v>
      </c>
      <c r="E274" s="49">
        <f>IFERROR(__xludf.DUMMYFUNCTION("""COMPUTED_VALUE"""),400.0)</f>
        <v>400</v>
      </c>
      <c r="F274" s="49" t="str">
        <f>IFERROR(__xludf.DUMMYFUNCTION("""COMPUTED_VALUE"""),"DMG: +10000, Nature DMG: +10000 ++Poison 5000 for 3 rounds.")</f>
        <v>DMG: +10000, Nature DMG: +10000 ++Poison 5000 for 3 rounds.</v>
      </c>
      <c r="G274" s="49">
        <f>IFERROR(__xludf.DUMMYFUNCTION("""COMPUTED_VALUE"""),7800000.0)</f>
        <v>7800000</v>
      </c>
      <c r="H274" s="49"/>
      <c r="I274" s="49"/>
      <c r="J274" s="49"/>
      <c r="K274" s="49"/>
      <c r="L274" s="49"/>
      <c r="M274" s="49"/>
      <c r="N274" s="49"/>
      <c r="O274" s="49"/>
      <c r="P274" s="49"/>
      <c r="Q274" s="49"/>
      <c r="R274" s="49"/>
      <c r="S274" s="49"/>
      <c r="T274" s="49"/>
      <c r="U274" s="49"/>
      <c r="V274" s="49"/>
      <c r="W274" s="49"/>
      <c r="X274" s="49"/>
      <c r="Y274" s="49"/>
      <c r="Z274" s="49"/>
    </row>
    <row r="275">
      <c r="A275" s="49" t="str">
        <f>IFERROR(__xludf.DUMMYFUNCTION("""COMPUTED_VALUE"""),"Sword of Bad Luck")</f>
        <v>Sword of Bad Luck</v>
      </c>
      <c r="B275" s="49"/>
      <c r="C275" s="49" t="str">
        <f>IFERROR(__xludf.DUMMYFUNCTION("""COMPUTED_VALUE"""),"Sword")</f>
        <v>Sword</v>
      </c>
      <c r="D275" s="49" t="str">
        <f>IFERROR(__xludf.DUMMYFUNCTION("""COMPUTED_VALUE"""),"Hand")</f>
        <v>Hand</v>
      </c>
      <c r="E275" s="49">
        <f>IFERROR(__xludf.DUMMYFUNCTION("""COMPUTED_VALUE"""),600.0)</f>
        <v>600</v>
      </c>
      <c r="F275" s="49" t="str">
        <f>IFERROR(__xludf.DUMMYFUNCTION("""COMPUTED_VALUE"""),"DMG: +30000 ++GSteal - Steal X amount of gilders equal to the amount of damage caused with this weapon.")</f>
        <v>DMG: +30000 ++GSteal - Steal X amount of gilders equal to the amount of damage caused with this weapon.</v>
      </c>
      <c r="G275" s="49">
        <f>IFERROR(__xludf.DUMMYFUNCTION("""COMPUTED_VALUE"""),1.77E7)</f>
        <v>17700000</v>
      </c>
      <c r="H275" s="49"/>
      <c r="I275" s="49"/>
      <c r="J275" s="49"/>
      <c r="K275" s="49"/>
      <c r="L275" s="49"/>
      <c r="M275" s="49"/>
      <c r="N275" s="49"/>
      <c r="O275" s="49"/>
      <c r="P275" s="49"/>
      <c r="Q275" s="49"/>
      <c r="R275" s="49"/>
      <c r="S275" s="49"/>
      <c r="T275" s="49"/>
      <c r="U275" s="49"/>
      <c r="V275" s="49"/>
      <c r="W275" s="49"/>
      <c r="X275" s="49"/>
      <c r="Y275" s="49"/>
      <c r="Z275" s="49"/>
    </row>
    <row r="276">
      <c r="A276" s="49" t="str">
        <f>IFERROR(__xludf.DUMMYFUNCTION("""COMPUTED_VALUE"""),"Sword of Chaotic Shadows")</f>
        <v>Sword of Chaotic Shadows</v>
      </c>
      <c r="B276" s="49"/>
      <c r="C276" s="49" t="str">
        <f>IFERROR(__xludf.DUMMYFUNCTION("""COMPUTED_VALUE"""),"Sword")</f>
        <v>Sword</v>
      </c>
      <c r="D276" s="49" t="str">
        <f>IFERROR(__xludf.DUMMYFUNCTION("""COMPUTED_VALUE"""),"Hand")</f>
        <v>Hand</v>
      </c>
      <c r="E276" s="49">
        <f>IFERROR(__xludf.DUMMYFUNCTION("""COMPUTED_VALUE"""),600.0)</f>
        <v>600</v>
      </c>
      <c r="F276" s="49" t="str">
        <f>IFERROR(__xludf.DUMMYFUNCTION("""COMPUTED_VALUE"""),"DMG: +10000, Dark DMG: +10000, Chaos DMG: +10000")</f>
        <v>DMG: +10000, Dark DMG: +10000, Chaos DMG: +10000</v>
      </c>
      <c r="G276" s="49">
        <f>IFERROR(__xludf.DUMMYFUNCTION("""COMPUTED_VALUE"""),1.77E7)</f>
        <v>17700000</v>
      </c>
      <c r="H276" s="49"/>
      <c r="I276" s="49"/>
      <c r="J276" s="49"/>
      <c r="K276" s="49"/>
      <c r="L276" s="49"/>
      <c r="M276" s="49"/>
      <c r="N276" s="49"/>
      <c r="O276" s="49"/>
      <c r="P276" s="49"/>
      <c r="Q276" s="49"/>
      <c r="R276" s="49"/>
      <c r="S276" s="49"/>
      <c r="T276" s="49"/>
      <c r="U276" s="49"/>
      <c r="V276" s="49"/>
      <c r="W276" s="49"/>
      <c r="X276" s="49"/>
      <c r="Y276" s="49"/>
      <c r="Z276" s="49"/>
    </row>
    <row r="277">
      <c r="A277" s="49" t="str">
        <f>IFERROR(__xludf.DUMMYFUNCTION("""COMPUTED_VALUE"""),"Sword Of Darkness")</f>
        <v>Sword Of Darkness</v>
      </c>
      <c r="B277" s="49"/>
      <c r="C277" s="49" t="str">
        <f>IFERROR(__xludf.DUMMYFUNCTION("""COMPUTED_VALUE"""),"Sword")</f>
        <v>Sword</v>
      </c>
      <c r="D277" s="49" t="str">
        <f>IFERROR(__xludf.DUMMYFUNCTION("""COMPUTED_VALUE"""),"Hand")</f>
        <v>Hand</v>
      </c>
      <c r="E277" s="49">
        <f>IFERROR(__xludf.DUMMYFUNCTION("""COMPUTED_VALUE"""),20.0)</f>
        <v>20</v>
      </c>
      <c r="F277" s="49" t="str">
        <f>IFERROR(__xludf.DUMMYFUNCTION("""COMPUTED_VALUE"""),"DMG: +500, Dark DMG: +200")</f>
        <v>DMG: +500, Dark DMG: +200</v>
      </c>
      <c r="G277" s="49">
        <f>IFERROR(__xludf.DUMMYFUNCTION("""COMPUTED_VALUE"""),1000.0)</f>
        <v>1000</v>
      </c>
      <c r="H277" s="49"/>
      <c r="I277" s="49"/>
      <c r="J277" s="49"/>
      <c r="K277" s="49"/>
      <c r="L277" s="49"/>
      <c r="M277" s="49"/>
      <c r="N277" s="49"/>
      <c r="O277" s="49"/>
      <c r="P277" s="49"/>
      <c r="Q277" s="49"/>
      <c r="R277" s="49"/>
      <c r="S277" s="49"/>
      <c r="T277" s="49"/>
      <c r="U277" s="49"/>
      <c r="V277" s="49"/>
      <c r="W277" s="49"/>
      <c r="X277" s="49"/>
      <c r="Y277" s="49"/>
      <c r="Z277" s="49"/>
    </row>
    <row r="278">
      <c r="A278" s="49" t="str">
        <f>IFERROR(__xludf.DUMMYFUNCTION("""COMPUTED_VALUE"""),"Sword of Disorder")</f>
        <v>Sword of Disorder</v>
      </c>
      <c r="B278" s="49"/>
      <c r="C278" s="49" t="str">
        <f>IFERROR(__xludf.DUMMYFUNCTION("""COMPUTED_VALUE"""),"Sword")</f>
        <v>Sword</v>
      </c>
      <c r="D278" s="49" t="str">
        <f>IFERROR(__xludf.DUMMYFUNCTION("""COMPUTED_VALUE"""),"Hand")</f>
        <v>Hand</v>
      </c>
      <c r="E278" s="49">
        <f>IFERROR(__xludf.DUMMYFUNCTION("""COMPUTED_VALUE"""),1.0)</f>
        <v>1</v>
      </c>
      <c r="F278" s="49"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49">
        <f>IFERROR(__xludf.DUMMYFUNCTION("""COMPUTED_VALUE"""),0.0)</f>
        <v>0</v>
      </c>
      <c r="H278" s="49"/>
      <c r="I278" s="49"/>
      <c r="J278" s="49"/>
      <c r="K278" s="49"/>
      <c r="L278" s="49"/>
      <c r="M278" s="49"/>
      <c r="N278" s="49"/>
      <c r="O278" s="49"/>
      <c r="P278" s="49"/>
      <c r="Q278" s="49"/>
      <c r="R278" s="49"/>
      <c r="S278" s="49"/>
      <c r="T278" s="49"/>
      <c r="U278" s="49"/>
      <c r="V278" s="49"/>
      <c r="W278" s="49"/>
      <c r="X278" s="49"/>
      <c r="Y278" s="49"/>
      <c r="Z278" s="49"/>
    </row>
    <row r="279">
      <c r="A279" s="49" t="str">
        <f>IFERROR(__xludf.DUMMYFUNCTION("""COMPUTED_VALUE"""),"Sword Of Divine Flames")</f>
        <v>Sword Of Divine Flames</v>
      </c>
      <c r="B279" s="49"/>
      <c r="C279" s="49" t="str">
        <f>IFERROR(__xludf.DUMMYFUNCTION("""COMPUTED_VALUE"""),"Sword")</f>
        <v>Sword</v>
      </c>
      <c r="D279" s="49" t="str">
        <f>IFERROR(__xludf.DUMMYFUNCTION("""COMPUTED_VALUE"""),"Hand")</f>
        <v>Hand</v>
      </c>
      <c r="E279" s="49">
        <f>IFERROR(__xludf.DUMMYFUNCTION("""COMPUTED_VALUE"""),300.0)</f>
        <v>300</v>
      </c>
      <c r="F279" s="49"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49">
        <f>IFERROR(__xludf.DUMMYFUNCTION("""COMPUTED_VALUE"""),4350000.0)</f>
        <v>4350000</v>
      </c>
      <c r="H279" s="49"/>
      <c r="I279" s="49"/>
      <c r="J279" s="49"/>
      <c r="K279" s="49"/>
      <c r="L279" s="49"/>
      <c r="M279" s="49"/>
      <c r="N279" s="49"/>
      <c r="O279" s="49"/>
      <c r="P279" s="49"/>
      <c r="Q279" s="49"/>
      <c r="R279" s="49"/>
      <c r="S279" s="49"/>
      <c r="T279" s="49"/>
      <c r="U279" s="49"/>
      <c r="V279" s="49"/>
      <c r="W279" s="49"/>
      <c r="X279" s="49"/>
      <c r="Y279" s="49"/>
      <c r="Z279" s="49"/>
    </row>
    <row r="280">
      <c r="A280" s="49" t="str">
        <f>IFERROR(__xludf.DUMMYFUNCTION("""COMPUTED_VALUE"""),"Sword of Eternal darkness")</f>
        <v>Sword of Eternal darkness</v>
      </c>
      <c r="B280" s="49"/>
      <c r="C280" s="49" t="str">
        <f>IFERROR(__xludf.DUMMYFUNCTION("""COMPUTED_VALUE"""),"Sword")</f>
        <v>Sword</v>
      </c>
      <c r="D280" s="49" t="str">
        <f>IFERROR(__xludf.DUMMYFUNCTION("""COMPUTED_VALUE"""),"Hand")</f>
        <v>Hand</v>
      </c>
      <c r="E280" s="49">
        <f>IFERROR(__xludf.DUMMYFUNCTION("""COMPUTED_VALUE"""),30.0)</f>
        <v>30</v>
      </c>
      <c r="F280" s="49" t="str">
        <f>IFERROR(__xludf.DUMMYFUNCTION("""COMPUTED_VALUE"""),"DMG: +500, Dark DMG: +600")</f>
        <v>DMG: +500, Dark DMG: +600</v>
      </c>
      <c r="G280" s="49">
        <f>IFERROR(__xludf.DUMMYFUNCTION("""COMPUTED_VALUE"""),10000.0)</f>
        <v>10000</v>
      </c>
      <c r="H280" s="49"/>
      <c r="I280" s="49"/>
      <c r="J280" s="49"/>
      <c r="K280" s="49"/>
      <c r="L280" s="49"/>
      <c r="M280" s="49"/>
      <c r="N280" s="49"/>
      <c r="O280" s="49"/>
      <c r="P280" s="49"/>
      <c r="Q280" s="49"/>
      <c r="R280" s="49"/>
      <c r="S280" s="49"/>
      <c r="T280" s="49"/>
      <c r="U280" s="49"/>
      <c r="V280" s="49"/>
      <c r="W280" s="49"/>
      <c r="X280" s="49"/>
      <c r="Y280" s="49"/>
      <c r="Z280" s="49"/>
    </row>
    <row r="281">
      <c r="A281" s="49" t="str">
        <f>IFERROR(__xludf.DUMMYFUNCTION("""COMPUTED_VALUE"""),"Hela's Death Scythe")</f>
        <v>Hela's Death Scythe</v>
      </c>
      <c r="B281" s="49"/>
      <c r="C281" s="49" t="str">
        <f>IFERROR(__xludf.DUMMYFUNCTION("""COMPUTED_VALUE"""),"Scythe")</f>
        <v>Scythe</v>
      </c>
      <c r="D281" s="49" t="str">
        <f>IFERROR(__xludf.DUMMYFUNCTION("""COMPUTED_VALUE"""),"Hand")</f>
        <v>Hand</v>
      </c>
      <c r="E281" s="49">
        <f>IFERROR(__xludf.DUMMYFUNCTION("""COMPUTED_VALUE"""),1.0)</f>
        <v>1</v>
      </c>
      <c r="F281" s="49"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49">
        <f>IFERROR(__xludf.DUMMYFUNCTION("""COMPUTED_VALUE"""),0.0)</f>
        <v>0</v>
      </c>
      <c r="H281" s="49"/>
      <c r="I281" s="49"/>
      <c r="J281" s="49"/>
      <c r="K281" s="49"/>
      <c r="L281" s="49"/>
      <c r="M281" s="49"/>
      <c r="N281" s="49"/>
      <c r="O281" s="49"/>
      <c r="P281" s="49"/>
      <c r="Q281" s="49"/>
      <c r="R281" s="49"/>
      <c r="S281" s="49"/>
      <c r="T281" s="49"/>
      <c r="U281" s="49"/>
      <c r="V281" s="49"/>
      <c r="W281" s="49"/>
      <c r="X281" s="49"/>
      <c r="Y281" s="49"/>
      <c r="Z281" s="49"/>
    </row>
    <row r="282">
      <c r="A282" s="49" t="str">
        <f>IFERROR(__xludf.DUMMYFUNCTION("""COMPUTED_VALUE"""),"Sword of Nature’s Love")</f>
        <v>Sword of Nature’s Love</v>
      </c>
      <c r="B282" s="49"/>
      <c r="C282" s="49" t="str">
        <f>IFERROR(__xludf.DUMMYFUNCTION("""COMPUTED_VALUE"""),"Sword")</f>
        <v>Sword</v>
      </c>
      <c r="D282" s="49" t="str">
        <f>IFERROR(__xludf.DUMMYFUNCTION("""COMPUTED_VALUE"""),"Hand")</f>
        <v>Hand</v>
      </c>
      <c r="E282" s="49">
        <f>IFERROR(__xludf.DUMMYFUNCTION("""COMPUTED_VALUE"""),160.0)</f>
        <v>160</v>
      </c>
      <c r="F282" s="49"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49">
        <f>IFERROR(__xludf.DUMMYFUNCTION("""COMPUTED_VALUE"""),1200000.0)</f>
        <v>1200000</v>
      </c>
      <c r="H282" s="49"/>
      <c r="I282" s="49"/>
      <c r="J282" s="49"/>
      <c r="K282" s="49"/>
      <c r="L282" s="49"/>
      <c r="M282" s="49"/>
      <c r="N282" s="49"/>
      <c r="O282" s="49"/>
      <c r="P282" s="49"/>
      <c r="Q282" s="49"/>
      <c r="R282" s="49"/>
      <c r="S282" s="49"/>
      <c r="T282" s="49"/>
      <c r="U282" s="49"/>
      <c r="V282" s="49"/>
      <c r="W282" s="49"/>
      <c r="X282" s="49"/>
      <c r="Y282" s="49"/>
      <c r="Z282" s="49"/>
    </row>
    <row r="283">
      <c r="A283" s="49" t="str">
        <f>IFERROR(__xludf.DUMMYFUNCTION("""COMPUTED_VALUE"""),"Sword of Shadows")</f>
        <v>Sword of Shadows</v>
      </c>
      <c r="B283" s="49"/>
      <c r="C283" s="49" t="str">
        <f>IFERROR(__xludf.DUMMYFUNCTION("""COMPUTED_VALUE"""),"Sword")</f>
        <v>Sword</v>
      </c>
      <c r="D283" s="49" t="str">
        <f>IFERROR(__xludf.DUMMYFUNCTION("""COMPUTED_VALUE"""),"Hand")</f>
        <v>Hand</v>
      </c>
      <c r="E283" s="49">
        <f>IFERROR(__xludf.DUMMYFUNCTION("""COMPUTED_VALUE"""),30.0)</f>
        <v>30</v>
      </c>
      <c r="F283" s="49" t="str">
        <f>IFERROR(__xludf.DUMMYFUNCTION("""COMPUTED_VALUE"""),"DMG: +1000, Dark DMG: +500")</f>
        <v>DMG: +1000, Dark DMG: +500</v>
      </c>
      <c r="G283" s="49">
        <f>IFERROR(__xludf.DUMMYFUNCTION("""COMPUTED_VALUE"""),30000.0)</f>
        <v>30000</v>
      </c>
      <c r="H283" s="49"/>
      <c r="I283" s="49"/>
      <c r="J283" s="49"/>
      <c r="K283" s="49"/>
      <c r="L283" s="49"/>
      <c r="M283" s="49"/>
      <c r="N283" s="49"/>
      <c r="O283" s="49"/>
      <c r="P283" s="49"/>
      <c r="Q283" s="49"/>
      <c r="R283" s="49"/>
      <c r="S283" s="49"/>
      <c r="T283" s="49"/>
      <c r="U283" s="49"/>
      <c r="V283" s="49"/>
      <c r="W283" s="49"/>
      <c r="X283" s="49"/>
      <c r="Y283" s="49"/>
      <c r="Z283" s="49"/>
    </row>
    <row r="284">
      <c r="A284" s="49" t="str">
        <f>IFERROR(__xludf.DUMMYFUNCTION("""COMPUTED_VALUE"""),"Sword of Steel")</f>
        <v>Sword of Steel</v>
      </c>
      <c r="B284" s="49"/>
      <c r="C284" s="49" t="str">
        <f>IFERROR(__xludf.DUMMYFUNCTION("""COMPUTED_VALUE"""),"Sword")</f>
        <v>Sword</v>
      </c>
      <c r="D284" s="49" t="str">
        <f>IFERROR(__xludf.DUMMYFUNCTION("""COMPUTED_VALUE"""),"Hand")</f>
        <v>Hand</v>
      </c>
      <c r="E284" s="49">
        <f>IFERROR(__xludf.DUMMYFUNCTION("""COMPUTED_VALUE"""),1.0)</f>
        <v>1</v>
      </c>
      <c r="F284" s="49" t="str">
        <f>IFERROR(__xludf.DUMMYFUNCTION("""COMPUTED_VALUE"""),"DMG: +300")</f>
        <v>DMG: +300</v>
      </c>
      <c r="G284" s="49">
        <f>IFERROR(__xludf.DUMMYFUNCTION("""COMPUTED_VALUE"""),0.0)</f>
        <v>0</v>
      </c>
      <c r="H284" s="49"/>
      <c r="I284" s="49"/>
      <c r="J284" s="49"/>
      <c r="K284" s="49"/>
      <c r="L284" s="49"/>
      <c r="M284" s="49"/>
      <c r="N284" s="49"/>
      <c r="O284" s="49"/>
      <c r="P284" s="49"/>
      <c r="Q284" s="49"/>
      <c r="R284" s="49"/>
      <c r="S284" s="49"/>
      <c r="T284" s="49"/>
      <c r="U284" s="49"/>
      <c r="V284" s="49"/>
      <c r="W284" s="49"/>
      <c r="X284" s="49"/>
      <c r="Y284" s="49"/>
      <c r="Z284" s="49"/>
    </row>
    <row r="285">
      <c r="A285" s="49" t="str">
        <f>IFERROR(__xludf.DUMMYFUNCTION("""COMPUTED_VALUE"""),"Sword of The Abyss")</f>
        <v>Sword of The Abyss</v>
      </c>
      <c r="B285" s="49"/>
      <c r="C285" s="49" t="str">
        <f>IFERROR(__xludf.DUMMYFUNCTION("""COMPUTED_VALUE"""),"Sword")</f>
        <v>Sword</v>
      </c>
      <c r="D285" s="49" t="str">
        <f>IFERROR(__xludf.DUMMYFUNCTION("""COMPUTED_VALUE"""),"Hand")</f>
        <v>Hand</v>
      </c>
      <c r="E285" s="49">
        <f>IFERROR(__xludf.DUMMYFUNCTION("""COMPUTED_VALUE"""),260.0)</f>
        <v>260</v>
      </c>
      <c r="F285" s="49" t="str">
        <f>IFERROR(__xludf.DUMMYFUNCTION("""COMPUTED_VALUE"""),"DMG: +8000, Dark DMG: +5000 ++Abyss Embodiment - dark damage is increased by X2 for the user.")</f>
        <v>DMG: +8000, Dark DMG: +5000 ++Abyss Embodiment - dark damage is increased by X2 for the user.</v>
      </c>
      <c r="G285" s="49">
        <f>IFERROR(__xludf.DUMMYFUNCTION("""COMPUTED_VALUE"""),3250000.0)</f>
        <v>3250000</v>
      </c>
      <c r="H285" s="49"/>
      <c r="I285" s="49"/>
      <c r="J285" s="49"/>
      <c r="K285" s="49"/>
      <c r="L285" s="49"/>
      <c r="M285" s="49"/>
      <c r="N285" s="49"/>
      <c r="O285" s="49"/>
      <c r="P285" s="49"/>
      <c r="Q285" s="49"/>
      <c r="R285" s="49"/>
      <c r="S285" s="49"/>
      <c r="T285" s="49"/>
      <c r="U285" s="49"/>
      <c r="V285" s="49"/>
      <c r="W285" s="49"/>
      <c r="X285" s="49"/>
      <c r="Y285" s="49"/>
      <c r="Z285" s="49"/>
    </row>
    <row r="286">
      <c r="A286" s="49" t="str">
        <f>IFERROR(__xludf.DUMMYFUNCTION("""COMPUTED_VALUE"""),"Sword of The Ancient Fire Serpent")</f>
        <v>Sword of The Ancient Fire Serpent</v>
      </c>
      <c r="B286" s="49"/>
      <c r="C286" s="49" t="str">
        <f>IFERROR(__xludf.DUMMYFUNCTION("""COMPUTED_VALUE"""),"Sword")</f>
        <v>Sword</v>
      </c>
      <c r="D286" s="49" t="str">
        <f>IFERROR(__xludf.DUMMYFUNCTION("""COMPUTED_VALUE"""),"Hand")</f>
        <v>Hand</v>
      </c>
      <c r="E286" s="49">
        <f>IFERROR(__xludf.DUMMYFUNCTION("""COMPUTED_VALUE"""),2000.0)</f>
        <v>2000</v>
      </c>
      <c r="F286" s="49"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49">
        <f>IFERROR(__xludf.DUMMYFUNCTION("""COMPUTED_VALUE"""),1.99E8)</f>
        <v>199000000</v>
      </c>
      <c r="H286" s="49"/>
      <c r="I286" s="49"/>
      <c r="J286" s="49"/>
      <c r="K286" s="49"/>
      <c r="L286" s="49"/>
      <c r="M286" s="49"/>
      <c r="N286" s="49"/>
      <c r="O286" s="49"/>
      <c r="P286" s="49"/>
      <c r="Q286" s="49"/>
      <c r="R286" s="49"/>
      <c r="S286" s="49"/>
      <c r="T286" s="49"/>
      <c r="U286" s="49"/>
      <c r="V286" s="49"/>
      <c r="W286" s="49"/>
      <c r="X286" s="49"/>
      <c r="Y286" s="49"/>
      <c r="Z286" s="49"/>
    </row>
    <row r="287">
      <c r="A287" s="49" t="str">
        <f>IFERROR(__xludf.DUMMYFUNCTION("""COMPUTED_VALUE"""),"Sword of The Burning Forest")</f>
        <v>Sword of The Burning Forest</v>
      </c>
      <c r="B287" s="49" t="str">
        <f>IFERROR(__xludf.DUMMYFUNCTION("""COMPUTED_VALUE"""),"A sword forged by mekana to obliterate natural environments.")</f>
        <v>A sword forged by mekana to obliterate natural environments.</v>
      </c>
      <c r="C287" s="49" t="str">
        <f>IFERROR(__xludf.DUMMYFUNCTION("""COMPUTED_VALUE"""),"Sword")</f>
        <v>Sword</v>
      </c>
      <c r="D287" s="49" t="str">
        <f>IFERROR(__xludf.DUMMYFUNCTION("""COMPUTED_VALUE"""),"Hand")</f>
        <v>Hand</v>
      </c>
      <c r="E287" s="49">
        <f>IFERROR(__xludf.DUMMYFUNCTION("""COMPUTED_VALUE"""),600.0)</f>
        <v>600</v>
      </c>
      <c r="F287" s="49" t="str">
        <f>IFERROR(__xludf.DUMMYFUNCTION("""COMPUTED_VALUE"""),"DMG: +20000, Fire DMG: +10000 ++Forest Fire- Burn 10,000, x4 fire damage while in a natural environment.")</f>
        <v>DMG: +20000, Fire DMG: +10000 ++Forest Fire- Burn 10,000, x4 fire damage while in a natural environment.</v>
      </c>
      <c r="G287" s="49">
        <f>IFERROR(__xludf.DUMMYFUNCTION("""COMPUTED_VALUE"""),1.77E7)</f>
        <v>17700000</v>
      </c>
      <c r="H287" s="49"/>
      <c r="I287" s="49"/>
      <c r="J287" s="49"/>
      <c r="K287" s="49"/>
      <c r="L287" s="49"/>
      <c r="M287" s="49"/>
      <c r="N287" s="49"/>
      <c r="O287" s="49"/>
      <c r="P287" s="49"/>
      <c r="Q287" s="49"/>
      <c r="R287" s="49"/>
      <c r="S287" s="49"/>
      <c r="T287" s="49"/>
      <c r="U287" s="49"/>
      <c r="V287" s="49"/>
      <c r="W287" s="49"/>
      <c r="X287" s="49"/>
      <c r="Y287" s="49"/>
      <c r="Z287" s="49"/>
    </row>
    <row r="288">
      <c r="A288" s="49" t="str">
        <f>IFERROR(__xludf.DUMMYFUNCTION("""COMPUTED_VALUE"""),"Sword of The Crystal Chosen")</f>
        <v>Sword of The Crystal Chosen</v>
      </c>
      <c r="B288" s="49"/>
      <c r="C288" s="49" t="str">
        <f>IFERROR(__xludf.DUMMYFUNCTION("""COMPUTED_VALUE"""),"Sword")</f>
        <v>Sword</v>
      </c>
      <c r="D288" s="49" t="str">
        <f>IFERROR(__xludf.DUMMYFUNCTION("""COMPUTED_VALUE"""),"Hand")</f>
        <v>Hand</v>
      </c>
      <c r="E288" s="49">
        <f>IFERROR(__xludf.DUMMYFUNCTION("""COMPUTED_VALUE"""),400.0)</f>
        <v>400</v>
      </c>
      <c r="F288" s="49"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49">
        <f>IFERROR(__xludf.DUMMYFUNCTION("""COMPUTED_VALUE"""),7800000.0)</f>
        <v>7800000</v>
      </c>
      <c r="H288" s="49"/>
      <c r="I288" s="49"/>
      <c r="J288" s="49"/>
      <c r="K288" s="49"/>
      <c r="L288" s="49"/>
      <c r="M288" s="49"/>
      <c r="N288" s="49"/>
      <c r="O288" s="49"/>
      <c r="P288" s="49"/>
      <c r="Q288" s="49"/>
      <c r="R288" s="49"/>
      <c r="S288" s="49"/>
      <c r="T288" s="49"/>
      <c r="U288" s="49"/>
      <c r="V288" s="49"/>
      <c r="W288" s="49"/>
      <c r="X288" s="49"/>
      <c r="Y288" s="49"/>
      <c r="Z288" s="49"/>
    </row>
    <row r="289">
      <c r="A289" s="49" t="str">
        <f>IFERROR(__xludf.DUMMYFUNCTION("""COMPUTED_VALUE"""),"Sword Of The Cursed Naga")</f>
        <v>Sword Of The Cursed Naga</v>
      </c>
      <c r="B289" s="49"/>
      <c r="C289" s="49" t="str">
        <f>IFERROR(__xludf.DUMMYFUNCTION("""COMPUTED_VALUE"""),"Sword")</f>
        <v>Sword</v>
      </c>
      <c r="D289" s="49" t="str">
        <f>IFERROR(__xludf.DUMMYFUNCTION("""COMPUTED_VALUE"""),"Hand")</f>
        <v>Hand</v>
      </c>
      <c r="E289" s="49">
        <f>IFERROR(__xludf.DUMMYFUNCTION("""COMPUTED_VALUE"""),200.0)</f>
        <v>200</v>
      </c>
      <c r="F289" s="49"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49">
        <f>IFERROR(__xludf.DUMMYFUNCTION("""COMPUTED_VALUE"""),2.868E8)</f>
        <v>286800000</v>
      </c>
      <c r="H289" s="49"/>
      <c r="I289" s="49"/>
      <c r="J289" s="49"/>
      <c r="K289" s="49"/>
      <c r="L289" s="49"/>
      <c r="M289" s="49"/>
      <c r="N289" s="49"/>
      <c r="O289" s="49"/>
      <c r="P289" s="49"/>
      <c r="Q289" s="49"/>
      <c r="R289" s="49"/>
      <c r="S289" s="49"/>
      <c r="T289" s="49"/>
      <c r="U289" s="49"/>
      <c r="V289" s="49"/>
      <c r="W289" s="49"/>
      <c r="X289" s="49"/>
      <c r="Y289" s="49"/>
      <c r="Z289" s="49"/>
    </row>
    <row r="290">
      <c r="A290" s="49" t="str">
        <f>IFERROR(__xludf.DUMMYFUNCTION("""COMPUTED_VALUE"""),"Sword Of The Dragons Blood")</f>
        <v>Sword Of The Dragons Blood</v>
      </c>
      <c r="B290" s="49"/>
      <c r="C290" s="49" t="str">
        <f>IFERROR(__xludf.DUMMYFUNCTION("""COMPUTED_VALUE"""),"Sword")</f>
        <v>Sword</v>
      </c>
      <c r="D290" s="49" t="str">
        <f>IFERROR(__xludf.DUMMYFUNCTION("""COMPUTED_VALUE"""),"Hand")</f>
        <v>Hand</v>
      </c>
      <c r="E290" s="49">
        <f>IFERROR(__xludf.DUMMYFUNCTION("""COMPUTED_VALUE"""),1500.0)</f>
        <v>1500</v>
      </c>
      <c r="F290" s="49" t="str">
        <f>IFERROR(__xludf.DUMMYFUNCTION("""COMPUTED_VALUE"""),"DMG: +50000, Blood DMG: +25000 ++Burning Blood: Upon a successful hit; 5000 bleed and burn until the enemy dies.")</f>
        <v>DMG: +50000, Blood DMG: +25000 ++Burning Blood: Upon a successful hit; 5000 bleed and burn until the enemy dies.</v>
      </c>
      <c r="G290" s="49">
        <f>IFERROR(__xludf.DUMMYFUNCTION("""COMPUTED_VALUE"""),1.1175E8)</f>
        <v>111750000</v>
      </c>
      <c r="H290" s="49"/>
      <c r="I290" s="49"/>
      <c r="J290" s="49"/>
      <c r="K290" s="49"/>
      <c r="L290" s="49"/>
      <c r="M290" s="49"/>
      <c r="N290" s="49"/>
      <c r="O290" s="49"/>
      <c r="P290" s="49"/>
      <c r="Q290" s="49"/>
      <c r="R290" s="49"/>
      <c r="S290" s="49"/>
      <c r="T290" s="49"/>
      <c r="U290" s="49"/>
      <c r="V290" s="49"/>
      <c r="W290" s="49"/>
      <c r="X290" s="49"/>
      <c r="Y290" s="49"/>
      <c r="Z290" s="49"/>
    </row>
    <row r="291">
      <c r="A291" s="49" t="str">
        <f>IFERROR(__xludf.DUMMYFUNCTION("""COMPUTED_VALUE"""),"Sword of The Haunted Mansion")</f>
        <v>Sword of The Haunted Mansion</v>
      </c>
      <c r="B291" s="49" t="str">
        <f>IFERROR(__xludf.DUMMYFUNCTION("""COMPUTED_VALUE"""),"Halloween exclusive")</f>
        <v>Halloween exclusive</v>
      </c>
      <c r="C291" s="49" t="str">
        <f>IFERROR(__xludf.DUMMYFUNCTION("""COMPUTED_VALUE"""),"Sword")</f>
        <v>Sword</v>
      </c>
      <c r="D291" s="49" t="str">
        <f>IFERROR(__xludf.DUMMYFUNCTION("""COMPUTED_VALUE"""),"Hand")</f>
        <v>Hand</v>
      </c>
      <c r="E291" s="49">
        <f>IFERROR(__xludf.DUMMYFUNCTION("""COMPUTED_VALUE"""),200.0)</f>
        <v>200</v>
      </c>
      <c r="F291" s="49"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49">
        <f>IFERROR(__xludf.DUMMYFUNCTION("""COMPUTED_VALUE"""),1.99E8)</f>
        <v>199000000</v>
      </c>
      <c r="H291" s="49"/>
      <c r="I291" s="49"/>
      <c r="J291" s="49"/>
      <c r="K291" s="49"/>
      <c r="L291" s="49"/>
      <c r="M291" s="49"/>
      <c r="N291" s="49"/>
      <c r="O291" s="49"/>
      <c r="P291" s="49"/>
      <c r="Q291" s="49"/>
      <c r="R291" s="49"/>
      <c r="S291" s="49"/>
      <c r="T291" s="49"/>
      <c r="U291" s="49"/>
      <c r="V291" s="49"/>
      <c r="W291" s="49"/>
      <c r="X291" s="49"/>
      <c r="Y291" s="49"/>
      <c r="Z291" s="49"/>
    </row>
    <row r="292">
      <c r="A292" s="49" t="str">
        <f>IFERROR(__xludf.DUMMYFUNCTION("""COMPUTED_VALUE"""),"Sword Of The Honorable Samurai")</f>
        <v>Sword Of The Honorable Samurai</v>
      </c>
      <c r="B292" s="49"/>
      <c r="C292" s="49" t="str">
        <f>IFERROR(__xludf.DUMMYFUNCTION("""COMPUTED_VALUE"""),"Sword")</f>
        <v>Sword</v>
      </c>
      <c r="D292" s="49" t="str">
        <f>IFERROR(__xludf.DUMMYFUNCTION("""COMPUTED_VALUE"""),"Hand")</f>
        <v>Hand</v>
      </c>
      <c r="E292" s="49">
        <f>IFERROR(__xludf.DUMMYFUNCTION("""COMPUTED_VALUE"""),400.0)</f>
        <v>400</v>
      </c>
      <c r="F292" s="49" t="str">
        <f>IFERROR(__xludf.DUMMYFUNCTION("""COMPUTED_VALUE"""),"DMG: +10000, Light DMG: +5000, Order DMG: +5000")</f>
        <v>DMG: +10000, Light DMG: +5000, Order DMG: +5000</v>
      </c>
      <c r="G292" s="49">
        <f>IFERROR(__xludf.DUMMYFUNCTION("""COMPUTED_VALUE"""),7800000.0)</f>
        <v>7800000</v>
      </c>
      <c r="H292" s="49"/>
      <c r="I292" s="49"/>
      <c r="J292" s="49"/>
      <c r="K292" s="49"/>
      <c r="L292" s="49"/>
      <c r="M292" s="49"/>
      <c r="N292" s="49"/>
      <c r="O292" s="49"/>
      <c r="P292" s="49"/>
      <c r="Q292" s="49"/>
      <c r="R292" s="49"/>
      <c r="S292" s="49"/>
      <c r="T292" s="49"/>
      <c r="U292" s="49"/>
      <c r="V292" s="49"/>
      <c r="W292" s="49"/>
      <c r="X292" s="49"/>
      <c r="Y292" s="49"/>
      <c r="Z292" s="49"/>
    </row>
    <row r="293">
      <c r="A293" s="49" t="str">
        <f>IFERROR(__xludf.DUMMYFUNCTION("""COMPUTED_VALUE"""),"Sword of The Crystal King")</f>
        <v>Sword of The Crystal King</v>
      </c>
      <c r="B293" s="49"/>
      <c r="C293" s="49" t="str">
        <f>IFERROR(__xludf.DUMMYFUNCTION("""COMPUTED_VALUE"""),"Sword")</f>
        <v>Sword</v>
      </c>
      <c r="D293" s="49" t="str">
        <f>IFERROR(__xludf.DUMMYFUNCTION("""COMPUTED_VALUE"""),"Hand")</f>
        <v>Hand</v>
      </c>
      <c r="E293" s="49">
        <f>IFERROR(__xludf.DUMMYFUNCTION("""COMPUTED_VALUE"""),200.0)</f>
        <v>200</v>
      </c>
      <c r="F293" s="49"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49">
        <f>IFERROR(__xludf.DUMMYFUNCTION("""COMPUTED_VALUE"""),4.95E7)</f>
        <v>49500000</v>
      </c>
      <c r="H293" s="49"/>
      <c r="I293" s="49"/>
      <c r="J293" s="49"/>
      <c r="K293" s="49"/>
      <c r="L293" s="49"/>
      <c r="M293" s="49"/>
      <c r="N293" s="49"/>
      <c r="O293" s="49"/>
      <c r="P293" s="49"/>
      <c r="Q293" s="49"/>
      <c r="R293" s="49"/>
      <c r="S293" s="49"/>
      <c r="T293" s="49"/>
      <c r="U293" s="49"/>
      <c r="V293" s="49"/>
      <c r="W293" s="49"/>
      <c r="X293" s="49"/>
      <c r="Y293" s="49"/>
      <c r="Z293" s="49"/>
    </row>
    <row r="294">
      <c r="A294" s="49" t="str">
        <f>IFERROR(__xludf.DUMMYFUNCTION("""COMPUTED_VALUE"""),"Sword of The Many Heroes")</f>
        <v>Sword of The Many Heroes</v>
      </c>
      <c r="B294" s="49"/>
      <c r="C294" s="49" t="str">
        <f>IFERROR(__xludf.DUMMYFUNCTION("""COMPUTED_VALUE"""),"Sword")</f>
        <v>Sword</v>
      </c>
      <c r="D294" s="49" t="str">
        <f>IFERROR(__xludf.DUMMYFUNCTION("""COMPUTED_VALUE"""),"Hand")</f>
        <v>Hand</v>
      </c>
      <c r="E294" s="49">
        <f>IFERROR(__xludf.DUMMYFUNCTION("""COMPUTED_VALUE"""),200.0)</f>
        <v>200</v>
      </c>
      <c r="F294" s="49"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49">
        <f>IFERROR(__xludf.DUMMYFUNCTION("""COMPUTED_VALUE"""),7.194E9)</f>
        <v>7194000000</v>
      </c>
      <c r="H294" s="49"/>
      <c r="I294" s="49"/>
      <c r="J294" s="49"/>
      <c r="K294" s="49"/>
      <c r="L294" s="49"/>
      <c r="M294" s="49"/>
      <c r="N294" s="49"/>
      <c r="O294" s="49"/>
      <c r="P294" s="49"/>
      <c r="Q294" s="49"/>
      <c r="R294" s="49"/>
      <c r="S294" s="49"/>
      <c r="T294" s="49"/>
      <c r="U294" s="49"/>
      <c r="V294" s="49"/>
      <c r="W294" s="49"/>
      <c r="X294" s="49"/>
      <c r="Y294" s="49"/>
      <c r="Z294" s="49"/>
    </row>
    <row r="295">
      <c r="A295" s="49" t="str">
        <f>IFERROR(__xludf.DUMMYFUNCTION("""COMPUTED_VALUE"""),"Sword Of The Reaper")</f>
        <v>Sword Of The Reaper</v>
      </c>
      <c r="B295" s="49"/>
      <c r="C295" s="49" t="str">
        <f>IFERROR(__xludf.DUMMYFUNCTION("""COMPUTED_VALUE"""),"Sword")</f>
        <v>Sword</v>
      </c>
      <c r="D295" s="49" t="str">
        <f>IFERROR(__xludf.DUMMYFUNCTION("""COMPUTED_VALUE"""),"Hand")</f>
        <v>Hand</v>
      </c>
      <c r="E295" s="49">
        <f>IFERROR(__xludf.DUMMYFUNCTION("""COMPUTED_VALUE"""),200.0)</f>
        <v>200</v>
      </c>
      <c r="F295" s="49"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49">
        <f>IFERROR(__xludf.DUMMYFUNCTION("""COMPUTED_VALUE"""),660000.0)</f>
        <v>660000</v>
      </c>
      <c r="H295" s="49"/>
      <c r="I295" s="49"/>
      <c r="J295" s="49"/>
      <c r="K295" s="49"/>
      <c r="L295" s="49"/>
      <c r="M295" s="49"/>
      <c r="N295" s="49"/>
      <c r="O295" s="49"/>
      <c r="P295" s="49"/>
      <c r="Q295" s="49"/>
      <c r="R295" s="49"/>
      <c r="S295" s="49"/>
      <c r="T295" s="49"/>
      <c r="U295" s="49"/>
      <c r="V295" s="49"/>
      <c r="W295" s="49"/>
      <c r="X295" s="49"/>
      <c r="Y295" s="49"/>
      <c r="Z295" s="49"/>
    </row>
    <row r="296">
      <c r="A296" s="49" t="str">
        <f>IFERROR(__xludf.DUMMYFUNCTION("""COMPUTED_VALUE"""),"Sword of The Sea Serpent")</f>
        <v>Sword of The Sea Serpent</v>
      </c>
      <c r="B296" s="49"/>
      <c r="C296" s="49" t="str">
        <f>IFERROR(__xludf.DUMMYFUNCTION("""COMPUTED_VALUE"""),"Sword")</f>
        <v>Sword</v>
      </c>
      <c r="D296" s="49" t="str">
        <f>IFERROR(__xludf.DUMMYFUNCTION("""COMPUTED_VALUE"""),"Hand")</f>
        <v>Hand</v>
      </c>
      <c r="E296" s="49">
        <f>IFERROR(__xludf.DUMMYFUNCTION("""COMPUTED_VALUE"""),400.0)</f>
        <v>400</v>
      </c>
      <c r="F296" s="49"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49">
        <f>IFERROR(__xludf.DUMMYFUNCTION("""COMPUTED_VALUE"""),7800000.0)</f>
        <v>7800000</v>
      </c>
      <c r="H296" s="49"/>
      <c r="I296" s="49"/>
      <c r="J296" s="49"/>
      <c r="K296" s="49"/>
      <c r="L296" s="49"/>
      <c r="M296" s="49"/>
      <c r="N296" s="49"/>
      <c r="O296" s="49"/>
      <c r="P296" s="49"/>
      <c r="Q296" s="49"/>
      <c r="R296" s="49"/>
      <c r="S296" s="49"/>
      <c r="T296" s="49"/>
      <c r="U296" s="49"/>
      <c r="V296" s="49"/>
      <c r="W296" s="49"/>
      <c r="X296" s="49"/>
      <c r="Y296" s="49"/>
      <c r="Z296" s="49"/>
    </row>
    <row r="297">
      <c r="A297" s="49" t="str">
        <f>IFERROR(__xludf.DUMMYFUNCTION("""COMPUTED_VALUE"""),"Sword of the Vampire’s Lust")</f>
        <v>Sword of the Vampire’s Lust</v>
      </c>
      <c r="B297" s="49"/>
      <c r="C297" s="49" t="str">
        <f>IFERROR(__xludf.DUMMYFUNCTION("""COMPUTED_VALUE"""),"Sword")</f>
        <v>Sword</v>
      </c>
      <c r="D297" s="49" t="str">
        <f>IFERROR(__xludf.DUMMYFUNCTION("""COMPUTED_VALUE"""),"Hand")</f>
        <v>Hand</v>
      </c>
      <c r="E297" s="49">
        <f>IFERROR(__xludf.DUMMYFUNCTION("""COMPUTED_VALUE"""),800.0)</f>
        <v>800</v>
      </c>
      <c r="F297" s="49"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49">
        <f>IFERROR(__xludf.DUMMYFUNCTION("""COMPUTED_VALUE"""),3.16E7)</f>
        <v>31600000</v>
      </c>
      <c r="H297" s="49"/>
      <c r="I297" s="49"/>
      <c r="J297" s="49"/>
      <c r="K297" s="49"/>
      <c r="L297" s="49"/>
      <c r="M297" s="49"/>
      <c r="N297" s="49"/>
      <c r="O297" s="49"/>
      <c r="P297" s="49"/>
      <c r="Q297" s="49"/>
      <c r="R297" s="49"/>
      <c r="S297" s="49"/>
      <c r="T297" s="49"/>
      <c r="U297" s="49"/>
      <c r="V297" s="49"/>
      <c r="W297" s="49"/>
      <c r="X297" s="49"/>
      <c r="Y297" s="49"/>
      <c r="Z297" s="49"/>
    </row>
    <row r="298">
      <c r="A298" s="49" t="str">
        <f>IFERROR(__xludf.DUMMYFUNCTION("""COMPUTED_VALUE"""),"Sword of The Waking Waters")</f>
        <v>Sword of The Waking Waters</v>
      </c>
      <c r="B298" s="49"/>
      <c r="C298" s="49" t="str">
        <f>IFERROR(__xludf.DUMMYFUNCTION("""COMPUTED_VALUE"""),"Sword")</f>
        <v>Sword</v>
      </c>
      <c r="D298" s="49" t="str">
        <f>IFERROR(__xludf.DUMMYFUNCTION("""COMPUTED_VALUE"""),"Hand")</f>
        <v>Hand</v>
      </c>
      <c r="E298" s="49">
        <f>IFERROR(__xludf.DUMMYFUNCTION("""COMPUTED_VALUE"""),800.0)</f>
        <v>800</v>
      </c>
      <c r="F298" s="49"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49">
        <f>IFERROR(__xludf.DUMMYFUNCTION("""COMPUTED_VALUE"""),3.16E7)</f>
        <v>31600000</v>
      </c>
      <c r="H298" s="49"/>
      <c r="I298" s="49"/>
      <c r="J298" s="49"/>
      <c r="K298" s="49"/>
      <c r="L298" s="49"/>
      <c r="M298" s="49"/>
      <c r="N298" s="49"/>
      <c r="O298" s="49"/>
      <c r="P298" s="49"/>
      <c r="Q298" s="49"/>
      <c r="R298" s="49"/>
      <c r="S298" s="49"/>
      <c r="T298" s="49"/>
      <c r="U298" s="49"/>
      <c r="V298" s="49"/>
      <c r="W298" s="49"/>
      <c r="X298" s="49"/>
      <c r="Y298" s="49"/>
      <c r="Z298" s="49"/>
    </row>
    <row r="299">
      <c r="A299" s="49" t="str">
        <f>IFERROR(__xludf.DUMMYFUNCTION("""COMPUTED_VALUE"""),"Sword of the Wicked")</f>
        <v>Sword of the Wicked</v>
      </c>
      <c r="B299" s="49"/>
      <c r="C299" s="49" t="str">
        <f>IFERROR(__xludf.DUMMYFUNCTION("""COMPUTED_VALUE"""),"Sword")</f>
        <v>Sword</v>
      </c>
      <c r="D299" s="49" t="str">
        <f>IFERROR(__xludf.DUMMYFUNCTION("""COMPUTED_VALUE"""),"Hand")</f>
        <v>Hand</v>
      </c>
      <c r="E299" s="49">
        <f>IFERROR(__xludf.DUMMYFUNCTION("""COMPUTED_VALUE"""),50.0)</f>
        <v>50</v>
      </c>
      <c r="F299" s="49" t="str">
        <f>IFERROR(__xludf.DUMMYFUNCTION("""COMPUTED_VALUE"""),"DMG: +700, Dark DMG: +900, Chaos DMG: +900")</f>
        <v>DMG: +700, Dark DMG: +900, Chaos DMG: +900</v>
      </c>
      <c r="G299" s="49">
        <f>IFERROR(__xludf.DUMMYFUNCTION("""COMPUTED_VALUE"""),100000.0)</f>
        <v>100000</v>
      </c>
      <c r="H299" s="49"/>
      <c r="I299" s="49"/>
      <c r="J299" s="49"/>
      <c r="K299" s="49"/>
      <c r="L299" s="49"/>
      <c r="M299" s="49"/>
      <c r="N299" s="49"/>
      <c r="O299" s="49"/>
      <c r="P299" s="49"/>
      <c r="Q299" s="49"/>
      <c r="R299" s="49"/>
      <c r="S299" s="49"/>
      <c r="T299" s="49"/>
      <c r="U299" s="49"/>
      <c r="V299" s="49"/>
      <c r="W299" s="49"/>
      <c r="X299" s="49"/>
      <c r="Y299" s="49"/>
      <c r="Z299" s="49"/>
    </row>
    <row r="300">
      <c r="A300" s="49" t="str">
        <f>IFERROR(__xludf.DUMMYFUNCTION("""COMPUTED_VALUE"""),"Sword Of Tritonoch")</f>
        <v>Sword Of Tritonoch</v>
      </c>
      <c r="B300" s="49"/>
      <c r="C300" s="49" t="str">
        <f>IFERROR(__xludf.DUMMYFUNCTION("""COMPUTED_VALUE"""),"Sword")</f>
        <v>Sword</v>
      </c>
      <c r="D300" s="49" t="str">
        <f>IFERROR(__xludf.DUMMYFUNCTION("""COMPUTED_VALUE"""),"Hand")</f>
        <v>Hand</v>
      </c>
      <c r="E300" s="49">
        <f>IFERROR(__xludf.DUMMYFUNCTION("""COMPUTED_VALUE"""),800.0)</f>
        <v>800</v>
      </c>
      <c r="F300" s="49"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49">
        <f>IFERROR(__xludf.DUMMYFUNCTION("""COMPUTED_VALUE"""),3.16E7)</f>
        <v>31600000</v>
      </c>
      <c r="H300" s="49"/>
      <c r="I300" s="49"/>
      <c r="J300" s="49"/>
      <c r="K300" s="49"/>
      <c r="L300" s="49"/>
      <c r="M300" s="49"/>
      <c r="N300" s="49"/>
      <c r="O300" s="49"/>
      <c r="P300" s="49"/>
      <c r="Q300" s="49"/>
      <c r="R300" s="49"/>
      <c r="S300" s="49"/>
      <c r="T300" s="49"/>
      <c r="U300" s="49"/>
      <c r="V300" s="49"/>
      <c r="W300" s="49"/>
      <c r="X300" s="49"/>
      <c r="Y300" s="49"/>
      <c r="Z300" s="49"/>
    </row>
    <row r="301">
      <c r="A301" s="49" t="str">
        <f>IFERROR(__xludf.DUMMYFUNCTION("""COMPUTED_VALUE"""),"Tentacle")</f>
        <v>Tentacle</v>
      </c>
      <c r="B301" s="49"/>
      <c r="C301" s="49" t="str">
        <f>IFERROR(__xludf.DUMMYFUNCTION("""COMPUTED_VALUE"""),"Claw")</f>
        <v>Claw</v>
      </c>
      <c r="D301" s="49" t="str">
        <f>IFERROR(__xludf.DUMMYFUNCTION("""COMPUTED_VALUE"""),"Hand")</f>
        <v>Hand</v>
      </c>
      <c r="E301" s="49">
        <f>IFERROR(__xludf.DUMMYFUNCTION("""COMPUTED_VALUE"""),30.0)</f>
        <v>30</v>
      </c>
      <c r="F301" s="49" t="str">
        <f>IFERROR(__xludf.DUMMYFUNCTION("""COMPUTED_VALUE"""),"DMG: +1000, Water DMG: +500 ++10% chance to remove target from battle")</f>
        <v>DMG: +1000, Water DMG: +500 ++10% chance to remove target from battle</v>
      </c>
      <c r="G301" s="49">
        <f>IFERROR(__xludf.DUMMYFUNCTION("""COMPUTED_VALUE"""),30000.0)</f>
        <v>30000</v>
      </c>
      <c r="H301" s="49"/>
      <c r="I301" s="49"/>
      <c r="J301" s="49"/>
      <c r="K301" s="49"/>
      <c r="L301" s="49"/>
      <c r="M301" s="49"/>
      <c r="N301" s="49"/>
      <c r="O301" s="49"/>
      <c r="P301" s="49"/>
      <c r="Q301" s="49"/>
      <c r="R301" s="49"/>
      <c r="S301" s="49"/>
      <c r="T301" s="49"/>
      <c r="U301" s="49"/>
      <c r="V301" s="49"/>
      <c r="W301" s="49"/>
      <c r="X301" s="49"/>
      <c r="Y301" s="49"/>
      <c r="Z301" s="49"/>
    </row>
    <row r="302">
      <c r="A302" s="49" t="str">
        <f>IFERROR(__xludf.DUMMYFUNCTION("""COMPUTED_VALUE"""),"The Black Hook")</f>
        <v>The Black Hook</v>
      </c>
      <c r="B302" s="49"/>
      <c r="C302" s="49" t="str">
        <f>IFERROR(__xludf.DUMMYFUNCTION("""COMPUTED_VALUE"""),"Claw")</f>
        <v>Claw</v>
      </c>
      <c r="D302" s="49" t="str">
        <f>IFERROR(__xludf.DUMMYFUNCTION("""COMPUTED_VALUE"""),"Hand")</f>
        <v>Hand</v>
      </c>
      <c r="E302" s="49">
        <f>IFERROR(__xludf.DUMMYFUNCTION("""COMPUTED_VALUE"""),2500.0)</f>
        <v>2500</v>
      </c>
      <c r="F302" s="49"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49">
        <f>IFERROR(__xludf.DUMMYFUNCTION("""COMPUTED_VALUE"""),3.1125E8)</f>
        <v>311250000</v>
      </c>
      <c r="H302" s="49"/>
      <c r="I302" s="49"/>
      <c r="J302" s="49"/>
      <c r="K302" s="49"/>
      <c r="L302" s="49"/>
      <c r="M302" s="49"/>
      <c r="N302" s="49"/>
      <c r="O302" s="49"/>
      <c r="P302" s="49"/>
      <c r="Q302" s="49"/>
      <c r="R302" s="49"/>
      <c r="S302" s="49"/>
      <c r="T302" s="49"/>
      <c r="U302" s="49"/>
      <c r="V302" s="49"/>
      <c r="W302" s="49"/>
      <c r="X302" s="49"/>
      <c r="Y302" s="49"/>
      <c r="Z302" s="49"/>
    </row>
    <row r="303">
      <c r="A303" s="49" t="str">
        <f>IFERROR(__xludf.DUMMYFUNCTION("""COMPUTED_VALUE"""),"The Blade of the Chosen")</f>
        <v>The Blade of the Chosen</v>
      </c>
      <c r="B303" s="49"/>
      <c r="C303" s="49" t="str">
        <f>IFERROR(__xludf.DUMMYFUNCTION("""COMPUTED_VALUE"""),"Sword")</f>
        <v>Sword</v>
      </c>
      <c r="D303" s="49" t="str">
        <f>IFERROR(__xludf.DUMMYFUNCTION("""COMPUTED_VALUE"""),"Hand")</f>
        <v>Hand</v>
      </c>
      <c r="E303" s="49">
        <f>IFERROR(__xludf.DUMMYFUNCTION("""COMPUTED_VALUE"""),1000.0)</f>
        <v>1000</v>
      </c>
      <c r="F303" s="49"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49">
        <f>IFERROR(__xludf.DUMMYFUNCTION("""COMPUTED_VALUE"""),4.95E7)</f>
        <v>49500000</v>
      </c>
      <c r="H303" s="49"/>
      <c r="I303" s="49"/>
      <c r="J303" s="49"/>
      <c r="K303" s="49"/>
      <c r="L303" s="49"/>
      <c r="M303" s="49"/>
      <c r="N303" s="49"/>
      <c r="O303" s="49"/>
      <c r="P303" s="49"/>
      <c r="Q303" s="49"/>
      <c r="R303" s="49"/>
      <c r="S303" s="49"/>
      <c r="T303" s="49"/>
      <c r="U303" s="49"/>
      <c r="V303" s="49"/>
      <c r="W303" s="49"/>
      <c r="X303" s="49"/>
      <c r="Y303" s="49"/>
      <c r="Z303" s="49"/>
    </row>
    <row r="304">
      <c r="A304" s="49" t="str">
        <f>IFERROR(__xludf.DUMMYFUNCTION("""COMPUTED_VALUE"""),"The Bow of the Fallen Hero")</f>
        <v>The Bow of the Fallen Hero</v>
      </c>
      <c r="B304" s="49"/>
      <c r="C304" s="49" t="str">
        <f>IFERROR(__xludf.DUMMYFUNCTION("""COMPUTED_VALUE"""),"Bow")</f>
        <v>Bow</v>
      </c>
      <c r="D304" s="49" t="str">
        <f>IFERROR(__xludf.DUMMYFUNCTION("""COMPUTED_VALUE"""),"Hand")</f>
        <v>Hand</v>
      </c>
      <c r="E304" s="49">
        <f>IFERROR(__xludf.DUMMYFUNCTION("""COMPUTED_VALUE"""),100.0)</f>
        <v>100</v>
      </c>
      <c r="F304" s="49" t="str">
        <f>IFERROR(__xludf.DUMMYFUNCTION("""COMPUTED_VALUE"""),"DMG: +5000 ++Dashing Arrows - You can use up to 6 arrows when attacking with this bow. ")</f>
        <v>DMG: +5000 ++Dashing Arrows - You can use up to 6 arrows when attacking with this bow. </v>
      </c>
      <c r="G304" s="49">
        <f>IFERROR(__xludf.DUMMYFUNCTION("""COMPUTED_VALUE"""),450000.0)</f>
        <v>450000</v>
      </c>
      <c r="H304" s="49"/>
      <c r="I304" s="49"/>
      <c r="J304" s="49"/>
      <c r="K304" s="49"/>
      <c r="L304" s="49"/>
      <c r="M304" s="49"/>
      <c r="N304" s="49"/>
      <c r="O304" s="49"/>
      <c r="P304" s="49"/>
      <c r="Q304" s="49"/>
      <c r="R304" s="49"/>
      <c r="S304" s="49"/>
      <c r="T304" s="49"/>
      <c r="U304" s="49"/>
      <c r="V304" s="49"/>
      <c r="W304" s="49"/>
      <c r="X304" s="49"/>
      <c r="Y304" s="49"/>
      <c r="Z304" s="49"/>
    </row>
    <row r="305">
      <c r="A305" s="49" t="str">
        <f>IFERROR(__xludf.DUMMYFUNCTION("""COMPUTED_VALUE"""),"The Bow of the Haunted")</f>
        <v>The Bow of the Haunted</v>
      </c>
      <c r="B305" s="49" t="str">
        <f>IFERROR(__xludf.DUMMYFUNCTION("""COMPUTED_VALUE"""),"Halloween exclusive")</f>
        <v>Halloween exclusive</v>
      </c>
      <c r="C305" s="49" t="str">
        <f>IFERROR(__xludf.DUMMYFUNCTION("""COMPUTED_VALUE"""),"Bow")</f>
        <v>Bow</v>
      </c>
      <c r="D305" s="49" t="str">
        <f>IFERROR(__xludf.DUMMYFUNCTION("""COMPUTED_VALUE"""),"Hand")</f>
        <v>Hand</v>
      </c>
      <c r="E305" s="49">
        <f>IFERROR(__xludf.DUMMYFUNCTION("""COMPUTED_VALUE"""),620.0)</f>
        <v>620</v>
      </c>
      <c r="F305" s="49"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49">
        <f>IFERROR(__xludf.DUMMYFUNCTION("""COMPUTED_VALUE"""),1.891E7)</f>
        <v>18910000</v>
      </c>
      <c r="H305" s="49"/>
      <c r="I305" s="49"/>
      <c r="J305" s="49"/>
      <c r="K305" s="49"/>
      <c r="L305" s="49"/>
      <c r="M305" s="49"/>
      <c r="N305" s="49"/>
      <c r="O305" s="49"/>
      <c r="P305" s="49"/>
      <c r="Q305" s="49"/>
      <c r="R305" s="49"/>
      <c r="S305" s="49"/>
      <c r="T305" s="49"/>
      <c r="U305" s="49"/>
      <c r="V305" s="49"/>
      <c r="W305" s="49"/>
      <c r="X305" s="49"/>
      <c r="Y305" s="49"/>
      <c r="Z305" s="49"/>
    </row>
    <row r="306">
      <c r="A306" s="49" t="str">
        <f>IFERROR(__xludf.DUMMYFUNCTION("""COMPUTED_VALUE"""),"The Bow of the Pandarian")</f>
        <v>The Bow of the Pandarian</v>
      </c>
      <c r="B306" s="49"/>
      <c r="C306" s="49" t="str">
        <f>IFERROR(__xludf.DUMMYFUNCTION("""COMPUTED_VALUE"""),"Bow")</f>
        <v>Bow</v>
      </c>
      <c r="D306" s="49" t="str">
        <f>IFERROR(__xludf.DUMMYFUNCTION("""COMPUTED_VALUE"""),"Hand")</f>
        <v>Hand</v>
      </c>
      <c r="E306" s="49">
        <f>IFERROR(__xludf.DUMMYFUNCTION("""COMPUTED_VALUE"""),40.0)</f>
        <v>40</v>
      </c>
      <c r="F306" s="49"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49">
        <f>IFERROR(__xludf.DUMMYFUNCTION("""COMPUTED_VALUE"""),60000.0)</f>
        <v>60000</v>
      </c>
      <c r="H306" s="49"/>
      <c r="I306" s="49"/>
      <c r="J306" s="49"/>
      <c r="K306" s="49"/>
      <c r="L306" s="49"/>
      <c r="M306" s="49"/>
      <c r="N306" s="49"/>
      <c r="O306" s="49"/>
      <c r="P306" s="49"/>
      <c r="Q306" s="49"/>
      <c r="R306" s="49"/>
      <c r="S306" s="49"/>
      <c r="T306" s="49"/>
      <c r="U306" s="49"/>
      <c r="V306" s="49"/>
      <c r="W306" s="49"/>
      <c r="X306" s="49"/>
      <c r="Y306" s="49"/>
      <c r="Z306" s="49"/>
    </row>
    <row r="307">
      <c r="A307" s="49" t="str">
        <f>IFERROR(__xludf.DUMMYFUNCTION("""COMPUTED_VALUE"""),"The Buster")</f>
        <v>The Buster</v>
      </c>
      <c r="B307" s="49"/>
      <c r="C307" s="49" t="str">
        <f>IFERROR(__xludf.DUMMYFUNCTION("""COMPUTED_VALUE"""),"Sword")</f>
        <v>Sword</v>
      </c>
      <c r="D307" s="49" t="str">
        <f>IFERROR(__xludf.DUMMYFUNCTION("""COMPUTED_VALUE"""),"Hand")</f>
        <v>Hand</v>
      </c>
      <c r="E307" s="49">
        <f>IFERROR(__xludf.DUMMYFUNCTION("""COMPUTED_VALUE"""),400.0)</f>
        <v>400</v>
      </c>
      <c r="F307" s="49" t="str">
        <f>IFERROR(__xludf.DUMMYFUNCTION("""COMPUTED_VALUE"""),"DMG: +20000")</f>
        <v>DMG: +20000</v>
      </c>
      <c r="G307" s="49">
        <f>IFERROR(__xludf.DUMMYFUNCTION("""COMPUTED_VALUE"""),7800000.0)</f>
        <v>7800000</v>
      </c>
      <c r="H307" s="49"/>
      <c r="I307" s="49"/>
      <c r="J307" s="49"/>
      <c r="K307" s="49"/>
      <c r="L307" s="49"/>
      <c r="M307" s="49"/>
      <c r="N307" s="49"/>
      <c r="O307" s="49"/>
      <c r="P307" s="49"/>
      <c r="Q307" s="49"/>
      <c r="R307" s="49"/>
      <c r="S307" s="49"/>
      <c r="T307" s="49"/>
      <c r="U307" s="49"/>
      <c r="V307" s="49"/>
      <c r="W307" s="49"/>
      <c r="X307" s="49"/>
      <c r="Y307" s="49"/>
      <c r="Z307" s="49"/>
    </row>
    <row r="308">
      <c r="A308" s="49" t="str">
        <f>IFERROR(__xludf.DUMMYFUNCTION("""COMPUTED_VALUE"""),"The Dawn Splitter")</f>
        <v>The Dawn Splitter</v>
      </c>
      <c r="B308" s="49"/>
      <c r="C308" s="49" t="str">
        <f>IFERROR(__xludf.DUMMYFUNCTION("""COMPUTED_VALUE"""),"Sword")</f>
        <v>Sword</v>
      </c>
      <c r="D308" s="49" t="str">
        <f>IFERROR(__xludf.DUMMYFUNCTION("""COMPUTED_VALUE"""),"Hand")</f>
        <v>Hand</v>
      </c>
      <c r="E308" s="49">
        <f>IFERROR(__xludf.DUMMYFUNCTION("""COMPUTED_VALUE"""),200.0)</f>
        <v>200</v>
      </c>
      <c r="F308" s="49" t="str">
        <f>IFERROR(__xludf.DUMMYFUNCTION("""COMPUTED_VALUE"""),"DMG: +50000, Fire DMG: +50000, Dark DMG: +50000, Celestial DMG: +50000 ++50% Chance to put the target to sleep.")</f>
        <v>DMG: +50000, Fire DMG: +50000, Dark DMG: +50000, Celestial DMG: +50000 ++50% Chance to put the target to sleep.</v>
      </c>
      <c r="G308" s="49">
        <f>IFERROR(__xludf.DUMMYFUNCTION("""COMPUTED_VALUE"""),7.98E8)</f>
        <v>798000000</v>
      </c>
      <c r="H308" s="49"/>
      <c r="I308" s="49"/>
      <c r="J308" s="49"/>
      <c r="K308" s="49"/>
      <c r="L308" s="49"/>
      <c r="M308" s="49"/>
      <c r="N308" s="49"/>
      <c r="O308" s="49"/>
      <c r="P308" s="49"/>
      <c r="Q308" s="49"/>
      <c r="R308" s="49"/>
      <c r="S308" s="49"/>
      <c r="T308" s="49"/>
      <c r="U308" s="49"/>
      <c r="V308" s="49"/>
      <c r="W308" s="49"/>
      <c r="X308" s="49"/>
      <c r="Y308" s="49"/>
      <c r="Z308" s="49"/>
    </row>
    <row r="309">
      <c r="A309" s="49" t="str">
        <f>IFERROR(__xludf.DUMMYFUNCTION("""COMPUTED_VALUE"""),"The Dragon King's Crown")</f>
        <v>The Dragon King's Crown</v>
      </c>
      <c r="B309" s="49"/>
      <c r="C309" s="49"/>
      <c r="D309" s="49" t="str">
        <f>IFERROR(__xludf.DUMMYFUNCTION("""COMPUTED_VALUE"""),"Head")</f>
        <v>Head</v>
      </c>
      <c r="E309" s="49">
        <f>IFERROR(__xludf.DUMMYFUNCTION("""COMPUTED_VALUE"""),400.0)</f>
        <v>400</v>
      </c>
      <c r="F309" s="49" t="str">
        <f>IFERROR(__xludf.DUMMYFUNCTION("""COMPUTED_VALUE"""),"DEF: +20000 ++Immunity to damage from Natural Attacks...")</f>
        <v>DEF: +20000 ++Immunity to damage from Natural Attacks...</v>
      </c>
      <c r="G309" s="49">
        <f>IFERROR(__xludf.DUMMYFUNCTION("""COMPUTED_VALUE"""),7800000.0)</f>
        <v>7800000</v>
      </c>
      <c r="H309" s="49"/>
      <c r="I309" s="49"/>
      <c r="J309" s="49"/>
      <c r="K309" s="49"/>
      <c r="L309" s="49"/>
      <c r="M309" s="49"/>
      <c r="N309" s="49"/>
      <c r="O309" s="49"/>
      <c r="P309" s="49"/>
      <c r="Q309" s="49"/>
      <c r="R309" s="49"/>
      <c r="S309" s="49"/>
      <c r="T309" s="49"/>
      <c r="U309" s="49"/>
      <c r="V309" s="49"/>
      <c r="W309" s="49"/>
      <c r="X309" s="49"/>
      <c r="Y309" s="49"/>
      <c r="Z309" s="49"/>
    </row>
    <row r="310">
      <c r="A310" s="49" t="str">
        <f>IFERROR(__xludf.DUMMYFUNCTION("""COMPUTED_VALUE"""),"The Guardian Of Death's Sword")</f>
        <v>The Guardian Of Death's Sword</v>
      </c>
      <c r="B310" s="49"/>
      <c r="C310" s="49" t="str">
        <f>IFERROR(__xludf.DUMMYFUNCTION("""COMPUTED_VALUE"""),"Sword")</f>
        <v>Sword</v>
      </c>
      <c r="D310" s="49" t="str">
        <f>IFERROR(__xludf.DUMMYFUNCTION("""COMPUTED_VALUE"""),"Hand")</f>
        <v>Hand</v>
      </c>
      <c r="E310" s="49">
        <f>IFERROR(__xludf.DUMMYFUNCTION("""COMPUTED_VALUE"""),600.0)</f>
        <v>600</v>
      </c>
      <c r="F310" s="49" t="str">
        <f>IFERROR(__xludf.DUMMYFUNCTION("""COMPUTED_VALUE"""),"DMG: +15000, Dark DMG: +5000, Spirit DMG: +5000, Chaos DMG: +5000")</f>
        <v>DMG: +15000, Dark DMG: +5000, Spirit DMG: +5000, Chaos DMG: +5000</v>
      </c>
      <c r="G310" s="49">
        <f>IFERROR(__xludf.DUMMYFUNCTION("""COMPUTED_VALUE"""),1.77E7)</f>
        <v>17700000</v>
      </c>
      <c r="H310" s="49"/>
      <c r="I310" s="49"/>
      <c r="J310" s="49"/>
      <c r="K310" s="49"/>
      <c r="L310" s="49"/>
      <c r="M310" s="49"/>
      <c r="N310" s="49"/>
      <c r="O310" s="49"/>
      <c r="P310" s="49"/>
      <c r="Q310" s="49"/>
      <c r="R310" s="49"/>
      <c r="S310" s="49"/>
      <c r="T310" s="49"/>
      <c r="U310" s="49"/>
      <c r="V310" s="49"/>
      <c r="W310" s="49"/>
      <c r="X310" s="49"/>
      <c r="Y310" s="49"/>
      <c r="Z310" s="49"/>
    </row>
    <row r="311">
      <c r="A311" s="49" t="str">
        <f>IFERROR(__xludf.DUMMYFUNCTION("""COMPUTED_VALUE"""),"The Helm of Foul Night")</f>
        <v>The Helm of Foul Night</v>
      </c>
      <c r="B311" s="49"/>
      <c r="C311" s="49"/>
      <c r="D311" s="49" t="str">
        <f>IFERROR(__xludf.DUMMYFUNCTION("""COMPUTED_VALUE"""),"Head")</f>
        <v>Head</v>
      </c>
      <c r="E311" s="49">
        <f>IFERROR(__xludf.DUMMYFUNCTION("""COMPUTED_VALUE"""),200.0)</f>
        <v>200</v>
      </c>
      <c r="F311" s="49" t="str">
        <f>IFERROR(__xludf.DUMMYFUNCTION("""COMPUTED_VALUE"""),"DEF: +5000, Nature DEF: +5000 (Foul Night Set) ++X2 Nature and Poison damage. ++Poison Immunity. ")</f>
        <v>DEF: +5000, Nature DEF: +5000 (Foul Night Set) ++X2 Nature and Poison damage. ++Poison Immunity. </v>
      </c>
      <c r="G311" s="49">
        <f>IFERROR(__xludf.DUMMYFUNCTION("""COMPUTED_VALUE"""),1900000.0)</f>
        <v>1900000</v>
      </c>
      <c r="H311" s="49"/>
      <c r="I311" s="49"/>
      <c r="J311" s="49"/>
      <c r="K311" s="49"/>
      <c r="L311" s="49"/>
      <c r="M311" s="49"/>
      <c r="N311" s="49"/>
      <c r="O311" s="49"/>
      <c r="P311" s="49"/>
      <c r="Q311" s="49"/>
      <c r="R311" s="49"/>
      <c r="S311" s="49"/>
      <c r="T311" s="49"/>
      <c r="U311" s="49"/>
      <c r="V311" s="49"/>
      <c r="W311" s="49"/>
      <c r="X311" s="49"/>
      <c r="Y311" s="49"/>
      <c r="Z311" s="49"/>
    </row>
    <row r="312">
      <c r="A312" s="49" t="str">
        <f>IFERROR(__xludf.DUMMYFUNCTION("""COMPUTED_VALUE"""),"The Invisible Spear")</f>
        <v>The Invisible Spear</v>
      </c>
      <c r="B312" s="49"/>
      <c r="C312" s="49" t="str">
        <f>IFERROR(__xludf.DUMMYFUNCTION("""COMPUTED_VALUE"""),"Spear")</f>
        <v>Spear</v>
      </c>
      <c r="D312" s="49" t="str">
        <f>IFERROR(__xludf.DUMMYFUNCTION("""COMPUTED_VALUE"""),"Hand")</f>
        <v>Hand</v>
      </c>
      <c r="E312" s="49">
        <f>IFERROR(__xludf.DUMMYFUNCTION("""COMPUTED_VALUE"""),1.0)</f>
        <v>1</v>
      </c>
      <c r="F312" s="49" t="str">
        <f>IFERROR(__xludf.DUMMYFUNCTION("""COMPUTED_VALUE"""),"DMG: +200 ++ignores evasion")</f>
        <v>DMG: +200 ++ignores evasion</v>
      </c>
      <c r="G312" s="49">
        <f>IFERROR(__xludf.DUMMYFUNCTION("""COMPUTED_VALUE"""),0.0)</f>
        <v>0</v>
      </c>
      <c r="H312" s="49"/>
      <c r="I312" s="49"/>
      <c r="J312" s="49"/>
      <c r="K312" s="49"/>
      <c r="L312" s="49"/>
      <c r="M312" s="49"/>
      <c r="N312" s="49"/>
      <c r="O312" s="49"/>
      <c r="P312" s="49"/>
      <c r="Q312" s="49"/>
      <c r="R312" s="49"/>
      <c r="S312" s="49"/>
      <c r="T312" s="49"/>
      <c r="U312" s="49"/>
      <c r="V312" s="49"/>
      <c r="W312" s="49"/>
      <c r="X312" s="49"/>
      <c r="Y312" s="49"/>
      <c r="Z312" s="49"/>
    </row>
    <row r="313">
      <c r="A313" s="49" t="str">
        <f>IFERROR(__xludf.DUMMYFUNCTION("""COMPUTED_VALUE"""),"The Mysterious Mirror")</f>
        <v>The Mysterious Mirror</v>
      </c>
      <c r="B313" s="49"/>
      <c r="C313" s="49" t="str">
        <f>IFERROR(__xludf.DUMMYFUNCTION("""COMPUTED_VALUE"""),"Towershield")</f>
        <v>Towershield</v>
      </c>
      <c r="D313" s="49" t="str">
        <f>IFERROR(__xludf.DUMMYFUNCTION("""COMPUTED_VALUE"""),"Hand")</f>
        <v>Hand</v>
      </c>
      <c r="E313" s="49">
        <f>IFERROR(__xludf.DUMMYFUNCTION("""COMPUTED_VALUE"""),1.0)</f>
        <v>1</v>
      </c>
      <c r="F313" s="49"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49">
        <f>IFERROR(__xludf.DUMMYFUNCTION("""COMPUTED_VALUE"""),0.0)</f>
        <v>0</v>
      </c>
      <c r="H313" s="49"/>
      <c r="I313" s="49"/>
      <c r="J313" s="49"/>
      <c r="K313" s="49"/>
      <c r="L313" s="49"/>
      <c r="M313" s="49"/>
      <c r="N313" s="49"/>
      <c r="O313" s="49"/>
      <c r="P313" s="49"/>
      <c r="Q313" s="49"/>
      <c r="R313" s="49"/>
      <c r="S313" s="49"/>
      <c r="T313" s="49"/>
      <c r="U313" s="49"/>
      <c r="V313" s="49"/>
      <c r="W313" s="49"/>
      <c r="X313" s="49"/>
      <c r="Y313" s="49"/>
      <c r="Z313" s="49"/>
    </row>
    <row r="314">
      <c r="A314" s="49" t="str">
        <f>IFERROR(__xludf.DUMMYFUNCTION("""COMPUTED_VALUE"""),"The Puppet Masters Amulet")</f>
        <v>The Puppet Masters Amulet</v>
      </c>
      <c r="B314" s="49"/>
      <c r="C314" s="49"/>
      <c r="D314" s="49" t="str">
        <f>IFERROR(__xludf.DUMMYFUNCTION("""COMPUTED_VALUE"""),"Neck")</f>
        <v>Neck</v>
      </c>
      <c r="E314" s="49">
        <f>IFERROR(__xludf.DUMMYFUNCTION("""COMPUTED_VALUE"""),1.0)</f>
        <v>1</v>
      </c>
      <c r="F314" s="49" t="str">
        <f>IFERROR(__xludf.DUMMYFUNCTION("""COMPUTED_VALUE""")," ++Immune to possession.  +-Cannot be duplicated.")</f>
        <v> ++Immune to possession.  +-Cannot be duplicated.</v>
      </c>
      <c r="G314" s="49">
        <f>IFERROR(__xludf.DUMMYFUNCTION("""COMPUTED_VALUE"""),0.0)</f>
        <v>0</v>
      </c>
      <c r="H314" s="49"/>
      <c r="I314" s="49"/>
      <c r="J314" s="49"/>
      <c r="K314" s="49"/>
      <c r="L314" s="49"/>
      <c r="M314" s="49"/>
      <c r="N314" s="49"/>
      <c r="O314" s="49"/>
      <c r="P314" s="49"/>
      <c r="Q314" s="49"/>
      <c r="R314" s="49"/>
      <c r="S314" s="49"/>
      <c r="T314" s="49"/>
      <c r="U314" s="49"/>
      <c r="V314" s="49"/>
      <c r="W314" s="49"/>
      <c r="X314" s="49"/>
      <c r="Y314" s="49"/>
      <c r="Z314" s="49"/>
    </row>
    <row r="315">
      <c r="A315" s="49" t="str">
        <f>IFERROR(__xludf.DUMMYFUNCTION("""COMPUTED_VALUE"""),"The Puppet Masters Cloak")</f>
        <v>The Puppet Masters Cloak</v>
      </c>
      <c r="B315" s="49"/>
      <c r="C315" s="49"/>
      <c r="D315" s="49" t="str">
        <f>IFERROR(__xludf.DUMMYFUNCTION("""COMPUTED_VALUE"""),"Torso")</f>
        <v>Torso</v>
      </c>
      <c r="E315" s="49">
        <f>IFERROR(__xludf.DUMMYFUNCTION("""COMPUTED_VALUE"""),1.0)</f>
        <v>1</v>
      </c>
      <c r="F315" s="49" t="str">
        <f>IFERROR(__xludf.DUMMYFUNCTION("""COMPUTED_VALUE""")," ++User and allies gain immunity to chaos and dark damage while in the party. +-Cannot be duplicated")</f>
        <v> ++User and allies gain immunity to chaos and dark damage while in the party. +-Cannot be duplicated</v>
      </c>
      <c r="G315" s="49">
        <f>IFERROR(__xludf.DUMMYFUNCTION("""COMPUTED_VALUE"""),0.0)</f>
        <v>0</v>
      </c>
      <c r="H315" s="49"/>
      <c r="I315" s="49"/>
      <c r="J315" s="49"/>
      <c r="K315" s="49"/>
      <c r="L315" s="49"/>
      <c r="M315" s="49"/>
      <c r="N315" s="49"/>
      <c r="O315" s="49"/>
      <c r="P315" s="49"/>
      <c r="Q315" s="49"/>
      <c r="R315" s="49"/>
      <c r="S315" s="49"/>
      <c r="T315" s="49"/>
      <c r="U315" s="49"/>
      <c r="V315" s="49"/>
      <c r="W315" s="49"/>
      <c r="X315" s="49"/>
      <c r="Y315" s="49"/>
      <c r="Z315" s="49"/>
    </row>
    <row r="316">
      <c r="A316" s="49" t="str">
        <f>IFERROR(__xludf.DUMMYFUNCTION("""COMPUTED_VALUE"""),"The Puppet Masters Ring")</f>
        <v>The Puppet Masters Ring</v>
      </c>
      <c r="B316" s="49"/>
      <c r="C316" s="49"/>
      <c r="D316" s="49" t="str">
        <f>IFERROR(__xludf.DUMMYFUNCTION("""COMPUTED_VALUE"""),"Ring")</f>
        <v>Ring</v>
      </c>
      <c r="E316" s="49">
        <f>IFERROR(__xludf.DUMMYFUNCTION("""COMPUTED_VALUE"""),1.0)</f>
        <v>1</v>
      </c>
      <c r="F316" s="49"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49">
        <f>IFERROR(__xludf.DUMMYFUNCTION("""COMPUTED_VALUE"""),0.0)</f>
        <v>0</v>
      </c>
      <c r="H316" s="49"/>
      <c r="I316" s="49"/>
      <c r="J316" s="49"/>
      <c r="K316" s="49"/>
      <c r="L316" s="49"/>
      <c r="M316" s="49"/>
      <c r="N316" s="49"/>
      <c r="O316" s="49"/>
      <c r="P316" s="49"/>
      <c r="Q316" s="49"/>
      <c r="R316" s="49"/>
      <c r="S316" s="49"/>
      <c r="T316" s="49"/>
      <c r="U316" s="49"/>
      <c r="V316" s="49"/>
      <c r="W316" s="49"/>
      <c r="X316" s="49"/>
      <c r="Y316" s="49"/>
      <c r="Z316" s="49"/>
    </row>
    <row r="317">
      <c r="A317" s="49" t="str">
        <f>IFERROR(__xludf.DUMMYFUNCTION("""COMPUTED_VALUE"""),"The Red Sword")</f>
        <v>The Red Sword</v>
      </c>
      <c r="B317" s="49" t="str">
        <f>IFERROR(__xludf.DUMMYFUNCTION("""COMPUTED_VALUE"""),"A Sword that was made of Vampire’s Blood")</f>
        <v>A Sword that was made of Vampire’s Blood</v>
      </c>
      <c r="C317" s="49" t="str">
        <f>IFERROR(__xludf.DUMMYFUNCTION("""COMPUTED_VALUE"""),"Sword")</f>
        <v>Sword</v>
      </c>
      <c r="D317" s="49" t="str">
        <f>IFERROR(__xludf.DUMMYFUNCTION("""COMPUTED_VALUE"""),"Hand")</f>
        <v>Hand</v>
      </c>
      <c r="E317" s="49">
        <f>IFERROR(__xludf.DUMMYFUNCTION("""COMPUTED_VALUE"""),1.0)</f>
        <v>1</v>
      </c>
      <c r="F317" s="49" t="str">
        <f>IFERROR(__xludf.DUMMYFUNCTION("""COMPUTED_VALUE"""),"DMG: +300")</f>
        <v>DMG: +300</v>
      </c>
      <c r="G317" s="49">
        <f>IFERROR(__xludf.DUMMYFUNCTION("""COMPUTED_VALUE"""),0.0)</f>
        <v>0</v>
      </c>
      <c r="H317" s="49"/>
      <c r="I317" s="49"/>
      <c r="J317" s="49"/>
      <c r="K317" s="49"/>
      <c r="L317" s="49"/>
      <c r="M317" s="49"/>
      <c r="N317" s="49"/>
      <c r="O317" s="49"/>
      <c r="P317" s="49"/>
      <c r="Q317" s="49"/>
      <c r="R317" s="49"/>
      <c r="S317" s="49"/>
      <c r="T317" s="49"/>
      <c r="U317" s="49"/>
      <c r="V317" s="49"/>
      <c r="W317" s="49"/>
      <c r="X317" s="49"/>
      <c r="Y317" s="49"/>
      <c r="Z317" s="49"/>
    </row>
    <row r="318">
      <c r="A318" s="49" t="str">
        <f>IFERROR(__xludf.DUMMYFUNCTION("""COMPUTED_VALUE"""),"The Servants Sword")</f>
        <v>The Servants Sword</v>
      </c>
      <c r="B318" s="49"/>
      <c r="C318" s="49" t="str">
        <f>IFERROR(__xludf.DUMMYFUNCTION("""COMPUTED_VALUE"""),"Sword")</f>
        <v>Sword</v>
      </c>
      <c r="D318" s="49" t="str">
        <f>IFERROR(__xludf.DUMMYFUNCTION("""COMPUTED_VALUE"""),"Hand")</f>
        <v>Hand</v>
      </c>
      <c r="E318" s="49">
        <f>IFERROR(__xludf.DUMMYFUNCTION("""COMPUTED_VALUE"""),600.0)</f>
        <v>600</v>
      </c>
      <c r="F318" s="49" t="str">
        <f>IFERROR(__xludf.DUMMYFUNCTION("""COMPUTED_VALUE"""),"DMG: +20000, Chaos DMG: +10000")</f>
        <v>DMG: +20000, Chaos DMG: +10000</v>
      </c>
      <c r="G318" s="49">
        <f>IFERROR(__xludf.DUMMYFUNCTION("""COMPUTED_VALUE"""),1.77E7)</f>
        <v>17700000</v>
      </c>
      <c r="H318" s="49"/>
      <c r="I318" s="49"/>
      <c r="J318" s="49"/>
      <c r="K318" s="49"/>
      <c r="L318" s="49"/>
      <c r="M318" s="49"/>
      <c r="N318" s="49"/>
      <c r="O318" s="49"/>
      <c r="P318" s="49"/>
      <c r="Q318" s="49"/>
      <c r="R318" s="49"/>
      <c r="S318" s="49"/>
      <c r="T318" s="49"/>
      <c r="U318" s="49"/>
      <c r="V318" s="49"/>
      <c r="W318" s="49"/>
      <c r="X318" s="49"/>
      <c r="Y318" s="49"/>
      <c r="Z318" s="49"/>
    </row>
    <row r="319">
      <c r="A319" s="49" t="str">
        <f>IFERROR(__xludf.DUMMYFUNCTION("""COMPUTED_VALUE"""),"The Shield of Foul Night")</f>
        <v>The Shield of Foul Night</v>
      </c>
      <c r="B319" s="49"/>
      <c r="C319" s="49" t="str">
        <f>IFERROR(__xludf.DUMMYFUNCTION("""COMPUTED_VALUE"""),"Buckler")</f>
        <v>Buckler</v>
      </c>
      <c r="D319" s="49" t="str">
        <f>IFERROR(__xludf.DUMMYFUNCTION("""COMPUTED_VALUE"""),"Hand")</f>
        <v>Hand</v>
      </c>
      <c r="E319" s="49">
        <f>IFERROR(__xludf.DUMMYFUNCTION("""COMPUTED_VALUE"""),200.0)</f>
        <v>200</v>
      </c>
      <c r="F319" s="49" t="str">
        <f>IFERROR(__xludf.DUMMYFUNCTION("""COMPUTED_VALUE"""),"DEF: +5000, Nature DEF: +5000 (Foul Night Set) ++Nature Immunity, Poison Immunity")</f>
        <v>DEF: +5000, Nature DEF: +5000 (Foul Night Set) ++Nature Immunity, Poison Immunity</v>
      </c>
      <c r="G319" s="49">
        <f>IFERROR(__xludf.DUMMYFUNCTION("""COMPUTED_VALUE"""),1900000.0)</f>
        <v>1900000</v>
      </c>
      <c r="H319" s="49"/>
      <c r="I319" s="49"/>
      <c r="J319" s="49"/>
      <c r="K319" s="49"/>
      <c r="L319" s="49"/>
      <c r="M319" s="49"/>
      <c r="N319" s="49"/>
      <c r="O319" s="49"/>
      <c r="P319" s="49"/>
      <c r="Q319" s="49"/>
      <c r="R319" s="49"/>
      <c r="S319" s="49"/>
      <c r="T319" s="49"/>
      <c r="U319" s="49"/>
      <c r="V319" s="49"/>
      <c r="W319" s="49"/>
      <c r="X319" s="49"/>
      <c r="Y319" s="49"/>
      <c r="Z319" s="49"/>
    </row>
    <row r="320">
      <c r="A320" s="49" t="str">
        <f>IFERROR(__xludf.DUMMYFUNCTION("""COMPUTED_VALUE"""),"The Staff of  Haunted Bones")</f>
        <v>The Staff of  Haunted Bones</v>
      </c>
      <c r="B320" s="49" t="str">
        <f>IFERROR(__xludf.DUMMYFUNCTION("""COMPUTED_VALUE"""),"Halloween exclusive")</f>
        <v>Halloween exclusive</v>
      </c>
      <c r="C320" s="49" t="str">
        <f>IFERROR(__xludf.DUMMYFUNCTION("""COMPUTED_VALUE"""),"Staff")</f>
        <v>Staff</v>
      </c>
      <c r="D320" s="49" t="str">
        <f>IFERROR(__xludf.DUMMYFUNCTION("""COMPUTED_VALUE"""),"Hand")</f>
        <v>Hand</v>
      </c>
      <c r="E320" s="49">
        <f>IFERROR(__xludf.DUMMYFUNCTION("""COMPUTED_VALUE"""),1.0)</f>
        <v>1</v>
      </c>
      <c r="F320" s="49" t="str">
        <f>IFERROR(__xludf.DUMMYFUNCTION("""COMPUTED_VALUE""")," X2 additional Dark, Chaos, and Spirit damage.")</f>
        <v> X2 additional Dark, Chaos, and Spirit damage.</v>
      </c>
      <c r="G320" s="49">
        <f>IFERROR(__xludf.DUMMYFUNCTION("""COMPUTED_VALUE"""),0.0)</f>
        <v>0</v>
      </c>
      <c r="H320" s="49"/>
      <c r="I320" s="49"/>
      <c r="J320" s="49"/>
      <c r="K320" s="49"/>
      <c r="L320" s="49"/>
      <c r="M320" s="49"/>
      <c r="N320" s="49"/>
      <c r="O320" s="49"/>
      <c r="P320" s="49"/>
      <c r="Q320" s="49"/>
      <c r="R320" s="49"/>
      <c r="S320" s="49"/>
      <c r="T320" s="49"/>
      <c r="U320" s="49"/>
      <c r="V320" s="49"/>
      <c r="W320" s="49"/>
      <c r="X320" s="49"/>
      <c r="Y320" s="49"/>
      <c r="Z320" s="49"/>
    </row>
    <row r="321">
      <c r="A321" s="49" t="str">
        <f>IFERROR(__xludf.DUMMYFUNCTION("""COMPUTED_VALUE"""),"The Staff of the Aquas")</f>
        <v>The Staff of the Aquas</v>
      </c>
      <c r="B321" s="49"/>
      <c r="C321" s="49" t="str">
        <f>IFERROR(__xludf.DUMMYFUNCTION("""COMPUTED_VALUE"""),"Staff")</f>
        <v>Staff</v>
      </c>
      <c r="D321" s="49" t="str">
        <f>IFERROR(__xludf.DUMMYFUNCTION("""COMPUTED_VALUE"""),"Hand")</f>
        <v>Hand</v>
      </c>
      <c r="E321" s="49">
        <f>IFERROR(__xludf.DUMMYFUNCTION("""COMPUTED_VALUE"""),1.0)</f>
        <v>1</v>
      </c>
      <c r="F321" s="49" t="str">
        <f>IFERROR(__xludf.DUMMYFUNCTION("""COMPUTED_VALUE""")," ++All Water Spells Deal x3 damage and cost half sp to use.")</f>
        <v> ++All Water Spells Deal x3 damage and cost half sp to use.</v>
      </c>
      <c r="G321" s="49">
        <f>IFERROR(__xludf.DUMMYFUNCTION("""COMPUTED_VALUE"""),0.0)</f>
        <v>0</v>
      </c>
      <c r="H321" s="49"/>
      <c r="I321" s="49"/>
      <c r="J321" s="49"/>
      <c r="K321" s="49"/>
      <c r="L321" s="49"/>
      <c r="M321" s="49"/>
      <c r="N321" s="49"/>
      <c r="O321" s="49"/>
      <c r="P321" s="49"/>
      <c r="Q321" s="49"/>
      <c r="R321" s="49"/>
      <c r="S321" s="49"/>
      <c r="T321" s="49"/>
      <c r="U321" s="49"/>
      <c r="V321" s="49"/>
      <c r="W321" s="49"/>
      <c r="X321" s="49"/>
      <c r="Y321" s="49"/>
      <c r="Z321" s="49"/>
    </row>
    <row r="322">
      <c r="A322" s="49" t="str">
        <f>IFERROR(__xludf.DUMMYFUNCTION("""COMPUTED_VALUE"""),"The Staff of The Pumpkin’s Curse")</f>
        <v>The Staff of The Pumpkin’s Curse</v>
      </c>
      <c r="B322" s="49"/>
      <c r="C322" s="49" t="str">
        <f>IFERROR(__xludf.DUMMYFUNCTION("""COMPUTED_VALUE"""),"Staff")</f>
        <v>Staff</v>
      </c>
      <c r="D322" s="49" t="str">
        <f>IFERROR(__xludf.DUMMYFUNCTION("""COMPUTED_VALUE"""),"Hand")</f>
        <v>Hand</v>
      </c>
      <c r="E322" s="49">
        <f>IFERROR(__xludf.DUMMYFUNCTION("""COMPUTED_VALUE"""),1.0)</f>
        <v>1</v>
      </c>
      <c r="F322" s="49" t="str">
        <f>IFERROR(__xludf.DUMMYFUNCTION("""COMPUTED_VALUE""")," ++ Select a target, Any Fire Nature and Dark damage the target deals halved, Fail/Succeed.")</f>
        <v> ++ Select a target, Any Fire Nature and Dark damage the target deals halved, Fail/Succeed.</v>
      </c>
      <c r="G322" s="49">
        <f>IFERROR(__xludf.DUMMYFUNCTION("""COMPUTED_VALUE"""),0.0)</f>
        <v>0</v>
      </c>
      <c r="H322" s="49"/>
      <c r="I322" s="49"/>
      <c r="J322" s="49"/>
      <c r="K322" s="49"/>
      <c r="L322" s="49"/>
      <c r="M322" s="49"/>
      <c r="N322" s="49"/>
      <c r="O322" s="49"/>
      <c r="P322" s="49"/>
      <c r="Q322" s="49"/>
      <c r="R322" s="49"/>
      <c r="S322" s="49"/>
      <c r="T322" s="49"/>
      <c r="U322" s="49"/>
      <c r="V322" s="49"/>
      <c r="W322" s="49"/>
      <c r="X322" s="49"/>
      <c r="Y322" s="49"/>
      <c r="Z322" s="49"/>
    </row>
    <row r="323">
      <c r="A323" s="49" t="str">
        <f>IFERROR(__xludf.DUMMYFUNCTION("""COMPUTED_VALUE"""),"The Stick of the Panda")</f>
        <v>The Stick of the Panda</v>
      </c>
      <c r="B323" s="49"/>
      <c r="C323" s="49" t="str">
        <f>IFERROR(__xludf.DUMMYFUNCTION("""COMPUTED_VALUE"""),"Club")</f>
        <v>Club</v>
      </c>
      <c r="D323" s="49" t="str">
        <f>IFERROR(__xludf.DUMMYFUNCTION("""COMPUTED_VALUE"""),"Hand")</f>
        <v>Hand</v>
      </c>
      <c r="E323" s="49">
        <f>IFERROR(__xludf.DUMMYFUNCTION("""COMPUTED_VALUE"""),400.0)</f>
        <v>400</v>
      </c>
      <c r="F323" s="49"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49">
        <f>IFERROR(__xludf.DUMMYFUNCTION("""COMPUTED_VALUE"""),7800000.0)</f>
        <v>7800000</v>
      </c>
      <c r="H323" s="49"/>
      <c r="I323" s="49"/>
      <c r="J323" s="49"/>
      <c r="K323" s="49"/>
      <c r="L323" s="49"/>
      <c r="M323" s="49"/>
      <c r="N323" s="49"/>
      <c r="O323" s="49"/>
      <c r="P323" s="49"/>
      <c r="Q323" s="49"/>
      <c r="R323" s="49"/>
      <c r="S323" s="49"/>
      <c r="T323" s="49"/>
      <c r="U323" s="49"/>
      <c r="V323" s="49"/>
      <c r="W323" s="49"/>
      <c r="X323" s="49"/>
      <c r="Y323" s="49"/>
      <c r="Z323" s="49"/>
    </row>
    <row r="324">
      <c r="A324" s="49" t="str">
        <f>IFERROR(__xludf.DUMMYFUNCTION("""COMPUTED_VALUE"""),"The Sword Of Death")</f>
        <v>The Sword Of Death</v>
      </c>
      <c r="B324" s="49"/>
      <c r="C324" s="49" t="str">
        <f>IFERROR(__xludf.DUMMYFUNCTION("""COMPUTED_VALUE"""),"Sword")</f>
        <v>Sword</v>
      </c>
      <c r="D324" s="49" t="str">
        <f>IFERROR(__xludf.DUMMYFUNCTION("""COMPUTED_VALUE"""),"Hand")</f>
        <v>Hand</v>
      </c>
      <c r="E324" s="49">
        <f>IFERROR(__xludf.DUMMYFUNCTION("""COMPUTED_VALUE"""),1.0)</f>
        <v>1</v>
      </c>
      <c r="F324" s="49" t="str">
        <f>IFERROR(__xludf.DUMMYFUNCTION("""COMPUTED_VALUE"""),"DMG: +250")</f>
        <v>DMG: +250</v>
      </c>
      <c r="G324" s="49">
        <f>IFERROR(__xludf.DUMMYFUNCTION("""COMPUTED_VALUE"""),0.0)</f>
        <v>0</v>
      </c>
      <c r="H324" s="49"/>
      <c r="I324" s="49"/>
      <c r="J324" s="49"/>
      <c r="K324" s="49"/>
      <c r="L324" s="49"/>
      <c r="M324" s="49"/>
      <c r="N324" s="49"/>
      <c r="O324" s="49"/>
      <c r="P324" s="49"/>
      <c r="Q324" s="49"/>
      <c r="R324" s="49"/>
      <c r="S324" s="49"/>
      <c r="T324" s="49"/>
      <c r="U324" s="49"/>
      <c r="V324" s="49"/>
      <c r="W324" s="49"/>
      <c r="X324" s="49"/>
      <c r="Y324" s="49"/>
      <c r="Z324" s="49"/>
    </row>
    <row r="325">
      <c r="A325" s="49" t="str">
        <f>IFERROR(__xludf.DUMMYFUNCTION("""COMPUTED_VALUE"""),"The Sword Of Easter's Gathering (Exclusive)")</f>
        <v>The Sword Of Easter's Gathering (Exclusive)</v>
      </c>
      <c r="B325" s="49"/>
      <c r="C325" s="49" t="str">
        <f>IFERROR(__xludf.DUMMYFUNCTION("""COMPUTED_VALUE"""),"Sword")</f>
        <v>Sword</v>
      </c>
      <c r="D325" s="49" t="str">
        <f>IFERROR(__xludf.DUMMYFUNCTION("""COMPUTED_VALUE"""),"Hand")</f>
        <v>Hand</v>
      </c>
      <c r="E325" s="49">
        <f>IFERROR(__xludf.DUMMYFUNCTION("""COMPUTED_VALUE"""),200.0)</f>
        <v>200</v>
      </c>
      <c r="F325" s="49"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49">
        <f>IFERROR(__xludf.DUMMYFUNCTION("""COMPUTED_VALUE"""),7800000.0)</f>
        <v>7800000</v>
      </c>
      <c r="H325" s="49"/>
      <c r="I325" s="49"/>
      <c r="J325" s="49"/>
      <c r="K325" s="49"/>
      <c r="L325" s="49"/>
      <c r="M325" s="49"/>
      <c r="N325" s="49"/>
      <c r="O325" s="49"/>
      <c r="P325" s="49"/>
      <c r="Q325" s="49"/>
      <c r="R325" s="49"/>
      <c r="S325" s="49"/>
      <c r="T325" s="49"/>
      <c r="U325" s="49"/>
      <c r="V325" s="49"/>
      <c r="W325" s="49"/>
      <c r="X325" s="49"/>
      <c r="Y325" s="49"/>
      <c r="Z325" s="49"/>
    </row>
    <row r="326">
      <c r="A326" s="49" t="str">
        <f>IFERROR(__xludf.DUMMYFUNCTION("""COMPUTED_VALUE"""),"The Sword of Manannán (Exclusive)")</f>
        <v>The Sword of Manannán (Exclusive)</v>
      </c>
      <c r="B326" s="49" t="str">
        <f>IFERROR(__xludf.DUMMYFUNCTION("""COMPUTED_VALUE"""),"Lugh's Sword he wielded in battle")</f>
        <v>Lugh's Sword he wielded in battle</v>
      </c>
      <c r="C326" s="49" t="str">
        <f>IFERROR(__xludf.DUMMYFUNCTION("""COMPUTED_VALUE"""),"Sword")</f>
        <v>Sword</v>
      </c>
      <c r="D326" s="49" t="str">
        <f>IFERROR(__xludf.DUMMYFUNCTION("""COMPUTED_VALUE"""),"Hand")</f>
        <v>Hand</v>
      </c>
      <c r="E326" s="49">
        <f>IFERROR(__xludf.DUMMYFUNCTION("""COMPUTED_VALUE"""),200.0)</f>
        <v>200</v>
      </c>
      <c r="F326" s="49" t="str">
        <f>IFERROR(__xludf.DUMMYFUNCTION("""COMPUTED_VALUE"""),"DMG: +75000, Celestial DMG: +75000 ++Intimidation and Charisma stat is double while equipped")</f>
        <v>DMG: +75000, Celestial DMG: +75000 ++Intimidation and Charisma stat is double while equipped</v>
      </c>
      <c r="G326" s="49">
        <f>IFERROR(__xludf.DUMMYFUNCTION("""COMPUTED_VALUE"""),4.485E8)</f>
        <v>448500000</v>
      </c>
      <c r="H326" s="49"/>
      <c r="I326" s="49"/>
      <c r="J326" s="49"/>
      <c r="K326" s="49"/>
      <c r="L326" s="49"/>
      <c r="M326" s="49"/>
      <c r="N326" s="49"/>
      <c r="O326" s="49"/>
      <c r="P326" s="49"/>
      <c r="Q326" s="49"/>
      <c r="R326" s="49"/>
      <c r="S326" s="49"/>
      <c r="T326" s="49"/>
      <c r="U326" s="49"/>
      <c r="V326" s="49"/>
      <c r="W326" s="49"/>
      <c r="X326" s="49"/>
      <c r="Y326" s="49"/>
      <c r="Z326" s="49"/>
    </row>
    <row r="327">
      <c r="A327" s="49" t="str">
        <f>IFERROR(__xludf.DUMMYFUNCTION("""COMPUTED_VALUE"""),"The Waking Ash of the Serpent’s Pendent")</f>
        <v>The Waking Ash of the Serpent’s Pendent</v>
      </c>
      <c r="B327" s="49"/>
      <c r="C327" s="49"/>
      <c r="D327" s="49" t="str">
        <f>IFERROR(__xludf.DUMMYFUNCTION("""COMPUTED_VALUE"""),"Neck")</f>
        <v>Neck</v>
      </c>
      <c r="E327" s="49">
        <f>IFERROR(__xludf.DUMMYFUNCTION("""COMPUTED_VALUE"""),1.0)</f>
        <v>1</v>
      </c>
      <c r="F327" s="49"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49">
        <f>IFERROR(__xludf.DUMMYFUNCTION("""COMPUTED_VALUE"""),0.0)</f>
        <v>0</v>
      </c>
      <c r="H327" s="49"/>
      <c r="I327" s="49"/>
      <c r="J327" s="49"/>
      <c r="K327" s="49"/>
      <c r="L327" s="49"/>
      <c r="M327" s="49"/>
      <c r="N327" s="49"/>
      <c r="O327" s="49"/>
      <c r="P327" s="49"/>
      <c r="Q327" s="49"/>
      <c r="R327" s="49"/>
      <c r="S327" s="49"/>
      <c r="T327" s="49"/>
      <c r="U327" s="49"/>
      <c r="V327" s="49"/>
      <c r="W327" s="49"/>
      <c r="X327" s="49"/>
      <c r="Y327" s="49"/>
      <c r="Z327" s="49"/>
    </row>
    <row r="328">
      <c r="A328" s="49" t="str">
        <f>IFERROR(__xludf.DUMMYFUNCTION("""COMPUTED_VALUE"""),"The Wand of Aquatic Beasts")</f>
        <v>The Wand of Aquatic Beasts</v>
      </c>
      <c r="B328" s="49"/>
      <c r="C328" s="49" t="str">
        <f>IFERROR(__xludf.DUMMYFUNCTION("""COMPUTED_VALUE"""),"Wand")</f>
        <v>Wand</v>
      </c>
      <c r="D328" s="49" t="str">
        <f>IFERROR(__xludf.DUMMYFUNCTION("""COMPUTED_VALUE"""),"Hand")</f>
        <v>Hand</v>
      </c>
      <c r="E328" s="49">
        <f>IFERROR(__xludf.DUMMYFUNCTION("""COMPUTED_VALUE"""),1.0)</f>
        <v>1</v>
      </c>
      <c r="F328" s="49" t="str">
        <f>IFERROR(__xludf.DUMMYFUNCTION("""COMPUTED_VALUE""")," ++All water and storm spells are decreased by half sp.")</f>
        <v> ++All water and storm spells are decreased by half sp.</v>
      </c>
      <c r="G328" s="49">
        <f>IFERROR(__xludf.DUMMYFUNCTION("""COMPUTED_VALUE"""),0.0)</f>
        <v>0</v>
      </c>
      <c r="H328" s="49"/>
      <c r="I328" s="49"/>
      <c r="J328" s="49"/>
      <c r="K328" s="49"/>
      <c r="L328" s="49"/>
      <c r="M328" s="49"/>
      <c r="N328" s="49"/>
      <c r="O328" s="49"/>
      <c r="P328" s="49"/>
      <c r="Q328" s="49"/>
      <c r="R328" s="49"/>
      <c r="S328" s="49"/>
      <c r="T328" s="49"/>
      <c r="U328" s="49"/>
      <c r="V328" s="49"/>
      <c r="W328" s="49"/>
      <c r="X328" s="49"/>
      <c r="Y328" s="49"/>
      <c r="Z328" s="49"/>
    </row>
    <row r="329">
      <c r="A329" s="49" t="str">
        <f>IFERROR(__xludf.DUMMYFUNCTION("""COMPUTED_VALUE"""),"Titanic Two Hander")</f>
        <v>Titanic Two Hander</v>
      </c>
      <c r="B329" s="49"/>
      <c r="C329" s="49" t="str">
        <f>IFERROR(__xludf.DUMMYFUNCTION("""COMPUTED_VALUE"""),"Sword")</f>
        <v>Sword</v>
      </c>
      <c r="D329" s="49" t="str">
        <f>IFERROR(__xludf.DUMMYFUNCTION("""COMPUTED_VALUE"""),"Hand")</f>
        <v>Hand</v>
      </c>
      <c r="E329" s="49">
        <f>IFERROR(__xludf.DUMMYFUNCTION("""COMPUTED_VALUE"""),200.0)</f>
        <v>200</v>
      </c>
      <c r="F329" s="49" t="str">
        <f>IFERROR(__xludf.DUMMYFUNCTION("""COMPUTED_VALUE"""),"DMG: +10000")</f>
        <v>DMG: +10000</v>
      </c>
      <c r="G329" s="49">
        <f>IFERROR(__xludf.DUMMYFUNCTION("""COMPUTED_VALUE"""),1900000.0)</f>
        <v>1900000</v>
      </c>
      <c r="H329" s="49"/>
      <c r="I329" s="49"/>
      <c r="J329" s="49"/>
      <c r="K329" s="49"/>
      <c r="L329" s="49"/>
      <c r="M329" s="49"/>
      <c r="N329" s="49"/>
      <c r="O329" s="49"/>
      <c r="P329" s="49"/>
      <c r="Q329" s="49"/>
      <c r="R329" s="49"/>
      <c r="S329" s="49"/>
      <c r="T329" s="49"/>
      <c r="U329" s="49"/>
      <c r="V329" s="49"/>
      <c r="W329" s="49"/>
      <c r="X329" s="49"/>
      <c r="Y329" s="49"/>
      <c r="Z329" s="49"/>
    </row>
    <row r="330">
      <c r="A330" s="49" t="str">
        <f>IFERROR(__xludf.DUMMYFUNCTION("""COMPUTED_VALUE"""),"Top Hat")</f>
        <v>Top Hat</v>
      </c>
      <c r="B330" s="49" t="str">
        <f>IFERROR(__xludf.DUMMYFUNCTION("""COMPUTED_VALUE"""),"nothing like good ol abraham")</f>
        <v>nothing like good ol abraham</v>
      </c>
      <c r="C330" s="49"/>
      <c r="D330" s="49" t="str">
        <f>IFERROR(__xludf.DUMMYFUNCTION("""COMPUTED_VALUE"""),"Head")</f>
        <v>Head</v>
      </c>
      <c r="E330" s="49">
        <f>IFERROR(__xludf.DUMMYFUNCTION("""COMPUTED_VALUE"""),1.0)</f>
        <v>1</v>
      </c>
      <c r="F330" s="49" t="str">
        <f>IFERROR(__xludf.DUMMYFUNCTION("""COMPUTED_VALUE"""),"DEF: +1")</f>
        <v>DEF: +1</v>
      </c>
      <c r="G330" s="49">
        <f>IFERROR(__xludf.DUMMYFUNCTION("""COMPUTED_VALUE"""),0.0)</f>
        <v>0</v>
      </c>
      <c r="H330" s="49"/>
      <c r="I330" s="49"/>
      <c r="J330" s="49"/>
      <c r="K330" s="49"/>
      <c r="L330" s="49"/>
      <c r="M330" s="49"/>
      <c r="N330" s="49"/>
      <c r="O330" s="49"/>
      <c r="P330" s="49"/>
      <c r="Q330" s="49"/>
      <c r="R330" s="49"/>
      <c r="S330" s="49"/>
      <c r="T330" s="49"/>
      <c r="U330" s="49"/>
      <c r="V330" s="49"/>
      <c r="W330" s="49"/>
      <c r="X330" s="49"/>
      <c r="Y330" s="49"/>
      <c r="Z330" s="49"/>
    </row>
    <row r="331">
      <c r="A331" s="49" t="str">
        <f>IFERROR(__xludf.DUMMYFUNCTION("""COMPUTED_VALUE"""),"Trident")</f>
        <v>Trident</v>
      </c>
      <c r="B331" s="49"/>
      <c r="C331" s="49" t="str">
        <f>IFERROR(__xludf.DUMMYFUNCTION("""COMPUTED_VALUE"""),"Spear")</f>
        <v>Spear</v>
      </c>
      <c r="D331" s="49" t="str">
        <f>IFERROR(__xludf.DUMMYFUNCTION("""COMPUTED_VALUE"""),"Hand")</f>
        <v>Hand</v>
      </c>
      <c r="E331" s="49">
        <f>IFERROR(__xludf.DUMMYFUNCTION("""COMPUTED_VALUE"""),20.0)</f>
        <v>20</v>
      </c>
      <c r="F331" s="49" t="str">
        <f>IFERROR(__xludf.DUMMYFUNCTION("""COMPUTED_VALUE"""),"DMG: +600")</f>
        <v>DMG: +600</v>
      </c>
      <c r="G331" s="49">
        <f>IFERROR(__xludf.DUMMYFUNCTION("""COMPUTED_VALUE"""),1000.0)</f>
        <v>1000</v>
      </c>
      <c r="H331" s="49"/>
      <c r="I331" s="49"/>
      <c r="J331" s="49"/>
      <c r="K331" s="49"/>
      <c r="L331" s="49"/>
      <c r="M331" s="49"/>
      <c r="N331" s="49"/>
      <c r="O331" s="49"/>
      <c r="P331" s="49"/>
      <c r="Q331" s="49"/>
      <c r="R331" s="49"/>
      <c r="S331" s="49"/>
      <c r="T331" s="49"/>
      <c r="U331" s="49"/>
      <c r="V331" s="49"/>
      <c r="W331" s="49"/>
      <c r="X331" s="49"/>
      <c r="Y331" s="49"/>
      <c r="Z331" s="49"/>
    </row>
    <row r="332">
      <c r="A332" s="49" t="str">
        <f>IFERROR(__xludf.DUMMYFUNCTION("""COMPUTED_VALUE"""),"Tundra Staff")</f>
        <v>Tundra Staff</v>
      </c>
      <c r="B332" s="49"/>
      <c r="C332" s="49" t="str">
        <f>IFERROR(__xludf.DUMMYFUNCTION("""COMPUTED_VALUE"""),"Staff")</f>
        <v>Staff</v>
      </c>
      <c r="D332" s="49" t="str">
        <f>IFERROR(__xludf.DUMMYFUNCTION("""COMPUTED_VALUE"""),"Hand")</f>
        <v>Hand</v>
      </c>
      <c r="E332" s="49">
        <f>IFERROR(__xludf.DUMMYFUNCTION("""COMPUTED_VALUE"""),200.0)</f>
        <v>200</v>
      </c>
      <c r="F332" s="49" t="str">
        <f>IFERROR(__xludf.DUMMYFUNCTION("""COMPUTED_VALUE"""),", Earth : +10000 ++X2 Earth damage. +-Cannot be duplicated")</f>
        <v>, Earth : +10000 ++X2 Earth damage. +-Cannot be duplicated</v>
      </c>
      <c r="G332" s="49">
        <f>IFERROR(__xludf.DUMMYFUNCTION("""COMPUTED_VALUE"""),1900000.0)</f>
        <v>1900000</v>
      </c>
      <c r="H332" s="49"/>
      <c r="I332" s="49"/>
      <c r="J332" s="49"/>
      <c r="K332" s="49"/>
      <c r="L332" s="49"/>
      <c r="M332" s="49"/>
      <c r="N332" s="49"/>
      <c r="O332" s="49"/>
      <c r="P332" s="49"/>
      <c r="Q332" s="49"/>
      <c r="R332" s="49"/>
      <c r="S332" s="49"/>
      <c r="T332" s="49"/>
      <c r="U332" s="49"/>
      <c r="V332" s="49"/>
      <c r="W332" s="49"/>
      <c r="X332" s="49"/>
      <c r="Y332" s="49"/>
      <c r="Z332" s="49"/>
    </row>
    <row r="333">
      <c r="A333" s="49" t="str">
        <f>IFERROR(__xludf.DUMMYFUNCTION("""COMPUTED_VALUE"""),"Twilight Bow")</f>
        <v>Twilight Bow</v>
      </c>
      <c r="B333" s="49"/>
      <c r="C333" s="49" t="str">
        <f>IFERROR(__xludf.DUMMYFUNCTION("""COMPUTED_VALUE"""),"Bow")</f>
        <v>Bow</v>
      </c>
      <c r="D333" s="49" t="str">
        <f>IFERROR(__xludf.DUMMYFUNCTION("""COMPUTED_VALUE"""),"Hand")</f>
        <v>Hand</v>
      </c>
      <c r="E333" s="49">
        <f>IFERROR(__xludf.DUMMYFUNCTION("""COMPUTED_VALUE"""),400.0)</f>
        <v>400</v>
      </c>
      <c r="F333" s="49" t="str">
        <f>IFERROR(__xludf.DUMMYFUNCTION("""COMPUTED_VALUE"""),"DMG: +10000, Twilight DMG: +10000")</f>
        <v>DMG: +10000, Twilight DMG: +10000</v>
      </c>
      <c r="G333" s="49">
        <f>IFERROR(__xludf.DUMMYFUNCTION("""COMPUTED_VALUE"""),7800000.0)</f>
        <v>7800000</v>
      </c>
      <c r="H333" s="49"/>
      <c r="I333" s="49"/>
      <c r="J333" s="49"/>
      <c r="K333" s="49"/>
      <c r="L333" s="49"/>
      <c r="M333" s="49"/>
      <c r="N333" s="49"/>
      <c r="O333" s="49"/>
      <c r="P333" s="49"/>
      <c r="Q333" s="49"/>
      <c r="R333" s="49"/>
      <c r="S333" s="49"/>
      <c r="T333" s="49"/>
      <c r="U333" s="49"/>
      <c r="V333" s="49"/>
      <c r="W333" s="49"/>
      <c r="X333" s="49"/>
      <c r="Y333" s="49"/>
      <c r="Z333" s="49"/>
    </row>
    <row r="334">
      <c r="A334" s="49" t="str">
        <f>IFERROR(__xludf.DUMMYFUNCTION("""COMPUTED_VALUE"""),"Twilight Crystal Sword of Evil's Bane")</f>
        <v>Twilight Crystal Sword of Evil's Bane</v>
      </c>
      <c r="B334" s="49" t="str">
        <f>IFERROR(__xludf.DUMMYFUNCTION("""COMPUTED_VALUE"""),"Halloween Event Exclusive Item")</f>
        <v>Halloween Event Exclusive Item</v>
      </c>
      <c r="C334" s="49" t="str">
        <f>IFERROR(__xludf.DUMMYFUNCTION("""COMPUTED_VALUE"""),"Sword")</f>
        <v>Sword</v>
      </c>
      <c r="D334" s="49" t="str">
        <f>IFERROR(__xludf.DUMMYFUNCTION("""COMPUTED_VALUE"""),"Hand")</f>
        <v>Hand</v>
      </c>
      <c r="E334" s="49">
        <f>IFERROR(__xludf.DUMMYFUNCTION("""COMPUTED_VALUE"""),200.0)</f>
        <v>200</v>
      </c>
      <c r="F334" s="49"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49">
        <f>IFERROR(__xludf.DUMMYFUNCTION("""COMPUTED_VALUE"""),4.95E7)</f>
        <v>49500000</v>
      </c>
      <c r="H334" s="49"/>
      <c r="I334" s="49"/>
      <c r="J334" s="49"/>
      <c r="K334" s="49"/>
      <c r="L334" s="49"/>
      <c r="M334" s="49"/>
      <c r="N334" s="49"/>
      <c r="O334" s="49"/>
      <c r="P334" s="49"/>
      <c r="Q334" s="49"/>
      <c r="R334" s="49"/>
      <c r="S334" s="49"/>
      <c r="T334" s="49"/>
      <c r="U334" s="49"/>
      <c r="V334" s="49"/>
      <c r="W334" s="49"/>
      <c r="X334" s="49"/>
      <c r="Y334" s="49"/>
      <c r="Z334" s="49"/>
    </row>
    <row r="335">
      <c r="A335" s="49" t="str">
        <f>IFERROR(__xludf.DUMMYFUNCTION("""COMPUTED_VALUE"""),"Twilight Sword")</f>
        <v>Twilight Sword</v>
      </c>
      <c r="B335" s="49"/>
      <c r="C335" s="49" t="str">
        <f>IFERROR(__xludf.DUMMYFUNCTION("""COMPUTED_VALUE"""),"Sword")</f>
        <v>Sword</v>
      </c>
      <c r="D335" s="49" t="str">
        <f>IFERROR(__xludf.DUMMYFUNCTION("""COMPUTED_VALUE"""),"Hand")</f>
        <v>Hand</v>
      </c>
      <c r="E335" s="49">
        <f>IFERROR(__xludf.DUMMYFUNCTION("""COMPUTED_VALUE"""),20.0)</f>
        <v>20</v>
      </c>
      <c r="F335" s="49" t="str">
        <f>IFERROR(__xludf.DUMMYFUNCTION("""COMPUTED_VALUE"""),"DMG: +500, Twilight DMG: +200")</f>
        <v>DMG: +500, Twilight DMG: +200</v>
      </c>
      <c r="G335" s="49">
        <f>IFERROR(__xludf.DUMMYFUNCTION("""COMPUTED_VALUE"""),1000.0)</f>
        <v>1000</v>
      </c>
      <c r="H335" s="49"/>
      <c r="I335" s="49"/>
      <c r="J335" s="49"/>
      <c r="K335" s="49"/>
      <c r="L335" s="49"/>
      <c r="M335" s="49"/>
      <c r="N335" s="49"/>
      <c r="O335" s="49"/>
      <c r="P335" s="49"/>
      <c r="Q335" s="49"/>
      <c r="R335" s="49"/>
      <c r="S335" s="49"/>
      <c r="T335" s="49"/>
      <c r="U335" s="49"/>
      <c r="V335" s="49"/>
      <c r="W335" s="49"/>
      <c r="X335" s="49"/>
      <c r="Y335" s="49"/>
      <c r="Z335" s="49"/>
    </row>
    <row r="336">
      <c r="A336" s="49" t="str">
        <f>IFERROR(__xludf.DUMMYFUNCTION("""COMPUTED_VALUE"""),"Unknown Amulet")</f>
        <v>Unknown Amulet</v>
      </c>
      <c r="B336" s="49"/>
      <c r="C336" s="49"/>
      <c r="D336" s="49" t="str">
        <f>IFERROR(__xludf.DUMMYFUNCTION("""COMPUTED_VALUE"""),"Neck")</f>
        <v>Neck</v>
      </c>
      <c r="E336" s="49">
        <f>IFERROR(__xludf.DUMMYFUNCTION("""COMPUTED_VALUE"""),1.0)</f>
        <v>1</v>
      </c>
      <c r="F336" s="49"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49">
        <f>IFERROR(__xludf.DUMMYFUNCTION("""COMPUTED_VALUE"""),0.0)</f>
        <v>0</v>
      </c>
      <c r="H336" s="49"/>
      <c r="I336" s="49"/>
      <c r="J336" s="49"/>
      <c r="K336" s="49"/>
      <c r="L336" s="49"/>
      <c r="M336" s="49"/>
      <c r="N336" s="49"/>
      <c r="O336" s="49"/>
      <c r="P336" s="49"/>
      <c r="Q336" s="49"/>
      <c r="R336" s="49"/>
      <c r="S336" s="49"/>
      <c r="T336" s="49"/>
      <c r="U336" s="49"/>
      <c r="V336" s="49"/>
      <c r="W336" s="49"/>
      <c r="X336" s="49"/>
      <c r="Y336" s="49"/>
      <c r="Z336" s="49"/>
    </row>
    <row r="337">
      <c r="A337" s="49" t="str">
        <f>IFERROR(__xludf.DUMMYFUNCTION("""COMPUTED_VALUE"""),"Vambraces of Waking Waters")</f>
        <v>Vambraces of Waking Waters</v>
      </c>
      <c r="B337" s="49"/>
      <c r="C337" s="49"/>
      <c r="D337" s="49" t="str">
        <f>IFERROR(__xludf.DUMMYFUNCTION("""COMPUTED_VALUE"""),"Arms")</f>
        <v>Arms</v>
      </c>
      <c r="E337" s="49">
        <f>IFERROR(__xludf.DUMMYFUNCTION("""COMPUTED_VALUE"""),200.0)</f>
        <v>200</v>
      </c>
      <c r="F337" s="49" t="str">
        <f>IFERROR(__xludf.DUMMYFUNCTION("""COMPUTED_VALUE"""),"DEF: +5000, Water DEF: +5000 ++X4 additional Water damage.")</f>
        <v>DEF: +5000, Water DEF: +5000 ++X4 additional Water damage.</v>
      </c>
      <c r="G337" s="49">
        <f>IFERROR(__xludf.DUMMYFUNCTION("""COMPUTED_VALUE"""),1900000.0)</f>
        <v>1900000</v>
      </c>
      <c r="H337" s="49"/>
      <c r="I337" s="49"/>
      <c r="J337" s="49"/>
      <c r="K337" s="49"/>
      <c r="L337" s="49"/>
      <c r="M337" s="49"/>
      <c r="N337" s="49"/>
      <c r="O337" s="49"/>
      <c r="P337" s="49"/>
      <c r="Q337" s="49"/>
      <c r="R337" s="49"/>
      <c r="S337" s="49"/>
      <c r="T337" s="49"/>
      <c r="U337" s="49"/>
      <c r="V337" s="49"/>
      <c r="W337" s="49"/>
      <c r="X337" s="49"/>
      <c r="Y337" s="49"/>
      <c r="Z337" s="49"/>
    </row>
    <row r="338">
      <c r="A338" s="49" t="str">
        <f>IFERROR(__xludf.DUMMYFUNCTION("""COMPUTED_VALUE"""),"Viking Helm")</f>
        <v>Viking Helm</v>
      </c>
      <c r="B338" s="49"/>
      <c r="C338" s="49"/>
      <c r="D338" s="49" t="str">
        <f>IFERROR(__xludf.DUMMYFUNCTION("""COMPUTED_VALUE"""),"Head")</f>
        <v>Head</v>
      </c>
      <c r="E338" s="49">
        <f>IFERROR(__xludf.DUMMYFUNCTION("""COMPUTED_VALUE"""),1.0)</f>
        <v>1</v>
      </c>
      <c r="F338" s="49" t="str">
        <f>IFERROR(__xludf.DUMMYFUNCTION("""COMPUTED_VALUE"""),"DEF: +200 (Viking Set)")</f>
        <v>DEF: +200 (Viking Set)</v>
      </c>
      <c r="G338" s="49">
        <f>IFERROR(__xludf.DUMMYFUNCTION("""COMPUTED_VALUE"""),0.0)</f>
        <v>0</v>
      </c>
      <c r="H338" s="49"/>
      <c r="I338" s="49"/>
      <c r="J338" s="49"/>
      <c r="K338" s="49"/>
      <c r="L338" s="49"/>
      <c r="M338" s="49"/>
      <c r="N338" s="49"/>
      <c r="O338" s="49"/>
      <c r="P338" s="49"/>
      <c r="Q338" s="49"/>
      <c r="R338" s="49"/>
      <c r="S338" s="49"/>
      <c r="T338" s="49"/>
      <c r="U338" s="49"/>
      <c r="V338" s="49"/>
      <c r="W338" s="49"/>
      <c r="X338" s="49"/>
      <c r="Y338" s="49"/>
      <c r="Z338" s="49"/>
    </row>
    <row r="339">
      <c r="A339" s="49" t="str">
        <f>IFERROR(__xludf.DUMMYFUNCTION("""COMPUTED_VALUE"""),"Void sword")</f>
        <v>Void sword</v>
      </c>
      <c r="B339" s="49"/>
      <c r="C339" s="49" t="str">
        <f>IFERROR(__xludf.DUMMYFUNCTION("""COMPUTED_VALUE"""),"Sword")</f>
        <v>Sword</v>
      </c>
      <c r="D339" s="49" t="str">
        <f>IFERROR(__xludf.DUMMYFUNCTION("""COMPUTED_VALUE"""),"Hand")</f>
        <v>Hand</v>
      </c>
      <c r="E339" s="49">
        <f>IFERROR(__xludf.DUMMYFUNCTION("""COMPUTED_VALUE"""),200.0)</f>
        <v>200</v>
      </c>
      <c r="F339" s="49"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49">
        <f>IFERROR(__xludf.DUMMYFUNCTION("""COMPUTED_VALUE"""),0.0)</f>
        <v>0</v>
      </c>
      <c r="H339" s="49"/>
      <c r="I339" s="49"/>
      <c r="J339" s="49"/>
      <c r="K339" s="49"/>
      <c r="L339" s="49"/>
      <c r="M339" s="49"/>
      <c r="N339" s="49"/>
      <c r="O339" s="49"/>
      <c r="P339" s="49"/>
      <c r="Q339" s="49"/>
      <c r="R339" s="49"/>
      <c r="S339" s="49"/>
      <c r="T339" s="49"/>
      <c r="U339" s="49"/>
      <c r="V339" s="49"/>
      <c r="W339" s="49"/>
      <c r="X339" s="49"/>
      <c r="Y339" s="49"/>
      <c r="Z339" s="49"/>
    </row>
    <row r="340">
      <c r="A340" s="49" t="str">
        <f>IFERROR(__xludf.DUMMYFUNCTION("""COMPUTED_VALUE"""),"Volcanic Sword of Destruction")</f>
        <v>Volcanic Sword of Destruction</v>
      </c>
      <c r="B340" s="49"/>
      <c r="C340" s="49" t="str">
        <f>IFERROR(__xludf.DUMMYFUNCTION("""COMPUTED_VALUE"""),"Sword")</f>
        <v>Sword</v>
      </c>
      <c r="D340" s="49" t="str">
        <f>IFERROR(__xludf.DUMMYFUNCTION("""COMPUTED_VALUE"""),"Hand")</f>
        <v>Hand</v>
      </c>
      <c r="E340" s="49">
        <f>IFERROR(__xludf.DUMMYFUNCTION("""COMPUTED_VALUE"""),200.0)</f>
        <v>200</v>
      </c>
      <c r="F340" s="49"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49">
        <f>IFERROR(__xludf.DUMMYFUNCTION("""COMPUTED_VALUE"""),4.995E9)</f>
        <v>4995000000</v>
      </c>
      <c r="H340" s="49"/>
      <c r="I340" s="49"/>
      <c r="J340" s="49"/>
      <c r="K340" s="49"/>
      <c r="L340" s="49"/>
      <c r="M340" s="49"/>
      <c r="N340" s="49"/>
      <c r="O340" s="49"/>
      <c r="P340" s="49"/>
      <c r="Q340" s="49"/>
      <c r="R340" s="49"/>
      <c r="S340" s="49"/>
      <c r="T340" s="49"/>
      <c r="U340" s="49"/>
      <c r="V340" s="49"/>
      <c r="W340" s="49"/>
      <c r="X340" s="49"/>
      <c r="Y340" s="49"/>
      <c r="Z340" s="49"/>
    </row>
    <row r="341">
      <c r="A341" s="49" t="str">
        <f>IFERROR(__xludf.DUMMYFUNCTION("""COMPUTED_VALUE"""),"Wand of Grey")</f>
        <v>Wand of Grey</v>
      </c>
      <c r="B341" s="49"/>
      <c r="C341" s="49" t="str">
        <f>IFERROR(__xludf.DUMMYFUNCTION("""COMPUTED_VALUE"""),"Wand")</f>
        <v>Wand</v>
      </c>
      <c r="D341" s="49" t="str">
        <f>IFERROR(__xludf.DUMMYFUNCTION("""COMPUTED_VALUE"""),"Hand")</f>
        <v>Hand</v>
      </c>
      <c r="E341" s="49">
        <f>IFERROR(__xludf.DUMMYFUNCTION("""COMPUTED_VALUE"""),1.0)</f>
        <v>1</v>
      </c>
      <c r="F341" s="49" t="str">
        <f>IFERROR(__xludf.DUMMYFUNCTION("""COMPUTED_VALUE""")," ++X2 more damage to all spells. +-Cannot be duplicated.")</f>
        <v> ++X2 more damage to all spells. +-Cannot be duplicated.</v>
      </c>
      <c r="G341" s="49">
        <f>IFERROR(__xludf.DUMMYFUNCTION("""COMPUTED_VALUE"""),0.0)</f>
        <v>0</v>
      </c>
      <c r="H341" s="49"/>
      <c r="I341" s="49"/>
      <c r="J341" s="49"/>
      <c r="K341" s="49"/>
      <c r="L341" s="49"/>
      <c r="M341" s="49"/>
      <c r="N341" s="49"/>
      <c r="O341" s="49"/>
      <c r="P341" s="49"/>
      <c r="Q341" s="49"/>
      <c r="R341" s="49"/>
      <c r="S341" s="49"/>
      <c r="T341" s="49"/>
      <c r="U341" s="49"/>
      <c r="V341" s="49"/>
      <c r="W341" s="49"/>
      <c r="X341" s="49"/>
      <c r="Y341" s="49"/>
      <c r="Z341" s="49"/>
    </row>
    <row r="342">
      <c r="A342" s="49" t="str">
        <f>IFERROR(__xludf.DUMMYFUNCTION("""COMPUTED_VALUE"""),"Wand of Multi-Color")</f>
        <v>Wand of Multi-Color</v>
      </c>
      <c r="B342" s="49"/>
      <c r="C342" s="49" t="str">
        <f>IFERROR(__xludf.DUMMYFUNCTION("""COMPUTED_VALUE"""),"Wand")</f>
        <v>Wand</v>
      </c>
      <c r="D342" s="49" t="str">
        <f>IFERROR(__xludf.DUMMYFUNCTION("""COMPUTED_VALUE"""),"Hand")</f>
        <v>Hand</v>
      </c>
      <c r="E342" s="49">
        <f>IFERROR(__xludf.DUMMYFUNCTION("""COMPUTED_VALUE"""),1.0)</f>
        <v>1</v>
      </c>
      <c r="F342" s="49" t="str">
        <f>IFERROR(__xludf.DUMMYFUNCTION("""COMPUTED_VALUE""")," ++All types of spells are reduced by half sp. +-Cannot be duplicated. +-Can only equip one")</f>
        <v> ++All types of spells are reduced by half sp. +-Cannot be duplicated. +-Can only equip one</v>
      </c>
      <c r="G342" s="49">
        <f>IFERROR(__xludf.DUMMYFUNCTION("""COMPUTED_VALUE"""),0.0)</f>
        <v>0</v>
      </c>
      <c r="H342" s="49"/>
      <c r="I342" s="49"/>
      <c r="J342" s="49"/>
      <c r="K342" s="49"/>
      <c r="L342" s="49"/>
      <c r="M342" s="49"/>
      <c r="N342" s="49"/>
      <c r="O342" s="49"/>
      <c r="P342" s="49"/>
      <c r="Q342" s="49"/>
      <c r="R342" s="49"/>
      <c r="S342" s="49"/>
      <c r="T342" s="49"/>
      <c r="U342" s="49"/>
      <c r="V342" s="49"/>
      <c r="W342" s="49"/>
      <c r="X342" s="49"/>
      <c r="Y342" s="49"/>
      <c r="Z342" s="49"/>
    </row>
    <row r="343">
      <c r="A343" s="49" t="str">
        <f>IFERROR(__xludf.DUMMYFUNCTION("""COMPUTED_VALUE"""),"Warlock’s Armored Chestplate")</f>
        <v>Warlock’s Armored Chestplate</v>
      </c>
      <c r="B343" s="49"/>
      <c r="C343" s="49"/>
      <c r="D343" s="49" t="str">
        <f>IFERROR(__xludf.DUMMYFUNCTION("""COMPUTED_VALUE"""),"Torso")</f>
        <v>Torso</v>
      </c>
      <c r="E343" s="49">
        <f>IFERROR(__xludf.DUMMYFUNCTION("""COMPUTED_VALUE"""),100.0)</f>
        <v>100</v>
      </c>
      <c r="F343" s="49"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49">
        <f>IFERROR(__xludf.DUMMYFUNCTION("""COMPUTED_VALUE"""),450000.0)</f>
        <v>450000</v>
      </c>
      <c r="H343" s="49"/>
      <c r="I343" s="49"/>
      <c r="J343" s="49"/>
      <c r="K343" s="49"/>
      <c r="L343" s="49"/>
      <c r="M343" s="49"/>
      <c r="N343" s="49"/>
      <c r="O343" s="49"/>
      <c r="P343" s="49"/>
      <c r="Q343" s="49"/>
      <c r="R343" s="49"/>
      <c r="S343" s="49"/>
      <c r="T343" s="49"/>
      <c r="U343" s="49"/>
      <c r="V343" s="49"/>
      <c r="W343" s="49"/>
      <c r="X343" s="49"/>
      <c r="Y343" s="49"/>
      <c r="Z343" s="49"/>
    </row>
    <row r="344">
      <c r="A344" s="49" t="str">
        <f>IFERROR(__xludf.DUMMYFUNCTION("""COMPUTED_VALUE"""),"Water Warhammer")</f>
        <v>Water Warhammer</v>
      </c>
      <c r="B344" s="49"/>
      <c r="C344" s="49" t="str">
        <f>IFERROR(__xludf.DUMMYFUNCTION("""COMPUTED_VALUE"""),"Club")</f>
        <v>Club</v>
      </c>
      <c r="D344" s="49" t="str">
        <f>IFERROR(__xludf.DUMMYFUNCTION("""COMPUTED_VALUE"""),"Hand")</f>
        <v>Hand</v>
      </c>
      <c r="E344" s="49">
        <f>IFERROR(__xludf.DUMMYFUNCTION("""COMPUTED_VALUE"""),200.0)</f>
        <v>200</v>
      </c>
      <c r="F344" s="49" t="str">
        <f>IFERROR(__xludf.DUMMYFUNCTION("""COMPUTED_VALUE"""),"DMG: +5000, Water DMG: +5000")</f>
        <v>DMG: +5000, Water DMG: +5000</v>
      </c>
      <c r="G344" s="49">
        <f>IFERROR(__xludf.DUMMYFUNCTION("""COMPUTED_VALUE"""),1900000.0)</f>
        <v>1900000</v>
      </c>
      <c r="H344" s="49"/>
      <c r="I344" s="49"/>
      <c r="J344" s="49"/>
      <c r="K344" s="49"/>
      <c r="L344" s="49"/>
      <c r="M344" s="49"/>
      <c r="N344" s="49"/>
      <c r="O344" s="49"/>
      <c r="P344" s="49"/>
      <c r="Q344" s="49"/>
      <c r="R344" s="49"/>
      <c r="S344" s="49"/>
      <c r="T344" s="49"/>
      <c r="U344" s="49"/>
      <c r="V344" s="49"/>
      <c r="W344" s="49"/>
      <c r="X344" s="49"/>
      <c r="Y344" s="49"/>
      <c r="Z344" s="49"/>
    </row>
    <row r="345">
      <c r="A345" s="49" t="str">
        <f>IFERROR(__xludf.DUMMYFUNCTION("""COMPUTED_VALUE"""),"Weaponized Bamboo Hat")</f>
        <v>Weaponized Bamboo Hat</v>
      </c>
      <c r="B345" s="49"/>
      <c r="C345" s="49" t="str">
        <f>IFERROR(__xludf.DUMMYFUNCTION("""COMPUTED_VALUE"""),"Knife")</f>
        <v>Knife</v>
      </c>
      <c r="D345" s="49" t="str">
        <f>IFERROR(__xludf.DUMMYFUNCTION("""COMPUTED_VALUE"""),"Head")</f>
        <v>Head</v>
      </c>
      <c r="E345" s="49">
        <f>IFERROR(__xludf.DUMMYFUNCTION("""COMPUTED_VALUE"""),40.0)</f>
        <v>40</v>
      </c>
      <c r="F345" s="49" t="str">
        <f>IFERROR(__xludf.DUMMYFUNCTION("""COMPUTED_VALUE"""),"DEF: +1000, Nature DEF: +1000 ++10,000 damage when thrown, this item will return to you after thrown.")</f>
        <v>DEF: +1000, Nature DEF: +1000 ++10,000 damage when thrown, this item will return to you after thrown.</v>
      </c>
      <c r="G345" s="49">
        <f>IFERROR(__xludf.DUMMYFUNCTION("""COMPUTED_VALUE"""),60000.0)</f>
        <v>60000</v>
      </c>
      <c r="H345" s="49"/>
      <c r="I345" s="49"/>
      <c r="J345" s="49"/>
      <c r="K345" s="49"/>
      <c r="L345" s="49"/>
      <c r="M345" s="49"/>
      <c r="N345" s="49"/>
      <c r="O345" s="49"/>
      <c r="P345" s="49"/>
      <c r="Q345" s="49"/>
      <c r="R345" s="49"/>
      <c r="S345" s="49"/>
      <c r="T345" s="49"/>
      <c r="U345" s="49"/>
      <c r="V345" s="49"/>
      <c r="W345" s="49"/>
      <c r="X345" s="49"/>
      <c r="Y345" s="49"/>
      <c r="Z345" s="49"/>
    </row>
    <row r="346">
      <c r="A346" s="49" t="str">
        <f>IFERROR(__xludf.DUMMYFUNCTION("""COMPUTED_VALUE"""),"Wig of Temper Fire")</f>
        <v>Wig of Temper Fire</v>
      </c>
      <c r="B346" s="49"/>
      <c r="C346" s="49"/>
      <c r="D346" s="49" t="str">
        <f>IFERROR(__xludf.DUMMYFUNCTION("""COMPUTED_VALUE"""),"Head")</f>
        <v>Head</v>
      </c>
      <c r="E346" s="49">
        <f>IFERROR(__xludf.DUMMYFUNCTION("""COMPUTED_VALUE"""),1.0)</f>
        <v>1</v>
      </c>
      <c r="F346" s="49" t="str">
        <f>IFERROR(__xludf.DUMMYFUNCTION("""COMPUTED_VALUE""")," ++reduces any fire damage to 1 +-Cannot be duplicated")</f>
        <v> ++reduces any fire damage to 1 +-Cannot be duplicated</v>
      </c>
      <c r="G346" s="49">
        <f>IFERROR(__xludf.DUMMYFUNCTION("""COMPUTED_VALUE"""),0.0)</f>
        <v>0</v>
      </c>
      <c r="H346" s="49"/>
      <c r="I346" s="49"/>
      <c r="J346" s="49"/>
      <c r="K346" s="49"/>
      <c r="L346" s="49"/>
      <c r="M346" s="49"/>
      <c r="N346" s="49"/>
      <c r="O346" s="49"/>
      <c r="P346" s="49"/>
      <c r="Q346" s="49"/>
      <c r="R346" s="49"/>
      <c r="S346" s="49"/>
      <c r="T346" s="49"/>
      <c r="U346" s="49"/>
      <c r="V346" s="49"/>
      <c r="W346" s="49"/>
      <c r="X346" s="49"/>
      <c r="Y346" s="49"/>
      <c r="Z346" s="49"/>
    </row>
    <row r="347">
      <c r="A347" s="49" t="str">
        <f>IFERROR(__xludf.DUMMYFUNCTION("""COMPUTED_VALUE"""),"Woodsman’s Hacker")</f>
        <v>Woodsman’s Hacker</v>
      </c>
      <c r="B347" s="49"/>
      <c r="C347" s="49" t="str">
        <f>IFERROR(__xludf.DUMMYFUNCTION("""COMPUTED_VALUE"""),"Axe")</f>
        <v>Axe</v>
      </c>
      <c r="D347" s="49" t="str">
        <f>IFERROR(__xludf.DUMMYFUNCTION("""COMPUTED_VALUE"""),"Hand")</f>
        <v>Hand</v>
      </c>
      <c r="E347" s="49">
        <f>IFERROR(__xludf.DUMMYFUNCTION("""COMPUTED_VALUE"""),10.0)</f>
        <v>10</v>
      </c>
      <c r="F347" s="49" t="str">
        <f>IFERROR(__xludf.DUMMYFUNCTION("""COMPUTED_VALUE"""),"DMG: +500")</f>
        <v>DMG: +500</v>
      </c>
      <c r="G347" s="49">
        <f>IFERROR(__xludf.DUMMYFUNCTION("""COMPUTED_VALUE"""),1000.0)</f>
        <v>1000</v>
      </c>
      <c r="H347" s="49"/>
      <c r="I347" s="49"/>
      <c r="J347" s="49"/>
      <c r="K347" s="49"/>
      <c r="L347" s="49"/>
      <c r="M347" s="49"/>
      <c r="N347" s="49"/>
      <c r="O347" s="49"/>
      <c r="P347" s="49"/>
      <c r="Q347" s="49"/>
      <c r="R347" s="49"/>
      <c r="S347" s="49"/>
      <c r="T347" s="49"/>
      <c r="U347" s="49"/>
      <c r="V347" s="49"/>
      <c r="W347" s="49"/>
      <c r="X347" s="49"/>
      <c r="Y347" s="49"/>
      <c r="Z347" s="49"/>
    </row>
    <row r="348">
      <c r="A348" s="49" t="str">
        <f>IFERROR(__xludf.DUMMYFUNCTION("""COMPUTED_VALUE"""),"World Tree Sword")</f>
        <v>World Tree Sword</v>
      </c>
      <c r="B348" s="49"/>
      <c r="C348" s="49"/>
      <c r="D348" s="49" t="str">
        <f>IFERROR(__xludf.DUMMYFUNCTION("""COMPUTED_VALUE"""),"Hand")</f>
        <v>Hand</v>
      </c>
      <c r="E348" s="49">
        <f>IFERROR(__xludf.DUMMYFUNCTION("""COMPUTED_VALUE"""),200.0)</f>
        <v>200</v>
      </c>
      <c r="F348" s="49"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49">
        <f>IFERROR(__xludf.DUMMYFUNCTION("""COMPUTED_VALUE"""),3.196E9)</f>
        <v>3196000000</v>
      </c>
      <c r="H348" s="49"/>
      <c r="I348" s="49"/>
      <c r="J348" s="49"/>
      <c r="K348" s="49"/>
      <c r="L348" s="49"/>
      <c r="M348" s="49"/>
      <c r="N348" s="49"/>
      <c r="O348" s="49"/>
      <c r="P348" s="49"/>
      <c r="Q348" s="49"/>
      <c r="R348" s="49"/>
      <c r="S348" s="49"/>
      <c r="T348" s="49"/>
      <c r="U348" s="49"/>
      <c r="V348" s="49"/>
      <c r="W348" s="49"/>
      <c r="X348" s="49"/>
      <c r="Y348" s="49"/>
      <c r="Z348" s="49"/>
    </row>
    <row r="349">
      <c r="A349" s="49" t="str">
        <f>IFERROR(__xludf.DUMMYFUNCTION("""COMPUTED_VALUE"""),"Tear of the Dragon Pendant")</f>
        <v>Tear of the Dragon Pendant</v>
      </c>
      <c r="B349" s="49"/>
      <c r="C349" s="49"/>
      <c r="D349" s="49" t="str">
        <f>IFERROR(__xludf.DUMMYFUNCTION("""COMPUTED_VALUE"""),"Neck")</f>
        <v>Neck</v>
      </c>
      <c r="E349" s="49">
        <f>IFERROR(__xludf.DUMMYFUNCTION("""COMPUTED_VALUE"""),1.0)</f>
        <v>1</v>
      </c>
      <c r="F349" s="49" t="str">
        <f>IFERROR(__xludf.DUMMYFUNCTION("""COMPUTED_VALUE""")," ++Plus 5 or Minus 5 on your attack and percentage rolls, Users choice. +-Cannot be duplicated.")</f>
        <v> ++Plus 5 or Minus 5 on your attack and percentage rolls, Users choice. +-Cannot be duplicated.</v>
      </c>
      <c r="G349" s="49">
        <f>IFERROR(__xludf.DUMMYFUNCTION("""COMPUTED_VALUE"""),0.0)</f>
        <v>0</v>
      </c>
      <c r="H349" s="49"/>
      <c r="I349" s="49"/>
      <c r="J349" s="49"/>
      <c r="K349" s="49"/>
      <c r="L349" s="49"/>
      <c r="M349" s="49"/>
      <c r="N349" s="49"/>
      <c r="O349" s="49"/>
      <c r="P349" s="49"/>
      <c r="Q349" s="49"/>
      <c r="R349" s="49"/>
      <c r="S349" s="49"/>
      <c r="T349" s="49"/>
      <c r="U349" s="49"/>
      <c r="V349" s="49"/>
      <c r="W349" s="49"/>
      <c r="X349" s="49"/>
      <c r="Y349" s="49"/>
      <c r="Z349" s="49"/>
    </row>
    <row r="350">
      <c r="A350" s="49" t="str">
        <f>IFERROR(__xludf.DUMMYFUNCTION("""COMPUTED_VALUE"""),"Luck of the Dragon Pendant")</f>
        <v>Luck of the Dragon Pendant</v>
      </c>
      <c r="B350" s="49"/>
      <c r="C350" s="49"/>
      <c r="D350" s="49" t="str">
        <f>IFERROR(__xludf.DUMMYFUNCTION("""COMPUTED_VALUE"""),"Neck")</f>
        <v>Neck</v>
      </c>
      <c r="E350" s="49">
        <f>IFERROR(__xludf.DUMMYFUNCTION("""COMPUTED_VALUE"""),1.0)</f>
        <v>1</v>
      </c>
      <c r="F350" s="49" t="str">
        <f>IFERROR(__xludf.DUMMYFUNCTION("""COMPUTED_VALUE""")," ++Plus 5 or Minus 5 on your Loot and Fail/Succeed rolls, Users choice. +-Cannot be duplicated.")</f>
        <v> ++Plus 5 or Minus 5 on your Loot and Fail/Succeed rolls, Users choice. +-Cannot be duplicated.</v>
      </c>
      <c r="G350" s="49">
        <f>IFERROR(__xludf.DUMMYFUNCTION("""COMPUTED_VALUE"""),0.0)</f>
        <v>0</v>
      </c>
      <c r="H350" s="49"/>
      <c r="I350" s="49"/>
      <c r="J350" s="49"/>
      <c r="K350" s="49"/>
      <c r="L350" s="49"/>
      <c r="M350" s="49"/>
      <c r="N350" s="49"/>
      <c r="O350" s="49"/>
      <c r="P350" s="49"/>
      <c r="Q350" s="49"/>
      <c r="R350" s="49"/>
      <c r="S350" s="49"/>
      <c r="T350" s="49"/>
      <c r="U350" s="49"/>
      <c r="V350" s="49"/>
      <c r="W350" s="49"/>
      <c r="X350" s="49"/>
      <c r="Y350" s="49"/>
      <c r="Z350" s="49"/>
    </row>
    <row r="351">
      <c r="A351" s="49" t="str">
        <f>IFERROR(__xludf.DUMMYFUNCTION("""COMPUTED_VALUE"""),"Scale of the Dragon Pendant")</f>
        <v>Scale of the Dragon Pendant</v>
      </c>
      <c r="B351" s="49"/>
      <c r="C351" s="49"/>
      <c r="D351" s="49" t="str">
        <f>IFERROR(__xludf.DUMMYFUNCTION("""COMPUTED_VALUE"""),"Neck")</f>
        <v>Neck</v>
      </c>
      <c r="E351" s="49">
        <f>IFERROR(__xludf.DUMMYFUNCTION("""COMPUTED_VALUE"""),1.0)</f>
        <v>1</v>
      </c>
      <c r="F351" s="49" t="str">
        <f>IFERROR(__xludf.DUMMYFUNCTION("""COMPUTED_VALUE""")," ++Allows you to use a companions SP as your own if the companion is a dragon. +-Cannot be duplicated.")</f>
        <v> ++Allows you to use a companions SP as your own if the companion is a dragon. +-Cannot be duplicated.</v>
      </c>
      <c r="G351" s="49">
        <f>IFERROR(__xludf.DUMMYFUNCTION("""COMPUTED_VALUE"""),0.0)</f>
        <v>0</v>
      </c>
      <c r="H351" s="49"/>
      <c r="I351" s="49"/>
      <c r="J351" s="49"/>
      <c r="K351" s="49"/>
      <c r="L351" s="49"/>
      <c r="M351" s="49"/>
      <c r="N351" s="49"/>
      <c r="O351" s="49"/>
      <c r="P351" s="49"/>
      <c r="Q351" s="49"/>
      <c r="R351" s="49"/>
      <c r="S351" s="49"/>
      <c r="T351" s="49"/>
      <c r="U351" s="49"/>
      <c r="V351" s="49"/>
      <c r="W351" s="49"/>
      <c r="X351" s="49"/>
      <c r="Y351" s="49"/>
      <c r="Z351" s="49"/>
    </row>
    <row r="352">
      <c r="A352" s="49" t="str">
        <f>IFERROR(__xludf.DUMMYFUNCTION("""COMPUTED_VALUE"""),"Guard Pauldrons")</f>
        <v>Guard Pauldrons</v>
      </c>
      <c r="B352" s="49" t="str">
        <f>IFERROR(__xludf.DUMMYFUNCTION("""COMPUTED_VALUE"""),"Quest Item")</f>
        <v>Quest Item</v>
      </c>
      <c r="C352" s="49"/>
      <c r="D352" s="49" t="str">
        <f>IFERROR(__xludf.DUMMYFUNCTION("""COMPUTED_VALUE"""),"Shoulders")</f>
        <v>Shoulders</v>
      </c>
      <c r="E352" s="49">
        <f>IFERROR(__xludf.DUMMYFUNCTION("""COMPUTED_VALUE"""),200.0)</f>
        <v>200</v>
      </c>
      <c r="F352" s="49" t="str">
        <f>IFERROR(__xludf.DUMMYFUNCTION("""COMPUTED_VALUE"""),"DEF: +25000, Light DEF: +25000, Celestial DEF: +25000 +-Cannot be duplicated")</f>
        <v>DEF: +25000, Light DEF: +25000, Celestial DEF: +25000 +-Cannot be duplicated</v>
      </c>
      <c r="G352" s="49">
        <f>IFERROR(__xludf.DUMMYFUNCTION("""COMPUTED_VALUE"""),1.1175E8)</f>
        <v>111750000</v>
      </c>
      <c r="H352" s="49"/>
      <c r="I352" s="49"/>
      <c r="J352" s="49"/>
      <c r="K352" s="49"/>
      <c r="L352" s="49"/>
      <c r="M352" s="49"/>
      <c r="N352" s="49"/>
      <c r="O352" s="49"/>
      <c r="P352" s="49"/>
      <c r="Q352" s="49"/>
      <c r="R352" s="49"/>
      <c r="S352" s="49"/>
      <c r="T352" s="49"/>
      <c r="U352" s="49"/>
      <c r="V352" s="49"/>
      <c r="W352" s="49"/>
      <c r="X352" s="49"/>
      <c r="Y352" s="49"/>
      <c r="Z352" s="49"/>
    </row>
    <row r="353">
      <c r="A353" s="49" t="str">
        <f>IFERROR(__xludf.DUMMYFUNCTION("""COMPUTED_VALUE"""),"Guard Vambraces")</f>
        <v>Guard Vambraces</v>
      </c>
      <c r="B353" s="49" t="str">
        <f>IFERROR(__xludf.DUMMYFUNCTION("""COMPUTED_VALUE"""),"Quest Item")</f>
        <v>Quest Item</v>
      </c>
      <c r="C353" s="49"/>
      <c r="D353" s="49" t="str">
        <f>IFERROR(__xludf.DUMMYFUNCTION("""COMPUTED_VALUE"""),"Arms")</f>
        <v>Arms</v>
      </c>
      <c r="E353" s="49">
        <f>IFERROR(__xludf.DUMMYFUNCTION("""COMPUTED_VALUE"""),200.0)</f>
        <v>200</v>
      </c>
      <c r="F353" s="49" t="str">
        <f>IFERROR(__xludf.DUMMYFUNCTION("""COMPUTED_VALUE"""),"DEF: +25000, Light DEF: +25000, Celestial DEF: +25000 +-Cannot be duplicated")</f>
        <v>DEF: +25000, Light DEF: +25000, Celestial DEF: +25000 +-Cannot be duplicated</v>
      </c>
      <c r="G353" s="49">
        <f>IFERROR(__xludf.DUMMYFUNCTION("""COMPUTED_VALUE"""),1.1175E8)</f>
        <v>111750000</v>
      </c>
      <c r="H353" s="49"/>
      <c r="I353" s="49"/>
      <c r="J353" s="49"/>
      <c r="K353" s="49"/>
      <c r="L353" s="49"/>
      <c r="M353" s="49"/>
      <c r="N353" s="49"/>
      <c r="O353" s="49"/>
      <c r="P353" s="49"/>
      <c r="Q353" s="49"/>
      <c r="R353" s="49"/>
      <c r="S353" s="49"/>
      <c r="T353" s="49"/>
      <c r="U353" s="49"/>
      <c r="V353" s="49"/>
      <c r="W353" s="49"/>
      <c r="X353" s="49"/>
      <c r="Y353" s="49"/>
      <c r="Z353" s="49"/>
    </row>
    <row r="354">
      <c r="A354" s="49" t="str">
        <f>IFERROR(__xludf.DUMMYFUNCTION("""COMPUTED_VALUE"""),"Royal Guard Pauldrons")</f>
        <v>Royal Guard Pauldrons</v>
      </c>
      <c r="B354" s="49" t="str">
        <f>IFERROR(__xludf.DUMMYFUNCTION("""COMPUTED_VALUE"""),"Quest Item")</f>
        <v>Quest Item</v>
      </c>
      <c r="C354" s="49"/>
      <c r="D354" s="49" t="str">
        <f>IFERROR(__xludf.DUMMYFUNCTION("""COMPUTED_VALUE"""),"Shoulders")</f>
        <v>Shoulders</v>
      </c>
      <c r="E354" s="49">
        <f>IFERROR(__xludf.DUMMYFUNCTION("""COMPUTED_VALUE"""),200.0)</f>
        <v>200</v>
      </c>
      <c r="F354" s="49" t="str">
        <f>IFERROR(__xludf.DUMMYFUNCTION("""COMPUTED_VALUE"""),"DEF: +50000, Light DEF: +50000, Celestial DEF: +50000 +-Cannot be duplicated")</f>
        <v>DEF: +50000, Light DEF: +50000, Celestial DEF: +50000 +-Cannot be duplicated</v>
      </c>
      <c r="G354" s="49">
        <f>IFERROR(__xludf.DUMMYFUNCTION("""COMPUTED_VALUE"""),4.485E8)</f>
        <v>448500000</v>
      </c>
      <c r="H354" s="49"/>
      <c r="I354" s="49"/>
      <c r="J354" s="49"/>
      <c r="K354" s="49"/>
      <c r="L354" s="49"/>
      <c r="M354" s="49"/>
      <c r="N354" s="49"/>
      <c r="O354" s="49"/>
      <c r="P354" s="49"/>
      <c r="Q354" s="49"/>
      <c r="R354" s="49"/>
      <c r="S354" s="49"/>
      <c r="T354" s="49"/>
      <c r="U354" s="49"/>
      <c r="V354" s="49"/>
      <c r="W354" s="49"/>
      <c r="X354" s="49"/>
      <c r="Y354" s="49"/>
      <c r="Z354" s="49"/>
    </row>
    <row r="355">
      <c r="A355" s="49" t="str">
        <f>IFERROR(__xludf.DUMMYFUNCTION("""COMPUTED_VALUE"""),"Royal Guard Vambraces")</f>
        <v>Royal Guard Vambraces</v>
      </c>
      <c r="B355" s="49" t="str">
        <f>IFERROR(__xludf.DUMMYFUNCTION("""COMPUTED_VALUE"""),"Quest Item")</f>
        <v>Quest Item</v>
      </c>
      <c r="C355" s="49"/>
      <c r="D355" s="49" t="str">
        <f>IFERROR(__xludf.DUMMYFUNCTION("""COMPUTED_VALUE"""),"Arms")</f>
        <v>Arms</v>
      </c>
      <c r="E355" s="49">
        <f>IFERROR(__xludf.DUMMYFUNCTION("""COMPUTED_VALUE"""),200.0)</f>
        <v>200</v>
      </c>
      <c r="F355" s="49" t="str">
        <f>IFERROR(__xludf.DUMMYFUNCTION("""COMPUTED_VALUE"""),"DEF: +50000, Light DEF: +50000, Celestial DEF: +50000 +-Cannot be duplicated")</f>
        <v>DEF: +50000, Light DEF: +50000, Celestial DEF: +50000 +-Cannot be duplicated</v>
      </c>
      <c r="G355" s="49">
        <f>IFERROR(__xludf.DUMMYFUNCTION("""COMPUTED_VALUE"""),4.485E8)</f>
        <v>448500000</v>
      </c>
      <c r="H355" s="49"/>
      <c r="I355" s="49"/>
      <c r="J355" s="49"/>
      <c r="K355" s="49"/>
      <c r="L355" s="49"/>
      <c r="M355" s="49"/>
      <c r="N355" s="49"/>
      <c r="O355" s="49"/>
      <c r="P355" s="49"/>
      <c r="Q355" s="49"/>
      <c r="R355" s="49"/>
      <c r="S355" s="49"/>
      <c r="T355" s="49"/>
      <c r="U355" s="49"/>
      <c r="V355" s="49"/>
      <c r="W355" s="49"/>
      <c r="X355" s="49"/>
      <c r="Y355" s="49"/>
      <c r="Z355" s="49"/>
    </row>
    <row r="356">
      <c r="A356" s="49" t="str">
        <f>IFERROR(__xludf.DUMMYFUNCTION("""COMPUTED_VALUE"""),"Celestian Royal Pauldrons")</f>
        <v>Celestian Royal Pauldrons</v>
      </c>
      <c r="B356" s="49" t="str">
        <f>IFERROR(__xludf.DUMMYFUNCTION("""COMPUTED_VALUE"""),"Quest Item")</f>
        <v>Quest Item</v>
      </c>
      <c r="C356" s="49"/>
      <c r="D356" s="49" t="str">
        <f>IFERROR(__xludf.DUMMYFUNCTION("""COMPUTED_VALUE"""),"Shoulders")</f>
        <v>Shoulders</v>
      </c>
      <c r="E356" s="49">
        <f>IFERROR(__xludf.DUMMYFUNCTION("""COMPUTED_VALUE"""),200.0)</f>
        <v>200</v>
      </c>
      <c r="F356" s="49" t="str">
        <f>IFERROR(__xludf.DUMMYFUNCTION("""COMPUTED_VALUE"""),"DEF: +100000, Light DEF: +100000, Dark DEF: +100000, Celestial DEF: +100000 ++X2 Celestial Damage. +-Cannot be duplicated.")</f>
        <v>DEF: +100000, Light DEF: +100000, Dark DEF: +100000, Celestial DEF: +100000 ++X2 Celestial Damage. +-Cannot be duplicated.</v>
      </c>
      <c r="G356" s="49">
        <f>IFERROR(__xludf.DUMMYFUNCTION("""COMPUTED_VALUE"""),3.196E9)</f>
        <v>3196000000</v>
      </c>
      <c r="H356" s="49"/>
      <c r="I356" s="49"/>
      <c r="J356" s="49"/>
      <c r="K356" s="49"/>
      <c r="L356" s="49"/>
      <c r="M356" s="49"/>
      <c r="N356" s="49"/>
      <c r="O356" s="49"/>
      <c r="P356" s="49"/>
      <c r="Q356" s="49"/>
      <c r="R356" s="49"/>
      <c r="S356" s="49"/>
      <c r="T356" s="49"/>
      <c r="U356" s="49"/>
      <c r="V356" s="49"/>
      <c r="W356" s="49"/>
      <c r="X356" s="49"/>
      <c r="Y356" s="49"/>
      <c r="Z356" s="49"/>
    </row>
    <row r="357">
      <c r="A357" s="49" t="str">
        <f>IFERROR(__xludf.DUMMYFUNCTION("""COMPUTED_VALUE"""),"Celestian Royal Vambraces")</f>
        <v>Celestian Royal Vambraces</v>
      </c>
      <c r="B357" s="49" t="str">
        <f>IFERROR(__xludf.DUMMYFUNCTION("""COMPUTED_VALUE"""),"Quest Item")</f>
        <v>Quest Item</v>
      </c>
      <c r="C357" s="49"/>
      <c r="D357" s="49" t="str">
        <f>IFERROR(__xludf.DUMMYFUNCTION("""COMPUTED_VALUE"""),"Arms")</f>
        <v>Arms</v>
      </c>
      <c r="E357" s="49">
        <f>IFERROR(__xludf.DUMMYFUNCTION("""COMPUTED_VALUE"""),200.0)</f>
        <v>200</v>
      </c>
      <c r="F357" s="49" t="str">
        <f>IFERROR(__xludf.DUMMYFUNCTION("""COMPUTED_VALUE"""),"DEF: +100000, Light DEF: +100000, Dark DEF: +100000, Celestial DEF: +100000 ++X2 Celestial Damage. +-Cannot be duplicated.")</f>
        <v>DEF: +100000, Light DEF: +100000, Dark DEF: +100000, Celestial DEF: +100000 ++X2 Celestial Damage. +-Cannot be duplicated.</v>
      </c>
      <c r="G357" s="49">
        <f>IFERROR(__xludf.DUMMYFUNCTION("""COMPUTED_VALUE"""),3.196E9)</f>
        <v>3196000000</v>
      </c>
      <c r="H357" s="49"/>
      <c r="I357" s="49"/>
      <c r="J357" s="49"/>
      <c r="K357" s="49"/>
      <c r="L357" s="49"/>
      <c r="M357" s="49"/>
      <c r="N357" s="49"/>
      <c r="O357" s="49"/>
      <c r="P357" s="49"/>
      <c r="Q357" s="49"/>
      <c r="R357" s="49"/>
      <c r="S357" s="49"/>
      <c r="T357" s="49"/>
      <c r="U357" s="49"/>
      <c r="V357" s="49"/>
      <c r="W357" s="49"/>
      <c r="X357" s="49"/>
      <c r="Y357" s="49"/>
      <c r="Z357" s="49"/>
    </row>
    <row r="358">
      <c r="A358" s="49" t="str">
        <f>IFERROR(__xludf.DUMMYFUNCTION("""COMPUTED_VALUE"""),"Royal Guard Shield")</f>
        <v>Royal Guard Shield</v>
      </c>
      <c r="B358" s="49" t="str">
        <f>IFERROR(__xludf.DUMMYFUNCTION("""COMPUTED_VALUE"""),"Quest Item")</f>
        <v>Quest Item</v>
      </c>
      <c r="C358" s="49" t="str">
        <f>IFERROR(__xludf.DUMMYFUNCTION("""COMPUTED_VALUE"""),"Towershield")</f>
        <v>Towershield</v>
      </c>
      <c r="D358" s="49" t="str">
        <f>IFERROR(__xludf.DUMMYFUNCTION("""COMPUTED_VALUE"""),"Hand")</f>
        <v>Hand</v>
      </c>
      <c r="E358" s="49">
        <f>IFERROR(__xludf.DUMMYFUNCTION("""COMPUTED_VALUE"""),200.0)</f>
        <v>200</v>
      </c>
      <c r="F358" s="49" t="str">
        <f>IFERROR(__xludf.DUMMYFUNCTION("""COMPUTED_VALUE"""),"DEF: +50000, Light DEF: +50000, Dark DEF: +50000, Celestial DEF: +50000 ++X2 Celestial Defense. +-Cannot be duplicated.")</f>
        <v>DEF: +50000, Light DEF: +50000, Dark DEF: +50000, Celestial DEF: +50000 ++X2 Celestial Defense. +-Cannot be duplicated.</v>
      </c>
      <c r="G358" s="49">
        <f>IFERROR(__xludf.DUMMYFUNCTION("""COMPUTED_VALUE"""),7.98E8)</f>
        <v>798000000</v>
      </c>
      <c r="H358" s="49"/>
      <c r="I358" s="49"/>
      <c r="J358" s="49"/>
      <c r="K358" s="49"/>
      <c r="L358" s="49"/>
      <c r="M358" s="49"/>
      <c r="N358" s="49"/>
      <c r="O358" s="49"/>
      <c r="P358" s="49"/>
      <c r="Q358" s="49"/>
      <c r="R358" s="49"/>
      <c r="S358" s="49"/>
      <c r="T358" s="49"/>
      <c r="U358" s="49"/>
      <c r="V358" s="49"/>
      <c r="W358" s="49"/>
      <c r="X358" s="49"/>
      <c r="Y358" s="49"/>
      <c r="Z358" s="49"/>
    </row>
    <row r="359">
      <c r="A359" s="49" t="str">
        <f>IFERROR(__xludf.DUMMYFUNCTION("""COMPUTED_VALUE"""),"Guard Leggings")</f>
        <v>Guard Leggings</v>
      </c>
      <c r="B359" s="49" t="str">
        <f>IFERROR(__xludf.DUMMYFUNCTION("""COMPUTED_VALUE"""),"Quest Item")</f>
        <v>Quest Item</v>
      </c>
      <c r="C359" s="49"/>
      <c r="D359" s="49" t="str">
        <f>IFERROR(__xludf.DUMMYFUNCTION("""COMPUTED_VALUE"""),"Legs")</f>
        <v>Legs</v>
      </c>
      <c r="E359" s="49">
        <f>IFERROR(__xludf.DUMMYFUNCTION("""COMPUTED_VALUE"""),200.0)</f>
        <v>200</v>
      </c>
      <c r="F359" s="49" t="str">
        <f>IFERROR(__xludf.DUMMYFUNCTION("""COMPUTED_VALUE"""),"DEF: +25000, Light DEF: +25000, Celestial DEF: +25000 +-Cannot be duplicated")</f>
        <v>DEF: +25000, Light DEF: +25000, Celestial DEF: +25000 +-Cannot be duplicated</v>
      </c>
      <c r="G359" s="49">
        <f>IFERROR(__xludf.DUMMYFUNCTION("""COMPUTED_VALUE"""),1.1175E8)</f>
        <v>111750000</v>
      </c>
      <c r="H359" s="49"/>
      <c r="I359" s="49"/>
      <c r="J359" s="49"/>
      <c r="K359" s="49"/>
      <c r="L359" s="49"/>
      <c r="M359" s="49"/>
      <c r="N359" s="49"/>
      <c r="O359" s="49"/>
      <c r="P359" s="49"/>
      <c r="Q359" s="49"/>
      <c r="R359" s="49"/>
      <c r="S359" s="49"/>
      <c r="T359" s="49"/>
      <c r="U359" s="49"/>
      <c r="V359" s="49"/>
      <c r="W359" s="49"/>
      <c r="X359" s="49"/>
      <c r="Y359" s="49"/>
      <c r="Z359" s="49"/>
    </row>
    <row r="360">
      <c r="A360" s="49" t="str">
        <f>IFERROR(__xludf.DUMMYFUNCTION("""COMPUTED_VALUE"""),"Guard Boots")</f>
        <v>Guard Boots</v>
      </c>
      <c r="B360" s="49" t="str">
        <f>IFERROR(__xludf.DUMMYFUNCTION("""COMPUTED_VALUE"""),"Quest Item")</f>
        <v>Quest Item</v>
      </c>
      <c r="C360" s="49"/>
      <c r="D360" s="49" t="str">
        <f>IFERROR(__xludf.DUMMYFUNCTION("""COMPUTED_VALUE"""),"Feet")</f>
        <v>Feet</v>
      </c>
      <c r="E360" s="49">
        <f>IFERROR(__xludf.DUMMYFUNCTION("""COMPUTED_VALUE"""),200.0)</f>
        <v>200</v>
      </c>
      <c r="F360" s="49" t="str">
        <f>IFERROR(__xludf.DUMMYFUNCTION("""COMPUTED_VALUE"""),"DEF: +25000, Light DEF: +25000, Celestial DEF: +25000 +-Cannot be duplicated")</f>
        <v>DEF: +25000, Light DEF: +25000, Celestial DEF: +25000 +-Cannot be duplicated</v>
      </c>
      <c r="G360" s="49">
        <f>IFERROR(__xludf.DUMMYFUNCTION("""COMPUTED_VALUE"""),1.1175E8)</f>
        <v>111750000</v>
      </c>
      <c r="H360" s="49"/>
      <c r="I360" s="49"/>
      <c r="J360" s="49"/>
      <c r="K360" s="49"/>
      <c r="L360" s="49"/>
      <c r="M360" s="49"/>
      <c r="N360" s="49"/>
      <c r="O360" s="49"/>
      <c r="P360" s="49"/>
      <c r="Q360" s="49"/>
      <c r="R360" s="49"/>
      <c r="S360" s="49"/>
      <c r="T360" s="49"/>
      <c r="U360" s="49"/>
      <c r="V360" s="49"/>
      <c r="W360" s="49"/>
      <c r="X360" s="49"/>
      <c r="Y360" s="49"/>
      <c r="Z360" s="49"/>
    </row>
    <row r="361">
      <c r="A361" s="49" t="str">
        <f>IFERROR(__xludf.DUMMYFUNCTION("""COMPUTED_VALUE"""),"Celestian Royal Boots")</f>
        <v>Celestian Royal Boots</v>
      </c>
      <c r="B361" s="49" t="str">
        <f>IFERROR(__xludf.DUMMYFUNCTION("""COMPUTED_VALUE"""),"Quest Item")</f>
        <v>Quest Item</v>
      </c>
      <c r="C361" s="49"/>
      <c r="D361" s="49" t="str">
        <f>IFERROR(__xludf.DUMMYFUNCTION("""COMPUTED_VALUE"""),"Feet")</f>
        <v>Feet</v>
      </c>
      <c r="E361" s="49">
        <f>IFERROR(__xludf.DUMMYFUNCTION("""COMPUTED_VALUE"""),200.0)</f>
        <v>200</v>
      </c>
      <c r="F361" s="49" t="str">
        <f>IFERROR(__xludf.DUMMYFUNCTION("""COMPUTED_VALUE"""),"DEF: +100000, Light DEF: +100000, Dark DEF: +100000, Celestial DEF: +100000 ++X6 Celestial Damage. +-Cannot be duplicated.")</f>
        <v>DEF: +100000, Light DEF: +100000, Dark DEF: +100000, Celestial DEF: +100000 ++X6 Celestial Damage. +-Cannot be duplicated.</v>
      </c>
      <c r="G361" s="49">
        <f>IFERROR(__xludf.DUMMYFUNCTION("""COMPUTED_VALUE"""),3.196E9)</f>
        <v>3196000000</v>
      </c>
      <c r="H361" s="49"/>
      <c r="I361" s="49"/>
      <c r="J361" s="49"/>
      <c r="K361" s="49"/>
      <c r="L361" s="49"/>
      <c r="M361" s="49"/>
      <c r="N361" s="49"/>
      <c r="O361" s="49"/>
      <c r="P361" s="49"/>
      <c r="Q361" s="49"/>
      <c r="R361" s="49"/>
      <c r="S361" s="49"/>
      <c r="T361" s="49"/>
      <c r="U361" s="49"/>
      <c r="V361" s="49"/>
      <c r="W361" s="49"/>
      <c r="X361" s="49"/>
      <c r="Y361" s="49"/>
      <c r="Z361" s="49"/>
    </row>
    <row r="362">
      <c r="A362" s="49" t="str">
        <f>IFERROR(__xludf.DUMMYFUNCTION("""COMPUTED_VALUE"""),"Celestian Royal Leggings")</f>
        <v>Celestian Royal Leggings</v>
      </c>
      <c r="B362" s="49" t="str">
        <f>IFERROR(__xludf.DUMMYFUNCTION("""COMPUTED_VALUE"""),"Quest Item")</f>
        <v>Quest Item</v>
      </c>
      <c r="C362" s="49"/>
      <c r="D362" s="49" t="str">
        <f>IFERROR(__xludf.DUMMYFUNCTION("""COMPUTED_VALUE"""),"Legs")</f>
        <v>Legs</v>
      </c>
      <c r="E362" s="49">
        <f>IFERROR(__xludf.DUMMYFUNCTION("""COMPUTED_VALUE"""),200.0)</f>
        <v>200</v>
      </c>
      <c r="F362" s="49" t="str">
        <f>IFERROR(__xludf.DUMMYFUNCTION("""COMPUTED_VALUE"""),"DEF: +100000, Light DEF: +100000, Dark DEF: +100000, Celestial DEF: +100000 ++X6 Celestial Damage. +-Cannot be duplicated.")</f>
        <v>DEF: +100000, Light DEF: +100000, Dark DEF: +100000, Celestial DEF: +100000 ++X6 Celestial Damage. +-Cannot be duplicated.</v>
      </c>
      <c r="G362" s="49">
        <f>IFERROR(__xludf.DUMMYFUNCTION("""COMPUTED_VALUE"""),3.196E9)</f>
        <v>3196000000</v>
      </c>
      <c r="H362" s="49"/>
      <c r="I362" s="49"/>
      <c r="J362" s="49"/>
      <c r="K362" s="49"/>
      <c r="L362" s="49"/>
      <c r="M362" s="49"/>
      <c r="N362" s="49"/>
      <c r="O362" s="49"/>
      <c r="P362" s="49"/>
      <c r="Q362" s="49"/>
      <c r="R362" s="49"/>
      <c r="S362" s="49"/>
      <c r="T362" s="49"/>
      <c r="U362" s="49"/>
      <c r="V362" s="49"/>
      <c r="W362" s="49"/>
      <c r="X362" s="49"/>
      <c r="Y362" s="49"/>
      <c r="Z362" s="49"/>
    </row>
    <row r="363">
      <c r="A363" s="49" t="str">
        <f>IFERROR(__xludf.DUMMYFUNCTION("""COMPUTED_VALUE"""),"Celestian Royal Helmet")</f>
        <v>Celestian Royal Helmet</v>
      </c>
      <c r="B363" s="49" t="str">
        <f>IFERROR(__xludf.DUMMYFUNCTION("""COMPUTED_VALUE"""),"Quest Item")</f>
        <v>Quest Item</v>
      </c>
      <c r="C363" s="49"/>
      <c r="D363" s="49" t="str">
        <f>IFERROR(__xludf.DUMMYFUNCTION("""COMPUTED_VALUE"""),"Head")</f>
        <v>Head</v>
      </c>
      <c r="E363" s="49">
        <f>IFERROR(__xludf.DUMMYFUNCTION("""COMPUTED_VALUE"""),200.0)</f>
        <v>200</v>
      </c>
      <c r="F363" s="49" t="str">
        <f>IFERROR(__xludf.DUMMYFUNCTION("""COMPUTED_VALUE"""),"DEF: +100000, Light DEF: +100000, Dark DEF: +100000, Celestial DEF: +100000 ++X6 Celestial Damage. +-Cannot be duplicated.")</f>
        <v>DEF: +100000, Light DEF: +100000, Dark DEF: +100000, Celestial DEF: +100000 ++X6 Celestial Damage. +-Cannot be duplicated.</v>
      </c>
      <c r="G363" s="49">
        <f>IFERROR(__xludf.DUMMYFUNCTION("""COMPUTED_VALUE"""),3.196E9)</f>
        <v>3196000000</v>
      </c>
      <c r="H363" s="49"/>
      <c r="I363" s="49"/>
      <c r="J363" s="49"/>
      <c r="K363" s="49"/>
      <c r="L363" s="49"/>
      <c r="M363" s="49"/>
      <c r="N363" s="49"/>
      <c r="O363" s="49"/>
      <c r="P363" s="49"/>
      <c r="Q363" s="49"/>
      <c r="R363" s="49"/>
      <c r="S363" s="49"/>
      <c r="T363" s="49"/>
      <c r="U363" s="49"/>
      <c r="V363" s="49"/>
      <c r="W363" s="49"/>
      <c r="X363" s="49"/>
      <c r="Y363" s="49"/>
      <c r="Z363" s="49"/>
    </row>
    <row r="364">
      <c r="A364" s="49" t="str">
        <f>IFERROR(__xludf.DUMMYFUNCTION("""COMPUTED_VALUE"""),"Celestian Royal Chestplate")</f>
        <v>Celestian Royal Chestplate</v>
      </c>
      <c r="B364" s="49" t="str">
        <f>IFERROR(__xludf.DUMMYFUNCTION("""COMPUTED_VALUE"""),"Quest Item")</f>
        <v>Quest Item</v>
      </c>
      <c r="C364" s="49"/>
      <c r="D364" s="49" t="str">
        <f>IFERROR(__xludf.DUMMYFUNCTION("""COMPUTED_VALUE"""),"Torso")</f>
        <v>Torso</v>
      </c>
      <c r="E364" s="49">
        <f>IFERROR(__xludf.DUMMYFUNCTION("""COMPUTED_VALUE"""),200.0)</f>
        <v>200</v>
      </c>
      <c r="F364" s="49" t="str">
        <f>IFERROR(__xludf.DUMMYFUNCTION("""COMPUTED_VALUE"""),"DEF: +100000, Light DEF: +100000, Dark DEF: +100000, Celestial DEF: +100000 ++X6 Celestial Damage. +-Cannot be duplicated.")</f>
        <v>DEF: +100000, Light DEF: +100000, Dark DEF: +100000, Celestial DEF: +100000 ++X6 Celestial Damage. +-Cannot be duplicated.</v>
      </c>
      <c r="G364" s="49">
        <f>IFERROR(__xludf.DUMMYFUNCTION("""COMPUTED_VALUE"""),3.196E9)</f>
        <v>3196000000</v>
      </c>
      <c r="H364" s="49"/>
      <c r="I364" s="49"/>
      <c r="J364" s="49"/>
      <c r="K364" s="49"/>
      <c r="L364" s="49"/>
      <c r="M364" s="49"/>
      <c r="N364" s="49"/>
      <c r="O364" s="49"/>
      <c r="P364" s="49"/>
      <c r="Q364" s="49"/>
      <c r="R364" s="49"/>
      <c r="S364" s="49"/>
      <c r="T364" s="49"/>
      <c r="U364" s="49"/>
      <c r="V364" s="49"/>
      <c r="W364" s="49"/>
      <c r="X364" s="49"/>
      <c r="Y364" s="49"/>
      <c r="Z364" s="49"/>
    </row>
    <row r="365">
      <c r="A365" s="49" t="str">
        <f>IFERROR(__xludf.DUMMYFUNCTION("""COMPUTED_VALUE"""),"Guard Chestplate")</f>
        <v>Guard Chestplate</v>
      </c>
      <c r="B365" s="49" t="str">
        <f>IFERROR(__xludf.DUMMYFUNCTION("""COMPUTED_VALUE"""),"Quest Item")</f>
        <v>Quest Item</v>
      </c>
      <c r="C365" s="49"/>
      <c r="D365" s="49" t="str">
        <f>IFERROR(__xludf.DUMMYFUNCTION("""COMPUTED_VALUE"""),"Torso")</f>
        <v>Torso</v>
      </c>
      <c r="E365" s="49">
        <f>IFERROR(__xludf.DUMMYFUNCTION("""COMPUTED_VALUE"""),200.0)</f>
        <v>200</v>
      </c>
      <c r="F365" s="49" t="str">
        <f>IFERROR(__xludf.DUMMYFUNCTION("""COMPUTED_VALUE"""),"DEF: +25000, Light DEF: +25000, Celestial DEF: +25000 +-Cannot be duplicated.")</f>
        <v>DEF: +25000, Light DEF: +25000, Celestial DEF: +25000 +-Cannot be duplicated.</v>
      </c>
      <c r="G365" s="49">
        <f>IFERROR(__xludf.DUMMYFUNCTION("""COMPUTED_VALUE"""),1.1175E8)</f>
        <v>111750000</v>
      </c>
      <c r="H365" s="49"/>
      <c r="I365" s="49"/>
      <c r="J365" s="49"/>
      <c r="K365" s="49"/>
      <c r="L365" s="49"/>
      <c r="M365" s="49"/>
      <c r="N365" s="49"/>
      <c r="O365" s="49"/>
      <c r="P365" s="49"/>
      <c r="Q365" s="49"/>
      <c r="R365" s="49"/>
      <c r="S365" s="49"/>
      <c r="T365" s="49"/>
      <c r="U365" s="49"/>
      <c r="V365" s="49"/>
      <c r="W365" s="49"/>
      <c r="X365" s="49"/>
      <c r="Y365" s="49"/>
      <c r="Z365" s="49"/>
    </row>
    <row r="366">
      <c r="A366" s="49" t="str">
        <f>IFERROR(__xludf.DUMMYFUNCTION("""COMPUTED_VALUE"""),"Revolver")</f>
        <v>Revolver</v>
      </c>
      <c r="B366" s="49"/>
      <c r="C366" s="49" t="str">
        <f>IFERROR(__xludf.DUMMYFUNCTION("""COMPUTED_VALUE"""),"Firearm")</f>
        <v>Firearm</v>
      </c>
      <c r="D366" s="49" t="str">
        <f>IFERROR(__xludf.DUMMYFUNCTION("""COMPUTED_VALUE"""),"Hand")</f>
        <v>Hand</v>
      </c>
      <c r="E366" s="49">
        <f>IFERROR(__xludf.DUMMYFUNCTION("""COMPUTED_VALUE"""),200.0)</f>
        <v>200</v>
      </c>
      <c r="F366" s="49" t="str">
        <f>IFERROR(__xludf.DUMMYFUNCTION("""COMPUTED_VALUE"""),"DMG: +5000, Blood DMG: +5000")</f>
        <v>DMG: +5000, Blood DMG: +5000</v>
      </c>
      <c r="G366" s="49">
        <f>IFERROR(__xludf.DUMMYFUNCTION("""COMPUTED_VALUE"""),1900000.0)</f>
        <v>1900000</v>
      </c>
      <c r="H366" s="49"/>
      <c r="I366" s="49"/>
      <c r="J366" s="49"/>
      <c r="K366" s="49"/>
      <c r="L366" s="49"/>
      <c r="M366" s="49"/>
      <c r="N366" s="49"/>
      <c r="O366" s="49"/>
      <c r="P366" s="49"/>
      <c r="Q366" s="49"/>
      <c r="R366" s="49"/>
      <c r="S366" s="49"/>
      <c r="T366" s="49"/>
      <c r="U366" s="49"/>
      <c r="V366" s="49"/>
      <c r="W366" s="49"/>
      <c r="X366" s="49"/>
      <c r="Y366" s="49"/>
      <c r="Z366" s="49"/>
    </row>
    <row r="367">
      <c r="A367" s="49" t="str">
        <f>IFERROR(__xludf.DUMMYFUNCTION("""COMPUTED_VALUE"""),"Musket")</f>
        <v>Musket</v>
      </c>
      <c r="B367" s="49"/>
      <c r="C367" s="49" t="str">
        <f>IFERROR(__xludf.DUMMYFUNCTION("""COMPUTED_VALUE"""),"Firearm")</f>
        <v>Firearm</v>
      </c>
      <c r="D367" s="49" t="str">
        <f>IFERROR(__xludf.DUMMYFUNCTION("""COMPUTED_VALUE"""),"Hand")</f>
        <v>Hand</v>
      </c>
      <c r="E367" s="49">
        <f>IFERROR(__xludf.DUMMYFUNCTION("""COMPUTED_VALUE"""),400.0)</f>
        <v>400</v>
      </c>
      <c r="F367" s="49" t="str">
        <f>IFERROR(__xludf.DUMMYFUNCTION("""COMPUTED_VALUE"""),"DMG: +10000, Blood DMG: +10000")</f>
        <v>DMG: +10000, Blood DMG: +10000</v>
      </c>
      <c r="G367" s="49">
        <f>IFERROR(__xludf.DUMMYFUNCTION("""COMPUTED_VALUE"""),7800000.0)</f>
        <v>7800000</v>
      </c>
      <c r="H367" s="49"/>
      <c r="I367" s="49"/>
      <c r="J367" s="49"/>
      <c r="K367" s="49"/>
      <c r="L367" s="49"/>
      <c r="M367" s="49"/>
      <c r="N367" s="49"/>
      <c r="O367" s="49"/>
      <c r="P367" s="49"/>
      <c r="Q367" s="49"/>
      <c r="R367" s="49"/>
      <c r="S367" s="49"/>
      <c r="T367" s="49"/>
      <c r="U367" s="49"/>
      <c r="V367" s="49"/>
      <c r="W367" s="49"/>
      <c r="X367" s="49"/>
      <c r="Y367" s="49"/>
      <c r="Z367" s="49"/>
    </row>
    <row r="368">
      <c r="A368" s="49" t="str">
        <f>IFERROR(__xludf.DUMMYFUNCTION("""COMPUTED_VALUE"""),"Lazer Infused Railgun")</f>
        <v>Lazer Infused Railgun</v>
      </c>
      <c r="B368" s="49"/>
      <c r="C368" s="49" t="str">
        <f>IFERROR(__xludf.DUMMYFUNCTION("""COMPUTED_VALUE"""),"Firearm")</f>
        <v>Firearm</v>
      </c>
      <c r="D368" s="49" t="str">
        <f>IFERROR(__xludf.DUMMYFUNCTION("""COMPUTED_VALUE"""),"Hand")</f>
        <v>Hand</v>
      </c>
      <c r="E368" s="49">
        <f>IFERROR(__xludf.DUMMYFUNCTION("""COMPUTED_VALUE"""),1600.0)</f>
        <v>1600</v>
      </c>
      <c r="F368" s="49"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49">
        <f>IFERROR(__xludf.DUMMYFUNCTION("""COMPUTED_VALUE"""),1.272E8)</f>
        <v>127200000</v>
      </c>
      <c r="H368" s="49"/>
      <c r="I368" s="49"/>
      <c r="J368" s="49"/>
      <c r="K368" s="49"/>
      <c r="L368" s="49"/>
      <c r="M368" s="49"/>
      <c r="N368" s="49"/>
      <c r="O368" s="49"/>
      <c r="P368" s="49"/>
      <c r="Q368" s="49"/>
      <c r="R368" s="49"/>
      <c r="S368" s="49"/>
      <c r="T368" s="49"/>
      <c r="U368" s="49"/>
      <c r="V368" s="49"/>
      <c r="W368" s="49"/>
      <c r="X368" s="49"/>
      <c r="Y368" s="49"/>
      <c r="Z368" s="49"/>
    </row>
    <row r="369">
      <c r="A369" s="49" t="str">
        <f>IFERROR(__xludf.DUMMYFUNCTION("""COMPUTED_VALUE"""),"Minigun")</f>
        <v>Minigun</v>
      </c>
      <c r="B369" s="49"/>
      <c r="C369" s="49" t="str">
        <f>IFERROR(__xludf.DUMMYFUNCTION("""COMPUTED_VALUE"""),"Firearm")</f>
        <v>Firearm</v>
      </c>
      <c r="D369" s="49" t="str">
        <f>IFERROR(__xludf.DUMMYFUNCTION("""COMPUTED_VALUE"""),"Hand")</f>
        <v>Hand</v>
      </c>
      <c r="E369" s="49">
        <f>IFERROR(__xludf.DUMMYFUNCTION("""COMPUTED_VALUE"""),1200.0)</f>
        <v>1200</v>
      </c>
      <c r="F369" s="49"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49">
        <f>IFERROR(__xludf.DUMMYFUNCTION("""COMPUTED_VALUE"""),7.14E7)</f>
        <v>71400000</v>
      </c>
      <c r="H369" s="49"/>
      <c r="I369" s="49"/>
      <c r="J369" s="49"/>
      <c r="K369" s="49"/>
      <c r="L369" s="49"/>
      <c r="M369" s="49"/>
      <c r="N369" s="49"/>
      <c r="O369" s="49"/>
      <c r="P369" s="49"/>
      <c r="Q369" s="49"/>
      <c r="R369" s="49"/>
      <c r="S369" s="49"/>
      <c r="T369" s="49"/>
      <c r="U369" s="49"/>
      <c r="V369" s="49"/>
      <c r="W369" s="49"/>
      <c r="X369" s="49"/>
      <c r="Y369" s="49"/>
      <c r="Z369" s="49"/>
    </row>
    <row r="370">
      <c r="A370" s="49" t="str">
        <f>IFERROR(__xludf.DUMMYFUNCTION("""COMPUTED_VALUE"""),"Seahorse’s Ring")</f>
        <v>Seahorse’s Ring</v>
      </c>
      <c r="B370" s="49"/>
      <c r="C370" s="49"/>
      <c r="D370" s="49" t="str">
        <f>IFERROR(__xludf.DUMMYFUNCTION("""COMPUTED_VALUE"""),"Ring")</f>
        <v>Ring</v>
      </c>
      <c r="E370" s="49">
        <f>IFERROR(__xludf.DUMMYFUNCTION("""COMPUTED_VALUE"""),20.0)</f>
        <v>20</v>
      </c>
      <c r="F370" s="49"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49">
        <f>IFERROR(__xludf.DUMMYFUNCTION("""COMPUTED_VALUE"""),10000.0)</f>
        <v>10000</v>
      </c>
      <c r="H370" s="49"/>
      <c r="I370" s="49"/>
      <c r="J370" s="49"/>
      <c r="K370" s="49"/>
      <c r="L370" s="49"/>
      <c r="M370" s="49"/>
      <c r="N370" s="49"/>
      <c r="O370" s="49"/>
      <c r="P370" s="49"/>
      <c r="Q370" s="49"/>
      <c r="R370" s="49"/>
      <c r="S370" s="49"/>
      <c r="T370" s="49"/>
      <c r="U370" s="49"/>
      <c r="V370" s="49"/>
      <c r="W370" s="49"/>
      <c r="X370" s="49"/>
      <c r="Y370" s="49"/>
      <c r="Z370" s="49"/>
    </row>
    <row r="371">
      <c r="A371" s="49" t="str">
        <f>IFERROR(__xludf.DUMMYFUNCTION("""COMPUTED_VALUE"""),"Bamboo Vambraces")</f>
        <v>Bamboo Vambraces</v>
      </c>
      <c r="B371" s="49"/>
      <c r="C371" s="49"/>
      <c r="D371" s="49" t="str">
        <f>IFERROR(__xludf.DUMMYFUNCTION("""COMPUTED_VALUE"""),"Arms")</f>
        <v>Arms</v>
      </c>
      <c r="E371" s="49">
        <f>IFERROR(__xludf.DUMMYFUNCTION("""COMPUTED_VALUE"""),40.0)</f>
        <v>40</v>
      </c>
      <c r="F371" s="49" t="str">
        <f>IFERROR(__xludf.DUMMYFUNCTION("""COMPUTED_VALUE"""),"DEF: +1000, Nature DEF: +1000")</f>
        <v>DEF: +1000, Nature DEF: +1000</v>
      </c>
      <c r="G371" s="49">
        <f>IFERROR(__xludf.DUMMYFUNCTION("""COMPUTED_VALUE"""),60000.0)</f>
        <v>60000</v>
      </c>
      <c r="H371" s="49"/>
      <c r="I371" s="49"/>
      <c r="J371" s="49"/>
      <c r="K371" s="49"/>
      <c r="L371" s="49"/>
      <c r="M371" s="49"/>
      <c r="N371" s="49"/>
      <c r="O371" s="49"/>
      <c r="P371" s="49"/>
      <c r="Q371" s="49"/>
      <c r="R371" s="49"/>
      <c r="S371" s="49"/>
      <c r="T371" s="49"/>
      <c r="U371" s="49"/>
      <c r="V371" s="49"/>
      <c r="W371" s="49"/>
      <c r="X371" s="49"/>
      <c r="Y371" s="49"/>
      <c r="Z371" s="49"/>
    </row>
    <row r="372">
      <c r="A372" s="49" t="str">
        <f>IFERROR(__xludf.DUMMYFUNCTION("""COMPUTED_VALUE"""),"Bamboo Pauldrons")</f>
        <v>Bamboo Pauldrons</v>
      </c>
      <c r="B372" s="49"/>
      <c r="C372" s="49"/>
      <c r="D372" s="49" t="str">
        <f>IFERROR(__xludf.DUMMYFUNCTION("""COMPUTED_VALUE"""),"Shoulders")</f>
        <v>Shoulders</v>
      </c>
      <c r="E372" s="49">
        <f>IFERROR(__xludf.DUMMYFUNCTION("""COMPUTED_VALUE"""),40.0)</f>
        <v>40</v>
      </c>
      <c r="F372" s="49" t="str">
        <f>IFERROR(__xludf.DUMMYFUNCTION("""COMPUTED_VALUE"""),"DEF: +1000, Nature DEF: +1000")</f>
        <v>DEF: +1000, Nature DEF: +1000</v>
      </c>
      <c r="G372" s="49">
        <f>IFERROR(__xludf.DUMMYFUNCTION("""COMPUTED_VALUE"""),60000.0)</f>
        <v>60000</v>
      </c>
      <c r="H372" s="49"/>
      <c r="I372" s="49"/>
      <c r="J372" s="49"/>
      <c r="K372" s="49"/>
      <c r="L372" s="49"/>
      <c r="M372" s="49"/>
      <c r="N372" s="49"/>
      <c r="O372" s="49"/>
      <c r="P372" s="49"/>
      <c r="Q372" s="49"/>
      <c r="R372" s="49"/>
      <c r="S372" s="49"/>
      <c r="T372" s="49"/>
      <c r="U372" s="49"/>
      <c r="V372" s="49"/>
      <c r="W372" s="49"/>
      <c r="X372" s="49"/>
      <c r="Y372" s="49"/>
      <c r="Z372" s="49"/>
    </row>
    <row r="373">
      <c r="A373" s="49" t="str">
        <f>IFERROR(__xludf.DUMMYFUNCTION("""COMPUTED_VALUE"""),"Bamboo Chestplate")</f>
        <v>Bamboo Chestplate</v>
      </c>
      <c r="B373" s="49"/>
      <c r="C373" s="49"/>
      <c r="D373" s="49" t="str">
        <f>IFERROR(__xludf.DUMMYFUNCTION("""COMPUTED_VALUE"""),"Torso")</f>
        <v>Torso</v>
      </c>
      <c r="E373" s="49">
        <f>IFERROR(__xludf.DUMMYFUNCTION("""COMPUTED_VALUE"""),40.0)</f>
        <v>40</v>
      </c>
      <c r="F373" s="49" t="str">
        <f>IFERROR(__xludf.DUMMYFUNCTION("""COMPUTED_VALUE"""),"DEF: +1000, Nature DEF: +1000")</f>
        <v>DEF: +1000, Nature DEF: +1000</v>
      </c>
      <c r="G373" s="49">
        <f>IFERROR(__xludf.DUMMYFUNCTION("""COMPUTED_VALUE"""),60000.0)</f>
        <v>60000</v>
      </c>
      <c r="H373" s="49"/>
      <c r="I373" s="49"/>
      <c r="J373" s="49"/>
      <c r="K373" s="49"/>
      <c r="L373" s="49"/>
      <c r="M373" s="49"/>
      <c r="N373" s="49"/>
      <c r="O373" s="49"/>
      <c r="P373" s="49"/>
      <c r="Q373" s="49"/>
      <c r="R373" s="49"/>
      <c r="S373" s="49"/>
      <c r="T373" s="49"/>
      <c r="U373" s="49"/>
      <c r="V373" s="49"/>
      <c r="W373" s="49"/>
      <c r="X373" s="49"/>
      <c r="Y373" s="49"/>
      <c r="Z373" s="49"/>
    </row>
    <row r="374">
      <c r="A374" s="49" t="str">
        <f>IFERROR(__xludf.DUMMYFUNCTION("""COMPUTED_VALUE"""),"Bamboo Greaves")</f>
        <v>Bamboo Greaves</v>
      </c>
      <c r="B374" s="49"/>
      <c r="C374" s="49"/>
      <c r="D374" s="49" t="str">
        <f>IFERROR(__xludf.DUMMYFUNCTION("""COMPUTED_VALUE"""),"Legs")</f>
        <v>Legs</v>
      </c>
      <c r="E374" s="49">
        <f>IFERROR(__xludf.DUMMYFUNCTION("""COMPUTED_VALUE"""),40.0)</f>
        <v>40</v>
      </c>
      <c r="F374" s="49" t="str">
        <f>IFERROR(__xludf.DUMMYFUNCTION("""COMPUTED_VALUE"""),"DEF: +1000, Nature DEF: +1000")</f>
        <v>DEF: +1000, Nature DEF: +1000</v>
      </c>
      <c r="G374" s="49">
        <f>IFERROR(__xludf.DUMMYFUNCTION("""COMPUTED_VALUE"""),60000.0)</f>
        <v>60000</v>
      </c>
      <c r="H374" s="49"/>
      <c r="I374" s="49"/>
      <c r="J374" s="49"/>
      <c r="K374" s="49"/>
      <c r="L374" s="49"/>
      <c r="M374" s="49"/>
      <c r="N374" s="49"/>
      <c r="O374" s="49"/>
      <c r="P374" s="49"/>
      <c r="Q374" s="49"/>
      <c r="R374" s="49"/>
      <c r="S374" s="49"/>
      <c r="T374" s="49"/>
      <c r="U374" s="49"/>
      <c r="V374" s="49"/>
      <c r="W374" s="49"/>
      <c r="X374" s="49"/>
      <c r="Y374" s="49"/>
      <c r="Z374" s="49"/>
    </row>
    <row r="375">
      <c r="A375" s="49" t="str">
        <f>IFERROR(__xludf.DUMMYFUNCTION("""COMPUTED_VALUE"""),"Strengthened Bamboo Sword")</f>
        <v>Strengthened Bamboo Sword</v>
      </c>
      <c r="B375" s="49"/>
      <c r="C375" s="49" t="str">
        <f>IFERROR(__xludf.DUMMYFUNCTION("""COMPUTED_VALUE"""),"Sword")</f>
        <v>Sword</v>
      </c>
      <c r="D375" s="49" t="str">
        <f>IFERROR(__xludf.DUMMYFUNCTION("""COMPUTED_VALUE"""),"Hand")</f>
        <v>Hand</v>
      </c>
      <c r="E375" s="49">
        <f>IFERROR(__xludf.DUMMYFUNCTION("""COMPUTED_VALUE"""),40.0)</f>
        <v>40</v>
      </c>
      <c r="F375" s="49" t="str">
        <f>IFERROR(__xludf.DUMMYFUNCTION("""COMPUTED_VALUE"""),"DMG: +1000, Nature DMG: +1000 ++X4 damage for this weapon if the battle is in a Forest or Jungle.")</f>
        <v>DMG: +1000, Nature DMG: +1000 ++X4 damage for this weapon if the battle is in a Forest or Jungle.</v>
      </c>
      <c r="G375" s="49">
        <f>IFERROR(__xludf.DUMMYFUNCTION("""COMPUTED_VALUE"""),60000.0)</f>
        <v>60000</v>
      </c>
      <c r="H375" s="49"/>
      <c r="I375" s="49"/>
      <c r="J375" s="49"/>
      <c r="K375" s="49"/>
      <c r="L375" s="49"/>
      <c r="M375" s="49"/>
      <c r="N375" s="49"/>
      <c r="O375" s="49"/>
      <c r="P375" s="49"/>
      <c r="Q375" s="49"/>
      <c r="R375" s="49"/>
      <c r="S375" s="49"/>
      <c r="T375" s="49"/>
      <c r="U375" s="49"/>
      <c r="V375" s="49"/>
      <c r="W375" s="49"/>
      <c r="X375" s="49"/>
      <c r="Y375" s="49"/>
      <c r="Z375" s="49"/>
    </row>
    <row r="376">
      <c r="A376" s="49" t="str">
        <f>IFERROR(__xludf.DUMMYFUNCTION("""COMPUTED_VALUE"""),"Bamboo Sandals")</f>
        <v>Bamboo Sandals</v>
      </c>
      <c r="B376" s="49"/>
      <c r="C376" s="49"/>
      <c r="D376" s="49" t="str">
        <f>IFERROR(__xludf.DUMMYFUNCTION("""COMPUTED_VALUE"""),"Feet")</f>
        <v>Feet</v>
      </c>
      <c r="E376" s="49">
        <f>IFERROR(__xludf.DUMMYFUNCTION("""COMPUTED_VALUE"""),40.0)</f>
        <v>40</v>
      </c>
      <c r="F376" s="49" t="str">
        <f>IFERROR(__xludf.DUMMYFUNCTION("""COMPUTED_VALUE"""),"DEF: +1000, Nature DEF: +1000")</f>
        <v>DEF: +1000, Nature DEF: +1000</v>
      </c>
      <c r="G376" s="49">
        <f>IFERROR(__xludf.DUMMYFUNCTION("""COMPUTED_VALUE"""),60000.0)</f>
        <v>60000</v>
      </c>
      <c r="H376" s="49"/>
      <c r="I376" s="49"/>
      <c r="J376" s="49"/>
      <c r="K376" s="49"/>
      <c r="L376" s="49"/>
      <c r="M376" s="49"/>
      <c r="N376" s="49"/>
      <c r="O376" s="49"/>
      <c r="P376" s="49"/>
      <c r="Q376" s="49"/>
      <c r="R376" s="49"/>
      <c r="S376" s="49"/>
      <c r="T376" s="49"/>
      <c r="U376" s="49"/>
      <c r="V376" s="49"/>
      <c r="W376" s="49"/>
      <c r="X376" s="49"/>
      <c r="Y376" s="49"/>
      <c r="Z376" s="49"/>
    </row>
    <row r="377">
      <c r="A377" s="49" t="str">
        <f>IFERROR(__xludf.DUMMYFUNCTION("""COMPUTED_VALUE"""),"Greaves of Foul Night")</f>
        <v>Greaves of Foul Night</v>
      </c>
      <c r="B377" s="49"/>
      <c r="C377" s="49"/>
      <c r="D377" s="49" t="str">
        <f>IFERROR(__xludf.DUMMYFUNCTION("""COMPUTED_VALUE"""),"Legs")</f>
        <v>Legs</v>
      </c>
      <c r="E377" s="49">
        <f>IFERROR(__xludf.DUMMYFUNCTION("""COMPUTED_VALUE"""),200.0)</f>
        <v>200</v>
      </c>
      <c r="F377" s="49" t="str">
        <f>IFERROR(__xludf.DUMMYFUNCTION("""COMPUTED_VALUE"""),"DEF: +5000, Nature DEF: +5000 (Foul Night Set) ++X2 Nature and Poison damage, Poison Immunity.")</f>
        <v>DEF: +5000, Nature DEF: +5000 (Foul Night Set) ++X2 Nature and Poison damage, Poison Immunity.</v>
      </c>
      <c r="G377" s="49">
        <f>IFERROR(__xludf.DUMMYFUNCTION("""COMPUTED_VALUE"""),1900000.0)</f>
        <v>1900000</v>
      </c>
      <c r="H377" s="49"/>
      <c r="I377" s="49"/>
      <c r="J377" s="49"/>
      <c r="K377" s="49"/>
      <c r="L377" s="49"/>
      <c r="M377" s="49"/>
      <c r="N377" s="49"/>
      <c r="O377" s="49"/>
      <c r="P377" s="49"/>
      <c r="Q377" s="49"/>
      <c r="R377" s="49"/>
      <c r="S377" s="49"/>
      <c r="T377" s="49"/>
      <c r="U377" s="49"/>
      <c r="V377" s="49"/>
      <c r="W377" s="49"/>
      <c r="X377" s="49"/>
      <c r="Y377" s="49"/>
      <c r="Z377" s="49"/>
    </row>
    <row r="378">
      <c r="A378" s="49" t="str">
        <f>IFERROR(__xludf.DUMMYFUNCTION("""COMPUTED_VALUE"""),"Vambraces of Foul Night")</f>
        <v>Vambraces of Foul Night</v>
      </c>
      <c r="B378" s="49"/>
      <c r="C378" s="49"/>
      <c r="D378" s="49" t="str">
        <f>IFERROR(__xludf.DUMMYFUNCTION("""COMPUTED_VALUE"""),"Arms")</f>
        <v>Arms</v>
      </c>
      <c r="E378" s="49">
        <f>IFERROR(__xludf.DUMMYFUNCTION("""COMPUTED_VALUE"""),200.0)</f>
        <v>200</v>
      </c>
      <c r="F378" s="49" t="str">
        <f>IFERROR(__xludf.DUMMYFUNCTION("""COMPUTED_VALUE"""),"DEF: +5000, Dark DEF: +5000 (Foul Night Set) ++X2 Dark and Poison damage, Poison Immunity.")</f>
        <v>DEF: +5000, Dark DEF: +5000 (Foul Night Set) ++X2 Dark and Poison damage, Poison Immunity.</v>
      </c>
      <c r="G378" s="49">
        <f>IFERROR(__xludf.DUMMYFUNCTION("""COMPUTED_VALUE"""),1900000.0)</f>
        <v>1900000</v>
      </c>
      <c r="H378" s="49"/>
      <c r="I378" s="49"/>
      <c r="J378" s="49"/>
      <c r="K378" s="49"/>
      <c r="L378" s="49"/>
      <c r="M378" s="49"/>
      <c r="N378" s="49"/>
      <c r="O378" s="49"/>
      <c r="P378" s="49"/>
      <c r="Q378" s="49"/>
      <c r="R378" s="49"/>
      <c r="S378" s="49"/>
      <c r="T378" s="49"/>
      <c r="U378" s="49"/>
      <c r="V378" s="49"/>
      <c r="W378" s="49"/>
      <c r="X378" s="49"/>
      <c r="Y378" s="49"/>
      <c r="Z378" s="49"/>
    </row>
    <row r="379">
      <c r="A379" s="49" t="str">
        <f>IFERROR(__xludf.DUMMYFUNCTION("""COMPUTED_VALUE"""),"Boots of Foul Night")</f>
        <v>Boots of Foul Night</v>
      </c>
      <c r="B379" s="49"/>
      <c r="C379" s="49"/>
      <c r="D379" s="49" t="str">
        <f>IFERROR(__xludf.DUMMYFUNCTION("""COMPUTED_VALUE"""),"Feet")</f>
        <v>Feet</v>
      </c>
      <c r="E379" s="49">
        <f>IFERROR(__xludf.DUMMYFUNCTION("""COMPUTED_VALUE"""),200.0)</f>
        <v>200</v>
      </c>
      <c r="F379" s="49" t="str">
        <f>IFERROR(__xludf.DUMMYFUNCTION("""COMPUTED_VALUE"""),"DEF: +5000, Dark DEF: +5000 (Foul Night Set) ++X2 Dark and Poison damage, Poison Immunity.")</f>
        <v>DEF: +5000, Dark DEF: +5000 (Foul Night Set) ++X2 Dark and Poison damage, Poison Immunity.</v>
      </c>
      <c r="G379" s="49">
        <f>IFERROR(__xludf.DUMMYFUNCTION("""COMPUTED_VALUE"""),1900000.0)</f>
        <v>1900000</v>
      </c>
      <c r="H379" s="49"/>
      <c r="I379" s="49"/>
      <c r="J379" s="49"/>
      <c r="K379" s="49"/>
      <c r="L379" s="49"/>
      <c r="M379" s="49"/>
      <c r="N379" s="49"/>
      <c r="O379" s="49"/>
      <c r="P379" s="49"/>
      <c r="Q379" s="49"/>
      <c r="R379" s="49"/>
      <c r="S379" s="49"/>
      <c r="T379" s="49"/>
      <c r="U379" s="49"/>
      <c r="V379" s="49"/>
      <c r="W379" s="49"/>
      <c r="X379" s="49"/>
      <c r="Y379" s="49"/>
      <c r="Z379" s="49"/>
    </row>
    <row r="380">
      <c r="A380" s="49" t="str">
        <f>IFERROR(__xludf.DUMMYFUNCTION("""COMPUTED_VALUE"""),"Pauldrons of Foul Night")</f>
        <v>Pauldrons of Foul Night</v>
      </c>
      <c r="B380" s="49"/>
      <c r="C380" s="49"/>
      <c r="D380" s="49" t="str">
        <f>IFERROR(__xludf.DUMMYFUNCTION("""COMPUTED_VALUE"""),"Shoulders")</f>
        <v>Shoulders</v>
      </c>
      <c r="E380" s="49">
        <f>IFERROR(__xludf.DUMMYFUNCTION("""COMPUTED_VALUE"""),200.0)</f>
        <v>200</v>
      </c>
      <c r="F380" s="49" t="str">
        <f>IFERROR(__xludf.DUMMYFUNCTION("""COMPUTED_VALUE"""),"DEF: +5000, Dark DEF: +5000 (Foul Night Set) ++X2 Dark and Poison damage, Poison Immunity.")</f>
        <v>DEF: +5000, Dark DEF: +5000 (Foul Night Set) ++X2 Dark and Poison damage, Poison Immunity.</v>
      </c>
      <c r="G380" s="49">
        <f>IFERROR(__xludf.DUMMYFUNCTION("""COMPUTED_VALUE"""),1900000.0)</f>
        <v>1900000</v>
      </c>
      <c r="H380" s="49"/>
      <c r="I380" s="49"/>
      <c r="J380" s="49"/>
      <c r="K380" s="49"/>
      <c r="L380" s="49"/>
      <c r="M380" s="49"/>
      <c r="N380" s="49"/>
      <c r="O380" s="49"/>
      <c r="P380" s="49"/>
      <c r="Q380" s="49"/>
      <c r="R380" s="49"/>
      <c r="S380" s="49"/>
      <c r="T380" s="49"/>
      <c r="U380" s="49"/>
      <c r="V380" s="49"/>
      <c r="W380" s="49"/>
      <c r="X380" s="49"/>
      <c r="Y380" s="49"/>
      <c r="Z380" s="49"/>
    </row>
    <row r="381">
      <c r="A381" s="49" t="str">
        <f>IFERROR(__xludf.DUMMYFUNCTION("""COMPUTED_VALUE"""),"Crystal Forged Pauldrons")</f>
        <v>Crystal Forged Pauldrons</v>
      </c>
      <c r="B381" s="49"/>
      <c r="C381" s="49"/>
      <c r="D381" s="49" t="str">
        <f>IFERROR(__xludf.DUMMYFUNCTION("""COMPUTED_VALUE"""),"Shoulders")</f>
        <v>Shoulders</v>
      </c>
      <c r="E381" s="49">
        <f>IFERROR(__xludf.DUMMYFUNCTION("""COMPUTED_VALUE"""),200.0)</f>
        <v>200</v>
      </c>
      <c r="F381" s="49"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49">
        <f>IFERROR(__xludf.DUMMYFUNCTION("""COMPUTED_VALUE"""),1900000.0)</f>
        <v>1900000</v>
      </c>
      <c r="H381" s="49"/>
      <c r="I381" s="49"/>
      <c r="J381" s="49"/>
      <c r="K381" s="49"/>
      <c r="L381" s="49"/>
      <c r="M381" s="49"/>
      <c r="N381" s="49"/>
      <c r="O381" s="49"/>
      <c r="P381" s="49"/>
      <c r="Q381" s="49"/>
      <c r="R381" s="49"/>
      <c r="S381" s="49"/>
      <c r="T381" s="49"/>
      <c r="U381" s="49"/>
      <c r="V381" s="49"/>
      <c r="W381" s="49"/>
      <c r="X381" s="49"/>
      <c r="Y381" s="49"/>
      <c r="Z381" s="49"/>
    </row>
    <row r="382">
      <c r="A382" s="49" t="str">
        <f>IFERROR(__xludf.DUMMYFUNCTION("""COMPUTED_VALUE"""),"Crystal Forged Greaves")</f>
        <v>Crystal Forged Greaves</v>
      </c>
      <c r="B382" s="49"/>
      <c r="C382" s="49"/>
      <c r="D382" s="49" t="str">
        <f>IFERROR(__xludf.DUMMYFUNCTION("""COMPUTED_VALUE"""),"Legs")</f>
        <v>Legs</v>
      </c>
      <c r="E382" s="49">
        <f>IFERROR(__xludf.DUMMYFUNCTION("""COMPUTED_VALUE"""),200.0)</f>
        <v>200</v>
      </c>
      <c r="F382" s="49"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49">
        <f>IFERROR(__xludf.DUMMYFUNCTION("""COMPUTED_VALUE"""),1900000.0)</f>
        <v>1900000</v>
      </c>
      <c r="H382" s="49"/>
      <c r="I382" s="49"/>
      <c r="J382" s="49"/>
      <c r="K382" s="49"/>
      <c r="L382" s="49"/>
      <c r="M382" s="49"/>
      <c r="N382" s="49"/>
      <c r="O382" s="49"/>
      <c r="P382" s="49"/>
      <c r="Q382" s="49"/>
      <c r="R382" s="49"/>
      <c r="S382" s="49"/>
      <c r="T382" s="49"/>
      <c r="U382" s="49"/>
      <c r="V382" s="49"/>
      <c r="W382" s="49"/>
      <c r="X382" s="49"/>
      <c r="Y382" s="49"/>
      <c r="Z382" s="49"/>
    </row>
    <row r="383">
      <c r="A383" s="49" t="str">
        <f>IFERROR(__xludf.DUMMYFUNCTION("""COMPUTED_VALUE"""),"Crystal Forged Boots")</f>
        <v>Crystal Forged Boots</v>
      </c>
      <c r="B383" s="49"/>
      <c r="C383" s="49"/>
      <c r="D383" s="49" t="str">
        <f>IFERROR(__xludf.DUMMYFUNCTION("""COMPUTED_VALUE"""),"Feet")</f>
        <v>Feet</v>
      </c>
      <c r="E383" s="49">
        <f>IFERROR(__xludf.DUMMYFUNCTION("""COMPUTED_VALUE"""),200.0)</f>
        <v>200</v>
      </c>
      <c r="F383" s="49"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49">
        <f>IFERROR(__xludf.DUMMYFUNCTION("""COMPUTED_VALUE"""),1900000.0)</f>
        <v>1900000</v>
      </c>
      <c r="H383" s="49"/>
      <c r="I383" s="49"/>
      <c r="J383" s="49"/>
      <c r="K383" s="49"/>
      <c r="L383" s="49"/>
      <c r="M383" s="49"/>
      <c r="N383" s="49"/>
      <c r="O383" s="49"/>
      <c r="P383" s="49"/>
      <c r="Q383" s="49"/>
      <c r="R383" s="49"/>
      <c r="S383" s="49"/>
      <c r="T383" s="49"/>
      <c r="U383" s="49"/>
      <c r="V383" s="49"/>
      <c r="W383" s="49"/>
      <c r="X383" s="49"/>
      <c r="Y383" s="49"/>
      <c r="Z383" s="49"/>
    </row>
    <row r="384">
      <c r="A384" s="49" t="str">
        <f>IFERROR(__xludf.DUMMYFUNCTION("""COMPUTED_VALUE"""),"Crystal Forged Vambraces")</f>
        <v>Crystal Forged Vambraces</v>
      </c>
      <c r="B384" s="49"/>
      <c r="C384" s="49"/>
      <c r="D384" s="49" t="str">
        <f>IFERROR(__xludf.DUMMYFUNCTION("""COMPUTED_VALUE"""),"Arms")</f>
        <v>Arms</v>
      </c>
      <c r="E384" s="49">
        <f>IFERROR(__xludf.DUMMYFUNCTION("""COMPUTED_VALUE"""),200.0)</f>
        <v>200</v>
      </c>
      <c r="F384" s="49"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49">
        <f>IFERROR(__xludf.DUMMYFUNCTION("""COMPUTED_VALUE"""),1900000.0)</f>
        <v>1900000</v>
      </c>
      <c r="H384" s="49"/>
      <c r="I384" s="49"/>
      <c r="J384" s="49"/>
      <c r="K384" s="49"/>
      <c r="L384" s="49"/>
      <c r="M384" s="49"/>
      <c r="N384" s="49"/>
      <c r="O384" s="49"/>
      <c r="P384" s="49"/>
      <c r="Q384" s="49"/>
      <c r="R384" s="49"/>
      <c r="S384" s="49"/>
      <c r="T384" s="49"/>
      <c r="U384" s="49"/>
      <c r="V384" s="49"/>
      <c r="W384" s="49"/>
      <c r="X384" s="49"/>
      <c r="Y384" s="49"/>
      <c r="Z384" s="49"/>
    </row>
    <row r="385">
      <c r="A385" s="49" t="str">
        <f>IFERROR(__xludf.DUMMYFUNCTION("""COMPUTED_VALUE"""),"Fiddle")</f>
        <v>Fiddle</v>
      </c>
      <c r="B385" s="49"/>
      <c r="C385" s="49" t="str">
        <f>IFERROR(__xludf.DUMMYFUNCTION("""COMPUTED_VALUE"""),"Instrument")</f>
        <v>Instrument</v>
      </c>
      <c r="D385" s="49" t="str">
        <f>IFERROR(__xludf.DUMMYFUNCTION("""COMPUTED_VALUE"""),"Hand")</f>
        <v>Hand</v>
      </c>
      <c r="E385" s="49">
        <f>IFERROR(__xludf.DUMMYFUNCTION("""COMPUTED_VALUE"""),40.0)</f>
        <v>40</v>
      </c>
      <c r="F385" s="49" t="str">
        <f>IFERROR(__xludf.DUMMYFUNCTION("""COMPUTED_VALUE"""),"DMG: +2000")</f>
        <v>DMG: +2000</v>
      </c>
      <c r="G385" s="49">
        <f>IFERROR(__xludf.DUMMYFUNCTION("""COMPUTED_VALUE"""),60000.0)</f>
        <v>60000</v>
      </c>
      <c r="H385" s="49"/>
      <c r="I385" s="49"/>
      <c r="J385" s="49"/>
      <c r="K385" s="49"/>
      <c r="L385" s="49"/>
      <c r="M385" s="49"/>
      <c r="N385" s="49"/>
      <c r="O385" s="49"/>
      <c r="P385" s="49"/>
      <c r="Q385" s="49"/>
      <c r="R385" s="49"/>
      <c r="S385" s="49"/>
      <c r="T385" s="49"/>
      <c r="U385" s="49"/>
      <c r="V385" s="49"/>
      <c r="W385" s="49"/>
      <c r="X385" s="49"/>
      <c r="Y385" s="49"/>
      <c r="Z385" s="49"/>
    </row>
    <row r="386">
      <c r="A386" s="49" t="str">
        <f>IFERROR(__xludf.DUMMYFUNCTION("""COMPUTED_VALUE"""),"WyvernTail Blade")</f>
        <v>WyvernTail Blade</v>
      </c>
      <c r="B386" s="49"/>
      <c r="C386" s="49" t="str">
        <f>IFERROR(__xludf.DUMMYFUNCTION("""COMPUTED_VALUE"""),"Sword")</f>
        <v>Sword</v>
      </c>
      <c r="D386" s="49" t="str">
        <f>IFERROR(__xludf.DUMMYFUNCTION("""COMPUTED_VALUE"""),"Hand")</f>
        <v>Hand</v>
      </c>
      <c r="E386" s="49">
        <f>IFERROR(__xludf.DUMMYFUNCTION("""COMPUTED_VALUE"""),200.0)</f>
        <v>200</v>
      </c>
      <c r="F386" s="49" t="str">
        <f>IFERROR(__xludf.DUMMYFUNCTION("""COMPUTED_VALUE"""),"DMG: +5000, Water DMG: +5000 (Wyverntail Set) ++50% Chance to freeze the target being attacked by this weapon.")</f>
        <v>DMG: +5000, Water DMG: +5000 (Wyverntail Set) ++50% Chance to freeze the target being attacked by this weapon.</v>
      </c>
      <c r="G386" s="49">
        <f>IFERROR(__xludf.DUMMYFUNCTION("""COMPUTED_VALUE"""),1900000.0)</f>
        <v>1900000</v>
      </c>
      <c r="H386" s="49"/>
      <c r="I386" s="49"/>
      <c r="J386" s="49"/>
      <c r="K386" s="49"/>
      <c r="L386" s="49"/>
      <c r="M386" s="49"/>
      <c r="N386" s="49"/>
      <c r="O386" s="49"/>
      <c r="P386" s="49"/>
      <c r="Q386" s="49"/>
      <c r="R386" s="49"/>
      <c r="S386" s="49"/>
      <c r="T386" s="49"/>
      <c r="U386" s="49"/>
      <c r="V386" s="49"/>
      <c r="W386" s="49"/>
      <c r="X386" s="49"/>
      <c r="Y386" s="49"/>
      <c r="Z386" s="49"/>
    </row>
    <row r="387">
      <c r="A387" s="49" t="str">
        <f>IFERROR(__xludf.DUMMYFUNCTION("""COMPUTED_VALUE"""),"WyvernTail Helm")</f>
        <v>WyvernTail Helm</v>
      </c>
      <c r="B387" s="49"/>
      <c r="C387" s="49"/>
      <c r="D387" s="49" t="str">
        <f>IFERROR(__xludf.DUMMYFUNCTION("""COMPUTED_VALUE"""),"Head")</f>
        <v>Head</v>
      </c>
      <c r="E387" s="49">
        <f>IFERROR(__xludf.DUMMYFUNCTION("""COMPUTED_VALUE"""),200.0)</f>
        <v>200</v>
      </c>
      <c r="F387" s="49" t="str">
        <f>IFERROR(__xludf.DUMMYFUNCTION("""COMPUTED_VALUE"""),"DEF: +10000 (Wyverntail Set) ++Freeze Immunity")</f>
        <v>DEF: +10000 (Wyverntail Set) ++Freeze Immunity</v>
      </c>
      <c r="G387" s="49">
        <f>IFERROR(__xludf.DUMMYFUNCTION("""COMPUTED_VALUE"""),1900000.0)</f>
        <v>1900000</v>
      </c>
      <c r="H387" s="49"/>
      <c r="I387" s="49"/>
      <c r="J387" s="49"/>
      <c r="K387" s="49"/>
      <c r="L387" s="49"/>
      <c r="M387" s="49"/>
      <c r="N387" s="49"/>
      <c r="O387" s="49"/>
      <c r="P387" s="49"/>
      <c r="Q387" s="49"/>
      <c r="R387" s="49"/>
      <c r="S387" s="49"/>
      <c r="T387" s="49"/>
      <c r="U387" s="49"/>
      <c r="V387" s="49"/>
      <c r="W387" s="49"/>
      <c r="X387" s="49"/>
      <c r="Y387" s="49"/>
      <c r="Z387" s="49"/>
    </row>
    <row r="388">
      <c r="A388" s="49" t="str">
        <f>IFERROR(__xludf.DUMMYFUNCTION("""COMPUTED_VALUE"""),"WyvernTail Pauldrons")</f>
        <v>WyvernTail Pauldrons</v>
      </c>
      <c r="B388" s="49"/>
      <c r="C388" s="49"/>
      <c r="D388" s="49" t="str">
        <f>IFERROR(__xludf.DUMMYFUNCTION("""COMPUTED_VALUE"""),"Shoulders")</f>
        <v>Shoulders</v>
      </c>
      <c r="E388" s="49">
        <f>IFERROR(__xludf.DUMMYFUNCTION("""COMPUTED_VALUE"""),200.0)</f>
        <v>200</v>
      </c>
      <c r="F388" s="49" t="str">
        <f>IFERROR(__xludf.DUMMYFUNCTION("""COMPUTED_VALUE"""),"DEF: +10000 (Wyverntail Set) ++Freeze Immunity")</f>
        <v>DEF: +10000 (Wyverntail Set) ++Freeze Immunity</v>
      </c>
      <c r="G388" s="49">
        <f>IFERROR(__xludf.DUMMYFUNCTION("""COMPUTED_VALUE"""),1900000.0)</f>
        <v>1900000</v>
      </c>
      <c r="H388" s="49"/>
      <c r="I388" s="49"/>
      <c r="J388" s="49"/>
      <c r="K388" s="49"/>
      <c r="L388" s="49"/>
      <c r="M388" s="49"/>
      <c r="N388" s="49"/>
      <c r="O388" s="49"/>
      <c r="P388" s="49"/>
      <c r="Q388" s="49"/>
      <c r="R388" s="49"/>
      <c r="S388" s="49"/>
      <c r="T388" s="49"/>
      <c r="U388" s="49"/>
      <c r="V388" s="49"/>
      <c r="W388" s="49"/>
      <c r="X388" s="49"/>
      <c r="Y388" s="49"/>
      <c r="Z388" s="49"/>
    </row>
    <row r="389">
      <c r="A389" s="49" t="str">
        <f>IFERROR(__xludf.DUMMYFUNCTION("""COMPUTED_VALUE"""),"WyvernTail Chestplate")</f>
        <v>WyvernTail Chestplate</v>
      </c>
      <c r="B389" s="49"/>
      <c r="C389" s="49"/>
      <c r="D389" s="49" t="str">
        <f>IFERROR(__xludf.DUMMYFUNCTION("""COMPUTED_VALUE"""),"Torso")</f>
        <v>Torso</v>
      </c>
      <c r="E389" s="49">
        <f>IFERROR(__xludf.DUMMYFUNCTION("""COMPUTED_VALUE"""),200.0)</f>
        <v>200</v>
      </c>
      <c r="F389" s="49" t="str">
        <f>IFERROR(__xludf.DUMMYFUNCTION("""COMPUTED_VALUE"""),"DEF: +10000 (Wyverntail Set) ++Freeze Immunity")</f>
        <v>DEF: +10000 (Wyverntail Set) ++Freeze Immunity</v>
      </c>
      <c r="G389" s="49">
        <f>IFERROR(__xludf.DUMMYFUNCTION("""COMPUTED_VALUE"""),1900000.0)</f>
        <v>1900000</v>
      </c>
      <c r="H389" s="49"/>
      <c r="I389" s="49"/>
      <c r="J389" s="49"/>
      <c r="K389" s="49"/>
      <c r="L389" s="49"/>
      <c r="M389" s="49"/>
      <c r="N389" s="49"/>
      <c r="O389" s="49"/>
      <c r="P389" s="49"/>
      <c r="Q389" s="49"/>
      <c r="R389" s="49"/>
      <c r="S389" s="49"/>
      <c r="T389" s="49"/>
      <c r="U389" s="49"/>
      <c r="V389" s="49"/>
      <c r="W389" s="49"/>
      <c r="X389" s="49"/>
      <c r="Y389" s="49"/>
      <c r="Z389" s="49"/>
    </row>
    <row r="390">
      <c r="A390" s="49" t="str">
        <f>IFERROR(__xludf.DUMMYFUNCTION("""COMPUTED_VALUE"""),"WyvernTail Vambraces")</f>
        <v>WyvernTail Vambraces</v>
      </c>
      <c r="B390" s="49"/>
      <c r="C390" s="49"/>
      <c r="D390" s="49" t="str">
        <f>IFERROR(__xludf.DUMMYFUNCTION("""COMPUTED_VALUE"""),"Arms")</f>
        <v>Arms</v>
      </c>
      <c r="E390" s="49">
        <f>IFERROR(__xludf.DUMMYFUNCTION("""COMPUTED_VALUE"""),200.0)</f>
        <v>200</v>
      </c>
      <c r="F390" s="49" t="str">
        <f>IFERROR(__xludf.DUMMYFUNCTION("""COMPUTED_VALUE"""),"DEF: +10000 (Wyverntail Set) ++Freeze Immunity")</f>
        <v>DEF: +10000 (Wyverntail Set) ++Freeze Immunity</v>
      </c>
      <c r="G390" s="49">
        <f>IFERROR(__xludf.DUMMYFUNCTION("""COMPUTED_VALUE"""),1900000.0)</f>
        <v>1900000</v>
      </c>
      <c r="H390" s="49"/>
      <c r="I390" s="49"/>
      <c r="J390" s="49"/>
      <c r="K390" s="49"/>
      <c r="L390" s="49"/>
      <c r="M390" s="49"/>
      <c r="N390" s="49"/>
      <c r="O390" s="49"/>
      <c r="P390" s="49"/>
      <c r="Q390" s="49"/>
      <c r="R390" s="49"/>
      <c r="S390" s="49"/>
      <c r="T390" s="49"/>
      <c r="U390" s="49"/>
      <c r="V390" s="49"/>
      <c r="W390" s="49"/>
      <c r="X390" s="49"/>
      <c r="Y390" s="49"/>
      <c r="Z390" s="49"/>
    </row>
    <row r="391">
      <c r="A391" s="49" t="str">
        <f>IFERROR(__xludf.DUMMYFUNCTION("""COMPUTED_VALUE"""),"WyvernTail Greaves")</f>
        <v>WyvernTail Greaves</v>
      </c>
      <c r="B391" s="49"/>
      <c r="C391" s="49"/>
      <c r="D391" s="49" t="str">
        <f>IFERROR(__xludf.DUMMYFUNCTION("""COMPUTED_VALUE"""),"Legs")</f>
        <v>Legs</v>
      </c>
      <c r="E391" s="49">
        <f>IFERROR(__xludf.DUMMYFUNCTION("""COMPUTED_VALUE"""),200.0)</f>
        <v>200</v>
      </c>
      <c r="F391" s="49" t="str">
        <f>IFERROR(__xludf.DUMMYFUNCTION("""COMPUTED_VALUE"""),"DEF: +10000 (Wyverntail Set) ++Freeze Immunity")</f>
        <v>DEF: +10000 (Wyverntail Set) ++Freeze Immunity</v>
      </c>
      <c r="G391" s="49">
        <f>IFERROR(__xludf.DUMMYFUNCTION("""COMPUTED_VALUE"""),1900000.0)</f>
        <v>1900000</v>
      </c>
      <c r="H391" s="49"/>
      <c r="I391" s="49"/>
      <c r="J391" s="49"/>
      <c r="K391" s="49"/>
      <c r="L391" s="49"/>
      <c r="M391" s="49"/>
      <c r="N391" s="49"/>
      <c r="O391" s="49"/>
      <c r="P391" s="49"/>
      <c r="Q391" s="49"/>
      <c r="R391" s="49"/>
      <c r="S391" s="49"/>
      <c r="T391" s="49"/>
      <c r="U391" s="49"/>
      <c r="V391" s="49"/>
      <c r="W391" s="49"/>
      <c r="X391" s="49"/>
      <c r="Y391" s="49"/>
      <c r="Z391" s="49"/>
    </row>
    <row r="392">
      <c r="A392" s="49" t="str">
        <f>IFERROR(__xludf.DUMMYFUNCTION("""COMPUTED_VALUE"""),"WyvernTail Boots")</f>
        <v>WyvernTail Boots</v>
      </c>
      <c r="B392" s="49"/>
      <c r="C392" s="49"/>
      <c r="D392" s="49" t="str">
        <f>IFERROR(__xludf.DUMMYFUNCTION("""COMPUTED_VALUE"""),"Feet")</f>
        <v>Feet</v>
      </c>
      <c r="E392" s="49">
        <f>IFERROR(__xludf.DUMMYFUNCTION("""COMPUTED_VALUE"""),200.0)</f>
        <v>200</v>
      </c>
      <c r="F392" s="49" t="str">
        <f>IFERROR(__xludf.DUMMYFUNCTION("""COMPUTED_VALUE"""),"DEF: +10000 (Wyverntail Set) ++Freeze Immunity")</f>
        <v>DEF: +10000 (Wyverntail Set) ++Freeze Immunity</v>
      </c>
      <c r="G392" s="49">
        <f>IFERROR(__xludf.DUMMYFUNCTION("""COMPUTED_VALUE"""),1900000.0)</f>
        <v>1900000</v>
      </c>
      <c r="H392" s="49"/>
      <c r="I392" s="49"/>
      <c r="J392" s="49"/>
      <c r="K392" s="49"/>
      <c r="L392" s="49"/>
      <c r="M392" s="49"/>
      <c r="N392" s="49"/>
      <c r="O392" s="49"/>
      <c r="P392" s="49"/>
      <c r="Q392" s="49"/>
      <c r="R392" s="49"/>
      <c r="S392" s="49"/>
      <c r="T392" s="49"/>
      <c r="U392" s="49"/>
      <c r="V392" s="49"/>
      <c r="W392" s="49"/>
      <c r="X392" s="49"/>
      <c r="Y392" s="49"/>
      <c r="Z392" s="49"/>
    </row>
    <row r="393">
      <c r="A393" s="49" t="str">
        <f>IFERROR(__xludf.DUMMYFUNCTION("""COMPUTED_VALUE"""),"WyvernTail Pendent")</f>
        <v>WyvernTail Pendent</v>
      </c>
      <c r="B393" s="49"/>
      <c r="C393" s="49"/>
      <c r="D393" s="49" t="str">
        <f>IFERROR(__xludf.DUMMYFUNCTION("""COMPUTED_VALUE"""),"Neck")</f>
        <v>Neck</v>
      </c>
      <c r="E393" s="49">
        <f>IFERROR(__xludf.DUMMYFUNCTION("""COMPUTED_VALUE"""),1.0)</f>
        <v>1</v>
      </c>
      <c r="F393" s="49" t="str">
        <f>IFERROR(__xludf.DUMMYFUNCTION("""COMPUTED_VALUE""")," (Wyverntail Set) ++When you are attacked, the enemy that attacked you has a 25% Chance to Freeze.")</f>
        <v> (Wyverntail Set) ++When you are attacked, the enemy that attacked you has a 25% Chance to Freeze.</v>
      </c>
      <c r="G393" s="49">
        <f>IFERROR(__xludf.DUMMYFUNCTION("""COMPUTED_VALUE"""),0.0)</f>
        <v>0</v>
      </c>
      <c r="H393" s="49"/>
      <c r="I393" s="49"/>
      <c r="J393" s="49"/>
      <c r="K393" s="49"/>
      <c r="L393" s="49"/>
      <c r="M393" s="49"/>
      <c r="N393" s="49"/>
      <c r="O393" s="49"/>
      <c r="P393" s="49"/>
      <c r="Q393" s="49"/>
      <c r="R393" s="49"/>
      <c r="S393" s="49"/>
      <c r="T393" s="49"/>
      <c r="U393" s="49"/>
      <c r="V393" s="49"/>
      <c r="W393" s="49"/>
      <c r="X393" s="49"/>
      <c r="Y393" s="49"/>
      <c r="Z393" s="49"/>
    </row>
    <row r="394">
      <c r="A394" s="49" t="str">
        <f>IFERROR(__xludf.DUMMYFUNCTION("""COMPUTED_VALUE"""),"WyvernTail Ring")</f>
        <v>WyvernTail Ring</v>
      </c>
      <c r="B394" s="49"/>
      <c r="C394" s="49"/>
      <c r="D394" s="49" t="str">
        <f>IFERROR(__xludf.DUMMYFUNCTION("""COMPUTED_VALUE"""),"Ring")</f>
        <v>Ring</v>
      </c>
      <c r="E394" s="49">
        <f>IFERROR(__xludf.DUMMYFUNCTION("""COMPUTED_VALUE"""),1.0)</f>
        <v>1</v>
      </c>
      <c r="F394" s="49" t="str">
        <f>IFERROR(__xludf.DUMMYFUNCTION("""COMPUTED_VALUE""")," (Wyverntail Set) ++When you are attacked, the enemy that attacked you has a 25% Chance to Freeze. ")</f>
        <v> (Wyverntail Set) ++When you are attacked, the enemy that attacked you has a 25% Chance to Freeze. </v>
      </c>
      <c r="G394" s="49">
        <f>IFERROR(__xludf.DUMMYFUNCTION("""COMPUTED_VALUE"""),0.0)</f>
        <v>0</v>
      </c>
      <c r="H394" s="49"/>
      <c r="I394" s="49"/>
      <c r="J394" s="49"/>
      <c r="K394" s="49"/>
      <c r="L394" s="49"/>
      <c r="M394" s="49"/>
      <c r="N394" s="49"/>
      <c r="O394" s="49"/>
      <c r="P394" s="49"/>
      <c r="Q394" s="49"/>
      <c r="R394" s="49"/>
      <c r="S394" s="49"/>
      <c r="T394" s="49"/>
      <c r="U394" s="49"/>
      <c r="V394" s="49"/>
      <c r="W394" s="49"/>
      <c r="X394" s="49"/>
      <c r="Y394" s="49"/>
      <c r="Z394" s="49"/>
    </row>
    <row r="395">
      <c r="A395" s="49" t="str">
        <f>IFERROR(__xludf.DUMMYFUNCTION("""COMPUTED_VALUE"""),"Sweltering Blade")</f>
        <v>Sweltering Blade</v>
      </c>
      <c r="B395" s="49"/>
      <c r="C395" s="49" t="str">
        <f>IFERROR(__xludf.DUMMYFUNCTION("""COMPUTED_VALUE"""),"Sword")</f>
        <v>Sword</v>
      </c>
      <c r="D395" s="49" t="str">
        <f>IFERROR(__xludf.DUMMYFUNCTION("""COMPUTED_VALUE"""),"Hand")</f>
        <v>Hand</v>
      </c>
      <c r="E395" s="49">
        <f>IFERROR(__xludf.DUMMYFUNCTION("""COMPUTED_VALUE"""),400.0)</f>
        <v>400</v>
      </c>
      <c r="F395" s="49" t="str">
        <f>IFERROR(__xludf.DUMMYFUNCTION("""COMPUTED_VALUE"""),"DMG: +5000, Fire DMG: +5000, Water DMG: +5000, Nature DMG: +5000 (Sweltering Set) ++X2 Nature, Water, and Fire Damage.")</f>
        <v>DMG: +5000, Fire DMG: +5000, Water DMG: +5000, Nature DMG: +5000 (Sweltering Set) ++X2 Nature, Water, and Fire Damage.</v>
      </c>
      <c r="G395" s="49">
        <f>IFERROR(__xludf.DUMMYFUNCTION("""COMPUTED_VALUE"""),7800000.0)</f>
        <v>7800000</v>
      </c>
      <c r="H395" s="49"/>
      <c r="I395" s="49"/>
      <c r="J395" s="49"/>
      <c r="K395" s="49"/>
      <c r="L395" s="49"/>
      <c r="M395" s="49"/>
      <c r="N395" s="49"/>
      <c r="O395" s="49"/>
      <c r="P395" s="49"/>
      <c r="Q395" s="49"/>
      <c r="R395" s="49"/>
      <c r="S395" s="49"/>
      <c r="T395" s="49"/>
      <c r="U395" s="49"/>
      <c r="V395" s="49"/>
      <c r="W395" s="49"/>
      <c r="X395" s="49"/>
      <c r="Y395" s="49"/>
      <c r="Z395" s="49"/>
    </row>
    <row r="396">
      <c r="A396" s="49" t="str">
        <f>IFERROR(__xludf.DUMMYFUNCTION("""COMPUTED_VALUE"""),"Sweltering Helm")</f>
        <v>Sweltering Helm</v>
      </c>
      <c r="B396" s="49"/>
      <c r="C396" s="49"/>
      <c r="D396" s="49" t="str">
        <f>IFERROR(__xludf.DUMMYFUNCTION("""COMPUTED_VALUE"""),"Head")</f>
        <v>Head</v>
      </c>
      <c r="E396" s="49">
        <f>IFERROR(__xludf.DUMMYFUNCTION("""COMPUTED_VALUE"""),400.0)</f>
        <v>400</v>
      </c>
      <c r="F396" s="49" t="str">
        <f>IFERROR(__xludf.DUMMYFUNCTION("""COMPUTED_VALUE"""),"DEF: +5000, Fire DEF: +5000, Water DEF: +5000, Nature DEF: +5000 (Sweltering Set) ++X2 Nature, Water, and Fire Damage.")</f>
        <v>DEF: +5000, Fire DEF: +5000, Water DEF: +5000, Nature DEF: +5000 (Sweltering Set) ++X2 Nature, Water, and Fire Damage.</v>
      </c>
      <c r="G396" s="49">
        <f>IFERROR(__xludf.DUMMYFUNCTION("""COMPUTED_VALUE"""),7800000.0)</f>
        <v>7800000</v>
      </c>
      <c r="H396" s="49"/>
      <c r="I396" s="49"/>
      <c r="J396" s="49"/>
      <c r="K396" s="49"/>
      <c r="L396" s="49"/>
      <c r="M396" s="49"/>
      <c r="N396" s="49"/>
      <c r="O396" s="49"/>
      <c r="P396" s="49"/>
      <c r="Q396" s="49"/>
      <c r="R396" s="49"/>
      <c r="S396" s="49"/>
      <c r="T396" s="49"/>
      <c r="U396" s="49"/>
      <c r="V396" s="49"/>
      <c r="W396" s="49"/>
      <c r="X396" s="49"/>
      <c r="Y396" s="49"/>
      <c r="Z396" s="49"/>
    </row>
    <row r="397">
      <c r="A397" s="49" t="str">
        <f>IFERROR(__xludf.DUMMYFUNCTION("""COMPUTED_VALUE"""),"Sweltering Pauldrons")</f>
        <v>Sweltering Pauldrons</v>
      </c>
      <c r="B397" s="49"/>
      <c r="C397" s="49"/>
      <c r="D397" s="49" t="str">
        <f>IFERROR(__xludf.DUMMYFUNCTION("""COMPUTED_VALUE"""),"Shoulders")</f>
        <v>Shoulders</v>
      </c>
      <c r="E397" s="49">
        <f>IFERROR(__xludf.DUMMYFUNCTION("""COMPUTED_VALUE"""),400.0)</f>
        <v>400</v>
      </c>
      <c r="F397" s="49" t="str">
        <f>IFERROR(__xludf.DUMMYFUNCTION("""COMPUTED_VALUE"""),"DEF: +5000, Fire DEF: +5000, Water DEF: +5000, Nature DEF: +5000 (Sweltering Set) ++X2 Nature, Water, and Fire Damage.")</f>
        <v>DEF: +5000, Fire DEF: +5000, Water DEF: +5000, Nature DEF: +5000 (Sweltering Set) ++X2 Nature, Water, and Fire Damage.</v>
      </c>
      <c r="G397" s="49">
        <f>IFERROR(__xludf.DUMMYFUNCTION("""COMPUTED_VALUE"""),7800000.0)</f>
        <v>7800000</v>
      </c>
      <c r="H397" s="49"/>
      <c r="I397" s="49"/>
      <c r="J397" s="49"/>
      <c r="K397" s="49"/>
      <c r="L397" s="49"/>
      <c r="M397" s="49"/>
      <c r="N397" s="49"/>
      <c r="O397" s="49"/>
      <c r="P397" s="49"/>
      <c r="Q397" s="49"/>
      <c r="R397" s="49"/>
      <c r="S397" s="49"/>
      <c r="T397" s="49"/>
      <c r="U397" s="49"/>
      <c r="V397" s="49"/>
      <c r="W397" s="49"/>
      <c r="X397" s="49"/>
      <c r="Y397" s="49"/>
      <c r="Z397" s="49"/>
    </row>
    <row r="398">
      <c r="A398" s="49" t="str">
        <f>IFERROR(__xludf.DUMMYFUNCTION("""COMPUTED_VALUE"""),"Sweltering Chestplate")</f>
        <v>Sweltering Chestplate</v>
      </c>
      <c r="B398" s="49"/>
      <c r="C398" s="49"/>
      <c r="D398" s="49" t="str">
        <f>IFERROR(__xludf.DUMMYFUNCTION("""COMPUTED_VALUE"""),"Torso")</f>
        <v>Torso</v>
      </c>
      <c r="E398" s="49">
        <f>IFERROR(__xludf.DUMMYFUNCTION("""COMPUTED_VALUE"""),400.0)</f>
        <v>400</v>
      </c>
      <c r="F398" s="49" t="str">
        <f>IFERROR(__xludf.DUMMYFUNCTION("""COMPUTED_VALUE"""),"DEF: +5000, Fire DEF: +5000, Water DEF: +5000, Nature DEF: +5000 (Sweltering Set) ++X2 Nature, Water, and Fire Damage.")</f>
        <v>DEF: +5000, Fire DEF: +5000, Water DEF: +5000, Nature DEF: +5000 (Sweltering Set) ++X2 Nature, Water, and Fire Damage.</v>
      </c>
      <c r="G398" s="49">
        <f>IFERROR(__xludf.DUMMYFUNCTION("""COMPUTED_VALUE"""),7800000.0)</f>
        <v>7800000</v>
      </c>
      <c r="H398" s="49"/>
      <c r="I398" s="49"/>
      <c r="J398" s="49"/>
      <c r="K398" s="49"/>
      <c r="L398" s="49"/>
      <c r="M398" s="49"/>
      <c r="N398" s="49"/>
      <c r="O398" s="49"/>
      <c r="P398" s="49"/>
      <c r="Q398" s="49"/>
      <c r="R398" s="49"/>
      <c r="S398" s="49"/>
      <c r="T398" s="49"/>
      <c r="U398" s="49"/>
      <c r="V398" s="49"/>
      <c r="W398" s="49"/>
      <c r="X398" s="49"/>
      <c r="Y398" s="49"/>
      <c r="Z398" s="49"/>
    </row>
    <row r="399">
      <c r="A399" s="49" t="str">
        <f>IFERROR(__xludf.DUMMYFUNCTION("""COMPUTED_VALUE"""),"Sweltering Vambraces")</f>
        <v>Sweltering Vambraces</v>
      </c>
      <c r="B399" s="49"/>
      <c r="C399" s="49"/>
      <c r="D399" s="49" t="str">
        <f>IFERROR(__xludf.DUMMYFUNCTION("""COMPUTED_VALUE"""),"Arms")</f>
        <v>Arms</v>
      </c>
      <c r="E399" s="49">
        <f>IFERROR(__xludf.DUMMYFUNCTION("""COMPUTED_VALUE"""),400.0)</f>
        <v>400</v>
      </c>
      <c r="F399" s="49" t="str">
        <f>IFERROR(__xludf.DUMMYFUNCTION("""COMPUTED_VALUE"""),"DEF: +5000, Fire DEF: +5000, Water DEF: +5000, Nature DEF: +5000 (Sweltering Set) ++X2 Nature, Water, and Fire Damage.")</f>
        <v>DEF: +5000, Fire DEF: +5000, Water DEF: +5000, Nature DEF: +5000 (Sweltering Set) ++X2 Nature, Water, and Fire Damage.</v>
      </c>
      <c r="G399" s="49">
        <f>IFERROR(__xludf.DUMMYFUNCTION("""COMPUTED_VALUE"""),7800000.0)</f>
        <v>7800000</v>
      </c>
      <c r="H399" s="49"/>
      <c r="I399" s="49"/>
      <c r="J399" s="49"/>
      <c r="K399" s="49"/>
      <c r="L399" s="49"/>
      <c r="M399" s="49"/>
      <c r="N399" s="49"/>
      <c r="O399" s="49"/>
      <c r="P399" s="49"/>
      <c r="Q399" s="49"/>
      <c r="R399" s="49"/>
      <c r="S399" s="49"/>
      <c r="T399" s="49"/>
      <c r="U399" s="49"/>
      <c r="V399" s="49"/>
      <c r="W399" s="49"/>
      <c r="X399" s="49"/>
      <c r="Y399" s="49"/>
      <c r="Z399" s="49"/>
    </row>
    <row r="400">
      <c r="A400" s="49" t="str">
        <f>IFERROR(__xludf.DUMMYFUNCTION("""COMPUTED_VALUE"""),"Sweltering Greaves")</f>
        <v>Sweltering Greaves</v>
      </c>
      <c r="B400" s="49"/>
      <c r="C400" s="49"/>
      <c r="D400" s="49" t="str">
        <f>IFERROR(__xludf.DUMMYFUNCTION("""COMPUTED_VALUE"""),"Legs")</f>
        <v>Legs</v>
      </c>
      <c r="E400" s="49">
        <f>IFERROR(__xludf.DUMMYFUNCTION("""COMPUTED_VALUE"""),400.0)</f>
        <v>400</v>
      </c>
      <c r="F400" s="49" t="str">
        <f>IFERROR(__xludf.DUMMYFUNCTION("""COMPUTED_VALUE"""),"DEF: +5000, Fire DEF: +5000, Water DEF: +5000, Nature DEF: +5000 (Sweltering Set) ++X2 Nature, Water, and Fire Damage.")</f>
        <v>DEF: +5000, Fire DEF: +5000, Water DEF: +5000, Nature DEF: +5000 (Sweltering Set) ++X2 Nature, Water, and Fire Damage.</v>
      </c>
      <c r="G400" s="49">
        <f>IFERROR(__xludf.DUMMYFUNCTION("""COMPUTED_VALUE"""),7800000.0)</f>
        <v>7800000</v>
      </c>
      <c r="H400" s="49"/>
      <c r="I400" s="49"/>
      <c r="J400" s="49"/>
      <c r="K400" s="49"/>
      <c r="L400" s="49"/>
      <c r="M400" s="49"/>
      <c r="N400" s="49"/>
      <c r="O400" s="49"/>
      <c r="P400" s="49"/>
      <c r="Q400" s="49"/>
      <c r="R400" s="49"/>
      <c r="S400" s="49"/>
      <c r="T400" s="49"/>
      <c r="U400" s="49"/>
      <c r="V400" s="49"/>
      <c r="W400" s="49"/>
      <c r="X400" s="49"/>
      <c r="Y400" s="49"/>
      <c r="Z400" s="49"/>
    </row>
    <row r="401">
      <c r="A401" s="49" t="str">
        <f>IFERROR(__xludf.DUMMYFUNCTION("""COMPUTED_VALUE"""),"Sweltering Boots")</f>
        <v>Sweltering Boots</v>
      </c>
      <c r="B401" s="49"/>
      <c r="C401" s="49"/>
      <c r="D401" s="49" t="str">
        <f>IFERROR(__xludf.DUMMYFUNCTION("""COMPUTED_VALUE"""),"Feet")</f>
        <v>Feet</v>
      </c>
      <c r="E401" s="49">
        <f>IFERROR(__xludf.DUMMYFUNCTION("""COMPUTED_VALUE"""),400.0)</f>
        <v>400</v>
      </c>
      <c r="F401" s="49" t="str">
        <f>IFERROR(__xludf.DUMMYFUNCTION("""COMPUTED_VALUE"""),"DEF: +5000, Fire DEF: +5000, Water DEF: +5000, Nature DEF: +5000 (Sweltering Set) ++X2 Nature, Water, and Fire Damage.")</f>
        <v>DEF: +5000, Fire DEF: +5000, Water DEF: +5000, Nature DEF: +5000 (Sweltering Set) ++X2 Nature, Water, and Fire Damage.</v>
      </c>
      <c r="G401" s="49">
        <f>IFERROR(__xludf.DUMMYFUNCTION("""COMPUTED_VALUE"""),7800000.0)</f>
        <v>7800000</v>
      </c>
      <c r="H401" s="49"/>
      <c r="I401" s="49"/>
      <c r="J401" s="49"/>
      <c r="K401" s="49"/>
      <c r="L401" s="49"/>
      <c r="M401" s="49"/>
      <c r="N401" s="49"/>
      <c r="O401" s="49"/>
      <c r="P401" s="49"/>
      <c r="Q401" s="49"/>
      <c r="R401" s="49"/>
      <c r="S401" s="49"/>
      <c r="T401" s="49"/>
      <c r="U401" s="49"/>
      <c r="V401" s="49"/>
      <c r="W401" s="49"/>
      <c r="X401" s="49"/>
      <c r="Y401" s="49"/>
      <c r="Z401" s="49"/>
    </row>
    <row r="402">
      <c r="A402" s="49" t="str">
        <f>IFERROR(__xludf.DUMMYFUNCTION("""COMPUTED_VALUE"""),"Sweltering Pendent")</f>
        <v>Sweltering Pendent</v>
      </c>
      <c r="B402" s="49"/>
      <c r="C402" s="49"/>
      <c r="D402" s="49" t="str">
        <f>IFERROR(__xludf.DUMMYFUNCTION("""COMPUTED_VALUE"""),"Neck")</f>
        <v>Neck</v>
      </c>
      <c r="E402" s="49">
        <f>IFERROR(__xludf.DUMMYFUNCTION("""COMPUTED_VALUE"""),1.0)</f>
        <v>1</v>
      </c>
      <c r="F402" s="49" t="str">
        <f>IFERROR(__xludf.DUMMYFUNCTION("""COMPUTED_VALUE""")," (Sweltering Set) ++Fire, Nature, and Water immunity.")</f>
        <v> (Sweltering Set) ++Fire, Nature, and Water immunity.</v>
      </c>
      <c r="G402" s="49">
        <f>IFERROR(__xludf.DUMMYFUNCTION("""COMPUTED_VALUE"""),0.0)</f>
        <v>0</v>
      </c>
      <c r="H402" s="49"/>
      <c r="I402" s="49"/>
      <c r="J402" s="49"/>
      <c r="K402" s="49"/>
      <c r="L402" s="49"/>
      <c r="M402" s="49"/>
      <c r="N402" s="49"/>
      <c r="O402" s="49"/>
      <c r="P402" s="49"/>
      <c r="Q402" s="49"/>
      <c r="R402" s="49"/>
      <c r="S402" s="49"/>
      <c r="T402" s="49"/>
      <c r="U402" s="49"/>
      <c r="V402" s="49"/>
      <c r="W402" s="49"/>
      <c r="X402" s="49"/>
      <c r="Y402" s="49"/>
      <c r="Z402" s="49"/>
    </row>
    <row r="403">
      <c r="A403" s="49" t="str">
        <f>IFERROR(__xludf.DUMMYFUNCTION("""COMPUTED_VALUE"""),"Sweltering Ring")</f>
        <v>Sweltering Ring</v>
      </c>
      <c r="B403" s="49"/>
      <c r="C403" s="49"/>
      <c r="D403" s="49" t="str">
        <f>IFERROR(__xludf.DUMMYFUNCTION("""COMPUTED_VALUE"""),"Ring")</f>
        <v>Ring</v>
      </c>
      <c r="E403" s="49">
        <f>IFERROR(__xludf.DUMMYFUNCTION("""COMPUTED_VALUE"""),1.0)</f>
        <v>1</v>
      </c>
      <c r="F403" s="49" t="str">
        <f>IFERROR(__xludf.DUMMYFUNCTION("""COMPUTED_VALUE""")," (Sweltering Set) ++Fire, Nature, and Water immunity.")</f>
        <v> (Sweltering Set) ++Fire, Nature, and Water immunity.</v>
      </c>
      <c r="G403" s="49">
        <f>IFERROR(__xludf.DUMMYFUNCTION("""COMPUTED_VALUE"""),0.0)</f>
        <v>0</v>
      </c>
      <c r="H403" s="49"/>
      <c r="I403" s="49"/>
      <c r="J403" s="49"/>
      <c r="K403" s="49"/>
      <c r="L403" s="49"/>
      <c r="M403" s="49"/>
      <c r="N403" s="49"/>
      <c r="O403" s="49"/>
      <c r="P403" s="49"/>
      <c r="Q403" s="49"/>
      <c r="R403" s="49"/>
      <c r="S403" s="49"/>
      <c r="T403" s="49"/>
      <c r="U403" s="49"/>
      <c r="V403" s="49"/>
      <c r="W403" s="49"/>
      <c r="X403" s="49"/>
      <c r="Y403" s="49"/>
      <c r="Z403" s="49"/>
    </row>
    <row r="404">
      <c r="A404" s="49" t="str">
        <f>IFERROR(__xludf.DUMMYFUNCTION("""COMPUTED_VALUE"""),"Reinforced Tortoise Shell")</f>
        <v>Reinforced Tortoise Shell</v>
      </c>
      <c r="B404" s="49"/>
      <c r="C404" s="49"/>
      <c r="D404" s="49" t="str">
        <f>IFERROR(__xludf.DUMMYFUNCTION("""COMPUTED_VALUE"""),"Torso")</f>
        <v>Torso</v>
      </c>
      <c r="E404" s="49">
        <f>IFERROR(__xludf.DUMMYFUNCTION("""COMPUTED_VALUE"""),400.0)</f>
        <v>400</v>
      </c>
      <c r="F404" s="49" t="str">
        <f>IFERROR(__xludf.DUMMYFUNCTION("""COMPUTED_VALUE"""),"DEF: +10000, Water DEF: +5000, Light DEF: +5000 ++X2 Defense for the wearer. +-Cannot be Duplicated.")</f>
        <v>DEF: +10000, Water DEF: +5000, Light DEF: +5000 ++X2 Defense for the wearer. +-Cannot be Duplicated.</v>
      </c>
      <c r="G404" s="49">
        <f>IFERROR(__xludf.DUMMYFUNCTION("""COMPUTED_VALUE"""),7800000.0)</f>
        <v>7800000</v>
      </c>
      <c r="H404" s="49"/>
      <c r="I404" s="49"/>
      <c r="J404" s="49"/>
      <c r="K404" s="49"/>
      <c r="L404" s="49"/>
      <c r="M404" s="49"/>
      <c r="N404" s="49"/>
      <c r="O404" s="49"/>
      <c r="P404" s="49"/>
      <c r="Q404" s="49"/>
      <c r="R404" s="49"/>
      <c r="S404" s="49"/>
      <c r="T404" s="49"/>
      <c r="U404" s="49"/>
      <c r="V404" s="49"/>
      <c r="W404" s="49"/>
      <c r="X404" s="49"/>
      <c r="Y404" s="49"/>
      <c r="Z404" s="49"/>
    </row>
    <row r="405">
      <c r="A405" s="49" t="str">
        <f>IFERROR(__xludf.DUMMYFUNCTION("""COMPUTED_VALUE"""),"Tortoise Shell Shield")</f>
        <v>Tortoise Shell Shield</v>
      </c>
      <c r="B405" s="49"/>
      <c r="C405" s="49" t="str">
        <f>IFERROR(__xludf.DUMMYFUNCTION("""COMPUTED_VALUE"""),"Towershield")</f>
        <v>Towershield</v>
      </c>
      <c r="D405" s="49" t="str">
        <f>IFERROR(__xludf.DUMMYFUNCTION("""COMPUTED_VALUE"""),"Hand")</f>
        <v>Hand</v>
      </c>
      <c r="E405" s="49">
        <f>IFERROR(__xludf.DUMMYFUNCTION("""COMPUTED_VALUE"""),400.0)</f>
        <v>400</v>
      </c>
      <c r="F405" s="49" t="str">
        <f>IFERROR(__xludf.DUMMYFUNCTION("""COMPUTED_VALUE"""),"DEF: +20000 ++X2 Defense for the wearer. +-Cannot be Duplicated.")</f>
        <v>DEF: +20000 ++X2 Defense for the wearer. +-Cannot be Duplicated.</v>
      </c>
      <c r="G405" s="49">
        <f>IFERROR(__xludf.DUMMYFUNCTION("""COMPUTED_VALUE"""),7800000.0)</f>
        <v>7800000</v>
      </c>
      <c r="H405" s="49"/>
      <c r="I405" s="49"/>
      <c r="J405" s="49"/>
      <c r="K405" s="49"/>
      <c r="L405" s="49"/>
      <c r="M405" s="49"/>
      <c r="N405" s="49"/>
      <c r="O405" s="49"/>
      <c r="P405" s="49"/>
      <c r="Q405" s="49"/>
      <c r="R405" s="49"/>
      <c r="S405" s="49"/>
      <c r="T405" s="49"/>
      <c r="U405" s="49"/>
      <c r="V405" s="49"/>
      <c r="W405" s="49"/>
      <c r="X405" s="49"/>
      <c r="Y405" s="49"/>
      <c r="Z405" s="49"/>
    </row>
    <row r="406">
      <c r="A406" s="49" t="str">
        <f>IFERROR(__xludf.DUMMYFUNCTION("""COMPUTED_VALUE"""),"Stone of the Summit")</f>
        <v>Stone of the Summit</v>
      </c>
      <c r="B406" s="49"/>
      <c r="C406" s="49"/>
      <c r="D406" s="49" t="str">
        <f>IFERROR(__xludf.DUMMYFUNCTION("""COMPUTED_VALUE"""),"Hand")</f>
        <v>Hand</v>
      </c>
      <c r="E406" s="49">
        <f>IFERROR(__xludf.DUMMYFUNCTION("""COMPUTED_VALUE"""),1.0)</f>
        <v>1</v>
      </c>
      <c r="F406" s="49" t="str">
        <f>IFERROR(__xludf.DUMMYFUNCTION("""COMPUTED_VALUE""")," ++X2 additional damage towards weapons for the user.")</f>
        <v> ++X2 additional damage towards weapons for the user.</v>
      </c>
      <c r="G406" s="49">
        <f>IFERROR(__xludf.DUMMYFUNCTION("""COMPUTED_VALUE"""),0.0)</f>
        <v>0</v>
      </c>
      <c r="H406" s="49"/>
      <c r="I406" s="49"/>
      <c r="J406" s="49"/>
      <c r="K406" s="49"/>
      <c r="L406" s="49"/>
      <c r="M406" s="49"/>
      <c r="N406" s="49"/>
      <c r="O406" s="49"/>
      <c r="P406" s="49"/>
      <c r="Q406" s="49"/>
      <c r="R406" s="49"/>
      <c r="S406" s="49"/>
      <c r="T406" s="49"/>
      <c r="U406" s="49"/>
      <c r="V406" s="49"/>
      <c r="W406" s="49"/>
      <c r="X406" s="49"/>
      <c r="Y406" s="49"/>
      <c r="Z406" s="49"/>
    </row>
    <row r="407">
      <c r="A407" s="49" t="str">
        <f>IFERROR(__xludf.DUMMYFUNCTION("""COMPUTED_VALUE"""),"Deep Blue Pearl")</f>
        <v>Deep Blue Pearl</v>
      </c>
      <c r="B407" s="49" t="str">
        <f>IFERROR(__xludf.DUMMYFUNCTION("""COMPUTED_VALUE"""),"A rare pearl found deep within the ocean of Dragonscale Island.")</f>
        <v>A rare pearl found deep within the ocean of Dragonscale Island.</v>
      </c>
      <c r="C407" s="49"/>
      <c r="D407" s="49" t="str">
        <f>IFERROR(__xludf.DUMMYFUNCTION("""COMPUTED_VALUE"""),"Hand")</f>
        <v>Hand</v>
      </c>
      <c r="E407" s="49">
        <f>IFERROR(__xludf.DUMMYFUNCTION("""COMPUTED_VALUE"""),200.0)</f>
        <v>200</v>
      </c>
      <c r="F407" s="49" t="str">
        <f>IFERROR(__xludf.DUMMYFUNCTION("""COMPUTED_VALUE"""),"DEF: +10000 ++Water Immunity. ++Water damage dealt by you gives you sp back equal half the damage caused.")</f>
        <v>DEF: +10000 ++Water Immunity. ++Water damage dealt by you gives you sp back equal half the damage caused.</v>
      </c>
      <c r="G407" s="49">
        <f>IFERROR(__xludf.DUMMYFUNCTION("""COMPUTED_VALUE"""),1900000.0)</f>
        <v>1900000</v>
      </c>
      <c r="H407" s="49"/>
      <c r="I407" s="49"/>
      <c r="J407" s="49"/>
      <c r="K407" s="49"/>
      <c r="L407" s="49"/>
      <c r="M407" s="49"/>
      <c r="N407" s="49"/>
      <c r="O407" s="49"/>
      <c r="P407" s="49"/>
      <c r="Q407" s="49"/>
      <c r="R407" s="49"/>
      <c r="S407" s="49"/>
      <c r="T407" s="49"/>
      <c r="U407" s="49"/>
      <c r="V407" s="49"/>
      <c r="W407" s="49"/>
      <c r="X407" s="49"/>
      <c r="Y407" s="49"/>
      <c r="Z407" s="49"/>
    </row>
    <row r="408">
      <c r="A408" s="49" t="str">
        <f>IFERROR(__xludf.DUMMYFUNCTION("""COMPUTED_VALUE"""),"Tempests Lightning Rod")</f>
        <v>Tempests Lightning Rod</v>
      </c>
      <c r="B408" s="49"/>
      <c r="C408" s="49" t="str">
        <f>IFERROR(__xludf.DUMMYFUNCTION("""COMPUTED_VALUE"""),"Spear")</f>
        <v>Spear</v>
      </c>
      <c r="D408" s="49" t="str">
        <f>IFERROR(__xludf.DUMMYFUNCTION("""COMPUTED_VALUE"""),"Hand")</f>
        <v>Hand</v>
      </c>
      <c r="E408" s="49">
        <f>IFERROR(__xludf.DUMMYFUNCTION("""COMPUTED_VALUE"""),600.0)</f>
        <v>600</v>
      </c>
      <c r="F408" s="49"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49">
        <f>IFERROR(__xludf.DUMMYFUNCTION("""COMPUTED_VALUE"""),1.77E7)</f>
        <v>17700000</v>
      </c>
      <c r="H408" s="49"/>
      <c r="I408" s="49"/>
      <c r="J408" s="49"/>
      <c r="K408" s="49"/>
      <c r="L408" s="49"/>
      <c r="M408" s="49"/>
      <c r="N408" s="49"/>
      <c r="O408" s="49"/>
      <c r="P408" s="49"/>
      <c r="Q408" s="49"/>
      <c r="R408" s="49"/>
      <c r="S408" s="49"/>
      <c r="T408" s="49"/>
      <c r="U408" s="49"/>
      <c r="V408" s="49"/>
      <c r="W408" s="49"/>
      <c r="X408" s="49"/>
      <c r="Y408" s="49"/>
      <c r="Z408" s="49"/>
    </row>
    <row r="409">
      <c r="A409" s="49" t="str">
        <f>IFERROR(__xludf.DUMMYFUNCTION("""COMPUTED_VALUE"""),"Sword of Mystic Vagility")</f>
        <v>Sword of Mystic Vagility</v>
      </c>
      <c r="B409" s="49"/>
      <c r="C409" s="49" t="str">
        <f>IFERROR(__xludf.DUMMYFUNCTION("""COMPUTED_VALUE"""),"Sword")</f>
        <v>Sword</v>
      </c>
      <c r="D409" s="49" t="str">
        <f>IFERROR(__xludf.DUMMYFUNCTION("""COMPUTED_VALUE"""),"Hand")</f>
        <v>Hand</v>
      </c>
      <c r="E409" s="49">
        <f>IFERROR(__xludf.DUMMYFUNCTION("""COMPUTED_VALUE"""),200.0)</f>
        <v>200</v>
      </c>
      <c r="F409" s="49" t="str">
        <f>IFERROR(__xludf.DUMMYFUNCTION("""COMPUTED_VALUE"""),"DMG: +50000, Celestial DMG: +50000 ++5 to d20 rolls, ++2 Evasion, ++2 Mobility. +-Cannot be duplicated.")</f>
        <v>DMG: +50000, Celestial DMG: +50000 ++5 to d20 rolls, ++2 Evasion, ++2 Mobility. +-Cannot be duplicated.</v>
      </c>
      <c r="G409" s="49">
        <f>IFERROR(__xludf.DUMMYFUNCTION("""COMPUTED_VALUE"""),1.99E8)</f>
        <v>199000000</v>
      </c>
      <c r="H409" s="49"/>
      <c r="I409" s="49"/>
      <c r="J409" s="49"/>
      <c r="K409" s="49"/>
      <c r="L409" s="49"/>
      <c r="M409" s="49"/>
      <c r="N409" s="49"/>
      <c r="O409" s="49"/>
      <c r="P409" s="49"/>
      <c r="Q409" s="49"/>
      <c r="R409" s="49"/>
      <c r="S409" s="49"/>
      <c r="T409" s="49"/>
      <c r="U409" s="49"/>
      <c r="V409" s="49"/>
      <c r="W409" s="49"/>
      <c r="X409" s="49"/>
      <c r="Y409" s="49"/>
      <c r="Z409" s="49"/>
    </row>
    <row r="410">
      <c r="A410" s="49" t="str">
        <f>IFERROR(__xludf.DUMMYFUNCTION("""COMPUTED_VALUE"""),".50 Caliber Machine Gun (car)")</f>
        <v>.50 Caliber Machine Gun (car)</v>
      </c>
      <c r="B410" s="49"/>
      <c r="C410" s="49" t="str">
        <f>IFERROR(__xludf.DUMMYFUNCTION("""COMPUTED_VALUE"""),"Firearm")</f>
        <v>Firearm</v>
      </c>
      <c r="D410" s="49" t="str">
        <f>IFERROR(__xludf.DUMMYFUNCTION("""COMPUTED_VALUE"""),"CarGun")</f>
        <v>CarGun</v>
      </c>
      <c r="E410" s="49">
        <f>IFERROR(__xludf.DUMMYFUNCTION("""COMPUTED_VALUE"""),400.0)</f>
        <v>400</v>
      </c>
      <c r="F410" s="49"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49">
        <f>IFERROR(__xludf.DUMMYFUNCTION("""COMPUTED_VALUE"""),7800000.0)</f>
        <v>7800000</v>
      </c>
      <c r="H410" s="49"/>
      <c r="I410" s="49"/>
      <c r="J410" s="49"/>
      <c r="K410" s="49"/>
      <c r="L410" s="49"/>
      <c r="M410" s="49"/>
      <c r="N410" s="49"/>
      <c r="O410" s="49"/>
      <c r="P410" s="49"/>
      <c r="Q410" s="49"/>
      <c r="R410" s="49"/>
      <c r="S410" s="49"/>
      <c r="T410" s="49"/>
      <c r="U410" s="49"/>
      <c r="V410" s="49"/>
      <c r="W410" s="49"/>
      <c r="X410" s="49"/>
      <c r="Y410" s="49"/>
      <c r="Z410" s="49"/>
    </row>
    <row r="411">
      <c r="A411" s="49" t="str">
        <f>IFERROR(__xludf.DUMMYFUNCTION("""COMPUTED_VALUE"""),"Auto Turret")</f>
        <v>Auto Turret</v>
      </c>
      <c r="B411" s="49"/>
      <c r="C411" s="49" t="str">
        <f>IFERROR(__xludf.DUMMYFUNCTION("""COMPUTED_VALUE"""),"Firearm")</f>
        <v>Firearm</v>
      </c>
      <c r="D411" s="49" t="str">
        <f>IFERROR(__xludf.DUMMYFUNCTION("""COMPUTED_VALUE"""),"CarGun")</f>
        <v>CarGun</v>
      </c>
      <c r="E411" s="49">
        <f>IFERROR(__xludf.DUMMYFUNCTION("""COMPUTED_VALUE"""),800.0)</f>
        <v>800</v>
      </c>
      <c r="F411" s="49"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49">
        <f>IFERROR(__xludf.DUMMYFUNCTION("""COMPUTED_VALUE"""),3.16E7)</f>
        <v>31600000</v>
      </c>
      <c r="H411" s="49"/>
      <c r="I411" s="49"/>
      <c r="J411" s="49"/>
      <c r="K411" s="49"/>
      <c r="L411" s="49"/>
      <c r="M411" s="49"/>
      <c r="N411" s="49"/>
      <c r="O411" s="49"/>
      <c r="P411" s="49"/>
      <c r="Q411" s="49"/>
      <c r="R411" s="49"/>
      <c r="S411" s="49"/>
      <c r="T411" s="49"/>
      <c r="U411" s="49"/>
      <c r="V411" s="49"/>
      <c r="W411" s="49"/>
      <c r="X411" s="49"/>
      <c r="Y411" s="49"/>
      <c r="Z411" s="49"/>
    </row>
    <row r="412">
      <c r="A412" s="49" t="str">
        <f>IFERROR(__xludf.DUMMYFUNCTION("""COMPUTED_VALUE"""),"Lazer Infused Cannon")</f>
        <v>Lazer Infused Cannon</v>
      </c>
      <c r="B412" s="49"/>
      <c r="C412" s="49" t="str">
        <f>IFERROR(__xludf.DUMMYFUNCTION("""COMPUTED_VALUE"""),"Firearm")</f>
        <v>Firearm</v>
      </c>
      <c r="D412" s="49" t="str">
        <f>IFERROR(__xludf.DUMMYFUNCTION("""COMPUTED_VALUE"""),"BoatGun")</f>
        <v>BoatGun</v>
      </c>
      <c r="E412" s="49">
        <f>IFERROR(__xludf.DUMMYFUNCTION("""COMPUTED_VALUE"""),5000.0)</f>
        <v>5000</v>
      </c>
      <c r="F412" s="49" t="str">
        <f>IFERROR(__xludf.DUMMYFUNCTION("""COMPUTED_VALUE"""),", Fire DMG: +250000 ++Does not use Ammunition. ++Cannot avoid, ++Damages all enemies.")</f>
        <v>, Fire DMG: +250000 ++Does not use Ammunition. ++Cannot avoid, ++Damages all enemies.</v>
      </c>
      <c r="G412" s="49">
        <f>IFERROR(__xludf.DUMMYFUNCTION("""COMPUTED_VALUE"""),1.2475E9)</f>
        <v>1247500000</v>
      </c>
      <c r="H412" s="49"/>
      <c r="I412" s="49"/>
      <c r="J412" s="49"/>
      <c r="K412" s="49"/>
      <c r="L412" s="49"/>
      <c r="M412" s="49"/>
      <c r="N412" s="49"/>
      <c r="O412" s="49"/>
      <c r="P412" s="49"/>
      <c r="Q412" s="49"/>
      <c r="R412" s="49"/>
      <c r="S412" s="49"/>
      <c r="T412" s="49"/>
      <c r="U412" s="49"/>
      <c r="V412" s="49"/>
      <c r="W412" s="49"/>
      <c r="X412" s="49"/>
      <c r="Y412" s="49"/>
      <c r="Z412" s="49"/>
    </row>
    <row r="413">
      <c r="A413" s="49" t="str">
        <f>IFERROR(__xludf.DUMMYFUNCTION("""COMPUTED_VALUE"""),"Roof Mounted Turret")</f>
        <v>Roof Mounted Turret</v>
      </c>
      <c r="B413" s="49"/>
      <c r="C413" s="49" t="str">
        <f>IFERROR(__xludf.DUMMYFUNCTION("""COMPUTED_VALUE"""),"Firearm")</f>
        <v>Firearm</v>
      </c>
      <c r="D413" s="49" t="str">
        <f>IFERROR(__xludf.DUMMYFUNCTION("""COMPUTED_VALUE"""),"CarGun")</f>
        <v>CarGun</v>
      </c>
      <c r="E413" s="49">
        <f>IFERROR(__xludf.DUMMYFUNCTION("""COMPUTED_VALUE"""),500.0)</f>
        <v>500</v>
      </c>
      <c r="F413" s="49"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49">
        <f>IFERROR(__xludf.DUMMYFUNCTION("""COMPUTED_VALUE"""),1.225E7)</f>
        <v>12250000</v>
      </c>
      <c r="H413" s="49"/>
      <c r="I413" s="49"/>
      <c r="J413" s="49"/>
      <c r="K413" s="49"/>
      <c r="L413" s="49"/>
      <c r="M413" s="49"/>
      <c r="N413" s="49"/>
      <c r="O413" s="49"/>
      <c r="P413" s="49"/>
      <c r="Q413" s="49"/>
      <c r="R413" s="49"/>
      <c r="S413" s="49"/>
      <c r="T413" s="49"/>
      <c r="U413" s="49"/>
      <c r="V413" s="49"/>
      <c r="W413" s="49"/>
      <c r="X413" s="49"/>
      <c r="Y413" s="49"/>
      <c r="Z413" s="49"/>
    </row>
    <row r="414">
      <c r="A414" s="49" t="str">
        <f>IFERROR(__xludf.DUMMYFUNCTION("""COMPUTED_VALUE"""),".50 Caliber Machine Gun (boat)")</f>
        <v>.50 Caliber Machine Gun (boat)</v>
      </c>
      <c r="B414" s="49"/>
      <c r="C414" s="49" t="str">
        <f>IFERROR(__xludf.DUMMYFUNCTION("""COMPUTED_VALUE"""),"Firearm")</f>
        <v>Firearm</v>
      </c>
      <c r="D414" s="49" t="str">
        <f>IFERROR(__xludf.DUMMYFUNCTION("""COMPUTED_VALUE"""),"BoatGun")</f>
        <v>BoatGun</v>
      </c>
      <c r="E414" s="49">
        <f>IFERROR(__xludf.DUMMYFUNCTION("""COMPUTED_VALUE"""),500.0)</f>
        <v>500</v>
      </c>
      <c r="F414" s="49" t="str">
        <f>IFERROR(__xludf.DUMMYFUNCTION("""COMPUTED_VALUE"""),"DMG: +25000 ++Roll a d500 to see how many bullets are used when you attack with this weapon. +-Uses bullets")</f>
        <v>DMG: +25000 ++Roll a d500 to see how many bullets are used when you attack with this weapon. +-Uses bullets</v>
      </c>
      <c r="G414" s="49">
        <f>IFERROR(__xludf.DUMMYFUNCTION("""COMPUTED_VALUE"""),1.225E7)</f>
        <v>12250000</v>
      </c>
      <c r="H414" s="49"/>
      <c r="I414" s="49"/>
      <c r="J414" s="49"/>
      <c r="K414" s="49"/>
      <c r="L414" s="49"/>
      <c r="M414" s="49"/>
      <c r="N414" s="49"/>
      <c r="O414" s="49"/>
      <c r="P414" s="49"/>
      <c r="Q414" s="49"/>
      <c r="R414" s="49"/>
      <c r="S414" s="49"/>
      <c r="T414" s="49"/>
      <c r="U414" s="49"/>
      <c r="V414" s="49"/>
      <c r="W414" s="49"/>
      <c r="X414" s="49"/>
      <c r="Y414" s="49"/>
      <c r="Z414" s="49"/>
    </row>
    <row r="415">
      <c r="A415" s="49" t="str">
        <f>IFERROR(__xludf.DUMMYFUNCTION("""COMPUTED_VALUE"""),"Missile Turret (car)")</f>
        <v>Missile Turret (car)</v>
      </c>
      <c r="B415" s="49"/>
      <c r="C415" s="49" t="str">
        <f>IFERROR(__xludf.DUMMYFUNCTION("""COMPUTED_VALUE"""),"Firearm")</f>
        <v>Firearm</v>
      </c>
      <c r="D415" s="49" t="str">
        <f>IFERROR(__xludf.DUMMYFUNCTION("""COMPUTED_VALUE"""),"CarGun")</f>
        <v>CarGun</v>
      </c>
      <c r="E415" s="49">
        <f>IFERROR(__xludf.DUMMYFUNCTION("""COMPUTED_VALUE"""),2000.0)</f>
        <v>2000</v>
      </c>
      <c r="F415" s="49" t="str">
        <f>IFERROR(__xludf.DUMMYFUNCTION("""COMPUTED_VALUE"""),"DMG: +50000, Fire DMG: +50000 ++Damages all enemies. +-Uses Missiles.")</f>
        <v>DMG: +50000, Fire DMG: +50000 ++Damages all enemies. +-Uses Missiles.</v>
      </c>
      <c r="G415" s="49">
        <f>IFERROR(__xludf.DUMMYFUNCTION("""COMPUTED_VALUE"""),1.99E8)</f>
        <v>199000000</v>
      </c>
      <c r="H415" s="49"/>
      <c r="I415" s="49"/>
      <c r="J415" s="49"/>
      <c r="K415" s="49"/>
      <c r="L415" s="49"/>
      <c r="M415" s="49"/>
      <c r="N415" s="49"/>
      <c r="O415" s="49"/>
      <c r="P415" s="49"/>
      <c r="Q415" s="49"/>
      <c r="R415" s="49"/>
      <c r="S415" s="49"/>
      <c r="T415" s="49"/>
      <c r="U415" s="49"/>
      <c r="V415" s="49"/>
      <c r="W415" s="49"/>
      <c r="X415" s="49"/>
      <c r="Y415" s="49"/>
      <c r="Z415" s="49"/>
    </row>
    <row r="416">
      <c r="A416" s="49" t="str">
        <f>IFERROR(__xludf.DUMMYFUNCTION("""COMPUTED_VALUE"""),"Missile Turret (boat)")</f>
        <v>Missile Turret (boat)</v>
      </c>
      <c r="B416" s="49"/>
      <c r="C416" s="49" t="str">
        <f>IFERROR(__xludf.DUMMYFUNCTION("""COMPUTED_VALUE"""),"Firearm")</f>
        <v>Firearm</v>
      </c>
      <c r="D416" s="49" t="str">
        <f>IFERROR(__xludf.DUMMYFUNCTION("""COMPUTED_VALUE"""),"BoatGun")</f>
        <v>BoatGun</v>
      </c>
      <c r="E416" s="49">
        <f>IFERROR(__xludf.DUMMYFUNCTION("""COMPUTED_VALUE"""),2000.0)</f>
        <v>2000</v>
      </c>
      <c r="F416" s="49" t="str">
        <f>IFERROR(__xludf.DUMMYFUNCTION("""COMPUTED_VALUE"""),"DMG: +50000, Fire DMG: +50000 ++Damages all enemies. +-Uses Missiles.")</f>
        <v>DMG: +50000, Fire DMG: +50000 ++Damages all enemies. +-Uses Missiles.</v>
      </c>
      <c r="G416" s="49">
        <f>IFERROR(__xludf.DUMMYFUNCTION("""COMPUTED_VALUE"""),1.99E8)</f>
        <v>199000000</v>
      </c>
      <c r="H416" s="49"/>
      <c r="I416" s="49"/>
      <c r="J416" s="49"/>
      <c r="K416" s="49"/>
      <c r="L416" s="49"/>
      <c r="M416" s="49"/>
      <c r="N416" s="49"/>
      <c r="O416" s="49"/>
      <c r="P416" s="49"/>
      <c r="Q416" s="49"/>
      <c r="R416" s="49"/>
      <c r="S416" s="49"/>
      <c r="T416" s="49"/>
      <c r="U416" s="49"/>
      <c r="V416" s="49"/>
      <c r="W416" s="49"/>
      <c r="X416" s="49"/>
      <c r="Y416" s="49"/>
      <c r="Z416" s="49"/>
    </row>
    <row r="417">
      <c r="A417" s="49" t="str">
        <f>IFERROR(__xludf.DUMMYFUNCTION("""COMPUTED_VALUE"""),"Royal Sword of Dragonia")</f>
        <v>Royal Sword of Dragonia</v>
      </c>
      <c r="B417" s="49"/>
      <c r="C417" s="49" t="str">
        <f>IFERROR(__xludf.DUMMYFUNCTION("""COMPUTED_VALUE"""),"Sword")</f>
        <v>Sword</v>
      </c>
      <c r="D417" s="49" t="str">
        <f>IFERROR(__xludf.DUMMYFUNCTION("""COMPUTED_VALUE"""),"Hand")</f>
        <v>Hand</v>
      </c>
      <c r="E417" s="49">
        <f>IFERROR(__xludf.DUMMYFUNCTION("""COMPUTED_VALUE"""),200.0)</f>
        <v>200</v>
      </c>
      <c r="F417" s="49"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49">
        <f>IFERROR(__xludf.DUMMYFUNCTION("""COMPUTED_VALUE"""),7.98E8)</f>
        <v>798000000</v>
      </c>
      <c r="H417" s="49"/>
      <c r="I417" s="49"/>
      <c r="J417" s="49"/>
      <c r="K417" s="49"/>
      <c r="L417" s="49"/>
      <c r="M417" s="49"/>
      <c r="N417" s="49"/>
      <c r="O417" s="49"/>
      <c r="P417" s="49"/>
      <c r="Q417" s="49"/>
      <c r="R417" s="49"/>
      <c r="S417" s="49"/>
      <c r="T417" s="49"/>
      <c r="U417" s="49"/>
      <c r="V417" s="49"/>
      <c r="W417" s="49"/>
      <c r="X417" s="49"/>
      <c r="Y417" s="49"/>
      <c r="Z417" s="49"/>
    </row>
    <row r="418">
      <c r="A418" s="49" t="str">
        <f>IFERROR(__xludf.DUMMYFUNCTION("""COMPUTED_VALUE"""),"Dragonian Helm")</f>
        <v>Dragonian Helm</v>
      </c>
      <c r="B418" s="49"/>
      <c r="C418" s="49" t="str">
        <f>IFERROR(__xludf.DUMMYFUNCTION("""COMPUTED_VALUE"""),"Sword")</f>
        <v>Sword</v>
      </c>
      <c r="D418" s="49" t="str">
        <f>IFERROR(__xludf.DUMMYFUNCTION("""COMPUTED_VALUE"""),"Head")</f>
        <v>Head</v>
      </c>
      <c r="E418" s="49">
        <f>IFERROR(__xludf.DUMMYFUNCTION("""COMPUTED_VALUE"""),200.0)</f>
        <v>200</v>
      </c>
      <c r="F418" s="49"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49">
        <f>IFERROR(__xludf.DUMMYFUNCTION("""COMPUTED_VALUE"""),7.98E8)</f>
        <v>798000000</v>
      </c>
      <c r="H418" s="49"/>
      <c r="I418" s="49"/>
      <c r="J418" s="49"/>
      <c r="K418" s="49"/>
      <c r="L418" s="49"/>
      <c r="M418" s="49"/>
      <c r="N418" s="49"/>
      <c r="O418" s="49"/>
      <c r="P418" s="49"/>
      <c r="Q418" s="49"/>
      <c r="R418" s="49"/>
      <c r="S418" s="49"/>
      <c r="T418" s="49"/>
      <c r="U418" s="49"/>
      <c r="V418" s="49"/>
      <c r="W418" s="49"/>
      <c r="X418" s="49"/>
      <c r="Y418" s="49"/>
      <c r="Z418" s="49"/>
    </row>
    <row r="419">
      <c r="A419" s="49" t="str">
        <f>IFERROR(__xludf.DUMMYFUNCTION("""COMPUTED_VALUE"""),"Dragonian Pauldrons")</f>
        <v>Dragonian Pauldrons</v>
      </c>
      <c r="B419" s="49"/>
      <c r="C419" s="49"/>
      <c r="D419" s="49" t="str">
        <f>IFERROR(__xludf.DUMMYFUNCTION("""COMPUTED_VALUE"""),"Shoulders")</f>
        <v>Shoulders</v>
      </c>
      <c r="E419" s="49">
        <f>IFERROR(__xludf.DUMMYFUNCTION("""COMPUTED_VALUE"""),200.0)</f>
        <v>200</v>
      </c>
      <c r="F419" s="49"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49">
        <f>IFERROR(__xludf.DUMMYFUNCTION("""COMPUTED_VALUE"""),7.98E8)</f>
        <v>798000000</v>
      </c>
      <c r="H419" s="49"/>
      <c r="I419" s="49"/>
      <c r="J419" s="49"/>
      <c r="K419" s="49"/>
      <c r="L419" s="49"/>
      <c r="M419" s="49"/>
      <c r="N419" s="49"/>
      <c r="O419" s="49"/>
      <c r="P419" s="49"/>
      <c r="Q419" s="49"/>
      <c r="R419" s="49"/>
      <c r="S419" s="49"/>
      <c r="T419" s="49"/>
      <c r="U419" s="49"/>
      <c r="V419" s="49"/>
      <c r="W419" s="49"/>
      <c r="X419" s="49"/>
      <c r="Y419" s="49"/>
      <c r="Z419" s="49"/>
    </row>
    <row r="420">
      <c r="A420" s="49" t="str">
        <f>IFERROR(__xludf.DUMMYFUNCTION("""COMPUTED_VALUE"""),"Dragonian Chestplate")</f>
        <v>Dragonian Chestplate</v>
      </c>
      <c r="B420" s="49"/>
      <c r="C420" s="49"/>
      <c r="D420" s="49" t="str">
        <f>IFERROR(__xludf.DUMMYFUNCTION("""COMPUTED_VALUE"""),"Torso")</f>
        <v>Torso</v>
      </c>
      <c r="E420" s="49">
        <f>IFERROR(__xludf.DUMMYFUNCTION("""COMPUTED_VALUE"""),200.0)</f>
        <v>200</v>
      </c>
      <c r="F420" s="49"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49">
        <f>IFERROR(__xludf.DUMMYFUNCTION("""COMPUTED_VALUE"""),7.98E8)</f>
        <v>798000000</v>
      </c>
      <c r="H420" s="49"/>
      <c r="I420" s="49"/>
      <c r="J420" s="49"/>
      <c r="K420" s="49"/>
      <c r="L420" s="49"/>
      <c r="M420" s="49"/>
      <c r="N420" s="49"/>
      <c r="O420" s="49"/>
      <c r="P420" s="49"/>
      <c r="Q420" s="49"/>
      <c r="R420" s="49"/>
      <c r="S420" s="49"/>
      <c r="T420" s="49"/>
      <c r="U420" s="49"/>
      <c r="V420" s="49"/>
      <c r="W420" s="49"/>
      <c r="X420" s="49"/>
      <c r="Y420" s="49"/>
      <c r="Z420" s="49"/>
    </row>
    <row r="421">
      <c r="A421" s="49" t="str">
        <f>IFERROR(__xludf.DUMMYFUNCTION("""COMPUTED_VALUE"""),"Dragonian Vambraces")</f>
        <v>Dragonian Vambraces</v>
      </c>
      <c r="B421" s="49"/>
      <c r="C421" s="49"/>
      <c r="D421" s="49" t="str">
        <f>IFERROR(__xludf.DUMMYFUNCTION("""COMPUTED_VALUE"""),"Arms")</f>
        <v>Arms</v>
      </c>
      <c r="E421" s="49">
        <f>IFERROR(__xludf.DUMMYFUNCTION("""COMPUTED_VALUE"""),200.0)</f>
        <v>200</v>
      </c>
      <c r="F421" s="49"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49">
        <f>IFERROR(__xludf.DUMMYFUNCTION("""COMPUTED_VALUE"""),7.98E8)</f>
        <v>798000000</v>
      </c>
      <c r="H421" s="49"/>
      <c r="I421" s="49"/>
      <c r="J421" s="49"/>
      <c r="K421" s="49"/>
      <c r="L421" s="49"/>
      <c r="M421" s="49"/>
      <c r="N421" s="49"/>
      <c r="O421" s="49"/>
      <c r="P421" s="49"/>
      <c r="Q421" s="49"/>
      <c r="R421" s="49"/>
      <c r="S421" s="49"/>
      <c r="T421" s="49"/>
      <c r="U421" s="49"/>
      <c r="V421" s="49"/>
      <c r="W421" s="49"/>
      <c r="X421" s="49"/>
      <c r="Y421" s="49"/>
      <c r="Z421" s="49"/>
    </row>
    <row r="422">
      <c r="A422" s="49" t="str">
        <f>IFERROR(__xludf.DUMMYFUNCTION("""COMPUTED_VALUE"""),"Dragonian Greaves")</f>
        <v>Dragonian Greaves</v>
      </c>
      <c r="B422" s="49"/>
      <c r="C422" s="49"/>
      <c r="D422" s="49" t="str">
        <f>IFERROR(__xludf.DUMMYFUNCTION("""COMPUTED_VALUE"""),"Legs")</f>
        <v>Legs</v>
      </c>
      <c r="E422" s="49">
        <f>IFERROR(__xludf.DUMMYFUNCTION("""COMPUTED_VALUE"""),200.0)</f>
        <v>200</v>
      </c>
      <c r="F422" s="49"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49">
        <f>IFERROR(__xludf.DUMMYFUNCTION("""COMPUTED_VALUE"""),7.98E8)</f>
        <v>798000000</v>
      </c>
      <c r="H422" s="49"/>
      <c r="I422" s="49"/>
      <c r="J422" s="49"/>
      <c r="K422" s="49"/>
      <c r="L422" s="49"/>
      <c r="M422" s="49"/>
      <c r="N422" s="49"/>
      <c r="O422" s="49"/>
      <c r="P422" s="49"/>
      <c r="Q422" s="49"/>
      <c r="R422" s="49"/>
      <c r="S422" s="49"/>
      <c r="T422" s="49"/>
      <c r="U422" s="49"/>
      <c r="V422" s="49"/>
      <c r="W422" s="49"/>
      <c r="X422" s="49"/>
      <c r="Y422" s="49"/>
      <c r="Z422" s="49"/>
    </row>
    <row r="423">
      <c r="A423" s="49" t="str">
        <f>IFERROR(__xludf.DUMMYFUNCTION("""COMPUTED_VALUE"""),"Dragonian Boots")</f>
        <v>Dragonian Boots</v>
      </c>
      <c r="B423" s="49"/>
      <c r="C423" s="49"/>
      <c r="D423" s="49" t="str">
        <f>IFERROR(__xludf.DUMMYFUNCTION("""COMPUTED_VALUE"""),"Feet")</f>
        <v>Feet</v>
      </c>
      <c r="E423" s="49">
        <f>IFERROR(__xludf.DUMMYFUNCTION("""COMPUTED_VALUE"""),200.0)</f>
        <v>200</v>
      </c>
      <c r="F423" s="49"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49">
        <f>IFERROR(__xludf.DUMMYFUNCTION("""COMPUTED_VALUE"""),7.98E8)</f>
        <v>798000000</v>
      </c>
      <c r="H423" s="49"/>
      <c r="I423" s="49"/>
      <c r="J423" s="49"/>
      <c r="K423" s="49"/>
      <c r="L423" s="49"/>
      <c r="M423" s="49"/>
      <c r="N423" s="49"/>
      <c r="O423" s="49"/>
      <c r="P423" s="49"/>
      <c r="Q423" s="49"/>
      <c r="R423" s="49"/>
      <c r="S423" s="49"/>
      <c r="T423" s="49"/>
      <c r="U423" s="49"/>
      <c r="V423" s="49"/>
      <c r="W423" s="49"/>
      <c r="X423" s="49"/>
      <c r="Y423" s="49"/>
      <c r="Z423" s="49"/>
    </row>
    <row r="424">
      <c r="A424" s="49" t="str">
        <f>IFERROR(__xludf.DUMMYFUNCTION("""COMPUTED_VALUE"""),"Dragonian Pendent")</f>
        <v>Dragonian Pendent</v>
      </c>
      <c r="B424" s="49"/>
      <c r="C424" s="49"/>
      <c r="D424" s="49" t="str">
        <f>IFERROR(__xludf.DUMMYFUNCTION("""COMPUTED_VALUE"""),"Neck")</f>
        <v>Neck</v>
      </c>
      <c r="E424" s="49">
        <f>IFERROR(__xludf.DUMMYFUNCTION("""COMPUTED_VALUE"""),200.0)</f>
        <v>200</v>
      </c>
      <c r="F424" s="49"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49">
        <f>IFERROR(__xludf.DUMMYFUNCTION("""COMPUTED_VALUE"""),4350000.0)</f>
        <v>4350000</v>
      </c>
      <c r="H424" s="49"/>
      <c r="I424" s="49"/>
      <c r="J424" s="49"/>
      <c r="K424" s="49"/>
      <c r="L424" s="49"/>
      <c r="M424" s="49"/>
      <c r="N424" s="49"/>
      <c r="O424" s="49"/>
      <c r="P424" s="49"/>
      <c r="Q424" s="49"/>
      <c r="R424" s="49"/>
      <c r="S424" s="49"/>
      <c r="T424" s="49"/>
      <c r="U424" s="49"/>
      <c r="V424" s="49"/>
      <c r="W424" s="49"/>
      <c r="X424" s="49"/>
      <c r="Y424" s="49"/>
      <c r="Z424" s="49"/>
    </row>
    <row r="425">
      <c r="A425" s="49" t="str">
        <f>IFERROR(__xludf.DUMMYFUNCTION("""COMPUTED_VALUE"""),"Dragonian Ring")</f>
        <v>Dragonian Ring</v>
      </c>
      <c r="B425" s="49"/>
      <c r="C425" s="49"/>
      <c r="D425" s="49" t="str">
        <f>IFERROR(__xludf.DUMMYFUNCTION("""COMPUTED_VALUE"""),"Ring")</f>
        <v>Ring</v>
      </c>
      <c r="E425" s="49">
        <f>IFERROR(__xludf.DUMMYFUNCTION("""COMPUTED_VALUE"""),200.0)</f>
        <v>200</v>
      </c>
      <c r="F425" s="49"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49">
        <f>IFERROR(__xludf.DUMMYFUNCTION("""COMPUTED_VALUE"""),4350000.0)</f>
        <v>4350000</v>
      </c>
      <c r="H425" s="49"/>
      <c r="I425" s="49"/>
      <c r="J425" s="49"/>
      <c r="K425" s="49"/>
      <c r="L425" s="49"/>
      <c r="M425" s="49"/>
      <c r="N425" s="49"/>
      <c r="O425" s="49"/>
      <c r="P425" s="49"/>
      <c r="Q425" s="49"/>
      <c r="R425" s="49"/>
      <c r="S425" s="49"/>
      <c r="T425" s="49"/>
      <c r="U425" s="49"/>
      <c r="V425" s="49"/>
      <c r="W425" s="49"/>
      <c r="X425" s="49"/>
      <c r="Y425" s="49"/>
      <c r="Z425" s="49"/>
    </row>
    <row r="426">
      <c r="A426" s="49" t="str">
        <f>IFERROR(__xludf.DUMMYFUNCTION("""COMPUTED_VALUE"""),"Fishing Pole of Luck and Power")</f>
        <v>Fishing Pole of Luck and Power</v>
      </c>
      <c r="B426" s="49"/>
      <c r="C426" s="49" t="str">
        <f>IFERROR(__xludf.DUMMYFUNCTION("""COMPUTED_VALUE"""),"Club")</f>
        <v>Club</v>
      </c>
      <c r="D426" s="49" t="str">
        <f>IFERROR(__xludf.DUMMYFUNCTION("""COMPUTED_VALUE"""),"Hand")</f>
        <v>Hand</v>
      </c>
      <c r="E426" s="49">
        <f>IFERROR(__xludf.DUMMYFUNCTION("""COMPUTED_VALUE"""),1600.0)</f>
        <v>1600</v>
      </c>
      <c r="F426" s="49"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49">
        <f>IFERROR(__xludf.DUMMYFUNCTION("""COMPUTED_VALUE"""),1.272E8)</f>
        <v>127200000</v>
      </c>
      <c r="H426" s="49"/>
      <c r="I426" s="49"/>
      <c r="J426" s="49"/>
      <c r="K426" s="49"/>
      <c r="L426" s="49"/>
      <c r="M426" s="49"/>
      <c r="N426" s="49"/>
      <c r="O426" s="49"/>
      <c r="P426" s="49"/>
      <c r="Q426" s="49"/>
      <c r="R426" s="49"/>
      <c r="S426" s="49"/>
      <c r="T426" s="49"/>
      <c r="U426" s="49"/>
      <c r="V426" s="49"/>
      <c r="W426" s="49"/>
      <c r="X426" s="49"/>
      <c r="Y426" s="49"/>
      <c r="Z426" s="49"/>
    </row>
    <row r="427">
      <c r="A427" s="49" t="str">
        <f>IFERROR(__xludf.DUMMYFUNCTION("""COMPUTED_VALUE"""),"Ancient Oni Pauldrons")</f>
        <v>Ancient Oni Pauldrons</v>
      </c>
      <c r="B427" s="49" t="str">
        <f>IFERROR(__xludf.DUMMYFUNCTION("""COMPUTED_VALUE"""),"An ancient relic to Zhenmay")</f>
        <v>An ancient relic to Zhenmay</v>
      </c>
      <c r="C427" s="49"/>
      <c r="D427" s="49" t="str">
        <f>IFERROR(__xludf.DUMMYFUNCTION("""COMPUTED_VALUE"""),"Shoulders")</f>
        <v>Shoulders</v>
      </c>
      <c r="E427" s="49">
        <f>IFERROR(__xludf.DUMMYFUNCTION("""COMPUTED_VALUE"""),200.0)</f>
        <v>200</v>
      </c>
      <c r="F427" s="49"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49">
        <f>IFERROR(__xludf.DUMMYFUNCTION("""COMPUTED_VALUE"""),5.104E8)</f>
        <v>510400000</v>
      </c>
      <c r="H427" s="49"/>
      <c r="I427" s="49"/>
      <c r="J427" s="49"/>
      <c r="K427" s="49"/>
      <c r="L427" s="49"/>
      <c r="M427" s="49"/>
      <c r="N427" s="49"/>
      <c r="O427" s="49"/>
      <c r="P427" s="49"/>
      <c r="Q427" s="49"/>
      <c r="R427" s="49"/>
      <c r="S427" s="49"/>
      <c r="T427" s="49"/>
      <c r="U427" s="49"/>
      <c r="V427" s="49"/>
      <c r="W427" s="49"/>
      <c r="X427" s="49"/>
      <c r="Y427" s="49"/>
      <c r="Z427" s="49"/>
    </row>
    <row r="428">
      <c r="A428" s="49" t="str">
        <f>IFERROR(__xludf.DUMMYFUNCTION("""COMPUTED_VALUE"""),"Ancient Oni Vambraces")</f>
        <v>Ancient Oni Vambraces</v>
      </c>
      <c r="B428" s="49" t="str">
        <f>IFERROR(__xludf.DUMMYFUNCTION("""COMPUTED_VALUE"""),"An ancient relic to Zhenmay")</f>
        <v>An ancient relic to Zhenmay</v>
      </c>
      <c r="C428" s="49"/>
      <c r="D428" s="49" t="str">
        <f>IFERROR(__xludf.DUMMYFUNCTION("""COMPUTED_VALUE"""),"Arms")</f>
        <v>Arms</v>
      </c>
      <c r="E428" s="49">
        <f>IFERROR(__xludf.DUMMYFUNCTION("""COMPUTED_VALUE"""),200.0)</f>
        <v>200</v>
      </c>
      <c r="F428" s="49"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49">
        <f>IFERROR(__xludf.DUMMYFUNCTION("""COMPUTED_VALUE"""),5.104E8)</f>
        <v>510400000</v>
      </c>
      <c r="H428" s="49"/>
      <c r="I428" s="49"/>
      <c r="J428" s="49"/>
      <c r="K428" s="49"/>
      <c r="L428" s="49"/>
      <c r="M428" s="49"/>
      <c r="N428" s="49"/>
      <c r="O428" s="49"/>
      <c r="P428" s="49"/>
      <c r="Q428" s="49"/>
      <c r="R428" s="49"/>
      <c r="S428" s="49"/>
      <c r="T428" s="49"/>
      <c r="U428" s="49"/>
      <c r="V428" s="49"/>
      <c r="W428" s="49"/>
      <c r="X428" s="49"/>
      <c r="Y428" s="49"/>
      <c r="Z428" s="49"/>
    </row>
    <row r="429">
      <c r="A429" s="49" t="str">
        <f>IFERROR(__xludf.DUMMYFUNCTION("""COMPUTED_VALUE"""),"Ancient Oni Greaves")</f>
        <v>Ancient Oni Greaves</v>
      </c>
      <c r="B429" s="49" t="str">
        <f>IFERROR(__xludf.DUMMYFUNCTION("""COMPUTED_VALUE"""),"An ancient relic to Zhenmay")</f>
        <v>An ancient relic to Zhenmay</v>
      </c>
      <c r="C429" s="49"/>
      <c r="D429" s="49" t="str">
        <f>IFERROR(__xludf.DUMMYFUNCTION("""COMPUTED_VALUE"""),"Legs")</f>
        <v>Legs</v>
      </c>
      <c r="E429" s="49">
        <f>IFERROR(__xludf.DUMMYFUNCTION("""COMPUTED_VALUE"""),200.0)</f>
        <v>200</v>
      </c>
      <c r="F429" s="49"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49">
        <f>IFERROR(__xludf.DUMMYFUNCTION("""COMPUTED_VALUE"""),5.104E8)</f>
        <v>510400000</v>
      </c>
      <c r="H429" s="49"/>
      <c r="I429" s="49"/>
      <c r="J429" s="49"/>
      <c r="K429" s="49"/>
      <c r="L429" s="49"/>
      <c r="M429" s="49"/>
      <c r="N429" s="49"/>
      <c r="O429" s="49"/>
      <c r="P429" s="49"/>
      <c r="Q429" s="49"/>
      <c r="R429" s="49"/>
      <c r="S429" s="49"/>
      <c r="T429" s="49"/>
      <c r="U429" s="49"/>
      <c r="V429" s="49"/>
      <c r="W429" s="49"/>
      <c r="X429" s="49"/>
      <c r="Y429" s="49"/>
      <c r="Z429" s="49"/>
    </row>
    <row r="430">
      <c r="A430" s="49" t="str">
        <f>IFERROR(__xludf.DUMMYFUNCTION("""COMPUTED_VALUE"""),"Ancient Oni Boots")</f>
        <v>Ancient Oni Boots</v>
      </c>
      <c r="B430" s="49" t="str">
        <f>IFERROR(__xludf.DUMMYFUNCTION("""COMPUTED_VALUE"""),"An ancient relic to Zhenmay")</f>
        <v>An ancient relic to Zhenmay</v>
      </c>
      <c r="C430" s="49"/>
      <c r="D430" s="49" t="str">
        <f>IFERROR(__xludf.DUMMYFUNCTION("""COMPUTED_VALUE"""),"Feet")</f>
        <v>Feet</v>
      </c>
      <c r="E430" s="49">
        <f>IFERROR(__xludf.DUMMYFUNCTION("""COMPUTED_VALUE"""),200.0)</f>
        <v>200</v>
      </c>
      <c r="F430" s="49"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49">
        <f>IFERROR(__xludf.DUMMYFUNCTION("""COMPUTED_VALUE"""),5.104E8)</f>
        <v>510400000</v>
      </c>
      <c r="H430" s="49"/>
      <c r="I430" s="49"/>
      <c r="J430" s="49"/>
      <c r="K430" s="49"/>
      <c r="L430" s="49"/>
      <c r="M430" s="49"/>
      <c r="N430" s="49"/>
      <c r="O430" s="49"/>
      <c r="P430" s="49"/>
      <c r="Q430" s="49"/>
      <c r="R430" s="49"/>
      <c r="S430" s="49"/>
      <c r="T430" s="49"/>
      <c r="U430" s="49"/>
      <c r="V430" s="49"/>
      <c r="W430" s="49"/>
      <c r="X430" s="49"/>
      <c r="Y430" s="49"/>
      <c r="Z430" s="49"/>
    </row>
    <row r="431">
      <c r="A431" s="49" t="str">
        <f>IFERROR(__xludf.DUMMYFUNCTION("""COMPUTED_VALUE"""),"Ancient Oni Katana")</f>
        <v>Ancient Oni Katana</v>
      </c>
      <c r="B431" s="49" t="str">
        <f>IFERROR(__xludf.DUMMYFUNCTION("""COMPUTED_VALUE"""),"An ancient relic to Zhenmay")</f>
        <v>An ancient relic to Zhenmay</v>
      </c>
      <c r="C431" s="49" t="str">
        <f>IFERROR(__xludf.DUMMYFUNCTION("""COMPUTED_VALUE"""),"Sword")</f>
        <v>Sword</v>
      </c>
      <c r="D431" s="49" t="str">
        <f>IFERROR(__xludf.DUMMYFUNCTION("""COMPUTED_VALUE"""),"Hand")</f>
        <v>Hand</v>
      </c>
      <c r="E431" s="49">
        <f>IFERROR(__xludf.DUMMYFUNCTION("""COMPUTED_VALUE"""),200.0)</f>
        <v>200</v>
      </c>
      <c r="F431" s="49"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49">
        <f>IFERROR(__xludf.DUMMYFUNCTION("""COMPUTED_VALUE"""),5.104E8)</f>
        <v>510400000</v>
      </c>
      <c r="H431" s="49"/>
      <c r="I431" s="49"/>
      <c r="J431" s="49"/>
      <c r="K431" s="49"/>
      <c r="L431" s="49"/>
      <c r="M431" s="49"/>
      <c r="N431" s="49"/>
      <c r="O431" s="49"/>
      <c r="P431" s="49"/>
      <c r="Q431" s="49"/>
      <c r="R431" s="49"/>
      <c r="S431" s="49"/>
      <c r="T431" s="49"/>
      <c r="U431" s="49"/>
      <c r="V431" s="49"/>
      <c r="W431" s="49"/>
      <c r="X431" s="49"/>
      <c r="Y431" s="49"/>
      <c r="Z431" s="49"/>
    </row>
    <row r="432">
      <c r="A432" s="49" t="str">
        <f>IFERROR(__xludf.DUMMYFUNCTION("""COMPUTED_VALUE"""),"The Grand Staff of Evil Flames")</f>
        <v>The Grand Staff of Evil Flames</v>
      </c>
      <c r="B432" s="49"/>
      <c r="C432" s="49" t="str">
        <f>IFERROR(__xludf.DUMMYFUNCTION("""COMPUTED_VALUE"""),"Staff")</f>
        <v>Staff</v>
      </c>
      <c r="D432" s="49" t="str">
        <f>IFERROR(__xludf.DUMMYFUNCTION("""COMPUTED_VALUE"""),"Hand")</f>
        <v>Hand</v>
      </c>
      <c r="E432" s="49">
        <f>IFERROR(__xludf.DUMMYFUNCTION("""COMPUTED_VALUE"""),1200.0)</f>
        <v>1200</v>
      </c>
      <c r="F432" s="49"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49">
        <f>IFERROR(__xludf.DUMMYFUNCTION("""COMPUTED_VALUE"""),7.14E7)</f>
        <v>71400000</v>
      </c>
      <c r="H432" s="49"/>
      <c r="I432" s="49"/>
      <c r="J432" s="49"/>
      <c r="K432" s="49"/>
      <c r="L432" s="49"/>
      <c r="M432" s="49"/>
      <c r="N432" s="49"/>
      <c r="O432" s="49"/>
      <c r="P432" s="49"/>
      <c r="Q432" s="49"/>
      <c r="R432" s="49"/>
      <c r="S432" s="49"/>
      <c r="T432" s="49"/>
      <c r="U432" s="49"/>
      <c r="V432" s="49"/>
      <c r="W432" s="49"/>
      <c r="X432" s="49"/>
      <c r="Y432" s="49"/>
      <c r="Z432" s="49"/>
    </row>
    <row r="433">
      <c r="A433" s="49" t="str">
        <f>IFERROR(__xludf.DUMMYFUNCTION("""COMPUTED_VALUE"""),"Soul Sword of The Endless Realm")</f>
        <v>Soul Sword of The Endless Realm</v>
      </c>
      <c r="B433" s="49"/>
      <c r="C433" s="49" t="str">
        <f>IFERROR(__xludf.DUMMYFUNCTION("""COMPUTED_VALUE"""),"Sword")</f>
        <v>Sword</v>
      </c>
      <c r="D433" s="49" t="str">
        <f>IFERROR(__xludf.DUMMYFUNCTION("""COMPUTED_VALUE"""),"Hand")</f>
        <v>Hand</v>
      </c>
      <c r="E433" s="49">
        <f>IFERROR(__xludf.DUMMYFUNCTION("""COMPUTED_VALUE"""),200.0)</f>
        <v>200</v>
      </c>
      <c r="F433" s="49"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49">
        <f>IFERROR(__xludf.DUMMYFUNCTION("""COMPUTED_VALUE"""),4.0455E9)</f>
        <v>4045500000</v>
      </c>
      <c r="H433" s="49"/>
      <c r="I433" s="49"/>
      <c r="J433" s="49"/>
      <c r="K433" s="49"/>
      <c r="L433" s="49"/>
      <c r="M433" s="49"/>
      <c r="N433" s="49"/>
      <c r="O433" s="49"/>
      <c r="P433" s="49"/>
      <c r="Q433" s="49"/>
      <c r="R433" s="49"/>
      <c r="S433" s="49"/>
      <c r="T433" s="49"/>
      <c r="U433" s="49"/>
      <c r="V433" s="49"/>
      <c r="W433" s="49"/>
      <c r="X433" s="49"/>
      <c r="Y433" s="49"/>
      <c r="Z433" s="49"/>
    </row>
    <row r="434">
      <c r="A434" s="49" t="str">
        <f>IFERROR(__xludf.DUMMYFUNCTION("""COMPUTED_VALUE"""),"Rat King's Crown")</f>
        <v>Rat King's Crown</v>
      </c>
      <c r="B434" s="49"/>
      <c r="C434" s="49"/>
      <c r="D434" s="49" t="str">
        <f>IFERROR(__xludf.DUMMYFUNCTION("""COMPUTED_VALUE"""),"Head")</f>
        <v>Head</v>
      </c>
      <c r="E434" s="49">
        <f>IFERROR(__xludf.DUMMYFUNCTION("""COMPUTED_VALUE"""),1000.0)</f>
        <v>1000</v>
      </c>
      <c r="F434" s="49"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49">
        <f>IFERROR(__xludf.DUMMYFUNCTION("""COMPUTED_VALUE"""),4.95E7)</f>
        <v>49500000</v>
      </c>
      <c r="H434" s="49"/>
      <c r="I434" s="49"/>
      <c r="J434" s="49"/>
      <c r="K434" s="49"/>
      <c r="L434" s="49"/>
      <c r="M434" s="49"/>
      <c r="N434" s="49"/>
      <c r="O434" s="49"/>
      <c r="P434" s="49"/>
      <c r="Q434" s="49"/>
      <c r="R434" s="49"/>
      <c r="S434" s="49"/>
      <c r="T434" s="49"/>
      <c r="U434" s="49"/>
      <c r="V434" s="49"/>
      <c r="W434" s="49"/>
      <c r="X434" s="49"/>
      <c r="Y434" s="49"/>
      <c r="Z434" s="49"/>
    </row>
    <row r="435">
      <c r="A435" s="49" t="str">
        <f>IFERROR(__xludf.DUMMYFUNCTION("""COMPUTED_VALUE"""),"Vermouth's Crown of Tides")</f>
        <v>Vermouth's Crown of Tides</v>
      </c>
      <c r="B435" s="49"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49"/>
      <c r="D435" s="49" t="str">
        <f>IFERROR(__xludf.DUMMYFUNCTION("""COMPUTED_VALUE"""),"Head")</f>
        <v>Head</v>
      </c>
      <c r="E435" s="49">
        <f>IFERROR(__xludf.DUMMYFUNCTION("""COMPUTED_VALUE"""),700.0)</f>
        <v>700</v>
      </c>
      <c r="F435" s="49" t="str">
        <f>IFERROR(__xludf.DUMMYFUNCTION("""COMPUTED_VALUE"""),"DEF: +25000, Water DEF: +10000 ++Immunity to Water damage. ++X2 Additional Water damage for the user.")</f>
        <v>DEF: +25000, Water DEF: +10000 ++Immunity to Water damage. ++X2 Additional Water damage for the user.</v>
      </c>
      <c r="G435" s="49">
        <f>IFERROR(__xludf.DUMMYFUNCTION("""COMPUTED_VALUE"""),2.415E7)</f>
        <v>24150000</v>
      </c>
      <c r="H435" s="49"/>
      <c r="I435" s="49"/>
      <c r="J435" s="49"/>
      <c r="K435" s="49"/>
      <c r="L435" s="49"/>
      <c r="M435" s="49"/>
      <c r="N435" s="49"/>
      <c r="O435" s="49"/>
      <c r="P435" s="49"/>
      <c r="Q435" s="49"/>
      <c r="R435" s="49"/>
      <c r="S435" s="49"/>
      <c r="T435" s="49"/>
      <c r="U435" s="49"/>
      <c r="V435" s="49"/>
      <c r="W435" s="49"/>
      <c r="X435" s="49"/>
      <c r="Y435" s="49"/>
      <c r="Z435" s="49"/>
    </row>
    <row r="436">
      <c r="A436" s="49" t="str">
        <f>IFERROR(__xludf.DUMMYFUNCTION("""COMPUTED_VALUE"""),"ChronoMech Enigma")</f>
        <v>ChronoMech Enigma</v>
      </c>
      <c r="B436" s="49" t="str">
        <f>IFERROR(__xludf.DUMMYFUNCTION("""COMPUTED_VALUE"""),"A clockwork device that grants unique abilities.")</f>
        <v>A clockwork device that grants unique abilities.</v>
      </c>
      <c r="C436" s="49"/>
      <c r="D436" s="49" t="str">
        <f>IFERROR(__xludf.DUMMYFUNCTION("""COMPUTED_VALUE"""),"Hand")</f>
        <v>Hand</v>
      </c>
      <c r="E436" s="49">
        <f>IFERROR(__xludf.DUMMYFUNCTION("""COMPUTED_VALUE"""),200.0)</f>
        <v>200</v>
      </c>
      <c r="F436" s="49"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49">
        <f>IFERROR(__xludf.DUMMYFUNCTION("""COMPUTED_VALUE"""),1900000.0)</f>
        <v>1900000</v>
      </c>
      <c r="H436" s="49"/>
      <c r="I436" s="49"/>
      <c r="J436" s="49"/>
      <c r="K436" s="49"/>
      <c r="L436" s="49"/>
      <c r="M436" s="49"/>
      <c r="N436" s="49"/>
      <c r="O436" s="49"/>
      <c r="P436" s="49"/>
      <c r="Q436" s="49"/>
      <c r="R436" s="49"/>
      <c r="S436" s="49"/>
      <c r="T436" s="49"/>
      <c r="U436" s="49"/>
      <c r="V436" s="49"/>
      <c r="W436" s="49"/>
      <c r="X436" s="49"/>
      <c r="Y436" s="49"/>
      <c r="Z436" s="49"/>
    </row>
    <row r="437">
      <c r="A437" s="49" t="str">
        <f>IFERROR(__xludf.DUMMYFUNCTION("""COMPUTED_VALUE"""),"Royal Sword of The Halloween Kingdom")</f>
        <v>Royal Sword of The Halloween Kingdom</v>
      </c>
      <c r="B437" s="49" t="str">
        <f>IFERROR(__xludf.DUMMYFUNCTION("""COMPUTED_VALUE"""),"Halloween Exclusive")</f>
        <v>Halloween Exclusive</v>
      </c>
      <c r="C437" s="49" t="str">
        <f>IFERROR(__xludf.DUMMYFUNCTION("""COMPUTED_VALUE"""),"Sword")</f>
        <v>Sword</v>
      </c>
      <c r="D437" s="49" t="str">
        <f>IFERROR(__xludf.DUMMYFUNCTION("""COMPUTED_VALUE"""),"Hand")</f>
        <v>Hand</v>
      </c>
      <c r="E437" s="49">
        <f>IFERROR(__xludf.DUMMYFUNCTION("""COMPUTED_VALUE"""),200.0)</f>
        <v>200</v>
      </c>
      <c r="F437" s="49"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49">
        <f>IFERROR(__xludf.DUMMYFUNCTION("""COMPUTED_VALUE"""),1.0557E9)</f>
        <v>1055700000</v>
      </c>
      <c r="H437" s="49"/>
      <c r="I437" s="49"/>
      <c r="J437" s="49"/>
      <c r="K437" s="49"/>
      <c r="L437" s="49"/>
      <c r="M437" s="49"/>
      <c r="N437" s="49"/>
      <c r="O437" s="49"/>
      <c r="P437" s="49"/>
      <c r="Q437" s="49"/>
      <c r="R437" s="49"/>
      <c r="S437" s="49"/>
      <c r="T437" s="49"/>
      <c r="U437" s="49"/>
      <c r="V437" s="49"/>
      <c r="W437" s="49"/>
      <c r="X437" s="49"/>
      <c r="Y437" s="49"/>
      <c r="Z437" s="49"/>
    </row>
    <row r="438">
      <c r="A438" s="49" t="str">
        <f>IFERROR(__xludf.DUMMYFUNCTION("""COMPUTED_VALUE"""),"Royal Shield of The Halloween Kingdom")</f>
        <v>Royal Shield of The Halloween Kingdom</v>
      </c>
      <c r="B438" s="49" t="str">
        <f>IFERROR(__xludf.DUMMYFUNCTION("""COMPUTED_VALUE"""),"Halloween Exclusive")</f>
        <v>Halloween Exclusive</v>
      </c>
      <c r="C438" s="49" t="str">
        <f>IFERROR(__xludf.DUMMYFUNCTION("""COMPUTED_VALUE"""),"Towershield")</f>
        <v>Towershield</v>
      </c>
      <c r="D438" s="49" t="str">
        <f>IFERROR(__xludf.DUMMYFUNCTION("""COMPUTED_VALUE"""),"Hand")</f>
        <v>Hand</v>
      </c>
      <c r="E438" s="49">
        <f>IFERROR(__xludf.DUMMYFUNCTION("""COMPUTED_VALUE"""),200.0)</f>
        <v>200</v>
      </c>
      <c r="F438" s="49"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49">
        <f>IFERROR(__xludf.DUMMYFUNCTION("""COMPUTED_VALUE"""),1.0557E9)</f>
        <v>1055700000</v>
      </c>
      <c r="H438" s="49"/>
      <c r="I438" s="49"/>
      <c r="J438" s="49"/>
      <c r="K438" s="49"/>
      <c r="L438" s="49"/>
      <c r="M438" s="49"/>
      <c r="N438" s="49"/>
      <c r="O438" s="49"/>
      <c r="P438" s="49"/>
      <c r="Q438" s="49"/>
      <c r="R438" s="49"/>
      <c r="S438" s="49"/>
      <c r="T438" s="49"/>
      <c r="U438" s="49"/>
      <c r="V438" s="49"/>
      <c r="W438" s="49"/>
      <c r="X438" s="49"/>
      <c r="Y438" s="49"/>
      <c r="Z438" s="49"/>
    </row>
    <row r="439">
      <c r="A439" s="49" t="str">
        <f>IFERROR(__xludf.DUMMYFUNCTION("""COMPUTED_VALUE"""),"Sacred Flaming Pearl")</f>
        <v>Sacred Flaming Pearl</v>
      </c>
      <c r="B439" s="49" t="str">
        <f>IFERROR(__xludf.DUMMYFUNCTION("""COMPUTED_VALUE"""),"Quest item.")</f>
        <v>Quest item.</v>
      </c>
      <c r="C439" s="49"/>
      <c r="D439" s="49" t="str">
        <f>IFERROR(__xludf.DUMMYFUNCTION("""COMPUTED_VALUE"""),"Hand")</f>
        <v>Hand</v>
      </c>
      <c r="E439" s="49">
        <f>IFERROR(__xludf.DUMMYFUNCTION("""COMPUTED_VALUE"""),1.0)</f>
        <v>1</v>
      </c>
      <c r="F439" s="49" t="str">
        <f>IFERROR(__xludf.DUMMYFUNCTION("""COMPUTED_VALUE""")," ++X4 additional fire damage for the user. +-Cannot be duplicated.")</f>
        <v> ++X4 additional fire damage for the user. +-Cannot be duplicated.</v>
      </c>
      <c r="G439" s="49">
        <f>IFERROR(__xludf.DUMMYFUNCTION("""COMPUTED_VALUE"""),0.0)</f>
        <v>0</v>
      </c>
      <c r="H439" s="49"/>
      <c r="I439" s="49"/>
      <c r="J439" s="49"/>
      <c r="K439" s="49"/>
      <c r="L439" s="49"/>
      <c r="M439" s="49"/>
      <c r="N439" s="49"/>
      <c r="O439" s="49"/>
      <c r="P439" s="49"/>
      <c r="Q439" s="49"/>
      <c r="R439" s="49"/>
      <c r="S439" s="49"/>
      <c r="T439" s="49"/>
      <c r="U439" s="49"/>
      <c r="V439" s="49"/>
      <c r="W439" s="49"/>
      <c r="X439" s="49"/>
      <c r="Y439" s="49"/>
      <c r="Z439" s="49"/>
    </row>
    <row r="440">
      <c r="A440" s="49" t="str">
        <f>IFERROR(__xludf.DUMMYFUNCTION("""COMPUTED_VALUE"""),"DragonScale Royal Helm")</f>
        <v>DragonScale Royal Helm</v>
      </c>
      <c r="B440" s="49"/>
      <c r="C440" s="49"/>
      <c r="D440" s="49" t="str">
        <f>IFERROR(__xludf.DUMMYFUNCTION("""COMPUTED_VALUE"""),"Head")</f>
        <v>Head</v>
      </c>
      <c r="E440" s="49">
        <f>IFERROR(__xludf.DUMMYFUNCTION("""COMPUTED_VALUE"""),200.0)</f>
        <v>200</v>
      </c>
      <c r="F440" s="49"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49">
        <f>IFERROR(__xludf.DUMMYFUNCTION("""COMPUTED_VALUE"""),9.73E7)</f>
        <v>97300000</v>
      </c>
      <c r="H440" s="49"/>
      <c r="I440" s="49"/>
      <c r="J440" s="49"/>
      <c r="K440" s="49"/>
      <c r="L440" s="49"/>
      <c r="M440" s="49"/>
      <c r="N440" s="49"/>
      <c r="O440" s="49"/>
      <c r="P440" s="49"/>
      <c r="Q440" s="49"/>
      <c r="R440" s="49"/>
      <c r="S440" s="49"/>
      <c r="T440" s="49"/>
      <c r="U440" s="49"/>
      <c r="V440" s="49"/>
      <c r="W440" s="49"/>
      <c r="X440" s="49"/>
      <c r="Y440" s="49"/>
      <c r="Z440" s="49"/>
    </row>
    <row r="441">
      <c r="A441" s="49" t="str">
        <f>IFERROR(__xludf.DUMMYFUNCTION("""COMPUTED_VALUE"""),"DragonScale Royal Chestplate")</f>
        <v>DragonScale Royal Chestplate</v>
      </c>
      <c r="B441" s="49"/>
      <c r="C441" s="49"/>
      <c r="D441" s="49" t="str">
        <f>IFERROR(__xludf.DUMMYFUNCTION("""COMPUTED_VALUE"""),"Torso")</f>
        <v>Torso</v>
      </c>
      <c r="E441" s="49">
        <f>IFERROR(__xludf.DUMMYFUNCTION("""COMPUTED_VALUE"""),200.0)</f>
        <v>200</v>
      </c>
      <c r="F441" s="49"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49">
        <f>IFERROR(__xludf.DUMMYFUNCTION("""COMPUTED_VALUE"""),5.995E7)</f>
        <v>59950000</v>
      </c>
      <c r="H441" s="49"/>
      <c r="I441" s="49"/>
      <c r="J441" s="49"/>
      <c r="K441" s="49"/>
      <c r="L441" s="49"/>
      <c r="M441" s="49"/>
      <c r="N441" s="49"/>
      <c r="O441" s="49"/>
      <c r="P441" s="49"/>
      <c r="Q441" s="49"/>
      <c r="R441" s="49"/>
      <c r="S441" s="49"/>
      <c r="T441" s="49"/>
      <c r="U441" s="49"/>
      <c r="V441" s="49"/>
      <c r="W441" s="49"/>
      <c r="X441" s="49"/>
      <c r="Y441" s="49"/>
      <c r="Z441" s="49"/>
    </row>
    <row r="442">
      <c r="A442" s="49" t="str">
        <f>IFERROR(__xludf.DUMMYFUNCTION("""COMPUTED_VALUE"""),"DragonScale Royal Vambraces")</f>
        <v>DragonScale Royal Vambraces</v>
      </c>
      <c r="B442" s="49"/>
      <c r="C442" s="49"/>
      <c r="D442" s="49" t="str">
        <f>IFERROR(__xludf.DUMMYFUNCTION("""COMPUTED_VALUE"""),"Arms")</f>
        <v>Arms</v>
      </c>
      <c r="E442" s="49">
        <f>IFERROR(__xludf.DUMMYFUNCTION("""COMPUTED_VALUE"""),200.0)</f>
        <v>200</v>
      </c>
      <c r="F442" s="49"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49">
        <f>IFERROR(__xludf.DUMMYFUNCTION("""COMPUTED_VALUE"""),3.16E7)</f>
        <v>31600000</v>
      </c>
      <c r="H442" s="49"/>
      <c r="I442" s="49"/>
      <c r="J442" s="49"/>
      <c r="K442" s="49"/>
      <c r="L442" s="49"/>
      <c r="M442" s="49"/>
      <c r="N442" s="49"/>
      <c r="O442" s="49"/>
      <c r="P442" s="49"/>
      <c r="Q442" s="49"/>
      <c r="R442" s="49"/>
      <c r="S442" s="49"/>
      <c r="T442" s="49"/>
      <c r="U442" s="49"/>
      <c r="V442" s="49"/>
      <c r="W442" s="49"/>
      <c r="X442" s="49"/>
      <c r="Y442" s="49"/>
      <c r="Z442" s="49"/>
    </row>
    <row r="443">
      <c r="A443" s="49" t="str">
        <f>IFERROR(__xludf.DUMMYFUNCTION("""COMPUTED_VALUE"""),"DragonScale Royal Greaves")</f>
        <v>DragonScale Royal Greaves</v>
      </c>
      <c r="B443" s="49"/>
      <c r="C443" s="49"/>
      <c r="D443" s="49" t="str">
        <f>IFERROR(__xludf.DUMMYFUNCTION("""COMPUTED_VALUE"""),"Legs")</f>
        <v>Legs</v>
      </c>
      <c r="E443" s="49">
        <f>IFERROR(__xludf.DUMMYFUNCTION("""COMPUTED_VALUE"""),200.0)</f>
        <v>200</v>
      </c>
      <c r="F443" s="49"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49">
        <f>IFERROR(__xludf.DUMMYFUNCTION("""COMPUTED_VALUE"""),3.16E7)</f>
        <v>31600000</v>
      </c>
      <c r="H443" s="49"/>
      <c r="I443" s="49"/>
      <c r="J443" s="49"/>
      <c r="K443" s="49"/>
      <c r="L443" s="49"/>
      <c r="M443" s="49"/>
      <c r="N443" s="49"/>
      <c r="O443" s="49"/>
      <c r="P443" s="49"/>
      <c r="Q443" s="49"/>
      <c r="R443" s="49"/>
      <c r="S443" s="49"/>
      <c r="T443" s="49"/>
      <c r="U443" s="49"/>
      <c r="V443" s="49"/>
      <c r="W443" s="49"/>
      <c r="X443" s="49"/>
      <c r="Y443" s="49"/>
      <c r="Z443" s="49"/>
    </row>
    <row r="444">
      <c r="A444" s="49" t="str">
        <f>IFERROR(__xludf.DUMMYFUNCTION("""COMPUTED_VALUE"""),"DragonScale Royal Shield")</f>
        <v>DragonScale Royal Shield</v>
      </c>
      <c r="B444" s="49"/>
      <c r="C444" s="49" t="str">
        <f>IFERROR(__xludf.DUMMYFUNCTION("""COMPUTED_VALUE"""),"Towershield")</f>
        <v>Towershield</v>
      </c>
      <c r="D444" s="49" t="str">
        <f>IFERROR(__xludf.DUMMYFUNCTION("""COMPUTED_VALUE"""),"Hand")</f>
        <v>Hand</v>
      </c>
      <c r="E444" s="49">
        <f>IFERROR(__xludf.DUMMYFUNCTION("""COMPUTED_VALUE"""),200.0)</f>
        <v>200</v>
      </c>
      <c r="F444" s="49"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49">
        <f>IFERROR(__xludf.DUMMYFUNCTION("""COMPUTED_VALUE"""),2.1945E8)</f>
        <v>219450000</v>
      </c>
      <c r="H444" s="49"/>
      <c r="I444" s="49"/>
      <c r="J444" s="49"/>
      <c r="K444" s="49"/>
      <c r="L444" s="49"/>
      <c r="M444" s="49"/>
      <c r="N444" s="49"/>
      <c r="O444" s="49"/>
      <c r="P444" s="49"/>
      <c r="Q444" s="49"/>
      <c r="R444" s="49"/>
      <c r="S444" s="49"/>
      <c r="T444" s="49"/>
      <c r="U444" s="49"/>
      <c r="V444" s="49"/>
      <c r="W444" s="49"/>
      <c r="X444" s="49"/>
      <c r="Y444" s="49"/>
      <c r="Z444" s="49"/>
    </row>
    <row r="445">
      <c r="A445" s="49" t="str">
        <f>IFERROR(__xludf.DUMMYFUNCTION("""COMPUTED_VALUE"""),"DragonScale Royal Boots")</f>
        <v>DragonScale Royal Boots</v>
      </c>
      <c r="B445" s="49"/>
      <c r="C445" s="49"/>
      <c r="D445" s="49" t="str">
        <f>IFERROR(__xludf.DUMMYFUNCTION("""COMPUTED_VALUE"""),"Feet")</f>
        <v>Feet</v>
      </c>
      <c r="E445" s="49">
        <f>IFERROR(__xludf.DUMMYFUNCTION("""COMPUTED_VALUE"""),200.0)</f>
        <v>200</v>
      </c>
      <c r="F445" s="49"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49">
        <f>IFERROR(__xludf.DUMMYFUNCTION("""COMPUTED_VALUE"""),5.356E7)</f>
        <v>53560000</v>
      </c>
      <c r="H445" s="49"/>
      <c r="I445" s="49"/>
      <c r="J445" s="49"/>
      <c r="K445" s="49"/>
      <c r="L445" s="49"/>
      <c r="M445" s="49"/>
      <c r="N445" s="49"/>
      <c r="O445" s="49"/>
      <c r="P445" s="49"/>
      <c r="Q445" s="49"/>
      <c r="R445" s="49"/>
      <c r="S445" s="49"/>
      <c r="T445" s="49"/>
      <c r="U445" s="49"/>
      <c r="V445" s="49"/>
      <c r="W445" s="49"/>
      <c r="X445" s="49"/>
      <c r="Y445" s="49"/>
      <c r="Z445" s="49"/>
    </row>
    <row r="446">
      <c r="A446" s="49" t="str">
        <f>IFERROR(__xludf.DUMMYFUNCTION("""COMPUTED_VALUE"""),"DragonScale Royal Pauldrons")</f>
        <v>DragonScale Royal Pauldrons</v>
      </c>
      <c r="B446" s="49"/>
      <c r="C446" s="49"/>
      <c r="D446" s="49" t="str">
        <f>IFERROR(__xludf.DUMMYFUNCTION("""COMPUTED_VALUE"""),"Shoulders")</f>
        <v>Shoulders</v>
      </c>
      <c r="E446" s="49">
        <f>IFERROR(__xludf.DUMMYFUNCTION("""COMPUTED_VALUE"""),200.0)</f>
        <v>200</v>
      </c>
      <c r="F446" s="49"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49">
        <f>IFERROR(__xludf.DUMMYFUNCTION("""COMPUTED_VALUE"""),4.95E7)</f>
        <v>49500000</v>
      </c>
      <c r="H446" s="49"/>
      <c r="I446" s="49"/>
      <c r="J446" s="49"/>
      <c r="K446" s="49"/>
      <c r="L446" s="49"/>
      <c r="M446" s="49"/>
      <c r="N446" s="49"/>
      <c r="O446" s="49"/>
      <c r="P446" s="49"/>
      <c r="Q446" s="49"/>
      <c r="R446" s="49"/>
      <c r="S446" s="49"/>
      <c r="T446" s="49"/>
      <c r="U446" s="49"/>
      <c r="V446" s="49"/>
      <c r="W446" s="49"/>
      <c r="X446" s="49"/>
      <c r="Y446" s="49"/>
      <c r="Z446" s="49"/>
    </row>
    <row r="447">
      <c r="A447" s="49" t="str">
        <f>IFERROR(__xludf.DUMMYFUNCTION("""COMPUTED_VALUE"""),"BLADE! OF! JUSTICE!!!!")</f>
        <v>BLADE! OF! JUSTICE!!!!</v>
      </c>
      <c r="B447" s="49"/>
      <c r="C447" s="49" t="str">
        <f>IFERROR(__xludf.DUMMYFUNCTION("""COMPUTED_VALUE"""),"Sword")</f>
        <v>Sword</v>
      </c>
      <c r="D447" s="49" t="str">
        <f>IFERROR(__xludf.DUMMYFUNCTION("""COMPUTED_VALUE"""),"Hand")</f>
        <v>Hand</v>
      </c>
      <c r="E447" s="49">
        <f>IFERROR(__xludf.DUMMYFUNCTION("""COMPUTED_VALUE"""),200.0)</f>
        <v>200</v>
      </c>
      <c r="F447" s="49"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49">
        <f>IFERROR(__xludf.DUMMYFUNCTION("""COMPUTED_VALUE"""),3.367E8)</f>
        <v>336700000</v>
      </c>
      <c r="H447" s="49"/>
      <c r="I447" s="49"/>
      <c r="J447" s="49"/>
      <c r="K447" s="49"/>
      <c r="L447" s="49"/>
      <c r="M447" s="49"/>
      <c r="N447" s="49"/>
      <c r="O447" s="49"/>
      <c r="P447" s="49"/>
      <c r="Q447" s="49"/>
      <c r="R447" s="49"/>
      <c r="S447" s="49"/>
      <c r="T447" s="49"/>
      <c r="U447" s="49"/>
      <c r="V447" s="49"/>
      <c r="W447" s="49"/>
      <c r="X447" s="49"/>
      <c r="Y447" s="49"/>
      <c r="Z447" s="49"/>
    </row>
    <row r="448">
      <c r="A448" s="49" t="str">
        <f>IFERROR(__xludf.DUMMYFUNCTION("""COMPUTED_VALUE"""),"Abstara Royal Helm")</f>
        <v>Abstara Royal Helm</v>
      </c>
      <c r="B448" s="49"/>
      <c r="C448" s="49"/>
      <c r="D448" s="49" t="str">
        <f>IFERROR(__xludf.DUMMYFUNCTION("""COMPUTED_VALUE"""),"Head")</f>
        <v>Head</v>
      </c>
      <c r="E448" s="49">
        <f>IFERROR(__xludf.DUMMYFUNCTION("""COMPUTED_VALUE"""),200.0)</f>
        <v>200</v>
      </c>
      <c r="F448" s="49"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49">
        <f>IFERROR(__xludf.DUMMYFUNCTION("""COMPUTED_VALUE"""),1.99E8)</f>
        <v>199000000</v>
      </c>
      <c r="H448" s="49"/>
      <c r="I448" s="49"/>
      <c r="J448" s="49"/>
      <c r="K448" s="49"/>
      <c r="L448" s="49"/>
      <c r="M448" s="49"/>
      <c r="N448" s="49"/>
      <c r="O448" s="49"/>
      <c r="P448" s="49"/>
      <c r="Q448" s="49"/>
      <c r="R448" s="49"/>
      <c r="S448" s="49"/>
      <c r="T448" s="49"/>
      <c r="U448" s="49"/>
      <c r="V448" s="49"/>
      <c r="W448" s="49"/>
      <c r="X448" s="49"/>
      <c r="Y448" s="49"/>
      <c r="Z448" s="49"/>
    </row>
    <row r="449">
      <c r="A449" s="49" t="str">
        <f>IFERROR(__xludf.DUMMYFUNCTION("""COMPUTED_VALUE"""),"Abstara Royal Chestplate")</f>
        <v>Abstara Royal Chestplate</v>
      </c>
      <c r="B449" s="49"/>
      <c r="C449" s="49"/>
      <c r="D449" s="49" t="str">
        <f>IFERROR(__xludf.DUMMYFUNCTION("""COMPUTED_VALUE"""),"Torso")</f>
        <v>Torso</v>
      </c>
      <c r="E449" s="49">
        <f>IFERROR(__xludf.DUMMYFUNCTION("""COMPUTED_VALUE"""),200.0)</f>
        <v>200</v>
      </c>
      <c r="F449" s="49"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49">
        <f>IFERROR(__xludf.DUMMYFUNCTION("""COMPUTED_VALUE"""),1.99E8)</f>
        <v>199000000</v>
      </c>
      <c r="H449" s="49"/>
      <c r="I449" s="49"/>
      <c r="J449" s="49"/>
      <c r="K449" s="49"/>
      <c r="L449" s="49"/>
      <c r="M449" s="49"/>
      <c r="N449" s="49"/>
      <c r="O449" s="49"/>
      <c r="P449" s="49"/>
      <c r="Q449" s="49"/>
      <c r="R449" s="49"/>
      <c r="S449" s="49"/>
      <c r="T449" s="49"/>
      <c r="U449" s="49"/>
      <c r="V449" s="49"/>
      <c r="W449" s="49"/>
      <c r="X449" s="49"/>
      <c r="Y449" s="49"/>
      <c r="Z449" s="49"/>
    </row>
    <row r="450">
      <c r="A450" s="49" t="str">
        <f>IFERROR(__xludf.DUMMYFUNCTION("""COMPUTED_VALUE"""),"Abstara Royal Vambraces")</f>
        <v>Abstara Royal Vambraces</v>
      </c>
      <c r="B450" s="49"/>
      <c r="C450" s="49"/>
      <c r="D450" s="49" t="str">
        <f>IFERROR(__xludf.DUMMYFUNCTION("""COMPUTED_VALUE"""),"Arms")</f>
        <v>Arms</v>
      </c>
      <c r="E450" s="49">
        <f>IFERROR(__xludf.DUMMYFUNCTION("""COMPUTED_VALUE"""),200.0)</f>
        <v>200</v>
      </c>
      <c r="F450" s="49"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49">
        <f>IFERROR(__xludf.DUMMYFUNCTION("""COMPUTED_VALUE"""),1.99E8)</f>
        <v>199000000</v>
      </c>
      <c r="H450" s="49"/>
      <c r="I450" s="49"/>
      <c r="J450" s="49"/>
      <c r="K450" s="49"/>
      <c r="L450" s="49"/>
      <c r="M450" s="49"/>
      <c r="N450" s="49"/>
      <c r="O450" s="49"/>
      <c r="P450" s="49"/>
      <c r="Q450" s="49"/>
      <c r="R450" s="49"/>
      <c r="S450" s="49"/>
      <c r="T450" s="49"/>
      <c r="U450" s="49"/>
      <c r="V450" s="49"/>
      <c r="W450" s="49"/>
      <c r="X450" s="49"/>
      <c r="Y450" s="49"/>
      <c r="Z450" s="49"/>
    </row>
    <row r="451">
      <c r="A451" s="49" t="str">
        <f>IFERROR(__xludf.DUMMYFUNCTION("""COMPUTED_VALUE"""),"Abstara Royal Greaves")</f>
        <v>Abstara Royal Greaves</v>
      </c>
      <c r="B451" s="49"/>
      <c r="C451" s="49"/>
      <c r="D451" s="49" t="str">
        <f>IFERROR(__xludf.DUMMYFUNCTION("""COMPUTED_VALUE"""),"Legs")</f>
        <v>Legs</v>
      </c>
      <c r="E451" s="49">
        <f>IFERROR(__xludf.DUMMYFUNCTION("""COMPUTED_VALUE"""),200.0)</f>
        <v>200</v>
      </c>
      <c r="F451" s="49"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49">
        <f>IFERROR(__xludf.DUMMYFUNCTION("""COMPUTED_VALUE"""),1.99E8)</f>
        <v>199000000</v>
      </c>
      <c r="H451" s="49"/>
      <c r="I451" s="49"/>
      <c r="J451" s="49"/>
      <c r="K451" s="49"/>
      <c r="L451" s="49"/>
      <c r="M451" s="49"/>
      <c r="N451" s="49"/>
      <c r="O451" s="49"/>
      <c r="P451" s="49"/>
      <c r="Q451" s="49"/>
      <c r="R451" s="49"/>
      <c r="S451" s="49"/>
      <c r="T451" s="49"/>
      <c r="U451" s="49"/>
      <c r="V451" s="49"/>
      <c r="W451" s="49"/>
      <c r="X451" s="49"/>
      <c r="Y451" s="49"/>
      <c r="Z451" s="49"/>
    </row>
    <row r="452">
      <c r="A452" s="49" t="str">
        <f>IFERROR(__xludf.DUMMYFUNCTION("""COMPUTED_VALUE"""),"Abstara Royal Shield")</f>
        <v>Abstara Royal Shield</v>
      </c>
      <c r="B452" s="49"/>
      <c r="C452" s="49" t="str">
        <f>IFERROR(__xludf.DUMMYFUNCTION("""COMPUTED_VALUE"""),"Towershield")</f>
        <v>Towershield</v>
      </c>
      <c r="D452" s="49" t="str">
        <f>IFERROR(__xludf.DUMMYFUNCTION("""COMPUTED_VALUE"""),"Hand")</f>
        <v>Hand</v>
      </c>
      <c r="E452" s="49">
        <f>IFERROR(__xludf.DUMMYFUNCTION("""COMPUTED_VALUE"""),200.0)</f>
        <v>200</v>
      </c>
      <c r="F452" s="49"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49">
        <f>IFERROR(__xludf.DUMMYFUNCTION("""COMPUTED_VALUE"""),1.99E8)</f>
        <v>199000000</v>
      </c>
      <c r="H452" s="49"/>
      <c r="I452" s="49"/>
      <c r="J452" s="49"/>
      <c r="K452" s="49"/>
      <c r="L452" s="49"/>
      <c r="M452" s="49"/>
      <c r="N452" s="49"/>
      <c r="O452" s="49"/>
      <c r="P452" s="49"/>
      <c r="Q452" s="49"/>
      <c r="R452" s="49"/>
      <c r="S452" s="49"/>
      <c r="T452" s="49"/>
      <c r="U452" s="49"/>
      <c r="V452" s="49"/>
      <c r="W452" s="49"/>
      <c r="X452" s="49"/>
      <c r="Y452" s="49"/>
      <c r="Z452" s="49"/>
    </row>
    <row r="453">
      <c r="A453" s="49" t="str">
        <f>IFERROR(__xludf.DUMMYFUNCTION("""COMPUTED_VALUE"""),"Abstara Royal Boots")</f>
        <v>Abstara Royal Boots</v>
      </c>
      <c r="B453" s="49"/>
      <c r="C453" s="49"/>
      <c r="D453" s="49" t="str">
        <f>IFERROR(__xludf.DUMMYFUNCTION("""COMPUTED_VALUE"""),"Feet")</f>
        <v>Feet</v>
      </c>
      <c r="E453" s="49">
        <f>IFERROR(__xludf.DUMMYFUNCTION("""COMPUTED_VALUE"""),200.0)</f>
        <v>200</v>
      </c>
      <c r="F453" s="49"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49">
        <f>IFERROR(__xludf.DUMMYFUNCTION("""COMPUTED_VALUE"""),1.99E8)</f>
        <v>199000000</v>
      </c>
      <c r="H453" s="49"/>
      <c r="I453" s="49"/>
      <c r="J453" s="49"/>
      <c r="K453" s="49"/>
      <c r="L453" s="49"/>
      <c r="M453" s="49"/>
      <c r="N453" s="49"/>
      <c r="O453" s="49"/>
      <c r="P453" s="49"/>
      <c r="Q453" s="49"/>
      <c r="R453" s="49"/>
      <c r="S453" s="49"/>
      <c r="T453" s="49"/>
      <c r="U453" s="49"/>
      <c r="V453" s="49"/>
      <c r="W453" s="49"/>
      <c r="X453" s="49"/>
      <c r="Y453" s="49"/>
      <c r="Z453" s="49"/>
    </row>
    <row r="454">
      <c r="A454" s="49" t="str">
        <f>IFERROR(__xludf.DUMMYFUNCTION("""COMPUTED_VALUE"""),"Abstara Royal Pauldrons")</f>
        <v>Abstara Royal Pauldrons</v>
      </c>
      <c r="B454" s="49"/>
      <c r="C454" s="49"/>
      <c r="D454" s="49" t="str">
        <f>IFERROR(__xludf.DUMMYFUNCTION("""COMPUTED_VALUE"""),"Shoulders")</f>
        <v>Shoulders</v>
      </c>
      <c r="E454" s="49">
        <f>IFERROR(__xludf.DUMMYFUNCTION("""COMPUTED_VALUE"""),200.0)</f>
        <v>200</v>
      </c>
      <c r="F454" s="49"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49">
        <f>IFERROR(__xludf.DUMMYFUNCTION("""COMPUTED_VALUE"""),1.99E8)</f>
        <v>199000000</v>
      </c>
      <c r="H454" s="49"/>
      <c r="I454" s="49"/>
      <c r="J454" s="49"/>
      <c r="K454" s="49"/>
      <c r="L454" s="49"/>
      <c r="M454" s="49"/>
      <c r="N454" s="49"/>
      <c r="O454" s="49"/>
      <c r="P454" s="49"/>
      <c r="Q454" s="49"/>
      <c r="R454" s="49"/>
      <c r="S454" s="49"/>
      <c r="T454" s="49"/>
      <c r="U454" s="49"/>
      <c r="V454" s="49"/>
      <c r="W454" s="49"/>
      <c r="X454" s="49"/>
      <c r="Y454" s="49"/>
      <c r="Z454" s="49"/>
    </row>
    <row r="455">
      <c r="A455" s="49" t="str">
        <f>IFERROR(__xludf.DUMMYFUNCTION("""COMPUTED_VALUE"""),"Feathered Hat of Roguish ""Justice""")</f>
        <v>Feathered Hat of Roguish "Justice"</v>
      </c>
      <c r="B455" s="49" t="str">
        <f>IFERROR(__xludf.DUMMYFUNCTION("""COMPUTED_VALUE"""),"Quest Item")</f>
        <v>Quest Item</v>
      </c>
      <c r="C455" s="49"/>
      <c r="D455" s="49" t="str">
        <f>IFERROR(__xludf.DUMMYFUNCTION("""COMPUTED_VALUE"""),"Head")</f>
        <v>Head</v>
      </c>
      <c r="E455" s="49">
        <f>IFERROR(__xludf.DUMMYFUNCTION("""COMPUTED_VALUE"""),200.0)</f>
        <v>200</v>
      </c>
      <c r="F455" s="49"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49">
        <f>IFERROR(__xludf.DUMMYFUNCTION("""COMPUTED_VALUE"""),3.16E7)</f>
        <v>31600000</v>
      </c>
      <c r="H455" s="49"/>
      <c r="I455" s="49"/>
      <c r="J455" s="49"/>
      <c r="K455" s="49"/>
      <c r="L455" s="49"/>
      <c r="M455" s="49"/>
      <c r="N455" s="49"/>
      <c r="O455" s="49"/>
      <c r="P455" s="49"/>
      <c r="Q455" s="49"/>
      <c r="R455" s="49"/>
      <c r="S455" s="49"/>
      <c r="T455" s="49"/>
      <c r="U455" s="49"/>
      <c r="V455" s="49"/>
      <c r="W455" s="49"/>
      <c r="X455" s="49"/>
      <c r="Y455" s="49"/>
      <c r="Z455" s="49"/>
    </row>
    <row r="456">
      <c r="A456" s="49" t="str">
        <f>IFERROR(__xludf.DUMMYFUNCTION("""COMPUTED_VALUE"""),"Cape of Misdeed")</f>
        <v>Cape of Misdeed</v>
      </c>
      <c r="B456" s="49" t="str">
        <f>IFERROR(__xludf.DUMMYFUNCTION("""COMPUTED_VALUE"""),"Quest Item")</f>
        <v>Quest Item</v>
      </c>
      <c r="C456" s="49"/>
      <c r="D456" s="49" t="str">
        <f>IFERROR(__xludf.DUMMYFUNCTION("""COMPUTED_VALUE"""),"Shoulders")</f>
        <v>Shoulders</v>
      </c>
      <c r="E456" s="49">
        <f>IFERROR(__xludf.DUMMYFUNCTION("""COMPUTED_VALUE"""),200.0)</f>
        <v>200</v>
      </c>
      <c r="F456" s="49"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49">
        <f>IFERROR(__xludf.DUMMYFUNCTION("""COMPUTED_VALUE"""),9460000.0)</f>
        <v>9460000</v>
      </c>
      <c r="H456" s="49"/>
      <c r="I456" s="49"/>
      <c r="J456" s="49"/>
      <c r="K456" s="49"/>
      <c r="L456" s="49"/>
      <c r="M456" s="49"/>
      <c r="N456" s="49"/>
      <c r="O456" s="49"/>
      <c r="P456" s="49"/>
      <c r="Q456" s="49"/>
      <c r="R456" s="49"/>
      <c r="S456" s="49"/>
      <c r="T456" s="49"/>
      <c r="U456" s="49"/>
      <c r="V456" s="49"/>
      <c r="W456" s="49"/>
      <c r="X456" s="49"/>
      <c r="Y456" s="49"/>
      <c r="Z456" s="49"/>
    </row>
    <row r="457">
      <c r="A457" s="49" t="str">
        <f>IFERROR(__xludf.DUMMYFUNCTION("""COMPUTED_VALUE"""),"Doublet of Debauchery")</f>
        <v>Doublet of Debauchery</v>
      </c>
      <c r="B457" s="49" t="str">
        <f>IFERROR(__xludf.DUMMYFUNCTION("""COMPUTED_VALUE"""),"Quest Item")</f>
        <v>Quest Item</v>
      </c>
      <c r="C457" s="49"/>
      <c r="D457" s="49" t="str">
        <f>IFERROR(__xludf.DUMMYFUNCTION("""COMPUTED_VALUE"""),"Torso")</f>
        <v>Torso</v>
      </c>
      <c r="E457" s="49">
        <f>IFERROR(__xludf.DUMMYFUNCTION("""COMPUTED_VALUE"""),200.0)</f>
        <v>200</v>
      </c>
      <c r="F457" s="49"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49">
        <f>IFERROR(__xludf.DUMMYFUNCTION("""COMPUTED_VALUE"""),9.73E7)</f>
        <v>97300000</v>
      </c>
      <c r="H457" s="49"/>
      <c r="I457" s="49"/>
      <c r="J457" s="49"/>
      <c r="K457" s="49"/>
      <c r="L457" s="49"/>
      <c r="M457" s="49"/>
      <c r="N457" s="49"/>
      <c r="O457" s="49"/>
      <c r="P457" s="49"/>
      <c r="Q457" s="49"/>
      <c r="R457" s="49"/>
      <c r="S457" s="49"/>
      <c r="T457" s="49"/>
      <c r="U457" s="49"/>
      <c r="V457" s="49"/>
      <c r="W457" s="49"/>
      <c r="X457" s="49"/>
      <c r="Y457" s="49"/>
      <c r="Z457" s="49"/>
    </row>
    <row r="458">
      <c r="A458" s="49" t="str">
        <f>IFERROR(__xludf.DUMMYFUNCTION("""COMPUTED_VALUE"""),"Leather Boots of Softstep")</f>
        <v>Leather Boots of Softstep</v>
      </c>
      <c r="B458" s="49" t="str">
        <f>IFERROR(__xludf.DUMMYFUNCTION("""COMPUTED_VALUE"""),"Quest Item")</f>
        <v>Quest Item</v>
      </c>
      <c r="C458" s="49"/>
      <c r="D458" s="49" t="str">
        <f>IFERROR(__xludf.DUMMYFUNCTION("""COMPUTED_VALUE"""),"Feet")</f>
        <v>Feet</v>
      </c>
      <c r="E458" s="49">
        <f>IFERROR(__xludf.DUMMYFUNCTION("""COMPUTED_VALUE"""),200.0)</f>
        <v>200</v>
      </c>
      <c r="F458" s="49"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49">
        <f>IFERROR(__xludf.DUMMYFUNCTION("""COMPUTED_VALUE"""),3.16E7)</f>
        <v>31600000</v>
      </c>
      <c r="H458" s="49"/>
      <c r="I458" s="49"/>
      <c r="J458" s="49"/>
      <c r="K458" s="49"/>
      <c r="L458" s="49"/>
      <c r="M458" s="49"/>
      <c r="N458" s="49"/>
      <c r="O458" s="49"/>
      <c r="P458" s="49"/>
      <c r="Q458" s="49"/>
      <c r="R458" s="49"/>
      <c r="S458" s="49"/>
      <c r="T458" s="49"/>
      <c r="U458" s="49"/>
      <c r="V458" s="49"/>
      <c r="W458" s="49"/>
      <c r="X458" s="49"/>
      <c r="Y458" s="49"/>
      <c r="Z458" s="49"/>
    </row>
    <row r="459">
      <c r="A459" s="49" t="str">
        <f>IFERROR(__xludf.DUMMYFUNCTION("""COMPUTED_VALUE"""),"Tights of Fabulous Thievery")</f>
        <v>Tights of Fabulous Thievery</v>
      </c>
      <c r="B459" s="49" t="str">
        <f>IFERROR(__xludf.DUMMYFUNCTION("""COMPUTED_VALUE"""),"Quest Item")</f>
        <v>Quest Item</v>
      </c>
      <c r="C459" s="49"/>
      <c r="D459" s="49" t="str">
        <f>IFERROR(__xludf.DUMMYFUNCTION("""COMPUTED_VALUE"""),"Legs")</f>
        <v>Legs</v>
      </c>
      <c r="E459" s="49">
        <f>IFERROR(__xludf.DUMMYFUNCTION("""COMPUTED_VALUE"""),200.0)</f>
        <v>200</v>
      </c>
      <c r="F459" s="49"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49">
        <f>IFERROR(__xludf.DUMMYFUNCTION("""COMPUTED_VALUE"""),3.16E7)</f>
        <v>31600000</v>
      </c>
      <c r="H459" s="49"/>
      <c r="I459" s="49"/>
      <c r="J459" s="49"/>
      <c r="K459" s="49"/>
      <c r="L459" s="49"/>
      <c r="M459" s="49"/>
      <c r="N459" s="49"/>
      <c r="O459" s="49"/>
      <c r="P459" s="49"/>
      <c r="Q459" s="49"/>
      <c r="R459" s="49"/>
      <c r="S459" s="49"/>
      <c r="T459" s="49"/>
      <c r="U459" s="49"/>
      <c r="V459" s="49"/>
      <c r="W459" s="49"/>
      <c r="X459" s="49"/>
      <c r="Y459" s="49"/>
      <c r="Z459" s="49"/>
    </row>
    <row r="460">
      <c r="A460" s="49" t="str">
        <f>IFERROR(__xludf.DUMMYFUNCTION("""COMPUTED_VALUE"""),"Fingerless Glove of Anonymity")</f>
        <v>Fingerless Glove of Anonymity</v>
      </c>
      <c r="B460" s="49" t="str">
        <f>IFERROR(__xludf.DUMMYFUNCTION("""COMPUTED_VALUE"""),"Quest Item")</f>
        <v>Quest Item</v>
      </c>
      <c r="C460" s="49" t="str">
        <f>IFERROR(__xludf.DUMMYFUNCTION("""COMPUTED_VALUE"""),"Claw")</f>
        <v>Claw</v>
      </c>
      <c r="D460" s="49" t="str">
        <f>IFERROR(__xludf.DUMMYFUNCTION("""COMPUTED_VALUE"""),"Hand")</f>
        <v>Hand</v>
      </c>
      <c r="E460" s="49">
        <f>IFERROR(__xludf.DUMMYFUNCTION("""COMPUTED_VALUE"""),200.0)</f>
        <v>200</v>
      </c>
      <c r="F460" s="49"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49">
        <f>IFERROR(__xludf.DUMMYFUNCTION("""COMPUTED_VALUE"""),3.16E7)</f>
        <v>31600000</v>
      </c>
      <c r="H460" s="49"/>
      <c r="I460" s="49"/>
      <c r="J460" s="49"/>
      <c r="K460" s="49"/>
      <c r="L460" s="49"/>
      <c r="M460" s="49"/>
      <c r="N460" s="49"/>
      <c r="O460" s="49"/>
      <c r="P460" s="49"/>
      <c r="Q460" s="49"/>
      <c r="R460" s="49"/>
      <c r="S460" s="49"/>
      <c r="T460" s="49"/>
      <c r="U460" s="49"/>
      <c r="V460" s="49"/>
      <c r="W460" s="49"/>
      <c r="X460" s="49"/>
      <c r="Y460" s="49"/>
      <c r="Z460" s="49"/>
    </row>
    <row r="461">
      <c r="A461" s="49" t="str">
        <f>IFERROR(__xludf.DUMMYFUNCTION("""COMPUTED_VALUE"""),"Bracers of Dastardly Deflection")</f>
        <v>Bracers of Dastardly Deflection</v>
      </c>
      <c r="B461" s="49" t="str">
        <f>IFERROR(__xludf.DUMMYFUNCTION("""COMPUTED_VALUE"""),"Quest Item")</f>
        <v>Quest Item</v>
      </c>
      <c r="C461" s="49"/>
      <c r="D461" s="49" t="str">
        <f>IFERROR(__xludf.DUMMYFUNCTION("""COMPUTED_VALUE"""),"Arms")</f>
        <v>Arms</v>
      </c>
      <c r="E461" s="49">
        <f>IFERROR(__xludf.DUMMYFUNCTION("""COMPUTED_VALUE"""),200.0)</f>
        <v>200</v>
      </c>
      <c r="F461" s="49"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49">
        <f>IFERROR(__xludf.DUMMYFUNCTION("""COMPUTED_VALUE"""),3.16E7)</f>
        <v>31600000</v>
      </c>
      <c r="H461" s="49"/>
      <c r="I461" s="49"/>
      <c r="J461" s="49"/>
      <c r="K461" s="49"/>
      <c r="L461" s="49"/>
      <c r="M461" s="49"/>
      <c r="N461" s="49"/>
      <c r="O461" s="49"/>
      <c r="P461" s="49"/>
      <c r="Q461" s="49"/>
      <c r="R461" s="49"/>
      <c r="S461" s="49"/>
      <c r="T461" s="49"/>
      <c r="U461" s="49"/>
      <c r="V461" s="49"/>
      <c r="W461" s="49"/>
      <c r="X461" s="49"/>
      <c r="Y461" s="49"/>
      <c r="Z461" s="49"/>
    </row>
    <row r="462">
      <c r="A462" s="49" t="str">
        <f>IFERROR(__xludf.DUMMYFUNCTION("""COMPUTED_VALUE"""),"Amulet of the Goddess of Theft")</f>
        <v>Amulet of the Goddess of Theft</v>
      </c>
      <c r="B462" s="49" t="str">
        <f>IFERROR(__xludf.DUMMYFUNCTION("""COMPUTED_VALUE"""),"Quest Item")</f>
        <v>Quest Item</v>
      </c>
      <c r="C462" s="49"/>
      <c r="D462" s="49" t="str">
        <f>IFERROR(__xludf.DUMMYFUNCTION("""COMPUTED_VALUE"""),"Neck")</f>
        <v>Neck</v>
      </c>
      <c r="E462" s="49">
        <f>IFERROR(__xludf.DUMMYFUNCTION("""COMPUTED_VALUE"""),1.0)</f>
        <v>1</v>
      </c>
      <c r="F462" s="49"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49">
        <f>IFERROR(__xludf.DUMMYFUNCTION("""COMPUTED_VALUE"""),0.0)</f>
        <v>0</v>
      </c>
      <c r="H462" s="49"/>
      <c r="I462" s="49"/>
      <c r="J462" s="49"/>
      <c r="K462" s="49"/>
      <c r="L462" s="49"/>
      <c r="M462" s="49"/>
      <c r="N462" s="49"/>
      <c r="O462" s="49"/>
      <c r="P462" s="49"/>
      <c r="Q462" s="49"/>
      <c r="R462" s="49"/>
      <c r="S462" s="49"/>
      <c r="T462" s="49"/>
      <c r="U462" s="49"/>
      <c r="V462" s="49"/>
      <c r="W462" s="49"/>
      <c r="X462" s="49"/>
      <c r="Y462" s="49"/>
      <c r="Z462" s="49"/>
    </row>
    <row r="463">
      <c r="A463" s="49" t="str">
        <f>IFERROR(__xludf.DUMMYFUNCTION("""COMPUTED_VALUE"""),"Flute of The Majestic Forest")</f>
        <v>Flute of The Majestic Forest</v>
      </c>
      <c r="B463" s="49"/>
      <c r="C463" s="49" t="str">
        <f>IFERROR(__xludf.DUMMYFUNCTION("""COMPUTED_VALUE"""),"Instrument")</f>
        <v>Instrument</v>
      </c>
      <c r="D463" s="49" t="str">
        <f>IFERROR(__xludf.DUMMYFUNCTION("""COMPUTED_VALUE"""),"Hand")</f>
        <v>Hand</v>
      </c>
      <c r="E463" s="49">
        <f>IFERROR(__xludf.DUMMYFUNCTION("""COMPUTED_VALUE"""),300.0)</f>
        <v>300</v>
      </c>
      <c r="F463" s="49"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49">
        <f>IFERROR(__xludf.DUMMYFUNCTION("""COMPUTED_VALUE"""),4350000.0)</f>
        <v>4350000</v>
      </c>
      <c r="H463" s="49"/>
      <c r="I463" s="49"/>
      <c r="J463" s="49"/>
      <c r="K463" s="49"/>
      <c r="L463" s="49"/>
      <c r="M463" s="49"/>
      <c r="N463" s="49"/>
      <c r="O463" s="49"/>
      <c r="P463" s="49"/>
      <c r="Q463" s="49"/>
      <c r="R463" s="49"/>
      <c r="S463" s="49"/>
      <c r="T463" s="49"/>
      <c r="U463" s="49"/>
      <c r="V463" s="49"/>
      <c r="W463" s="49"/>
      <c r="X463" s="49"/>
      <c r="Y463" s="49"/>
      <c r="Z463" s="49"/>
    </row>
    <row r="464">
      <c r="A464" s="49" t="str">
        <f>IFERROR(__xludf.DUMMYFUNCTION("""COMPUTED_VALUE"""),"Heatmore Tribal Drums")</f>
        <v>Heatmore Tribal Drums</v>
      </c>
      <c r="B464" s="49"/>
      <c r="C464" s="49" t="str">
        <f>IFERROR(__xludf.DUMMYFUNCTION("""COMPUTED_VALUE"""),"Instrument")</f>
        <v>Instrument</v>
      </c>
      <c r="D464" s="49" t="str">
        <f>IFERROR(__xludf.DUMMYFUNCTION("""COMPUTED_VALUE"""),"Hand")</f>
        <v>Hand</v>
      </c>
      <c r="E464" s="49">
        <f>IFERROR(__xludf.DUMMYFUNCTION("""COMPUTED_VALUE"""),600.0)</f>
        <v>600</v>
      </c>
      <c r="F464" s="49"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49">
        <f>IFERROR(__xludf.DUMMYFUNCTION("""COMPUTED_VALUE"""),1.77E7)</f>
        <v>17700000</v>
      </c>
      <c r="H464" s="49"/>
      <c r="I464" s="49"/>
      <c r="J464" s="49"/>
      <c r="K464" s="49"/>
      <c r="L464" s="49"/>
      <c r="M464" s="49"/>
      <c r="N464" s="49"/>
      <c r="O464" s="49"/>
      <c r="P464" s="49"/>
      <c r="Q464" s="49"/>
      <c r="R464" s="49"/>
      <c r="S464" s="49"/>
      <c r="T464" s="49"/>
      <c r="U464" s="49"/>
      <c r="V464" s="49"/>
      <c r="W464" s="49"/>
      <c r="X464" s="49"/>
      <c r="Y464" s="49"/>
      <c r="Z464" s="49"/>
    </row>
    <row r="465">
      <c r="A465" s="49" t="str">
        <f>IFERROR(__xludf.DUMMYFUNCTION("""COMPUTED_VALUE"""),"Heatmore Tribal Maracas")</f>
        <v>Heatmore Tribal Maracas</v>
      </c>
      <c r="B465" s="49"/>
      <c r="C465" s="49" t="str">
        <f>IFERROR(__xludf.DUMMYFUNCTION("""COMPUTED_VALUE"""),"Instrument")</f>
        <v>Instrument</v>
      </c>
      <c r="D465" s="49" t="str">
        <f>IFERROR(__xludf.DUMMYFUNCTION("""COMPUTED_VALUE"""),"Hand")</f>
        <v>Hand</v>
      </c>
      <c r="E465" s="49">
        <f>IFERROR(__xludf.DUMMYFUNCTION("""COMPUTED_VALUE"""),900.0)</f>
        <v>900</v>
      </c>
      <c r="F465" s="49"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49">
        <f>IFERROR(__xludf.DUMMYFUNCTION("""COMPUTED_VALUE"""),4.005E7)</f>
        <v>40050000</v>
      </c>
      <c r="H465" s="49"/>
      <c r="I465" s="49"/>
      <c r="J465" s="49"/>
      <c r="K465" s="49"/>
      <c r="L465" s="49"/>
      <c r="M465" s="49"/>
      <c r="N465" s="49"/>
      <c r="O465" s="49"/>
      <c r="P465" s="49"/>
      <c r="Q465" s="49"/>
      <c r="R465" s="49"/>
      <c r="S465" s="49"/>
      <c r="T465" s="49"/>
      <c r="U465" s="49"/>
      <c r="V465" s="49"/>
      <c r="W465" s="49"/>
      <c r="X465" s="49"/>
      <c r="Y465" s="49"/>
      <c r="Z465" s="49"/>
    </row>
    <row r="466">
      <c r="A466" s="49" t="str">
        <f>IFERROR(__xludf.DUMMYFUNCTION("""COMPUTED_VALUE"""),"Mask of Creeping Darkness")</f>
        <v>Mask of Creeping Darkness</v>
      </c>
      <c r="B466" s="49" t="str">
        <f>IFERROR(__xludf.DUMMYFUNCTION("""COMPUTED_VALUE"""),"Quest Item")</f>
        <v>Quest Item</v>
      </c>
      <c r="C466" s="49"/>
      <c r="D466" s="49" t="str">
        <f>IFERROR(__xludf.DUMMYFUNCTION("""COMPUTED_VALUE"""),"Head")</f>
        <v>Head</v>
      </c>
      <c r="E466" s="49">
        <f>IFERROR(__xludf.DUMMYFUNCTION("""COMPUTED_VALUE"""),200.0)</f>
        <v>200</v>
      </c>
      <c r="F466" s="49"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49">
        <f>IFERROR(__xludf.DUMMYFUNCTION("""COMPUTED_VALUE"""),1.7955E8)</f>
        <v>179550000</v>
      </c>
      <c r="H466" s="49"/>
      <c r="I466" s="49"/>
      <c r="J466" s="49"/>
      <c r="K466" s="49"/>
      <c r="L466" s="49"/>
      <c r="M466" s="49"/>
      <c r="N466" s="49"/>
      <c r="O466" s="49"/>
      <c r="P466" s="49"/>
      <c r="Q466" s="49"/>
      <c r="R466" s="49"/>
      <c r="S466" s="49"/>
      <c r="T466" s="49"/>
      <c r="U466" s="49"/>
      <c r="V466" s="49"/>
      <c r="W466" s="49"/>
      <c r="X466" s="49"/>
      <c r="Y466" s="49"/>
      <c r="Z466" s="49"/>
    </row>
    <row r="467">
      <c r="A467" s="49" t="str">
        <f>IFERROR(__xludf.DUMMYFUNCTION("""COMPUTED_VALUE"""),"Chest of Evershifting Darkness")</f>
        <v>Chest of Evershifting Darkness</v>
      </c>
      <c r="B467" s="49" t="str">
        <f>IFERROR(__xludf.DUMMYFUNCTION("""COMPUTED_VALUE"""),"Quest Item")</f>
        <v>Quest Item</v>
      </c>
      <c r="C467" s="49"/>
      <c r="D467" s="49" t="str">
        <f>IFERROR(__xludf.DUMMYFUNCTION("""COMPUTED_VALUE"""),"Torso")</f>
        <v>Torso</v>
      </c>
      <c r="E467" s="49">
        <f>IFERROR(__xludf.DUMMYFUNCTION("""COMPUTED_VALUE"""),200.0)</f>
        <v>200</v>
      </c>
      <c r="F467" s="49"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49">
        <f>IFERROR(__xludf.DUMMYFUNCTION("""COMPUTED_VALUE"""),2.1945E8)</f>
        <v>219450000</v>
      </c>
      <c r="H467" s="49"/>
      <c r="I467" s="49"/>
      <c r="J467" s="49"/>
      <c r="K467" s="49"/>
      <c r="L467" s="49"/>
      <c r="M467" s="49"/>
      <c r="N467" s="49"/>
      <c r="O467" s="49"/>
      <c r="P467" s="49"/>
      <c r="Q467" s="49"/>
      <c r="R467" s="49"/>
      <c r="S467" s="49"/>
      <c r="T467" s="49"/>
      <c r="U467" s="49"/>
      <c r="V467" s="49"/>
      <c r="W467" s="49"/>
      <c r="X467" s="49"/>
      <c r="Y467" s="49"/>
      <c r="Z467" s="49"/>
    </row>
    <row r="468">
      <c r="A468" s="49" t="str">
        <f>IFERROR(__xludf.DUMMYFUNCTION("""COMPUTED_VALUE"""),"Leather Boots of EDGINESS")</f>
        <v>Leather Boots of EDGINESS</v>
      </c>
      <c r="B468" s="49" t="str">
        <f>IFERROR(__xludf.DUMMYFUNCTION("""COMPUTED_VALUE"""),"Quest Item")</f>
        <v>Quest Item</v>
      </c>
      <c r="C468" s="49"/>
      <c r="D468" s="49" t="str">
        <f>IFERROR(__xludf.DUMMYFUNCTION("""COMPUTED_VALUE"""),"Feet")</f>
        <v>Feet</v>
      </c>
      <c r="E468" s="49">
        <f>IFERROR(__xludf.DUMMYFUNCTION("""COMPUTED_VALUE"""),200.0)</f>
        <v>200</v>
      </c>
      <c r="F468" s="49"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49">
        <f>IFERROR(__xludf.DUMMYFUNCTION("""COMPUTED_VALUE"""),1.7955E8)</f>
        <v>179550000</v>
      </c>
      <c r="H468" s="49"/>
      <c r="I468" s="49"/>
      <c r="J468" s="49"/>
      <c r="K468" s="49"/>
      <c r="L468" s="49"/>
      <c r="M468" s="49"/>
      <c r="N468" s="49"/>
      <c r="O468" s="49"/>
      <c r="P468" s="49"/>
      <c r="Q468" s="49"/>
      <c r="R468" s="49"/>
      <c r="S468" s="49"/>
      <c r="T468" s="49"/>
      <c r="U468" s="49"/>
      <c r="V468" s="49"/>
      <c r="W468" s="49"/>
      <c r="X468" s="49"/>
      <c r="Y468" s="49"/>
      <c r="Z468" s="49"/>
    </row>
    <row r="469">
      <c r="A469" s="49" t="str">
        <f>IFERROR(__xludf.DUMMYFUNCTION("""COMPUTED_VALUE"""),"Silken Gloves of Dexterity")</f>
        <v>Silken Gloves of Dexterity</v>
      </c>
      <c r="B469" s="49" t="str">
        <f>IFERROR(__xludf.DUMMYFUNCTION("""COMPUTED_VALUE"""),"Quest Item")</f>
        <v>Quest Item</v>
      </c>
      <c r="C469" s="49"/>
      <c r="D469" s="49" t="str">
        <f>IFERROR(__xludf.DUMMYFUNCTION("""COMPUTED_VALUE"""),"Arms")</f>
        <v>Arms</v>
      </c>
      <c r="E469" s="49">
        <f>IFERROR(__xludf.DUMMYFUNCTION("""COMPUTED_VALUE"""),200.0)</f>
        <v>200</v>
      </c>
      <c r="F469" s="49"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49">
        <f>IFERROR(__xludf.DUMMYFUNCTION("""COMPUTED_VALUE"""),1.7955E8)</f>
        <v>179550000</v>
      </c>
      <c r="H469" s="49"/>
      <c r="I469" s="49"/>
      <c r="J469" s="49"/>
      <c r="K469" s="49"/>
      <c r="L469" s="49"/>
      <c r="M469" s="49"/>
      <c r="N469" s="49"/>
      <c r="O469" s="49"/>
      <c r="P469" s="49"/>
      <c r="Q469" s="49"/>
      <c r="R469" s="49"/>
      <c r="S469" s="49"/>
      <c r="T469" s="49"/>
      <c r="U469" s="49"/>
      <c r="V469" s="49"/>
      <c r="W469" s="49"/>
      <c r="X469" s="49"/>
      <c r="Y469" s="49"/>
      <c r="Z469" s="49"/>
    </row>
    <row r="470">
      <c r="A470" s="49" t="str">
        <f>IFERROR(__xludf.DUMMYFUNCTION("""COMPUTED_VALUE"""),"Leggings of Swift Death")</f>
        <v>Leggings of Swift Death</v>
      </c>
      <c r="B470" s="49" t="str">
        <f>IFERROR(__xludf.DUMMYFUNCTION("""COMPUTED_VALUE"""),"Quest Item")</f>
        <v>Quest Item</v>
      </c>
      <c r="C470" s="49"/>
      <c r="D470" s="49" t="str">
        <f>IFERROR(__xludf.DUMMYFUNCTION("""COMPUTED_VALUE"""),"Legs")</f>
        <v>Legs</v>
      </c>
      <c r="E470" s="49">
        <f>IFERROR(__xludf.DUMMYFUNCTION("""COMPUTED_VALUE"""),200.0)</f>
        <v>200</v>
      </c>
      <c r="F470" s="49"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49">
        <f>IFERROR(__xludf.DUMMYFUNCTION("""COMPUTED_VALUE"""),1.7955E8)</f>
        <v>179550000</v>
      </c>
      <c r="H470" s="49"/>
      <c r="I470" s="49"/>
      <c r="J470" s="49"/>
      <c r="K470" s="49"/>
      <c r="L470" s="49"/>
      <c r="M470" s="49"/>
      <c r="N470" s="49"/>
      <c r="O470" s="49"/>
      <c r="P470" s="49"/>
      <c r="Q470" s="49"/>
      <c r="R470" s="49"/>
      <c r="S470" s="49"/>
      <c r="T470" s="49"/>
      <c r="U470" s="49"/>
      <c r="V470" s="49"/>
      <c r="W470" s="49"/>
      <c r="X470" s="49"/>
      <c r="Y470" s="49"/>
      <c r="Z470" s="49"/>
    </row>
    <row r="471">
      <c r="A471" s="49" t="str">
        <f>IFERROR(__xludf.DUMMYFUNCTION("""COMPUTED_VALUE"""),"Cape of Illusion")</f>
        <v>Cape of Illusion</v>
      </c>
      <c r="B471" s="49" t="str">
        <f>IFERROR(__xludf.DUMMYFUNCTION("""COMPUTED_VALUE"""),"Quest Item")</f>
        <v>Quest Item</v>
      </c>
      <c r="C471" s="49"/>
      <c r="D471" s="49" t="str">
        <f>IFERROR(__xludf.DUMMYFUNCTION("""COMPUTED_VALUE"""),"Shoulders")</f>
        <v>Shoulders</v>
      </c>
      <c r="E471" s="49">
        <f>IFERROR(__xludf.DUMMYFUNCTION("""COMPUTED_VALUE"""),200.0)</f>
        <v>200</v>
      </c>
      <c r="F471" s="49"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49">
        <f>IFERROR(__xludf.DUMMYFUNCTION("""COMPUTED_VALUE"""),1.7955E8)</f>
        <v>179550000</v>
      </c>
      <c r="H471" s="49"/>
      <c r="I471" s="49"/>
      <c r="J471" s="49"/>
      <c r="K471" s="49"/>
      <c r="L471" s="49"/>
      <c r="M471" s="49"/>
      <c r="N471" s="49"/>
      <c r="O471" s="49"/>
      <c r="P471" s="49"/>
      <c r="Q471" s="49"/>
      <c r="R471" s="49"/>
      <c r="S471" s="49"/>
      <c r="T471" s="49"/>
      <c r="U471" s="49"/>
      <c r="V471" s="49"/>
      <c r="W471" s="49"/>
      <c r="X471" s="49"/>
      <c r="Y471" s="49"/>
      <c r="Z471" s="49"/>
    </row>
    <row r="472">
      <c r="A472" s="49" t="str">
        <f>IFERROR(__xludf.DUMMYFUNCTION("""COMPUTED_VALUE"""),"Assassin's Kiss")</f>
        <v>Assassin's Kiss</v>
      </c>
      <c r="B472" s="49" t="str">
        <f>IFERROR(__xludf.DUMMYFUNCTION("""COMPUTED_VALUE"""),"Quest Item")</f>
        <v>Quest Item</v>
      </c>
      <c r="C472" s="49" t="str">
        <f>IFERROR(__xludf.DUMMYFUNCTION("""COMPUTED_VALUE"""),"Knife")</f>
        <v>Knife</v>
      </c>
      <c r="D472" s="49" t="str">
        <f>IFERROR(__xludf.DUMMYFUNCTION("""COMPUTED_VALUE"""),"Hand")</f>
        <v>Hand</v>
      </c>
      <c r="E472" s="49">
        <f>IFERROR(__xludf.DUMMYFUNCTION("""COMPUTED_VALUE"""),200.0)</f>
        <v>200</v>
      </c>
      <c r="F472" s="49"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49">
        <f>IFERROR(__xludf.DUMMYFUNCTION("""COMPUTED_VALUE"""),2.409E8)</f>
        <v>240900000</v>
      </c>
      <c r="H472" s="49"/>
      <c r="I472" s="49"/>
      <c r="J472" s="49"/>
      <c r="K472" s="49"/>
      <c r="L472" s="49"/>
      <c r="M472" s="49"/>
      <c r="N472" s="49"/>
      <c r="O472" s="49"/>
      <c r="P472" s="49"/>
      <c r="Q472" s="49"/>
      <c r="R472" s="49"/>
      <c r="S472" s="49"/>
      <c r="T472" s="49"/>
      <c r="U472" s="49"/>
      <c r="V472" s="49"/>
      <c r="W472" s="49"/>
      <c r="X472" s="49"/>
      <c r="Y472" s="49"/>
      <c r="Z472" s="49"/>
    </row>
    <row r="473">
      <c r="A473" s="49" t="str">
        <f>IFERROR(__xludf.DUMMYFUNCTION("""COMPUTED_VALUE"""),"Night's Edge")</f>
        <v>Night's Edge</v>
      </c>
      <c r="B473" s="49" t="str">
        <f>IFERROR(__xludf.DUMMYFUNCTION("""COMPUTED_VALUE"""),"Quest Item")</f>
        <v>Quest Item</v>
      </c>
      <c r="C473" s="49" t="str">
        <f>IFERROR(__xludf.DUMMYFUNCTION("""COMPUTED_VALUE"""),"Knife")</f>
        <v>Knife</v>
      </c>
      <c r="D473" s="49" t="str">
        <f>IFERROR(__xludf.DUMMYFUNCTION("""COMPUTED_VALUE"""),"Hand")</f>
        <v>Hand</v>
      </c>
      <c r="E473" s="49">
        <f>IFERROR(__xludf.DUMMYFUNCTION("""COMPUTED_VALUE"""),200.0)</f>
        <v>200</v>
      </c>
      <c r="F473" s="49"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49">
        <f>IFERROR(__xludf.DUMMYFUNCTION("""COMPUTED_VALUE"""),2.409E8)</f>
        <v>240900000</v>
      </c>
      <c r="H473" s="49"/>
      <c r="I473" s="49"/>
      <c r="J473" s="49"/>
      <c r="K473" s="49"/>
      <c r="L473" s="49"/>
      <c r="M473" s="49"/>
      <c r="N473" s="49"/>
      <c r="O473" s="49"/>
      <c r="P473" s="49"/>
      <c r="Q473" s="49"/>
      <c r="R473" s="49"/>
      <c r="S473" s="49"/>
      <c r="T473" s="49"/>
      <c r="U473" s="49"/>
      <c r="V473" s="49"/>
      <c r="W473" s="49"/>
      <c r="X473" s="49"/>
      <c r="Y473" s="49"/>
      <c r="Z473" s="49"/>
    </row>
    <row r="474">
      <c r="A474" s="49" t="str">
        <f>IFERROR(__xludf.DUMMYFUNCTION("""COMPUTED_VALUE"""),"Ancient Draconian Deity Necklace")</f>
        <v>Ancient Draconian Deity Necklace</v>
      </c>
      <c r="B474" s="49"/>
      <c r="C474" s="49"/>
      <c r="D474" s="49" t="str">
        <f>IFERROR(__xludf.DUMMYFUNCTION("""COMPUTED_VALUE"""),"Neck")</f>
        <v>Neck</v>
      </c>
      <c r="E474" s="49">
        <f>IFERROR(__xludf.DUMMYFUNCTION("""COMPUTED_VALUE"""),1.0)</f>
        <v>1</v>
      </c>
      <c r="F474" s="49" t="str">
        <f>IFERROR(__xludf.DUMMYFUNCTION("""COMPUTED_VALUE""")," ++5 to all d20 rolls, +-Cannot be duplicated.")</f>
        <v> ++5 to all d20 rolls, +-Cannot be duplicated.</v>
      </c>
      <c r="G474" s="49">
        <f>IFERROR(__xludf.DUMMYFUNCTION("""COMPUTED_VALUE"""),0.0)</f>
        <v>0</v>
      </c>
      <c r="H474" s="49"/>
      <c r="I474" s="49"/>
      <c r="J474" s="49"/>
      <c r="K474" s="49"/>
      <c r="L474" s="49"/>
      <c r="M474" s="49"/>
      <c r="N474" s="49"/>
      <c r="O474" s="49"/>
      <c r="P474" s="49"/>
      <c r="Q474" s="49"/>
      <c r="R474" s="49"/>
      <c r="S474" s="49"/>
      <c r="T474" s="49"/>
      <c r="U474" s="49"/>
      <c r="V474" s="49"/>
      <c r="W474" s="49"/>
      <c r="X474" s="49"/>
      <c r="Y474" s="49"/>
      <c r="Z474" s="49"/>
    </row>
    <row r="475">
      <c r="A475" s="49" t="str">
        <f>IFERROR(__xludf.DUMMYFUNCTION("""COMPUTED_VALUE"""),"Gungnir")</f>
        <v>Gungnir</v>
      </c>
      <c r="B475" s="49"/>
      <c r="C475" s="49" t="str">
        <f>IFERROR(__xludf.DUMMYFUNCTION("""COMPUTED_VALUE"""),"Spear")</f>
        <v>Spear</v>
      </c>
      <c r="D475" s="49" t="str">
        <f>IFERROR(__xludf.DUMMYFUNCTION("""COMPUTED_VALUE"""),"Hand")</f>
        <v>Hand</v>
      </c>
      <c r="E475" s="49">
        <f>IFERROR(__xludf.DUMMYFUNCTION("""COMPUTED_VALUE"""),1.0)</f>
        <v>1</v>
      </c>
      <c r="F475" s="49" t="str">
        <f>IFERROR(__xludf.DUMMYFUNCTION("""COMPUTED_VALUE"""),"")</f>
        <v/>
      </c>
      <c r="G475" s="49">
        <f>IFERROR(__xludf.DUMMYFUNCTION("""COMPUTED_VALUE"""),0.0)</f>
        <v>0</v>
      </c>
      <c r="H475" s="49"/>
      <c r="I475" s="49"/>
      <c r="J475" s="49"/>
      <c r="K475" s="49"/>
      <c r="L475" s="49"/>
      <c r="M475" s="49"/>
      <c r="N475" s="49"/>
      <c r="O475" s="49"/>
      <c r="P475" s="49"/>
      <c r="Q475" s="49"/>
      <c r="R475" s="49"/>
      <c r="S475" s="49"/>
      <c r="T475" s="49"/>
      <c r="U475" s="49"/>
      <c r="V475" s="49"/>
      <c r="W475" s="49"/>
      <c r="X475" s="49"/>
      <c r="Y475" s="49"/>
      <c r="Z475" s="49"/>
    </row>
    <row r="476">
      <c r="A476" s="49" t="str">
        <f>IFERROR(__xludf.DUMMYFUNCTION("""COMPUTED_VALUE"""),"Gaia's Rock Hammer")</f>
        <v>Gaia's Rock Hammer</v>
      </c>
      <c r="B476" s="49" t="str">
        <f>IFERROR(__xludf.DUMMYFUNCTION("""COMPUTED_VALUE"""),"Quest Item")</f>
        <v>Quest Item</v>
      </c>
      <c r="C476" s="49" t="str">
        <f>IFERROR(__xludf.DUMMYFUNCTION("""COMPUTED_VALUE"""),"Club")</f>
        <v>Club</v>
      </c>
      <c r="D476" s="49" t="str">
        <f>IFERROR(__xludf.DUMMYFUNCTION("""COMPUTED_VALUE"""),"Hand")</f>
        <v>Hand</v>
      </c>
      <c r="E476" s="49">
        <f>IFERROR(__xludf.DUMMYFUNCTION("""COMPUTED_VALUE"""),200.0)</f>
        <v>200</v>
      </c>
      <c r="F476" s="49"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49">
        <f>IFERROR(__xludf.DUMMYFUNCTION("""COMPUTED_VALUE"""),5.4285E8)</f>
        <v>542850000</v>
      </c>
      <c r="H476" s="49"/>
      <c r="I476" s="49"/>
      <c r="J476" s="49"/>
      <c r="K476" s="49"/>
      <c r="L476" s="49"/>
      <c r="M476" s="49"/>
      <c r="N476" s="49"/>
      <c r="O476" s="49"/>
      <c r="P476" s="49"/>
      <c r="Q476" s="49"/>
      <c r="R476" s="49"/>
      <c r="S476" s="49"/>
      <c r="T476" s="49"/>
      <c r="U476" s="49"/>
      <c r="V476" s="49"/>
      <c r="W476" s="49"/>
      <c r="X476" s="49"/>
      <c r="Y476" s="49"/>
      <c r="Z476" s="49"/>
    </row>
    <row r="477">
      <c r="A477" s="49" t="str">
        <f>IFERROR(__xludf.DUMMYFUNCTION("""COMPUTED_VALUE"""),"Bahamut's Claw")</f>
        <v>Bahamut's Claw</v>
      </c>
      <c r="B477" s="49" t="str">
        <f>IFERROR(__xludf.DUMMYFUNCTION("""COMPUTED_VALUE"""),"Mob Exclusive")</f>
        <v>Mob Exclusive</v>
      </c>
      <c r="C477" s="49" t="str">
        <f>IFERROR(__xludf.DUMMYFUNCTION("""COMPUTED_VALUE"""),"Claw")</f>
        <v>Claw</v>
      </c>
      <c r="D477" s="49" t="str">
        <f>IFERROR(__xludf.DUMMYFUNCTION("""COMPUTED_VALUE"""),"Hand")</f>
        <v>Hand</v>
      </c>
      <c r="E477" s="49">
        <f>IFERROR(__xludf.DUMMYFUNCTION("""COMPUTED_VALUE"""),200.0)</f>
        <v>200</v>
      </c>
      <c r="F477" s="49"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49">
        <f>IFERROR(__xludf.DUMMYFUNCTION("""COMPUTED_VALUE"""),1.12425E10)</f>
        <v>11242500000</v>
      </c>
      <c r="H477" s="49"/>
      <c r="I477" s="49"/>
      <c r="J477" s="49"/>
      <c r="K477" s="49"/>
      <c r="L477" s="49"/>
      <c r="M477" s="49"/>
      <c r="N477" s="49"/>
      <c r="O477" s="49"/>
      <c r="P477" s="49"/>
      <c r="Q477" s="49"/>
      <c r="R477" s="49"/>
      <c r="S477" s="49"/>
      <c r="T477" s="49"/>
      <c r="U477" s="49"/>
      <c r="V477" s="49"/>
      <c r="W477" s="49"/>
      <c r="X477" s="49"/>
      <c r="Y477" s="49"/>
      <c r="Z477" s="49"/>
    </row>
    <row r="478">
      <c r="A478" s="49" t="str">
        <f>IFERROR(__xludf.DUMMYFUNCTION("""COMPUTED_VALUE"""),"Chronos' Staff of Time")</f>
        <v>Chronos' Staff of Time</v>
      </c>
      <c r="B478" s="49"/>
      <c r="C478" s="49" t="str">
        <f>IFERROR(__xludf.DUMMYFUNCTION("""COMPUTED_VALUE"""),"Staff")</f>
        <v>Staff</v>
      </c>
      <c r="D478" s="49" t="str">
        <f>IFERROR(__xludf.DUMMYFUNCTION("""COMPUTED_VALUE"""),"Hand")</f>
        <v>Hand</v>
      </c>
      <c r="E478" s="49">
        <f>IFERROR(__xludf.DUMMYFUNCTION("""COMPUTED_VALUE"""),1.0)</f>
        <v>1</v>
      </c>
      <c r="F478" s="49" t="str">
        <f>IFERROR(__xludf.DUMMYFUNCTION("""COMPUTED_VALUE"""),"")</f>
        <v/>
      </c>
      <c r="G478" s="49">
        <f>IFERROR(__xludf.DUMMYFUNCTION("""COMPUTED_VALUE"""),0.0)</f>
        <v>0</v>
      </c>
      <c r="H478" s="49"/>
      <c r="I478" s="49"/>
      <c r="J478" s="49"/>
      <c r="K478" s="49"/>
      <c r="L478" s="49"/>
      <c r="M478" s="49"/>
      <c r="N478" s="49"/>
      <c r="O478" s="49"/>
      <c r="P478" s="49"/>
      <c r="Q478" s="49"/>
      <c r="R478" s="49"/>
      <c r="S478" s="49"/>
      <c r="T478" s="49"/>
      <c r="U478" s="49"/>
      <c r="V478" s="49"/>
      <c r="W478" s="49"/>
      <c r="X478" s="49"/>
      <c r="Y478" s="49"/>
      <c r="Z478" s="49"/>
    </row>
    <row r="479">
      <c r="A479" s="49" t="str">
        <f>IFERROR(__xludf.DUMMYFUNCTION("""COMPUTED_VALUE"""),"Scimitar")</f>
        <v>Scimitar</v>
      </c>
      <c r="B479" s="49"/>
      <c r="C479" s="49" t="str">
        <f>IFERROR(__xludf.DUMMYFUNCTION("""COMPUTED_VALUE"""),"Sword")</f>
        <v>Sword</v>
      </c>
      <c r="D479" s="49" t="str">
        <f>IFERROR(__xludf.DUMMYFUNCTION("""COMPUTED_VALUE"""),"Hand")</f>
        <v>Hand</v>
      </c>
      <c r="E479" s="49">
        <f>IFERROR(__xludf.DUMMYFUNCTION("""COMPUTED_VALUE"""),300.0)</f>
        <v>300</v>
      </c>
      <c r="F479" s="49" t="str">
        <f>IFERROR(__xludf.DUMMYFUNCTION("""COMPUTED_VALUE"""),"DMG: +10000, Fire DMG: +5000")</f>
        <v>DMG: +10000, Fire DMG: +5000</v>
      </c>
      <c r="G479" s="49">
        <f>IFERROR(__xludf.DUMMYFUNCTION("""COMPUTED_VALUE"""),4350000.0)</f>
        <v>4350000</v>
      </c>
      <c r="H479" s="49"/>
      <c r="I479" s="49"/>
      <c r="J479" s="49"/>
      <c r="K479" s="49"/>
      <c r="L479" s="49"/>
      <c r="M479" s="49"/>
      <c r="N479" s="49"/>
      <c r="O479" s="49"/>
      <c r="P479" s="49"/>
      <c r="Q479" s="49"/>
      <c r="R479" s="49"/>
      <c r="S479" s="49"/>
      <c r="T479" s="49"/>
      <c r="U479" s="49"/>
      <c r="V479" s="49"/>
      <c r="W479" s="49"/>
      <c r="X479" s="49"/>
      <c r="Y479" s="49"/>
      <c r="Z479" s="49"/>
    </row>
    <row r="480">
      <c r="A480" s="49" t="str">
        <f>IFERROR(__xludf.DUMMYFUNCTION("""COMPUTED_VALUE"""),"Gaia's Helmet of Earthen Fortitude")</f>
        <v>Gaia's Helmet of Earthen Fortitude</v>
      </c>
      <c r="B480" s="49" t="str">
        <f>IFERROR(__xludf.DUMMYFUNCTION("""COMPUTED_VALUE"""),"Mob Exclusive")</f>
        <v>Mob Exclusive</v>
      </c>
      <c r="C480" s="49"/>
      <c r="D480" s="49" t="str">
        <f>IFERROR(__xludf.DUMMYFUNCTION("""COMPUTED_VALUE"""),"Head")</f>
        <v>Head</v>
      </c>
      <c r="E480" s="49">
        <f>IFERROR(__xludf.DUMMYFUNCTION("""COMPUTED_VALUE"""),200.0)</f>
        <v>200</v>
      </c>
      <c r="F480" s="49"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49">
        <f>IFERROR(__xludf.DUMMYFUNCTION("""COMPUTED_VALUE"""),3.6315E8)</f>
        <v>363150000</v>
      </c>
      <c r="H480" s="49"/>
      <c r="I480" s="49"/>
      <c r="J480" s="49"/>
      <c r="K480" s="49"/>
      <c r="L480" s="49"/>
      <c r="M480" s="49"/>
      <c r="N480" s="49"/>
      <c r="O480" s="49"/>
      <c r="P480" s="49"/>
      <c r="Q480" s="49"/>
      <c r="R480" s="49"/>
      <c r="S480" s="49"/>
      <c r="T480" s="49"/>
      <c r="U480" s="49"/>
      <c r="V480" s="49"/>
      <c r="W480" s="49"/>
      <c r="X480" s="49"/>
      <c r="Y480" s="49"/>
      <c r="Z480" s="49"/>
    </row>
    <row r="481">
      <c r="A481" s="49" t="str">
        <f>IFERROR(__xludf.DUMMYFUNCTION("""COMPUTED_VALUE"""),"Gaia's Pendant")</f>
        <v>Gaia's Pendant</v>
      </c>
      <c r="B481" s="49" t="str">
        <f>IFERROR(__xludf.DUMMYFUNCTION("""COMPUTED_VALUE"""),"Mob Exclusive")</f>
        <v>Mob Exclusive</v>
      </c>
      <c r="C481" s="49"/>
      <c r="D481" s="49" t="str">
        <f>IFERROR(__xludf.DUMMYFUNCTION("""COMPUTED_VALUE"""),"Neck")</f>
        <v>Neck</v>
      </c>
      <c r="E481" s="49">
        <f>IFERROR(__xludf.DUMMYFUNCTION("""COMPUTED_VALUE"""),1.0)</f>
        <v>1</v>
      </c>
      <c r="F481" s="49" t="str">
        <f>IFERROR(__xludf.DUMMYFUNCTION("""COMPUTED_VALUE""")," ++Revives entire party upon death of the wearer. +-one use per battle")</f>
        <v> ++Revives entire party upon death of the wearer. +-one use per battle</v>
      </c>
      <c r="G481" s="49">
        <f>IFERROR(__xludf.DUMMYFUNCTION("""COMPUTED_VALUE"""),0.0)</f>
        <v>0</v>
      </c>
      <c r="H481" s="49"/>
      <c r="I481" s="49"/>
      <c r="J481" s="49"/>
      <c r="K481" s="49"/>
      <c r="L481" s="49"/>
      <c r="M481" s="49"/>
      <c r="N481" s="49"/>
      <c r="O481" s="49"/>
      <c r="P481" s="49"/>
      <c r="Q481" s="49"/>
      <c r="R481" s="49"/>
      <c r="S481" s="49"/>
      <c r="T481" s="49"/>
      <c r="U481" s="49"/>
      <c r="V481" s="49"/>
      <c r="W481" s="49"/>
      <c r="X481" s="49"/>
      <c r="Y481" s="49"/>
      <c r="Z481" s="49"/>
    </row>
    <row r="482">
      <c r="A482" s="49" t="str">
        <f>IFERROR(__xludf.DUMMYFUNCTION("""COMPUTED_VALUE"""),"Gaia's Sandals of Earthen Fortitude")</f>
        <v>Gaia's Sandals of Earthen Fortitude</v>
      </c>
      <c r="B482" s="49" t="str">
        <f>IFERROR(__xludf.DUMMYFUNCTION("""COMPUTED_VALUE"""),"Mob Exclusive")</f>
        <v>Mob Exclusive</v>
      </c>
      <c r="C482" s="49"/>
      <c r="D482" s="49" t="str">
        <f>IFERROR(__xludf.DUMMYFUNCTION("""COMPUTED_VALUE"""),"Feet")</f>
        <v>Feet</v>
      </c>
      <c r="E482" s="49">
        <f>IFERROR(__xludf.DUMMYFUNCTION("""COMPUTED_VALUE"""),200.0)</f>
        <v>200</v>
      </c>
      <c r="F482" s="49" t="str">
        <f>IFERROR(__xludf.DUMMYFUNCTION("""COMPUTED_VALUE"""),"DEF: +50000, Fire DEF: +35000, Celestial DEF: +50000 ++X2 Earth Damage for self. ++X2 Defense for self")</f>
        <v>DEF: +50000, Fire DEF: +35000, Celestial DEF: +50000 ++X2 Earth Damage for self. ++X2 Defense for self</v>
      </c>
      <c r="G482" s="49">
        <f>IFERROR(__xludf.DUMMYFUNCTION("""COMPUTED_VALUE"""),3.6315E8)</f>
        <v>363150000</v>
      </c>
      <c r="H482" s="49"/>
      <c r="I482" s="49"/>
      <c r="J482" s="49"/>
      <c r="K482" s="49"/>
      <c r="L482" s="49"/>
      <c r="M482" s="49"/>
      <c r="N482" s="49"/>
      <c r="O482" s="49"/>
      <c r="P482" s="49"/>
      <c r="Q482" s="49"/>
      <c r="R482" s="49"/>
      <c r="S482" s="49"/>
      <c r="T482" s="49"/>
      <c r="U482" s="49"/>
      <c r="V482" s="49"/>
      <c r="W482" s="49"/>
      <c r="X482" s="49"/>
      <c r="Y482" s="49"/>
      <c r="Z482" s="49"/>
    </row>
    <row r="483">
      <c r="A483" s="49" t="str">
        <f>IFERROR(__xludf.DUMMYFUNCTION("""COMPUTED_VALUE"""),"Gaia's Gloves")</f>
        <v>Gaia's Gloves</v>
      </c>
      <c r="B483" s="49" t="str">
        <f>IFERROR(__xludf.DUMMYFUNCTION("""COMPUTED_VALUE"""),"Mob Exclusive")</f>
        <v>Mob Exclusive</v>
      </c>
      <c r="C483" s="49"/>
      <c r="D483" s="49" t="str">
        <f>IFERROR(__xludf.DUMMYFUNCTION("""COMPUTED_VALUE"""),"Arms")</f>
        <v>Arms</v>
      </c>
      <c r="E483" s="49">
        <f>IFERROR(__xludf.DUMMYFUNCTION("""COMPUTED_VALUE"""),200.0)</f>
        <v>200</v>
      </c>
      <c r="F483" s="49" t="str">
        <f>IFERROR(__xludf.DUMMYFUNCTION("""COMPUTED_VALUE"""),"DEF: +50000, Fire DEF: +35000, Celestial DEF: +50000 ++X2 Earth Damage for self. ++X2 Defense for self")</f>
        <v>DEF: +50000, Fire DEF: +35000, Celestial DEF: +50000 ++X2 Earth Damage for self. ++X2 Defense for self</v>
      </c>
      <c r="G483" s="49">
        <f>IFERROR(__xludf.DUMMYFUNCTION("""COMPUTED_VALUE"""),3.6315E8)</f>
        <v>363150000</v>
      </c>
      <c r="H483" s="49"/>
      <c r="I483" s="49"/>
      <c r="J483" s="49"/>
      <c r="K483" s="49"/>
      <c r="L483" s="49"/>
      <c r="M483" s="49"/>
      <c r="N483" s="49"/>
      <c r="O483" s="49"/>
      <c r="P483" s="49"/>
      <c r="Q483" s="49"/>
      <c r="R483" s="49"/>
      <c r="S483" s="49"/>
      <c r="T483" s="49"/>
      <c r="U483" s="49"/>
      <c r="V483" s="49"/>
      <c r="W483" s="49"/>
      <c r="X483" s="49"/>
      <c r="Y483" s="49"/>
      <c r="Z483" s="49"/>
    </row>
    <row r="484">
      <c r="A484" s="49" t="str">
        <f>IFERROR(__xludf.DUMMYFUNCTION("""COMPUTED_VALUE"""),"Gaia's Gaiters")</f>
        <v>Gaia's Gaiters</v>
      </c>
      <c r="B484" s="49" t="str">
        <f>IFERROR(__xludf.DUMMYFUNCTION("""COMPUTED_VALUE"""),"Mob Exclusive")</f>
        <v>Mob Exclusive</v>
      </c>
      <c r="C484" s="49"/>
      <c r="D484" s="49" t="str">
        <f>IFERROR(__xludf.DUMMYFUNCTION("""COMPUTED_VALUE"""),"Legs")</f>
        <v>Legs</v>
      </c>
      <c r="E484" s="49">
        <f>IFERROR(__xludf.DUMMYFUNCTION("""COMPUTED_VALUE"""),200.0)</f>
        <v>200</v>
      </c>
      <c r="F484" s="49" t="str">
        <f>IFERROR(__xludf.DUMMYFUNCTION("""COMPUTED_VALUE"""),"DEF: +50000, Fire DEF: +35000, Celestial DEF: +50000 ++X2 Earth Damage for self. ++X2 Defense for self")</f>
        <v>DEF: +50000, Fire DEF: +35000, Celestial DEF: +50000 ++X2 Earth Damage for self. ++X2 Defense for self</v>
      </c>
      <c r="G484" s="49">
        <f>IFERROR(__xludf.DUMMYFUNCTION("""COMPUTED_VALUE"""),3.6315E8)</f>
        <v>363150000</v>
      </c>
      <c r="H484" s="49"/>
      <c r="I484" s="49"/>
      <c r="J484" s="49"/>
      <c r="K484" s="49"/>
      <c r="L484" s="49"/>
      <c r="M484" s="49"/>
      <c r="N484" s="49"/>
      <c r="O484" s="49"/>
      <c r="P484" s="49"/>
      <c r="Q484" s="49"/>
      <c r="R484" s="49"/>
      <c r="S484" s="49"/>
      <c r="T484" s="49"/>
      <c r="U484" s="49"/>
      <c r="V484" s="49"/>
      <c r="W484" s="49"/>
      <c r="X484" s="49"/>
      <c r="Y484" s="49"/>
      <c r="Z484" s="49"/>
    </row>
    <row r="485">
      <c r="A485" s="49" t="str">
        <f>IFERROR(__xludf.DUMMYFUNCTION("""COMPUTED_VALUE"""),"Gaia's Pauldrons")</f>
        <v>Gaia's Pauldrons</v>
      </c>
      <c r="B485" s="49" t="str">
        <f>IFERROR(__xludf.DUMMYFUNCTION("""COMPUTED_VALUE"""),"Mob Exclusive")</f>
        <v>Mob Exclusive</v>
      </c>
      <c r="C485" s="49"/>
      <c r="D485" s="49" t="str">
        <f>IFERROR(__xludf.DUMMYFUNCTION("""COMPUTED_VALUE"""),"Shoulders")</f>
        <v>Shoulders</v>
      </c>
      <c r="E485" s="49">
        <f>IFERROR(__xludf.DUMMYFUNCTION("""COMPUTED_VALUE"""),200.0)</f>
        <v>200</v>
      </c>
      <c r="F485" s="49" t="str">
        <f>IFERROR(__xludf.DUMMYFUNCTION("""COMPUTED_VALUE"""),"DEF: +50000, Fire DEF: +35000, Celestial DEF: +50000 ++X2 Earth Damage for self. ++X2 Defense for self")</f>
        <v>DEF: +50000, Fire DEF: +35000, Celestial DEF: +50000 ++X2 Earth Damage for self. ++X2 Defense for self</v>
      </c>
      <c r="G485" s="49">
        <f>IFERROR(__xludf.DUMMYFUNCTION("""COMPUTED_VALUE"""),3.6315E8)</f>
        <v>363150000</v>
      </c>
      <c r="H485" s="49"/>
      <c r="I485" s="49"/>
      <c r="J485" s="49"/>
      <c r="K485" s="49"/>
      <c r="L485" s="49"/>
      <c r="M485" s="49"/>
      <c r="N485" s="49"/>
      <c r="O485" s="49"/>
      <c r="P485" s="49"/>
      <c r="Q485" s="49"/>
      <c r="R485" s="49"/>
      <c r="S485" s="49"/>
      <c r="T485" s="49"/>
      <c r="U485" s="49"/>
      <c r="V485" s="49"/>
      <c r="W485" s="49"/>
      <c r="X485" s="49"/>
      <c r="Y485" s="49"/>
      <c r="Z485" s="49"/>
    </row>
    <row r="486">
      <c r="A486" s="49" t="str">
        <f>IFERROR(__xludf.DUMMYFUNCTION("""COMPUTED_VALUE"""),"Gaia's Chestpiece")</f>
        <v>Gaia's Chestpiece</v>
      </c>
      <c r="B486" s="49" t="str">
        <f>IFERROR(__xludf.DUMMYFUNCTION("""COMPUTED_VALUE"""),"Mob Exclusive")</f>
        <v>Mob Exclusive</v>
      </c>
      <c r="C486" s="49"/>
      <c r="D486" s="49" t="str">
        <f>IFERROR(__xludf.DUMMYFUNCTION("""COMPUTED_VALUE"""),"Torso")</f>
        <v>Torso</v>
      </c>
      <c r="E486" s="49">
        <f>IFERROR(__xludf.DUMMYFUNCTION("""COMPUTED_VALUE"""),200.0)</f>
        <v>200</v>
      </c>
      <c r="F486" s="49" t="str">
        <f>IFERROR(__xludf.DUMMYFUNCTION("""COMPUTED_VALUE"""),"DEF: +100000, Fire DEF: +70000, Celestial DEF: +100000 ++X2 Earth Damage for self. ++X2 Defense for self")</f>
        <v>DEF: +100000, Fire DEF: +70000, Celestial DEF: +100000 ++X2 Earth Damage for self. ++X2 Defense for self</v>
      </c>
      <c r="G486" s="49">
        <f>IFERROR(__xludf.DUMMYFUNCTION("""COMPUTED_VALUE"""),1.4553E9)</f>
        <v>1455300000</v>
      </c>
      <c r="H486" s="49"/>
      <c r="I486" s="49"/>
      <c r="J486" s="49"/>
      <c r="K486" s="49"/>
      <c r="L486" s="49"/>
      <c r="M486" s="49"/>
      <c r="N486" s="49"/>
      <c r="O486" s="49"/>
      <c r="P486" s="49"/>
      <c r="Q486" s="49"/>
      <c r="R486" s="49"/>
      <c r="S486" s="49"/>
      <c r="T486" s="49"/>
      <c r="U486" s="49"/>
      <c r="V486" s="49"/>
      <c r="W486" s="49"/>
      <c r="X486" s="49"/>
      <c r="Y486" s="49"/>
      <c r="Z486" s="49"/>
    </row>
    <row r="487">
      <c r="A487" s="49" t="str">
        <f>IFERROR(__xludf.DUMMYFUNCTION("""COMPUTED_VALUE"""),"Gaia's Ring")</f>
        <v>Gaia's Ring</v>
      </c>
      <c r="B487" s="49" t="str">
        <f>IFERROR(__xludf.DUMMYFUNCTION("""COMPUTED_VALUE"""),"Mob Exclusive")</f>
        <v>Mob Exclusive</v>
      </c>
      <c r="C487" s="49"/>
      <c r="D487" s="49" t="str">
        <f>IFERROR(__xludf.DUMMYFUNCTION("""COMPUTED_VALUE"""),"Ring")</f>
        <v>Ring</v>
      </c>
      <c r="E487" s="49">
        <f>IFERROR(__xludf.DUMMYFUNCTION("""COMPUTED_VALUE"""),1.0)</f>
        <v>1</v>
      </c>
      <c r="F487" s="49" t="str">
        <f>IFERROR(__xludf.DUMMYFUNCTION("""COMPUTED_VALUE""")," ++X4 defense for self and allies, 50 sp")</f>
        <v> ++X4 defense for self and allies, 50 sp</v>
      </c>
      <c r="G487" s="49">
        <f>IFERROR(__xludf.DUMMYFUNCTION("""COMPUTED_VALUE"""),0.0)</f>
        <v>0</v>
      </c>
      <c r="H487" s="49"/>
      <c r="I487" s="49"/>
      <c r="J487" s="49"/>
      <c r="K487" s="49"/>
      <c r="L487" s="49"/>
      <c r="M487" s="49"/>
      <c r="N487" s="49"/>
      <c r="O487" s="49"/>
      <c r="P487" s="49"/>
      <c r="Q487" s="49"/>
      <c r="R487" s="49"/>
      <c r="S487" s="49"/>
      <c r="T487" s="49"/>
      <c r="U487" s="49"/>
      <c r="V487" s="49"/>
      <c r="W487" s="49"/>
      <c r="X487" s="49"/>
      <c r="Y487" s="49"/>
      <c r="Z487" s="49"/>
    </row>
    <row r="488">
      <c r="A488" s="49" t="str">
        <f>IFERROR(__xludf.DUMMYFUNCTION("""COMPUTED_VALUE"""),"Paladin of Gaia's Bucket helm of Tenacity")</f>
        <v>Paladin of Gaia's Bucket helm of Tenacity</v>
      </c>
      <c r="B488" s="49" t="str">
        <f>IFERROR(__xludf.DUMMYFUNCTION("""COMPUTED_VALUE"""),"Quest Item")</f>
        <v>Quest Item</v>
      </c>
      <c r="C488" s="49"/>
      <c r="D488" s="49" t="str">
        <f>IFERROR(__xludf.DUMMYFUNCTION("""COMPUTED_VALUE"""),"Head")</f>
        <v>Head</v>
      </c>
      <c r="E488" s="49">
        <f>IFERROR(__xludf.DUMMYFUNCTION("""COMPUTED_VALUE"""),200.0)</f>
        <v>200</v>
      </c>
      <c r="F488" s="49"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49">
        <f>IFERROR(__xludf.DUMMYFUNCTION("""COMPUTED_VALUE"""),1.272E8)</f>
        <v>127200000</v>
      </c>
      <c r="H488" s="49"/>
      <c r="I488" s="49"/>
      <c r="J488" s="49"/>
      <c r="K488" s="49"/>
      <c r="L488" s="49"/>
      <c r="M488" s="49"/>
      <c r="N488" s="49"/>
      <c r="O488" s="49"/>
      <c r="P488" s="49"/>
      <c r="Q488" s="49"/>
      <c r="R488" s="49"/>
      <c r="S488" s="49"/>
      <c r="T488" s="49"/>
      <c r="U488" s="49"/>
      <c r="V488" s="49"/>
      <c r="W488" s="49"/>
      <c r="X488" s="49"/>
      <c r="Y488" s="49"/>
      <c r="Z488" s="49"/>
    </row>
    <row r="489">
      <c r="A489" s="49" t="str">
        <f>IFERROR(__xludf.DUMMYFUNCTION("""COMPUTED_VALUE"""),"Paladin of Gaia's Stone Pauldrons")</f>
        <v>Paladin of Gaia's Stone Pauldrons</v>
      </c>
      <c r="B489" s="49" t="str">
        <f>IFERROR(__xludf.DUMMYFUNCTION("""COMPUTED_VALUE"""),"Quest Item")</f>
        <v>Quest Item</v>
      </c>
      <c r="C489" s="49"/>
      <c r="D489" s="49" t="str">
        <f>IFERROR(__xludf.DUMMYFUNCTION("""COMPUTED_VALUE"""),"Shoulders")</f>
        <v>Shoulders</v>
      </c>
      <c r="E489" s="49">
        <f>IFERROR(__xludf.DUMMYFUNCTION("""COMPUTED_VALUE"""),200.0)</f>
        <v>200</v>
      </c>
      <c r="F489" s="49"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49">
        <f>IFERROR(__xludf.DUMMYFUNCTION("""COMPUTED_VALUE"""),1.272E8)</f>
        <v>127200000</v>
      </c>
      <c r="H489" s="49"/>
      <c r="I489" s="49"/>
      <c r="J489" s="49"/>
      <c r="K489" s="49"/>
      <c r="L489" s="49"/>
      <c r="M489" s="49"/>
      <c r="N489" s="49"/>
      <c r="O489" s="49"/>
      <c r="P489" s="49"/>
      <c r="Q489" s="49"/>
      <c r="R489" s="49"/>
      <c r="S489" s="49"/>
      <c r="T489" s="49"/>
      <c r="U489" s="49"/>
      <c r="V489" s="49"/>
      <c r="W489" s="49"/>
      <c r="X489" s="49"/>
      <c r="Y489" s="49"/>
      <c r="Z489" s="49"/>
    </row>
    <row r="490">
      <c r="A490" s="49" t="str">
        <f>IFERROR(__xludf.DUMMYFUNCTION("""COMPUTED_VALUE"""),"Paladin of Gaia's Emblazoned Chestpiece")</f>
        <v>Paladin of Gaia's Emblazoned Chestpiece</v>
      </c>
      <c r="B490" s="49" t="str">
        <f>IFERROR(__xludf.DUMMYFUNCTION("""COMPUTED_VALUE"""),"Quest Item")</f>
        <v>Quest Item</v>
      </c>
      <c r="C490" s="49"/>
      <c r="D490" s="49" t="str">
        <f>IFERROR(__xludf.DUMMYFUNCTION("""COMPUTED_VALUE"""),"Torso")</f>
        <v>Torso</v>
      </c>
      <c r="E490" s="49">
        <f>IFERROR(__xludf.DUMMYFUNCTION("""COMPUTED_VALUE"""),200.0)</f>
        <v>200</v>
      </c>
      <c r="F490" s="49"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49">
        <f>IFERROR(__xludf.DUMMYFUNCTION("""COMPUTED_VALUE"""),7.201E8)</f>
        <v>720100000</v>
      </c>
      <c r="H490" s="49"/>
      <c r="I490" s="49"/>
      <c r="J490" s="49"/>
      <c r="K490" s="49"/>
      <c r="L490" s="49"/>
      <c r="M490" s="49"/>
      <c r="N490" s="49"/>
      <c r="O490" s="49"/>
      <c r="P490" s="49"/>
      <c r="Q490" s="49"/>
      <c r="R490" s="49"/>
      <c r="S490" s="49"/>
      <c r="T490" s="49"/>
      <c r="U490" s="49"/>
      <c r="V490" s="49"/>
      <c r="W490" s="49"/>
      <c r="X490" s="49"/>
      <c r="Y490" s="49"/>
      <c r="Z490" s="49"/>
    </row>
    <row r="491">
      <c r="A491" s="49" t="str">
        <f>IFERROR(__xludf.DUMMYFUNCTION("""COMPUTED_VALUE"""),"Paladin of Gaia's Vambraces")</f>
        <v>Paladin of Gaia's Vambraces</v>
      </c>
      <c r="B491" s="49" t="str">
        <f>IFERROR(__xludf.DUMMYFUNCTION("""COMPUTED_VALUE"""),"Quest Item")</f>
        <v>Quest Item</v>
      </c>
      <c r="C491" s="49"/>
      <c r="D491" s="49" t="str">
        <f>IFERROR(__xludf.DUMMYFUNCTION("""COMPUTED_VALUE"""),"Arms")</f>
        <v>Arms</v>
      </c>
      <c r="E491" s="49">
        <f>IFERROR(__xludf.DUMMYFUNCTION("""COMPUTED_VALUE"""),200.0)</f>
        <v>200</v>
      </c>
      <c r="F491" s="49"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49">
        <f>IFERROR(__xludf.DUMMYFUNCTION("""COMPUTED_VALUE"""),1.272E8)</f>
        <v>127200000</v>
      </c>
      <c r="H491" s="49"/>
      <c r="I491" s="49"/>
      <c r="J491" s="49"/>
      <c r="K491" s="49"/>
      <c r="L491" s="49"/>
      <c r="M491" s="49"/>
      <c r="N491" s="49"/>
      <c r="O491" s="49"/>
      <c r="P491" s="49"/>
      <c r="Q491" s="49"/>
      <c r="R491" s="49"/>
      <c r="S491" s="49"/>
      <c r="T491" s="49"/>
      <c r="U491" s="49"/>
      <c r="V491" s="49"/>
      <c r="W491" s="49"/>
      <c r="X491" s="49"/>
      <c r="Y491" s="49"/>
      <c r="Z491" s="49"/>
    </row>
    <row r="492">
      <c r="A492" s="49" t="str">
        <f>IFERROR(__xludf.DUMMYFUNCTION("""COMPUTED_VALUE"""),"Paladin of Gaia's Plate Chausses")</f>
        <v>Paladin of Gaia's Plate Chausses</v>
      </c>
      <c r="B492" s="49" t="str">
        <f>IFERROR(__xludf.DUMMYFUNCTION("""COMPUTED_VALUE"""),"Quest Item")</f>
        <v>Quest Item</v>
      </c>
      <c r="C492" s="49"/>
      <c r="D492" s="49" t="str">
        <f>IFERROR(__xludf.DUMMYFUNCTION("""COMPUTED_VALUE"""),"Legs")</f>
        <v>Legs</v>
      </c>
      <c r="E492" s="49">
        <f>IFERROR(__xludf.DUMMYFUNCTION("""COMPUTED_VALUE"""),200.0)</f>
        <v>200</v>
      </c>
      <c r="F492" s="49"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49">
        <f>IFERROR(__xludf.DUMMYFUNCTION("""COMPUTED_VALUE"""),1.272E8)</f>
        <v>127200000</v>
      </c>
      <c r="H492" s="49"/>
      <c r="I492" s="49"/>
      <c r="J492" s="49"/>
      <c r="K492" s="49"/>
      <c r="L492" s="49"/>
      <c r="M492" s="49"/>
      <c r="N492" s="49"/>
      <c r="O492" s="49"/>
      <c r="P492" s="49"/>
      <c r="Q492" s="49"/>
      <c r="R492" s="49"/>
      <c r="S492" s="49"/>
      <c r="T492" s="49"/>
      <c r="U492" s="49"/>
      <c r="V492" s="49"/>
      <c r="W492" s="49"/>
      <c r="X492" s="49"/>
      <c r="Y492" s="49"/>
      <c r="Z492" s="49"/>
    </row>
    <row r="493">
      <c r="A493" s="49" t="str">
        <f>IFERROR(__xludf.DUMMYFUNCTION("""COMPUTED_VALUE"""),"Paladin of Gaia's Sabatons")</f>
        <v>Paladin of Gaia's Sabatons</v>
      </c>
      <c r="B493" s="49" t="str">
        <f>IFERROR(__xludf.DUMMYFUNCTION("""COMPUTED_VALUE"""),"Quest Item")</f>
        <v>Quest Item</v>
      </c>
      <c r="C493" s="49"/>
      <c r="D493" s="49" t="str">
        <f>IFERROR(__xludf.DUMMYFUNCTION("""COMPUTED_VALUE"""),"Feet")</f>
        <v>Feet</v>
      </c>
      <c r="E493" s="49">
        <f>IFERROR(__xludf.DUMMYFUNCTION("""COMPUTED_VALUE"""),200.0)</f>
        <v>200</v>
      </c>
      <c r="F493" s="49"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49">
        <f>IFERROR(__xludf.DUMMYFUNCTION("""COMPUTED_VALUE"""),1.272E8)</f>
        <v>127200000</v>
      </c>
      <c r="H493" s="49"/>
      <c r="I493" s="49"/>
      <c r="J493" s="49"/>
      <c r="K493" s="49"/>
      <c r="L493" s="49"/>
      <c r="M493" s="49"/>
      <c r="N493" s="49"/>
      <c r="O493" s="49"/>
      <c r="P493" s="49"/>
      <c r="Q493" s="49"/>
      <c r="R493" s="49"/>
      <c r="S493" s="49"/>
      <c r="T493" s="49"/>
      <c r="U493" s="49"/>
      <c r="V493" s="49"/>
      <c r="W493" s="49"/>
      <c r="X493" s="49"/>
      <c r="Y493" s="49"/>
      <c r="Z493" s="49"/>
    </row>
    <row r="494">
      <c r="A494" s="49" t="str">
        <f>IFERROR(__xludf.DUMMYFUNCTION("""COMPUTED_VALUE"""),"Paladin of Gaia's Ruby Ring")</f>
        <v>Paladin of Gaia's Ruby Ring</v>
      </c>
      <c r="B494" s="49" t="str">
        <f>IFERROR(__xludf.DUMMYFUNCTION("""COMPUTED_VALUE"""),"Quest Item")</f>
        <v>Quest Item</v>
      </c>
      <c r="C494" s="49"/>
      <c r="D494" s="49" t="str">
        <f>IFERROR(__xludf.DUMMYFUNCTION("""COMPUTED_VALUE"""),"Ring")</f>
        <v>Ring</v>
      </c>
      <c r="E494" s="49">
        <f>IFERROR(__xludf.DUMMYFUNCTION("""COMPUTED_VALUE"""),1.0)</f>
        <v>1</v>
      </c>
      <c r="F494" s="49"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49">
        <f>IFERROR(__xludf.DUMMYFUNCTION("""COMPUTED_VALUE"""),0.0)</f>
        <v>0</v>
      </c>
      <c r="H494" s="49"/>
      <c r="I494" s="49"/>
      <c r="J494" s="49"/>
      <c r="K494" s="49"/>
      <c r="L494" s="49"/>
      <c r="M494" s="49"/>
      <c r="N494" s="49"/>
      <c r="O494" s="49"/>
      <c r="P494" s="49"/>
      <c r="Q494" s="49"/>
      <c r="R494" s="49"/>
      <c r="S494" s="49"/>
      <c r="T494" s="49"/>
      <c r="U494" s="49"/>
      <c r="V494" s="49"/>
      <c r="W494" s="49"/>
      <c r="X494" s="49"/>
      <c r="Y494" s="49"/>
      <c r="Z494" s="49"/>
    </row>
    <row r="495">
      <c r="A495" s="49" t="str">
        <f>IFERROR(__xludf.DUMMYFUNCTION("""COMPUTED_VALUE"""),"Paladin of Gaia's Emerald Pendant")</f>
        <v>Paladin of Gaia's Emerald Pendant</v>
      </c>
      <c r="B495" s="49" t="str">
        <f>IFERROR(__xludf.DUMMYFUNCTION("""COMPUTED_VALUE"""),"Quest Item")</f>
        <v>Quest Item</v>
      </c>
      <c r="C495" s="49"/>
      <c r="D495" s="49" t="str">
        <f>IFERROR(__xludf.DUMMYFUNCTION("""COMPUTED_VALUE"""),"Neck")</f>
        <v>Neck</v>
      </c>
      <c r="E495" s="49">
        <f>IFERROR(__xludf.DUMMYFUNCTION("""COMPUTED_VALUE"""),1.0)</f>
        <v>1</v>
      </c>
      <c r="F495" s="49"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49">
        <f>IFERROR(__xludf.DUMMYFUNCTION("""COMPUTED_VALUE"""),0.0)</f>
        <v>0</v>
      </c>
      <c r="H495" s="49"/>
      <c r="I495" s="49"/>
      <c r="J495" s="49"/>
      <c r="K495" s="49"/>
      <c r="L495" s="49"/>
      <c r="M495" s="49"/>
      <c r="N495" s="49"/>
      <c r="O495" s="49"/>
      <c r="P495" s="49"/>
      <c r="Q495" s="49"/>
      <c r="R495" s="49"/>
      <c r="S495" s="49"/>
      <c r="T495" s="49"/>
      <c r="U495" s="49"/>
      <c r="V495" s="49"/>
      <c r="W495" s="49"/>
      <c r="X495" s="49"/>
      <c r="Y495" s="49"/>
      <c r="Z495" s="49"/>
    </row>
    <row r="496">
      <c r="A496" s="49" t="str">
        <f>IFERROR(__xludf.DUMMYFUNCTION("""COMPUTED_VALUE"""),"The Blacksmith's Forged Battleaxe ")</f>
        <v>The Blacksmith's Forged Battleaxe </v>
      </c>
      <c r="B496" s="49" t="str">
        <f>IFERROR(__xludf.DUMMYFUNCTION("""COMPUTED_VALUE"""),"Mob Exclusive")</f>
        <v>Mob Exclusive</v>
      </c>
      <c r="C496" s="49" t="str">
        <f>IFERROR(__xludf.DUMMYFUNCTION("""COMPUTED_VALUE"""),"Axe")</f>
        <v>Axe</v>
      </c>
      <c r="D496" s="49" t="str">
        <f>IFERROR(__xludf.DUMMYFUNCTION("""COMPUTED_VALUE"""),"Hand")</f>
        <v>Hand</v>
      </c>
      <c r="E496" s="49">
        <f>IFERROR(__xludf.DUMMYFUNCTION("""COMPUTED_VALUE"""),200.0)</f>
        <v>200</v>
      </c>
      <c r="F496" s="49"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49">
        <f>IFERROR(__xludf.DUMMYFUNCTION("""COMPUTED_VALUE"""),1.2475E9)</f>
        <v>1247500000</v>
      </c>
      <c r="H496" s="49"/>
      <c r="I496" s="49"/>
      <c r="J496" s="49"/>
      <c r="K496" s="49"/>
      <c r="L496" s="49"/>
      <c r="M496" s="49"/>
      <c r="N496" s="49"/>
      <c r="O496" s="49"/>
      <c r="P496" s="49"/>
      <c r="Q496" s="49"/>
      <c r="R496" s="49"/>
      <c r="S496" s="49"/>
      <c r="T496" s="49"/>
      <c r="U496" s="49"/>
      <c r="V496" s="49"/>
      <c r="W496" s="49"/>
      <c r="X496" s="49"/>
      <c r="Y496" s="49"/>
      <c r="Z496" s="49"/>
    </row>
    <row r="497">
      <c r="A497" s="49" t="str">
        <f>IFERROR(__xludf.DUMMYFUNCTION("""COMPUTED_VALUE"""),"The Blacksmith's Forged Sword")</f>
        <v>The Blacksmith's Forged Sword</v>
      </c>
      <c r="B497" s="49" t="str">
        <f>IFERROR(__xludf.DUMMYFUNCTION("""COMPUTED_VALUE"""),"Mob Exclusive")</f>
        <v>Mob Exclusive</v>
      </c>
      <c r="C497" s="49" t="str">
        <f>IFERROR(__xludf.DUMMYFUNCTION("""COMPUTED_VALUE"""),"Sword")</f>
        <v>Sword</v>
      </c>
      <c r="D497" s="49" t="str">
        <f>IFERROR(__xludf.DUMMYFUNCTION("""COMPUTED_VALUE"""),"Hand")</f>
        <v>Hand</v>
      </c>
      <c r="E497" s="49">
        <f>IFERROR(__xludf.DUMMYFUNCTION("""COMPUTED_VALUE"""),200.0)</f>
        <v>200</v>
      </c>
      <c r="F497" s="49"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49">
        <f>IFERROR(__xludf.DUMMYFUNCTION("""COMPUTED_VALUE"""),1.2475E9)</f>
        <v>1247500000</v>
      </c>
      <c r="H497" s="49"/>
      <c r="I497" s="49"/>
      <c r="J497" s="49"/>
      <c r="K497" s="49"/>
      <c r="L497" s="49"/>
      <c r="M497" s="49"/>
      <c r="N497" s="49"/>
      <c r="O497" s="49"/>
      <c r="P497" s="49"/>
      <c r="Q497" s="49"/>
      <c r="R497" s="49"/>
      <c r="S497" s="49"/>
      <c r="T497" s="49"/>
      <c r="U497" s="49"/>
      <c r="V497" s="49"/>
      <c r="W497" s="49"/>
      <c r="X497" s="49"/>
      <c r="Y497" s="49"/>
      <c r="Z497" s="49"/>
    </row>
    <row r="498">
      <c r="A498" s="49" t="str">
        <f>IFERROR(__xludf.DUMMYFUNCTION("""COMPUTED_VALUE"""),"The Blacksmith's Forged Helmet")</f>
        <v>The Blacksmith's Forged Helmet</v>
      </c>
      <c r="B498" s="49" t="str">
        <f>IFERROR(__xludf.DUMMYFUNCTION("""COMPUTED_VALUE"""),"Mob Exclusive")</f>
        <v>Mob Exclusive</v>
      </c>
      <c r="C498" s="49"/>
      <c r="D498" s="49" t="str">
        <f>IFERROR(__xludf.DUMMYFUNCTION("""COMPUTED_VALUE"""),"Head")</f>
        <v>Head</v>
      </c>
      <c r="E498" s="49">
        <f>IFERROR(__xludf.DUMMYFUNCTION("""COMPUTED_VALUE"""),4000.0)</f>
        <v>4000</v>
      </c>
      <c r="F498" s="49"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49">
        <f>IFERROR(__xludf.DUMMYFUNCTION("""COMPUTED_VALUE"""),7.98E8)</f>
        <v>798000000</v>
      </c>
      <c r="H498" s="49"/>
      <c r="I498" s="49"/>
      <c r="J498" s="49"/>
      <c r="K498" s="49"/>
      <c r="L498" s="49"/>
      <c r="M498" s="49"/>
      <c r="N498" s="49"/>
      <c r="O498" s="49"/>
      <c r="P498" s="49"/>
      <c r="Q498" s="49"/>
      <c r="R498" s="49"/>
      <c r="S498" s="49"/>
      <c r="T498" s="49"/>
      <c r="U498" s="49"/>
      <c r="V498" s="49"/>
      <c r="W498" s="49"/>
      <c r="X498" s="49"/>
      <c r="Y498" s="49"/>
      <c r="Z498" s="49"/>
    </row>
    <row r="499">
      <c r="A499" s="49" t="str">
        <f>IFERROR(__xludf.DUMMYFUNCTION("""COMPUTED_VALUE"""),"The Blacksmith's Forged Pauldrons")</f>
        <v>The Blacksmith's Forged Pauldrons</v>
      </c>
      <c r="B499" s="49" t="str">
        <f>IFERROR(__xludf.DUMMYFUNCTION("""COMPUTED_VALUE"""),"Mob Exclusive")</f>
        <v>Mob Exclusive</v>
      </c>
      <c r="C499" s="49"/>
      <c r="D499" s="49" t="str">
        <f>IFERROR(__xludf.DUMMYFUNCTION("""COMPUTED_VALUE"""),"Shoulders")</f>
        <v>Shoulders</v>
      </c>
      <c r="E499" s="49">
        <f>IFERROR(__xludf.DUMMYFUNCTION("""COMPUTED_VALUE"""),4000.0)</f>
        <v>4000</v>
      </c>
      <c r="F499" s="49"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49">
        <f>IFERROR(__xludf.DUMMYFUNCTION("""COMPUTED_VALUE"""),7.98E8)</f>
        <v>798000000</v>
      </c>
      <c r="H499" s="49"/>
      <c r="I499" s="49"/>
      <c r="J499" s="49"/>
      <c r="K499" s="49"/>
      <c r="L499" s="49"/>
      <c r="M499" s="49"/>
      <c r="N499" s="49"/>
      <c r="O499" s="49"/>
      <c r="P499" s="49"/>
      <c r="Q499" s="49"/>
      <c r="R499" s="49"/>
      <c r="S499" s="49"/>
      <c r="T499" s="49"/>
      <c r="U499" s="49"/>
      <c r="V499" s="49"/>
      <c r="W499" s="49"/>
      <c r="X499" s="49"/>
      <c r="Y499" s="49"/>
      <c r="Z499" s="49"/>
    </row>
    <row r="500">
      <c r="A500" s="49" t="str">
        <f>IFERROR(__xludf.DUMMYFUNCTION("""COMPUTED_VALUE"""),"The Blacksmith's Forged Vambraces")</f>
        <v>The Blacksmith's Forged Vambraces</v>
      </c>
      <c r="B500" s="49" t="str">
        <f>IFERROR(__xludf.DUMMYFUNCTION("""COMPUTED_VALUE"""),"Mob Exclusive")</f>
        <v>Mob Exclusive</v>
      </c>
      <c r="C500" s="49"/>
      <c r="D500" s="49" t="str">
        <f>IFERROR(__xludf.DUMMYFUNCTION("""COMPUTED_VALUE"""),"Arms")</f>
        <v>Arms</v>
      </c>
      <c r="E500" s="49">
        <f>IFERROR(__xludf.DUMMYFUNCTION("""COMPUTED_VALUE"""),4000.0)</f>
        <v>4000</v>
      </c>
      <c r="F500" s="49"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49">
        <f>IFERROR(__xludf.DUMMYFUNCTION("""COMPUTED_VALUE"""),7.98E8)</f>
        <v>798000000</v>
      </c>
      <c r="H500" s="49"/>
      <c r="I500" s="49"/>
      <c r="J500" s="49"/>
      <c r="K500" s="49"/>
      <c r="L500" s="49"/>
      <c r="M500" s="49"/>
      <c r="N500" s="49"/>
      <c r="O500" s="49"/>
      <c r="P500" s="49"/>
      <c r="Q500" s="49"/>
      <c r="R500" s="49"/>
      <c r="S500" s="49"/>
      <c r="T500" s="49"/>
      <c r="U500" s="49"/>
      <c r="V500" s="49"/>
      <c r="W500" s="49"/>
      <c r="X500" s="49"/>
      <c r="Y500" s="49"/>
      <c r="Z500" s="49"/>
    </row>
    <row r="501">
      <c r="A501" s="49" t="str">
        <f>IFERROR(__xludf.DUMMYFUNCTION("""COMPUTED_VALUE"""),"The Blacksmith's Forged Greaves")</f>
        <v>The Blacksmith's Forged Greaves</v>
      </c>
      <c r="B501" s="49" t="str">
        <f>IFERROR(__xludf.DUMMYFUNCTION("""COMPUTED_VALUE"""),"Mob Exclusive")</f>
        <v>Mob Exclusive</v>
      </c>
      <c r="C501" s="49"/>
      <c r="D501" s="49" t="str">
        <f>IFERROR(__xludf.DUMMYFUNCTION("""COMPUTED_VALUE"""),"Legs")</f>
        <v>Legs</v>
      </c>
      <c r="E501" s="49">
        <f>IFERROR(__xludf.DUMMYFUNCTION("""COMPUTED_VALUE"""),4000.0)</f>
        <v>4000</v>
      </c>
      <c r="F501" s="49"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49">
        <f>IFERROR(__xludf.DUMMYFUNCTION("""COMPUTED_VALUE"""),7.98E8)</f>
        <v>798000000</v>
      </c>
      <c r="H501" s="49"/>
      <c r="I501" s="49"/>
      <c r="J501" s="49"/>
      <c r="K501" s="49"/>
      <c r="L501" s="49"/>
      <c r="M501" s="49"/>
      <c r="N501" s="49"/>
      <c r="O501" s="49"/>
      <c r="P501" s="49"/>
      <c r="Q501" s="49"/>
      <c r="R501" s="49"/>
      <c r="S501" s="49"/>
      <c r="T501" s="49"/>
      <c r="U501" s="49"/>
      <c r="V501" s="49"/>
      <c r="W501" s="49"/>
      <c r="X501" s="49"/>
      <c r="Y501" s="49"/>
      <c r="Z501" s="49"/>
    </row>
    <row r="502">
      <c r="A502" s="49" t="str">
        <f>IFERROR(__xludf.DUMMYFUNCTION("""COMPUTED_VALUE"""),"The Blacksmith's Forged Sabatons")</f>
        <v>The Blacksmith's Forged Sabatons</v>
      </c>
      <c r="B502" s="49" t="str">
        <f>IFERROR(__xludf.DUMMYFUNCTION("""COMPUTED_VALUE"""),"Mob Exclusive")</f>
        <v>Mob Exclusive</v>
      </c>
      <c r="C502" s="49"/>
      <c r="D502" s="49" t="str">
        <f>IFERROR(__xludf.DUMMYFUNCTION("""COMPUTED_VALUE"""),"Feet")</f>
        <v>Feet</v>
      </c>
      <c r="E502" s="49">
        <f>IFERROR(__xludf.DUMMYFUNCTION("""COMPUTED_VALUE"""),4000.0)</f>
        <v>4000</v>
      </c>
      <c r="F502" s="49"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49">
        <f>IFERROR(__xludf.DUMMYFUNCTION("""COMPUTED_VALUE"""),7.98E8)</f>
        <v>798000000</v>
      </c>
      <c r="H502" s="49"/>
      <c r="I502" s="49"/>
      <c r="J502" s="49"/>
      <c r="K502" s="49"/>
      <c r="L502" s="49"/>
      <c r="M502" s="49"/>
      <c r="N502" s="49"/>
      <c r="O502" s="49"/>
      <c r="P502" s="49"/>
      <c r="Q502" s="49"/>
      <c r="R502" s="49"/>
      <c r="S502" s="49"/>
      <c r="T502" s="49"/>
      <c r="U502" s="49"/>
      <c r="V502" s="49"/>
      <c r="W502" s="49"/>
      <c r="X502" s="49"/>
      <c r="Y502" s="49"/>
      <c r="Z502" s="49"/>
    </row>
    <row r="503">
      <c r="A503" s="49" t="str">
        <f>IFERROR(__xludf.DUMMYFUNCTION("""COMPUTED_VALUE"""),"The Blacksmith's Forged Cuirasses")</f>
        <v>The Blacksmith's Forged Cuirasses</v>
      </c>
      <c r="B503" s="49" t="str">
        <f>IFERROR(__xludf.DUMMYFUNCTION("""COMPUTED_VALUE"""),"Mob Exclusive")</f>
        <v>Mob Exclusive</v>
      </c>
      <c r="C503" s="49"/>
      <c r="D503" s="49" t="str">
        <f>IFERROR(__xludf.DUMMYFUNCTION("""COMPUTED_VALUE"""),"Torso")</f>
        <v>Torso</v>
      </c>
      <c r="E503" s="49">
        <f>IFERROR(__xludf.DUMMYFUNCTION("""COMPUTED_VALUE"""),4000.0)</f>
        <v>4000</v>
      </c>
      <c r="F503" s="49"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49">
        <f>IFERROR(__xludf.DUMMYFUNCTION("""COMPUTED_VALUE"""),7.98E8)</f>
        <v>798000000</v>
      </c>
      <c r="H503" s="49"/>
      <c r="I503" s="49"/>
      <c r="J503" s="49"/>
      <c r="K503" s="49"/>
      <c r="L503" s="49"/>
      <c r="M503" s="49"/>
      <c r="N503" s="49"/>
      <c r="O503" s="49"/>
      <c r="P503" s="49"/>
      <c r="Q503" s="49"/>
      <c r="R503" s="49"/>
      <c r="S503" s="49"/>
      <c r="T503" s="49"/>
      <c r="U503" s="49"/>
      <c r="V503" s="49"/>
      <c r="W503" s="49"/>
      <c r="X503" s="49"/>
      <c r="Y503" s="49"/>
      <c r="Z503" s="49"/>
    </row>
    <row r="504">
      <c r="A504" s="49" t="str">
        <f>IFERROR(__xludf.DUMMYFUNCTION("""COMPUTED_VALUE"""),"The Blacksmith's Forged Ring")</f>
        <v>The Blacksmith's Forged Ring</v>
      </c>
      <c r="B504" s="49" t="str">
        <f>IFERROR(__xludf.DUMMYFUNCTION("""COMPUTED_VALUE"""),"Mob Exclusive")</f>
        <v>Mob Exclusive</v>
      </c>
      <c r="C504" s="49"/>
      <c r="D504" s="49" t="str">
        <f>IFERROR(__xludf.DUMMYFUNCTION("""COMPUTED_VALUE"""),"Ring")</f>
        <v>Ring</v>
      </c>
      <c r="E504" s="49">
        <f>IFERROR(__xludf.DUMMYFUNCTION("""COMPUTED_VALUE"""),1.0)</f>
        <v>1</v>
      </c>
      <c r="F504" s="49"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49">
        <f>IFERROR(__xludf.DUMMYFUNCTION("""COMPUTED_VALUE"""),0.0)</f>
        <v>0</v>
      </c>
      <c r="H504" s="49"/>
      <c r="I504" s="49"/>
      <c r="J504" s="49"/>
      <c r="K504" s="49"/>
      <c r="L504" s="49"/>
      <c r="M504" s="49"/>
      <c r="N504" s="49"/>
      <c r="O504" s="49"/>
      <c r="P504" s="49"/>
      <c r="Q504" s="49"/>
      <c r="R504" s="49"/>
      <c r="S504" s="49"/>
      <c r="T504" s="49"/>
      <c r="U504" s="49"/>
      <c r="V504" s="49"/>
      <c r="W504" s="49"/>
      <c r="X504" s="49"/>
      <c r="Y504" s="49"/>
      <c r="Z504" s="49"/>
    </row>
    <row r="505">
      <c r="A505" s="49" t="str">
        <f>IFERROR(__xludf.DUMMYFUNCTION("""COMPUTED_VALUE"""),"The Blacksmith's Forged Pendant")</f>
        <v>The Blacksmith's Forged Pendant</v>
      </c>
      <c r="B505" s="49" t="str">
        <f>IFERROR(__xludf.DUMMYFUNCTION("""COMPUTED_VALUE"""),"Mob Exclusive")</f>
        <v>Mob Exclusive</v>
      </c>
      <c r="C505" s="49"/>
      <c r="D505" s="49" t="str">
        <f>IFERROR(__xludf.DUMMYFUNCTION("""COMPUTED_VALUE"""),"Neck")</f>
        <v>Neck</v>
      </c>
      <c r="E505" s="49">
        <f>IFERROR(__xludf.DUMMYFUNCTION("""COMPUTED_VALUE"""),1.0)</f>
        <v>1</v>
      </c>
      <c r="F505" s="49"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49">
        <f>IFERROR(__xludf.DUMMYFUNCTION("""COMPUTED_VALUE"""),0.0)</f>
        <v>0</v>
      </c>
      <c r="H505" s="49"/>
      <c r="I505" s="49"/>
      <c r="J505" s="49"/>
      <c r="K505" s="49"/>
      <c r="L505" s="49"/>
      <c r="M505" s="49"/>
      <c r="N505" s="49"/>
      <c r="O505" s="49"/>
      <c r="P505" s="49"/>
      <c r="Q505" s="49"/>
      <c r="R505" s="49"/>
      <c r="S505" s="49"/>
      <c r="T505" s="49"/>
      <c r="U505" s="49"/>
      <c r="V505" s="49"/>
      <c r="W505" s="49"/>
      <c r="X505" s="49"/>
      <c r="Y505" s="49"/>
      <c r="Z505" s="49"/>
    </row>
    <row r="506">
      <c r="A506" s="49" t="str">
        <f>IFERROR(__xludf.DUMMYFUNCTION("""COMPUTED_VALUE"""),"The Blacksmith's Ring of Green Hatred")</f>
        <v>The Blacksmith's Ring of Green Hatred</v>
      </c>
      <c r="B506" s="49" t="str">
        <f>IFERROR(__xludf.DUMMYFUNCTION("""COMPUTED_VALUE"""),"Mob Exclusive")</f>
        <v>Mob Exclusive</v>
      </c>
      <c r="C506" s="49"/>
      <c r="D506" s="49" t="str">
        <f>IFERROR(__xludf.DUMMYFUNCTION("""COMPUTED_VALUE"""),"Ring")</f>
        <v>Ring</v>
      </c>
      <c r="E506" s="49">
        <f>IFERROR(__xludf.DUMMYFUNCTION("""COMPUTED_VALUE"""),1.0)</f>
        <v>1</v>
      </c>
      <c r="F506" s="49" t="str">
        <f>IFERROR(__xludf.DUMMYFUNCTION("""COMPUTED_VALUE""")," (Hephaestus' Set) ++All attacks deal X10 damage against any enemies with the starting town of Forest View.")</f>
        <v> (Hephaestus' Set) ++All attacks deal X10 damage against any enemies with the starting town of Forest View.</v>
      </c>
      <c r="G506" s="49">
        <f>IFERROR(__xludf.DUMMYFUNCTION("""COMPUTED_VALUE"""),0.0)</f>
        <v>0</v>
      </c>
      <c r="H506" s="49"/>
      <c r="I506" s="49"/>
      <c r="J506" s="49"/>
      <c r="K506" s="49"/>
      <c r="L506" s="49"/>
      <c r="M506" s="49"/>
      <c r="N506" s="49"/>
      <c r="O506" s="49"/>
      <c r="P506" s="49"/>
      <c r="Q506" s="49"/>
      <c r="R506" s="49"/>
      <c r="S506" s="49"/>
      <c r="T506" s="49"/>
      <c r="U506" s="49"/>
      <c r="V506" s="49"/>
      <c r="W506" s="49"/>
      <c r="X506" s="49"/>
      <c r="Y506" s="49"/>
      <c r="Z506" s="49"/>
    </row>
    <row r="507">
      <c r="A507" s="49" t="str">
        <f>IFERROR(__xludf.DUMMYFUNCTION("""COMPUTED_VALUE"""),"Ring o' Strength and Fire")</f>
        <v>Ring o' Strength and Fire</v>
      </c>
      <c r="B507" s="49"/>
      <c r="C507" s="49"/>
      <c r="D507" s="49" t="str">
        <f>IFERROR(__xludf.DUMMYFUNCTION("""COMPUTED_VALUE"""),"Ring")</f>
        <v>Ring</v>
      </c>
      <c r="E507" s="49">
        <f>IFERROR(__xludf.DUMMYFUNCTION("""COMPUTED_VALUE"""),1.0)</f>
        <v>1</v>
      </c>
      <c r="F507" s="49" t="str">
        <f>IFERROR(__xludf.DUMMYFUNCTION("""COMPUTED_VALUE""")," ++Grants immunity to fire. ++Grants X2 damage. +-Can only equip one +-Cannot be duplicated")</f>
        <v> ++Grants immunity to fire. ++Grants X2 damage. +-Can only equip one +-Cannot be duplicated</v>
      </c>
      <c r="G507" s="49">
        <f>IFERROR(__xludf.DUMMYFUNCTION("""COMPUTED_VALUE"""),0.0)</f>
        <v>0</v>
      </c>
      <c r="H507" s="49"/>
      <c r="I507" s="49"/>
      <c r="J507" s="49"/>
      <c r="K507" s="49"/>
      <c r="L507" s="49"/>
      <c r="M507" s="49"/>
      <c r="N507" s="49"/>
      <c r="O507" s="49"/>
      <c r="P507" s="49"/>
      <c r="Q507" s="49"/>
      <c r="R507" s="49"/>
      <c r="S507" s="49"/>
      <c r="T507" s="49"/>
      <c r="U507" s="49"/>
      <c r="V507" s="49"/>
      <c r="W507" s="49"/>
      <c r="X507" s="49"/>
      <c r="Y507" s="49"/>
      <c r="Z507" s="49"/>
    </row>
    <row r="508">
      <c r="A508" s="49" t="str">
        <f>IFERROR(__xludf.DUMMYFUNCTION("""COMPUTED_VALUE"""),"Ring o' Fortitude and Earth")</f>
        <v>Ring o' Fortitude and Earth</v>
      </c>
      <c r="B508" s="49"/>
      <c r="C508" s="49"/>
      <c r="D508" s="49" t="str">
        <f>IFERROR(__xludf.DUMMYFUNCTION("""COMPUTED_VALUE"""),"Ring")</f>
        <v>Ring</v>
      </c>
      <c r="E508" s="49">
        <f>IFERROR(__xludf.DUMMYFUNCTION("""COMPUTED_VALUE"""),1.0)</f>
        <v>1</v>
      </c>
      <c r="F508" s="49" t="str">
        <f>IFERROR(__xludf.DUMMYFUNCTION("""COMPUTED_VALUE""")," ++Grants immunity to Earth. ++Grants X2 Defense. +-Can only equip one +-Cannot be duplicated")</f>
        <v> ++Grants immunity to Earth. ++Grants X2 Defense. +-Can only equip one +-Cannot be duplicated</v>
      </c>
      <c r="G508" s="49">
        <f>IFERROR(__xludf.DUMMYFUNCTION("""COMPUTED_VALUE"""),0.0)</f>
        <v>0</v>
      </c>
      <c r="H508" s="49"/>
      <c r="I508" s="49"/>
      <c r="J508" s="49"/>
      <c r="K508" s="49"/>
      <c r="L508" s="49"/>
      <c r="M508" s="49"/>
      <c r="N508" s="49"/>
      <c r="O508" s="49"/>
      <c r="P508" s="49"/>
      <c r="Q508" s="49"/>
      <c r="R508" s="49"/>
      <c r="S508" s="49"/>
      <c r="T508" s="49"/>
      <c r="U508" s="49"/>
      <c r="V508" s="49"/>
      <c r="W508" s="49"/>
      <c r="X508" s="49"/>
      <c r="Y508" s="49"/>
      <c r="Z508" s="49"/>
    </row>
    <row r="509">
      <c r="A509" s="49" t="str">
        <f>IFERROR(__xludf.DUMMYFUNCTION("""COMPUTED_VALUE"""),"Ring o' Agility and Water")</f>
        <v>Ring o' Agility and Water</v>
      </c>
      <c r="B509" s="49"/>
      <c r="C509" s="49"/>
      <c r="D509" s="49" t="str">
        <f>IFERROR(__xludf.DUMMYFUNCTION("""COMPUTED_VALUE"""),"Ring")</f>
        <v>Ring</v>
      </c>
      <c r="E509" s="49">
        <f>IFERROR(__xludf.DUMMYFUNCTION("""COMPUTED_VALUE"""),1.0)</f>
        <v>1</v>
      </c>
      <c r="F509" s="49" t="str">
        <f>IFERROR(__xludf.DUMMYFUNCTION("""COMPUTED_VALUE""")," ++Grants Immunity to Water. ++Grants +5 to evasion. +-Can only equip one +-Cannot be duplicated")</f>
        <v> ++Grants Immunity to Water. ++Grants +5 to evasion. +-Can only equip one +-Cannot be duplicated</v>
      </c>
      <c r="G509" s="49">
        <f>IFERROR(__xludf.DUMMYFUNCTION("""COMPUTED_VALUE"""),0.0)</f>
        <v>0</v>
      </c>
      <c r="H509" s="49"/>
      <c r="I509" s="49"/>
      <c r="J509" s="49"/>
      <c r="K509" s="49"/>
      <c r="L509" s="49"/>
      <c r="M509" s="49"/>
      <c r="N509" s="49"/>
      <c r="O509" s="49"/>
      <c r="P509" s="49"/>
      <c r="Q509" s="49"/>
      <c r="R509" s="49"/>
      <c r="S509" s="49"/>
      <c r="T509" s="49"/>
      <c r="U509" s="49"/>
      <c r="V509" s="49"/>
      <c r="W509" s="49"/>
      <c r="X509" s="49"/>
      <c r="Y509" s="49"/>
      <c r="Z509" s="49"/>
    </row>
    <row r="510">
      <c r="A510" s="49" t="str">
        <f>IFERROR(__xludf.DUMMYFUNCTION("""COMPUTED_VALUE"""),"Ring o' Power and Delta")</f>
        <v>Ring o' Power and Delta</v>
      </c>
      <c r="B510" s="49"/>
      <c r="C510" s="49"/>
      <c r="D510" s="49" t="str">
        <f>IFERROR(__xludf.DUMMYFUNCTION("""COMPUTED_VALUE"""),"Ring")</f>
        <v>Ring</v>
      </c>
      <c r="E510" s="49">
        <f>IFERROR(__xludf.DUMMYFUNCTION("""COMPUTED_VALUE"""),1.0)</f>
        <v>1</v>
      </c>
      <c r="F510" s="49" t="str">
        <f>IFERROR(__xludf.DUMMYFUNCTION("""COMPUTED_VALUE""")," ++Grants X4 Delta damage. ++Take Half delta damage. +-Can only equip one +-Cannot be duplicated")</f>
        <v> ++Grants X4 Delta damage. ++Take Half delta damage. +-Can only equip one +-Cannot be duplicated</v>
      </c>
      <c r="G510" s="49">
        <f>IFERROR(__xludf.DUMMYFUNCTION("""COMPUTED_VALUE"""),0.0)</f>
        <v>0</v>
      </c>
      <c r="H510" s="49"/>
      <c r="I510" s="49"/>
      <c r="J510" s="49"/>
      <c r="K510" s="49"/>
      <c r="L510" s="49"/>
      <c r="M510" s="49"/>
      <c r="N510" s="49"/>
      <c r="O510" s="49"/>
      <c r="P510" s="49"/>
      <c r="Q510" s="49"/>
      <c r="R510" s="49"/>
      <c r="S510" s="49"/>
      <c r="T510" s="49"/>
      <c r="U510" s="49"/>
      <c r="V510" s="49"/>
      <c r="W510" s="49"/>
      <c r="X510" s="49"/>
      <c r="Y510" s="49"/>
      <c r="Z510" s="49"/>
    </row>
    <row r="511">
      <c r="A511" s="49" t="str">
        <f>IFERROR(__xludf.DUMMYFUNCTION("""COMPUTED_VALUE"""),"Ring o' Courage and Order")</f>
        <v>Ring o' Courage and Order</v>
      </c>
      <c r="B511" s="49"/>
      <c r="C511" s="49"/>
      <c r="D511" s="49" t="str">
        <f>IFERROR(__xludf.DUMMYFUNCTION("""COMPUTED_VALUE"""),"Ring")</f>
        <v>Ring</v>
      </c>
      <c r="E511" s="49">
        <f>IFERROR(__xludf.DUMMYFUNCTION("""COMPUTED_VALUE"""),1.0)</f>
        <v>1</v>
      </c>
      <c r="F511" s="49" t="str">
        <f>IFERROR(__xludf.DUMMYFUNCTION("""COMPUTED_VALUE""")," ++Grants Immunity to Order. ++Enemies halve their rolls when fleeing. +-Can only equip one +-Cannot be duplicated")</f>
        <v> ++Grants Immunity to Order. ++Enemies halve their rolls when fleeing. +-Can only equip one +-Cannot be duplicated</v>
      </c>
      <c r="G511" s="49">
        <f>IFERROR(__xludf.DUMMYFUNCTION("""COMPUTED_VALUE"""),0.0)</f>
        <v>0</v>
      </c>
      <c r="H511" s="49"/>
      <c r="I511" s="49"/>
      <c r="J511" s="49"/>
      <c r="K511" s="49"/>
      <c r="L511" s="49"/>
      <c r="M511" s="49"/>
      <c r="N511" s="49"/>
      <c r="O511" s="49"/>
      <c r="P511" s="49"/>
      <c r="Q511" s="49"/>
      <c r="R511" s="49"/>
      <c r="S511" s="49"/>
      <c r="T511" s="49"/>
      <c r="U511" s="49"/>
      <c r="V511" s="49"/>
      <c r="W511" s="49"/>
      <c r="X511" s="49"/>
      <c r="Y511" s="49"/>
      <c r="Z511" s="49"/>
    </row>
    <row r="512">
      <c r="A512" s="49" t="str">
        <f>IFERROR(__xludf.DUMMYFUNCTION("""COMPUTED_VALUE"""),"Ring o' Resilience and Physicality")</f>
        <v>Ring o' Resilience and Physicality</v>
      </c>
      <c r="B512" s="49"/>
      <c r="C512" s="49"/>
      <c r="D512" s="49" t="str">
        <f>IFERROR(__xludf.DUMMYFUNCTION("""COMPUTED_VALUE"""),"Ring")</f>
        <v>Ring</v>
      </c>
      <c r="E512" s="49">
        <f>IFERROR(__xludf.DUMMYFUNCTION("""COMPUTED_VALUE"""),1.0)</f>
        <v>1</v>
      </c>
      <c r="F512" s="49" t="str">
        <f>IFERROR(__xludf.DUMMYFUNCTION("""COMPUTED_VALUE""")," ++Grants Immunity to Natural attacks. ++Grants +5 Mobility. +-Can only equip one +-Cannot be duplicated")</f>
        <v> ++Grants Immunity to Natural attacks. ++Grants +5 Mobility. +-Can only equip one +-Cannot be duplicated</v>
      </c>
      <c r="G512" s="49">
        <f>IFERROR(__xludf.DUMMYFUNCTION("""COMPUTED_VALUE"""),0.0)</f>
        <v>0</v>
      </c>
      <c r="H512" s="49"/>
      <c r="I512" s="49"/>
      <c r="J512" s="49"/>
      <c r="K512" s="49"/>
      <c r="L512" s="49"/>
      <c r="M512" s="49"/>
      <c r="N512" s="49"/>
      <c r="O512" s="49"/>
      <c r="P512" s="49"/>
      <c r="Q512" s="49"/>
      <c r="R512" s="49"/>
      <c r="S512" s="49"/>
      <c r="T512" s="49"/>
      <c r="U512" s="49"/>
      <c r="V512" s="49"/>
      <c r="W512" s="49"/>
      <c r="X512" s="49"/>
      <c r="Y512" s="49"/>
      <c r="Z512" s="49"/>
    </row>
    <row r="513">
      <c r="A513" s="49" t="str">
        <f>IFERROR(__xludf.DUMMYFUNCTION("""COMPUTED_VALUE"""),"Ring o' Insanity and Chaos")</f>
        <v>Ring o' Insanity and Chaos</v>
      </c>
      <c r="B513" s="49"/>
      <c r="C513" s="49"/>
      <c r="D513" s="49" t="str">
        <f>IFERROR(__xludf.DUMMYFUNCTION("""COMPUTED_VALUE"""),"Ring")</f>
        <v>Ring</v>
      </c>
      <c r="E513" s="49">
        <f>IFERROR(__xludf.DUMMYFUNCTION("""COMPUTED_VALUE"""),1.0)</f>
        <v>1</v>
      </c>
      <c r="F513" s="49" t="str">
        <f>IFERROR(__xludf.DUMMYFUNCTION("""COMPUTED_VALUE""")," ++Grants Immunity to Chaos. +5 to Intimidation. +-Can only equip one +-Cannot be duplicated")</f>
        <v> ++Grants Immunity to Chaos. +5 to Intimidation. +-Can only equip one +-Cannot be duplicated</v>
      </c>
      <c r="G513" s="49">
        <f>IFERROR(__xludf.DUMMYFUNCTION("""COMPUTED_VALUE"""),0.0)</f>
        <v>0</v>
      </c>
      <c r="H513" s="49"/>
      <c r="I513" s="49"/>
      <c r="J513" s="49"/>
      <c r="K513" s="49"/>
      <c r="L513" s="49"/>
      <c r="M513" s="49"/>
      <c r="N513" s="49"/>
      <c r="O513" s="49"/>
      <c r="P513" s="49"/>
      <c r="Q513" s="49"/>
      <c r="R513" s="49"/>
      <c r="S513" s="49"/>
      <c r="T513" s="49"/>
      <c r="U513" s="49"/>
      <c r="V513" s="49"/>
      <c r="W513" s="49"/>
      <c r="X513" s="49"/>
      <c r="Y513" s="49"/>
      <c r="Z513" s="49"/>
    </row>
    <row r="514">
      <c r="A514" s="49" t="str">
        <f>IFERROR(__xludf.DUMMYFUNCTION("""COMPUTED_VALUE"""),"Ring o' Debonair and Light")</f>
        <v>Ring o' Debonair and Light</v>
      </c>
      <c r="B514" s="49"/>
      <c r="C514" s="49"/>
      <c r="D514" s="49" t="str">
        <f>IFERROR(__xludf.DUMMYFUNCTION("""COMPUTED_VALUE"""),"Ring")</f>
        <v>Ring</v>
      </c>
      <c r="E514" s="49">
        <f>IFERROR(__xludf.DUMMYFUNCTION("""COMPUTED_VALUE"""),1.0)</f>
        <v>1</v>
      </c>
      <c r="F514" s="49" t="str">
        <f>IFERROR(__xludf.DUMMYFUNCTION("""COMPUTED_VALUE""")," ++Grants Immunity to Light. +5 to Charisma. +-Can only equip one +-Cannot be duplicated")</f>
        <v> ++Grants Immunity to Light. +5 to Charisma. +-Can only equip one +-Cannot be duplicated</v>
      </c>
      <c r="G514" s="49">
        <f>IFERROR(__xludf.DUMMYFUNCTION("""COMPUTED_VALUE"""),0.0)</f>
        <v>0</v>
      </c>
      <c r="H514" s="49"/>
      <c r="I514" s="49"/>
      <c r="J514" s="49"/>
      <c r="K514" s="49"/>
      <c r="L514" s="49"/>
      <c r="M514" s="49"/>
      <c r="N514" s="49"/>
      <c r="O514" s="49"/>
      <c r="P514" s="49"/>
      <c r="Q514" s="49"/>
      <c r="R514" s="49"/>
      <c r="S514" s="49"/>
      <c r="T514" s="49"/>
      <c r="U514" s="49"/>
      <c r="V514" s="49"/>
      <c r="W514" s="49"/>
      <c r="X514" s="49"/>
      <c r="Y514" s="49"/>
      <c r="Z514" s="49"/>
    </row>
    <row r="515">
      <c r="A515" s="49" t="str">
        <f>IFERROR(__xludf.DUMMYFUNCTION("""COMPUTED_VALUE"""),"Ring o' Spite and Blood")</f>
        <v>Ring o' Spite and Blood</v>
      </c>
      <c r="B515" s="49"/>
      <c r="C515" s="49"/>
      <c r="D515" s="49" t="str">
        <f>IFERROR(__xludf.DUMMYFUNCTION("""COMPUTED_VALUE"""),"Ring")</f>
        <v>Ring</v>
      </c>
      <c r="E515" s="49">
        <f>IFERROR(__xludf.DUMMYFUNCTION("""COMPUTED_VALUE"""),1.0)</f>
        <v>1</v>
      </c>
      <c r="F515" s="49"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49">
        <f>IFERROR(__xludf.DUMMYFUNCTION("""COMPUTED_VALUE"""),0.0)</f>
        <v>0</v>
      </c>
      <c r="H515" s="49"/>
      <c r="I515" s="49"/>
      <c r="J515" s="49"/>
      <c r="K515" s="49"/>
      <c r="L515" s="49"/>
      <c r="M515" s="49"/>
      <c r="N515" s="49"/>
      <c r="O515" s="49"/>
      <c r="P515" s="49"/>
      <c r="Q515" s="49"/>
      <c r="R515" s="49"/>
      <c r="S515" s="49"/>
      <c r="T515" s="49"/>
      <c r="U515" s="49"/>
      <c r="V515" s="49"/>
      <c r="W515" s="49"/>
      <c r="X515" s="49"/>
      <c r="Y515" s="49"/>
      <c r="Z515" s="49"/>
    </row>
    <row r="516">
      <c r="A516" s="49" t="str">
        <f>IFERROR(__xludf.DUMMYFUNCTION("""COMPUTED_VALUE"""),"Ring o' Neurodivergence and Spirit")</f>
        <v>Ring o' Neurodivergence and Spirit</v>
      </c>
      <c r="B516" s="49"/>
      <c r="C516" s="49"/>
      <c r="D516" s="49" t="str">
        <f>IFERROR(__xludf.DUMMYFUNCTION("""COMPUTED_VALUE"""),"Ring")</f>
        <v>Ring</v>
      </c>
      <c r="E516" s="49">
        <f>IFERROR(__xludf.DUMMYFUNCTION("""COMPUTED_VALUE"""),1.0)</f>
        <v>1</v>
      </c>
      <c r="F516" s="49"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49">
        <f>IFERROR(__xludf.DUMMYFUNCTION("""COMPUTED_VALUE"""),0.0)</f>
        <v>0</v>
      </c>
      <c r="H516" s="49"/>
      <c r="I516" s="49"/>
      <c r="J516" s="49"/>
      <c r="K516" s="49"/>
      <c r="L516" s="49"/>
      <c r="M516" s="49"/>
      <c r="N516" s="49"/>
      <c r="O516" s="49"/>
      <c r="P516" s="49"/>
      <c r="Q516" s="49"/>
      <c r="R516" s="49"/>
      <c r="S516" s="49"/>
      <c r="T516" s="49"/>
      <c r="U516" s="49"/>
      <c r="V516" s="49"/>
      <c r="W516" s="49"/>
      <c r="X516" s="49"/>
      <c r="Y516" s="49"/>
      <c r="Z516" s="49"/>
    </row>
    <row r="517">
      <c r="A517" s="49" t="str">
        <f>IFERROR(__xludf.DUMMYFUNCTION("""COMPUTED_VALUE"""),"Ring o' Impassivity and Storm")</f>
        <v>Ring o' Impassivity and Storm</v>
      </c>
      <c r="B517" s="49"/>
      <c r="C517" s="49"/>
      <c r="D517" s="49" t="str">
        <f>IFERROR(__xludf.DUMMYFUNCTION("""COMPUTED_VALUE"""),"Ring")</f>
        <v>Ring</v>
      </c>
      <c r="E517" s="49">
        <f>IFERROR(__xludf.DUMMYFUNCTION("""COMPUTED_VALUE"""),1.0)</f>
        <v>1</v>
      </c>
      <c r="F517" s="49"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49">
        <f>IFERROR(__xludf.DUMMYFUNCTION("""COMPUTED_VALUE"""),0.0)</f>
        <v>0</v>
      </c>
      <c r="H517" s="49"/>
      <c r="I517" s="49"/>
      <c r="J517" s="49"/>
      <c r="K517" s="49"/>
      <c r="L517" s="49"/>
      <c r="M517" s="49"/>
      <c r="N517" s="49"/>
      <c r="O517" s="49"/>
      <c r="P517" s="49"/>
      <c r="Q517" s="49"/>
      <c r="R517" s="49"/>
      <c r="S517" s="49"/>
      <c r="T517" s="49"/>
      <c r="U517" s="49"/>
      <c r="V517" s="49"/>
      <c r="W517" s="49"/>
      <c r="X517" s="49"/>
      <c r="Y517" s="49"/>
      <c r="Z517" s="49"/>
    </row>
    <row r="518">
      <c r="A518" s="49" t="str">
        <f>IFERROR(__xludf.DUMMYFUNCTION("""COMPUTED_VALUE"""),"Ring o' Rigidity and Stasis")</f>
        <v>Ring o' Rigidity and Stasis</v>
      </c>
      <c r="B518" s="49"/>
      <c r="C518" s="49"/>
      <c r="D518" s="49" t="str">
        <f>IFERROR(__xludf.DUMMYFUNCTION("""COMPUTED_VALUE"""),"Ring")</f>
        <v>Ring</v>
      </c>
      <c r="E518" s="49">
        <f>IFERROR(__xludf.DUMMYFUNCTION("""COMPUTED_VALUE"""),1.0)</f>
        <v>1</v>
      </c>
      <c r="F518" s="49"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49">
        <f>IFERROR(__xludf.DUMMYFUNCTION("""COMPUTED_VALUE"""),0.0)</f>
        <v>0</v>
      </c>
      <c r="H518" s="49"/>
      <c r="I518" s="49"/>
      <c r="J518" s="49"/>
      <c r="K518" s="49"/>
      <c r="L518" s="49"/>
      <c r="M518" s="49"/>
      <c r="N518" s="49"/>
      <c r="O518" s="49"/>
      <c r="P518" s="49"/>
      <c r="Q518" s="49"/>
      <c r="R518" s="49"/>
      <c r="S518" s="49"/>
      <c r="T518" s="49"/>
      <c r="U518" s="49"/>
      <c r="V518" s="49"/>
      <c r="W518" s="49"/>
      <c r="X518" s="49"/>
      <c r="Y518" s="49"/>
      <c r="Z518" s="49"/>
    </row>
    <row r="519">
      <c r="A519" s="49" t="str">
        <f>IFERROR(__xludf.DUMMYFUNCTION("""COMPUTED_VALUE"""),"Ring o' Loyalty and Celestial")</f>
        <v>Ring o' Loyalty and Celestial</v>
      </c>
      <c r="B519" s="49"/>
      <c r="C519" s="49"/>
      <c r="D519" s="49" t="str">
        <f>IFERROR(__xludf.DUMMYFUNCTION("""COMPUTED_VALUE"""),"Ring")</f>
        <v>Ring</v>
      </c>
      <c r="E519" s="49">
        <f>IFERROR(__xludf.DUMMYFUNCTION("""COMPUTED_VALUE"""),1.0)</f>
        <v>1</v>
      </c>
      <c r="F519" s="49" t="str">
        <f>IFERROR(__xludf.DUMMYFUNCTION("""COMPUTED_VALUE""")," ++Grants X6 Celestial damage. Take half damage from celestial. +-Can only equip one +-Cannot be duplicated")</f>
        <v> ++Grants X6 Celestial damage. Take half damage from celestial. +-Can only equip one +-Cannot be duplicated</v>
      </c>
      <c r="G519" s="49">
        <f>IFERROR(__xludf.DUMMYFUNCTION("""COMPUTED_VALUE"""),0.0)</f>
        <v>0</v>
      </c>
      <c r="H519" s="49"/>
      <c r="I519" s="49"/>
      <c r="J519" s="49"/>
      <c r="K519" s="49"/>
      <c r="L519" s="49"/>
      <c r="M519" s="49"/>
      <c r="N519" s="49"/>
      <c r="O519" s="49"/>
      <c r="P519" s="49"/>
      <c r="Q519" s="49"/>
      <c r="R519" s="49"/>
      <c r="S519" s="49"/>
      <c r="T519" s="49"/>
      <c r="U519" s="49"/>
      <c r="V519" s="49"/>
      <c r="W519" s="49"/>
      <c r="X519" s="49"/>
      <c r="Y519" s="49"/>
      <c r="Z519" s="49"/>
    </row>
    <row r="520">
      <c r="A520" s="49" t="str">
        <f>IFERROR(__xludf.DUMMYFUNCTION("""COMPUTED_VALUE"""),"Ring o' Arrogance and Twilight")</f>
        <v>Ring o' Arrogance and Twilight</v>
      </c>
      <c r="B520" s="49"/>
      <c r="C520" s="49"/>
      <c r="D520" s="49" t="str">
        <f>IFERROR(__xludf.DUMMYFUNCTION("""COMPUTED_VALUE"""),"Ring")</f>
        <v>Ring</v>
      </c>
      <c r="E520" s="49">
        <f>IFERROR(__xludf.DUMMYFUNCTION("""COMPUTED_VALUE"""),1.0)</f>
        <v>1</v>
      </c>
      <c r="F520" s="49"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49">
        <f>IFERROR(__xludf.DUMMYFUNCTION("""COMPUTED_VALUE"""),0.0)</f>
        <v>0</v>
      </c>
      <c r="H520" s="49"/>
      <c r="I520" s="49"/>
      <c r="J520" s="49"/>
      <c r="K520" s="49"/>
      <c r="L520" s="49"/>
      <c r="M520" s="49"/>
      <c r="N520" s="49"/>
      <c r="O520" s="49"/>
      <c r="P520" s="49"/>
      <c r="Q520" s="49"/>
      <c r="R520" s="49"/>
      <c r="S520" s="49"/>
      <c r="T520" s="49"/>
      <c r="U520" s="49"/>
      <c r="V520" s="49"/>
      <c r="W520" s="49"/>
      <c r="X520" s="49"/>
      <c r="Y520" s="49"/>
      <c r="Z520" s="49"/>
    </row>
    <row r="521">
      <c r="A521" s="49" t="str">
        <f>IFERROR(__xludf.DUMMYFUNCTION("""COMPUTED_VALUE"""),"Ring o' Grace and Astral")</f>
        <v>Ring o' Grace and Astral</v>
      </c>
      <c r="B521" s="49"/>
      <c r="C521" s="49"/>
      <c r="D521" s="49" t="str">
        <f>IFERROR(__xludf.DUMMYFUNCTION("""COMPUTED_VALUE"""),"Ring")</f>
        <v>Ring</v>
      </c>
      <c r="E521" s="49">
        <f>IFERROR(__xludf.DUMMYFUNCTION("""COMPUTED_VALUE"""),1.0)</f>
        <v>1</v>
      </c>
      <c r="F521" s="49"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49">
        <f>IFERROR(__xludf.DUMMYFUNCTION("""COMPUTED_VALUE"""),0.0)</f>
        <v>0</v>
      </c>
      <c r="H521" s="49"/>
      <c r="I521" s="49"/>
      <c r="J521" s="49"/>
      <c r="K521" s="49"/>
      <c r="L521" s="49"/>
      <c r="M521" s="49"/>
      <c r="N521" s="49"/>
      <c r="O521" s="49"/>
      <c r="P521" s="49"/>
      <c r="Q521" s="49"/>
      <c r="R521" s="49"/>
      <c r="S521" s="49"/>
      <c r="T521" s="49"/>
      <c r="U521" s="49"/>
      <c r="V521" s="49"/>
      <c r="W521" s="49"/>
      <c r="X521" s="49"/>
      <c r="Y521" s="49"/>
      <c r="Z521" s="49"/>
    </row>
    <row r="522">
      <c r="A522" s="49" t="str">
        <f>IFERROR(__xludf.DUMMYFUNCTION("""COMPUTED_VALUE"""),"Ring o' Villainy and Voodoo")</f>
        <v>Ring o' Villainy and Voodoo</v>
      </c>
      <c r="B522" s="49"/>
      <c r="C522" s="49"/>
      <c r="D522" s="49" t="str">
        <f>IFERROR(__xludf.DUMMYFUNCTION("""COMPUTED_VALUE"""),"Ring")</f>
        <v>Ring</v>
      </c>
      <c r="E522" s="49">
        <f>IFERROR(__xludf.DUMMYFUNCTION("""COMPUTED_VALUE"""),1.0)</f>
        <v>1</v>
      </c>
      <c r="F522" s="49"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49">
        <f>IFERROR(__xludf.DUMMYFUNCTION("""COMPUTED_VALUE"""),0.0)</f>
        <v>0</v>
      </c>
      <c r="H522" s="49"/>
      <c r="I522" s="49"/>
      <c r="J522" s="49"/>
      <c r="K522" s="49"/>
      <c r="L522" s="49"/>
      <c r="M522" s="49"/>
      <c r="N522" s="49"/>
      <c r="O522" s="49"/>
      <c r="P522" s="49"/>
      <c r="Q522" s="49"/>
      <c r="R522" s="49"/>
      <c r="S522" s="49"/>
      <c r="T522" s="49"/>
      <c r="U522" s="49"/>
      <c r="V522" s="49"/>
      <c r="W522" s="49"/>
      <c r="X522" s="49"/>
      <c r="Y522" s="49"/>
      <c r="Z522" s="49"/>
    </row>
    <row r="523">
      <c r="A523" s="49" t="str">
        <f>IFERROR(__xludf.DUMMYFUNCTION("""COMPUTED_VALUE"""),"The Bow of The Verdant Forest")</f>
        <v>The Bow of The Verdant Forest</v>
      </c>
      <c r="B523" s="49" t="str">
        <f>IFERROR(__xludf.DUMMYFUNCTION("""COMPUTED_VALUE"""),"Quest Item")</f>
        <v>Quest Item</v>
      </c>
      <c r="C523" s="49"/>
      <c r="D523" s="49" t="str">
        <f>IFERROR(__xludf.DUMMYFUNCTION("""COMPUTED_VALUE"""),"Hand")</f>
        <v>Hand</v>
      </c>
      <c r="E523" s="49">
        <f>IFERROR(__xludf.DUMMYFUNCTION("""COMPUTED_VALUE"""),200.0)</f>
        <v>200</v>
      </c>
      <c r="F523" s="49"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49">
        <f>IFERROR(__xludf.DUMMYFUNCTION("""COMPUTED_VALUE"""),8.385E7)</f>
        <v>83850000</v>
      </c>
      <c r="H523" s="49"/>
      <c r="I523" s="49"/>
      <c r="J523" s="49"/>
      <c r="K523" s="49"/>
      <c r="L523" s="49"/>
      <c r="M523" s="49"/>
      <c r="N523" s="49"/>
      <c r="O523" s="49"/>
      <c r="P523" s="49"/>
      <c r="Q523" s="49"/>
      <c r="R523" s="49"/>
      <c r="S523" s="49"/>
      <c r="T523" s="49"/>
      <c r="U523" s="49"/>
      <c r="V523" s="49"/>
      <c r="W523" s="49"/>
      <c r="X523" s="49"/>
      <c r="Y523" s="49"/>
      <c r="Z523" s="49"/>
    </row>
    <row r="524">
      <c r="A524" s="49" t="str">
        <f>IFERROR(__xludf.DUMMYFUNCTION("""COMPUTED_VALUE"""),"Enchanted Wooden Buckler of The Verdant Forest")</f>
        <v>Enchanted Wooden Buckler of The Verdant Forest</v>
      </c>
      <c r="B524" s="49" t="str">
        <f>IFERROR(__xludf.DUMMYFUNCTION("""COMPUTED_VALUE"""),"Quest Item")</f>
        <v>Quest Item</v>
      </c>
      <c r="C524" s="49"/>
      <c r="D524" s="49" t="str">
        <f>IFERROR(__xludf.DUMMYFUNCTION("""COMPUTED_VALUE"""),"Hand")</f>
        <v>Hand</v>
      </c>
      <c r="E524" s="49">
        <f>IFERROR(__xludf.DUMMYFUNCTION("""COMPUTED_VALUE"""),200.0)</f>
        <v>200</v>
      </c>
      <c r="F524" s="49"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49">
        <f>IFERROR(__xludf.DUMMYFUNCTION("""COMPUTED_VALUE"""),3.1125E8)</f>
        <v>311250000</v>
      </c>
      <c r="H524" s="49"/>
      <c r="I524" s="49"/>
      <c r="J524" s="49"/>
      <c r="K524" s="49"/>
      <c r="L524" s="49"/>
      <c r="M524" s="49"/>
      <c r="N524" s="49"/>
      <c r="O524" s="49"/>
      <c r="P524" s="49"/>
      <c r="Q524" s="49"/>
      <c r="R524" s="49"/>
      <c r="S524" s="49"/>
      <c r="T524" s="49"/>
      <c r="U524" s="49"/>
      <c r="V524" s="49"/>
      <c r="W524" s="49"/>
      <c r="X524" s="49"/>
      <c r="Y524" s="49"/>
      <c r="Z524" s="49"/>
    </row>
    <row r="525">
      <c r="A525" s="49" t="str">
        <f>IFERROR(__xludf.DUMMYFUNCTION("""COMPUTED_VALUE"""),"Cowl of the Eagle's Sight")</f>
        <v>Cowl of the Eagle's Sight</v>
      </c>
      <c r="B525" s="49" t="str">
        <f>IFERROR(__xludf.DUMMYFUNCTION("""COMPUTED_VALUE"""),"Quest Item")</f>
        <v>Quest Item</v>
      </c>
      <c r="C525" s="49"/>
      <c r="D525" s="49" t="str">
        <f>IFERROR(__xludf.DUMMYFUNCTION("""COMPUTED_VALUE"""),"Head")</f>
        <v>Head</v>
      </c>
      <c r="E525" s="49">
        <f>IFERROR(__xludf.DUMMYFUNCTION("""COMPUTED_VALUE"""),200.0)</f>
        <v>200</v>
      </c>
      <c r="F525" s="49"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49">
        <f>IFERROR(__xludf.DUMMYFUNCTION("""COMPUTED_VALUE"""),4.95E7)</f>
        <v>49500000</v>
      </c>
      <c r="H525" s="49"/>
      <c r="I525" s="49"/>
      <c r="J525" s="49"/>
      <c r="K525" s="49"/>
      <c r="L525" s="49"/>
      <c r="M525" s="49"/>
      <c r="N525" s="49"/>
      <c r="O525" s="49"/>
      <c r="P525" s="49"/>
      <c r="Q525" s="49"/>
      <c r="R525" s="49"/>
      <c r="S525" s="49"/>
      <c r="T525" s="49"/>
      <c r="U525" s="49"/>
      <c r="V525" s="49"/>
      <c r="W525" s="49"/>
      <c r="X525" s="49"/>
      <c r="Y525" s="49"/>
      <c r="Z525" s="49"/>
    </row>
    <row r="526">
      <c r="A526" s="49" t="str">
        <f>IFERROR(__xludf.DUMMYFUNCTION("""COMPUTED_VALUE"""),"Ailettes of the Forest's Splendor")</f>
        <v>Ailettes of the Forest's Splendor</v>
      </c>
      <c r="B526" s="49" t="str">
        <f>IFERROR(__xludf.DUMMYFUNCTION("""COMPUTED_VALUE"""),"Quest Item")</f>
        <v>Quest Item</v>
      </c>
      <c r="C526" s="49"/>
      <c r="D526" s="49" t="str">
        <f>IFERROR(__xludf.DUMMYFUNCTION("""COMPUTED_VALUE"""),"Shoulders")</f>
        <v>Shoulders</v>
      </c>
      <c r="E526" s="49">
        <f>IFERROR(__xludf.DUMMYFUNCTION("""COMPUTED_VALUE"""),200.0)</f>
        <v>200</v>
      </c>
      <c r="F526" s="49"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49">
        <f>IFERROR(__xludf.DUMMYFUNCTION("""COMPUTED_VALUE"""),4.95E7)</f>
        <v>49500000</v>
      </c>
      <c r="H526" s="49"/>
      <c r="I526" s="49"/>
      <c r="J526" s="49"/>
      <c r="K526" s="49"/>
      <c r="L526" s="49"/>
      <c r="M526" s="49"/>
      <c r="N526" s="49"/>
      <c r="O526" s="49"/>
      <c r="P526" s="49"/>
      <c r="Q526" s="49"/>
      <c r="R526" s="49"/>
      <c r="S526" s="49"/>
      <c r="T526" s="49"/>
      <c r="U526" s="49"/>
      <c r="V526" s="49"/>
      <c r="W526" s="49"/>
      <c r="X526" s="49"/>
      <c r="Y526" s="49"/>
      <c r="Z526" s="49"/>
    </row>
    <row r="527">
      <c r="A527" s="49" t="str">
        <f>IFERROR(__xludf.DUMMYFUNCTION("""COMPUTED_VALUE"""),"Bracer of Trueshot")</f>
        <v>Bracer of Trueshot</v>
      </c>
      <c r="B527" s="49" t="str">
        <f>IFERROR(__xludf.DUMMYFUNCTION("""COMPUTED_VALUE"""),"Quest Item")</f>
        <v>Quest Item</v>
      </c>
      <c r="C527" s="49"/>
      <c r="D527" s="49" t="str">
        <f>IFERROR(__xludf.DUMMYFUNCTION("""COMPUTED_VALUE"""),"Arms")</f>
        <v>Arms</v>
      </c>
      <c r="E527" s="49">
        <f>IFERROR(__xludf.DUMMYFUNCTION("""COMPUTED_VALUE"""),200.0)</f>
        <v>200</v>
      </c>
      <c r="F527" s="49"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49">
        <f>IFERROR(__xludf.DUMMYFUNCTION("""COMPUTED_VALUE"""),4.95E7)</f>
        <v>49500000</v>
      </c>
      <c r="H527" s="49"/>
      <c r="I527" s="49"/>
      <c r="J527" s="49"/>
      <c r="K527" s="49"/>
      <c r="L527" s="49"/>
      <c r="M527" s="49"/>
      <c r="N527" s="49"/>
      <c r="O527" s="49"/>
      <c r="P527" s="49"/>
      <c r="Q527" s="49"/>
      <c r="R527" s="49"/>
      <c r="S527" s="49"/>
      <c r="T527" s="49"/>
      <c r="U527" s="49"/>
      <c r="V527" s="49"/>
      <c r="W527" s="49"/>
      <c r="X527" s="49"/>
      <c r="Y527" s="49"/>
      <c r="Z527" s="49"/>
    </row>
    <row r="528">
      <c r="A528" s="49" t="str">
        <f>IFERROR(__xludf.DUMMYFUNCTION("""COMPUTED_VALUE"""),"Leather Cuirass of Barkskin")</f>
        <v>Leather Cuirass of Barkskin</v>
      </c>
      <c r="B528" s="49" t="str">
        <f>IFERROR(__xludf.DUMMYFUNCTION("""COMPUTED_VALUE"""),"Quest Item")</f>
        <v>Quest Item</v>
      </c>
      <c r="C528" s="49"/>
      <c r="D528" s="49" t="str">
        <f>IFERROR(__xludf.DUMMYFUNCTION("""COMPUTED_VALUE"""),"Torso")</f>
        <v>Torso</v>
      </c>
      <c r="E528" s="49">
        <f>IFERROR(__xludf.DUMMYFUNCTION("""COMPUTED_VALUE"""),200.0)</f>
        <v>200</v>
      </c>
      <c r="F528" s="49"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49">
        <f>IFERROR(__xludf.DUMMYFUNCTION("""COMPUTED_VALUE"""),1.1175E8)</f>
        <v>111750000</v>
      </c>
      <c r="H528" s="49"/>
      <c r="I528" s="49"/>
      <c r="J528" s="49"/>
      <c r="K528" s="49"/>
      <c r="L528" s="49"/>
      <c r="M528" s="49"/>
      <c r="N528" s="49"/>
      <c r="O528" s="49"/>
      <c r="P528" s="49"/>
      <c r="Q528" s="49"/>
      <c r="R528" s="49"/>
      <c r="S528" s="49"/>
      <c r="T528" s="49"/>
      <c r="U528" s="49"/>
      <c r="V528" s="49"/>
      <c r="W528" s="49"/>
      <c r="X528" s="49"/>
      <c r="Y528" s="49"/>
      <c r="Z528" s="49"/>
    </row>
    <row r="529">
      <c r="A529" s="49" t="str">
        <f>IFERROR(__xludf.DUMMYFUNCTION("""COMPUTED_VALUE"""),"Greaves of The Verdant Forest")</f>
        <v>Greaves of The Verdant Forest</v>
      </c>
      <c r="B529" s="49" t="str">
        <f>IFERROR(__xludf.DUMMYFUNCTION("""COMPUTED_VALUE"""),"Quest Item")</f>
        <v>Quest Item</v>
      </c>
      <c r="C529" s="49"/>
      <c r="D529" s="49" t="str">
        <f>IFERROR(__xludf.DUMMYFUNCTION("""COMPUTED_VALUE"""),"Legs")</f>
        <v>Legs</v>
      </c>
      <c r="E529" s="49">
        <f>IFERROR(__xludf.DUMMYFUNCTION("""COMPUTED_VALUE"""),200.0)</f>
        <v>200</v>
      </c>
      <c r="F529" s="49"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49">
        <f>IFERROR(__xludf.DUMMYFUNCTION("""COMPUTED_VALUE"""),4.95E7)</f>
        <v>49500000</v>
      </c>
      <c r="H529" s="49"/>
      <c r="I529" s="49"/>
      <c r="J529" s="49"/>
      <c r="K529" s="49"/>
      <c r="L529" s="49"/>
      <c r="M529" s="49"/>
      <c r="N529" s="49"/>
      <c r="O529" s="49"/>
      <c r="P529" s="49"/>
      <c r="Q529" s="49"/>
      <c r="R529" s="49"/>
      <c r="S529" s="49"/>
      <c r="T529" s="49"/>
      <c r="U529" s="49"/>
      <c r="V529" s="49"/>
      <c r="W529" s="49"/>
      <c r="X529" s="49"/>
      <c r="Y529" s="49"/>
      <c r="Z529" s="49"/>
    </row>
    <row r="530">
      <c r="A530" s="49" t="str">
        <f>IFERROR(__xludf.DUMMYFUNCTION("""COMPUTED_VALUE"""),"Boots of The Verdant Forest")</f>
        <v>Boots of The Verdant Forest</v>
      </c>
      <c r="B530" s="49" t="str">
        <f>IFERROR(__xludf.DUMMYFUNCTION("""COMPUTED_VALUE"""),"Quest Item")</f>
        <v>Quest Item</v>
      </c>
      <c r="C530" s="49"/>
      <c r="D530" s="49" t="str">
        <f>IFERROR(__xludf.DUMMYFUNCTION("""COMPUTED_VALUE"""),"Feet")</f>
        <v>Feet</v>
      </c>
      <c r="E530" s="49">
        <f>IFERROR(__xludf.DUMMYFUNCTION("""COMPUTED_VALUE"""),200.0)</f>
        <v>200</v>
      </c>
      <c r="F530" s="49"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49">
        <f>IFERROR(__xludf.DUMMYFUNCTION("""COMPUTED_VALUE"""),4.95E7)</f>
        <v>49500000</v>
      </c>
      <c r="H530" s="49"/>
      <c r="I530" s="49"/>
      <c r="J530" s="49"/>
      <c r="K530" s="49"/>
      <c r="L530" s="49"/>
      <c r="M530" s="49"/>
      <c r="N530" s="49"/>
      <c r="O530" s="49"/>
      <c r="P530" s="49"/>
      <c r="Q530" s="49"/>
      <c r="R530" s="49"/>
      <c r="S530" s="49"/>
      <c r="T530" s="49"/>
      <c r="U530" s="49"/>
      <c r="V530" s="49"/>
      <c r="W530" s="49"/>
      <c r="X530" s="49"/>
      <c r="Y530" s="49"/>
      <c r="Z530" s="49"/>
    </row>
    <row r="531">
      <c r="A531" s="49" t="str">
        <f>IFERROR(__xludf.DUMMYFUNCTION("""COMPUTED_VALUE"""),"Emerald Ring of The Forest")</f>
        <v>Emerald Ring of The Forest</v>
      </c>
      <c r="B531" s="49" t="str">
        <f>IFERROR(__xludf.DUMMYFUNCTION("""COMPUTED_VALUE"""),"Quest Item")</f>
        <v>Quest Item</v>
      </c>
      <c r="C531" s="49"/>
      <c r="D531" s="49" t="str">
        <f>IFERROR(__xludf.DUMMYFUNCTION("""COMPUTED_VALUE"""),"Ring")</f>
        <v>Ring</v>
      </c>
      <c r="E531" s="49">
        <f>IFERROR(__xludf.DUMMYFUNCTION("""COMPUTED_VALUE"""),1.0)</f>
        <v>1</v>
      </c>
      <c r="F531" s="49"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49">
        <f>IFERROR(__xludf.DUMMYFUNCTION("""COMPUTED_VALUE"""),0.0)</f>
        <v>0</v>
      </c>
      <c r="H531" s="49"/>
      <c r="I531" s="49"/>
      <c r="J531" s="49"/>
      <c r="K531" s="49"/>
      <c r="L531" s="49"/>
      <c r="M531" s="49"/>
      <c r="N531" s="49"/>
      <c r="O531" s="49"/>
      <c r="P531" s="49"/>
      <c r="Q531" s="49"/>
      <c r="R531" s="49"/>
      <c r="S531" s="49"/>
      <c r="T531" s="49"/>
      <c r="U531" s="49"/>
      <c r="V531" s="49"/>
      <c r="W531" s="49"/>
      <c r="X531" s="49"/>
      <c r="Y531" s="49"/>
      <c r="Z531" s="49"/>
    </row>
    <row r="532">
      <c r="A532" s="49" t="str">
        <f>IFERROR(__xludf.DUMMYFUNCTION("""COMPUTED_VALUE"""),"Emerald Amulet of The Forest")</f>
        <v>Emerald Amulet of The Forest</v>
      </c>
      <c r="B532" s="49" t="str">
        <f>IFERROR(__xludf.DUMMYFUNCTION("""COMPUTED_VALUE"""),"Quest Item")</f>
        <v>Quest Item</v>
      </c>
      <c r="C532" s="49"/>
      <c r="D532" s="49" t="str">
        <f>IFERROR(__xludf.DUMMYFUNCTION("""COMPUTED_VALUE"""),"Neck")</f>
        <v>Neck</v>
      </c>
      <c r="E532" s="49">
        <f>IFERROR(__xludf.DUMMYFUNCTION("""COMPUTED_VALUE"""),1.0)</f>
        <v>1</v>
      </c>
      <c r="F532" s="49"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49">
        <f>IFERROR(__xludf.DUMMYFUNCTION("""COMPUTED_VALUE"""),0.0)</f>
        <v>0</v>
      </c>
      <c r="H532" s="49"/>
      <c r="I532" s="49"/>
      <c r="J532" s="49"/>
      <c r="K532" s="49"/>
      <c r="L532" s="49"/>
      <c r="M532" s="49"/>
      <c r="N532" s="49"/>
      <c r="O532" s="49"/>
      <c r="P532" s="49"/>
      <c r="Q532" s="49"/>
      <c r="R532" s="49"/>
      <c r="S532" s="49"/>
      <c r="T532" s="49"/>
      <c r="U532" s="49"/>
      <c r="V532" s="49"/>
      <c r="W532" s="49"/>
      <c r="X532" s="49"/>
      <c r="Y532" s="49"/>
      <c r="Z532" s="49"/>
    </row>
    <row r="533">
      <c r="A533" s="49" t="str">
        <f>IFERROR(__xludf.DUMMYFUNCTION("""COMPUTED_VALUE"""),"Artemis' Crown of The Forest")</f>
        <v>Artemis' Crown of The Forest</v>
      </c>
      <c r="B533" s="49" t="str">
        <f>IFERROR(__xludf.DUMMYFUNCTION("""COMPUTED_VALUE"""),"Mob Exclusive. The crown that was gifted to Aranyani upon her ascension to godhood")</f>
        <v>Mob Exclusive. The crown that was gifted to Aranyani upon her ascension to godhood</v>
      </c>
      <c r="C533" s="49"/>
      <c r="D533" s="49" t="str">
        <f>IFERROR(__xludf.DUMMYFUNCTION("""COMPUTED_VALUE"""),"Head")</f>
        <v>Head</v>
      </c>
      <c r="E533" s="49">
        <f>IFERROR(__xludf.DUMMYFUNCTION("""COMPUTED_VALUE"""),2000.0)</f>
        <v>2000</v>
      </c>
      <c r="F533" s="49"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49">
        <f>IFERROR(__xludf.DUMMYFUNCTION("""COMPUTED_VALUE"""),1.99E8)</f>
        <v>199000000</v>
      </c>
      <c r="H533" s="49"/>
      <c r="I533" s="49"/>
      <c r="J533" s="49"/>
      <c r="K533" s="49"/>
      <c r="L533" s="49"/>
      <c r="M533" s="49"/>
      <c r="N533" s="49"/>
      <c r="O533" s="49"/>
      <c r="P533" s="49"/>
      <c r="Q533" s="49"/>
      <c r="R533" s="49"/>
      <c r="S533" s="49"/>
      <c r="T533" s="49"/>
      <c r="U533" s="49"/>
      <c r="V533" s="49"/>
      <c r="W533" s="49"/>
      <c r="X533" s="49"/>
      <c r="Y533" s="49"/>
      <c r="Z533" s="49"/>
    </row>
    <row r="534">
      <c r="A534" s="49" t="str">
        <f>IFERROR(__xludf.DUMMYFUNCTION("""COMPUTED_VALUE"""),"Artemis' Bow of Divine Wrath")</f>
        <v>Artemis' Bow of Divine Wrath</v>
      </c>
      <c r="B534" s="49" t="str">
        <f>IFERROR(__xludf.DUMMYFUNCTION("""COMPUTED_VALUE"""),"Mob Exclusive.")</f>
        <v>Mob Exclusive.</v>
      </c>
      <c r="C534" s="49" t="str">
        <f>IFERROR(__xludf.DUMMYFUNCTION("""COMPUTED_VALUE"""),"Bow")</f>
        <v>Bow</v>
      </c>
      <c r="D534" s="49" t="str">
        <f>IFERROR(__xludf.DUMMYFUNCTION("""COMPUTED_VALUE"""),"Hand")</f>
        <v>Hand</v>
      </c>
      <c r="E534" s="49">
        <f>IFERROR(__xludf.DUMMYFUNCTION("""COMPUTED_VALUE"""),12000.0)</f>
        <v>12000</v>
      </c>
      <c r="F534" s="49"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49">
        <f>IFERROR(__xludf.DUMMYFUNCTION("""COMPUTED_VALUE"""),7.194E9)</f>
        <v>7194000000</v>
      </c>
      <c r="H534" s="49"/>
      <c r="I534" s="49"/>
      <c r="J534" s="49"/>
      <c r="K534" s="49"/>
      <c r="L534" s="49"/>
      <c r="M534" s="49"/>
      <c r="N534" s="49"/>
      <c r="O534" s="49"/>
      <c r="P534" s="49"/>
      <c r="Q534" s="49"/>
      <c r="R534" s="49"/>
      <c r="S534" s="49"/>
      <c r="T534" s="49"/>
      <c r="U534" s="49"/>
      <c r="V534" s="49"/>
      <c r="W534" s="49"/>
      <c r="X534" s="49"/>
      <c r="Y534" s="49"/>
      <c r="Z534" s="49"/>
    </row>
    <row r="535">
      <c r="A535" s="49" t="str">
        <f>IFERROR(__xludf.DUMMYFUNCTION("""COMPUTED_VALUE"""),"Artemis' Shield of Divine Grace")</f>
        <v>Artemis' Shield of Divine Grace</v>
      </c>
      <c r="B535" s="49" t="str">
        <f>IFERROR(__xludf.DUMMYFUNCTION("""COMPUTED_VALUE"""),"Mob Exclusive")</f>
        <v>Mob Exclusive</v>
      </c>
      <c r="C535" s="49" t="str">
        <f>IFERROR(__xludf.DUMMYFUNCTION("""COMPUTED_VALUE"""),"Buckler")</f>
        <v>Buckler</v>
      </c>
      <c r="D535" s="49" t="str">
        <f>IFERROR(__xludf.DUMMYFUNCTION("""COMPUTED_VALUE"""),"Hand")</f>
        <v>Hand</v>
      </c>
      <c r="E535" s="49">
        <f>IFERROR(__xludf.DUMMYFUNCTION("""COMPUTED_VALUE"""),6000.0)</f>
        <v>6000</v>
      </c>
      <c r="F535" s="49"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49">
        <f>IFERROR(__xludf.DUMMYFUNCTION("""COMPUTED_VALUE"""),1.797E9)</f>
        <v>1797000000</v>
      </c>
      <c r="H535" s="49"/>
      <c r="I535" s="49"/>
      <c r="J535" s="49"/>
      <c r="K535" s="49"/>
      <c r="L535" s="49"/>
      <c r="M535" s="49"/>
      <c r="N535" s="49"/>
      <c r="O535" s="49"/>
      <c r="P535" s="49"/>
      <c r="Q535" s="49"/>
      <c r="R535" s="49"/>
      <c r="S535" s="49"/>
      <c r="T535" s="49"/>
      <c r="U535" s="49"/>
      <c r="V535" s="49"/>
      <c r="W535" s="49"/>
      <c r="X535" s="49"/>
      <c r="Y535" s="49"/>
      <c r="Z535" s="49"/>
    </row>
    <row r="536">
      <c r="A536" s="49" t="str">
        <f>IFERROR(__xludf.DUMMYFUNCTION("""COMPUTED_VALUE"""),"Artemis' Divine Quiver")</f>
        <v>Artemis' Divine Quiver</v>
      </c>
      <c r="B536" s="49" t="str">
        <f>IFERROR(__xludf.DUMMYFUNCTION("""COMPUTED_VALUE"""),"Mob Exclusive")</f>
        <v>Mob Exclusive</v>
      </c>
      <c r="C536" s="49"/>
      <c r="D536" s="49" t="str">
        <f>IFERROR(__xludf.DUMMYFUNCTION("""COMPUTED_VALUE"""),"Shoulders")</f>
        <v>Shoulders</v>
      </c>
      <c r="E536" s="49">
        <f>IFERROR(__xludf.DUMMYFUNCTION("""COMPUTED_VALUE"""),1.0)</f>
        <v>1</v>
      </c>
      <c r="F536" s="49"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49">
        <f>IFERROR(__xludf.DUMMYFUNCTION("""COMPUTED_VALUE"""),0.0)</f>
        <v>0</v>
      </c>
      <c r="H536" s="49"/>
      <c r="I536" s="49"/>
      <c r="J536" s="49"/>
      <c r="K536" s="49"/>
      <c r="L536" s="49"/>
      <c r="M536" s="49"/>
      <c r="N536" s="49"/>
      <c r="O536" s="49"/>
      <c r="P536" s="49"/>
      <c r="Q536" s="49"/>
      <c r="R536" s="49"/>
      <c r="S536" s="49"/>
      <c r="T536" s="49"/>
      <c r="U536" s="49"/>
      <c r="V536" s="49"/>
      <c r="W536" s="49"/>
      <c r="X536" s="49"/>
      <c r="Y536" s="49"/>
      <c r="Z536" s="49"/>
    </row>
    <row r="537">
      <c r="A537" s="49" t="str">
        <f>IFERROR(__xludf.DUMMYFUNCTION("""COMPUTED_VALUE"""),"Artemis' Toga of Divine Beauty")</f>
        <v>Artemis' Toga of Divine Beauty</v>
      </c>
      <c r="B537" s="49" t="str">
        <f>IFERROR(__xludf.DUMMYFUNCTION("""COMPUTED_VALUE"""),"Mob Exclusive")</f>
        <v>Mob Exclusive</v>
      </c>
      <c r="C537" s="49"/>
      <c r="D537" s="49" t="str">
        <f>IFERROR(__xludf.DUMMYFUNCTION("""COMPUTED_VALUE"""),"Torso")</f>
        <v>Torso</v>
      </c>
      <c r="E537" s="49">
        <f>IFERROR(__xludf.DUMMYFUNCTION("""COMPUTED_VALUE"""),4000.0)</f>
        <v>4000</v>
      </c>
      <c r="F537" s="49"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49">
        <f>IFERROR(__xludf.DUMMYFUNCTION("""COMPUTED_VALUE"""),7.98E8)</f>
        <v>798000000</v>
      </c>
      <c r="H537" s="49"/>
      <c r="I537" s="49"/>
      <c r="J537" s="49"/>
      <c r="K537" s="49"/>
      <c r="L537" s="49"/>
      <c r="M537" s="49"/>
      <c r="N537" s="49"/>
      <c r="O537" s="49"/>
      <c r="P537" s="49"/>
      <c r="Q537" s="49"/>
      <c r="R537" s="49"/>
      <c r="S537" s="49"/>
      <c r="T537" s="49"/>
      <c r="U537" s="49"/>
      <c r="V537" s="49"/>
      <c r="W537" s="49"/>
      <c r="X537" s="49"/>
      <c r="Y537" s="49"/>
      <c r="Z537" s="49"/>
    </row>
    <row r="538">
      <c r="A538" s="49" t="str">
        <f>IFERROR(__xludf.DUMMYFUNCTION("""COMPUTED_VALUE"""),"Artemis' Bracer of The Archer Goddess")</f>
        <v>Artemis' Bracer of The Archer Goddess</v>
      </c>
      <c r="B538" s="49" t="str">
        <f>IFERROR(__xludf.DUMMYFUNCTION("""COMPUTED_VALUE"""),"Mob Exclusive")</f>
        <v>Mob Exclusive</v>
      </c>
      <c r="C538" s="49"/>
      <c r="D538" s="49" t="str">
        <f>IFERROR(__xludf.DUMMYFUNCTION("""COMPUTED_VALUE"""),"Arms")</f>
        <v>Arms</v>
      </c>
      <c r="E538" s="49">
        <f>IFERROR(__xludf.DUMMYFUNCTION("""COMPUTED_VALUE"""),2000.0)</f>
        <v>2000</v>
      </c>
      <c r="F538" s="49"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49">
        <f>IFERROR(__xludf.DUMMYFUNCTION("""COMPUTED_VALUE"""),1.99E8)</f>
        <v>199000000</v>
      </c>
      <c r="H538" s="49"/>
      <c r="I538" s="49"/>
      <c r="J538" s="49"/>
      <c r="K538" s="49"/>
      <c r="L538" s="49"/>
      <c r="M538" s="49"/>
      <c r="N538" s="49"/>
      <c r="O538" s="49"/>
      <c r="P538" s="49"/>
      <c r="Q538" s="49"/>
      <c r="R538" s="49"/>
      <c r="S538" s="49"/>
      <c r="T538" s="49"/>
      <c r="U538" s="49"/>
      <c r="V538" s="49"/>
      <c r="W538" s="49"/>
      <c r="X538" s="49"/>
      <c r="Y538" s="49"/>
      <c r="Z538" s="49"/>
    </row>
    <row r="539">
      <c r="A539" s="49" t="str">
        <f>IFERROR(__xludf.DUMMYFUNCTION("""COMPUTED_VALUE"""),"Artemis' Leggings of Divine Agility")</f>
        <v>Artemis' Leggings of Divine Agility</v>
      </c>
      <c r="B539" s="49" t="str">
        <f>IFERROR(__xludf.DUMMYFUNCTION("""COMPUTED_VALUE"""),"Mob Exclusive")</f>
        <v>Mob Exclusive</v>
      </c>
      <c r="C539" s="49"/>
      <c r="D539" s="49" t="str">
        <f>IFERROR(__xludf.DUMMYFUNCTION("""COMPUTED_VALUE"""),"Legs")</f>
        <v>Legs</v>
      </c>
      <c r="E539" s="49">
        <f>IFERROR(__xludf.DUMMYFUNCTION("""COMPUTED_VALUE"""),2000.0)</f>
        <v>2000</v>
      </c>
      <c r="F539" s="49"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49">
        <f>IFERROR(__xludf.DUMMYFUNCTION("""COMPUTED_VALUE"""),1.99E8)</f>
        <v>199000000</v>
      </c>
      <c r="H539" s="49"/>
      <c r="I539" s="49"/>
      <c r="J539" s="49"/>
      <c r="K539" s="49"/>
      <c r="L539" s="49"/>
      <c r="M539" s="49"/>
      <c r="N539" s="49"/>
      <c r="O539" s="49"/>
      <c r="P539" s="49"/>
      <c r="Q539" s="49"/>
      <c r="R539" s="49"/>
      <c r="S539" s="49"/>
      <c r="T539" s="49"/>
      <c r="U539" s="49"/>
      <c r="V539" s="49"/>
      <c r="W539" s="49"/>
      <c r="X539" s="49"/>
      <c r="Y539" s="49"/>
      <c r="Z539" s="49"/>
    </row>
    <row r="540">
      <c r="A540" s="49" t="str">
        <f>IFERROR(__xludf.DUMMYFUNCTION("""COMPUTED_VALUE"""),"Artemis' Sandals of Divine Speed")</f>
        <v>Artemis' Sandals of Divine Speed</v>
      </c>
      <c r="B540" s="49" t="str">
        <f>IFERROR(__xludf.DUMMYFUNCTION("""COMPUTED_VALUE"""),"Mob Exclusive")</f>
        <v>Mob Exclusive</v>
      </c>
      <c r="C540" s="49"/>
      <c r="D540" s="49" t="str">
        <f>IFERROR(__xludf.DUMMYFUNCTION("""COMPUTED_VALUE"""),"Feet")</f>
        <v>Feet</v>
      </c>
      <c r="E540" s="49">
        <f>IFERROR(__xludf.DUMMYFUNCTION("""COMPUTED_VALUE"""),2000.0)</f>
        <v>2000</v>
      </c>
      <c r="F540" s="49"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49">
        <f>IFERROR(__xludf.DUMMYFUNCTION("""COMPUTED_VALUE"""),1.99E8)</f>
        <v>199000000</v>
      </c>
      <c r="H540" s="49"/>
      <c r="I540" s="49"/>
      <c r="J540" s="49"/>
      <c r="K540" s="49"/>
      <c r="L540" s="49"/>
      <c r="M540" s="49"/>
      <c r="N540" s="49"/>
      <c r="O540" s="49"/>
      <c r="P540" s="49"/>
      <c r="Q540" s="49"/>
      <c r="R540" s="49"/>
      <c r="S540" s="49"/>
      <c r="T540" s="49"/>
      <c r="U540" s="49"/>
      <c r="V540" s="49"/>
      <c r="W540" s="49"/>
      <c r="X540" s="49"/>
      <c r="Y540" s="49"/>
      <c r="Z540" s="49"/>
    </row>
    <row r="541">
      <c r="A541" s="49" t="str">
        <f>IFERROR(__xludf.DUMMYFUNCTION("""COMPUTED_VALUE"""),"Artemis' Ring")</f>
        <v>Artemis' Ring</v>
      </c>
      <c r="B541" s="49" t="str">
        <f>IFERROR(__xludf.DUMMYFUNCTION("""COMPUTED_VALUE"""),"Mob Exclusive")</f>
        <v>Mob Exclusive</v>
      </c>
      <c r="C541" s="49"/>
      <c r="D541" s="49" t="str">
        <f>IFERROR(__xludf.DUMMYFUNCTION("""COMPUTED_VALUE"""),"Ring")</f>
        <v>Ring</v>
      </c>
      <c r="E541" s="49">
        <f>IFERROR(__xludf.DUMMYFUNCTION("""COMPUTED_VALUE"""),1.0)</f>
        <v>1</v>
      </c>
      <c r="F541" s="49" t="str">
        <f>IFERROR(__xludf.DUMMYFUNCTION("""COMPUTED_VALUE""")," ++10% chance to revive after dying once. +-can only be equipped by Artemis.")</f>
        <v> ++10% chance to revive after dying once. +-can only be equipped by Artemis.</v>
      </c>
      <c r="G541" s="49">
        <f>IFERROR(__xludf.DUMMYFUNCTION("""COMPUTED_VALUE"""),0.0)</f>
        <v>0</v>
      </c>
      <c r="H541" s="49"/>
      <c r="I541" s="49"/>
      <c r="J541" s="49"/>
      <c r="K541" s="49"/>
      <c r="L541" s="49"/>
      <c r="M541" s="49"/>
      <c r="N541" s="49"/>
      <c r="O541" s="49"/>
      <c r="P541" s="49"/>
      <c r="Q541" s="49"/>
      <c r="R541" s="49"/>
      <c r="S541" s="49"/>
      <c r="T541" s="49"/>
      <c r="U541" s="49"/>
      <c r="V541" s="49"/>
      <c r="W541" s="49"/>
      <c r="X541" s="49"/>
      <c r="Y541" s="49"/>
      <c r="Z541" s="49"/>
    </row>
    <row r="542">
      <c r="A542" s="49" t="str">
        <f>IFERROR(__xludf.DUMMYFUNCTION("""COMPUTED_VALUE"""),"Artemis' Fang Necklace")</f>
        <v>Artemis' Fang Necklace</v>
      </c>
      <c r="B542" s="49" t="str">
        <f>IFERROR(__xludf.DUMMYFUNCTION("""COMPUTED_VALUE"""),"Mob Exclusive")</f>
        <v>Mob Exclusive</v>
      </c>
      <c r="C542" s="49"/>
      <c r="D542" s="49" t="str">
        <f>IFERROR(__xludf.DUMMYFUNCTION("""COMPUTED_VALUE"""),"Neck")</f>
        <v>Neck</v>
      </c>
      <c r="E542" s="49">
        <f>IFERROR(__xludf.DUMMYFUNCTION("""COMPUTED_VALUE"""),1.0)</f>
        <v>1</v>
      </c>
      <c r="F542" s="49"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49">
        <f>IFERROR(__xludf.DUMMYFUNCTION("""COMPUTED_VALUE"""),0.0)</f>
        <v>0</v>
      </c>
      <c r="H542" s="49"/>
      <c r="I542" s="49"/>
      <c r="J542" s="49"/>
      <c r="K542" s="49"/>
      <c r="L542" s="49"/>
      <c r="M542" s="49"/>
      <c r="N542" s="49"/>
      <c r="O542" s="49"/>
      <c r="P542" s="49"/>
      <c r="Q542" s="49"/>
      <c r="R542" s="49"/>
      <c r="S542" s="49"/>
      <c r="T542" s="49"/>
      <c r="U542" s="49"/>
      <c r="V542" s="49"/>
      <c r="W542" s="49"/>
      <c r="X542" s="49"/>
      <c r="Y542" s="49"/>
      <c r="Z542" s="49"/>
    </row>
    <row r="543">
      <c r="A543" s="49" t="str">
        <f>IFERROR(__xludf.DUMMYFUNCTION("""COMPUTED_VALUE"""),"Forged Paladin's Helm")</f>
        <v>Forged Paladin's Helm</v>
      </c>
      <c r="B543" s="49" t="str">
        <f>IFERROR(__xludf.DUMMYFUNCTION("""COMPUTED_VALUE"""),"Quest Item")</f>
        <v>Quest Item</v>
      </c>
      <c r="C543" s="49"/>
      <c r="D543" s="49" t="str">
        <f>IFERROR(__xludf.DUMMYFUNCTION("""COMPUTED_VALUE"""),"Head")</f>
        <v>Head</v>
      </c>
      <c r="E543" s="49">
        <f>IFERROR(__xludf.DUMMYFUNCTION("""COMPUTED_VALUE"""),200.0)</f>
        <v>200</v>
      </c>
      <c r="F543" s="49"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49">
        <f>IFERROR(__xludf.DUMMYFUNCTION("""COMPUTED_VALUE"""),1.1175E8)</f>
        <v>111750000</v>
      </c>
      <c r="H543" s="49"/>
      <c r="I543" s="49"/>
      <c r="J543" s="49"/>
      <c r="K543" s="49"/>
      <c r="L543" s="49"/>
      <c r="M543" s="49"/>
      <c r="N543" s="49"/>
      <c r="O543" s="49"/>
      <c r="P543" s="49"/>
      <c r="Q543" s="49"/>
      <c r="R543" s="49"/>
      <c r="S543" s="49"/>
      <c r="T543" s="49"/>
      <c r="U543" s="49"/>
      <c r="V543" s="49"/>
      <c r="W543" s="49"/>
      <c r="X543" s="49"/>
      <c r="Y543" s="49"/>
      <c r="Z543" s="49"/>
    </row>
    <row r="544">
      <c r="A544" s="49" t="str">
        <f>IFERROR(__xludf.DUMMYFUNCTION("""COMPUTED_VALUE"""),"Forged Paladin's Pauldrons")</f>
        <v>Forged Paladin's Pauldrons</v>
      </c>
      <c r="B544" s="49" t="str">
        <f>IFERROR(__xludf.DUMMYFUNCTION("""COMPUTED_VALUE"""),"Quest Item")</f>
        <v>Quest Item</v>
      </c>
      <c r="C544" s="49"/>
      <c r="D544" s="49" t="str">
        <f>IFERROR(__xludf.DUMMYFUNCTION("""COMPUTED_VALUE"""),"Shoulders")</f>
        <v>Shoulders</v>
      </c>
      <c r="E544" s="49">
        <f>IFERROR(__xludf.DUMMYFUNCTION("""COMPUTED_VALUE"""),200.0)</f>
        <v>200</v>
      </c>
      <c r="F544" s="49"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49">
        <f>IFERROR(__xludf.DUMMYFUNCTION("""COMPUTED_VALUE"""),1.1175E8)</f>
        <v>111750000</v>
      </c>
      <c r="H544" s="49"/>
      <c r="I544" s="49"/>
      <c r="J544" s="49"/>
      <c r="K544" s="49"/>
      <c r="L544" s="49"/>
      <c r="M544" s="49"/>
      <c r="N544" s="49"/>
      <c r="O544" s="49"/>
      <c r="P544" s="49"/>
      <c r="Q544" s="49"/>
      <c r="R544" s="49"/>
      <c r="S544" s="49"/>
      <c r="T544" s="49"/>
      <c r="U544" s="49"/>
      <c r="V544" s="49"/>
      <c r="W544" s="49"/>
      <c r="X544" s="49"/>
      <c r="Y544" s="49"/>
      <c r="Z544" s="49"/>
    </row>
    <row r="545">
      <c r="A545" s="49" t="str">
        <f>IFERROR(__xludf.DUMMYFUNCTION("""COMPUTED_VALUE"""),"Forged Paladin's Plate")</f>
        <v>Forged Paladin's Plate</v>
      </c>
      <c r="B545" s="49" t="str">
        <f>IFERROR(__xludf.DUMMYFUNCTION("""COMPUTED_VALUE"""),"Quest Item")</f>
        <v>Quest Item</v>
      </c>
      <c r="C545" s="49"/>
      <c r="D545" s="49" t="str">
        <f>IFERROR(__xludf.DUMMYFUNCTION("""COMPUTED_VALUE"""),"Torso")</f>
        <v>Torso</v>
      </c>
      <c r="E545" s="49">
        <f>IFERROR(__xludf.DUMMYFUNCTION("""COMPUTED_VALUE"""),200.0)</f>
        <v>200</v>
      </c>
      <c r="F545" s="49"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49">
        <f>IFERROR(__xludf.DUMMYFUNCTION("""COMPUTED_VALUE"""),1.99E8)</f>
        <v>199000000</v>
      </c>
      <c r="H545" s="49"/>
      <c r="I545" s="49"/>
      <c r="J545" s="49"/>
      <c r="K545" s="49"/>
      <c r="L545" s="49"/>
      <c r="M545" s="49"/>
      <c r="N545" s="49"/>
      <c r="O545" s="49"/>
      <c r="P545" s="49"/>
      <c r="Q545" s="49"/>
      <c r="R545" s="49"/>
      <c r="S545" s="49"/>
      <c r="T545" s="49"/>
      <c r="U545" s="49"/>
      <c r="V545" s="49"/>
      <c r="W545" s="49"/>
      <c r="X545" s="49"/>
      <c r="Y545" s="49"/>
      <c r="Z545" s="49"/>
    </row>
    <row r="546">
      <c r="A546" s="49" t="str">
        <f>IFERROR(__xludf.DUMMYFUNCTION("""COMPUTED_VALUE"""),"Forged Paladin's Vambraces")</f>
        <v>Forged Paladin's Vambraces</v>
      </c>
      <c r="B546" s="49" t="str">
        <f>IFERROR(__xludf.DUMMYFUNCTION("""COMPUTED_VALUE"""),"Quest Item")</f>
        <v>Quest Item</v>
      </c>
      <c r="C546" s="49"/>
      <c r="D546" s="49" t="str">
        <f>IFERROR(__xludf.DUMMYFUNCTION("""COMPUTED_VALUE"""),"Arms")</f>
        <v>Arms</v>
      </c>
      <c r="E546" s="49">
        <f>IFERROR(__xludf.DUMMYFUNCTION("""COMPUTED_VALUE"""),200.0)</f>
        <v>200</v>
      </c>
      <c r="F546" s="49"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49">
        <f>IFERROR(__xludf.DUMMYFUNCTION("""COMPUTED_VALUE"""),1.1175E8)</f>
        <v>111750000</v>
      </c>
      <c r="H546" s="49"/>
      <c r="I546" s="49"/>
      <c r="J546" s="49"/>
      <c r="K546" s="49"/>
      <c r="L546" s="49"/>
      <c r="M546" s="49"/>
      <c r="N546" s="49"/>
      <c r="O546" s="49"/>
      <c r="P546" s="49"/>
      <c r="Q546" s="49"/>
      <c r="R546" s="49"/>
      <c r="S546" s="49"/>
      <c r="T546" s="49"/>
      <c r="U546" s="49"/>
      <c r="V546" s="49"/>
      <c r="W546" s="49"/>
      <c r="X546" s="49"/>
      <c r="Y546" s="49"/>
      <c r="Z546" s="49"/>
    </row>
    <row r="547">
      <c r="A547" s="49" t="str">
        <f>IFERROR(__xludf.DUMMYFUNCTION("""COMPUTED_VALUE"""),"Forged Firearm")</f>
        <v>Forged Firearm</v>
      </c>
      <c r="B547" s="49" t="str">
        <f>IFERROR(__xludf.DUMMYFUNCTION("""COMPUTED_VALUE"""),"Quest Item")</f>
        <v>Quest Item</v>
      </c>
      <c r="C547" s="49" t="str">
        <f>IFERROR(__xludf.DUMMYFUNCTION("""COMPUTED_VALUE"""),"Firearm")</f>
        <v>Firearm</v>
      </c>
      <c r="D547" s="49" t="str">
        <f>IFERROR(__xludf.DUMMYFUNCTION("""COMPUTED_VALUE"""),"Hand")</f>
        <v>Hand</v>
      </c>
      <c r="E547" s="49">
        <f>IFERROR(__xludf.DUMMYFUNCTION("""COMPUTED_VALUE"""),200.0)</f>
        <v>200</v>
      </c>
      <c r="F547" s="49"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49">
        <f>IFERROR(__xludf.DUMMYFUNCTION("""COMPUTED_VALUE"""),1.99E8)</f>
        <v>199000000</v>
      </c>
      <c r="H547" s="49"/>
      <c r="I547" s="49"/>
      <c r="J547" s="49"/>
      <c r="K547" s="49"/>
      <c r="L547" s="49"/>
      <c r="M547" s="49"/>
      <c r="N547" s="49"/>
      <c r="O547" s="49"/>
      <c r="P547" s="49"/>
      <c r="Q547" s="49"/>
      <c r="R547" s="49"/>
      <c r="S547" s="49"/>
      <c r="T547" s="49"/>
      <c r="U547" s="49"/>
      <c r="V547" s="49"/>
      <c r="W547" s="49"/>
      <c r="X547" s="49"/>
      <c r="Y547" s="49"/>
      <c r="Z547" s="49"/>
    </row>
    <row r="548">
      <c r="A548" s="49" t="str">
        <f>IFERROR(__xludf.DUMMYFUNCTION("""COMPUTED_VALUE"""),"Forged Towershield")</f>
        <v>Forged Towershield</v>
      </c>
      <c r="B548" s="49" t="str">
        <f>IFERROR(__xludf.DUMMYFUNCTION("""COMPUTED_VALUE"""),"Quest Item")</f>
        <v>Quest Item</v>
      </c>
      <c r="C548" s="49" t="str">
        <f>IFERROR(__xludf.DUMMYFUNCTION("""COMPUTED_VALUE"""),"Towershield")</f>
        <v>Towershield</v>
      </c>
      <c r="D548" s="49" t="str">
        <f>IFERROR(__xludf.DUMMYFUNCTION("""COMPUTED_VALUE"""),"Hand")</f>
        <v>Hand</v>
      </c>
      <c r="E548" s="49">
        <f>IFERROR(__xludf.DUMMYFUNCTION("""COMPUTED_VALUE"""),200.0)</f>
        <v>200</v>
      </c>
      <c r="F548" s="49"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49">
        <f>IFERROR(__xludf.DUMMYFUNCTION("""COMPUTED_VALUE"""),5.4285E8)</f>
        <v>542850000</v>
      </c>
      <c r="H548" s="49"/>
      <c r="I548" s="49"/>
      <c r="J548" s="49"/>
      <c r="K548" s="49"/>
      <c r="L548" s="49"/>
      <c r="M548" s="49"/>
      <c r="N548" s="49"/>
      <c r="O548" s="49"/>
      <c r="P548" s="49"/>
      <c r="Q548" s="49"/>
      <c r="R548" s="49"/>
      <c r="S548" s="49"/>
      <c r="T548" s="49"/>
      <c r="U548" s="49"/>
      <c r="V548" s="49"/>
      <c r="W548" s="49"/>
      <c r="X548" s="49"/>
      <c r="Y548" s="49"/>
      <c r="Z548" s="49"/>
    </row>
    <row r="549">
      <c r="A549" s="49" t="str">
        <f>IFERROR(__xludf.DUMMYFUNCTION("""COMPUTED_VALUE"""),"Forged Leg guard")</f>
        <v>Forged Leg guard</v>
      </c>
      <c r="B549" s="49" t="str">
        <f>IFERROR(__xludf.DUMMYFUNCTION("""COMPUTED_VALUE"""),"Quest Item")</f>
        <v>Quest Item</v>
      </c>
      <c r="C549" s="49"/>
      <c r="D549" s="49" t="str">
        <f>IFERROR(__xludf.DUMMYFUNCTION("""COMPUTED_VALUE"""),"Legs")</f>
        <v>Legs</v>
      </c>
      <c r="E549" s="49">
        <f>IFERROR(__xludf.DUMMYFUNCTION("""COMPUTED_VALUE"""),200.0)</f>
        <v>200</v>
      </c>
      <c r="F549" s="49"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49">
        <f>IFERROR(__xludf.DUMMYFUNCTION("""COMPUTED_VALUE"""),1.1175E8)</f>
        <v>111750000</v>
      </c>
      <c r="H549" s="49"/>
      <c r="I549" s="49"/>
      <c r="J549" s="49"/>
      <c r="K549" s="49"/>
      <c r="L549" s="49"/>
      <c r="M549" s="49"/>
      <c r="N549" s="49"/>
      <c r="O549" s="49"/>
      <c r="P549" s="49"/>
      <c r="Q549" s="49"/>
      <c r="R549" s="49"/>
      <c r="S549" s="49"/>
      <c r="T549" s="49"/>
      <c r="U549" s="49"/>
      <c r="V549" s="49"/>
      <c r="W549" s="49"/>
      <c r="X549" s="49"/>
      <c r="Y549" s="49"/>
      <c r="Z549" s="49"/>
    </row>
    <row r="550">
      <c r="A550" s="49" t="str">
        <f>IFERROR(__xludf.DUMMYFUNCTION("""COMPUTED_VALUE"""),"Forged Sabatons")</f>
        <v>Forged Sabatons</v>
      </c>
      <c r="B550" s="49" t="str">
        <f>IFERROR(__xludf.DUMMYFUNCTION("""COMPUTED_VALUE"""),"Quest Item")</f>
        <v>Quest Item</v>
      </c>
      <c r="C550" s="49"/>
      <c r="D550" s="49" t="str">
        <f>IFERROR(__xludf.DUMMYFUNCTION("""COMPUTED_VALUE"""),"Feet")</f>
        <v>Feet</v>
      </c>
      <c r="E550" s="49">
        <f>IFERROR(__xludf.DUMMYFUNCTION("""COMPUTED_VALUE"""),200.0)</f>
        <v>200</v>
      </c>
      <c r="F550" s="49"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49">
        <f>IFERROR(__xludf.DUMMYFUNCTION("""COMPUTED_VALUE"""),1.1175E8)</f>
        <v>111750000</v>
      </c>
      <c r="H550" s="49"/>
      <c r="I550" s="49"/>
      <c r="J550" s="49"/>
      <c r="K550" s="49"/>
      <c r="L550" s="49"/>
      <c r="M550" s="49"/>
      <c r="N550" s="49"/>
      <c r="O550" s="49"/>
      <c r="P550" s="49"/>
      <c r="Q550" s="49"/>
      <c r="R550" s="49"/>
      <c r="S550" s="49"/>
      <c r="T550" s="49"/>
      <c r="U550" s="49"/>
      <c r="V550" s="49"/>
      <c r="W550" s="49"/>
      <c r="X550" s="49"/>
      <c r="Y550" s="49"/>
      <c r="Z550" s="49"/>
    </row>
    <row r="551">
      <c r="A551" s="49" t="str">
        <f>IFERROR(__xludf.DUMMYFUNCTION("""COMPUTED_VALUE"""),"Scrap Ring")</f>
        <v>Scrap Ring</v>
      </c>
      <c r="B551" s="49" t="str">
        <f>IFERROR(__xludf.DUMMYFUNCTION("""COMPUTED_VALUE"""),"Quest Item")</f>
        <v>Quest Item</v>
      </c>
      <c r="C551" s="49"/>
      <c r="D551" s="49" t="str">
        <f>IFERROR(__xludf.DUMMYFUNCTION("""COMPUTED_VALUE"""),"Ring")</f>
        <v>Ring</v>
      </c>
      <c r="E551" s="49">
        <f>IFERROR(__xludf.DUMMYFUNCTION("""COMPUTED_VALUE"""),1.0)</f>
        <v>1</v>
      </c>
      <c r="F551" s="49" t="str">
        <f>IFERROR(__xludf.DUMMYFUNCTION("""COMPUTED_VALUE""")," ++When you attack an enemy with a firearm, inflict Marked 3. +-Forged Paladin Class Only.")</f>
        <v> ++When you attack an enemy with a firearm, inflict Marked 3. +-Forged Paladin Class Only.</v>
      </c>
      <c r="G551" s="49">
        <f>IFERROR(__xludf.DUMMYFUNCTION("""COMPUTED_VALUE"""),0.0)</f>
        <v>0</v>
      </c>
      <c r="H551" s="49"/>
      <c r="I551" s="49"/>
      <c r="J551" s="49"/>
      <c r="K551" s="49"/>
      <c r="L551" s="49"/>
      <c r="M551" s="49"/>
      <c r="N551" s="49"/>
      <c r="O551" s="49"/>
      <c r="P551" s="49"/>
      <c r="Q551" s="49"/>
      <c r="R551" s="49"/>
      <c r="S551" s="49"/>
      <c r="T551" s="49"/>
      <c r="U551" s="49"/>
      <c r="V551" s="49"/>
      <c r="W551" s="49"/>
      <c r="X551" s="49"/>
      <c r="Y551" s="49"/>
      <c r="Z551" s="49"/>
    </row>
    <row r="552">
      <c r="A552" s="49" t="str">
        <f>IFERROR(__xludf.DUMMYFUNCTION("""COMPUTED_VALUE"""),"Scrap Gorget")</f>
        <v>Scrap Gorget</v>
      </c>
      <c r="B552" s="49" t="str">
        <f>IFERROR(__xludf.DUMMYFUNCTION("""COMPUTED_VALUE"""),"Quest Item")</f>
        <v>Quest Item</v>
      </c>
      <c r="C552" s="49"/>
      <c r="D552" s="49" t="str">
        <f>IFERROR(__xludf.DUMMYFUNCTION("""COMPUTED_VALUE"""),"Neck")</f>
        <v>Neck</v>
      </c>
      <c r="E552" s="49">
        <f>IFERROR(__xludf.DUMMYFUNCTION("""COMPUTED_VALUE"""),1.0)</f>
        <v>1</v>
      </c>
      <c r="F552" s="49"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49">
        <f>IFERROR(__xludf.DUMMYFUNCTION("""COMPUTED_VALUE"""),0.0)</f>
        <v>0</v>
      </c>
      <c r="H552" s="49"/>
      <c r="I552" s="49"/>
      <c r="J552" s="49"/>
      <c r="K552" s="49"/>
      <c r="L552" s="49"/>
      <c r="M552" s="49"/>
      <c r="N552" s="49"/>
      <c r="O552" s="49"/>
      <c r="P552" s="49"/>
      <c r="Q552" s="49"/>
      <c r="R552" s="49"/>
      <c r="S552" s="49"/>
      <c r="T552" s="49"/>
      <c r="U552" s="49"/>
      <c r="V552" s="49"/>
      <c r="W552" s="49"/>
      <c r="X552" s="49"/>
      <c r="Y552" s="49"/>
      <c r="Z552" s="49"/>
    </row>
    <row r="553">
      <c r="A553" s="49" t="str">
        <f>IFERROR(__xludf.DUMMYFUNCTION("""COMPUTED_VALUE"""),"Minstrel's Cap")</f>
        <v>Minstrel's Cap</v>
      </c>
      <c r="B553" s="49" t="str">
        <f>IFERROR(__xludf.DUMMYFUNCTION("""COMPUTED_VALUE"""),"Quest Item")</f>
        <v>Quest Item</v>
      </c>
      <c r="C553" s="49"/>
      <c r="D553" s="49" t="str">
        <f>IFERROR(__xludf.DUMMYFUNCTION("""COMPUTED_VALUE"""),"Head")</f>
        <v>Head</v>
      </c>
      <c r="E553" s="49">
        <f>IFERROR(__xludf.DUMMYFUNCTION("""COMPUTED_VALUE"""),400.0)</f>
        <v>400</v>
      </c>
      <c r="F553" s="49"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49">
        <f>IFERROR(__xludf.DUMMYFUNCTION("""COMPUTED_VALUE"""),7800000.0)</f>
        <v>7800000</v>
      </c>
      <c r="H553" s="49"/>
      <c r="I553" s="49"/>
      <c r="J553" s="49"/>
      <c r="K553" s="49"/>
      <c r="L553" s="49"/>
      <c r="M553" s="49"/>
      <c r="N553" s="49"/>
      <c r="O553" s="49"/>
      <c r="P553" s="49"/>
      <c r="Q553" s="49"/>
      <c r="R553" s="49"/>
      <c r="S553" s="49"/>
      <c r="T553" s="49"/>
      <c r="U553" s="49"/>
      <c r="V553" s="49"/>
      <c r="W553" s="49"/>
      <c r="X553" s="49"/>
      <c r="Y553" s="49"/>
      <c r="Z553" s="49"/>
    </row>
    <row r="554">
      <c r="A554" s="49" t="str">
        <f>IFERROR(__xludf.DUMMYFUNCTION("""COMPUTED_VALUE"""),"Minstrel's Cape")</f>
        <v>Minstrel's Cape</v>
      </c>
      <c r="B554" s="49" t="str">
        <f>IFERROR(__xludf.DUMMYFUNCTION("""COMPUTED_VALUE"""),"Quest Item")</f>
        <v>Quest Item</v>
      </c>
      <c r="C554" s="49"/>
      <c r="D554" s="49" t="str">
        <f>IFERROR(__xludf.DUMMYFUNCTION("""COMPUTED_VALUE"""),"Shoulders")</f>
        <v>Shoulders</v>
      </c>
      <c r="E554" s="49">
        <f>IFERROR(__xludf.DUMMYFUNCTION("""COMPUTED_VALUE"""),400.0)</f>
        <v>400</v>
      </c>
      <c r="F554" s="49"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49">
        <f>IFERROR(__xludf.DUMMYFUNCTION("""COMPUTED_VALUE"""),7800000.0)</f>
        <v>7800000</v>
      </c>
      <c r="H554" s="49"/>
      <c r="I554" s="49"/>
      <c r="J554" s="49"/>
      <c r="K554" s="49"/>
      <c r="L554" s="49"/>
      <c r="M554" s="49"/>
      <c r="N554" s="49"/>
      <c r="O554" s="49"/>
      <c r="P554" s="49"/>
      <c r="Q554" s="49"/>
      <c r="R554" s="49"/>
      <c r="S554" s="49"/>
      <c r="T554" s="49"/>
      <c r="U554" s="49"/>
      <c r="V554" s="49"/>
      <c r="W554" s="49"/>
      <c r="X554" s="49"/>
      <c r="Y554" s="49"/>
      <c r="Z554" s="49"/>
    </row>
    <row r="555">
      <c r="A555" s="49" t="str">
        <f>IFERROR(__xludf.DUMMYFUNCTION("""COMPUTED_VALUE"""),"Minstrel's Doublet")</f>
        <v>Minstrel's Doublet</v>
      </c>
      <c r="B555" s="49" t="str">
        <f>IFERROR(__xludf.DUMMYFUNCTION("""COMPUTED_VALUE"""),"Quest Item")</f>
        <v>Quest Item</v>
      </c>
      <c r="C555" s="49"/>
      <c r="D555" s="49" t="str">
        <f>IFERROR(__xludf.DUMMYFUNCTION("""COMPUTED_VALUE"""),"Torso")</f>
        <v>Torso</v>
      </c>
      <c r="E555" s="49">
        <f>IFERROR(__xludf.DUMMYFUNCTION("""COMPUTED_VALUE"""),800.0)</f>
        <v>800</v>
      </c>
      <c r="F555" s="49"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49">
        <f>IFERROR(__xludf.DUMMYFUNCTION("""COMPUTED_VALUE"""),3.16E7)</f>
        <v>31600000</v>
      </c>
      <c r="H555" s="49"/>
      <c r="I555" s="49"/>
      <c r="J555" s="49"/>
      <c r="K555" s="49"/>
      <c r="L555" s="49"/>
      <c r="M555" s="49"/>
      <c r="N555" s="49"/>
      <c r="O555" s="49"/>
      <c r="P555" s="49"/>
      <c r="Q555" s="49"/>
      <c r="R555" s="49"/>
      <c r="S555" s="49"/>
      <c r="T555" s="49"/>
      <c r="U555" s="49"/>
      <c r="V555" s="49"/>
      <c r="W555" s="49"/>
      <c r="X555" s="49"/>
      <c r="Y555" s="49"/>
      <c r="Z555" s="49"/>
    </row>
    <row r="556">
      <c r="A556" s="49" t="str">
        <f>IFERROR(__xludf.DUMMYFUNCTION("""COMPUTED_VALUE"""),"Minstrel's Cuffs")</f>
        <v>Minstrel's Cuffs</v>
      </c>
      <c r="B556" s="49" t="str">
        <f>IFERROR(__xludf.DUMMYFUNCTION("""COMPUTED_VALUE"""),"Quest Item")</f>
        <v>Quest Item</v>
      </c>
      <c r="C556" s="49"/>
      <c r="D556" s="49" t="str">
        <f>IFERROR(__xludf.DUMMYFUNCTION("""COMPUTED_VALUE"""),"Arms")</f>
        <v>Arms</v>
      </c>
      <c r="E556" s="49">
        <f>IFERROR(__xludf.DUMMYFUNCTION("""COMPUTED_VALUE"""),400.0)</f>
        <v>400</v>
      </c>
      <c r="F556" s="49"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49">
        <f>IFERROR(__xludf.DUMMYFUNCTION("""COMPUTED_VALUE"""),7800000.0)</f>
        <v>7800000</v>
      </c>
      <c r="H556" s="49"/>
      <c r="I556" s="49"/>
      <c r="J556" s="49"/>
      <c r="K556" s="49"/>
      <c r="L556" s="49"/>
      <c r="M556" s="49"/>
      <c r="N556" s="49"/>
      <c r="O556" s="49"/>
      <c r="P556" s="49"/>
      <c r="Q556" s="49"/>
      <c r="R556" s="49"/>
      <c r="S556" s="49"/>
      <c r="T556" s="49"/>
      <c r="U556" s="49"/>
      <c r="V556" s="49"/>
      <c r="W556" s="49"/>
      <c r="X556" s="49"/>
      <c r="Y556" s="49"/>
      <c r="Z556" s="49"/>
    </row>
    <row r="557">
      <c r="A557" s="49" t="str">
        <f>IFERROR(__xludf.DUMMYFUNCTION("""COMPUTED_VALUE"""),"Heavenly Lute")</f>
        <v>Heavenly Lute</v>
      </c>
      <c r="B557" s="49" t="str">
        <f>IFERROR(__xludf.DUMMYFUNCTION("""COMPUTED_VALUE"""),"Quest Item")</f>
        <v>Quest Item</v>
      </c>
      <c r="C557" s="49" t="str">
        <f>IFERROR(__xludf.DUMMYFUNCTION("""COMPUTED_VALUE"""),"Instrument")</f>
        <v>Instrument</v>
      </c>
      <c r="D557" s="49" t="str">
        <f>IFERROR(__xludf.DUMMYFUNCTION("""COMPUTED_VALUE"""),"Hand")</f>
        <v>Hand</v>
      </c>
      <c r="E557" s="49">
        <f>IFERROR(__xludf.DUMMYFUNCTION("""COMPUTED_VALUE"""),900.0)</f>
        <v>900</v>
      </c>
      <c r="F557" s="49"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49">
        <f>IFERROR(__xludf.DUMMYFUNCTION("""COMPUTED_VALUE"""),4.005E7)</f>
        <v>40050000</v>
      </c>
      <c r="H557" s="49"/>
      <c r="I557" s="49"/>
      <c r="J557" s="49"/>
      <c r="K557" s="49"/>
      <c r="L557" s="49"/>
      <c r="M557" s="49"/>
      <c r="N557" s="49"/>
      <c r="O557" s="49"/>
      <c r="P557" s="49"/>
      <c r="Q557" s="49"/>
      <c r="R557" s="49"/>
      <c r="S557" s="49"/>
      <c r="T557" s="49"/>
      <c r="U557" s="49"/>
      <c r="V557" s="49"/>
      <c r="W557" s="49"/>
      <c r="X557" s="49"/>
      <c r="Y557" s="49"/>
      <c r="Z557" s="49"/>
    </row>
    <row r="558">
      <c r="A558" s="49" t="str">
        <f>IFERROR(__xludf.DUMMYFUNCTION("""COMPUTED_VALUE"""),"Wine Stained Buckler With Portable Alcoholism")</f>
        <v>Wine Stained Buckler With Portable Alcoholism</v>
      </c>
      <c r="B558" s="49" t="str">
        <f>IFERROR(__xludf.DUMMYFUNCTION("""COMPUTED_VALUE"""),"Quest Item")</f>
        <v>Quest Item</v>
      </c>
      <c r="C558" s="49" t="str">
        <f>IFERROR(__xludf.DUMMYFUNCTION("""COMPUTED_VALUE"""),"Buckler")</f>
        <v>Buckler</v>
      </c>
      <c r="D558" s="49" t="str">
        <f>IFERROR(__xludf.DUMMYFUNCTION("""COMPUTED_VALUE"""),"Hand")</f>
        <v>Hand</v>
      </c>
      <c r="E558" s="49">
        <f>IFERROR(__xludf.DUMMYFUNCTION("""COMPUTED_VALUE"""),1500.0)</f>
        <v>1500</v>
      </c>
      <c r="F558" s="49"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49">
        <f>IFERROR(__xludf.DUMMYFUNCTION("""COMPUTED_VALUE"""),1.1175E8)</f>
        <v>111750000</v>
      </c>
      <c r="H558" s="49"/>
      <c r="I558" s="49"/>
      <c r="J558" s="49"/>
      <c r="K558" s="49"/>
      <c r="L558" s="49"/>
      <c r="M558" s="49"/>
      <c r="N558" s="49"/>
      <c r="O558" s="49"/>
      <c r="P558" s="49"/>
      <c r="Q558" s="49"/>
      <c r="R558" s="49"/>
      <c r="S558" s="49"/>
      <c r="T558" s="49"/>
      <c r="U558" s="49"/>
      <c r="V558" s="49"/>
      <c r="W558" s="49"/>
      <c r="X558" s="49"/>
      <c r="Y558" s="49"/>
      <c r="Z558" s="49"/>
    </row>
    <row r="559">
      <c r="A559" s="49" t="str">
        <f>IFERROR(__xludf.DUMMYFUNCTION("""COMPUTED_VALUE"""),"Minstrel's Tights")</f>
        <v>Minstrel's Tights</v>
      </c>
      <c r="B559" s="49" t="str">
        <f>IFERROR(__xludf.DUMMYFUNCTION("""COMPUTED_VALUE"""),"Quest Item")</f>
        <v>Quest Item</v>
      </c>
      <c r="C559" s="49"/>
      <c r="D559" s="49" t="str">
        <f>IFERROR(__xludf.DUMMYFUNCTION("""COMPUTED_VALUE"""),"Legs")</f>
        <v>Legs</v>
      </c>
      <c r="E559" s="49">
        <f>IFERROR(__xludf.DUMMYFUNCTION("""COMPUTED_VALUE"""),400.0)</f>
        <v>400</v>
      </c>
      <c r="F559" s="49" t="str">
        <f>IFERROR(__xludf.DUMMYFUNCTION("""COMPUTED_VALUE"""),"DEF: +20000 ++20,000 ACC and ATK. ++X2 Acoustic Damage +-Paladin of The Party and Bard Class only.")</f>
        <v>DEF: +20000 ++20,000 ACC and ATK. ++X2 Acoustic Damage +-Paladin of The Party and Bard Class only.</v>
      </c>
      <c r="G559" s="49">
        <f>IFERROR(__xludf.DUMMYFUNCTION("""COMPUTED_VALUE"""),7800000.0)</f>
        <v>7800000</v>
      </c>
      <c r="H559" s="49"/>
      <c r="I559" s="49"/>
      <c r="J559" s="49"/>
      <c r="K559" s="49"/>
      <c r="L559" s="49"/>
      <c r="M559" s="49"/>
      <c r="N559" s="49"/>
      <c r="O559" s="49"/>
      <c r="P559" s="49"/>
      <c r="Q559" s="49"/>
      <c r="R559" s="49"/>
      <c r="S559" s="49"/>
      <c r="T559" s="49"/>
      <c r="U559" s="49"/>
      <c r="V559" s="49"/>
      <c r="W559" s="49"/>
      <c r="X559" s="49"/>
      <c r="Y559" s="49"/>
      <c r="Z559" s="49"/>
    </row>
    <row r="560">
      <c r="A560" s="49" t="str">
        <f>IFERROR(__xludf.DUMMYFUNCTION("""COMPUTED_VALUE"""),"Minstrel's Boots")</f>
        <v>Minstrel's Boots</v>
      </c>
      <c r="B560" s="49" t="str">
        <f>IFERROR(__xludf.DUMMYFUNCTION("""COMPUTED_VALUE"""),"Quest Item")</f>
        <v>Quest Item</v>
      </c>
      <c r="C560" s="49"/>
      <c r="D560" s="49" t="str">
        <f>IFERROR(__xludf.DUMMYFUNCTION("""COMPUTED_VALUE"""),"Feet")</f>
        <v>Feet</v>
      </c>
      <c r="E560" s="49">
        <f>IFERROR(__xludf.DUMMYFUNCTION("""COMPUTED_VALUE"""),400.0)</f>
        <v>400</v>
      </c>
      <c r="F560" s="49"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49">
        <f>IFERROR(__xludf.DUMMYFUNCTION("""COMPUTED_VALUE"""),7800000.0)</f>
        <v>7800000</v>
      </c>
      <c r="H560" s="49"/>
      <c r="I560" s="49"/>
      <c r="J560" s="49"/>
      <c r="K560" s="49"/>
      <c r="L560" s="49"/>
      <c r="M560" s="49"/>
      <c r="N560" s="49"/>
      <c r="O560" s="49"/>
      <c r="P560" s="49"/>
      <c r="Q560" s="49"/>
      <c r="R560" s="49"/>
      <c r="S560" s="49"/>
      <c r="T560" s="49"/>
      <c r="U560" s="49"/>
      <c r="V560" s="49"/>
      <c r="W560" s="49"/>
      <c r="X560" s="49"/>
      <c r="Y560" s="49"/>
      <c r="Z560" s="49"/>
    </row>
    <row r="561">
      <c r="A561" s="49" t="str">
        <f>IFERROR(__xludf.DUMMYFUNCTION("""COMPUTED_VALUE"""),"Brass Ring of Blackout Drunkenness")</f>
        <v>Brass Ring of Blackout Drunkenness</v>
      </c>
      <c r="B561" s="49" t="str">
        <f>IFERROR(__xludf.DUMMYFUNCTION("""COMPUTED_VALUE"""),"Quest Item")</f>
        <v>Quest Item</v>
      </c>
      <c r="C561" s="49"/>
      <c r="D561" s="49" t="str">
        <f>IFERROR(__xludf.DUMMYFUNCTION("""COMPUTED_VALUE"""),"Ring")</f>
        <v>Ring</v>
      </c>
      <c r="E561" s="49">
        <f>IFERROR(__xludf.DUMMYFUNCTION("""COMPUTED_VALUE"""),1.0)</f>
        <v>1</v>
      </c>
      <c r="F561" s="49"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49">
        <f>IFERROR(__xludf.DUMMYFUNCTION("""COMPUTED_VALUE"""),0.0)</f>
        <v>0</v>
      </c>
      <c r="H561" s="49"/>
      <c r="I561" s="49"/>
      <c r="J561" s="49"/>
      <c r="K561" s="49"/>
      <c r="L561" s="49"/>
      <c r="M561" s="49"/>
      <c r="N561" s="49"/>
      <c r="O561" s="49"/>
      <c r="P561" s="49"/>
      <c r="Q561" s="49"/>
      <c r="R561" s="49"/>
      <c r="S561" s="49"/>
      <c r="T561" s="49"/>
      <c r="U561" s="49"/>
      <c r="V561" s="49"/>
      <c r="W561" s="49"/>
      <c r="X561" s="49"/>
      <c r="Y561" s="49"/>
      <c r="Z561" s="49"/>
    </row>
    <row r="562">
      <c r="A562" s="49" t="str">
        <f>IFERROR(__xludf.DUMMYFUNCTION("""COMPUTED_VALUE"""),"Wreath of The Party's Fervor")</f>
        <v>Wreath of The Party's Fervor</v>
      </c>
      <c r="B562" s="49" t="str">
        <f>IFERROR(__xludf.DUMMYFUNCTION("""COMPUTED_VALUE"""),"Quest Item")</f>
        <v>Quest Item</v>
      </c>
      <c r="C562" s="49"/>
      <c r="D562" s="49" t="str">
        <f>IFERROR(__xludf.DUMMYFUNCTION("""COMPUTED_VALUE"""),"Neck")</f>
        <v>Neck</v>
      </c>
      <c r="E562" s="49">
        <f>IFERROR(__xludf.DUMMYFUNCTION("""COMPUTED_VALUE"""),1.0)</f>
        <v>1</v>
      </c>
      <c r="F562" s="49"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49">
        <f>IFERROR(__xludf.DUMMYFUNCTION("""COMPUTED_VALUE"""),0.0)</f>
        <v>0</v>
      </c>
      <c r="H562" s="49"/>
      <c r="I562" s="49"/>
      <c r="J562" s="49"/>
      <c r="K562" s="49"/>
      <c r="L562" s="49"/>
      <c r="M562" s="49"/>
      <c r="N562" s="49"/>
      <c r="O562" s="49"/>
      <c r="P562" s="49"/>
      <c r="Q562" s="49"/>
      <c r="R562" s="49"/>
      <c r="S562" s="49"/>
      <c r="T562" s="49"/>
      <c r="U562" s="49"/>
      <c r="V562" s="49"/>
      <c r="W562" s="49"/>
      <c r="X562" s="49"/>
      <c r="Y562" s="49"/>
      <c r="Z562" s="49"/>
    </row>
    <row r="563">
      <c r="A563" s="49" t="str">
        <f>IFERROR(__xludf.DUMMYFUNCTION("""COMPUTED_VALUE"""),"Pauldrons of Tritonoch")</f>
        <v>Pauldrons of Tritonoch</v>
      </c>
      <c r="B563" s="49"/>
      <c r="C563" s="49"/>
      <c r="D563" s="49" t="str">
        <f>IFERROR(__xludf.DUMMYFUNCTION("""COMPUTED_VALUE"""),"Shoulders")</f>
        <v>Shoulders</v>
      </c>
      <c r="E563" s="49">
        <f>IFERROR(__xludf.DUMMYFUNCTION("""COMPUTED_VALUE"""),800.0)</f>
        <v>800</v>
      </c>
      <c r="F563" s="49" t="str">
        <f>IFERROR(__xludf.DUMMYFUNCTION("""COMPUTED_VALUE"""),"DEF: +20000, Water DEF: +20000 ++Waves of Entitlement - x5 additional Water damage")</f>
        <v>DEF: +20000, Water DEF: +20000 ++Waves of Entitlement - x5 additional Water damage</v>
      </c>
      <c r="G563" s="49">
        <f>IFERROR(__xludf.DUMMYFUNCTION("""COMPUTED_VALUE"""),3.16E7)</f>
        <v>31600000</v>
      </c>
      <c r="H563" s="49"/>
      <c r="I563" s="49"/>
      <c r="J563" s="49"/>
      <c r="K563" s="49"/>
      <c r="L563" s="49"/>
      <c r="M563" s="49"/>
      <c r="N563" s="49"/>
      <c r="O563" s="49"/>
      <c r="P563" s="49"/>
      <c r="Q563" s="49"/>
      <c r="R563" s="49"/>
      <c r="S563" s="49"/>
      <c r="T563" s="49"/>
      <c r="U563" s="49"/>
      <c r="V563" s="49"/>
      <c r="W563" s="49"/>
      <c r="X563" s="49"/>
      <c r="Y563" s="49"/>
      <c r="Z563" s="49"/>
    </row>
    <row r="564">
      <c r="A564" s="49" t="str">
        <f>IFERROR(__xludf.DUMMYFUNCTION("""COMPUTED_VALUE"""),"Chestplate of Tritonoch")</f>
        <v>Chestplate of Tritonoch</v>
      </c>
      <c r="B564" s="49"/>
      <c r="C564" s="49"/>
      <c r="D564" s="49" t="str">
        <f>IFERROR(__xludf.DUMMYFUNCTION("""COMPUTED_VALUE"""),"Torso")</f>
        <v>Torso</v>
      </c>
      <c r="E564" s="49">
        <f>IFERROR(__xludf.DUMMYFUNCTION("""COMPUTED_VALUE"""),800.0)</f>
        <v>800</v>
      </c>
      <c r="F564" s="49" t="str">
        <f>IFERROR(__xludf.DUMMYFUNCTION("""COMPUTED_VALUE"""),"DEF: +20000, Water DEF: +20000 ++Waves of Entitlement - x5 additional Water damage")</f>
        <v>DEF: +20000, Water DEF: +20000 ++Waves of Entitlement - x5 additional Water damage</v>
      </c>
      <c r="G564" s="49">
        <f>IFERROR(__xludf.DUMMYFUNCTION("""COMPUTED_VALUE"""),3.16E7)</f>
        <v>31600000</v>
      </c>
      <c r="H564" s="49"/>
      <c r="I564" s="49"/>
      <c r="J564" s="49"/>
      <c r="K564" s="49"/>
      <c r="L564" s="49"/>
      <c r="M564" s="49"/>
      <c r="N564" s="49"/>
      <c r="O564" s="49"/>
      <c r="P564" s="49"/>
      <c r="Q564" s="49"/>
      <c r="R564" s="49"/>
      <c r="S564" s="49"/>
      <c r="T564" s="49"/>
      <c r="U564" s="49"/>
      <c r="V564" s="49"/>
      <c r="W564" s="49"/>
      <c r="X564" s="49"/>
      <c r="Y564" s="49"/>
      <c r="Z564" s="49"/>
    </row>
    <row r="565">
      <c r="A565" s="49" t="str">
        <f>IFERROR(__xludf.DUMMYFUNCTION("""COMPUTED_VALUE"""),"Vambraces of Tritonoch")</f>
        <v>Vambraces of Tritonoch</v>
      </c>
      <c r="B565" s="49"/>
      <c r="C565" s="49"/>
      <c r="D565" s="49" t="str">
        <f>IFERROR(__xludf.DUMMYFUNCTION("""COMPUTED_VALUE"""),"Arms")</f>
        <v>Arms</v>
      </c>
      <c r="E565" s="49">
        <f>IFERROR(__xludf.DUMMYFUNCTION("""COMPUTED_VALUE"""),800.0)</f>
        <v>800</v>
      </c>
      <c r="F565" s="49" t="str">
        <f>IFERROR(__xludf.DUMMYFUNCTION("""COMPUTED_VALUE"""),"DEF: +20000, Water DEF: +20000 ++Waves of Entitlement - x5 additional Water damage")</f>
        <v>DEF: +20000, Water DEF: +20000 ++Waves of Entitlement - x5 additional Water damage</v>
      </c>
      <c r="G565" s="49">
        <f>IFERROR(__xludf.DUMMYFUNCTION("""COMPUTED_VALUE"""),3.16E7)</f>
        <v>31600000</v>
      </c>
      <c r="H565" s="49"/>
      <c r="I565" s="49"/>
      <c r="J565" s="49"/>
      <c r="K565" s="49"/>
      <c r="L565" s="49"/>
      <c r="M565" s="49"/>
      <c r="N565" s="49"/>
      <c r="O565" s="49"/>
      <c r="P565" s="49"/>
      <c r="Q565" s="49"/>
      <c r="R565" s="49"/>
      <c r="S565" s="49"/>
      <c r="T565" s="49"/>
      <c r="U565" s="49"/>
      <c r="V565" s="49"/>
      <c r="W565" s="49"/>
      <c r="X565" s="49"/>
      <c r="Y565" s="49"/>
      <c r="Z565" s="49"/>
    </row>
    <row r="566">
      <c r="A566" s="49" t="str">
        <f>IFERROR(__xludf.DUMMYFUNCTION("""COMPUTED_VALUE"""),"Trident of Tritonoch")</f>
        <v>Trident of Tritonoch</v>
      </c>
      <c r="B566" s="49"/>
      <c r="C566" s="49" t="str">
        <f>IFERROR(__xludf.DUMMYFUNCTION("""COMPUTED_VALUE"""),"Spear")</f>
        <v>Spear</v>
      </c>
      <c r="D566" s="49" t="str">
        <f>IFERROR(__xludf.DUMMYFUNCTION("""COMPUTED_VALUE"""),"Hand")</f>
        <v>Hand</v>
      </c>
      <c r="E566" s="49">
        <f>IFERROR(__xludf.DUMMYFUNCTION("""COMPUTED_VALUE"""),200.0)</f>
        <v>200</v>
      </c>
      <c r="F566" s="49"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49">
        <f>IFERROR(__xludf.DUMMYFUNCTION("""COMPUTED_VALUE"""),7.14E7)</f>
        <v>71400000</v>
      </c>
      <c r="H566" s="49"/>
      <c r="I566" s="49"/>
      <c r="J566" s="49"/>
      <c r="K566" s="49"/>
      <c r="L566" s="49"/>
      <c r="M566" s="49"/>
      <c r="N566" s="49"/>
      <c r="O566" s="49"/>
      <c r="P566" s="49"/>
      <c r="Q566" s="49"/>
      <c r="R566" s="49"/>
      <c r="S566" s="49"/>
      <c r="T566" s="49"/>
      <c r="U566" s="49"/>
      <c r="V566" s="49"/>
      <c r="W566" s="49"/>
      <c r="X566" s="49"/>
      <c r="Y566" s="49"/>
      <c r="Z566" s="49"/>
    </row>
    <row r="567">
      <c r="A567" s="49" t="str">
        <f>IFERROR(__xludf.DUMMYFUNCTION("""COMPUTED_VALUE"""),"Boots of Tritonoch")</f>
        <v>Boots of Tritonoch</v>
      </c>
      <c r="B567" s="49"/>
      <c r="C567" s="49"/>
      <c r="D567" s="49" t="str">
        <f>IFERROR(__xludf.DUMMYFUNCTION("""COMPUTED_VALUE"""),"Feet")</f>
        <v>Feet</v>
      </c>
      <c r="E567" s="49">
        <f>IFERROR(__xludf.DUMMYFUNCTION("""COMPUTED_VALUE"""),800.0)</f>
        <v>800</v>
      </c>
      <c r="F567" s="49" t="str">
        <f>IFERROR(__xludf.DUMMYFUNCTION("""COMPUTED_VALUE"""),"DEF: +20000, Water DEF: +20000 ++Waves of Entitlement - x5 additional Water damage")</f>
        <v>DEF: +20000, Water DEF: +20000 ++Waves of Entitlement - x5 additional Water damage</v>
      </c>
      <c r="G567" s="49">
        <f>IFERROR(__xludf.DUMMYFUNCTION("""COMPUTED_VALUE"""),3.16E7)</f>
        <v>31600000</v>
      </c>
      <c r="H567" s="49"/>
      <c r="I567" s="49"/>
      <c r="J567" s="49"/>
      <c r="K567" s="49"/>
      <c r="L567" s="49"/>
      <c r="M567" s="49"/>
      <c r="N567" s="49"/>
      <c r="O567" s="49"/>
      <c r="P567" s="49"/>
      <c r="Q567" s="49"/>
      <c r="R567" s="49"/>
      <c r="S567" s="49"/>
      <c r="T567" s="49"/>
      <c r="U567" s="49"/>
      <c r="V567" s="49"/>
      <c r="W567" s="49"/>
      <c r="X567" s="49"/>
      <c r="Y567" s="49"/>
      <c r="Z567" s="49"/>
    </row>
    <row r="568">
      <c r="A568" s="49" t="str">
        <f>IFERROR(__xludf.DUMMYFUNCTION("""COMPUTED_VALUE"""),"Steel Bandit Dagger")</f>
        <v>Steel Bandit Dagger</v>
      </c>
      <c r="B568" s="49"/>
      <c r="C568" s="49" t="str">
        <f>IFERROR(__xludf.DUMMYFUNCTION("""COMPUTED_VALUE"""),"Knife")</f>
        <v>Knife</v>
      </c>
      <c r="D568" s="49" t="str">
        <f>IFERROR(__xludf.DUMMYFUNCTION("""COMPUTED_VALUE"""),"Hand")</f>
        <v>Hand</v>
      </c>
      <c r="E568" s="49">
        <f>IFERROR(__xludf.DUMMYFUNCTION("""COMPUTED_VALUE"""),1000.0)</f>
        <v>1000</v>
      </c>
      <c r="F568" s="49" t="str">
        <f>IFERROR(__xludf.DUMMYFUNCTION("""COMPUTED_VALUE"""),"DMG: +50000 ++10% chance to steal gilders upon hitting an enemy guilders stolen are equivalent to 1,000*d20")</f>
        <v>DMG: +50000 ++10% chance to steal gilders upon hitting an enemy guilders stolen are equivalent to 1,000*d20</v>
      </c>
      <c r="G568" s="49">
        <f>IFERROR(__xludf.DUMMYFUNCTION("""COMPUTED_VALUE"""),4.95E7)</f>
        <v>49500000</v>
      </c>
      <c r="H568" s="49"/>
      <c r="I568" s="49"/>
      <c r="J568" s="49"/>
      <c r="K568" s="49"/>
      <c r="L568" s="49"/>
      <c r="M568" s="49"/>
      <c r="N568" s="49"/>
      <c r="O568" s="49"/>
      <c r="P568" s="49"/>
      <c r="Q568" s="49"/>
      <c r="R568" s="49"/>
      <c r="S568" s="49"/>
      <c r="T568" s="49"/>
      <c r="U568" s="49"/>
      <c r="V568" s="49"/>
      <c r="W568" s="49"/>
      <c r="X568" s="49"/>
      <c r="Y568" s="49"/>
      <c r="Z568" s="49"/>
    </row>
    <row r="569">
      <c r="A569" s="49" t="str">
        <f>IFERROR(__xludf.DUMMYFUNCTION("""COMPUTED_VALUE"""),"Bandit Hide Helm")</f>
        <v>Bandit Hide Helm</v>
      </c>
      <c r="B569" s="49"/>
      <c r="C569" s="49"/>
      <c r="D569" s="49" t="str">
        <f>IFERROR(__xludf.DUMMYFUNCTION("""COMPUTED_VALUE"""),"Head")</f>
        <v>Head</v>
      </c>
      <c r="E569" s="49">
        <f>IFERROR(__xludf.DUMMYFUNCTION("""COMPUTED_VALUE"""),1000.0)</f>
        <v>1000</v>
      </c>
      <c r="F569" s="49" t="str">
        <f>IFERROR(__xludf.DUMMYFUNCTION("""COMPUTED_VALUE"""),"DEF: +50000")</f>
        <v>DEF: +50000</v>
      </c>
      <c r="G569" s="49">
        <f>IFERROR(__xludf.DUMMYFUNCTION("""COMPUTED_VALUE"""),4.95E7)</f>
        <v>49500000</v>
      </c>
      <c r="H569" s="49"/>
      <c r="I569" s="49"/>
      <c r="J569" s="49"/>
      <c r="K569" s="49"/>
      <c r="L569" s="49"/>
      <c r="M569" s="49"/>
      <c r="N569" s="49"/>
      <c r="O569" s="49"/>
      <c r="P569" s="49"/>
      <c r="Q569" s="49"/>
      <c r="R569" s="49"/>
      <c r="S569" s="49"/>
      <c r="T569" s="49"/>
      <c r="U569" s="49"/>
      <c r="V569" s="49"/>
      <c r="W569" s="49"/>
      <c r="X569" s="49"/>
      <c r="Y569" s="49"/>
      <c r="Z569" s="49"/>
    </row>
    <row r="570">
      <c r="A570" s="49" t="str">
        <f>IFERROR(__xludf.DUMMYFUNCTION("""COMPUTED_VALUE"""),"Bandit Hide Padding")</f>
        <v>Bandit Hide Padding</v>
      </c>
      <c r="B570" s="49"/>
      <c r="C570" s="49"/>
      <c r="D570" s="49" t="str">
        <f>IFERROR(__xludf.DUMMYFUNCTION("""COMPUTED_VALUE"""),"Shoulders")</f>
        <v>Shoulders</v>
      </c>
      <c r="E570" s="49">
        <f>IFERROR(__xludf.DUMMYFUNCTION("""COMPUTED_VALUE"""),1000.0)</f>
        <v>1000</v>
      </c>
      <c r="F570" s="49" t="str">
        <f>IFERROR(__xludf.DUMMYFUNCTION("""COMPUTED_VALUE"""),"DEF: +50000")</f>
        <v>DEF: +50000</v>
      </c>
      <c r="G570" s="49">
        <f>IFERROR(__xludf.DUMMYFUNCTION("""COMPUTED_VALUE"""),4.95E7)</f>
        <v>49500000</v>
      </c>
      <c r="H570" s="49"/>
      <c r="I570" s="49"/>
      <c r="J570" s="49"/>
      <c r="K570" s="49"/>
      <c r="L570" s="49"/>
      <c r="M570" s="49"/>
      <c r="N570" s="49"/>
      <c r="O570" s="49"/>
      <c r="P570" s="49"/>
      <c r="Q570" s="49"/>
      <c r="R570" s="49"/>
      <c r="S570" s="49"/>
      <c r="T570" s="49"/>
      <c r="U570" s="49"/>
      <c r="V570" s="49"/>
      <c r="W570" s="49"/>
      <c r="X570" s="49"/>
      <c r="Y570" s="49"/>
      <c r="Z570" s="49"/>
    </row>
    <row r="571">
      <c r="A571" s="49" t="str">
        <f>IFERROR(__xludf.DUMMYFUNCTION("""COMPUTED_VALUE"""),"Bandit Hide Chestplate")</f>
        <v>Bandit Hide Chestplate</v>
      </c>
      <c r="B571" s="49"/>
      <c r="C571" s="49"/>
      <c r="D571" s="49" t="str">
        <f>IFERROR(__xludf.DUMMYFUNCTION("""COMPUTED_VALUE"""),"Torso")</f>
        <v>Torso</v>
      </c>
      <c r="E571" s="49">
        <f>IFERROR(__xludf.DUMMYFUNCTION("""COMPUTED_VALUE"""),1000.0)</f>
        <v>1000</v>
      </c>
      <c r="F571" s="49" t="str">
        <f>IFERROR(__xludf.DUMMYFUNCTION("""COMPUTED_VALUE"""),"DEF: +50000 ++X2 damage with Knives")</f>
        <v>DEF: +50000 ++X2 damage with Knives</v>
      </c>
      <c r="G571" s="49">
        <f>IFERROR(__xludf.DUMMYFUNCTION("""COMPUTED_VALUE"""),4.95E7)</f>
        <v>49500000</v>
      </c>
      <c r="H571" s="49"/>
      <c r="I571" s="49"/>
      <c r="J571" s="49"/>
      <c r="K571" s="49"/>
      <c r="L571" s="49"/>
      <c r="M571" s="49"/>
      <c r="N571" s="49"/>
      <c r="O571" s="49"/>
      <c r="P571" s="49"/>
      <c r="Q571" s="49"/>
      <c r="R571" s="49"/>
      <c r="S571" s="49"/>
      <c r="T571" s="49"/>
      <c r="U571" s="49"/>
      <c r="V571" s="49"/>
      <c r="W571" s="49"/>
      <c r="X571" s="49"/>
      <c r="Y571" s="49"/>
      <c r="Z571" s="49"/>
    </row>
    <row r="572">
      <c r="A572" s="49" t="str">
        <f>IFERROR(__xludf.DUMMYFUNCTION("""COMPUTED_VALUE"""),"Bandit Hide Vambraces")</f>
        <v>Bandit Hide Vambraces</v>
      </c>
      <c r="B572" s="49"/>
      <c r="C572" s="49"/>
      <c r="D572" s="49" t="str">
        <f>IFERROR(__xludf.DUMMYFUNCTION("""COMPUTED_VALUE"""),"Arms")</f>
        <v>Arms</v>
      </c>
      <c r="E572" s="49">
        <f>IFERROR(__xludf.DUMMYFUNCTION("""COMPUTED_VALUE"""),1000.0)</f>
        <v>1000</v>
      </c>
      <c r="F572" s="49" t="str">
        <f>IFERROR(__xludf.DUMMYFUNCTION("""COMPUTED_VALUE"""),"DEF: +50000")</f>
        <v>DEF: +50000</v>
      </c>
      <c r="G572" s="49">
        <f>IFERROR(__xludf.DUMMYFUNCTION("""COMPUTED_VALUE"""),4.95E7)</f>
        <v>49500000</v>
      </c>
      <c r="H572" s="49"/>
      <c r="I572" s="49"/>
      <c r="J572" s="49"/>
      <c r="K572" s="49"/>
      <c r="L572" s="49"/>
      <c r="M572" s="49"/>
      <c r="N572" s="49"/>
      <c r="O572" s="49"/>
      <c r="P572" s="49"/>
      <c r="Q572" s="49"/>
      <c r="R572" s="49"/>
      <c r="S572" s="49"/>
      <c r="T572" s="49"/>
      <c r="U572" s="49"/>
      <c r="V572" s="49"/>
      <c r="W572" s="49"/>
      <c r="X572" s="49"/>
      <c r="Y572" s="49"/>
      <c r="Z572" s="49"/>
    </row>
    <row r="573">
      <c r="A573" s="49" t="str">
        <f>IFERROR(__xludf.DUMMYFUNCTION("""COMPUTED_VALUE"""),"Bandit Hide Greaves")</f>
        <v>Bandit Hide Greaves</v>
      </c>
      <c r="B573" s="49"/>
      <c r="C573" s="49"/>
      <c r="D573" s="49" t="str">
        <f>IFERROR(__xludf.DUMMYFUNCTION("""COMPUTED_VALUE"""),"Legs")</f>
        <v>Legs</v>
      </c>
      <c r="E573" s="49">
        <f>IFERROR(__xludf.DUMMYFUNCTION("""COMPUTED_VALUE"""),1000.0)</f>
        <v>1000</v>
      </c>
      <c r="F573" s="49" t="str">
        <f>IFERROR(__xludf.DUMMYFUNCTION("""COMPUTED_VALUE"""),"DEF: +50000")</f>
        <v>DEF: +50000</v>
      </c>
      <c r="G573" s="49">
        <f>IFERROR(__xludf.DUMMYFUNCTION("""COMPUTED_VALUE"""),4.95E7)</f>
        <v>49500000</v>
      </c>
      <c r="H573" s="49"/>
      <c r="I573" s="49"/>
      <c r="J573" s="49"/>
      <c r="K573" s="49"/>
      <c r="L573" s="49"/>
      <c r="M573" s="49"/>
      <c r="N573" s="49"/>
      <c r="O573" s="49"/>
      <c r="P573" s="49"/>
      <c r="Q573" s="49"/>
      <c r="R573" s="49"/>
      <c r="S573" s="49"/>
      <c r="T573" s="49"/>
      <c r="U573" s="49"/>
      <c r="V573" s="49"/>
      <c r="W573" s="49"/>
      <c r="X573" s="49"/>
      <c r="Y573" s="49"/>
      <c r="Z573" s="49"/>
    </row>
    <row r="574">
      <c r="A574" s="49" t="str">
        <f>IFERROR(__xludf.DUMMYFUNCTION("""COMPUTED_VALUE"""),"Bandit Hide Boots")</f>
        <v>Bandit Hide Boots</v>
      </c>
      <c r="B574" s="49"/>
      <c r="C574" s="49"/>
      <c r="D574" s="49" t="str">
        <f>IFERROR(__xludf.DUMMYFUNCTION("""COMPUTED_VALUE"""),"Feet")</f>
        <v>Feet</v>
      </c>
      <c r="E574" s="49">
        <f>IFERROR(__xludf.DUMMYFUNCTION("""COMPUTED_VALUE"""),1000.0)</f>
        <v>1000</v>
      </c>
      <c r="F574" s="49" t="str">
        <f>IFERROR(__xludf.DUMMYFUNCTION("""COMPUTED_VALUE"""),"DEF: +50000  ++5 to all confiscate, pickpocket, or take rolls")</f>
        <v>DEF: +50000  ++5 to all confiscate, pickpocket, or take rolls</v>
      </c>
      <c r="G574" s="49">
        <f>IFERROR(__xludf.DUMMYFUNCTION("""COMPUTED_VALUE"""),4.95E7)</f>
        <v>49500000</v>
      </c>
      <c r="H574" s="49"/>
      <c r="I574" s="49"/>
      <c r="J574" s="49"/>
      <c r="K574" s="49"/>
      <c r="L574" s="49"/>
      <c r="M574" s="49"/>
      <c r="N574" s="49"/>
      <c r="O574" s="49"/>
      <c r="P574" s="49"/>
      <c r="Q574" s="49"/>
      <c r="R574" s="49"/>
      <c r="S574" s="49"/>
      <c r="T574" s="49"/>
      <c r="U574" s="49"/>
      <c r="V574" s="49"/>
      <c r="W574" s="49"/>
      <c r="X574" s="49"/>
      <c r="Y574" s="49"/>
      <c r="Z574" s="49"/>
    </row>
    <row r="575">
      <c r="A575" s="49" t="str">
        <f>IFERROR(__xludf.DUMMYFUNCTION("""COMPUTED_VALUE"""),"Nunchucks")</f>
        <v>Nunchucks</v>
      </c>
      <c r="B575" s="49"/>
      <c r="C575" s="49" t="str">
        <f>IFERROR(__xludf.DUMMYFUNCTION("""COMPUTED_VALUE"""),"Club")</f>
        <v>Club</v>
      </c>
      <c r="D575" s="49" t="str">
        <f>IFERROR(__xludf.DUMMYFUNCTION("""COMPUTED_VALUE"""),"Hand")</f>
        <v>Hand</v>
      </c>
      <c r="E575" s="49">
        <f>IFERROR(__xludf.DUMMYFUNCTION("""COMPUTED_VALUE"""),3000.0)</f>
        <v>3000</v>
      </c>
      <c r="F575" s="49" t="str">
        <f>IFERROR(__xludf.DUMMYFUNCTION("""COMPUTED_VALUE"""),"DMG: +150000 ++10% chance to disarm your enemy when hitting them")</f>
        <v>DMG: +150000 ++10% chance to disarm your enemy when hitting them</v>
      </c>
      <c r="G575" s="49">
        <f>IFERROR(__xludf.DUMMYFUNCTION("""COMPUTED_VALUE"""),4.485E8)</f>
        <v>448500000</v>
      </c>
      <c r="H575" s="49"/>
      <c r="I575" s="49"/>
      <c r="J575" s="49"/>
      <c r="K575" s="49"/>
      <c r="L575" s="49"/>
      <c r="M575" s="49"/>
      <c r="N575" s="49"/>
      <c r="O575" s="49"/>
      <c r="P575" s="49"/>
      <c r="Q575" s="49"/>
      <c r="R575" s="49"/>
      <c r="S575" s="49"/>
      <c r="T575" s="49"/>
      <c r="U575" s="49"/>
      <c r="V575" s="49"/>
      <c r="W575" s="49"/>
      <c r="X575" s="49"/>
      <c r="Y575" s="49"/>
      <c r="Z575" s="49"/>
    </row>
    <row r="576">
      <c r="A576" s="49" t="str">
        <f>IFERROR(__xludf.DUMMYFUNCTION("""COMPUTED_VALUE"""),"Shuriken (Enhanced)")</f>
        <v>Shuriken (Enhanced)</v>
      </c>
      <c r="B576" s="49" t="str">
        <f>IFERROR(__xludf.DUMMYFUNCTION("""COMPUTED_VALUE"""),"the tantamount Ninja weapon, requires a level of dexterity you probably don't possess")</f>
        <v>the tantamount Ninja weapon, requires a level of dexterity you probably don't possess</v>
      </c>
      <c r="C576" s="49" t="str">
        <f>IFERROR(__xludf.DUMMYFUNCTION("""COMPUTED_VALUE"""),"Boomerang")</f>
        <v>Boomerang</v>
      </c>
      <c r="D576" s="49" t="str">
        <f>IFERROR(__xludf.DUMMYFUNCTION("""COMPUTED_VALUE"""),"Hand")</f>
        <v>Hand</v>
      </c>
      <c r="E576" s="49">
        <f>IFERROR(__xludf.DUMMYFUNCTION("""COMPUTED_VALUE"""),1500.0)</f>
        <v>1500</v>
      </c>
      <c r="F576" s="49" t="str">
        <f>IFERROR(__xludf.DUMMYFUNCTION("""COMPUTED_VALUE"""),"DMG: +50000, Blood DMG: +25000 ++Returns when thrown, can throw up to 4 in one attack (roll 1d4 to determine)")</f>
        <v>DMG: +50000, Blood DMG: +25000 ++Returns when thrown, can throw up to 4 in one attack (roll 1d4 to determine)</v>
      </c>
      <c r="G576" s="49">
        <f>IFERROR(__xludf.DUMMYFUNCTION("""COMPUTED_VALUE"""),1.1175E8)</f>
        <v>111750000</v>
      </c>
      <c r="H576" s="49"/>
      <c r="I576" s="49"/>
      <c r="J576" s="49"/>
      <c r="K576" s="49"/>
      <c r="L576" s="49"/>
      <c r="M576" s="49"/>
      <c r="N576" s="49"/>
      <c r="O576" s="49"/>
      <c r="P576" s="49"/>
      <c r="Q576" s="49"/>
      <c r="R576" s="49"/>
      <c r="S576" s="49"/>
      <c r="T576" s="49"/>
      <c r="U576" s="49"/>
      <c r="V576" s="49"/>
      <c r="W576" s="49"/>
      <c r="X576" s="49"/>
      <c r="Y576" s="49"/>
      <c r="Z576" s="49"/>
    </row>
    <row r="577">
      <c r="A577" s="49" t="str">
        <f>IFERROR(__xludf.DUMMYFUNCTION("""COMPUTED_VALUE"""),"Poison Dart Gun")</f>
        <v>Poison Dart Gun</v>
      </c>
      <c r="B577" s="49"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49" t="str">
        <f>IFERROR(__xludf.DUMMYFUNCTION("""COMPUTED_VALUE"""),"Firearm")</f>
        <v>Firearm</v>
      </c>
      <c r="D577" s="49" t="str">
        <f>IFERROR(__xludf.DUMMYFUNCTION("""COMPUTED_VALUE"""),"Hand")</f>
        <v>Hand</v>
      </c>
      <c r="E577" s="49">
        <f>IFERROR(__xludf.DUMMYFUNCTION("""COMPUTED_VALUE"""),2000.0)</f>
        <v>2000</v>
      </c>
      <c r="F577" s="49" t="str">
        <f>IFERROR(__xludf.DUMMYFUNCTION("""COMPUTED_VALUE"""),"DMG: +75000, Voodoo DMG: +25000 ++Inflicts Poison 2500 for 2 rounds. ++Uses darts as ammo")</f>
        <v>DMG: +75000, Voodoo DMG: +25000 ++Inflicts Poison 2500 for 2 rounds. ++Uses darts as ammo</v>
      </c>
      <c r="G577" s="49">
        <f>IFERROR(__xludf.DUMMYFUNCTION("""COMPUTED_VALUE"""),1.99E8)</f>
        <v>199000000</v>
      </c>
      <c r="H577" s="49"/>
      <c r="I577" s="49"/>
      <c r="J577" s="49"/>
      <c r="K577" s="49"/>
      <c r="L577" s="49"/>
      <c r="M577" s="49"/>
      <c r="N577" s="49"/>
      <c r="O577" s="49"/>
      <c r="P577" s="49"/>
      <c r="Q577" s="49"/>
      <c r="R577" s="49"/>
      <c r="S577" s="49"/>
      <c r="T577" s="49"/>
      <c r="U577" s="49"/>
      <c r="V577" s="49"/>
      <c r="W577" s="49"/>
      <c r="X577" s="49"/>
      <c r="Y577" s="49"/>
      <c r="Z577" s="49"/>
    </row>
    <row r="578">
      <c r="A578" s="49" t="str">
        <f>IFERROR(__xludf.DUMMYFUNCTION("""COMPUTED_VALUE"""),"Poison Tipped Needle")</f>
        <v>Poison Tipped Needle</v>
      </c>
      <c r="B578" s="49" t="str">
        <f>IFERROR(__xludf.DUMMYFUNCTION("""COMPUTED_VALUE"""),"A needle dipped in master Wushang's thousand poisons or some other Wuxia novel esque bullshit")</f>
        <v>A needle dipped in master Wushang's thousand poisons or some other Wuxia novel esque bullshit</v>
      </c>
      <c r="C578" s="49" t="str">
        <f>IFERROR(__xludf.DUMMYFUNCTION("""COMPUTED_VALUE"""),"Knife")</f>
        <v>Knife</v>
      </c>
      <c r="D578" s="49" t="str">
        <f>IFERROR(__xludf.DUMMYFUNCTION("""COMPUTED_VALUE"""),"Hand")</f>
        <v>Hand</v>
      </c>
      <c r="E578" s="49">
        <f>IFERROR(__xludf.DUMMYFUNCTION("""COMPUTED_VALUE"""),2000.0)</f>
        <v>2000</v>
      </c>
      <c r="F578" s="49" t="str">
        <f>IFERROR(__xludf.DUMMYFUNCTION("""COMPUTED_VALUE"""),"DMG: +75000, Voodoo DMG: +25000 ++When rolling a Natural 19 or 20 deals X3 Damage. ++Inflicts Poison 100")</f>
        <v>DMG: +75000, Voodoo DMG: +25000 ++When rolling a Natural 19 or 20 deals X3 Damage. ++Inflicts Poison 100</v>
      </c>
      <c r="G578" s="49">
        <f>IFERROR(__xludf.DUMMYFUNCTION("""COMPUTED_VALUE"""),1.99E8)</f>
        <v>199000000</v>
      </c>
      <c r="H578" s="49"/>
      <c r="I578" s="49"/>
      <c r="J578" s="49"/>
      <c r="K578" s="49"/>
      <c r="L578" s="49"/>
      <c r="M578" s="49"/>
      <c r="N578" s="49"/>
      <c r="O578" s="49"/>
      <c r="P578" s="49"/>
      <c r="Q578" s="49"/>
      <c r="R578" s="49"/>
      <c r="S578" s="49"/>
      <c r="T578" s="49"/>
      <c r="U578" s="49"/>
      <c r="V578" s="49"/>
      <c r="W578" s="49"/>
      <c r="X578" s="49"/>
      <c r="Y578" s="49"/>
      <c r="Z578" s="49"/>
    </row>
    <row r="579">
      <c r="A579" s="49" t="str">
        <f>IFERROR(__xludf.DUMMYFUNCTION("""COMPUTED_VALUE"""),"Katana (Enhanced)")</f>
        <v>Katana (Enhanced)</v>
      </c>
      <c r="B579" s="49" t="str">
        <f>IFERROR(__xludf.DUMMYFUNCTION("""COMPUTED_VALUE"""),"The sword of weebs and actual samurai alike, surprisingly yes, weebs do exist in Spira")</f>
        <v>The sword of weebs and actual samurai alike, surprisingly yes, weebs do exist in Spira</v>
      </c>
      <c r="C579" s="49" t="str">
        <f>IFERROR(__xludf.DUMMYFUNCTION("""COMPUTED_VALUE"""),"Sword")</f>
        <v>Sword</v>
      </c>
      <c r="D579" s="49" t="str">
        <f>IFERROR(__xludf.DUMMYFUNCTION("""COMPUTED_VALUE"""),"Hand")</f>
        <v>Hand</v>
      </c>
      <c r="E579" s="49">
        <f>IFERROR(__xludf.DUMMYFUNCTION("""COMPUTED_VALUE"""),2500.0)</f>
        <v>2500</v>
      </c>
      <c r="F579" s="49" t="str">
        <f>IFERROR(__xludf.DUMMYFUNCTION("""COMPUTED_VALUE"""),"DMG: +125000 ++Triples the chance for the sword ability to activate, +-Cannot be Forged")</f>
        <v>DMG: +125000 ++Triples the chance for the sword ability to activate, +-Cannot be Forged</v>
      </c>
      <c r="G579" s="49">
        <f>IFERROR(__xludf.DUMMYFUNCTION("""COMPUTED_VALUE"""),3.1125E8)</f>
        <v>311250000</v>
      </c>
      <c r="H579" s="49"/>
      <c r="I579" s="49"/>
      <c r="J579" s="49"/>
      <c r="K579" s="49"/>
      <c r="L579" s="49"/>
      <c r="M579" s="49"/>
      <c r="N579" s="49"/>
      <c r="O579" s="49"/>
      <c r="P579" s="49"/>
      <c r="Q579" s="49"/>
      <c r="R579" s="49"/>
      <c r="S579" s="49"/>
      <c r="T579" s="49"/>
      <c r="U579" s="49"/>
      <c r="V579" s="49"/>
      <c r="W579" s="49"/>
      <c r="X579" s="49"/>
      <c r="Y579" s="49"/>
      <c r="Z579" s="49"/>
    </row>
    <row r="580">
      <c r="A580" s="49" t="str">
        <f>IFERROR(__xludf.DUMMYFUNCTION("""COMPUTED_VALUE"""),"Ninja Initiate's Cowl")</f>
        <v>Ninja Initiate's Cowl</v>
      </c>
      <c r="B580" s="49" t="str">
        <f>IFERROR(__xludf.DUMMYFUNCTION("""COMPUTED_VALUE"""),"Armor given to newbie Ninja's who have yet to choose a master")</f>
        <v>Armor given to newbie Ninja's who have yet to choose a master</v>
      </c>
      <c r="C580" s="49"/>
      <c r="D580" s="49" t="str">
        <f>IFERROR(__xludf.DUMMYFUNCTION("""COMPUTED_VALUE"""),"Head")</f>
        <v>Head</v>
      </c>
      <c r="E580" s="49">
        <f>IFERROR(__xludf.DUMMYFUNCTION("""COMPUTED_VALUE"""),2500.0)</f>
        <v>2500</v>
      </c>
      <c r="F580" s="49" t="str">
        <f>IFERROR(__xludf.DUMMYFUNCTION("""COMPUTED_VALUE"""),"DEF: +125000 ++X2 damage with Knives")</f>
        <v>DEF: +125000 ++X2 damage with Knives</v>
      </c>
      <c r="G580" s="49">
        <f>IFERROR(__xludf.DUMMYFUNCTION("""COMPUTED_VALUE"""),3.1125E8)</f>
        <v>311250000</v>
      </c>
      <c r="H580" s="49"/>
      <c r="I580" s="49"/>
      <c r="J580" s="49"/>
      <c r="K580" s="49"/>
      <c r="L580" s="49"/>
      <c r="M580" s="49"/>
      <c r="N580" s="49"/>
      <c r="O580" s="49"/>
      <c r="P580" s="49"/>
      <c r="Q580" s="49"/>
      <c r="R580" s="49"/>
      <c r="S580" s="49"/>
      <c r="T580" s="49"/>
      <c r="U580" s="49"/>
      <c r="V580" s="49"/>
      <c r="W580" s="49"/>
      <c r="X580" s="49"/>
      <c r="Y580" s="49"/>
      <c r="Z580" s="49"/>
    </row>
    <row r="581">
      <c r="A581" s="49" t="str">
        <f>IFERROR(__xludf.DUMMYFUNCTION("""COMPUTED_VALUE"""),"Ninja Initiate's Cape")</f>
        <v>Ninja Initiate's Cape</v>
      </c>
      <c r="B581" s="49" t="str">
        <f>IFERROR(__xludf.DUMMYFUNCTION("""COMPUTED_VALUE"""),"Armor given to newbie Ninja's who have yet to choose a master")</f>
        <v>Armor given to newbie Ninja's who have yet to choose a master</v>
      </c>
      <c r="C581" s="49"/>
      <c r="D581" s="49" t="str">
        <f>IFERROR(__xludf.DUMMYFUNCTION("""COMPUTED_VALUE"""),"Shoulders")</f>
        <v>Shoulders</v>
      </c>
      <c r="E581" s="49">
        <f>IFERROR(__xludf.DUMMYFUNCTION("""COMPUTED_VALUE"""),2500.0)</f>
        <v>2500</v>
      </c>
      <c r="F581" s="49" t="str">
        <f>IFERROR(__xludf.DUMMYFUNCTION("""COMPUTED_VALUE"""),"DEF: +125000 ++X2 damage with Knives")</f>
        <v>DEF: +125000 ++X2 damage with Knives</v>
      </c>
      <c r="G581" s="49">
        <f>IFERROR(__xludf.DUMMYFUNCTION("""COMPUTED_VALUE"""),3.1125E8)</f>
        <v>311250000</v>
      </c>
      <c r="H581" s="49"/>
      <c r="I581" s="49"/>
      <c r="J581" s="49"/>
      <c r="K581" s="49"/>
      <c r="L581" s="49"/>
      <c r="M581" s="49"/>
      <c r="N581" s="49"/>
      <c r="O581" s="49"/>
      <c r="P581" s="49"/>
      <c r="Q581" s="49"/>
      <c r="R581" s="49"/>
      <c r="S581" s="49"/>
      <c r="T581" s="49"/>
      <c r="U581" s="49"/>
      <c r="V581" s="49"/>
      <c r="W581" s="49"/>
      <c r="X581" s="49"/>
      <c r="Y581" s="49"/>
      <c r="Z581" s="49"/>
    </row>
    <row r="582">
      <c r="A582" s="49" t="str">
        <f>IFERROR(__xludf.DUMMYFUNCTION("""COMPUTED_VALUE"""),"Ninja Initiate's Vest")</f>
        <v>Ninja Initiate's Vest</v>
      </c>
      <c r="B582" s="49" t="str">
        <f>IFERROR(__xludf.DUMMYFUNCTION("""COMPUTED_VALUE"""),"Armor given to newbie Ninja's who have yet to choose a master")</f>
        <v>Armor given to newbie Ninja's who have yet to choose a master</v>
      </c>
      <c r="C582" s="49"/>
      <c r="D582" s="49" t="str">
        <f>IFERROR(__xludf.DUMMYFUNCTION("""COMPUTED_VALUE"""),"Torso")</f>
        <v>Torso</v>
      </c>
      <c r="E582" s="49">
        <f>IFERROR(__xludf.DUMMYFUNCTION("""COMPUTED_VALUE"""),2500.0)</f>
        <v>2500</v>
      </c>
      <c r="F582" s="49" t="str">
        <f>IFERROR(__xludf.DUMMYFUNCTION("""COMPUTED_VALUE"""),"DEF: +125000 ++X2 damage with Knives")</f>
        <v>DEF: +125000 ++X2 damage with Knives</v>
      </c>
      <c r="G582" s="49">
        <f>IFERROR(__xludf.DUMMYFUNCTION("""COMPUTED_VALUE"""),3.1125E8)</f>
        <v>311250000</v>
      </c>
      <c r="H582" s="49"/>
      <c r="I582" s="49"/>
      <c r="J582" s="49"/>
      <c r="K582" s="49"/>
      <c r="L582" s="49"/>
      <c r="M582" s="49"/>
      <c r="N582" s="49"/>
      <c r="O582" s="49"/>
      <c r="P582" s="49"/>
      <c r="Q582" s="49"/>
      <c r="R582" s="49"/>
      <c r="S582" s="49"/>
      <c r="T582" s="49"/>
      <c r="U582" s="49"/>
      <c r="V582" s="49"/>
      <c r="W582" s="49"/>
      <c r="X582" s="49"/>
      <c r="Y582" s="49"/>
      <c r="Z582" s="49"/>
    </row>
    <row r="583">
      <c r="A583" s="49" t="str">
        <f>IFERROR(__xludf.DUMMYFUNCTION("""COMPUTED_VALUE"""),"Ninja Initiate's Gloves")</f>
        <v>Ninja Initiate's Gloves</v>
      </c>
      <c r="B583" s="49" t="str">
        <f>IFERROR(__xludf.DUMMYFUNCTION("""COMPUTED_VALUE"""),"Armor given to newbie Ninja's who have yet to choose a master")</f>
        <v>Armor given to newbie Ninja's who have yet to choose a master</v>
      </c>
      <c r="C583" s="49"/>
      <c r="D583" s="49" t="str">
        <f>IFERROR(__xludf.DUMMYFUNCTION("""COMPUTED_VALUE"""),"Arms")</f>
        <v>Arms</v>
      </c>
      <c r="E583" s="49">
        <f>IFERROR(__xludf.DUMMYFUNCTION("""COMPUTED_VALUE"""),2500.0)</f>
        <v>2500</v>
      </c>
      <c r="F583" s="49" t="str">
        <f>IFERROR(__xludf.DUMMYFUNCTION("""COMPUTED_VALUE"""),"DEF: +125000 ++X2 damage with Knives")</f>
        <v>DEF: +125000 ++X2 damage with Knives</v>
      </c>
      <c r="G583" s="49">
        <f>IFERROR(__xludf.DUMMYFUNCTION("""COMPUTED_VALUE"""),3.1125E8)</f>
        <v>311250000</v>
      </c>
      <c r="H583" s="49"/>
      <c r="I583" s="49"/>
      <c r="J583" s="49"/>
      <c r="K583" s="49"/>
      <c r="L583" s="49"/>
      <c r="M583" s="49"/>
      <c r="N583" s="49"/>
      <c r="O583" s="49"/>
      <c r="P583" s="49"/>
      <c r="Q583" s="49"/>
      <c r="R583" s="49"/>
      <c r="S583" s="49"/>
      <c r="T583" s="49"/>
      <c r="U583" s="49"/>
      <c r="V583" s="49"/>
      <c r="W583" s="49"/>
      <c r="X583" s="49"/>
      <c r="Y583" s="49"/>
      <c r="Z583" s="49"/>
    </row>
    <row r="584">
      <c r="A584" s="49" t="str">
        <f>IFERROR(__xludf.DUMMYFUNCTION("""COMPUTED_VALUE"""),"Ninja Initiate's Sarouel")</f>
        <v>Ninja Initiate's Sarouel</v>
      </c>
      <c r="B584" s="49" t="str">
        <f>IFERROR(__xludf.DUMMYFUNCTION("""COMPUTED_VALUE"""),"Armor given to newbie Ninja's who have yet to choose a master")</f>
        <v>Armor given to newbie Ninja's who have yet to choose a master</v>
      </c>
      <c r="C584" s="49"/>
      <c r="D584" s="49" t="str">
        <f>IFERROR(__xludf.DUMMYFUNCTION("""COMPUTED_VALUE"""),"Legs")</f>
        <v>Legs</v>
      </c>
      <c r="E584" s="49">
        <f>IFERROR(__xludf.DUMMYFUNCTION("""COMPUTED_VALUE"""),2500.0)</f>
        <v>2500</v>
      </c>
      <c r="F584" s="49" t="str">
        <f>IFERROR(__xludf.DUMMYFUNCTION("""COMPUTED_VALUE"""),"DEF: +125000 ++X2 damage with Knives")</f>
        <v>DEF: +125000 ++X2 damage with Knives</v>
      </c>
      <c r="G584" s="49">
        <f>IFERROR(__xludf.DUMMYFUNCTION("""COMPUTED_VALUE"""),3.1125E8)</f>
        <v>311250000</v>
      </c>
      <c r="H584" s="49"/>
      <c r="I584" s="49"/>
      <c r="J584" s="49"/>
      <c r="K584" s="49"/>
      <c r="L584" s="49"/>
      <c r="M584" s="49"/>
      <c r="N584" s="49"/>
      <c r="O584" s="49"/>
      <c r="P584" s="49"/>
      <c r="Q584" s="49"/>
      <c r="R584" s="49"/>
      <c r="S584" s="49"/>
      <c r="T584" s="49"/>
      <c r="U584" s="49"/>
      <c r="V584" s="49"/>
      <c r="W584" s="49"/>
      <c r="X584" s="49"/>
      <c r="Y584" s="49"/>
      <c r="Z584" s="49"/>
    </row>
    <row r="585">
      <c r="A585" s="49" t="str">
        <f>IFERROR(__xludf.DUMMYFUNCTION("""COMPUTED_VALUE"""),"Ninja Initiate's Sandals")</f>
        <v>Ninja Initiate's Sandals</v>
      </c>
      <c r="B585" s="49" t="str">
        <f>IFERROR(__xludf.DUMMYFUNCTION("""COMPUTED_VALUE"""),"Armor given to newbie Ninja's who have yet to choose a master")</f>
        <v>Armor given to newbie Ninja's who have yet to choose a master</v>
      </c>
      <c r="C585" s="49"/>
      <c r="D585" s="49" t="str">
        <f>IFERROR(__xludf.DUMMYFUNCTION("""COMPUTED_VALUE"""),"Feet")</f>
        <v>Feet</v>
      </c>
      <c r="E585" s="49">
        <f>IFERROR(__xludf.DUMMYFUNCTION("""COMPUTED_VALUE"""),2500.0)</f>
        <v>2500</v>
      </c>
      <c r="F585" s="49" t="str">
        <f>IFERROR(__xludf.DUMMYFUNCTION("""COMPUTED_VALUE"""),"DEF: +125000 ++X2 damage with Knives")</f>
        <v>DEF: +125000 ++X2 damage with Knives</v>
      </c>
      <c r="G585" s="49">
        <f>IFERROR(__xludf.DUMMYFUNCTION("""COMPUTED_VALUE"""),3.1125E8)</f>
        <v>311250000</v>
      </c>
      <c r="H585" s="49"/>
      <c r="I585" s="49"/>
      <c r="J585" s="49"/>
      <c r="K585" s="49"/>
      <c r="L585" s="49"/>
      <c r="M585" s="49"/>
      <c r="N585" s="49"/>
      <c r="O585" s="49"/>
      <c r="P585" s="49"/>
      <c r="Q585" s="49"/>
      <c r="R585" s="49"/>
      <c r="S585" s="49"/>
      <c r="T585" s="49"/>
      <c r="U585" s="49"/>
      <c r="V585" s="49"/>
      <c r="W585" s="49"/>
      <c r="X585" s="49"/>
      <c r="Y585" s="49"/>
      <c r="Z585" s="49"/>
    </row>
    <row r="586">
      <c r="A586" s="49" t="str">
        <f>IFERROR(__xludf.DUMMYFUNCTION("""COMPUTED_VALUE"""),"Sai")</f>
        <v>Sai</v>
      </c>
      <c r="B586" s="49" t="str">
        <f>IFERROR(__xludf.DUMMYFUNCTION("""COMPUTED_VALUE"""),"A weapon designed for redirecting an enemies blade and then striking for their vitals")</f>
        <v>A weapon designed for redirecting an enemies blade and then striking for their vitals</v>
      </c>
      <c r="C586" s="49" t="str">
        <f>IFERROR(__xludf.DUMMYFUNCTION("""COMPUTED_VALUE"""),"Knife")</f>
        <v>Knife</v>
      </c>
      <c r="D586" s="49" t="str">
        <f>IFERROR(__xludf.DUMMYFUNCTION("""COMPUTED_VALUE"""),"Hand")</f>
        <v>Hand</v>
      </c>
      <c r="E586" s="49">
        <f>IFERROR(__xludf.DUMMYFUNCTION("""COMPUTED_VALUE"""),2500.0)</f>
        <v>2500</v>
      </c>
      <c r="F586" s="49"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49">
        <f>IFERROR(__xludf.DUMMYFUNCTION("""COMPUTED_VALUE"""),3.1125E8)</f>
        <v>311250000</v>
      </c>
      <c r="H586" s="49"/>
      <c r="I586" s="49"/>
      <c r="J586" s="49"/>
      <c r="K586" s="49"/>
      <c r="L586" s="49"/>
      <c r="M586" s="49"/>
      <c r="N586" s="49"/>
      <c r="O586" s="49"/>
      <c r="P586" s="49"/>
      <c r="Q586" s="49"/>
      <c r="R586" s="49"/>
      <c r="S586" s="49"/>
      <c r="T586" s="49"/>
      <c r="U586" s="49"/>
      <c r="V586" s="49"/>
      <c r="W586" s="49"/>
      <c r="X586" s="49"/>
      <c r="Y586" s="49"/>
      <c r="Z586" s="49"/>
    </row>
    <row r="587">
      <c r="A587" s="49" t="str">
        <f>IFERROR(__xludf.DUMMYFUNCTION("""COMPUTED_VALUE"""),"Poison Master's Mask")</f>
        <v>Poison Master's Mask</v>
      </c>
      <c r="B587" s="49"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49"/>
      <c r="D587" s="49" t="str">
        <f>IFERROR(__xludf.DUMMYFUNCTION("""COMPUTED_VALUE"""),"Head")</f>
        <v>Head</v>
      </c>
      <c r="E587" s="49">
        <f>IFERROR(__xludf.DUMMYFUNCTION("""COMPUTED_VALUE"""),2500.0)</f>
        <v>2500</v>
      </c>
      <c r="F587" s="49" t="str">
        <f>IFERROR(__xludf.DUMMYFUNCTION("""COMPUTED_VALUE"""),"DEF: +125000 ++X2 Poison damage")</f>
        <v>DEF: +125000 ++X2 Poison damage</v>
      </c>
      <c r="G587" s="49">
        <f>IFERROR(__xludf.DUMMYFUNCTION("""COMPUTED_VALUE"""),3.1125E8)</f>
        <v>311250000</v>
      </c>
      <c r="H587" s="49"/>
      <c r="I587" s="49"/>
      <c r="J587" s="49"/>
      <c r="K587" s="49"/>
      <c r="L587" s="49"/>
      <c r="M587" s="49"/>
      <c r="N587" s="49"/>
      <c r="O587" s="49"/>
      <c r="P587" s="49"/>
      <c r="Q587" s="49"/>
      <c r="R587" s="49"/>
      <c r="S587" s="49"/>
      <c r="T587" s="49"/>
      <c r="U587" s="49"/>
      <c r="V587" s="49"/>
      <c r="W587" s="49"/>
      <c r="X587" s="49"/>
      <c r="Y587" s="49"/>
      <c r="Z587" s="49"/>
    </row>
    <row r="588">
      <c r="A588" s="49" t="str">
        <f>IFERROR(__xludf.DUMMYFUNCTION("""COMPUTED_VALUE"""),"Poison Master's Cape")</f>
        <v>Poison Master's Cape</v>
      </c>
      <c r="B588" s="49"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49"/>
      <c r="D588" s="49" t="str">
        <f>IFERROR(__xludf.DUMMYFUNCTION("""COMPUTED_VALUE"""),"Shoulders")</f>
        <v>Shoulders</v>
      </c>
      <c r="E588" s="49">
        <f>IFERROR(__xludf.DUMMYFUNCTION("""COMPUTED_VALUE"""),2500.0)</f>
        <v>2500</v>
      </c>
      <c r="F588" s="49" t="str">
        <f>IFERROR(__xludf.DUMMYFUNCTION("""COMPUTED_VALUE"""),"DEF: +125000 ++X2 Poison damage")</f>
        <v>DEF: +125000 ++X2 Poison damage</v>
      </c>
      <c r="G588" s="49">
        <f>IFERROR(__xludf.DUMMYFUNCTION("""COMPUTED_VALUE"""),3.1125E8)</f>
        <v>311250000</v>
      </c>
      <c r="H588" s="49"/>
      <c r="I588" s="49"/>
      <c r="J588" s="49"/>
      <c r="K588" s="49"/>
      <c r="L588" s="49"/>
      <c r="M588" s="49"/>
      <c r="N588" s="49"/>
      <c r="O588" s="49"/>
      <c r="P588" s="49"/>
      <c r="Q588" s="49"/>
      <c r="R588" s="49"/>
      <c r="S588" s="49"/>
      <c r="T588" s="49"/>
      <c r="U588" s="49"/>
      <c r="V588" s="49"/>
      <c r="W588" s="49"/>
      <c r="X588" s="49"/>
      <c r="Y588" s="49"/>
      <c r="Z588" s="49"/>
    </row>
    <row r="589">
      <c r="A589" s="49" t="str">
        <f>IFERROR(__xludf.DUMMYFUNCTION("""COMPUTED_VALUE"""),"Poison Master's Robe")</f>
        <v>Poison Master's Robe</v>
      </c>
      <c r="B589" s="49"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49"/>
      <c r="D589" s="49" t="str">
        <f>IFERROR(__xludf.DUMMYFUNCTION("""COMPUTED_VALUE"""),"Torso")</f>
        <v>Torso</v>
      </c>
      <c r="E589" s="49">
        <f>IFERROR(__xludf.DUMMYFUNCTION("""COMPUTED_VALUE"""),2500.0)</f>
        <v>2500</v>
      </c>
      <c r="F589" s="49" t="str">
        <f>IFERROR(__xludf.DUMMYFUNCTION("""COMPUTED_VALUE"""),"DEF: +125000")</f>
        <v>DEF: +125000</v>
      </c>
      <c r="G589" s="49">
        <f>IFERROR(__xludf.DUMMYFUNCTION("""COMPUTED_VALUE"""),3.1125E8)</f>
        <v>311250000</v>
      </c>
      <c r="H589" s="49"/>
      <c r="I589" s="49"/>
      <c r="J589" s="49"/>
      <c r="K589" s="49"/>
      <c r="L589" s="49"/>
      <c r="M589" s="49"/>
      <c r="N589" s="49"/>
      <c r="O589" s="49"/>
      <c r="P589" s="49"/>
      <c r="Q589" s="49"/>
      <c r="R589" s="49"/>
      <c r="S589" s="49"/>
      <c r="T589" s="49"/>
      <c r="U589" s="49"/>
      <c r="V589" s="49"/>
      <c r="W589" s="49"/>
      <c r="X589" s="49"/>
      <c r="Y589" s="49"/>
      <c r="Z589" s="49"/>
    </row>
    <row r="590">
      <c r="A590" s="49" t="str">
        <f>IFERROR(__xludf.DUMMYFUNCTION("""COMPUTED_VALUE"""),"Poison Master's Heavy Duty Gloves")</f>
        <v>Poison Master's Heavy Duty Gloves</v>
      </c>
      <c r="B590" s="49"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49"/>
      <c r="D590" s="49" t="str">
        <f>IFERROR(__xludf.DUMMYFUNCTION("""COMPUTED_VALUE"""),"Arms")</f>
        <v>Arms</v>
      </c>
      <c r="E590" s="49">
        <f>IFERROR(__xludf.DUMMYFUNCTION("""COMPUTED_VALUE"""),2500.0)</f>
        <v>2500</v>
      </c>
      <c r="F590" s="49" t="str">
        <f>IFERROR(__xludf.DUMMYFUNCTION("""COMPUTED_VALUE"""),"DEF: +125000 ++Poison Immunity")</f>
        <v>DEF: +125000 ++Poison Immunity</v>
      </c>
      <c r="G590" s="49">
        <f>IFERROR(__xludf.DUMMYFUNCTION("""COMPUTED_VALUE"""),3.1125E8)</f>
        <v>311250000</v>
      </c>
      <c r="H590" s="49"/>
      <c r="I590" s="49"/>
      <c r="J590" s="49"/>
      <c r="K590" s="49"/>
      <c r="L590" s="49"/>
      <c r="M590" s="49"/>
      <c r="N590" s="49"/>
      <c r="O590" s="49"/>
      <c r="P590" s="49"/>
      <c r="Q590" s="49"/>
      <c r="R590" s="49"/>
      <c r="S590" s="49"/>
      <c r="T590" s="49"/>
      <c r="U590" s="49"/>
      <c r="V590" s="49"/>
      <c r="W590" s="49"/>
      <c r="X590" s="49"/>
      <c r="Y590" s="49"/>
      <c r="Z590" s="49"/>
    </row>
    <row r="591">
      <c r="A591" s="49" t="str">
        <f>IFERROR(__xludf.DUMMYFUNCTION("""COMPUTED_VALUE"""),"Poison Master's Sarouel")</f>
        <v>Poison Master's Sarouel</v>
      </c>
      <c r="B591" s="49"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49"/>
      <c r="D591" s="49" t="str">
        <f>IFERROR(__xludf.DUMMYFUNCTION("""COMPUTED_VALUE"""),"Legs")</f>
        <v>Legs</v>
      </c>
      <c r="E591" s="49">
        <f>IFERROR(__xludf.DUMMYFUNCTION("""COMPUTED_VALUE"""),2500.0)</f>
        <v>2500</v>
      </c>
      <c r="F591" s="49" t="str">
        <f>IFERROR(__xludf.DUMMYFUNCTION("""COMPUTED_VALUE"""),"DEF: +125000")</f>
        <v>DEF: +125000</v>
      </c>
      <c r="G591" s="49">
        <f>IFERROR(__xludf.DUMMYFUNCTION("""COMPUTED_VALUE"""),3.1125E8)</f>
        <v>311250000</v>
      </c>
      <c r="H591" s="49"/>
      <c r="I591" s="49"/>
      <c r="J591" s="49"/>
      <c r="K591" s="49"/>
      <c r="L591" s="49"/>
      <c r="M591" s="49"/>
      <c r="N591" s="49"/>
      <c r="O591" s="49"/>
      <c r="P591" s="49"/>
      <c r="Q591" s="49"/>
      <c r="R591" s="49"/>
      <c r="S591" s="49"/>
      <c r="T591" s="49"/>
      <c r="U591" s="49"/>
      <c r="V591" s="49"/>
      <c r="W591" s="49"/>
      <c r="X591" s="49"/>
      <c r="Y591" s="49"/>
      <c r="Z591" s="49"/>
    </row>
    <row r="592">
      <c r="A592" s="49" t="str">
        <f>IFERROR(__xludf.DUMMYFUNCTION("""COMPUTED_VALUE"""),"Poison Master's Boots")</f>
        <v>Poison Master's Boots</v>
      </c>
      <c r="B592" s="49"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49"/>
      <c r="D592" s="49" t="str">
        <f>IFERROR(__xludf.DUMMYFUNCTION("""COMPUTED_VALUE"""),"Feet")</f>
        <v>Feet</v>
      </c>
      <c r="E592" s="49">
        <f>IFERROR(__xludf.DUMMYFUNCTION("""COMPUTED_VALUE"""),2500.0)</f>
        <v>2500</v>
      </c>
      <c r="F592" s="49" t="str">
        <f>IFERROR(__xludf.DUMMYFUNCTION("""COMPUTED_VALUE"""),"DEF: +125000 ++When an enemy is Poisoned gain Haste 3")</f>
        <v>DEF: +125000 ++When an enemy is Poisoned gain Haste 3</v>
      </c>
      <c r="G592" s="49">
        <f>IFERROR(__xludf.DUMMYFUNCTION("""COMPUTED_VALUE"""),3.1125E8)</f>
        <v>311250000</v>
      </c>
      <c r="H592" s="49"/>
      <c r="I592" s="49"/>
      <c r="J592" s="49"/>
      <c r="K592" s="49"/>
      <c r="L592" s="49"/>
      <c r="M592" s="49"/>
      <c r="N592" s="49"/>
      <c r="O592" s="49"/>
      <c r="P592" s="49"/>
      <c r="Q592" s="49"/>
      <c r="R592" s="49"/>
      <c r="S592" s="49"/>
      <c r="T592" s="49"/>
      <c r="U592" s="49"/>
      <c r="V592" s="49"/>
      <c r="W592" s="49"/>
      <c r="X592" s="49"/>
      <c r="Y592" s="49"/>
      <c r="Z592" s="49"/>
    </row>
    <row r="593">
      <c r="A593" s="49" t="str">
        <f>IFERROR(__xludf.DUMMYFUNCTION("""COMPUTED_VALUE"""),"Ambusher's Cowl")</f>
        <v>Ambusher's Cowl</v>
      </c>
      <c r="B593" s="49" t="str">
        <f>IFERROR(__xludf.DUMMYFUNCTION("""COMPUTED_VALUE"""),"The armor of intermediate ninja's who have decided to pursue the art of the ambush to the extreme")</f>
        <v>The armor of intermediate ninja's who have decided to pursue the art of the ambush to the extreme</v>
      </c>
      <c r="C593" s="49"/>
      <c r="D593" s="49" t="str">
        <f>IFERROR(__xludf.DUMMYFUNCTION("""COMPUTED_VALUE"""),"Head")</f>
        <v>Head</v>
      </c>
      <c r="E593" s="49">
        <f>IFERROR(__xludf.DUMMYFUNCTION("""COMPUTED_VALUE"""),2500.0)</f>
        <v>2500</v>
      </c>
      <c r="F593" s="49" t="str">
        <f>IFERROR(__xludf.DUMMYFUNCTION("""COMPUTED_VALUE"""),"DEF: +125000 ++Conceal is Guaranteed to cast if the last action you took was a weapon attack")</f>
        <v>DEF: +125000 ++Conceal is Guaranteed to cast if the last action you took was a weapon attack</v>
      </c>
      <c r="G593" s="49">
        <f>IFERROR(__xludf.DUMMYFUNCTION("""COMPUTED_VALUE"""),3.1125E8)</f>
        <v>311250000</v>
      </c>
      <c r="H593" s="49"/>
      <c r="I593" s="49"/>
      <c r="J593" s="49"/>
      <c r="K593" s="49"/>
      <c r="L593" s="49"/>
      <c r="M593" s="49"/>
      <c r="N593" s="49"/>
      <c r="O593" s="49"/>
      <c r="P593" s="49"/>
      <c r="Q593" s="49"/>
      <c r="R593" s="49"/>
      <c r="S593" s="49"/>
      <c r="T593" s="49"/>
      <c r="U593" s="49"/>
      <c r="V593" s="49"/>
      <c r="W593" s="49"/>
      <c r="X593" s="49"/>
      <c r="Y593" s="49"/>
      <c r="Z593" s="49"/>
    </row>
    <row r="594">
      <c r="A594" s="49" t="str">
        <f>IFERROR(__xludf.DUMMYFUNCTION("""COMPUTED_VALUE"""),"Ambusher's Cape")</f>
        <v>Ambusher's Cape</v>
      </c>
      <c r="B594" s="49" t="str">
        <f>IFERROR(__xludf.DUMMYFUNCTION("""COMPUTED_VALUE"""),"The armor of intermediate ninja's who have decided to pursue the art of the ambush to the extreme")</f>
        <v>The armor of intermediate ninja's who have decided to pursue the art of the ambush to the extreme</v>
      </c>
      <c r="C594" s="49"/>
      <c r="D594" s="49" t="str">
        <f>IFERROR(__xludf.DUMMYFUNCTION("""COMPUTED_VALUE"""),"Shoulders")</f>
        <v>Shoulders</v>
      </c>
      <c r="E594" s="49">
        <f>IFERROR(__xludf.DUMMYFUNCTION("""COMPUTED_VALUE"""),2500.0)</f>
        <v>2500</v>
      </c>
      <c r="F594" s="49" t="str">
        <f>IFERROR(__xludf.DUMMYFUNCTION("""COMPUTED_VALUE"""),"DEF: +125000 ++Conceal: upon entering combat you are invulnerable for 1 round or until you attack")</f>
        <v>DEF: +125000 ++Conceal: upon entering combat you are invulnerable for 1 round or until you attack</v>
      </c>
      <c r="G594" s="49">
        <f>IFERROR(__xludf.DUMMYFUNCTION("""COMPUTED_VALUE"""),3.1125E8)</f>
        <v>311250000</v>
      </c>
      <c r="H594" s="49"/>
      <c r="I594" s="49"/>
      <c r="J594" s="49"/>
      <c r="K594" s="49"/>
      <c r="L594" s="49"/>
      <c r="M594" s="49"/>
      <c r="N594" s="49"/>
      <c r="O594" s="49"/>
      <c r="P594" s="49"/>
      <c r="Q594" s="49"/>
      <c r="R594" s="49"/>
      <c r="S594" s="49"/>
      <c r="T594" s="49"/>
      <c r="U594" s="49"/>
      <c r="V594" s="49"/>
      <c r="W594" s="49"/>
      <c r="X594" s="49"/>
      <c r="Y594" s="49"/>
      <c r="Z594" s="49"/>
    </row>
    <row r="595">
      <c r="A595" s="49" t="str">
        <f>IFERROR(__xludf.DUMMYFUNCTION("""COMPUTED_VALUE"""),"Ambusher's Vest")</f>
        <v>Ambusher's Vest</v>
      </c>
      <c r="B595" s="49" t="str">
        <f>IFERROR(__xludf.DUMMYFUNCTION("""COMPUTED_VALUE"""),"The armor of intermediate ninja's who have decided to pursue the art of the ambush to the extreme")</f>
        <v>The armor of intermediate ninja's who have decided to pursue the art of the ambush to the extreme</v>
      </c>
      <c r="C595" s="49"/>
      <c r="D595" s="49" t="str">
        <f>IFERROR(__xludf.DUMMYFUNCTION("""COMPUTED_VALUE"""),"Torso")</f>
        <v>Torso</v>
      </c>
      <c r="E595" s="49">
        <f>IFERROR(__xludf.DUMMYFUNCTION("""COMPUTED_VALUE"""),2500.0)</f>
        <v>2500</v>
      </c>
      <c r="F595" s="49" t="str">
        <f>IFERROR(__xludf.DUMMYFUNCTION("""COMPUTED_VALUE"""),"DEF: +125000 ++When breaking concealment deal X2 damage")</f>
        <v>DEF: +125000 ++When breaking concealment deal X2 damage</v>
      </c>
      <c r="G595" s="49">
        <f>IFERROR(__xludf.DUMMYFUNCTION("""COMPUTED_VALUE"""),3.1125E8)</f>
        <v>311250000</v>
      </c>
      <c r="H595" s="49"/>
      <c r="I595" s="49"/>
      <c r="J595" s="49"/>
      <c r="K595" s="49"/>
      <c r="L595" s="49"/>
      <c r="M595" s="49"/>
      <c r="N595" s="49"/>
      <c r="O595" s="49"/>
      <c r="P595" s="49"/>
      <c r="Q595" s="49"/>
      <c r="R595" s="49"/>
      <c r="S595" s="49"/>
      <c r="T595" s="49"/>
      <c r="U595" s="49"/>
      <c r="V595" s="49"/>
      <c r="W595" s="49"/>
      <c r="X595" s="49"/>
      <c r="Y595" s="49"/>
      <c r="Z595" s="49"/>
    </row>
    <row r="596">
      <c r="A596" s="49" t="str">
        <f>IFERROR(__xludf.DUMMYFUNCTION("""COMPUTED_VALUE"""),"Ambusher's Gloves")</f>
        <v>Ambusher's Gloves</v>
      </c>
      <c r="B596" s="49" t="str">
        <f>IFERROR(__xludf.DUMMYFUNCTION("""COMPUTED_VALUE"""),"The armor of intermediate ninja's who have decided to pursue the art of the ambush to the extreme")</f>
        <v>The armor of intermediate ninja's who have decided to pursue the art of the ambush to the extreme</v>
      </c>
      <c r="C596" s="49"/>
      <c r="D596" s="49" t="str">
        <f>IFERROR(__xludf.DUMMYFUNCTION("""COMPUTED_VALUE"""),"Arms")</f>
        <v>Arms</v>
      </c>
      <c r="E596" s="49">
        <f>IFERROR(__xludf.DUMMYFUNCTION("""COMPUTED_VALUE"""),2500.0)</f>
        <v>2500</v>
      </c>
      <c r="F596" s="49"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49">
        <f>IFERROR(__xludf.DUMMYFUNCTION("""COMPUTED_VALUE"""),3.1125E8)</f>
        <v>311250000</v>
      </c>
      <c r="H596" s="49"/>
      <c r="I596" s="49"/>
      <c r="J596" s="49"/>
      <c r="K596" s="49"/>
      <c r="L596" s="49"/>
      <c r="M596" s="49"/>
      <c r="N596" s="49"/>
      <c r="O596" s="49"/>
      <c r="P596" s="49"/>
      <c r="Q596" s="49"/>
      <c r="R596" s="49"/>
      <c r="S596" s="49"/>
      <c r="T596" s="49"/>
      <c r="U596" s="49"/>
      <c r="V596" s="49"/>
      <c r="W596" s="49"/>
      <c r="X596" s="49"/>
      <c r="Y596" s="49"/>
      <c r="Z596" s="49"/>
    </row>
    <row r="597">
      <c r="A597" s="49" t="str">
        <f>IFERROR(__xludf.DUMMYFUNCTION("""COMPUTED_VALUE"""),"Ambusher's Sarouel")</f>
        <v>Ambusher's Sarouel</v>
      </c>
      <c r="B597" s="49" t="str">
        <f>IFERROR(__xludf.DUMMYFUNCTION("""COMPUTED_VALUE"""),"The armor of intermediate ninja's who have decided to pursue the art of the ambush to the extreme")</f>
        <v>The armor of intermediate ninja's who have decided to pursue the art of the ambush to the extreme</v>
      </c>
      <c r="C597" s="49"/>
      <c r="D597" s="49" t="str">
        <f>IFERROR(__xludf.DUMMYFUNCTION("""COMPUTED_VALUE"""),"Legs")</f>
        <v>Legs</v>
      </c>
      <c r="E597" s="49">
        <f>IFERROR(__xludf.DUMMYFUNCTION("""COMPUTED_VALUE"""),2500.0)</f>
        <v>2500</v>
      </c>
      <c r="F597" s="49" t="str">
        <f>IFERROR(__xludf.DUMMYFUNCTION("""COMPUTED_VALUE"""),"DEF: +125000 ++X2 damage with knives")</f>
        <v>DEF: +125000 ++X2 damage with knives</v>
      </c>
      <c r="G597" s="49">
        <f>IFERROR(__xludf.DUMMYFUNCTION("""COMPUTED_VALUE"""),3.1125E8)</f>
        <v>311250000</v>
      </c>
      <c r="H597" s="49"/>
      <c r="I597" s="49"/>
      <c r="J597" s="49"/>
      <c r="K597" s="49"/>
      <c r="L597" s="49"/>
      <c r="M597" s="49"/>
      <c r="N597" s="49"/>
      <c r="O597" s="49"/>
      <c r="P597" s="49"/>
      <c r="Q597" s="49"/>
      <c r="R597" s="49"/>
      <c r="S597" s="49"/>
      <c r="T597" s="49"/>
      <c r="U597" s="49"/>
      <c r="V597" s="49"/>
      <c r="W597" s="49"/>
      <c r="X597" s="49"/>
      <c r="Y597" s="49"/>
      <c r="Z597" s="49"/>
    </row>
    <row r="598">
      <c r="A598" s="49" t="str">
        <f>IFERROR(__xludf.DUMMYFUNCTION("""COMPUTED_VALUE"""),"Ambusher's Sandals")</f>
        <v>Ambusher's Sandals</v>
      </c>
      <c r="B598" s="49" t="str">
        <f>IFERROR(__xludf.DUMMYFUNCTION("""COMPUTED_VALUE"""),"The armor of intermediate ninja's who have decided to pursue the art of the ambush to the extreme")</f>
        <v>The armor of intermediate ninja's who have decided to pursue the art of the ambush to the extreme</v>
      </c>
      <c r="C598" s="49"/>
      <c r="D598" s="49" t="str">
        <f>IFERROR(__xludf.DUMMYFUNCTION("""COMPUTED_VALUE"""),"Feet")</f>
        <v>Feet</v>
      </c>
      <c r="E598" s="49">
        <f>IFERROR(__xludf.DUMMYFUNCTION("""COMPUTED_VALUE"""),2500.0)</f>
        <v>2500</v>
      </c>
      <c r="F598" s="49" t="str">
        <f>IFERROR(__xludf.DUMMYFUNCTION("""COMPUTED_VALUE"""),"DEF: +125000 ++When breaking concealment gain invigorate 5")</f>
        <v>DEF: +125000 ++When breaking concealment gain invigorate 5</v>
      </c>
      <c r="G598" s="49">
        <f>IFERROR(__xludf.DUMMYFUNCTION("""COMPUTED_VALUE"""),3.1125E8)</f>
        <v>311250000</v>
      </c>
      <c r="H598" s="49"/>
      <c r="I598" s="49"/>
      <c r="J598" s="49"/>
      <c r="K598" s="49"/>
      <c r="L598" s="49"/>
      <c r="M598" s="49"/>
      <c r="N598" s="49"/>
      <c r="O598" s="49"/>
      <c r="P598" s="49"/>
      <c r="Q598" s="49"/>
      <c r="R598" s="49"/>
      <c r="S598" s="49"/>
      <c r="T598" s="49"/>
      <c r="U598" s="49"/>
      <c r="V598" s="49"/>
      <c r="W598" s="49"/>
      <c r="X598" s="49"/>
      <c r="Y598" s="49"/>
      <c r="Z598" s="49"/>
    </row>
    <row r="599">
      <c r="A599" s="49" t="str">
        <f>IFERROR(__xludf.DUMMYFUNCTION("""COMPUTED_VALUE"""),"Blade of Ancestral Blood")</f>
        <v>Blade of Ancestral Blood</v>
      </c>
      <c r="B599" s="49"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49" t="str">
        <f>IFERROR(__xludf.DUMMYFUNCTION("""COMPUTED_VALUE"""),"Knife")</f>
        <v>Knife</v>
      </c>
      <c r="D599" s="49" t="str">
        <f>IFERROR(__xludf.DUMMYFUNCTION("""COMPUTED_VALUE"""),"Hand")</f>
        <v>Hand</v>
      </c>
      <c r="E599" s="49">
        <f>IFERROR(__xludf.DUMMYFUNCTION("""COMPUTED_VALUE"""),200.0)</f>
        <v>200</v>
      </c>
      <c r="F599" s="49"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49">
        <f>IFERROR(__xludf.DUMMYFUNCTION("""COMPUTED_VALUE"""),1.797E9)</f>
        <v>1797000000</v>
      </c>
      <c r="H599" s="49"/>
      <c r="I599" s="49"/>
      <c r="J599" s="49"/>
      <c r="K599" s="49"/>
      <c r="L599" s="49"/>
      <c r="M599" s="49"/>
      <c r="N599" s="49"/>
      <c r="O599" s="49"/>
      <c r="P599" s="49"/>
      <c r="Q599" s="49"/>
      <c r="R599" s="49"/>
      <c r="S599" s="49"/>
      <c r="T599" s="49"/>
      <c r="U599" s="49"/>
      <c r="V599" s="49"/>
      <c r="W599" s="49"/>
      <c r="X599" s="49"/>
      <c r="Y599" s="49"/>
      <c r="Z599" s="49"/>
    </row>
    <row r="600">
      <c r="A600" s="49" t="str">
        <f>IFERROR(__xludf.DUMMYFUNCTION("""COMPUTED_VALUE"""),"Lunaris, Sword of The Moon")</f>
        <v>Lunaris, Sword of The Moon</v>
      </c>
      <c r="B600" s="49"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49" t="str">
        <f>IFERROR(__xludf.DUMMYFUNCTION("""COMPUTED_VALUE"""),"Sword")</f>
        <v>Sword</v>
      </c>
      <c r="D600" s="49" t="str">
        <f>IFERROR(__xludf.DUMMYFUNCTION("""COMPUTED_VALUE"""),"Hand")</f>
        <v>Hand</v>
      </c>
      <c r="E600" s="49">
        <f>IFERROR(__xludf.DUMMYFUNCTION("""COMPUTED_VALUE"""),200.0)</f>
        <v>200</v>
      </c>
      <c r="F600" s="49"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49">
        <f>IFERROR(__xludf.DUMMYFUNCTION("""COMPUTED_VALUE"""),7.194E9)</f>
        <v>7194000000</v>
      </c>
      <c r="H600" s="49"/>
      <c r="I600" s="49"/>
      <c r="J600" s="49"/>
      <c r="K600" s="49"/>
      <c r="L600" s="49"/>
      <c r="M600" s="49"/>
      <c r="N600" s="49"/>
      <c r="O600" s="49"/>
      <c r="P600" s="49"/>
      <c r="Q600" s="49"/>
      <c r="R600" s="49"/>
      <c r="S600" s="49"/>
      <c r="T600" s="49"/>
      <c r="U600" s="49"/>
      <c r="V600" s="49"/>
      <c r="W600" s="49"/>
      <c r="X600" s="49"/>
      <c r="Y600" s="49"/>
      <c r="Z600" s="49"/>
    </row>
    <row r="601">
      <c r="A601" s="49" t="str">
        <f>IFERROR(__xludf.DUMMYFUNCTION("""COMPUTED_VALUE"""),"Master Inugima's Cowl")</f>
        <v>Master Inugima's Cowl</v>
      </c>
      <c r="B601" s="49" t="str">
        <f>IFERROR(__xludf.DUMMYFUNCTION("""COMPUTED_VALUE"""),"Mob Exclusive")</f>
        <v>Mob Exclusive</v>
      </c>
      <c r="C601" s="49"/>
      <c r="D601" s="49" t="str">
        <f>IFERROR(__xludf.DUMMYFUNCTION("""COMPUTED_VALUE"""),"Head")</f>
        <v>Head</v>
      </c>
      <c r="E601" s="49">
        <f>IFERROR(__xludf.DUMMYFUNCTION("""COMPUTED_VALUE"""),1.0)</f>
        <v>1</v>
      </c>
      <c r="F601" s="49" t="str">
        <f>IFERROR(__xludf.DUMMYFUNCTION("""COMPUTED_VALUE"""),"")</f>
        <v/>
      </c>
      <c r="G601" s="49">
        <f>IFERROR(__xludf.DUMMYFUNCTION("""COMPUTED_VALUE"""),0.0)</f>
        <v>0</v>
      </c>
      <c r="H601" s="49"/>
      <c r="I601" s="49"/>
      <c r="J601" s="49"/>
      <c r="K601" s="49"/>
      <c r="L601" s="49"/>
      <c r="M601" s="49"/>
      <c r="N601" s="49"/>
      <c r="O601" s="49"/>
      <c r="P601" s="49"/>
      <c r="Q601" s="49"/>
      <c r="R601" s="49"/>
      <c r="S601" s="49"/>
      <c r="T601" s="49"/>
      <c r="U601" s="49"/>
      <c r="V601" s="49"/>
      <c r="W601" s="49"/>
      <c r="X601" s="49"/>
      <c r="Y601" s="49"/>
      <c r="Z601" s="49"/>
    </row>
    <row r="602">
      <c r="A602" s="49" t="str">
        <f>IFERROR(__xludf.DUMMYFUNCTION("""COMPUTED_VALUE"""),"Master Inugima's Cape")</f>
        <v>Master Inugima's Cape</v>
      </c>
      <c r="B602" s="49" t="str">
        <f>IFERROR(__xludf.DUMMYFUNCTION("""COMPUTED_VALUE"""),"Mob Exclusive")</f>
        <v>Mob Exclusive</v>
      </c>
      <c r="C602" s="49"/>
      <c r="D602" s="49" t="str">
        <f>IFERROR(__xludf.DUMMYFUNCTION("""COMPUTED_VALUE"""),"Shoulders")</f>
        <v>Shoulders</v>
      </c>
      <c r="E602" s="49">
        <f>IFERROR(__xludf.DUMMYFUNCTION("""COMPUTED_VALUE"""),1.0)</f>
        <v>1</v>
      </c>
      <c r="F602" s="49" t="str">
        <f>IFERROR(__xludf.DUMMYFUNCTION("""COMPUTED_VALUE"""),"")</f>
        <v/>
      </c>
      <c r="G602" s="49">
        <f>IFERROR(__xludf.DUMMYFUNCTION("""COMPUTED_VALUE"""),0.0)</f>
        <v>0</v>
      </c>
      <c r="H602" s="49"/>
      <c r="I602" s="49"/>
      <c r="J602" s="49"/>
      <c r="K602" s="49"/>
      <c r="L602" s="49"/>
      <c r="M602" s="49"/>
      <c r="N602" s="49"/>
      <c r="O602" s="49"/>
      <c r="P602" s="49"/>
      <c r="Q602" s="49"/>
      <c r="R602" s="49"/>
      <c r="S602" s="49"/>
      <c r="T602" s="49"/>
      <c r="U602" s="49"/>
      <c r="V602" s="49"/>
      <c r="W602" s="49"/>
      <c r="X602" s="49"/>
      <c r="Y602" s="49"/>
      <c r="Z602" s="49"/>
    </row>
    <row r="603">
      <c r="A603" s="49" t="str">
        <f>IFERROR(__xludf.DUMMYFUNCTION("""COMPUTED_VALUE"""),"Master Inugima's Cloak")</f>
        <v>Master Inugima's Cloak</v>
      </c>
      <c r="B603" s="49" t="str">
        <f>IFERROR(__xludf.DUMMYFUNCTION("""COMPUTED_VALUE"""),"Mob Exclusive")</f>
        <v>Mob Exclusive</v>
      </c>
      <c r="C603" s="49"/>
      <c r="D603" s="49" t="str">
        <f>IFERROR(__xludf.DUMMYFUNCTION("""COMPUTED_VALUE"""),"Torso")</f>
        <v>Torso</v>
      </c>
      <c r="E603" s="49">
        <f>IFERROR(__xludf.DUMMYFUNCTION("""COMPUTED_VALUE"""),1.0)</f>
        <v>1</v>
      </c>
      <c r="F603" s="49" t="str">
        <f>IFERROR(__xludf.DUMMYFUNCTION("""COMPUTED_VALUE"""),"")</f>
        <v/>
      </c>
      <c r="G603" s="49">
        <f>IFERROR(__xludf.DUMMYFUNCTION("""COMPUTED_VALUE"""),0.0)</f>
        <v>0</v>
      </c>
      <c r="H603" s="49"/>
      <c r="I603" s="49"/>
      <c r="J603" s="49"/>
      <c r="K603" s="49"/>
      <c r="L603" s="49"/>
      <c r="M603" s="49"/>
      <c r="N603" s="49"/>
      <c r="O603" s="49"/>
      <c r="P603" s="49"/>
      <c r="Q603" s="49"/>
      <c r="R603" s="49"/>
      <c r="S603" s="49"/>
      <c r="T603" s="49"/>
      <c r="U603" s="49"/>
      <c r="V603" s="49"/>
      <c r="W603" s="49"/>
      <c r="X603" s="49"/>
      <c r="Y603" s="49"/>
      <c r="Z603" s="49"/>
    </row>
    <row r="604">
      <c r="A604" s="49" t="str">
        <f>IFERROR(__xludf.DUMMYFUNCTION("""COMPUTED_VALUE"""),"Master Inugima's Gloves")</f>
        <v>Master Inugima's Gloves</v>
      </c>
      <c r="B604" s="49" t="str">
        <f>IFERROR(__xludf.DUMMYFUNCTION("""COMPUTED_VALUE"""),"Mob Exclusive")</f>
        <v>Mob Exclusive</v>
      </c>
      <c r="C604" s="49"/>
      <c r="D604" s="49" t="str">
        <f>IFERROR(__xludf.DUMMYFUNCTION("""COMPUTED_VALUE"""),"Arms")</f>
        <v>Arms</v>
      </c>
      <c r="E604" s="49">
        <f>IFERROR(__xludf.DUMMYFUNCTION("""COMPUTED_VALUE"""),1.0)</f>
        <v>1</v>
      </c>
      <c r="F604" s="49" t="str">
        <f>IFERROR(__xludf.DUMMYFUNCTION("""COMPUTED_VALUE"""),"")</f>
        <v/>
      </c>
      <c r="G604" s="49">
        <f>IFERROR(__xludf.DUMMYFUNCTION("""COMPUTED_VALUE"""),0.0)</f>
        <v>0</v>
      </c>
      <c r="H604" s="49"/>
      <c r="I604" s="49"/>
      <c r="J604" s="49"/>
      <c r="K604" s="49"/>
      <c r="L604" s="49"/>
      <c r="M604" s="49"/>
      <c r="N604" s="49"/>
      <c r="O604" s="49"/>
      <c r="P604" s="49"/>
      <c r="Q604" s="49"/>
      <c r="R604" s="49"/>
      <c r="S604" s="49"/>
      <c r="T604" s="49"/>
      <c r="U604" s="49"/>
      <c r="V604" s="49"/>
      <c r="W604" s="49"/>
      <c r="X604" s="49"/>
      <c r="Y604" s="49"/>
      <c r="Z604" s="49"/>
    </row>
    <row r="605">
      <c r="A605" s="49" t="str">
        <f>IFERROR(__xludf.DUMMYFUNCTION("""COMPUTED_VALUE"""),"Master Inugima's Sarouel")</f>
        <v>Master Inugima's Sarouel</v>
      </c>
      <c r="B605" s="49" t="str">
        <f>IFERROR(__xludf.DUMMYFUNCTION("""COMPUTED_VALUE"""),"Mob Exclusive")</f>
        <v>Mob Exclusive</v>
      </c>
      <c r="C605" s="49"/>
      <c r="D605" s="49" t="str">
        <f>IFERROR(__xludf.DUMMYFUNCTION("""COMPUTED_VALUE"""),"Legs")</f>
        <v>Legs</v>
      </c>
      <c r="E605" s="49">
        <f>IFERROR(__xludf.DUMMYFUNCTION("""COMPUTED_VALUE"""),1.0)</f>
        <v>1</v>
      </c>
      <c r="F605" s="49" t="str">
        <f>IFERROR(__xludf.DUMMYFUNCTION("""COMPUTED_VALUE"""),"")</f>
        <v/>
      </c>
      <c r="G605" s="49">
        <f>IFERROR(__xludf.DUMMYFUNCTION("""COMPUTED_VALUE"""),0.0)</f>
        <v>0</v>
      </c>
      <c r="H605" s="49"/>
      <c r="I605" s="49"/>
      <c r="J605" s="49"/>
      <c r="K605" s="49"/>
      <c r="L605" s="49"/>
      <c r="M605" s="49"/>
      <c r="N605" s="49"/>
      <c r="O605" s="49"/>
      <c r="P605" s="49"/>
      <c r="Q605" s="49"/>
      <c r="R605" s="49"/>
      <c r="S605" s="49"/>
      <c r="T605" s="49"/>
      <c r="U605" s="49"/>
      <c r="V605" s="49"/>
      <c r="W605" s="49"/>
      <c r="X605" s="49"/>
      <c r="Y605" s="49"/>
      <c r="Z605" s="49"/>
    </row>
    <row r="606">
      <c r="A606" s="49" t="str">
        <f>IFERROR(__xludf.DUMMYFUNCTION("""COMPUTED_VALUE"""),"Master Inugima's Boots")</f>
        <v>Master Inugima's Boots</v>
      </c>
      <c r="B606" s="49" t="str">
        <f>IFERROR(__xludf.DUMMYFUNCTION("""COMPUTED_VALUE"""),"Mob Exclusive")</f>
        <v>Mob Exclusive</v>
      </c>
      <c r="C606" s="49"/>
      <c r="D606" s="49" t="str">
        <f>IFERROR(__xludf.DUMMYFUNCTION("""COMPUTED_VALUE"""),"Feet")</f>
        <v>Feet</v>
      </c>
      <c r="E606" s="49">
        <f>IFERROR(__xludf.DUMMYFUNCTION("""COMPUTED_VALUE"""),1.0)</f>
        <v>1</v>
      </c>
      <c r="F606" s="49" t="str">
        <f>IFERROR(__xludf.DUMMYFUNCTION("""COMPUTED_VALUE"""),"")</f>
        <v/>
      </c>
      <c r="G606" s="49">
        <f>IFERROR(__xludf.DUMMYFUNCTION("""COMPUTED_VALUE"""),0.0)</f>
        <v>0</v>
      </c>
      <c r="H606" s="49"/>
      <c r="I606" s="49"/>
      <c r="J606" s="49"/>
      <c r="K606" s="49"/>
      <c r="L606" s="49"/>
      <c r="M606" s="49"/>
      <c r="N606" s="49"/>
      <c r="O606" s="49"/>
      <c r="P606" s="49"/>
      <c r="Q606" s="49"/>
      <c r="R606" s="49"/>
      <c r="S606" s="49"/>
      <c r="T606" s="49"/>
      <c r="U606" s="49"/>
      <c r="V606" s="49"/>
      <c r="W606" s="49"/>
      <c r="X606" s="49"/>
      <c r="Y606" s="49"/>
      <c r="Z606" s="49"/>
    </row>
    <row r="607">
      <c r="A607" s="49" t="str">
        <f>IFERROR(__xludf.DUMMYFUNCTION("""COMPUTED_VALUE"""),"Master Inugima's Ring")</f>
        <v>Master Inugima's Ring</v>
      </c>
      <c r="B607" s="49" t="str">
        <f>IFERROR(__xludf.DUMMYFUNCTION("""COMPUTED_VALUE"""),"Mob Exclusive")</f>
        <v>Mob Exclusive</v>
      </c>
      <c r="C607" s="49"/>
      <c r="D607" s="49" t="str">
        <f>IFERROR(__xludf.DUMMYFUNCTION("""COMPUTED_VALUE"""),"Finger")</f>
        <v>Finger</v>
      </c>
      <c r="E607" s="49">
        <f>IFERROR(__xludf.DUMMYFUNCTION("""COMPUTED_VALUE"""),1.0)</f>
        <v>1</v>
      </c>
      <c r="F607" s="49"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49">
        <f>IFERROR(__xludf.DUMMYFUNCTION("""COMPUTED_VALUE"""),0.0)</f>
        <v>0</v>
      </c>
      <c r="H607" s="49"/>
      <c r="I607" s="49"/>
      <c r="J607" s="49"/>
      <c r="K607" s="49"/>
      <c r="L607" s="49"/>
      <c r="M607" s="49"/>
      <c r="N607" s="49"/>
      <c r="O607" s="49"/>
      <c r="P607" s="49"/>
      <c r="Q607" s="49"/>
      <c r="R607" s="49"/>
      <c r="S607" s="49"/>
      <c r="T607" s="49"/>
      <c r="U607" s="49"/>
      <c r="V607" s="49"/>
      <c r="W607" s="49"/>
      <c r="X607" s="49"/>
      <c r="Y607" s="49"/>
      <c r="Z607" s="49"/>
    </row>
    <row r="608">
      <c r="A608" s="49" t="str">
        <f>IFERROR(__xludf.DUMMYFUNCTION("""COMPUTED_VALUE"""),"Master Inugima's Pendant")</f>
        <v>Master Inugima's Pendant</v>
      </c>
      <c r="B608" s="49" t="str">
        <f>IFERROR(__xludf.DUMMYFUNCTION("""COMPUTED_VALUE"""),"Mob Exclusive")</f>
        <v>Mob Exclusive</v>
      </c>
      <c r="C608" s="49"/>
      <c r="D608" s="49" t="str">
        <f>IFERROR(__xludf.DUMMYFUNCTION("""COMPUTED_VALUE"""),"Neck")</f>
        <v>Neck</v>
      </c>
      <c r="E608" s="49">
        <f>IFERROR(__xludf.DUMMYFUNCTION("""COMPUTED_VALUE"""),1.0)</f>
        <v>1</v>
      </c>
      <c r="F608" s="49" t="str">
        <f>IFERROR(__xludf.DUMMYFUNCTION("""COMPUTED_VALUE"""),"")</f>
        <v/>
      </c>
      <c r="G608" s="49">
        <f>IFERROR(__xludf.DUMMYFUNCTION("""COMPUTED_VALUE"""),0.0)</f>
        <v>0</v>
      </c>
      <c r="H608" s="49"/>
      <c r="I608" s="49"/>
      <c r="J608" s="49"/>
      <c r="K608" s="49"/>
      <c r="L608" s="49"/>
      <c r="M608" s="49"/>
      <c r="N608" s="49"/>
      <c r="O608" s="49"/>
      <c r="P608" s="49"/>
      <c r="Q608" s="49"/>
      <c r="R608" s="49"/>
      <c r="S608" s="49"/>
      <c r="T608" s="49"/>
      <c r="U608" s="49"/>
      <c r="V608" s="49"/>
      <c r="W608" s="49"/>
      <c r="X608" s="49"/>
      <c r="Y608" s="49"/>
      <c r="Z608" s="49"/>
    </row>
    <row r="609">
      <c r="A609" s="49" t="str">
        <f>IFERROR(__xludf.DUMMYFUNCTION("""COMPUTED_VALUE"""),"Amulet of Giving")</f>
        <v>Amulet of Giving</v>
      </c>
      <c r="B609" s="49" t="str">
        <f>IFERROR(__xludf.DUMMYFUNCTION("""COMPUTED_VALUE"""),"Thanksgiving Event Item")</f>
        <v>Thanksgiving Event Item</v>
      </c>
      <c r="C609" s="49"/>
      <c r="D609" s="49" t="str">
        <f>IFERROR(__xludf.DUMMYFUNCTION("""COMPUTED_VALUE"""),"Neck")</f>
        <v>Neck</v>
      </c>
      <c r="E609" s="49">
        <f>IFERROR(__xludf.DUMMYFUNCTION("""COMPUTED_VALUE"""),1.0)</f>
        <v>1</v>
      </c>
      <c r="F609" s="49"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49">
        <f>IFERROR(__xludf.DUMMYFUNCTION("""COMPUTED_VALUE"""),0.0)</f>
        <v>0</v>
      </c>
      <c r="H609" s="49"/>
      <c r="I609" s="49"/>
      <c r="J609" s="49"/>
      <c r="K609" s="49"/>
      <c r="L609" s="49"/>
      <c r="M609" s="49"/>
      <c r="N609" s="49"/>
      <c r="O609" s="49"/>
      <c r="P609" s="49"/>
      <c r="Q609" s="49"/>
      <c r="R609" s="49"/>
      <c r="S609" s="49"/>
      <c r="T609" s="49"/>
      <c r="U609" s="49"/>
      <c r="V609" s="49"/>
      <c r="W609" s="49"/>
      <c r="X609" s="49"/>
      <c r="Y609" s="49"/>
      <c r="Z609" s="49"/>
    </row>
    <row r="610">
      <c r="A610" s="49" t="str">
        <f>IFERROR(__xludf.DUMMYFUNCTION("""COMPUTED_VALUE"""),"Pilgrim's Hat")</f>
        <v>Pilgrim's Hat</v>
      </c>
      <c r="B610" s="49" t="str">
        <f>IFERROR(__xludf.DUMMYFUNCTION("""COMPUTED_VALUE"""),"Thanksgiving Event Item")</f>
        <v>Thanksgiving Event Item</v>
      </c>
      <c r="C610" s="49"/>
      <c r="D610" s="49" t="str">
        <f>IFERROR(__xludf.DUMMYFUNCTION("""COMPUTED_VALUE"""),"Head")</f>
        <v>Head</v>
      </c>
      <c r="E610" s="49">
        <f>IFERROR(__xludf.DUMMYFUNCTION("""COMPUTED_VALUE"""),1.0)</f>
        <v>1</v>
      </c>
      <c r="F610" s="49" t="str">
        <f>IFERROR(__xludf.DUMMYFUNCTION("""COMPUTED_VALUE""")," ++Double the hunger, thirst, and energy you receive when consuming a consumable. +-Cannot be duplicated.")</f>
        <v> ++Double the hunger, thirst, and energy you receive when consuming a consumable. +-Cannot be duplicated.</v>
      </c>
      <c r="G610" s="49">
        <f>IFERROR(__xludf.DUMMYFUNCTION("""COMPUTED_VALUE"""),0.0)</f>
        <v>0</v>
      </c>
      <c r="H610" s="49"/>
      <c r="I610" s="49"/>
      <c r="J610" s="49"/>
      <c r="K610" s="49"/>
      <c r="L610" s="49"/>
      <c r="M610" s="49"/>
      <c r="N610" s="49"/>
      <c r="O610" s="49"/>
      <c r="P610" s="49"/>
      <c r="Q610" s="49"/>
      <c r="R610" s="49"/>
      <c r="S610" s="49"/>
      <c r="T610" s="49"/>
      <c r="U610" s="49"/>
      <c r="V610" s="49"/>
      <c r="W610" s="49"/>
      <c r="X610" s="49"/>
      <c r="Y610" s="49"/>
      <c r="Z610" s="49"/>
    </row>
    <row r="611">
      <c r="A611" s="49" t="str">
        <f>IFERROR(__xludf.DUMMYFUNCTION("""COMPUTED_VALUE"""),"Dragon Flute")</f>
        <v>Dragon Flute</v>
      </c>
      <c r="B611" s="49"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49" t="str">
        <f>IFERROR(__xludf.DUMMYFUNCTION("""COMPUTED_VALUE"""),"Instrument")</f>
        <v>Instrument</v>
      </c>
      <c r="D611" s="49" t="str">
        <f>IFERROR(__xludf.DUMMYFUNCTION("""COMPUTED_VALUE"""),"Hand")</f>
        <v>Hand</v>
      </c>
      <c r="E611" s="49">
        <f>IFERROR(__xludf.DUMMYFUNCTION("""COMPUTED_VALUE"""),100.0)</f>
        <v>100</v>
      </c>
      <c r="F611" s="49"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49">
        <f>IFERROR(__xludf.DUMMYFUNCTION("""COMPUTED_VALUE"""),450000.0)</f>
        <v>450000</v>
      </c>
      <c r="H611" s="49"/>
      <c r="I611" s="49"/>
      <c r="J611" s="49"/>
      <c r="K611" s="49"/>
      <c r="L611" s="49"/>
      <c r="M611" s="49"/>
      <c r="N611" s="49"/>
      <c r="O611" s="49"/>
      <c r="P611" s="49"/>
      <c r="Q611" s="49"/>
      <c r="R611" s="49"/>
      <c r="S611" s="49"/>
      <c r="T611" s="49"/>
      <c r="U611" s="49"/>
      <c r="V611" s="49"/>
      <c r="W611" s="49"/>
      <c r="X611" s="49"/>
      <c r="Y611" s="49"/>
      <c r="Z611" s="49"/>
    </row>
    <row r="612">
      <c r="A612" s="49" t="str">
        <f>IFERROR(__xludf.DUMMYFUNCTION("""COMPUTED_VALUE"""),"Harbingers' Helm of the Unrestrained (Spira)")</f>
        <v>Harbingers' Helm of the Unrestrained (Spira)</v>
      </c>
      <c r="B612" s="49"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49"/>
      <c r="D612" s="49" t="str">
        <f>IFERROR(__xludf.DUMMYFUNCTION("""COMPUTED_VALUE"""),"Head")</f>
        <v>Head</v>
      </c>
      <c r="E612" s="49">
        <f>IFERROR(__xludf.DUMMYFUNCTION("""COMPUTED_VALUE"""),200.0)</f>
        <v>200</v>
      </c>
      <c r="F612" s="49"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49">
        <f>IFERROR(__xludf.DUMMYFUNCTION("""COMPUTED_VALUE"""),7.98E8)</f>
        <v>798000000</v>
      </c>
      <c r="H612" s="49"/>
      <c r="I612" s="49"/>
      <c r="J612" s="49"/>
      <c r="K612" s="49"/>
      <c r="L612" s="49"/>
      <c r="M612" s="49"/>
      <c r="N612" s="49"/>
      <c r="O612" s="49"/>
      <c r="P612" s="49"/>
      <c r="Q612" s="49"/>
      <c r="R612" s="49"/>
      <c r="S612" s="49"/>
      <c r="T612" s="49"/>
      <c r="U612" s="49"/>
      <c r="V612" s="49"/>
      <c r="W612" s="49"/>
      <c r="X612" s="49"/>
      <c r="Y612" s="49"/>
      <c r="Z612" s="49"/>
    </row>
    <row r="613">
      <c r="A613" s="49" t="str">
        <f>IFERROR(__xludf.DUMMYFUNCTION("""COMPUTED_VALUE"""),"Harbingers' Shifting Pauldrons (Spira)")</f>
        <v>Harbingers' Shifting Pauldrons (Spira)</v>
      </c>
      <c r="B613" s="49"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49"/>
      <c r="D613" s="49" t="str">
        <f>IFERROR(__xludf.DUMMYFUNCTION("""COMPUTED_VALUE"""),"Shoulders")</f>
        <v>Shoulders</v>
      </c>
      <c r="E613" s="49">
        <f>IFERROR(__xludf.DUMMYFUNCTION("""COMPUTED_VALUE"""),200.0)</f>
        <v>200</v>
      </c>
      <c r="F613" s="49"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49">
        <f>IFERROR(__xludf.DUMMYFUNCTION("""COMPUTED_VALUE"""),7.98E8)</f>
        <v>798000000</v>
      </c>
      <c r="H613" s="49"/>
      <c r="I613" s="49"/>
      <c r="J613" s="49"/>
      <c r="K613" s="49"/>
      <c r="L613" s="49"/>
      <c r="M613" s="49"/>
      <c r="N613" s="49"/>
      <c r="O613" s="49"/>
      <c r="P613" s="49"/>
      <c r="Q613" s="49"/>
      <c r="R613" s="49"/>
      <c r="S613" s="49"/>
      <c r="T613" s="49"/>
      <c r="U613" s="49"/>
      <c r="V613" s="49"/>
      <c r="W613" s="49"/>
      <c r="X613" s="49"/>
      <c r="Y613" s="49"/>
      <c r="Z613" s="49"/>
    </row>
    <row r="614">
      <c r="A614" s="49" t="str">
        <f>IFERROR(__xludf.DUMMYFUNCTION("""COMPUTED_VALUE"""),"Harbingers' Emblazoned Chest of The Encroaching Void (Spira)")</f>
        <v>Harbingers' Emblazoned Chest of The Encroaching Void (Spira)</v>
      </c>
      <c r="B614" s="49"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49"/>
      <c r="D614" s="49" t="str">
        <f>IFERROR(__xludf.DUMMYFUNCTION("""COMPUTED_VALUE"""),"Torso")</f>
        <v>Torso</v>
      </c>
      <c r="E614" s="49">
        <f>IFERROR(__xludf.DUMMYFUNCTION("""COMPUTED_VALUE"""),200.0)</f>
        <v>200</v>
      </c>
      <c r="F614" s="49"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49">
        <f>IFERROR(__xludf.DUMMYFUNCTION("""COMPUTED_VALUE"""),7.98E8)</f>
        <v>798000000</v>
      </c>
      <c r="H614" s="49"/>
      <c r="I614" s="49"/>
      <c r="J614" s="49"/>
      <c r="K614" s="49"/>
      <c r="L614" s="49"/>
      <c r="M614" s="49"/>
      <c r="N614" s="49"/>
      <c r="O614" s="49"/>
      <c r="P614" s="49"/>
      <c r="Q614" s="49"/>
      <c r="R614" s="49"/>
      <c r="S614" s="49"/>
      <c r="T614" s="49"/>
      <c r="U614" s="49"/>
      <c r="V614" s="49"/>
      <c r="W614" s="49"/>
      <c r="X614" s="49"/>
      <c r="Y614" s="49"/>
      <c r="Z614" s="49"/>
    </row>
    <row r="615">
      <c r="A615" s="49" t="str">
        <f>IFERROR(__xludf.DUMMYFUNCTION("""COMPUTED_VALUE"""),"Harbingers' Broken Fettering (Spira)")</f>
        <v>Harbingers' Broken Fettering (Spira)</v>
      </c>
      <c r="B615" s="49"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49"/>
      <c r="D615" s="49" t="str">
        <f>IFERROR(__xludf.DUMMYFUNCTION("""COMPUTED_VALUE"""),"Arms")</f>
        <v>Arms</v>
      </c>
      <c r="E615" s="49">
        <f>IFERROR(__xludf.DUMMYFUNCTION("""COMPUTED_VALUE"""),200.0)</f>
        <v>200</v>
      </c>
      <c r="F615" s="49"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49">
        <f>IFERROR(__xludf.DUMMYFUNCTION("""COMPUTED_VALUE"""),7.98E8)</f>
        <v>798000000</v>
      </c>
      <c r="H615" s="49"/>
      <c r="I615" s="49"/>
      <c r="J615" s="49"/>
      <c r="K615" s="49"/>
      <c r="L615" s="49"/>
      <c r="M615" s="49"/>
      <c r="N615" s="49"/>
      <c r="O615" s="49"/>
      <c r="P615" s="49"/>
      <c r="Q615" s="49"/>
      <c r="R615" s="49"/>
      <c r="S615" s="49"/>
      <c r="T615" s="49"/>
      <c r="U615" s="49"/>
      <c r="V615" s="49"/>
      <c r="W615" s="49"/>
      <c r="X615" s="49"/>
      <c r="Y615" s="49"/>
      <c r="Z615" s="49"/>
    </row>
    <row r="616">
      <c r="A616" s="49" t="str">
        <f>IFERROR(__xludf.DUMMYFUNCTION("""COMPUTED_VALUE"""),"Harbingers' Ethereal Chausses (Spira)")</f>
        <v>Harbingers' Ethereal Chausses (Spira)</v>
      </c>
      <c r="B616" s="49"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49"/>
      <c r="D616" s="49" t="str">
        <f>IFERROR(__xludf.DUMMYFUNCTION("""COMPUTED_VALUE"""),"Legs")</f>
        <v>Legs</v>
      </c>
      <c r="E616" s="49">
        <f>IFERROR(__xludf.DUMMYFUNCTION("""COMPUTED_VALUE"""),200.0)</f>
        <v>200</v>
      </c>
      <c r="F616" s="49"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49">
        <f>IFERROR(__xludf.DUMMYFUNCTION("""COMPUTED_VALUE"""),7.98E8)</f>
        <v>798000000</v>
      </c>
      <c r="H616" s="49"/>
      <c r="I616" s="49"/>
      <c r="J616" s="49"/>
      <c r="K616" s="49"/>
      <c r="L616" s="49"/>
      <c r="M616" s="49"/>
      <c r="N616" s="49"/>
      <c r="O616" s="49"/>
      <c r="P616" s="49"/>
      <c r="Q616" s="49"/>
      <c r="R616" s="49"/>
      <c r="S616" s="49"/>
      <c r="T616" s="49"/>
      <c r="U616" s="49"/>
      <c r="V616" s="49"/>
      <c r="W616" s="49"/>
      <c r="X616" s="49"/>
      <c r="Y616" s="49"/>
      <c r="Z616" s="49"/>
    </row>
    <row r="617">
      <c r="A617" s="49" t="str">
        <f>IFERROR(__xludf.DUMMYFUNCTION("""COMPUTED_VALUE"""),"Harbingers' Spiked Sabatons (Spira)")</f>
        <v>Harbingers' Spiked Sabatons (Spira)</v>
      </c>
      <c r="B617" s="49"/>
      <c r="C617" s="49"/>
      <c r="D617" s="49" t="str">
        <f>IFERROR(__xludf.DUMMYFUNCTION("""COMPUTED_VALUE"""),"Feet")</f>
        <v>Feet</v>
      </c>
      <c r="E617" s="49">
        <f>IFERROR(__xludf.DUMMYFUNCTION("""COMPUTED_VALUE"""),200.0)</f>
        <v>200</v>
      </c>
      <c r="F617" s="49"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49">
        <f>IFERROR(__xludf.DUMMYFUNCTION("""COMPUTED_VALUE"""),7.98E8)</f>
        <v>798000000</v>
      </c>
      <c r="H617" s="49"/>
      <c r="I617" s="49"/>
      <c r="J617" s="49"/>
      <c r="K617" s="49"/>
      <c r="L617" s="49"/>
      <c r="M617" s="49"/>
      <c r="N617" s="49"/>
      <c r="O617" s="49"/>
      <c r="P617" s="49"/>
      <c r="Q617" s="49"/>
      <c r="R617" s="49"/>
      <c r="S617" s="49"/>
      <c r="T617" s="49"/>
      <c r="U617" s="49"/>
      <c r="V617" s="49"/>
      <c r="W617" s="49"/>
      <c r="X617" s="49"/>
      <c r="Y617" s="49"/>
      <c r="Z617" s="49"/>
    </row>
    <row r="618">
      <c r="A618" s="49" t="str">
        <f>IFERROR(__xludf.DUMMYFUNCTION("""COMPUTED_VALUE"""),"Harbingers' Vow (Spira)")</f>
        <v>Harbingers' Vow (Spira)</v>
      </c>
      <c r="B618" s="49"/>
      <c r="C618" s="49"/>
      <c r="D618" s="49" t="str">
        <f>IFERROR(__xludf.DUMMYFUNCTION("""COMPUTED_VALUE"""),"Finger")</f>
        <v>Finger</v>
      </c>
      <c r="E618" s="49">
        <f>IFERROR(__xludf.DUMMYFUNCTION("""COMPUTED_VALUE"""),1.0)</f>
        <v>1</v>
      </c>
      <c r="F618" s="49"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49">
        <f>IFERROR(__xludf.DUMMYFUNCTION("""COMPUTED_VALUE"""),0.0)</f>
        <v>0</v>
      </c>
      <c r="H618" s="49"/>
      <c r="I618" s="49"/>
      <c r="J618" s="49"/>
      <c r="K618" s="49"/>
      <c r="L618" s="49"/>
      <c r="M618" s="49"/>
      <c r="N618" s="49"/>
      <c r="O618" s="49"/>
      <c r="P618" s="49"/>
      <c r="Q618" s="49"/>
      <c r="R618" s="49"/>
      <c r="S618" s="49"/>
      <c r="T618" s="49"/>
      <c r="U618" s="49"/>
      <c r="V618" s="49"/>
      <c r="W618" s="49"/>
      <c r="X618" s="49"/>
      <c r="Y618" s="49"/>
      <c r="Z618" s="49"/>
    </row>
    <row r="619">
      <c r="A619" s="49" t="str">
        <f>IFERROR(__xludf.DUMMYFUNCTION("""COMPUTED_VALUE"""),"Harbingers' Resolve (Spira)")</f>
        <v>Harbingers' Resolve (Spira)</v>
      </c>
      <c r="B619" s="49"/>
      <c r="C619" s="49"/>
      <c r="D619" s="49" t="str">
        <f>IFERROR(__xludf.DUMMYFUNCTION("""COMPUTED_VALUE"""),"Neck")</f>
        <v>Neck</v>
      </c>
      <c r="E619" s="49">
        <f>IFERROR(__xludf.DUMMYFUNCTION("""COMPUTED_VALUE"""),1.0)</f>
        <v>1</v>
      </c>
      <c r="F619" s="49" t="str">
        <f>IFERROR(__xludf.DUMMYFUNCTION("""COMPUTED_VALUE""")," ++To the Death! - Upon taking lethal damage resist it with 1 hp and gain 10 stacks of insanity (once per battle)")</f>
        <v> ++To the Death! - Upon taking lethal damage resist it with 1 hp and gain 10 stacks of insanity (once per battle)</v>
      </c>
      <c r="G619" s="49">
        <f>IFERROR(__xludf.DUMMYFUNCTION("""COMPUTED_VALUE"""),0.0)</f>
        <v>0</v>
      </c>
      <c r="H619" s="49"/>
      <c r="I619" s="49"/>
      <c r="J619" s="49"/>
      <c r="K619" s="49"/>
      <c r="L619" s="49"/>
      <c r="M619" s="49"/>
      <c r="N619" s="49"/>
      <c r="O619" s="49"/>
      <c r="P619" s="49"/>
      <c r="Q619" s="49"/>
      <c r="R619" s="49"/>
      <c r="S619" s="49"/>
      <c r="T619" s="49"/>
      <c r="U619" s="49"/>
      <c r="V619" s="49"/>
      <c r="W619" s="49"/>
      <c r="X619" s="49"/>
      <c r="Y619" s="49"/>
      <c r="Z619" s="49"/>
    </row>
    <row r="620">
      <c r="A620" s="49" t="str">
        <f>IFERROR(__xludf.DUMMYFUNCTION("""COMPUTED_VALUE"""),"Harbingers' Fist of Iron (Spira)")</f>
        <v>Harbingers' Fist of Iron (Spira)</v>
      </c>
      <c r="B620" s="49"/>
      <c r="C620" s="49" t="str">
        <f>IFERROR(__xludf.DUMMYFUNCTION("""COMPUTED_VALUE"""),"Gauntlet")</f>
        <v>Gauntlet</v>
      </c>
      <c r="D620" s="49" t="str">
        <f>IFERROR(__xludf.DUMMYFUNCTION("""COMPUTED_VALUE"""),"Hand")</f>
        <v>Hand</v>
      </c>
      <c r="E620" s="49">
        <f>IFERROR(__xludf.DUMMYFUNCTION("""COMPUTED_VALUE"""),200.0)</f>
        <v>200</v>
      </c>
      <c r="F620" s="49"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49">
        <f>IFERROR(__xludf.DUMMYFUNCTION("""COMPUTED_VALUE"""),1.99E8)</f>
        <v>199000000</v>
      </c>
      <c r="H620" s="49"/>
      <c r="I620" s="49"/>
      <c r="J620" s="49"/>
      <c r="K620" s="49"/>
      <c r="L620" s="49"/>
      <c r="M620" s="49"/>
      <c r="N620" s="49"/>
      <c r="O620" s="49"/>
      <c r="P620" s="49"/>
      <c r="Q620" s="49"/>
      <c r="R620" s="49"/>
      <c r="S620" s="49"/>
      <c r="T620" s="49"/>
      <c r="U620" s="49"/>
      <c r="V620" s="49"/>
      <c r="W620" s="49"/>
      <c r="X620" s="49"/>
      <c r="Y620" s="49"/>
      <c r="Z620" s="49"/>
    </row>
    <row r="621">
      <c r="A621" s="49" t="str">
        <f>IFERROR(__xludf.DUMMYFUNCTION("""COMPUTED_VALUE"""),"Harbingers' Claw of Steel (Spira)")</f>
        <v>Harbingers' Claw of Steel (Spira)</v>
      </c>
      <c r="B621" s="49"/>
      <c r="C621" s="49" t="str">
        <f>IFERROR(__xludf.DUMMYFUNCTION("""COMPUTED_VALUE"""),"Claw")</f>
        <v>Claw</v>
      </c>
      <c r="D621" s="49" t="str">
        <f>IFERROR(__xludf.DUMMYFUNCTION("""COMPUTED_VALUE"""),"Hand")</f>
        <v>Hand</v>
      </c>
      <c r="E621" s="49">
        <f>IFERROR(__xludf.DUMMYFUNCTION("""COMPUTED_VALUE"""),200.0)</f>
        <v>200</v>
      </c>
      <c r="F621" s="49"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49">
        <f>IFERROR(__xludf.DUMMYFUNCTION("""COMPUTED_VALUE"""),1.99E8)</f>
        <v>199000000</v>
      </c>
      <c r="H621" s="49"/>
      <c r="I621" s="49"/>
      <c r="J621" s="49"/>
      <c r="K621" s="49"/>
      <c r="L621" s="49"/>
      <c r="M621" s="49"/>
      <c r="N621" s="49"/>
      <c r="O621" s="49"/>
      <c r="P621" s="49"/>
      <c r="Q621" s="49"/>
      <c r="R621" s="49"/>
      <c r="S621" s="49"/>
      <c r="T621" s="49"/>
      <c r="U621" s="49"/>
      <c r="V621" s="49"/>
      <c r="W621" s="49"/>
      <c r="X621" s="49"/>
      <c r="Y621" s="49"/>
      <c r="Z621" s="49"/>
    </row>
    <row r="622">
      <c r="A622" s="49" t="str">
        <f>IFERROR(__xludf.DUMMYFUNCTION("""COMPUTED_VALUE"""),"Eagles Claw")</f>
        <v>Eagles Claw</v>
      </c>
      <c r="B622" s="49"/>
      <c r="C622" s="49" t="str">
        <f>IFERROR(__xludf.DUMMYFUNCTION("""COMPUTED_VALUE"""),"Claw")</f>
        <v>Claw</v>
      </c>
      <c r="D622" s="49" t="str">
        <f>IFERROR(__xludf.DUMMYFUNCTION("""COMPUTED_VALUE"""),"Hand")</f>
        <v>Hand</v>
      </c>
      <c r="E622" s="49">
        <f>IFERROR(__xludf.DUMMYFUNCTION("""COMPUTED_VALUE"""),200.0)</f>
        <v>200</v>
      </c>
      <c r="F622" s="49" t="str">
        <f>IFERROR(__xludf.DUMMYFUNCTION("""COMPUTED_VALUE"""),"DMG: +10000 ++Eagles Removal - 20% Chance to remove the target from battle. ")</f>
        <v>DMG: +10000 ++Eagles Removal - 20% Chance to remove the target from battle. </v>
      </c>
      <c r="G622" s="49">
        <f>IFERROR(__xludf.DUMMYFUNCTION("""COMPUTED_VALUE"""),1900000.0)</f>
        <v>1900000</v>
      </c>
      <c r="H622" s="49"/>
      <c r="I622" s="49"/>
      <c r="J622" s="49"/>
      <c r="K622" s="49"/>
      <c r="L622" s="49"/>
      <c r="M622" s="49"/>
      <c r="N622" s="49"/>
      <c r="O622" s="49"/>
      <c r="P622" s="49"/>
      <c r="Q622" s="49"/>
      <c r="R622" s="49"/>
      <c r="S622" s="49"/>
      <c r="T622" s="49"/>
      <c r="U622" s="49"/>
      <c r="V622" s="49"/>
      <c r="W622" s="49"/>
      <c r="X622" s="49"/>
      <c r="Y622" s="49"/>
      <c r="Z622" s="49"/>
    </row>
    <row r="623">
      <c r="A623" s="49" t="str">
        <f>IFERROR(__xludf.DUMMYFUNCTION("""COMPUTED_VALUE"""),"Golden Gauntlet")</f>
        <v>Golden Gauntlet</v>
      </c>
      <c r="B623" s="49"/>
      <c r="C623" s="49" t="str">
        <f>IFERROR(__xludf.DUMMYFUNCTION("""COMPUTED_VALUE"""),"Gauntlet")</f>
        <v>Gauntlet</v>
      </c>
      <c r="D623" s="49" t="str">
        <f>IFERROR(__xludf.DUMMYFUNCTION("""COMPUTED_VALUE"""),"Hand")</f>
        <v>Hand</v>
      </c>
      <c r="E623" s="49">
        <f>IFERROR(__xludf.DUMMYFUNCTION("""COMPUTED_VALUE"""),200.0)</f>
        <v>200</v>
      </c>
      <c r="F623" s="49" t="str">
        <f>IFERROR(__xludf.DUMMYFUNCTION("""COMPUTED_VALUE"""),"DMG: +5000, Light DMG: +2500, Order DMG: +2500")</f>
        <v>DMG: +5000, Light DMG: +2500, Order DMG: +2500</v>
      </c>
      <c r="G623" s="49">
        <f>IFERROR(__xludf.DUMMYFUNCTION("""COMPUTED_VALUE"""),1900000.0)</f>
        <v>1900000</v>
      </c>
      <c r="H623" s="49"/>
      <c r="I623" s="49"/>
      <c r="J623" s="49"/>
      <c r="K623" s="49"/>
      <c r="L623" s="49"/>
      <c r="M623" s="49"/>
      <c r="N623" s="49"/>
      <c r="O623" s="49"/>
      <c r="P623" s="49"/>
      <c r="Q623" s="49"/>
      <c r="R623" s="49"/>
      <c r="S623" s="49"/>
      <c r="T623" s="49"/>
      <c r="U623" s="49"/>
      <c r="V623" s="49"/>
      <c r="W623" s="49"/>
      <c r="X623" s="49"/>
      <c r="Y623" s="49"/>
      <c r="Z623" s="49"/>
    </row>
    <row r="624">
      <c r="A624" s="49" t="str">
        <f>IFERROR(__xludf.DUMMYFUNCTION("""COMPUTED_VALUE"""),"Hand Crossbow")</f>
        <v>Hand Crossbow</v>
      </c>
      <c r="B624" s="49"/>
      <c r="C624" s="49" t="str">
        <f>IFERROR(__xludf.DUMMYFUNCTION("""COMPUTED_VALUE"""),"Bow")</f>
        <v>Bow</v>
      </c>
      <c r="D624" s="49" t="str">
        <f>IFERROR(__xludf.DUMMYFUNCTION("""COMPUTED_VALUE"""),"Hand")</f>
        <v>Hand</v>
      </c>
      <c r="E624" s="49">
        <f>IFERROR(__xludf.DUMMYFUNCTION("""COMPUTED_VALUE"""),200.0)</f>
        <v>200</v>
      </c>
      <c r="F624" s="49" t="str">
        <f>IFERROR(__xludf.DUMMYFUNCTION("""COMPUTED_VALUE"""),"DMG: +10000")</f>
        <v>DMG: +10000</v>
      </c>
      <c r="G624" s="49">
        <f>IFERROR(__xludf.DUMMYFUNCTION("""COMPUTED_VALUE"""),1900000.0)</f>
        <v>1900000</v>
      </c>
      <c r="H624" s="49"/>
      <c r="I624" s="49"/>
      <c r="J624" s="49"/>
      <c r="K624" s="49"/>
      <c r="L624" s="49"/>
      <c r="M624" s="49"/>
      <c r="N624" s="49"/>
      <c r="O624" s="49"/>
      <c r="P624" s="49"/>
      <c r="Q624" s="49"/>
      <c r="R624" s="49"/>
      <c r="S624" s="49"/>
      <c r="T624" s="49"/>
      <c r="U624" s="49"/>
      <c r="V624" s="49"/>
      <c r="W624" s="49"/>
      <c r="X624" s="49"/>
      <c r="Y624" s="49"/>
      <c r="Z624" s="49"/>
    </row>
    <row r="625">
      <c r="A625" s="49" t="str">
        <f>IFERROR(__xludf.DUMMYFUNCTION("""COMPUTED_VALUE"""),"Flintlock Pistol")</f>
        <v>Flintlock Pistol</v>
      </c>
      <c r="B625" s="49"/>
      <c r="C625" s="49" t="str">
        <f>IFERROR(__xludf.DUMMYFUNCTION("""COMPUTED_VALUE"""),"Firearm")</f>
        <v>Firearm</v>
      </c>
      <c r="D625" s="49" t="str">
        <f>IFERROR(__xludf.DUMMYFUNCTION("""COMPUTED_VALUE"""),"Hand")</f>
        <v>Hand</v>
      </c>
      <c r="E625" s="49">
        <f>IFERROR(__xludf.DUMMYFUNCTION("""COMPUTED_VALUE"""),200.0)</f>
        <v>200</v>
      </c>
      <c r="F625" s="49" t="str">
        <f>IFERROR(__xludf.DUMMYFUNCTION("""COMPUTED_VALUE"""),"DMG: +10000")</f>
        <v>DMG: +10000</v>
      </c>
      <c r="G625" s="49">
        <f>IFERROR(__xludf.DUMMYFUNCTION("""COMPUTED_VALUE"""),1900000.0)</f>
        <v>1900000</v>
      </c>
      <c r="H625" s="49"/>
      <c r="I625" s="49"/>
      <c r="J625" s="49"/>
      <c r="K625" s="49"/>
      <c r="L625" s="49"/>
      <c r="M625" s="49"/>
      <c r="N625" s="49"/>
      <c r="O625" s="49"/>
      <c r="P625" s="49"/>
      <c r="Q625" s="49"/>
      <c r="R625" s="49"/>
      <c r="S625" s="49"/>
      <c r="T625" s="49"/>
      <c r="U625" s="49"/>
      <c r="V625" s="49"/>
      <c r="W625" s="49"/>
      <c r="X625" s="49"/>
      <c r="Y625" s="49"/>
      <c r="Z625" s="49"/>
    </row>
    <row r="626">
      <c r="A626" s="49" t="str">
        <f>IFERROR(__xludf.DUMMYFUNCTION("""COMPUTED_VALUE"""),"Head of Gévaudan")</f>
        <v>Head of Gévaudan</v>
      </c>
      <c r="B626" s="49"/>
      <c r="C626" s="49"/>
      <c r="D626" s="49" t="str">
        <f>IFERROR(__xludf.DUMMYFUNCTION("""COMPUTED_VALUE"""),"Head")</f>
        <v>Head</v>
      </c>
      <c r="E626" s="49">
        <f>IFERROR(__xludf.DUMMYFUNCTION("""COMPUTED_VALUE"""),200.0)</f>
        <v>200</v>
      </c>
      <c r="F626" s="49" t="str">
        <f>IFERROR(__xludf.DUMMYFUNCTION("""COMPUTED_VALUE"""),"DEF: +10000 ++ +5 to intimidation, ++Soul Shake: Allows to cast ""Shaken Soul""")</f>
        <v>DEF: +10000 ++ +5 to intimidation, ++Soul Shake: Allows to cast "Shaken Soul"</v>
      </c>
      <c r="G626" s="49">
        <f>IFERROR(__xludf.DUMMYFUNCTION("""COMPUTED_VALUE"""),1900000.0)</f>
        <v>1900000</v>
      </c>
      <c r="H626" s="49"/>
      <c r="I626" s="49"/>
      <c r="J626" s="49"/>
      <c r="K626" s="49"/>
      <c r="L626" s="49"/>
      <c r="M626" s="49"/>
      <c r="N626" s="49"/>
      <c r="O626" s="49"/>
      <c r="P626" s="49"/>
      <c r="Q626" s="49"/>
      <c r="R626" s="49"/>
      <c r="S626" s="49"/>
      <c r="T626" s="49"/>
      <c r="U626" s="49"/>
      <c r="V626" s="49"/>
      <c r="W626" s="49"/>
      <c r="X626" s="49"/>
      <c r="Y626" s="49"/>
      <c r="Z626" s="49"/>
    </row>
    <row r="627">
      <c r="A627" s="49" t="str">
        <f>IFERROR(__xludf.DUMMYFUNCTION("""COMPUTED_VALUE"""),"Phantasmal Scythe")</f>
        <v>Phantasmal Scythe</v>
      </c>
      <c r="B627" s="49"/>
      <c r="C627" s="49" t="str">
        <f>IFERROR(__xludf.DUMMYFUNCTION("""COMPUTED_VALUE"""),"Scythe")</f>
        <v>Scythe</v>
      </c>
      <c r="D627" s="49" t="str">
        <f>IFERROR(__xludf.DUMMYFUNCTION("""COMPUTED_VALUE"""),"Hand")</f>
        <v>Hand</v>
      </c>
      <c r="E627" s="49">
        <f>IFERROR(__xludf.DUMMYFUNCTION("""COMPUTED_VALUE"""),1000.0)</f>
        <v>1000</v>
      </c>
      <c r="F627" s="49" t="str">
        <f>IFERROR(__xludf.DUMMYFUNCTION("""COMPUTED_VALUE"""),", Spirit DMG: +50000")</f>
        <v>, Spirit DMG: +50000</v>
      </c>
      <c r="G627" s="49">
        <f>IFERROR(__xludf.DUMMYFUNCTION("""COMPUTED_VALUE"""),4.95E7)</f>
        <v>49500000</v>
      </c>
      <c r="H627" s="49"/>
      <c r="I627" s="49"/>
      <c r="J627" s="49"/>
      <c r="K627" s="49"/>
      <c r="L627" s="49"/>
      <c r="M627" s="49"/>
      <c r="N627" s="49"/>
      <c r="O627" s="49"/>
      <c r="P627" s="49"/>
      <c r="Q627" s="49"/>
      <c r="R627" s="49"/>
      <c r="S627" s="49"/>
      <c r="T627" s="49"/>
      <c r="U627" s="49"/>
      <c r="V627" s="49"/>
      <c r="W627" s="49"/>
      <c r="X627" s="49"/>
      <c r="Y627" s="49"/>
      <c r="Z627" s="49"/>
    </row>
    <row r="628">
      <c r="A628" s="49" t="str">
        <f>IFERROR(__xludf.DUMMYFUNCTION("""COMPUTED_VALUE"""),"Piranha Tooth Dagger")</f>
        <v>Piranha Tooth Dagger</v>
      </c>
      <c r="B628" s="49"/>
      <c r="C628" s="49" t="str">
        <f>IFERROR(__xludf.DUMMYFUNCTION("""COMPUTED_VALUE"""),"Knife")</f>
        <v>Knife</v>
      </c>
      <c r="D628" s="49" t="str">
        <f>IFERROR(__xludf.DUMMYFUNCTION("""COMPUTED_VALUE"""),"Hand")</f>
        <v>Hand</v>
      </c>
      <c r="E628" s="49">
        <f>IFERROR(__xludf.DUMMYFUNCTION("""COMPUTED_VALUE"""),10.0)</f>
        <v>10</v>
      </c>
      <c r="F628" s="49"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49">
        <f>IFERROR(__xludf.DUMMYFUNCTION("""COMPUTED_VALUE"""),1000.0)</f>
        <v>1000</v>
      </c>
      <c r="H628" s="49"/>
      <c r="I628" s="49"/>
      <c r="J628" s="49"/>
      <c r="K628" s="49"/>
      <c r="L628" s="49"/>
      <c r="M628" s="49"/>
      <c r="N628" s="49"/>
      <c r="O628" s="49"/>
      <c r="P628" s="49"/>
      <c r="Q628" s="49"/>
      <c r="R628" s="49"/>
      <c r="S628" s="49"/>
      <c r="T628" s="49"/>
      <c r="U628" s="49"/>
      <c r="V628" s="49"/>
      <c r="W628" s="49"/>
      <c r="X628" s="49"/>
      <c r="Y628" s="49"/>
      <c r="Z628" s="49"/>
    </row>
    <row r="629">
      <c r="A629" s="49" t="str">
        <f>IFERROR(__xludf.DUMMYFUNCTION("""COMPUTED_VALUE"""),"Rhino Horn Spear")</f>
        <v>Rhino Horn Spear</v>
      </c>
      <c r="B629" s="49"/>
      <c r="C629" s="49" t="str">
        <f>IFERROR(__xludf.DUMMYFUNCTION("""COMPUTED_VALUE"""),"Spear")</f>
        <v>Spear</v>
      </c>
      <c r="D629" s="49" t="str">
        <f>IFERROR(__xludf.DUMMYFUNCTION("""COMPUTED_VALUE"""),"Hand")</f>
        <v>Hand</v>
      </c>
      <c r="E629" s="49">
        <f>IFERROR(__xludf.DUMMYFUNCTION("""COMPUTED_VALUE"""),200.0)</f>
        <v>200</v>
      </c>
      <c r="F629" s="49" t="str">
        <f>IFERROR(__xludf.DUMMYFUNCTION("""COMPUTED_VALUE"""),"DMG: +10000 ++Charge - The first attack made with this weapon deals X2 damage")</f>
        <v>DMG: +10000 ++Charge - The first attack made with this weapon deals X2 damage</v>
      </c>
      <c r="G629" s="49">
        <f>IFERROR(__xludf.DUMMYFUNCTION("""COMPUTED_VALUE"""),1900000.0)</f>
        <v>1900000</v>
      </c>
      <c r="H629" s="49"/>
      <c r="I629" s="49"/>
      <c r="J629" s="49"/>
      <c r="K629" s="49"/>
      <c r="L629" s="49"/>
      <c r="M629" s="49"/>
      <c r="N629" s="49"/>
      <c r="O629" s="49"/>
      <c r="P629" s="49"/>
      <c r="Q629" s="49"/>
      <c r="R629" s="49"/>
      <c r="S629" s="49"/>
      <c r="T629" s="49"/>
      <c r="U629" s="49"/>
      <c r="V629" s="49"/>
      <c r="W629" s="49"/>
      <c r="X629" s="49"/>
      <c r="Y629" s="49"/>
      <c r="Z629" s="49"/>
    </row>
    <row r="630">
      <c r="A630" s="49" t="str">
        <f>IFERROR(__xludf.DUMMYFUNCTION("""COMPUTED_VALUE"""),"Rock Axe")</f>
        <v>Rock Axe</v>
      </c>
      <c r="B630" s="49"/>
      <c r="C630" s="49" t="str">
        <f>IFERROR(__xludf.DUMMYFUNCTION("""COMPUTED_VALUE"""),"Axe")</f>
        <v>Axe</v>
      </c>
      <c r="D630" s="49" t="str">
        <f>IFERROR(__xludf.DUMMYFUNCTION("""COMPUTED_VALUE"""),"Hand")</f>
        <v>Hand</v>
      </c>
      <c r="E630" s="49">
        <f>IFERROR(__xludf.DUMMYFUNCTION("""COMPUTED_VALUE"""),40.0)</f>
        <v>40</v>
      </c>
      <c r="F630" s="49" t="str">
        <f>IFERROR(__xludf.DUMMYFUNCTION("""COMPUTED_VALUE"""),"DMG: +1000, Earth DMG: +1000")</f>
        <v>DMG: +1000, Earth DMG: +1000</v>
      </c>
      <c r="G630" s="49">
        <f>IFERROR(__xludf.DUMMYFUNCTION("""COMPUTED_VALUE"""),60000.0)</f>
        <v>60000</v>
      </c>
      <c r="H630" s="49"/>
      <c r="I630" s="49"/>
      <c r="J630" s="49"/>
      <c r="K630" s="49"/>
      <c r="L630" s="49"/>
      <c r="M630" s="49"/>
      <c r="N630" s="49"/>
      <c r="O630" s="49"/>
      <c r="P630" s="49"/>
      <c r="Q630" s="49"/>
      <c r="R630" s="49"/>
      <c r="S630" s="49"/>
      <c r="T630" s="49"/>
      <c r="U630" s="49"/>
      <c r="V630" s="49"/>
      <c r="W630" s="49"/>
      <c r="X630" s="49"/>
      <c r="Y630" s="49"/>
      <c r="Z630" s="49"/>
    </row>
    <row r="631">
      <c r="A631" s="49" t="str">
        <f>IFERROR(__xludf.DUMMYFUNCTION("""COMPUTED_VALUE"""),"Saber Tooth")</f>
        <v>Saber Tooth</v>
      </c>
      <c r="B631" s="49"/>
      <c r="C631" s="49" t="str">
        <f>IFERROR(__xludf.DUMMYFUNCTION("""COMPUTED_VALUE"""),"Knife")</f>
        <v>Knife</v>
      </c>
      <c r="D631" s="49" t="str">
        <f>IFERROR(__xludf.DUMMYFUNCTION("""COMPUTED_VALUE"""),"Hand")</f>
        <v>Hand</v>
      </c>
      <c r="E631" s="49">
        <f>IFERROR(__xludf.DUMMYFUNCTION("""COMPUTED_VALUE"""),200.0)</f>
        <v>200</v>
      </c>
      <c r="F631" s="49" t="str">
        <f>IFERROR(__xludf.DUMMYFUNCTION("""COMPUTED_VALUE"""),"DMG: +10000")</f>
        <v>DMG: +10000</v>
      </c>
      <c r="G631" s="49">
        <f>IFERROR(__xludf.DUMMYFUNCTION("""COMPUTED_VALUE"""),1900000.0)</f>
        <v>1900000</v>
      </c>
      <c r="H631" s="49"/>
      <c r="I631" s="49"/>
      <c r="J631" s="49"/>
      <c r="K631" s="49"/>
      <c r="L631" s="49"/>
      <c r="M631" s="49"/>
      <c r="N631" s="49"/>
      <c r="O631" s="49"/>
      <c r="P631" s="49"/>
      <c r="Q631" s="49"/>
      <c r="R631" s="49"/>
      <c r="S631" s="49"/>
      <c r="T631" s="49"/>
      <c r="U631" s="49"/>
      <c r="V631" s="49"/>
      <c r="W631" s="49"/>
      <c r="X631" s="49"/>
      <c r="Y631" s="49"/>
      <c r="Z631" s="49"/>
    </row>
    <row r="632">
      <c r="A632" s="49" t="str">
        <f>IFERROR(__xludf.DUMMYFUNCTION("""COMPUTED_VALUE"""),"Worm Tooth Chainsaw")</f>
        <v>Worm Tooth Chainsaw</v>
      </c>
      <c r="B632" s="49"/>
      <c r="C632" s="49" t="str">
        <f>IFERROR(__xludf.DUMMYFUNCTION("""COMPUTED_VALUE"""),"Axe")</f>
        <v>Axe</v>
      </c>
      <c r="D632" s="49" t="str">
        <f>IFERROR(__xludf.DUMMYFUNCTION("""COMPUTED_VALUE"""),"Hand")</f>
        <v>Hand</v>
      </c>
      <c r="E632" s="49">
        <f>IFERROR(__xludf.DUMMYFUNCTION("""COMPUTED_VALUE"""),1200.0)</f>
        <v>1200</v>
      </c>
      <c r="F632" s="49"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49">
        <f>IFERROR(__xludf.DUMMYFUNCTION("""COMPUTED_VALUE"""),7.14E7)</f>
        <v>71400000</v>
      </c>
      <c r="H632" s="49"/>
      <c r="I632" s="49"/>
      <c r="J632" s="49"/>
      <c r="K632" s="49"/>
      <c r="L632" s="49"/>
      <c r="M632" s="49"/>
      <c r="N632" s="49"/>
      <c r="O632" s="49"/>
      <c r="P632" s="49"/>
      <c r="Q632" s="49"/>
      <c r="R632" s="49"/>
      <c r="S632" s="49"/>
      <c r="T632" s="49"/>
      <c r="U632" s="49"/>
      <c r="V632" s="49"/>
      <c r="W632" s="49"/>
      <c r="X632" s="49"/>
      <c r="Y632" s="49"/>
      <c r="Z632" s="49"/>
    </row>
    <row r="633">
      <c r="A633" s="49" t="str">
        <f>IFERROR(__xludf.DUMMYFUNCTION("""COMPUTED_VALUE"""),"Shark Tooth Greatclub")</f>
        <v>Shark Tooth Greatclub</v>
      </c>
      <c r="B633" s="49"/>
      <c r="C633" s="49" t="str">
        <f>IFERROR(__xludf.DUMMYFUNCTION("""COMPUTED_VALUE"""),"Club")</f>
        <v>Club</v>
      </c>
      <c r="D633" s="49" t="str">
        <f>IFERROR(__xludf.DUMMYFUNCTION("""COMPUTED_VALUE"""),"Hand")</f>
        <v>Hand</v>
      </c>
      <c r="E633" s="49">
        <f>IFERROR(__xludf.DUMMYFUNCTION("""COMPUTED_VALUE"""),500.0)</f>
        <v>500</v>
      </c>
      <c r="F633" s="49"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49">
        <f>IFERROR(__xludf.DUMMYFUNCTION("""COMPUTED_VALUE"""),1.225E7)</f>
        <v>12250000</v>
      </c>
      <c r="H633" s="49"/>
      <c r="I633" s="49"/>
      <c r="J633" s="49"/>
      <c r="K633" s="49"/>
      <c r="L633" s="49"/>
      <c r="M633" s="49"/>
      <c r="N633" s="49"/>
      <c r="O633" s="49"/>
      <c r="P633" s="49"/>
      <c r="Q633" s="49"/>
      <c r="R633" s="49"/>
      <c r="S633" s="49"/>
      <c r="T633" s="49"/>
      <c r="U633" s="49"/>
      <c r="V633" s="49"/>
      <c r="W633" s="49"/>
      <c r="X633" s="49"/>
      <c r="Y633" s="49"/>
      <c r="Z633" s="49"/>
    </row>
    <row r="634">
      <c r="A634" s="49" t="str">
        <f>IFERROR(__xludf.DUMMYFUNCTION("""COMPUTED_VALUE"""),"Sticky Slime Guantlets")</f>
        <v>Sticky Slime Guantlets</v>
      </c>
      <c r="B634" s="49"/>
      <c r="C634" s="49" t="str">
        <f>IFERROR(__xludf.DUMMYFUNCTION("""COMPUTED_VALUE"""),"Gauntlet")</f>
        <v>Gauntlet</v>
      </c>
      <c r="D634" s="49" t="str">
        <f>IFERROR(__xludf.DUMMYFUNCTION("""COMPUTED_VALUE"""),"Hand")</f>
        <v>Hand</v>
      </c>
      <c r="E634" s="49">
        <f>IFERROR(__xludf.DUMMYFUNCTION("""COMPUTED_VALUE"""),400.0)</f>
        <v>400</v>
      </c>
      <c r="F634" s="49" t="str">
        <f>IFERROR(__xludf.DUMMYFUNCTION("""COMPUTED_VALUE"""),"DEF: +20000 ++Slimey Grasp - When these gloves are equipped the natural power ""take"" Is guaranteed to succeed.")</f>
        <v>DEF: +20000 ++Slimey Grasp - When these gloves are equipped the natural power "take" Is guaranteed to succeed.</v>
      </c>
      <c r="G634" s="49">
        <f>IFERROR(__xludf.DUMMYFUNCTION("""COMPUTED_VALUE"""),7800000.0)</f>
        <v>7800000</v>
      </c>
      <c r="H634" s="49"/>
      <c r="I634" s="49"/>
      <c r="J634" s="49"/>
      <c r="K634" s="49"/>
      <c r="L634" s="49"/>
      <c r="M634" s="49"/>
      <c r="N634" s="49"/>
      <c r="O634" s="49"/>
      <c r="P634" s="49"/>
      <c r="Q634" s="49"/>
      <c r="R634" s="49"/>
      <c r="S634" s="49"/>
      <c r="T634" s="49"/>
      <c r="U634" s="49"/>
      <c r="V634" s="49"/>
      <c r="W634" s="49"/>
      <c r="X634" s="49"/>
      <c r="Y634" s="49"/>
      <c r="Z634" s="49"/>
    </row>
    <row r="635">
      <c r="A635" s="49" t="str">
        <f>IFERROR(__xludf.DUMMYFUNCTION("""COMPUTED_VALUE"""),"Draconic Scythe")</f>
        <v>Draconic Scythe</v>
      </c>
      <c r="B635" s="49"/>
      <c r="C635" s="49" t="str">
        <f>IFERROR(__xludf.DUMMYFUNCTION("""COMPUTED_VALUE"""),"Scythe")</f>
        <v>Scythe</v>
      </c>
      <c r="D635" s="49" t="str">
        <f>IFERROR(__xludf.DUMMYFUNCTION("""COMPUTED_VALUE"""),"Hand")</f>
        <v>Hand</v>
      </c>
      <c r="E635" s="49">
        <f>IFERROR(__xludf.DUMMYFUNCTION("""COMPUTED_VALUE"""),2000.0)</f>
        <v>2000</v>
      </c>
      <c r="F635" s="49"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49">
        <f>IFERROR(__xludf.DUMMYFUNCTION("""COMPUTED_VALUE"""),1.99E8)</f>
        <v>199000000</v>
      </c>
      <c r="H635" s="49"/>
      <c r="I635" s="49"/>
      <c r="J635" s="49"/>
      <c r="K635" s="49"/>
      <c r="L635" s="49"/>
      <c r="M635" s="49"/>
      <c r="N635" s="49"/>
      <c r="O635" s="49"/>
      <c r="P635" s="49"/>
      <c r="Q635" s="49"/>
      <c r="R635" s="49"/>
      <c r="S635" s="49"/>
      <c r="T635" s="49"/>
      <c r="U635" s="49"/>
      <c r="V635" s="49"/>
      <c r="W635" s="49"/>
      <c r="X635" s="49"/>
      <c r="Y635" s="49"/>
      <c r="Z635" s="49"/>
    </row>
    <row r="636">
      <c r="A636" s="49" t="str">
        <f>IFERROR(__xludf.DUMMYFUNCTION("""COMPUTED_VALUE"""),"Elemental Scythe")</f>
        <v>Elemental Scythe</v>
      </c>
      <c r="B636" s="49"/>
      <c r="C636" s="49" t="str">
        <f>IFERROR(__xludf.DUMMYFUNCTION("""COMPUTED_VALUE"""),"Scythe")</f>
        <v>Scythe</v>
      </c>
      <c r="D636" s="49" t="str">
        <f>IFERROR(__xludf.DUMMYFUNCTION("""COMPUTED_VALUE"""),"Hand")</f>
        <v>Hand</v>
      </c>
      <c r="E636" s="49">
        <f>IFERROR(__xludf.DUMMYFUNCTION("""COMPUTED_VALUE"""),2000.0)</f>
        <v>2000</v>
      </c>
      <c r="F636" s="49"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49">
        <f>IFERROR(__xludf.DUMMYFUNCTION("""COMPUTED_VALUE"""),1.99E8)</f>
        <v>199000000</v>
      </c>
      <c r="H636" s="49"/>
      <c r="I636" s="49"/>
      <c r="J636" s="49"/>
      <c r="K636" s="49"/>
      <c r="L636" s="49"/>
      <c r="M636" s="49"/>
      <c r="N636" s="49"/>
      <c r="O636" s="49"/>
      <c r="P636" s="49"/>
      <c r="Q636" s="49"/>
      <c r="R636" s="49"/>
      <c r="S636" s="49"/>
      <c r="T636" s="49"/>
      <c r="U636" s="49"/>
      <c r="V636" s="49"/>
      <c r="W636" s="49"/>
      <c r="X636" s="49"/>
      <c r="Y636" s="49"/>
      <c r="Z636" s="49"/>
    </row>
    <row r="637">
      <c r="A637" s="49" t="str">
        <f>IFERROR(__xludf.DUMMYFUNCTION("""COMPUTED_VALUE"""),"Staff of the Elemental King of Water")</f>
        <v>Staff of the Elemental King of Water</v>
      </c>
      <c r="B637" s="49"/>
      <c r="C637" s="49" t="str">
        <f>IFERROR(__xludf.DUMMYFUNCTION("""COMPUTED_VALUE"""),"Staff")</f>
        <v>Staff</v>
      </c>
      <c r="D637" s="49" t="str">
        <f>IFERROR(__xludf.DUMMYFUNCTION("""COMPUTED_VALUE"""),"Hand")</f>
        <v>Hand</v>
      </c>
      <c r="E637" s="49">
        <f>IFERROR(__xludf.DUMMYFUNCTION("""COMPUTED_VALUE"""),1000.0)</f>
        <v>1000</v>
      </c>
      <c r="F637" s="49" t="str">
        <f>IFERROR(__xludf.DUMMYFUNCTION("""COMPUTED_VALUE"""),", Water DMG: +50000 ++Summoned Water Elementals deal 5X water damage")</f>
        <v>, Water DMG: +50000 ++Summoned Water Elementals deal 5X water damage</v>
      </c>
      <c r="G637" s="49">
        <f>IFERROR(__xludf.DUMMYFUNCTION("""COMPUTED_VALUE"""),4.95E7)</f>
        <v>49500000</v>
      </c>
      <c r="H637" s="49"/>
      <c r="I637" s="49"/>
      <c r="J637" s="49"/>
      <c r="K637" s="49"/>
      <c r="L637" s="49"/>
      <c r="M637" s="49"/>
      <c r="N637" s="49"/>
      <c r="O637" s="49"/>
      <c r="P637" s="49"/>
      <c r="Q637" s="49"/>
      <c r="R637" s="49"/>
      <c r="S637" s="49"/>
      <c r="T637" s="49"/>
      <c r="U637" s="49"/>
      <c r="V637" s="49"/>
      <c r="W637" s="49"/>
      <c r="X637" s="49"/>
      <c r="Y637" s="49"/>
      <c r="Z637" s="49"/>
    </row>
    <row r="638">
      <c r="A638" s="49" t="str">
        <f>IFERROR(__xludf.DUMMYFUNCTION("""COMPUTED_VALUE"""),"Bashe's Tail")</f>
        <v>Bashe's Tail</v>
      </c>
      <c r="B638" s="49"/>
      <c r="C638" s="49"/>
      <c r="D638" s="49" t="str">
        <f>IFERROR(__xludf.DUMMYFUNCTION("""COMPUTED_VALUE"""),"Legs")</f>
        <v>Legs</v>
      </c>
      <c r="E638" s="49">
        <f>IFERROR(__xludf.DUMMYFUNCTION("""COMPUTED_VALUE"""),800.0)</f>
        <v>800</v>
      </c>
      <c r="F638" s="49" t="str">
        <f>IFERROR(__xludf.DUMMYFUNCTION("""COMPUTED_VALUE"""),"DEF: +40000 ++Smash - Allows you to attack with the tail as if it were a club weapon")</f>
        <v>DEF: +40000 ++Smash - Allows you to attack with the tail as if it were a club weapon</v>
      </c>
      <c r="G638" s="49">
        <f>IFERROR(__xludf.DUMMYFUNCTION("""COMPUTED_VALUE"""),3.16E7)</f>
        <v>31600000</v>
      </c>
      <c r="H638" s="49"/>
      <c r="I638" s="49"/>
      <c r="J638" s="49"/>
      <c r="K638" s="49"/>
      <c r="L638" s="49"/>
      <c r="M638" s="49"/>
      <c r="N638" s="49"/>
      <c r="O638" s="49"/>
      <c r="P638" s="49"/>
      <c r="Q638" s="49"/>
      <c r="R638" s="49"/>
      <c r="S638" s="49"/>
      <c r="T638" s="49"/>
      <c r="U638" s="49"/>
      <c r="V638" s="49"/>
      <c r="W638" s="49"/>
      <c r="X638" s="49"/>
      <c r="Y638" s="49"/>
      <c r="Z638" s="49"/>
    </row>
    <row r="639">
      <c r="A639" s="49" t="str">
        <f>IFERROR(__xludf.DUMMYFUNCTION("""COMPUTED_VALUE"""),"Bashe's Flute")</f>
        <v>Bashe's Flute</v>
      </c>
      <c r="B639" s="49"/>
      <c r="C639" s="49" t="str">
        <f>IFERROR(__xludf.DUMMYFUNCTION("""COMPUTED_VALUE"""),"Instrument")</f>
        <v>Instrument</v>
      </c>
      <c r="D639" s="49" t="str">
        <f>IFERROR(__xludf.DUMMYFUNCTION("""COMPUTED_VALUE"""),"Hand")</f>
        <v>Hand</v>
      </c>
      <c r="E639" s="49">
        <f>IFERROR(__xludf.DUMMYFUNCTION("""COMPUTED_VALUE"""),1000.0)</f>
        <v>1000</v>
      </c>
      <c r="F639" s="49"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49">
        <f>IFERROR(__xludf.DUMMYFUNCTION("""COMPUTED_VALUE"""),4.95E7)</f>
        <v>49500000</v>
      </c>
      <c r="H639" s="49"/>
      <c r="I639" s="49"/>
      <c r="J639" s="49"/>
      <c r="K639" s="49"/>
      <c r="L639" s="49"/>
      <c r="M639" s="49"/>
      <c r="N639" s="49"/>
      <c r="O639" s="49"/>
      <c r="P639" s="49"/>
      <c r="Q639" s="49"/>
      <c r="R639" s="49"/>
      <c r="S639" s="49"/>
      <c r="T639" s="49"/>
      <c r="U639" s="49"/>
      <c r="V639" s="49"/>
      <c r="W639" s="49"/>
      <c r="X639" s="49"/>
      <c r="Y639" s="49"/>
      <c r="Z639" s="49"/>
    </row>
    <row r="640">
      <c r="A640" s="49" t="str">
        <f>IFERROR(__xludf.DUMMYFUNCTION("""COMPUTED_VALUE"""),"Grash's Favorite Length Of Iron")</f>
        <v>Grash's Favorite Length Of Iron</v>
      </c>
      <c r="B640" s="49"/>
      <c r="C640" s="49" t="str">
        <f>IFERROR(__xludf.DUMMYFUNCTION("""COMPUTED_VALUE"""),"Club")</f>
        <v>Club</v>
      </c>
      <c r="D640" s="49" t="str">
        <f>IFERROR(__xludf.DUMMYFUNCTION("""COMPUTED_VALUE"""),"Hand")</f>
        <v>Hand</v>
      </c>
      <c r="E640" s="49">
        <f>IFERROR(__xludf.DUMMYFUNCTION("""COMPUTED_VALUE"""),2000.0)</f>
        <v>2000</v>
      </c>
      <c r="F640" s="49" t="str">
        <f>IFERROR(__xludf.DUMMYFUNCTION("""COMPUTED_VALUE"""),"DMG: +100000 ++When a Samurai Wields this weapon they get access to the ""Grash's Smashing Success"" Natural Power")</f>
        <v>DMG: +100000 ++When a Samurai Wields this weapon they get access to the "Grash's Smashing Success" Natural Power</v>
      </c>
      <c r="G640" s="49">
        <f>IFERROR(__xludf.DUMMYFUNCTION("""COMPUTED_VALUE"""),1.99E8)</f>
        <v>199000000</v>
      </c>
      <c r="H640" s="49"/>
      <c r="I640" s="49"/>
      <c r="J640" s="49"/>
      <c r="K640" s="49"/>
      <c r="L640" s="49"/>
      <c r="M640" s="49"/>
      <c r="N640" s="49"/>
      <c r="O640" s="49"/>
      <c r="P640" s="49"/>
      <c r="Q640" s="49"/>
      <c r="R640" s="49"/>
      <c r="S640" s="49"/>
      <c r="T640" s="49"/>
      <c r="U640" s="49"/>
      <c r="V640" s="49"/>
      <c r="W640" s="49"/>
      <c r="X640" s="49"/>
      <c r="Y640" s="49"/>
      <c r="Z640" s="49"/>
    </row>
    <row r="641">
      <c r="A641" s="49" t="str">
        <f>IFERROR(__xludf.DUMMYFUNCTION("""COMPUTED_VALUE"""),"Wolf Tooth Neclace")</f>
        <v>Wolf Tooth Neclace</v>
      </c>
      <c r="B641" s="49"/>
      <c r="C641" s="49"/>
      <c r="D641" s="49" t="str">
        <f>IFERROR(__xludf.DUMMYFUNCTION("""COMPUTED_VALUE"""),"Neck")</f>
        <v>Neck</v>
      </c>
      <c r="E641" s="49">
        <f>IFERROR(__xludf.DUMMYFUNCTION("""COMPUTED_VALUE"""),1.0)</f>
        <v>1</v>
      </c>
      <c r="F641" s="49"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49">
        <f>IFERROR(__xludf.DUMMYFUNCTION("""COMPUTED_VALUE"""),0.0)</f>
        <v>0</v>
      </c>
      <c r="H641" s="49"/>
      <c r="I641" s="49"/>
      <c r="J641" s="49"/>
      <c r="K641" s="49"/>
      <c r="L641" s="49"/>
      <c r="M641" s="49"/>
      <c r="N641" s="49"/>
      <c r="O641" s="49"/>
      <c r="P641" s="49"/>
      <c r="Q641" s="49"/>
      <c r="R641" s="49"/>
      <c r="S641" s="49"/>
      <c r="T641" s="49"/>
      <c r="U641" s="49"/>
      <c r="V641" s="49"/>
      <c r="W641" s="49"/>
      <c r="X641" s="49"/>
      <c r="Y641" s="49"/>
      <c r="Z641" s="49"/>
    </row>
    <row r="642">
      <c r="A642" s="49" t="str">
        <f>IFERROR(__xludf.DUMMYFUNCTION("""COMPUTED_VALUE"""),"Dragon Scale Necklace")</f>
        <v>Dragon Scale Necklace</v>
      </c>
      <c r="B642" s="49"/>
      <c r="C642" s="49"/>
      <c r="D642" s="49" t="str">
        <f>IFERROR(__xludf.DUMMYFUNCTION("""COMPUTED_VALUE"""),"Neck")</f>
        <v>Neck</v>
      </c>
      <c r="E642" s="49">
        <f>IFERROR(__xludf.DUMMYFUNCTION("""COMPUTED_VALUE"""),1.0)</f>
        <v>1</v>
      </c>
      <c r="F642" s="49"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49">
        <f>IFERROR(__xludf.DUMMYFUNCTION("""COMPUTED_VALUE"""),0.0)</f>
        <v>0</v>
      </c>
      <c r="H642" s="49"/>
      <c r="I642" s="49"/>
      <c r="J642" s="49"/>
      <c r="K642" s="49"/>
      <c r="L642" s="49"/>
      <c r="M642" s="49"/>
      <c r="N642" s="49"/>
      <c r="O642" s="49"/>
      <c r="P642" s="49"/>
      <c r="Q642" s="49"/>
      <c r="R642" s="49"/>
      <c r="S642" s="49"/>
      <c r="T642" s="49"/>
      <c r="U642" s="49"/>
      <c r="V642" s="49"/>
      <c r="W642" s="49"/>
      <c r="X642" s="49"/>
      <c r="Y642" s="49"/>
      <c r="Z642" s="49"/>
    </row>
    <row r="643">
      <c r="A643" s="49" t="str">
        <f>IFERROR(__xludf.DUMMYFUNCTION("""COMPUTED_VALUE"""),"Heavenly Necklace")</f>
        <v>Heavenly Necklace</v>
      </c>
      <c r="B643" s="49"/>
      <c r="C643" s="49"/>
      <c r="D643" s="49" t="str">
        <f>IFERROR(__xludf.DUMMYFUNCTION("""COMPUTED_VALUE"""),"Neck")</f>
        <v>Neck</v>
      </c>
      <c r="E643" s="49">
        <f>IFERROR(__xludf.DUMMYFUNCTION("""COMPUTED_VALUE"""),1.0)</f>
        <v>1</v>
      </c>
      <c r="F643" s="49"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49">
        <f>IFERROR(__xludf.DUMMYFUNCTION("""COMPUTED_VALUE"""),0.0)</f>
        <v>0</v>
      </c>
      <c r="H643" s="49"/>
      <c r="I643" s="49"/>
      <c r="J643" s="49"/>
      <c r="K643" s="49"/>
      <c r="L643" s="49"/>
      <c r="M643" s="49"/>
      <c r="N643" s="49"/>
      <c r="O643" s="49"/>
      <c r="P643" s="49"/>
      <c r="Q643" s="49"/>
      <c r="R643" s="49"/>
      <c r="S643" s="49"/>
      <c r="T643" s="49"/>
      <c r="U643" s="49"/>
      <c r="V643" s="49"/>
      <c r="W643" s="49"/>
      <c r="X643" s="49"/>
      <c r="Y643" s="49"/>
      <c r="Z643" s="49"/>
    </row>
    <row r="644">
      <c r="A644" s="49" t="str">
        <f>IFERROR(__xludf.DUMMYFUNCTION("""COMPUTED_VALUE"""),"Demonic Necklace")</f>
        <v>Demonic Necklace</v>
      </c>
      <c r="B644" s="49"/>
      <c r="C644" s="49"/>
      <c r="D644" s="49" t="str">
        <f>IFERROR(__xludf.DUMMYFUNCTION("""COMPUTED_VALUE"""),"Neck")</f>
        <v>Neck</v>
      </c>
      <c r="E644" s="49">
        <f>IFERROR(__xludf.DUMMYFUNCTION("""COMPUTED_VALUE"""),1.0)</f>
        <v>1</v>
      </c>
      <c r="F644" s="49"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49">
        <f>IFERROR(__xludf.DUMMYFUNCTION("""COMPUTED_VALUE"""),0.0)</f>
        <v>0</v>
      </c>
      <c r="H644" s="49"/>
      <c r="I644" s="49"/>
      <c r="J644" s="49"/>
      <c r="K644" s="49"/>
      <c r="L644" s="49"/>
      <c r="M644" s="49"/>
      <c r="N644" s="49"/>
      <c r="O644" s="49"/>
      <c r="P644" s="49"/>
      <c r="Q644" s="49"/>
      <c r="R644" s="49"/>
      <c r="S644" s="49"/>
      <c r="T644" s="49"/>
      <c r="U644" s="49"/>
      <c r="V644" s="49"/>
      <c r="W644" s="49"/>
      <c r="X644" s="49"/>
      <c r="Y644" s="49"/>
      <c r="Z644" s="49"/>
    </row>
    <row r="645">
      <c r="A645" s="49" t="str">
        <f>IFERROR(__xludf.DUMMYFUNCTION("""COMPUTED_VALUE"""),"The Cloak of Gévaudan")</f>
        <v>The Cloak of Gévaudan</v>
      </c>
      <c r="B645" s="49"/>
      <c r="C645" s="49"/>
      <c r="D645" s="49" t="str">
        <f>IFERROR(__xludf.DUMMYFUNCTION("""COMPUTED_VALUE"""),"Shoulders")</f>
        <v>Shoulders</v>
      </c>
      <c r="E645" s="49">
        <f>IFERROR(__xludf.DUMMYFUNCTION("""COMPUTED_VALUE"""),800.0)</f>
        <v>800</v>
      </c>
      <c r="F645" s="49" t="str">
        <f>IFERROR(__xludf.DUMMYFUNCTION("""COMPUTED_VALUE"""),"DEF: +25000, Fire DEF: +15000 ++The warm coat grants you immunity to freezing.")</f>
        <v>DEF: +25000, Fire DEF: +15000 ++The warm coat grants you immunity to freezing.</v>
      </c>
      <c r="G645" s="49">
        <f>IFERROR(__xludf.DUMMYFUNCTION("""COMPUTED_VALUE"""),3.16E7)</f>
        <v>31600000</v>
      </c>
      <c r="H645" s="49"/>
      <c r="I645" s="49"/>
      <c r="J645" s="49"/>
      <c r="K645" s="49"/>
      <c r="L645" s="49"/>
      <c r="M645" s="49"/>
      <c r="N645" s="49"/>
      <c r="O645" s="49"/>
      <c r="P645" s="49"/>
      <c r="Q645" s="49"/>
      <c r="R645" s="49"/>
      <c r="S645" s="49"/>
      <c r="T645" s="49"/>
      <c r="U645" s="49"/>
      <c r="V645" s="49"/>
      <c r="W645" s="49"/>
      <c r="X645" s="49"/>
      <c r="Y645" s="49"/>
      <c r="Z645" s="49"/>
    </row>
    <row r="646">
      <c r="A646" s="49" t="str">
        <f>IFERROR(__xludf.DUMMYFUNCTION("""COMPUTED_VALUE"""),"Spirit Glyph")</f>
        <v>Spirit Glyph</v>
      </c>
      <c r="B646" s="49"/>
      <c r="C646" s="49"/>
      <c r="D646" s="49" t="str">
        <f>IFERROR(__xludf.DUMMYFUNCTION("""COMPUTED_VALUE"""),"Ring")</f>
        <v>Ring</v>
      </c>
      <c r="E646" s="49">
        <f>IFERROR(__xludf.DUMMYFUNCTION("""COMPUTED_VALUE"""),1.0)</f>
        <v>1</v>
      </c>
      <c r="F646" s="49"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49">
        <f>IFERROR(__xludf.DUMMYFUNCTION("""COMPUTED_VALUE"""),0.0)</f>
        <v>0</v>
      </c>
      <c r="H646" s="49"/>
      <c r="I646" s="49"/>
      <c r="J646" s="49"/>
      <c r="K646" s="49"/>
      <c r="L646" s="49"/>
      <c r="M646" s="49"/>
      <c r="N646" s="49"/>
      <c r="O646" s="49"/>
      <c r="P646" s="49"/>
      <c r="Q646" s="49"/>
      <c r="R646" s="49"/>
      <c r="S646" s="49"/>
      <c r="T646" s="49"/>
      <c r="U646" s="49"/>
      <c r="V646" s="49"/>
      <c r="W646" s="49"/>
      <c r="X646" s="49"/>
      <c r="Y646" s="49"/>
      <c r="Z646" s="49"/>
    </row>
    <row r="647">
      <c r="A647" s="49" t="str">
        <f>IFERROR(__xludf.DUMMYFUNCTION("""COMPUTED_VALUE"""),"Necromantic Sigil")</f>
        <v>Necromantic Sigil</v>
      </c>
      <c r="B647" s="49"/>
      <c r="C647" s="49"/>
      <c r="D647" s="49" t="str">
        <f>IFERROR(__xludf.DUMMYFUNCTION("""COMPUTED_VALUE"""),"Ring")</f>
        <v>Ring</v>
      </c>
      <c r="E647" s="49">
        <f>IFERROR(__xludf.DUMMYFUNCTION("""COMPUTED_VALUE"""),1.0)</f>
        <v>1</v>
      </c>
      <c r="F647" s="49"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49">
        <f>IFERROR(__xludf.DUMMYFUNCTION("""COMPUTED_VALUE"""),0.0)</f>
        <v>0</v>
      </c>
      <c r="H647" s="49"/>
      <c r="I647" s="49"/>
      <c r="J647" s="49"/>
      <c r="K647" s="49"/>
      <c r="L647" s="49"/>
      <c r="M647" s="49"/>
      <c r="N647" s="49"/>
      <c r="O647" s="49"/>
      <c r="P647" s="49"/>
      <c r="Q647" s="49"/>
      <c r="R647" s="49"/>
      <c r="S647" s="49"/>
      <c r="T647" s="49"/>
      <c r="U647" s="49"/>
      <c r="V647" s="49"/>
      <c r="W647" s="49"/>
      <c r="X647" s="49"/>
      <c r="Y647" s="49"/>
      <c r="Z647" s="49"/>
    </row>
    <row r="648">
      <c r="A648" s="49" t="str">
        <f>IFERROR(__xludf.DUMMYFUNCTION("""COMPUTED_VALUE"""),"Dragonslayer")</f>
        <v>Dragonslayer</v>
      </c>
      <c r="B648" s="49" t="str">
        <f>IFERROR(__xludf.DUMMYFUNCTION("""COMPUTED_VALUE"""),"It was too big to be called a sword. Massive, thick, heavy, and far too rough. Indeed, it was a heap of raw iron.")</f>
        <v>It was too big to be called a sword. Massive, thick, heavy, and far too rough. Indeed, it was a heap of raw iron.</v>
      </c>
      <c r="C648" s="49" t="str">
        <f>IFERROR(__xludf.DUMMYFUNCTION("""COMPUTED_VALUE"""),"Sword")</f>
        <v>Sword</v>
      </c>
      <c r="D648" s="49" t="str">
        <f>IFERROR(__xludf.DUMMYFUNCTION("""COMPUTED_VALUE"""),"Hand")</f>
        <v>Hand</v>
      </c>
      <c r="E648" s="49">
        <f>IFERROR(__xludf.DUMMYFUNCTION("""COMPUTED_VALUE"""),2000.0)</f>
        <v>2000</v>
      </c>
      <c r="F648" s="49" t="str">
        <f>IFERROR(__xludf.DUMMYFUNCTION("""COMPUTED_VALUE"""),"DMG: +100000 ++Deals X10 damage when fighting a Dragon or Monstrosity")</f>
        <v>DMG: +100000 ++Deals X10 damage when fighting a Dragon or Monstrosity</v>
      </c>
      <c r="G648" s="49">
        <f>IFERROR(__xludf.DUMMYFUNCTION("""COMPUTED_VALUE"""),1.99E8)</f>
        <v>199000000</v>
      </c>
      <c r="H648" s="49"/>
      <c r="I648" s="49"/>
      <c r="J648" s="49"/>
      <c r="K648" s="49"/>
      <c r="L648" s="49"/>
      <c r="M648" s="49"/>
      <c r="N648" s="49"/>
      <c r="O648" s="49"/>
      <c r="P648" s="49"/>
      <c r="Q648" s="49"/>
      <c r="R648" s="49"/>
      <c r="S648" s="49"/>
      <c r="T648" s="49"/>
      <c r="U648" s="49"/>
      <c r="V648" s="49"/>
      <c r="W648" s="49"/>
      <c r="X648" s="49"/>
      <c r="Y648" s="49"/>
      <c r="Z648" s="49"/>
    </row>
    <row r="649">
      <c r="A649" s="49" t="str">
        <f>IFERROR(__xludf.DUMMYFUNCTION("""COMPUTED_VALUE"""),"Rusted Halberd")</f>
        <v>Rusted Halberd</v>
      </c>
      <c r="B649" s="49"/>
      <c r="C649" s="49" t="str">
        <f>IFERROR(__xludf.DUMMYFUNCTION("""COMPUTED_VALUE"""),"Spear")</f>
        <v>Spear</v>
      </c>
      <c r="D649" s="49" t="str">
        <f>IFERROR(__xludf.DUMMYFUNCTION("""COMPUTED_VALUE"""),"Hand")</f>
        <v>Hand</v>
      </c>
      <c r="E649" s="49">
        <f>IFERROR(__xludf.DUMMYFUNCTION("""COMPUTED_VALUE"""),100.0)</f>
        <v>100</v>
      </c>
      <c r="F649" s="49" t="str">
        <f>IFERROR(__xludf.DUMMYFUNCTION("""COMPUTED_VALUE"""),"DMG: +5000")</f>
        <v>DMG: +5000</v>
      </c>
      <c r="G649" s="49">
        <f>IFERROR(__xludf.DUMMYFUNCTION("""COMPUTED_VALUE"""),450000.0)</f>
        <v>450000</v>
      </c>
      <c r="H649" s="49"/>
      <c r="I649" s="49"/>
      <c r="J649" s="49"/>
      <c r="K649" s="49"/>
      <c r="L649" s="49"/>
      <c r="M649" s="49"/>
      <c r="N649" s="49"/>
      <c r="O649" s="49"/>
      <c r="P649" s="49"/>
      <c r="Q649" s="49"/>
      <c r="R649" s="49"/>
      <c r="S649" s="49"/>
      <c r="T649" s="49"/>
      <c r="U649" s="49"/>
      <c r="V649" s="49"/>
      <c r="W649" s="49"/>
      <c r="X649" s="49"/>
      <c r="Y649" s="49"/>
      <c r="Z649" s="49"/>
    </row>
    <row r="650">
      <c r="A650" s="49" t="str">
        <f>IFERROR(__xludf.DUMMYFUNCTION("""COMPUTED_VALUE"""),"Diseased Rapier")</f>
        <v>Diseased Rapier</v>
      </c>
      <c r="B650" s="49"/>
      <c r="C650" s="49" t="str">
        <f>IFERROR(__xludf.DUMMYFUNCTION("""COMPUTED_VALUE"""),"Sword")</f>
        <v>Sword</v>
      </c>
      <c r="D650" s="49" t="str">
        <f>IFERROR(__xludf.DUMMYFUNCTION("""COMPUTED_VALUE"""),"Hand")</f>
        <v>Hand</v>
      </c>
      <c r="E650" s="49">
        <f>IFERROR(__xludf.DUMMYFUNCTION("""COMPUTED_VALUE"""),50.0)</f>
        <v>50</v>
      </c>
      <c r="F650" s="49" t="str">
        <f>IFERROR(__xludf.DUMMYFUNCTION("""COMPUTED_VALUE"""),"DMG: +2500 ++15% chance to inflict the target with a random non-pemanent disease")</f>
        <v>DMG: +2500 ++15% chance to inflict the target with a random non-pemanent disease</v>
      </c>
      <c r="G650" s="49">
        <f>IFERROR(__xludf.DUMMYFUNCTION("""COMPUTED_VALUE"""),100000.0)</f>
        <v>100000</v>
      </c>
      <c r="H650" s="49"/>
      <c r="I650" s="49"/>
      <c r="J650" s="49"/>
      <c r="K650" s="49"/>
      <c r="L650" s="49"/>
      <c r="M650" s="49"/>
      <c r="N650" s="49"/>
      <c r="O650" s="49"/>
      <c r="P650" s="49"/>
      <c r="Q650" s="49"/>
      <c r="R650" s="49"/>
      <c r="S650" s="49"/>
      <c r="T650" s="49"/>
      <c r="U650" s="49"/>
      <c r="V650" s="49"/>
      <c r="W650" s="49"/>
      <c r="X650" s="49"/>
      <c r="Y650" s="49"/>
      <c r="Z650" s="49"/>
    </row>
    <row r="651">
      <c r="A651" s="49" t="str">
        <f>IFERROR(__xludf.DUMMYFUNCTION("""COMPUTED_VALUE"""),"Symbol of Greed")</f>
        <v>Symbol of Greed</v>
      </c>
      <c r="B651" s="49"/>
      <c r="C651" s="49"/>
      <c r="D651" s="49" t="str">
        <f>IFERROR(__xludf.DUMMYFUNCTION("""COMPUTED_VALUE"""),"Finger")</f>
        <v>Finger</v>
      </c>
      <c r="E651" s="49">
        <f>IFERROR(__xludf.DUMMYFUNCTION("""COMPUTED_VALUE"""),1.0)</f>
        <v>1</v>
      </c>
      <c r="F651" s="49"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49">
        <f>IFERROR(__xludf.DUMMYFUNCTION("""COMPUTED_VALUE"""),0.0)</f>
        <v>0</v>
      </c>
      <c r="H651" s="49"/>
      <c r="I651" s="49"/>
      <c r="J651" s="49"/>
      <c r="K651" s="49"/>
      <c r="L651" s="49"/>
      <c r="M651" s="49"/>
      <c r="N651" s="49"/>
      <c r="O651" s="49"/>
      <c r="P651" s="49"/>
      <c r="Q651" s="49"/>
      <c r="R651" s="49"/>
      <c r="S651" s="49"/>
      <c r="T651" s="49"/>
      <c r="U651" s="49"/>
      <c r="V651" s="49"/>
      <c r="W651" s="49"/>
      <c r="X651" s="49"/>
      <c r="Y651" s="49"/>
      <c r="Z651" s="49"/>
    </row>
    <row r="652">
      <c r="A652" s="49" t="str">
        <f>IFERROR(__xludf.DUMMYFUNCTION("""COMPUTED_VALUE"""),"Enchanted Quiver")</f>
        <v>Enchanted Quiver</v>
      </c>
      <c r="B652" s="49"/>
      <c r="C652" s="49"/>
      <c r="D652" s="49" t="str">
        <f>IFERROR(__xludf.DUMMYFUNCTION("""COMPUTED_VALUE"""),"Shoulders")</f>
        <v>Shoulders</v>
      </c>
      <c r="E652" s="49">
        <f>IFERROR(__xludf.DUMMYFUNCTION("""COMPUTED_VALUE"""),1.0)</f>
        <v>1</v>
      </c>
      <c r="F652" s="49" t="str">
        <f>IFERROR(__xludf.DUMMYFUNCTION("""COMPUTED_VALUE""")," ++Magic Arrow - ++5 to all attack rolls with a bow +-(Archer Class Only)")</f>
        <v> ++Magic Arrow - ++5 to all attack rolls with a bow +-(Archer Class Only)</v>
      </c>
      <c r="G652" s="49">
        <f>IFERROR(__xludf.DUMMYFUNCTION("""COMPUTED_VALUE"""),0.0)</f>
        <v>0</v>
      </c>
      <c r="H652" s="49"/>
      <c r="I652" s="49"/>
      <c r="J652" s="49"/>
      <c r="K652" s="49"/>
      <c r="L652" s="49"/>
      <c r="M652" s="49"/>
      <c r="N652" s="49"/>
      <c r="O652" s="49"/>
      <c r="P652" s="49"/>
      <c r="Q652" s="49"/>
      <c r="R652" s="49"/>
      <c r="S652" s="49"/>
      <c r="T652" s="49"/>
      <c r="U652" s="49"/>
      <c r="V652" s="49"/>
      <c r="W652" s="49"/>
      <c r="X652" s="49"/>
      <c r="Y652" s="49"/>
      <c r="Z652" s="49"/>
    </row>
    <row r="653">
      <c r="A653" s="49" t="str">
        <f>IFERROR(__xludf.DUMMYFUNCTION("""COMPUTED_VALUE"""),"Ring of the Siren")</f>
        <v>Ring of the Siren</v>
      </c>
      <c r="B653" s="49"/>
      <c r="C653" s="49"/>
      <c r="D653" s="49" t="str">
        <f>IFERROR(__xludf.DUMMYFUNCTION("""COMPUTED_VALUE"""),"Finger")</f>
        <v>Finger</v>
      </c>
      <c r="E653" s="49">
        <f>IFERROR(__xludf.DUMMYFUNCTION("""COMPUTED_VALUE"""),1.0)</f>
        <v>1</v>
      </c>
      <c r="F653" s="49"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49">
        <f>IFERROR(__xludf.DUMMYFUNCTION("""COMPUTED_VALUE"""),0.0)</f>
        <v>0</v>
      </c>
      <c r="H653" s="49"/>
      <c r="I653" s="49"/>
      <c r="J653" s="49"/>
      <c r="K653" s="49"/>
      <c r="L653" s="49"/>
      <c r="M653" s="49"/>
      <c r="N653" s="49"/>
      <c r="O653" s="49"/>
      <c r="P653" s="49"/>
      <c r="Q653" s="49"/>
      <c r="R653" s="49"/>
      <c r="S653" s="49"/>
      <c r="T653" s="49"/>
      <c r="U653" s="49"/>
      <c r="V653" s="49"/>
      <c r="W653" s="49"/>
      <c r="X653" s="49"/>
      <c r="Y653" s="49"/>
      <c r="Z653" s="49"/>
    </row>
    <row r="654">
      <c r="A654" s="49" t="str">
        <f>IFERROR(__xludf.DUMMYFUNCTION("""COMPUTED_VALUE"""),"Amulet of The Berserker")</f>
        <v>Amulet of The Berserker</v>
      </c>
      <c r="B654" s="49"/>
      <c r="C654" s="49"/>
      <c r="D654" s="49" t="str">
        <f>IFERROR(__xludf.DUMMYFUNCTION("""COMPUTED_VALUE"""),"Neck")</f>
        <v>Neck</v>
      </c>
      <c r="E654" s="49">
        <f>IFERROR(__xludf.DUMMYFUNCTION("""COMPUTED_VALUE"""),1.0)</f>
        <v>1</v>
      </c>
      <c r="F654" s="49" t="str">
        <f>IFERROR(__xludf.DUMMYFUNCTION("""COMPUTED_VALUE""")," ++Berserk - When attacking or being attacked gain 1 stack of Insanity +-(Brawler Class Only)")</f>
        <v> ++Berserk - When attacking or being attacked gain 1 stack of Insanity +-(Brawler Class Only)</v>
      </c>
      <c r="G654" s="49">
        <f>IFERROR(__xludf.DUMMYFUNCTION("""COMPUTED_VALUE"""),0.0)</f>
        <v>0</v>
      </c>
      <c r="H654" s="49"/>
      <c r="I654" s="49"/>
      <c r="J654" s="49"/>
      <c r="K654" s="49"/>
      <c r="L654" s="49"/>
      <c r="M654" s="49"/>
      <c r="N654" s="49"/>
      <c r="O654" s="49"/>
      <c r="P654" s="49"/>
      <c r="Q654" s="49"/>
      <c r="R654" s="49"/>
      <c r="S654" s="49"/>
      <c r="T654" s="49"/>
      <c r="U654" s="49"/>
      <c r="V654" s="49"/>
      <c r="W654" s="49"/>
      <c r="X654" s="49"/>
      <c r="Y654" s="49"/>
      <c r="Z654" s="49"/>
    </row>
    <row r="655">
      <c r="A655" s="49" t="str">
        <f>IFERROR(__xludf.DUMMYFUNCTION("""COMPUTED_VALUE"""),"Mask of the Cultist")</f>
        <v>Mask of the Cultist</v>
      </c>
      <c r="B655" s="49"/>
      <c r="C655" s="49"/>
      <c r="D655" s="49" t="str">
        <f>IFERROR(__xludf.DUMMYFUNCTION("""COMPUTED_VALUE"""),"Head")</f>
        <v>Head</v>
      </c>
      <c r="E655" s="49">
        <f>IFERROR(__xludf.DUMMYFUNCTION("""COMPUTED_VALUE"""),1.0)</f>
        <v>1</v>
      </c>
      <c r="F655" s="49"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49">
        <f>IFERROR(__xludf.DUMMYFUNCTION("""COMPUTED_VALUE"""),0.0)</f>
        <v>0</v>
      </c>
      <c r="H655" s="49"/>
      <c r="I655" s="49"/>
      <c r="J655" s="49"/>
      <c r="K655" s="49"/>
      <c r="L655" s="49"/>
      <c r="M655" s="49"/>
      <c r="N655" s="49"/>
      <c r="O655" s="49"/>
      <c r="P655" s="49"/>
      <c r="Q655" s="49"/>
      <c r="R655" s="49"/>
      <c r="S655" s="49"/>
      <c r="T655" s="49"/>
      <c r="U655" s="49"/>
      <c r="V655" s="49"/>
      <c r="W655" s="49"/>
      <c r="X655" s="49"/>
      <c r="Y655" s="49"/>
      <c r="Z655" s="49"/>
    </row>
    <row r="656">
      <c r="A656" s="49" t="str">
        <f>IFERROR(__xludf.DUMMYFUNCTION("""COMPUTED_VALUE"""),"""Natural"" Cologne")</f>
        <v>"Natural" Cologne</v>
      </c>
      <c r="B656" s="49"/>
      <c r="C656" s="49"/>
      <c r="D656" s="49" t="str">
        <f>IFERROR(__xludf.DUMMYFUNCTION("""COMPUTED_VALUE"""),"Neck")</f>
        <v>Neck</v>
      </c>
      <c r="E656" s="49">
        <f>IFERROR(__xludf.DUMMYFUNCTION("""COMPUTED_VALUE"""),1.0)</f>
        <v>1</v>
      </c>
      <c r="F656" s="49"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49">
        <f>IFERROR(__xludf.DUMMYFUNCTION("""COMPUTED_VALUE"""),0.0)</f>
        <v>0</v>
      </c>
      <c r="H656" s="49"/>
      <c r="I656" s="49"/>
      <c r="J656" s="49"/>
      <c r="K656" s="49"/>
      <c r="L656" s="49"/>
      <c r="M656" s="49"/>
      <c r="N656" s="49"/>
      <c r="O656" s="49"/>
      <c r="P656" s="49"/>
      <c r="Q656" s="49"/>
      <c r="R656" s="49"/>
      <c r="S656" s="49"/>
      <c r="T656" s="49"/>
      <c r="U656" s="49"/>
      <c r="V656" s="49"/>
      <c r="W656" s="49"/>
      <c r="X656" s="49"/>
      <c r="Y656" s="49"/>
      <c r="Z656" s="49"/>
    </row>
    <row r="657">
      <c r="A657" s="49" t="str">
        <f>IFERROR(__xludf.DUMMYFUNCTION("""COMPUTED_VALUE"""),"Bonded Ring")</f>
        <v>Bonded Ring</v>
      </c>
      <c r="B657" s="49"/>
      <c r="C657" s="49"/>
      <c r="D657" s="49" t="str">
        <f>IFERROR(__xludf.DUMMYFUNCTION("""COMPUTED_VALUE"""),"Finger")</f>
        <v>Finger</v>
      </c>
      <c r="E657" s="49">
        <f>IFERROR(__xludf.DUMMYFUNCTION("""COMPUTED_VALUE"""),1.0)</f>
        <v>1</v>
      </c>
      <c r="F657" s="49"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49">
        <f>IFERROR(__xludf.DUMMYFUNCTION("""COMPUTED_VALUE"""),0.0)</f>
        <v>0</v>
      </c>
      <c r="H657" s="49"/>
      <c r="I657" s="49"/>
      <c r="J657" s="49"/>
      <c r="K657" s="49"/>
      <c r="L657" s="49"/>
      <c r="M657" s="49"/>
      <c r="N657" s="49"/>
      <c r="O657" s="49"/>
      <c r="P657" s="49"/>
      <c r="Q657" s="49"/>
      <c r="R657" s="49"/>
      <c r="S657" s="49"/>
      <c r="T657" s="49"/>
      <c r="U657" s="49"/>
      <c r="V657" s="49"/>
      <c r="W657" s="49"/>
      <c r="X657" s="49"/>
      <c r="Y657" s="49"/>
      <c r="Z657" s="49"/>
    </row>
    <row r="658">
      <c r="A658" s="49" t="str">
        <f>IFERROR(__xludf.DUMMYFUNCTION("""COMPUTED_VALUE"""),"Deadeye Brooch")</f>
        <v>Deadeye Brooch</v>
      </c>
      <c r="B658" s="49"/>
      <c r="C658" s="49"/>
      <c r="D658" s="49" t="str">
        <f>IFERROR(__xludf.DUMMYFUNCTION("""COMPUTED_VALUE"""),"Neck")</f>
        <v>Neck</v>
      </c>
      <c r="E658" s="49">
        <f>IFERROR(__xludf.DUMMYFUNCTION("""COMPUTED_VALUE"""),1.0)</f>
        <v>1</v>
      </c>
      <c r="F658" s="49"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49">
        <f>IFERROR(__xludf.DUMMYFUNCTION("""COMPUTED_VALUE"""),0.0)</f>
        <v>0</v>
      </c>
      <c r="H658" s="49"/>
      <c r="I658" s="49"/>
      <c r="J658" s="49"/>
      <c r="K658" s="49"/>
      <c r="L658" s="49"/>
      <c r="M658" s="49"/>
      <c r="N658" s="49"/>
      <c r="O658" s="49"/>
      <c r="P658" s="49"/>
      <c r="Q658" s="49"/>
      <c r="R658" s="49"/>
      <c r="S658" s="49"/>
      <c r="T658" s="49"/>
      <c r="U658" s="49"/>
      <c r="V658" s="49"/>
      <c r="W658" s="49"/>
      <c r="X658" s="49"/>
      <c r="Y658" s="49"/>
      <c r="Z658" s="49"/>
    </row>
    <row r="659">
      <c r="A659" s="49" t="str">
        <f>IFERROR(__xludf.DUMMYFUNCTION("""COMPUTED_VALUE"""),"Tool Kit")</f>
        <v>Tool Kit</v>
      </c>
      <c r="B659" s="49"/>
      <c r="C659" s="49"/>
      <c r="D659" s="49" t="str">
        <f>IFERROR(__xludf.DUMMYFUNCTION("""COMPUTED_VALUE"""),"Ring")</f>
        <v>Ring</v>
      </c>
      <c r="E659" s="49">
        <f>IFERROR(__xludf.DUMMYFUNCTION("""COMPUTED_VALUE"""),1.0)</f>
        <v>1</v>
      </c>
      <c r="F659" s="49" t="str">
        <f>IFERROR(__xludf.DUMMYFUNCTION("""COMPUTED_VALUE""")," ++The Right Tool For The Job - once per dungeon you are guaranteed to disable a trap +-(Hunter Class Only)")</f>
        <v> ++The Right Tool For The Job - once per dungeon you are guaranteed to disable a trap +-(Hunter Class Only)</v>
      </c>
      <c r="G659" s="49">
        <f>IFERROR(__xludf.DUMMYFUNCTION("""COMPUTED_VALUE"""),0.0)</f>
        <v>0</v>
      </c>
      <c r="H659" s="49"/>
      <c r="I659" s="49"/>
      <c r="J659" s="49"/>
      <c r="K659" s="49"/>
      <c r="L659" s="49"/>
      <c r="M659" s="49"/>
      <c r="N659" s="49"/>
      <c r="O659" s="49"/>
      <c r="P659" s="49"/>
      <c r="Q659" s="49"/>
      <c r="R659" s="49"/>
      <c r="S659" s="49"/>
      <c r="T659" s="49"/>
      <c r="U659" s="49"/>
      <c r="V659" s="49"/>
      <c r="W659" s="49"/>
      <c r="X659" s="49"/>
      <c r="Y659" s="49"/>
      <c r="Z659" s="49"/>
    </row>
    <row r="660">
      <c r="A660" s="49" t="str">
        <f>IFERROR(__xludf.DUMMYFUNCTION("""COMPUTED_VALUE"""),"Basic Bitch Award")</f>
        <v>Basic Bitch Award</v>
      </c>
      <c r="B660" s="49"/>
      <c r="C660" s="49"/>
      <c r="D660" s="49" t="str">
        <f>IFERROR(__xludf.DUMMYFUNCTION("""COMPUTED_VALUE"""),"Ring")</f>
        <v>Ring</v>
      </c>
      <c r="E660" s="49">
        <f>IFERROR(__xludf.DUMMYFUNCTION("""COMPUTED_VALUE"""),1.0)</f>
        <v>1</v>
      </c>
      <c r="F660" s="49" t="str">
        <f>IFERROR(__xludf.DUMMYFUNCTION("""COMPUTED_VALUE""")," ++Joe Schmoe - +5 Charisma +-(Knight Class Only)")</f>
        <v> ++Joe Schmoe - +5 Charisma +-(Knight Class Only)</v>
      </c>
      <c r="G660" s="49">
        <f>IFERROR(__xludf.DUMMYFUNCTION("""COMPUTED_VALUE"""),0.0)</f>
        <v>0</v>
      </c>
      <c r="H660" s="49"/>
      <c r="I660" s="49"/>
      <c r="J660" s="49"/>
      <c r="K660" s="49"/>
      <c r="L660" s="49"/>
      <c r="M660" s="49"/>
      <c r="N660" s="49"/>
      <c r="O660" s="49"/>
      <c r="P660" s="49"/>
      <c r="Q660" s="49"/>
      <c r="R660" s="49"/>
      <c r="S660" s="49"/>
      <c r="T660" s="49"/>
      <c r="U660" s="49"/>
      <c r="V660" s="49"/>
      <c r="W660" s="49"/>
      <c r="X660" s="49"/>
      <c r="Y660" s="49"/>
      <c r="Z660" s="49"/>
    </row>
    <row r="661">
      <c r="A661" s="49" t="str">
        <f>IFERROR(__xludf.DUMMYFUNCTION("""COMPUTED_VALUE"""),"Ring of The Frail Scholar")</f>
        <v>Ring of The Frail Scholar</v>
      </c>
      <c r="B661" s="49"/>
      <c r="C661" s="49"/>
      <c r="D661" s="49" t="str">
        <f>IFERROR(__xludf.DUMMYFUNCTION("""COMPUTED_VALUE"""),"Ring")</f>
        <v>Ring</v>
      </c>
      <c r="E661" s="49">
        <f>IFERROR(__xludf.DUMMYFUNCTION("""COMPUTED_VALUE"""),1.0)</f>
        <v>1</v>
      </c>
      <c r="F661" s="49" t="str">
        <f>IFERROR(__xludf.DUMMYFUNCTION("""COMPUTED_VALUE""")," ++Frail Scholar - Lowers HP by half but doubles SP +-(Mage, Wizard, and Sorcerer Class Only)")</f>
        <v> ++Frail Scholar - Lowers HP by half but doubles SP +-(Mage, Wizard, and Sorcerer Class Only)</v>
      </c>
      <c r="G661" s="49">
        <f>IFERROR(__xludf.DUMMYFUNCTION("""COMPUTED_VALUE"""),0.0)</f>
        <v>0</v>
      </c>
      <c r="H661" s="49"/>
      <c r="I661" s="49"/>
      <c r="J661" s="49"/>
      <c r="K661" s="49"/>
      <c r="L661" s="49"/>
      <c r="M661" s="49"/>
      <c r="N661" s="49"/>
      <c r="O661" s="49"/>
      <c r="P661" s="49"/>
      <c r="Q661" s="49"/>
      <c r="R661" s="49"/>
      <c r="S661" s="49"/>
      <c r="T661" s="49"/>
      <c r="U661" s="49"/>
      <c r="V661" s="49"/>
      <c r="W661" s="49"/>
      <c r="X661" s="49"/>
      <c r="Y661" s="49"/>
      <c r="Z661" s="49"/>
    </row>
    <row r="662">
      <c r="A662" s="49" t="str">
        <f>IFERROR(__xludf.DUMMYFUNCTION("""COMPUTED_VALUE"""),"Ring of Sticky FIngers")</f>
        <v>Ring of Sticky FIngers</v>
      </c>
      <c r="B662" s="49"/>
      <c r="C662" s="49"/>
      <c r="D662" s="49" t="str">
        <f>IFERROR(__xludf.DUMMYFUNCTION("""COMPUTED_VALUE"""),"Ring")</f>
        <v>Ring</v>
      </c>
      <c r="E662" s="49">
        <f>IFERROR(__xludf.DUMMYFUNCTION("""COMPUTED_VALUE"""),1.0)</f>
        <v>1</v>
      </c>
      <c r="F662" s="49" t="str">
        <f>IFERROR(__xludf.DUMMYFUNCTION("""COMPUTED_VALUE""")," ++Sticky FIngers - Allows you to use confiscate, take, and pickpocket skills twice +-(Marauder Class Only)")</f>
        <v> ++Sticky FIngers - Allows you to use confiscate, take, and pickpocket skills twice +-(Marauder Class Only)</v>
      </c>
      <c r="G662" s="49">
        <f>IFERROR(__xludf.DUMMYFUNCTION("""COMPUTED_VALUE"""),0.0)</f>
        <v>0</v>
      </c>
      <c r="H662" s="49"/>
      <c r="I662" s="49"/>
      <c r="J662" s="49"/>
      <c r="K662" s="49"/>
      <c r="L662" s="49"/>
      <c r="M662" s="49"/>
      <c r="N662" s="49"/>
      <c r="O662" s="49"/>
      <c r="P662" s="49"/>
      <c r="Q662" s="49"/>
      <c r="R662" s="49"/>
      <c r="S662" s="49"/>
      <c r="T662" s="49"/>
      <c r="U662" s="49"/>
      <c r="V662" s="49"/>
      <c r="W662" s="49"/>
      <c r="X662" s="49"/>
      <c r="Y662" s="49"/>
      <c r="Z662" s="49"/>
    </row>
    <row r="663">
      <c r="A663" s="49" t="str">
        <f>IFERROR(__xludf.DUMMYFUNCTION("""COMPUTED_VALUE"""),"Spirit Furnace")</f>
        <v>Spirit Furnace</v>
      </c>
      <c r="B663" s="49"/>
      <c r="C663" s="49"/>
      <c r="D663" s="49" t="str">
        <f>IFERROR(__xludf.DUMMYFUNCTION("""COMPUTED_VALUE"""),"Neck")</f>
        <v>Neck</v>
      </c>
      <c r="E663" s="49">
        <f>IFERROR(__xludf.DUMMYFUNCTION("""COMPUTED_VALUE"""),1.0)</f>
        <v>1</v>
      </c>
      <c r="F663" s="49"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49">
        <f>IFERROR(__xludf.DUMMYFUNCTION("""COMPUTED_VALUE"""),0.0)</f>
        <v>0</v>
      </c>
      <c r="H663" s="49"/>
      <c r="I663" s="49"/>
      <c r="J663" s="49"/>
      <c r="K663" s="49"/>
      <c r="L663" s="49"/>
      <c r="M663" s="49"/>
      <c r="N663" s="49"/>
      <c r="O663" s="49"/>
      <c r="P663" s="49"/>
      <c r="Q663" s="49"/>
      <c r="R663" s="49"/>
      <c r="S663" s="49"/>
      <c r="T663" s="49"/>
      <c r="U663" s="49"/>
      <c r="V663" s="49"/>
      <c r="W663" s="49"/>
      <c r="X663" s="49"/>
      <c r="Y663" s="49"/>
      <c r="Z663" s="49"/>
    </row>
    <row r="664">
      <c r="A664" s="49" t="str">
        <f>IFERROR(__xludf.DUMMYFUNCTION("""COMPUTED_VALUE"""),"Smokebomb Pouch")</f>
        <v>Smokebomb Pouch</v>
      </c>
      <c r="B664" s="49"/>
      <c r="C664" s="49"/>
      <c r="D664" s="49" t="str">
        <f>IFERROR(__xludf.DUMMYFUNCTION("""COMPUTED_VALUE"""),"Legs")</f>
        <v>Legs</v>
      </c>
      <c r="E664" s="49">
        <f>IFERROR(__xludf.DUMMYFUNCTION("""COMPUTED_VALUE"""),1.0)</f>
        <v>1</v>
      </c>
      <c r="F664" s="49" t="str">
        <f>IFERROR(__xludf.DUMMYFUNCTION("""COMPUTED_VALUE""")," ++Smoke Bomb - Conceal abilities are guaranteed to succeed +-(Ninja Class Only)")</f>
        <v> ++Smoke Bomb - Conceal abilities are guaranteed to succeed +-(Ninja Class Only)</v>
      </c>
      <c r="G664" s="49">
        <f>IFERROR(__xludf.DUMMYFUNCTION("""COMPUTED_VALUE"""),0.0)</f>
        <v>0</v>
      </c>
      <c r="H664" s="49"/>
      <c r="I664" s="49"/>
      <c r="J664" s="49"/>
      <c r="K664" s="49"/>
      <c r="L664" s="49"/>
      <c r="M664" s="49"/>
      <c r="N664" s="49"/>
      <c r="O664" s="49"/>
      <c r="P664" s="49"/>
      <c r="Q664" s="49"/>
      <c r="R664" s="49"/>
      <c r="S664" s="49"/>
      <c r="T664" s="49"/>
      <c r="U664" s="49"/>
      <c r="V664" s="49"/>
      <c r="W664" s="49"/>
      <c r="X664" s="49"/>
      <c r="Y664" s="49"/>
      <c r="Z664" s="49"/>
    </row>
    <row r="665">
      <c r="A665" s="49" t="str">
        <f>IFERROR(__xludf.DUMMYFUNCTION("""COMPUTED_VALUE"""),"Certificate of Shield Bashing School")</f>
        <v>Certificate of Shield Bashing School</v>
      </c>
      <c r="B665" s="49"/>
      <c r="C665" s="49"/>
      <c r="D665" s="49" t="str">
        <f>IFERROR(__xludf.DUMMYFUNCTION("""COMPUTED_VALUE"""),"Neck")</f>
        <v>Neck</v>
      </c>
      <c r="E665" s="49">
        <f>IFERROR(__xludf.DUMMYFUNCTION("""COMPUTED_VALUE"""),1.0)</f>
        <v>1</v>
      </c>
      <c r="F665" s="49"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49">
        <f>IFERROR(__xludf.DUMMYFUNCTION("""COMPUTED_VALUE"""),0.0)</f>
        <v>0</v>
      </c>
      <c r="H665" s="49"/>
      <c r="I665" s="49"/>
      <c r="J665" s="49"/>
      <c r="K665" s="49"/>
      <c r="L665" s="49"/>
      <c r="M665" s="49"/>
      <c r="N665" s="49"/>
      <c r="O665" s="49"/>
      <c r="P665" s="49"/>
      <c r="Q665" s="49"/>
      <c r="R665" s="49"/>
      <c r="S665" s="49"/>
      <c r="T665" s="49"/>
      <c r="U665" s="49"/>
      <c r="V665" s="49"/>
      <c r="W665" s="49"/>
      <c r="X665" s="49"/>
      <c r="Y665" s="49"/>
      <c r="Z665" s="49"/>
    </row>
    <row r="666">
      <c r="A666" s="49" t="str">
        <f>IFERROR(__xludf.DUMMYFUNCTION("""COMPUTED_VALUE"""),"Goblet of Greed")</f>
        <v>Goblet of Greed</v>
      </c>
      <c r="B666" s="49"/>
      <c r="C666" s="49"/>
      <c r="D666" s="49" t="str">
        <f>IFERROR(__xludf.DUMMYFUNCTION("""COMPUTED_VALUE"""),"Neck")</f>
        <v>Neck</v>
      </c>
      <c r="E666" s="49">
        <f>IFERROR(__xludf.DUMMYFUNCTION("""COMPUTED_VALUE"""),1.0)</f>
        <v>1</v>
      </c>
      <c r="F666" s="49"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49">
        <f>IFERROR(__xludf.DUMMYFUNCTION("""COMPUTED_VALUE"""),0.0)</f>
        <v>0</v>
      </c>
      <c r="H666" s="49"/>
      <c r="I666" s="49"/>
      <c r="J666" s="49"/>
      <c r="K666" s="49"/>
      <c r="L666" s="49"/>
      <c r="M666" s="49"/>
      <c r="N666" s="49"/>
      <c r="O666" s="49"/>
      <c r="P666" s="49"/>
      <c r="Q666" s="49"/>
      <c r="R666" s="49"/>
      <c r="S666" s="49"/>
      <c r="T666" s="49"/>
      <c r="U666" s="49"/>
      <c r="V666" s="49"/>
      <c r="W666" s="49"/>
      <c r="X666" s="49"/>
      <c r="Y666" s="49"/>
      <c r="Z666" s="49"/>
    </row>
    <row r="667">
      <c r="A667" s="49" t="str">
        <f>IFERROR(__xludf.DUMMYFUNCTION("""COMPUTED_VALUE"""),"Holy Symbol")</f>
        <v>Holy Symbol</v>
      </c>
      <c r="B667" s="49"/>
      <c r="C667" s="49"/>
      <c r="D667" s="49" t="str">
        <f>IFERROR(__xludf.DUMMYFUNCTION("""COMPUTED_VALUE"""),"Neck")</f>
        <v>Neck</v>
      </c>
      <c r="E667" s="49">
        <f>IFERROR(__xludf.DUMMYFUNCTION("""COMPUTED_VALUE"""),1.0)</f>
        <v>1</v>
      </c>
      <c r="F667" s="49"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49">
        <f>IFERROR(__xludf.DUMMYFUNCTION("""COMPUTED_VALUE"""),0.0)</f>
        <v>0</v>
      </c>
      <c r="H667" s="49"/>
      <c r="I667" s="49"/>
      <c r="J667" s="49"/>
      <c r="K667" s="49"/>
      <c r="L667" s="49"/>
      <c r="M667" s="49"/>
      <c r="N667" s="49"/>
      <c r="O667" s="49"/>
      <c r="P667" s="49"/>
      <c r="Q667" s="49"/>
      <c r="R667" s="49"/>
      <c r="S667" s="49"/>
      <c r="T667" s="49"/>
      <c r="U667" s="49"/>
      <c r="V667" s="49"/>
      <c r="W667" s="49"/>
      <c r="X667" s="49"/>
      <c r="Y667" s="49"/>
      <c r="Z667" s="49"/>
    </row>
    <row r="668">
      <c r="A668" s="49" t="str">
        <f>IFERROR(__xludf.DUMMYFUNCTION("""COMPUTED_VALUE"""),"Mysterious Merchant's Scythe")</f>
        <v>Mysterious Merchant's Scythe</v>
      </c>
      <c r="B668" s="49" t="str">
        <f>IFERROR(__xludf.DUMMYFUNCTION("""COMPUTED_VALUE"""),"The scythe of the mysterious merchant himself imbued with a great power")</f>
        <v>The scythe of the mysterious merchant himself imbued with a great power</v>
      </c>
      <c r="C668" s="49" t="str">
        <f>IFERROR(__xludf.DUMMYFUNCTION("""COMPUTED_VALUE"""),"Scythe")</f>
        <v>Scythe</v>
      </c>
      <c r="D668" s="49" t="str">
        <f>IFERROR(__xludf.DUMMYFUNCTION("""COMPUTED_VALUE"""),"Hand")</f>
        <v>Hand</v>
      </c>
      <c r="E668" s="49">
        <f>IFERROR(__xludf.DUMMYFUNCTION("""COMPUTED_VALUE"""),1000.0)</f>
        <v>1000</v>
      </c>
      <c r="F668" s="49"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49">
        <f>IFERROR(__xludf.DUMMYFUNCTION("""COMPUTED_VALUE"""),4.95E7)</f>
        <v>49500000</v>
      </c>
      <c r="H668" s="49"/>
      <c r="I668" s="49"/>
      <c r="J668" s="49"/>
      <c r="K668" s="49"/>
      <c r="L668" s="49"/>
      <c r="M668" s="49"/>
      <c r="N668" s="49"/>
      <c r="O668" s="49"/>
      <c r="P668" s="49"/>
      <c r="Q668" s="49"/>
      <c r="R668" s="49"/>
      <c r="S668" s="49"/>
      <c r="T668" s="49"/>
      <c r="U668" s="49"/>
      <c r="V668" s="49"/>
      <c r="W668" s="49"/>
      <c r="X668" s="49"/>
      <c r="Y668" s="49"/>
      <c r="Z668" s="49"/>
    </row>
    <row r="669">
      <c r="A669" s="49" t="str">
        <f>IFERROR(__xludf.DUMMYFUNCTION("""COMPUTED_VALUE"""),"Cursed Saya")</f>
        <v>Cursed Saya</v>
      </c>
      <c r="B669" s="49"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49"/>
      <c r="D669" s="49" t="str">
        <f>IFERROR(__xludf.DUMMYFUNCTION("""COMPUTED_VALUE"""),"Legs")</f>
        <v>Legs</v>
      </c>
      <c r="E669" s="49">
        <f>IFERROR(__xludf.DUMMYFUNCTION("""COMPUTED_VALUE"""),1.0)</f>
        <v>1</v>
      </c>
      <c r="F669" s="49"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49">
        <f>IFERROR(__xludf.DUMMYFUNCTION("""COMPUTED_VALUE"""),0.0)</f>
        <v>0</v>
      </c>
      <c r="H669" s="49"/>
      <c r="I669" s="49"/>
      <c r="J669" s="49"/>
      <c r="K669" s="49"/>
      <c r="L669" s="49"/>
      <c r="M669" s="49"/>
      <c r="N669" s="49"/>
      <c r="O669" s="49"/>
      <c r="P669" s="49"/>
      <c r="Q669" s="49"/>
      <c r="R669" s="49"/>
      <c r="S669" s="49"/>
      <c r="T669" s="49"/>
      <c r="U669" s="49"/>
      <c r="V669" s="49"/>
      <c r="W669" s="49"/>
      <c r="X669" s="49"/>
      <c r="Y669" s="49"/>
      <c r="Z669" s="49"/>
    </row>
    <row r="670">
      <c r="A670" s="49" t="str">
        <f>IFERROR(__xludf.DUMMYFUNCTION("""COMPUTED_VALUE"""),"Shamanic Staff")</f>
        <v>Shamanic Staff</v>
      </c>
      <c r="B670" s="49"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49" t="str">
        <f>IFERROR(__xludf.DUMMYFUNCTION("""COMPUTED_VALUE"""),"Staff")</f>
        <v>Staff</v>
      </c>
      <c r="D670" s="49" t="str">
        <f>IFERROR(__xludf.DUMMYFUNCTION("""COMPUTED_VALUE"""),"Hand")</f>
        <v>Hand</v>
      </c>
      <c r="E670" s="49">
        <f>IFERROR(__xludf.DUMMYFUNCTION("""COMPUTED_VALUE"""),1500.0)</f>
        <v>1500</v>
      </c>
      <c r="F670" s="49"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49">
        <f>IFERROR(__xludf.DUMMYFUNCTION("""COMPUTED_VALUE"""),1.1175E8)</f>
        <v>111750000</v>
      </c>
      <c r="H670" s="49"/>
      <c r="I670" s="49"/>
      <c r="J670" s="49"/>
      <c r="K670" s="49"/>
      <c r="L670" s="49"/>
      <c r="M670" s="49"/>
      <c r="N670" s="49"/>
      <c r="O670" s="49"/>
      <c r="P670" s="49"/>
      <c r="Q670" s="49"/>
      <c r="R670" s="49"/>
      <c r="S670" s="49"/>
      <c r="T670" s="49"/>
      <c r="U670" s="49"/>
      <c r="V670" s="49"/>
      <c r="W670" s="49"/>
      <c r="X670" s="49"/>
      <c r="Y670" s="49"/>
      <c r="Z670" s="49"/>
    </row>
    <row r="671">
      <c r="A671" s="49" t="str">
        <f>IFERROR(__xludf.DUMMYFUNCTION("""COMPUTED_VALUE"""),"Rune Necklace")</f>
        <v>Rune Necklace</v>
      </c>
      <c r="B671" s="49"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49"/>
      <c r="D671" s="49" t="str">
        <f>IFERROR(__xludf.DUMMYFUNCTION("""COMPUTED_VALUE"""),"Neck")</f>
        <v>Neck</v>
      </c>
      <c r="E671" s="49">
        <f>IFERROR(__xludf.DUMMYFUNCTION("""COMPUTED_VALUE"""),1.0)</f>
        <v>1</v>
      </c>
      <c r="F671" s="49" t="str">
        <f>IFERROR(__xludf.DUMMYFUNCTION("""COMPUTED_VALUE""")," ++Spirit's Friend - Any summoned Spirit gains +5 to all perks and X2 base stats +-(Shaman Class Only)")</f>
        <v> ++Spirit's Friend - Any summoned Spirit gains +5 to all perks and X2 base stats +-(Shaman Class Only)</v>
      </c>
      <c r="G671" s="49">
        <f>IFERROR(__xludf.DUMMYFUNCTION("""COMPUTED_VALUE"""),0.0)</f>
        <v>0</v>
      </c>
      <c r="H671" s="49"/>
      <c r="I671" s="49"/>
      <c r="J671" s="49"/>
      <c r="K671" s="49"/>
      <c r="L671" s="49"/>
      <c r="M671" s="49"/>
      <c r="N671" s="49"/>
      <c r="O671" s="49"/>
      <c r="P671" s="49"/>
      <c r="Q671" s="49"/>
      <c r="R671" s="49"/>
      <c r="S671" s="49"/>
      <c r="T671" s="49"/>
      <c r="U671" s="49"/>
      <c r="V671" s="49"/>
      <c r="W671" s="49"/>
      <c r="X671" s="49"/>
      <c r="Y671" s="49"/>
      <c r="Z671" s="49"/>
    </row>
    <row r="672">
      <c r="A672" s="49" t="str">
        <f>IFERROR(__xludf.DUMMYFUNCTION("""COMPUTED_VALUE"""),"Spell Sponge")</f>
        <v>Spell Sponge</v>
      </c>
      <c r="B672" s="49"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49"/>
      <c r="D672" s="49" t="str">
        <f>IFERROR(__xludf.DUMMYFUNCTION("""COMPUTED_VALUE"""),"Neck")</f>
        <v>Neck</v>
      </c>
      <c r="E672" s="49">
        <f>IFERROR(__xludf.DUMMYFUNCTION("""COMPUTED_VALUE"""),1.0)</f>
        <v>1</v>
      </c>
      <c r="F672" s="49"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49">
        <f>IFERROR(__xludf.DUMMYFUNCTION("""COMPUTED_VALUE"""),0.0)</f>
        <v>0</v>
      </c>
      <c r="H672" s="49"/>
      <c r="I672" s="49"/>
      <c r="J672" s="49"/>
      <c r="K672" s="49"/>
      <c r="L672" s="49"/>
      <c r="M672" s="49"/>
      <c r="N672" s="49"/>
      <c r="O672" s="49"/>
      <c r="P672" s="49"/>
      <c r="Q672" s="49"/>
      <c r="R672" s="49"/>
      <c r="S672" s="49"/>
      <c r="T672" s="49"/>
      <c r="U672" s="49"/>
      <c r="V672" s="49"/>
      <c r="W672" s="49"/>
      <c r="X672" s="49"/>
      <c r="Y672" s="49"/>
      <c r="Z672" s="49"/>
    </row>
    <row r="673">
      <c r="A673" s="49" t="str">
        <f>IFERROR(__xludf.DUMMYFUNCTION("""COMPUTED_VALUE"""),"Viking's Warpaint")</f>
        <v>Viking's Warpaint</v>
      </c>
      <c r="B673" s="49" t="str">
        <f>IFERROR(__xludf.DUMMYFUNCTION("""COMPUTED_VALUE"""),"A set of primitive paint imported from Knappadalr, for some reason these paints fill you with rage.")</f>
        <v>A set of primitive paint imported from Knappadalr, for some reason these paints fill you with rage.</v>
      </c>
      <c r="C673" s="49"/>
      <c r="D673" s="49" t="str">
        <f>IFERROR(__xludf.DUMMYFUNCTION("""COMPUTED_VALUE"""),"Head")</f>
        <v>Head</v>
      </c>
      <c r="E673" s="49">
        <f>IFERROR(__xludf.DUMMYFUNCTION("""COMPUTED_VALUE"""),1.0)</f>
        <v>1</v>
      </c>
      <c r="F673" s="49"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49">
        <f>IFERROR(__xludf.DUMMYFUNCTION("""COMPUTED_VALUE"""),0.0)</f>
        <v>0</v>
      </c>
      <c r="H673" s="49"/>
      <c r="I673" s="49"/>
      <c r="J673" s="49"/>
      <c r="K673" s="49"/>
      <c r="L673" s="49"/>
      <c r="M673" s="49"/>
      <c r="N673" s="49"/>
      <c r="O673" s="49"/>
      <c r="P673" s="49"/>
      <c r="Q673" s="49"/>
      <c r="R673" s="49"/>
      <c r="S673" s="49"/>
      <c r="T673" s="49"/>
      <c r="U673" s="49"/>
      <c r="V673" s="49"/>
      <c r="W673" s="49"/>
      <c r="X673" s="49"/>
      <c r="Y673" s="49"/>
      <c r="Z673" s="49"/>
    </row>
    <row r="674">
      <c r="A674" s="49" t="str">
        <f>IFERROR(__xludf.DUMMYFUNCTION("""COMPUTED_VALUE"""),"Speed Shoes")</f>
        <v>Speed Shoes</v>
      </c>
      <c r="B674" s="49" t="str">
        <f>IFERROR(__xludf.DUMMYFUNCTION("""COMPUTED_VALUE"""),"A pair of red shoes that make you feel like dancing.")</f>
        <v>A pair of red shoes that make you feel like dancing.</v>
      </c>
      <c r="C674" s="49"/>
      <c r="D674" s="49" t="str">
        <f>IFERROR(__xludf.DUMMYFUNCTION("""COMPUTED_VALUE"""),"Feet")</f>
        <v>Feet</v>
      </c>
      <c r="E674" s="49">
        <f>IFERROR(__xludf.DUMMYFUNCTION("""COMPUTED_VALUE"""),1.0)</f>
        <v>1</v>
      </c>
      <c r="F674" s="49"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49">
        <f>IFERROR(__xludf.DUMMYFUNCTION("""COMPUTED_VALUE"""),0.0)</f>
        <v>0</v>
      </c>
      <c r="H674" s="49"/>
      <c r="I674" s="49"/>
      <c r="J674" s="49"/>
      <c r="K674" s="49"/>
      <c r="L674" s="49"/>
      <c r="M674" s="49"/>
      <c r="N674" s="49"/>
      <c r="O674" s="49"/>
      <c r="P674" s="49"/>
      <c r="Q674" s="49"/>
      <c r="R674" s="49"/>
      <c r="S674" s="49"/>
      <c r="T674" s="49"/>
      <c r="U674" s="49"/>
      <c r="V674" s="49"/>
      <c r="W674" s="49"/>
      <c r="X674" s="49"/>
      <c r="Y674" s="49"/>
      <c r="Z674" s="49"/>
    </row>
    <row r="675">
      <c r="A675" s="49" t="str">
        <f>IFERROR(__xludf.DUMMYFUNCTION("""COMPUTED_VALUE"""),"Book of Hexes")</f>
        <v>Book of Hexes</v>
      </c>
      <c r="B675" s="49" t="str">
        <f>IFERROR(__xludf.DUMMYFUNCTION("""COMPUTED_VALUE"""),"The staple item for a witch.")</f>
        <v>The staple item for a witch.</v>
      </c>
      <c r="C675" s="49"/>
      <c r="D675" s="49" t="str">
        <f>IFERROR(__xludf.DUMMYFUNCTION("""COMPUTED_VALUE"""),"Legs")</f>
        <v>Legs</v>
      </c>
      <c r="E675" s="49">
        <f>IFERROR(__xludf.DUMMYFUNCTION("""COMPUTED_VALUE"""),1.0)</f>
        <v>1</v>
      </c>
      <c r="F675" s="49"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49">
        <f>IFERROR(__xludf.DUMMYFUNCTION("""COMPUTED_VALUE"""),0.0)</f>
        <v>0</v>
      </c>
      <c r="H675" s="49"/>
      <c r="I675" s="49"/>
      <c r="J675" s="49"/>
      <c r="K675" s="49"/>
      <c r="L675" s="49"/>
      <c r="M675" s="49"/>
      <c r="N675" s="49"/>
      <c r="O675" s="49"/>
      <c r="P675" s="49"/>
      <c r="Q675" s="49"/>
      <c r="R675" s="49"/>
      <c r="S675" s="49"/>
      <c r="T675" s="49"/>
      <c r="U675" s="49"/>
      <c r="V675" s="49"/>
      <c r="W675" s="49"/>
      <c r="X675" s="49"/>
      <c r="Y675" s="49"/>
      <c r="Z675" s="49"/>
    </row>
    <row r="676">
      <c r="A676" s="49" t="str">
        <f>IFERROR(__xludf.DUMMYFUNCTION("""COMPUTED_VALUE"""),"Ring of Boring")</f>
        <v>Ring of Boring</v>
      </c>
      <c r="B676" s="49" t="str">
        <f>IFERROR(__xludf.DUMMYFUNCTION("""COMPUTED_VALUE"""),"The item for people who made a character but decided they were ""too good"" for it's abilities.")</f>
        <v>The item for people who made a character but decided they were "too good" for it's abilities.</v>
      </c>
      <c r="C676" s="49"/>
      <c r="D676" s="49" t="str">
        <f>IFERROR(__xludf.DUMMYFUNCTION("""COMPUTED_VALUE"""),"Finger")</f>
        <v>Finger</v>
      </c>
      <c r="E676" s="49">
        <f>IFERROR(__xludf.DUMMYFUNCTION("""COMPUTED_VALUE"""),1.0)</f>
        <v>1</v>
      </c>
      <c r="F676" s="49" t="str">
        <f>IFERROR(__xludf.DUMMYFUNCTION("""COMPUTED_VALUE""")," ++Why are you so boring? - X2 additional damage.")</f>
        <v> ++Why are you so boring? - X2 additional damage.</v>
      </c>
      <c r="G676" s="49">
        <f>IFERROR(__xludf.DUMMYFUNCTION("""COMPUTED_VALUE"""),0.0)</f>
        <v>0</v>
      </c>
      <c r="H676" s="49"/>
      <c r="I676" s="49"/>
      <c r="J676" s="49"/>
      <c r="K676" s="49"/>
      <c r="L676" s="49"/>
      <c r="M676" s="49"/>
      <c r="N676" s="49"/>
      <c r="O676" s="49"/>
      <c r="P676" s="49"/>
      <c r="Q676" s="49"/>
      <c r="R676" s="49"/>
      <c r="S676" s="49"/>
      <c r="T676" s="49"/>
      <c r="U676" s="49"/>
      <c r="V676" s="49"/>
      <c r="W676" s="49"/>
      <c r="X676" s="49"/>
      <c r="Y676" s="49"/>
      <c r="Z676" s="49"/>
    </row>
    <row r="677">
      <c r="A677" s="49" t="str">
        <f>IFERROR(__xludf.DUMMYFUNCTION("""COMPUTED_VALUE"""),"Frozen Spearman's High-Low Dress")</f>
        <v>Frozen Spearman's High-Low Dress</v>
      </c>
      <c r="B677" s="49"/>
      <c r="C677" s="49"/>
      <c r="D677" s="49" t="str">
        <f>IFERROR(__xludf.DUMMYFUNCTION("""COMPUTED_VALUE"""),"Torso")</f>
        <v>Torso</v>
      </c>
      <c r="E677" s="49">
        <f>IFERROR(__xludf.DUMMYFUNCTION("""COMPUTED_VALUE"""),200.0)</f>
        <v>200</v>
      </c>
      <c r="F677" s="49"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49">
        <f>IFERROR(__xludf.DUMMYFUNCTION("""COMPUTED_VALUE"""),1.99E8)</f>
        <v>199000000</v>
      </c>
      <c r="H677" s="49"/>
      <c r="I677" s="49"/>
      <c r="J677" s="49"/>
      <c r="K677" s="49"/>
      <c r="L677" s="49"/>
      <c r="M677" s="49"/>
      <c r="N677" s="49"/>
      <c r="O677" s="49"/>
      <c r="P677" s="49"/>
      <c r="Q677" s="49"/>
      <c r="R677" s="49"/>
      <c r="S677" s="49"/>
      <c r="T677" s="49"/>
      <c r="U677" s="49"/>
      <c r="V677" s="49"/>
      <c r="W677" s="49"/>
      <c r="X677" s="49"/>
      <c r="Y677" s="49"/>
      <c r="Z677" s="49"/>
    </row>
    <row r="678">
      <c r="A678" s="49" t="str">
        <f>IFERROR(__xludf.DUMMYFUNCTION("""COMPUTED_VALUE"""),"Frozen Spearman's Jhodpur's")</f>
        <v>Frozen Spearman's Jhodpur's</v>
      </c>
      <c r="B678" s="49"/>
      <c r="C678" s="49"/>
      <c r="D678" s="49" t="str">
        <f>IFERROR(__xludf.DUMMYFUNCTION("""COMPUTED_VALUE"""),"Legs")</f>
        <v>Legs</v>
      </c>
      <c r="E678" s="49">
        <f>IFERROR(__xludf.DUMMYFUNCTION("""COMPUTED_VALUE"""),200.0)</f>
        <v>200</v>
      </c>
      <c r="F678" s="49"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49">
        <f>IFERROR(__xludf.DUMMYFUNCTION("""COMPUTED_VALUE"""),1.99E8)</f>
        <v>199000000</v>
      </c>
      <c r="H678" s="49"/>
      <c r="I678" s="49"/>
      <c r="J678" s="49"/>
      <c r="K678" s="49"/>
      <c r="L678" s="49"/>
      <c r="M678" s="49"/>
      <c r="N678" s="49"/>
      <c r="O678" s="49"/>
      <c r="P678" s="49"/>
      <c r="Q678" s="49"/>
      <c r="R678" s="49"/>
      <c r="S678" s="49"/>
      <c r="T678" s="49"/>
      <c r="U678" s="49"/>
      <c r="V678" s="49"/>
      <c r="W678" s="49"/>
      <c r="X678" s="49"/>
      <c r="Y678" s="49"/>
      <c r="Z678" s="49"/>
    </row>
    <row r="679">
      <c r="A679" s="49" t="str">
        <f>IFERROR(__xludf.DUMMYFUNCTION("""COMPUTED_VALUE"""),"Frozen Spearman's Fur Boots")</f>
        <v>Frozen Spearman's Fur Boots</v>
      </c>
      <c r="B679" s="49"/>
      <c r="C679" s="49"/>
      <c r="D679" s="49" t="str">
        <f>IFERROR(__xludf.DUMMYFUNCTION("""COMPUTED_VALUE"""),"Feet")</f>
        <v>Feet</v>
      </c>
      <c r="E679" s="49">
        <f>IFERROR(__xludf.DUMMYFUNCTION("""COMPUTED_VALUE"""),200.0)</f>
        <v>200</v>
      </c>
      <c r="F679" s="49"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49">
        <f>IFERROR(__xludf.DUMMYFUNCTION("""COMPUTED_VALUE"""),1.99E8)</f>
        <v>199000000</v>
      </c>
      <c r="H679" s="49"/>
      <c r="I679" s="49"/>
      <c r="J679" s="49"/>
      <c r="K679" s="49"/>
      <c r="L679" s="49"/>
      <c r="M679" s="49"/>
      <c r="N679" s="49"/>
      <c r="O679" s="49"/>
      <c r="P679" s="49"/>
      <c r="Q679" s="49"/>
      <c r="R679" s="49"/>
      <c r="S679" s="49"/>
      <c r="T679" s="49"/>
      <c r="U679" s="49"/>
      <c r="V679" s="49"/>
      <c r="W679" s="49"/>
      <c r="X679" s="49"/>
      <c r="Y679" s="49"/>
      <c r="Z679" s="49"/>
    </row>
    <row r="680">
      <c r="A680" s="49" t="str">
        <f>IFERROR(__xludf.DUMMYFUNCTION("""COMPUTED_VALUE"""),"Frozen Spearman's Bracers")</f>
        <v>Frozen Spearman's Bracers</v>
      </c>
      <c r="B680" s="49"/>
      <c r="C680" s="49"/>
      <c r="D680" s="49" t="str">
        <f>IFERROR(__xludf.DUMMYFUNCTION("""COMPUTED_VALUE"""),"Arms")</f>
        <v>Arms</v>
      </c>
      <c r="E680" s="49">
        <f>IFERROR(__xludf.DUMMYFUNCTION("""COMPUTED_VALUE"""),200.0)</f>
        <v>200</v>
      </c>
      <c r="F680" s="49"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49">
        <f>IFERROR(__xludf.DUMMYFUNCTION("""COMPUTED_VALUE"""),1.99E8)</f>
        <v>199000000</v>
      </c>
      <c r="H680" s="49"/>
      <c r="I680" s="49"/>
      <c r="J680" s="49"/>
      <c r="K680" s="49"/>
      <c r="L680" s="49"/>
      <c r="M680" s="49"/>
      <c r="N680" s="49"/>
      <c r="O680" s="49"/>
      <c r="P680" s="49"/>
      <c r="Q680" s="49"/>
      <c r="R680" s="49"/>
      <c r="S680" s="49"/>
      <c r="T680" s="49"/>
      <c r="U680" s="49"/>
      <c r="V680" s="49"/>
      <c r="W680" s="49"/>
      <c r="X680" s="49"/>
      <c r="Y680" s="49"/>
      <c r="Z680" s="49"/>
    </row>
    <row r="681">
      <c r="A681" s="49" t="str">
        <f>IFERROR(__xludf.DUMMYFUNCTION("""COMPUTED_VALUE"""),"Frozen Spearman's Fur Cloak")</f>
        <v>Frozen Spearman's Fur Cloak</v>
      </c>
      <c r="B681" s="49"/>
      <c r="C681" s="49"/>
      <c r="D681" s="49" t="str">
        <f>IFERROR(__xludf.DUMMYFUNCTION("""COMPUTED_VALUE"""),"Pauldrons")</f>
        <v>Pauldrons</v>
      </c>
      <c r="E681" s="49">
        <f>IFERROR(__xludf.DUMMYFUNCTION("""COMPUTED_VALUE"""),200.0)</f>
        <v>200</v>
      </c>
      <c r="F681" s="49"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49">
        <f>IFERROR(__xludf.DUMMYFUNCTION("""COMPUTED_VALUE"""),1.99E8)</f>
        <v>199000000</v>
      </c>
      <c r="H681" s="49"/>
      <c r="I681" s="49"/>
      <c r="J681" s="49"/>
      <c r="K681" s="49"/>
      <c r="L681" s="49"/>
      <c r="M681" s="49"/>
      <c r="N681" s="49"/>
      <c r="O681" s="49"/>
      <c r="P681" s="49"/>
      <c r="Q681" s="49"/>
      <c r="R681" s="49"/>
      <c r="S681" s="49"/>
      <c r="T681" s="49"/>
      <c r="U681" s="49"/>
      <c r="V681" s="49"/>
      <c r="W681" s="49"/>
      <c r="X681" s="49"/>
      <c r="Y681" s="49"/>
      <c r="Z681" s="49"/>
    </row>
    <row r="682">
      <c r="A682" s="49" t="str">
        <f>IFERROR(__xludf.DUMMYFUNCTION("""COMPUTED_VALUE"""),"Frost Mage's Cloak")</f>
        <v>Frost Mage's Cloak</v>
      </c>
      <c r="B682" s="49"/>
      <c r="C682" s="49"/>
      <c r="D682" s="49" t="str">
        <f>IFERROR(__xludf.DUMMYFUNCTION("""COMPUTED_VALUE"""),"Torso")</f>
        <v>Torso</v>
      </c>
      <c r="E682" s="49">
        <f>IFERROR(__xludf.DUMMYFUNCTION("""COMPUTED_VALUE"""),200.0)</f>
        <v>200</v>
      </c>
      <c r="F682" s="49"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49">
        <f>IFERROR(__xludf.DUMMYFUNCTION("""COMPUTED_VALUE"""),4350000.0)</f>
        <v>4350000</v>
      </c>
      <c r="H682" s="49"/>
      <c r="I682" s="49"/>
      <c r="J682" s="49"/>
      <c r="K682" s="49"/>
      <c r="L682" s="49"/>
      <c r="M682" s="49"/>
      <c r="N682" s="49"/>
      <c r="O682" s="49"/>
      <c r="P682" s="49"/>
      <c r="Q682" s="49"/>
      <c r="R682" s="49"/>
      <c r="S682" s="49"/>
      <c r="T682" s="49"/>
      <c r="U682" s="49"/>
      <c r="V682" s="49"/>
      <c r="W682" s="49"/>
      <c r="X682" s="49"/>
      <c r="Y682" s="49"/>
      <c r="Z682" s="49"/>
    </row>
    <row r="683">
      <c r="A683" s="49" t="str">
        <f>IFERROR(__xludf.DUMMYFUNCTION("""COMPUTED_VALUE"""),"Frost Mage's Boots")</f>
        <v>Frost Mage's Boots</v>
      </c>
      <c r="B683" s="49"/>
      <c r="C683" s="49"/>
      <c r="D683" s="49" t="str">
        <f>IFERROR(__xludf.DUMMYFUNCTION("""COMPUTED_VALUE"""),"Feet")</f>
        <v>Feet</v>
      </c>
      <c r="E683" s="49">
        <f>IFERROR(__xludf.DUMMYFUNCTION("""COMPUTED_VALUE"""),200.0)</f>
        <v>200</v>
      </c>
      <c r="F683" s="49"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49">
        <f>IFERROR(__xludf.DUMMYFUNCTION("""COMPUTED_VALUE"""),4350000.0)</f>
        <v>4350000</v>
      </c>
      <c r="H683" s="49"/>
      <c r="I683" s="49"/>
      <c r="J683" s="49"/>
      <c r="K683" s="49"/>
      <c r="L683" s="49"/>
      <c r="M683" s="49"/>
      <c r="N683" s="49"/>
      <c r="O683" s="49"/>
      <c r="P683" s="49"/>
      <c r="Q683" s="49"/>
      <c r="R683" s="49"/>
      <c r="S683" s="49"/>
      <c r="T683" s="49"/>
      <c r="U683" s="49"/>
      <c r="V683" s="49"/>
      <c r="W683" s="49"/>
      <c r="X683" s="49"/>
      <c r="Y683" s="49"/>
      <c r="Z683" s="49"/>
    </row>
    <row r="684">
      <c r="A684" s="49" t="str">
        <f>IFERROR(__xludf.DUMMYFUNCTION("""COMPUTED_VALUE"""),"Frost Mage's Hood")</f>
        <v>Frost Mage's Hood</v>
      </c>
      <c r="B684" s="49"/>
      <c r="C684" s="49"/>
      <c r="D684" s="49" t="str">
        <f>IFERROR(__xludf.DUMMYFUNCTION("""COMPUTED_VALUE"""),"Head")</f>
        <v>Head</v>
      </c>
      <c r="E684" s="49">
        <f>IFERROR(__xludf.DUMMYFUNCTION("""COMPUTED_VALUE"""),200.0)</f>
        <v>200</v>
      </c>
      <c r="F684" s="49"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49">
        <f>IFERROR(__xludf.DUMMYFUNCTION("""COMPUTED_VALUE"""),4350000.0)</f>
        <v>4350000</v>
      </c>
      <c r="H684" s="49"/>
      <c r="I684" s="49"/>
      <c r="J684" s="49"/>
      <c r="K684" s="49"/>
      <c r="L684" s="49"/>
      <c r="M684" s="49"/>
      <c r="N684" s="49"/>
      <c r="O684" s="49"/>
      <c r="P684" s="49"/>
      <c r="Q684" s="49"/>
      <c r="R684" s="49"/>
      <c r="S684" s="49"/>
      <c r="T684" s="49"/>
      <c r="U684" s="49"/>
      <c r="V684" s="49"/>
      <c r="W684" s="49"/>
      <c r="X684" s="49"/>
      <c r="Y684" s="49"/>
      <c r="Z684" s="49"/>
    </row>
    <row r="685">
      <c r="A685" s="49" t="str">
        <f>IFERROR(__xludf.DUMMYFUNCTION("""COMPUTED_VALUE"""),"Crown of Frozen Swords")</f>
        <v>Crown of Frozen Swords</v>
      </c>
      <c r="B685" s="49"/>
      <c r="C685" s="49"/>
      <c r="D685" s="49" t="str">
        <f>IFERROR(__xludf.DUMMYFUNCTION("""COMPUTED_VALUE"""),"Head")</f>
        <v>Head</v>
      </c>
      <c r="E685" s="49">
        <f>IFERROR(__xludf.DUMMYFUNCTION("""COMPUTED_VALUE"""),200.0)</f>
        <v>200</v>
      </c>
      <c r="F685" s="49"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49">
        <f>IFERROR(__xludf.DUMMYFUNCTION("""COMPUTED_VALUE"""),7.98E8)</f>
        <v>798000000</v>
      </c>
      <c r="H685" s="49"/>
      <c r="I685" s="49"/>
      <c r="J685" s="49"/>
      <c r="K685" s="49"/>
      <c r="L685" s="49"/>
      <c r="M685" s="49"/>
      <c r="N685" s="49"/>
      <c r="O685" s="49"/>
      <c r="P685" s="49"/>
      <c r="Q685" s="49"/>
      <c r="R685" s="49"/>
      <c r="S685" s="49"/>
      <c r="T685" s="49"/>
      <c r="U685" s="49"/>
      <c r="V685" s="49"/>
      <c r="W685" s="49"/>
      <c r="X685" s="49"/>
      <c r="Y685" s="49"/>
      <c r="Z685" s="49"/>
    </row>
    <row r="686">
      <c r="A686" s="49" t="str">
        <f>IFERROR(__xludf.DUMMYFUNCTION("""COMPUTED_VALUE"""),"Frost-bitten Cape")</f>
        <v>Frost-bitten Cape</v>
      </c>
      <c r="B686" s="49"/>
      <c r="C686" s="49"/>
      <c r="D686" s="49" t="str">
        <f>IFERROR(__xludf.DUMMYFUNCTION("""COMPUTED_VALUE"""),"Shoulders")</f>
        <v>Shoulders</v>
      </c>
      <c r="E686" s="49">
        <f>IFERROR(__xludf.DUMMYFUNCTION("""COMPUTED_VALUE"""),200.0)</f>
        <v>200</v>
      </c>
      <c r="F686" s="49"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49">
        <f>IFERROR(__xludf.DUMMYFUNCTION("""COMPUTED_VALUE"""),7.98E8)</f>
        <v>798000000</v>
      </c>
      <c r="H686" s="49"/>
      <c r="I686" s="49"/>
      <c r="J686" s="49"/>
      <c r="K686" s="49"/>
      <c r="L686" s="49"/>
      <c r="M686" s="49"/>
      <c r="N686" s="49"/>
      <c r="O686" s="49"/>
      <c r="P686" s="49"/>
      <c r="Q686" s="49"/>
      <c r="R686" s="49"/>
      <c r="S686" s="49"/>
      <c r="T686" s="49"/>
      <c r="U686" s="49"/>
      <c r="V686" s="49"/>
      <c r="W686" s="49"/>
      <c r="X686" s="49"/>
      <c r="Y686" s="49"/>
      <c r="Z686" s="49"/>
    </row>
    <row r="687">
      <c r="A687" s="49" t="str">
        <f>IFERROR(__xludf.DUMMYFUNCTION("""COMPUTED_VALUE"""),"Ice-steel Pauldrons")</f>
        <v>Ice-steel Pauldrons</v>
      </c>
      <c r="B687" s="49"/>
      <c r="C687" s="49"/>
      <c r="D687" s="49" t="str">
        <f>IFERROR(__xludf.DUMMYFUNCTION("""COMPUTED_VALUE"""),"Shoulders")</f>
        <v>Shoulders</v>
      </c>
      <c r="E687" s="49">
        <f>IFERROR(__xludf.DUMMYFUNCTION("""COMPUTED_VALUE"""),200.0)</f>
        <v>200</v>
      </c>
      <c r="F687" s="49" t="str">
        <f>IFERROR(__xludf.DUMMYFUNCTION("""COMPUTED_VALUE"""),"DEF: +50000, Earth DEF: +50000, Nature DEF: +50000, Celestial DEF: +50000 ++Cold Shoulder - Immunity to freeze")</f>
        <v>DEF: +50000, Earth DEF: +50000, Nature DEF: +50000, Celestial DEF: +50000 ++Cold Shoulder - Immunity to freeze</v>
      </c>
      <c r="G687" s="49">
        <f>IFERROR(__xludf.DUMMYFUNCTION("""COMPUTED_VALUE"""),7.98E8)</f>
        <v>798000000</v>
      </c>
      <c r="H687" s="49"/>
      <c r="I687" s="49"/>
      <c r="J687" s="49"/>
      <c r="K687" s="49"/>
      <c r="L687" s="49"/>
      <c r="M687" s="49"/>
      <c r="N687" s="49"/>
      <c r="O687" s="49"/>
      <c r="P687" s="49"/>
      <c r="Q687" s="49"/>
      <c r="R687" s="49"/>
      <c r="S687" s="49"/>
      <c r="T687" s="49"/>
      <c r="U687" s="49"/>
      <c r="V687" s="49"/>
      <c r="W687" s="49"/>
      <c r="X687" s="49"/>
      <c r="Y687" s="49"/>
      <c r="Z687" s="49"/>
    </row>
    <row r="688">
      <c r="A688" s="49" t="str">
        <f>IFERROR(__xludf.DUMMYFUNCTION("""COMPUTED_VALUE"""),"Ice-steel Bracers")</f>
        <v>Ice-steel Bracers</v>
      </c>
      <c r="B688" s="49"/>
      <c r="C688" s="49"/>
      <c r="D688" s="49" t="str">
        <f>IFERROR(__xludf.DUMMYFUNCTION("""COMPUTED_VALUE"""),"Arms")</f>
        <v>Arms</v>
      </c>
      <c r="E688" s="49">
        <f>IFERROR(__xludf.DUMMYFUNCTION("""COMPUTED_VALUE"""),200.0)</f>
        <v>200</v>
      </c>
      <c r="F688" s="49"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49">
        <f>IFERROR(__xludf.DUMMYFUNCTION("""COMPUTED_VALUE"""),7.98E8)</f>
        <v>798000000</v>
      </c>
      <c r="H688" s="49"/>
      <c r="I688" s="49"/>
      <c r="J688" s="49"/>
      <c r="K688" s="49"/>
      <c r="L688" s="49"/>
      <c r="M688" s="49"/>
      <c r="N688" s="49"/>
      <c r="O688" s="49"/>
      <c r="P688" s="49"/>
      <c r="Q688" s="49"/>
      <c r="R688" s="49"/>
      <c r="S688" s="49"/>
      <c r="T688" s="49"/>
      <c r="U688" s="49"/>
      <c r="V688" s="49"/>
      <c r="W688" s="49"/>
      <c r="X688" s="49"/>
      <c r="Y688" s="49"/>
      <c r="Z688" s="49"/>
    </row>
    <row r="689">
      <c r="A689" s="49" t="str">
        <f>IFERROR(__xludf.DUMMYFUNCTION("""COMPUTED_VALUE"""),"Ice-steel Chausses")</f>
        <v>Ice-steel Chausses</v>
      </c>
      <c r="B689" s="49" t="str">
        <f>IFERROR(__xludf.DUMMYFUNCTION("""COMPUTED_VALUE"""),"The chinks in the armor suggest a lack of care over the past years.")</f>
        <v>The chinks in the armor suggest a lack of care over the past years.</v>
      </c>
      <c r="C689" s="49"/>
      <c r="D689" s="49" t="str">
        <f>IFERROR(__xludf.DUMMYFUNCTION("""COMPUTED_VALUE"""),"Legs")</f>
        <v>Legs</v>
      </c>
      <c r="E689" s="49">
        <f>IFERROR(__xludf.DUMMYFUNCTION("""COMPUTED_VALUE"""),200.0)</f>
        <v>200</v>
      </c>
      <c r="F689" s="49" t="str">
        <f>IFERROR(__xludf.DUMMYFUNCTION("""COMPUTED_VALUE"""),"DEF: +50000, Earth DEF: +50000, Nature DEF: +50000, Celestial DEF: +50000 ++X2 Weapon Damage")</f>
        <v>DEF: +50000, Earth DEF: +50000, Nature DEF: +50000, Celestial DEF: +50000 ++X2 Weapon Damage</v>
      </c>
      <c r="G689" s="49">
        <f>IFERROR(__xludf.DUMMYFUNCTION("""COMPUTED_VALUE"""),7.98E8)</f>
        <v>798000000</v>
      </c>
      <c r="H689" s="49"/>
      <c r="I689" s="49"/>
      <c r="J689" s="49"/>
      <c r="K689" s="49"/>
      <c r="L689" s="49"/>
      <c r="M689" s="49"/>
      <c r="N689" s="49"/>
      <c r="O689" s="49"/>
      <c r="P689" s="49"/>
      <c r="Q689" s="49"/>
      <c r="R689" s="49"/>
      <c r="S689" s="49"/>
      <c r="T689" s="49"/>
      <c r="U689" s="49"/>
      <c r="V689" s="49"/>
      <c r="W689" s="49"/>
      <c r="X689" s="49"/>
      <c r="Y689" s="49"/>
      <c r="Z689" s="49"/>
    </row>
    <row r="690">
      <c r="A690" s="49" t="str">
        <f>IFERROR(__xludf.DUMMYFUNCTION("""COMPUTED_VALUE"""),"Frost Stompers")</f>
        <v>Frost Stompers</v>
      </c>
      <c r="B690" s="49" t="str">
        <f>IFERROR(__xludf.DUMMYFUNCTION("""COMPUTED_VALUE"""),"These frozen iron boots are covered in a layer of permafrost, it seems as though they'll never thaw.")</f>
        <v>These frozen iron boots are covered in a layer of permafrost, it seems as though they'll never thaw.</v>
      </c>
      <c r="C690" s="49"/>
      <c r="D690" s="49" t="str">
        <f>IFERROR(__xludf.DUMMYFUNCTION("""COMPUTED_VALUE"""),"Feet")</f>
        <v>Feet</v>
      </c>
      <c r="E690" s="49">
        <f>IFERROR(__xludf.DUMMYFUNCTION("""COMPUTED_VALUE"""),200.0)</f>
        <v>200</v>
      </c>
      <c r="F690" s="49" t="str">
        <f>IFERROR(__xludf.DUMMYFUNCTION("""COMPUTED_VALUE"""),"DEF: +50000, Earth DEF: +50000, Nature DEF: +50000, Celestial DEF: +50000 ++X2 Storm Damage")</f>
        <v>DEF: +50000, Earth DEF: +50000, Nature DEF: +50000, Celestial DEF: +50000 ++X2 Storm Damage</v>
      </c>
      <c r="G690" s="49">
        <f>IFERROR(__xludf.DUMMYFUNCTION("""COMPUTED_VALUE"""),7.98E8)</f>
        <v>798000000</v>
      </c>
      <c r="H690" s="49"/>
      <c r="I690" s="49"/>
      <c r="J690" s="49"/>
      <c r="K690" s="49"/>
      <c r="L690" s="49"/>
      <c r="M690" s="49"/>
      <c r="N690" s="49"/>
      <c r="O690" s="49"/>
      <c r="P690" s="49"/>
      <c r="Q690" s="49"/>
      <c r="R690" s="49"/>
      <c r="S690" s="49"/>
      <c r="T690" s="49"/>
      <c r="U690" s="49"/>
      <c r="V690" s="49"/>
      <c r="W690" s="49"/>
      <c r="X690" s="49"/>
      <c r="Y690" s="49"/>
      <c r="Z690" s="49"/>
    </row>
    <row r="691">
      <c r="A691" s="49" t="str">
        <f>IFERROR(__xludf.DUMMYFUNCTION("""COMPUTED_VALUE"""),"Plate of the Frozen Sun")</f>
        <v>Plate of the Frozen Sun</v>
      </c>
      <c r="B691" s="49" t="str">
        <f>IFERROR(__xludf.DUMMYFUNCTION("""COMPUTED_VALUE"""),"""The king was not always as he is now, but the yearly curse of the ice mage has him colder than usual"" ~old man")</f>
        <v>"The king was not always as he is now, but the yearly curse of the ice mage has him colder than usual" ~old man</v>
      </c>
      <c r="C691" s="49"/>
      <c r="D691" s="49" t="str">
        <f>IFERROR(__xludf.DUMMYFUNCTION("""COMPUTED_VALUE"""),"Torso")</f>
        <v>Torso</v>
      </c>
      <c r="E691" s="49">
        <f>IFERROR(__xludf.DUMMYFUNCTION("""COMPUTED_VALUE"""),200.0)</f>
        <v>200</v>
      </c>
      <c r="F691" s="49"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49">
        <f>IFERROR(__xludf.DUMMYFUNCTION("""COMPUTED_VALUE"""),7.98E8)</f>
        <v>798000000</v>
      </c>
      <c r="H691" s="49"/>
      <c r="I691" s="49"/>
      <c r="J691" s="49"/>
      <c r="K691" s="49"/>
      <c r="L691" s="49"/>
      <c r="M691" s="49"/>
      <c r="N691" s="49"/>
      <c r="O691" s="49"/>
      <c r="P691" s="49"/>
      <c r="Q691" s="49"/>
      <c r="R691" s="49"/>
      <c r="S691" s="49"/>
      <c r="T691" s="49"/>
      <c r="U691" s="49"/>
      <c r="V691" s="49"/>
      <c r="W691" s="49"/>
      <c r="X691" s="49"/>
      <c r="Y691" s="49"/>
      <c r="Z691" s="49"/>
    </row>
    <row r="692">
      <c r="A692" s="49" t="str">
        <f>IFERROR(__xludf.DUMMYFUNCTION("""COMPUTED_VALUE"""),"Frost Mage's Staff")</f>
        <v>Frost Mage's Staff</v>
      </c>
      <c r="B692" s="49" t="str">
        <f>IFERROR(__xludf.DUMMYFUNCTION("""COMPUTED_VALUE"""),"""FREEZE"" ~Frost mage")</f>
        <v>"FREEZE" ~Frost mage</v>
      </c>
      <c r="C692" s="49" t="str">
        <f>IFERROR(__xludf.DUMMYFUNCTION("""COMPUTED_VALUE"""),"Staff")</f>
        <v>Staff</v>
      </c>
      <c r="D692" s="49" t="str">
        <f>IFERROR(__xludf.DUMMYFUNCTION("""COMPUTED_VALUE"""),"Hand")</f>
        <v>Hand</v>
      </c>
      <c r="E692" s="49">
        <f>IFERROR(__xludf.DUMMYFUNCTION("""COMPUTED_VALUE"""),200.0)</f>
        <v>200</v>
      </c>
      <c r="F692" s="49"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49">
        <f>IFERROR(__xludf.DUMMYFUNCTION("""COMPUTED_VALUE"""),4.485E8)</f>
        <v>448500000</v>
      </c>
      <c r="H692" s="49"/>
      <c r="I692" s="49"/>
      <c r="J692" s="49"/>
      <c r="K692" s="49"/>
      <c r="L692" s="49"/>
      <c r="M692" s="49"/>
      <c r="N692" s="49"/>
      <c r="O692" s="49"/>
      <c r="P692" s="49"/>
      <c r="Q692" s="49"/>
      <c r="R692" s="49"/>
      <c r="S692" s="49"/>
      <c r="T692" s="49"/>
      <c r="U692" s="49"/>
      <c r="V692" s="49"/>
      <c r="W692" s="49"/>
      <c r="X692" s="49"/>
      <c r="Y692" s="49"/>
      <c r="Z692" s="49"/>
    </row>
    <row r="693">
      <c r="A693" s="49" t="str">
        <f>IFERROR(__xludf.DUMMYFUNCTION("""COMPUTED_VALUE"""),"Snowball")</f>
        <v>Snowball</v>
      </c>
      <c r="B693" s="49" t="str">
        <f>IFERROR(__xludf.DUMMYFUNCTION("""COMPUTED_VALUE"""),"""If you even think about hitting me with that I'll fill one with lead and bash your skull with it"" ~Gwennivir")</f>
        <v>"If you even think about hitting me with that I'll fill one with lead and bash your skull with it" ~Gwennivir</v>
      </c>
      <c r="C693" s="49" t="str">
        <f>IFERROR(__xludf.DUMMYFUNCTION("""COMPUTED_VALUE"""),"Boomerang")</f>
        <v>Boomerang</v>
      </c>
      <c r="D693" s="49" t="str">
        <f>IFERROR(__xludf.DUMMYFUNCTION("""COMPUTED_VALUE"""),"Hand")</f>
        <v>Hand</v>
      </c>
      <c r="E693" s="49">
        <f>IFERROR(__xludf.DUMMYFUNCTION("""COMPUTED_VALUE"""),200.0)</f>
        <v>200</v>
      </c>
      <c r="F693" s="49"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49">
        <f>IFERROR(__xludf.DUMMYFUNCTION("""COMPUTED_VALUE"""),1900000.0)</f>
        <v>1900000</v>
      </c>
      <c r="H693" s="49"/>
      <c r="I693" s="49"/>
      <c r="J693" s="49"/>
      <c r="K693" s="49"/>
      <c r="L693" s="49"/>
      <c r="M693" s="49"/>
      <c r="N693" s="49"/>
      <c r="O693" s="49"/>
      <c r="P693" s="49"/>
      <c r="Q693" s="49"/>
      <c r="R693" s="49"/>
      <c r="S693" s="49"/>
      <c r="T693" s="49"/>
      <c r="U693" s="49"/>
      <c r="V693" s="49"/>
      <c r="W693" s="49"/>
      <c r="X693" s="49"/>
      <c r="Y693" s="49"/>
      <c r="Z693" s="49"/>
    </row>
    <row r="694">
      <c r="A694" s="49" t="str">
        <f>IFERROR(__xludf.DUMMYFUNCTION("""COMPUTED_VALUE"""),"Corvid Cloak")</f>
        <v>Corvid Cloak</v>
      </c>
      <c r="B694" s="49" t="str">
        <f>IFERROR(__xludf.DUMMYFUNCTION("""COMPUTED_VALUE"""),"Formed from the feathers of many crows and ravens, this cloak has an imposing presence.")</f>
        <v>Formed from the feathers of many crows and ravens, this cloak has an imposing presence.</v>
      </c>
      <c r="C694" s="49"/>
      <c r="D694" s="49" t="str">
        <f>IFERROR(__xludf.DUMMYFUNCTION("""COMPUTED_VALUE"""),"Shoulders")</f>
        <v>Shoulders</v>
      </c>
      <c r="E694" s="49">
        <f>IFERROR(__xludf.DUMMYFUNCTION("""COMPUTED_VALUE"""),1.0)</f>
        <v>1</v>
      </c>
      <c r="F694" s="49"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49">
        <f>IFERROR(__xludf.DUMMYFUNCTION("""COMPUTED_VALUE"""),0.0)</f>
        <v>0</v>
      </c>
      <c r="H694" s="49"/>
      <c r="I694" s="49"/>
      <c r="J694" s="49"/>
      <c r="K694" s="49"/>
      <c r="L694" s="49"/>
      <c r="M694" s="49"/>
      <c r="N694" s="49"/>
      <c r="O694" s="49"/>
      <c r="P694" s="49"/>
      <c r="Q694" s="49"/>
      <c r="R694" s="49"/>
      <c r="S694" s="49"/>
      <c r="T694" s="49"/>
      <c r="U694" s="49"/>
      <c r="V694" s="49"/>
      <c r="W694" s="49"/>
      <c r="X694" s="49"/>
      <c r="Y694" s="49"/>
      <c r="Z694" s="49"/>
    </row>
    <row r="695">
      <c r="A695" s="49" t="str">
        <f>IFERROR(__xludf.DUMMYFUNCTION("""COMPUTED_VALUE"""),"Plague Doctor's Mask")</f>
        <v>Plague Doctor's Mask</v>
      </c>
      <c r="B695" s="49"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49"/>
      <c r="D695" s="49" t="str">
        <f>IFERROR(__xludf.DUMMYFUNCTION("""COMPUTED_VALUE"""),"Head")</f>
        <v>Head</v>
      </c>
      <c r="E695" s="49">
        <f>IFERROR(__xludf.DUMMYFUNCTION("""COMPUTED_VALUE"""),1.0)</f>
        <v>1</v>
      </c>
      <c r="F695" s="49" t="str">
        <f>IFERROR(__xludf.DUMMYFUNCTION("""COMPUTED_VALUE""")," ++Plague Doctor: 25% chance to be unaffected by a disease +-Cannot be Duplicated")</f>
        <v> ++Plague Doctor: 25% chance to be unaffected by a disease +-Cannot be Duplicated</v>
      </c>
      <c r="G695" s="49">
        <f>IFERROR(__xludf.DUMMYFUNCTION("""COMPUTED_VALUE"""),0.0)</f>
        <v>0</v>
      </c>
      <c r="H695" s="49"/>
      <c r="I695" s="49"/>
      <c r="J695" s="49"/>
      <c r="K695" s="49"/>
      <c r="L695" s="49"/>
      <c r="M695" s="49"/>
      <c r="N695" s="49"/>
      <c r="O695" s="49"/>
      <c r="P695" s="49"/>
      <c r="Q695" s="49"/>
      <c r="R695" s="49"/>
      <c r="S695" s="49"/>
      <c r="T695" s="49"/>
      <c r="U695" s="49"/>
      <c r="V695" s="49"/>
      <c r="W695" s="49"/>
      <c r="X695" s="49"/>
      <c r="Y695" s="49"/>
      <c r="Z695" s="49"/>
    </row>
    <row r="696">
      <c r="A696" s="49" t="str">
        <f>IFERROR(__xludf.DUMMYFUNCTION("""COMPUTED_VALUE"""),"""The Only Cure""")</f>
        <v>"The Only Cure"</v>
      </c>
      <c r="B696" s="49"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49"/>
      <c r="D696" s="49" t="str">
        <f>IFERROR(__xludf.DUMMYFUNCTION("""COMPUTED_VALUE"""),"Neck")</f>
        <v>Neck</v>
      </c>
      <c r="E696" s="49">
        <f>IFERROR(__xludf.DUMMYFUNCTION("""COMPUTED_VALUE"""),1.0)</f>
        <v>1</v>
      </c>
      <c r="F696" s="49"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49">
        <f>IFERROR(__xludf.DUMMYFUNCTION("""COMPUTED_VALUE"""),0.0)</f>
        <v>0</v>
      </c>
      <c r="H696" s="49"/>
      <c r="I696" s="49"/>
      <c r="J696" s="49"/>
      <c r="K696" s="49"/>
      <c r="L696" s="49"/>
      <c r="M696" s="49"/>
      <c r="N696" s="49"/>
      <c r="O696" s="49"/>
      <c r="P696" s="49"/>
      <c r="Q696" s="49"/>
      <c r="R696" s="49"/>
      <c r="S696" s="49"/>
      <c r="T696" s="49"/>
      <c r="U696" s="49"/>
      <c r="V696" s="49"/>
      <c r="W696" s="49"/>
      <c r="X696" s="49"/>
      <c r="Y696" s="49"/>
      <c r="Z696" s="49"/>
    </row>
    <row r="697">
      <c r="A697" s="49" t="str">
        <f>IFERROR(__xludf.DUMMYFUNCTION("""COMPUTED_VALUE"""),"Plague Doctor's Gloves")</f>
        <v>Plague Doctor's Gloves</v>
      </c>
      <c r="B697" s="49" t="str">
        <f>IFERROR(__xludf.DUMMYFUNCTION("""COMPUTED_VALUE"""),"These gloves have been stained with blood and potions over the years.")</f>
        <v>These gloves have been stained with blood and potions over the years.</v>
      </c>
      <c r="C697" s="49"/>
      <c r="D697" s="49" t="str">
        <f>IFERROR(__xludf.DUMMYFUNCTION("""COMPUTED_VALUE"""),"Arms")</f>
        <v>Arms</v>
      </c>
      <c r="E697" s="49">
        <f>IFERROR(__xludf.DUMMYFUNCTION("""COMPUTED_VALUE"""),1.0)</f>
        <v>1</v>
      </c>
      <c r="F697" s="49" t="str">
        <f>IFERROR(__xludf.DUMMYFUNCTION("""COMPUTED_VALUE""")," ++Poisoner I:X2 damage +-Cannot be Duplicated")</f>
        <v> ++Poisoner I:X2 damage +-Cannot be Duplicated</v>
      </c>
      <c r="G697" s="49">
        <f>IFERROR(__xludf.DUMMYFUNCTION("""COMPUTED_VALUE"""),0.0)</f>
        <v>0</v>
      </c>
      <c r="H697" s="49"/>
      <c r="I697" s="49"/>
      <c r="J697" s="49"/>
      <c r="K697" s="49"/>
      <c r="L697" s="49"/>
      <c r="M697" s="49"/>
      <c r="N697" s="49"/>
      <c r="O697" s="49"/>
      <c r="P697" s="49"/>
      <c r="Q697" s="49"/>
      <c r="R697" s="49"/>
      <c r="S697" s="49"/>
      <c r="T697" s="49"/>
      <c r="U697" s="49"/>
      <c r="V697" s="49"/>
      <c r="W697" s="49"/>
      <c r="X697" s="49"/>
      <c r="Y697" s="49"/>
      <c r="Z697" s="49"/>
    </row>
    <row r="698">
      <c r="A698" s="49" t="str">
        <f>IFERROR(__xludf.DUMMYFUNCTION("""COMPUTED_VALUE"""),"Plague Doctor's Sarouel")</f>
        <v>Plague Doctor's Sarouel</v>
      </c>
      <c r="B698" s="49"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49"/>
      <c r="D698" s="49" t="str">
        <f>IFERROR(__xludf.DUMMYFUNCTION("""COMPUTED_VALUE"""),"Legs")</f>
        <v>Legs</v>
      </c>
      <c r="E698" s="49">
        <f>IFERROR(__xludf.DUMMYFUNCTION("""COMPUTED_VALUE"""),1.0)</f>
        <v>1</v>
      </c>
      <c r="F698" s="49" t="str">
        <f>IFERROR(__xludf.DUMMYFUNCTION("""COMPUTED_VALUE""")," ++Poisoner I:X2 damage +-Cannot be Duplicated")</f>
        <v> ++Poisoner I:X2 damage +-Cannot be Duplicated</v>
      </c>
      <c r="G698" s="49">
        <f>IFERROR(__xludf.DUMMYFUNCTION("""COMPUTED_VALUE"""),0.0)</f>
        <v>0</v>
      </c>
      <c r="H698" s="49"/>
      <c r="I698" s="49"/>
      <c r="J698" s="49"/>
      <c r="K698" s="49"/>
      <c r="L698" s="49"/>
      <c r="M698" s="49"/>
      <c r="N698" s="49"/>
      <c r="O698" s="49"/>
      <c r="P698" s="49"/>
      <c r="Q698" s="49"/>
      <c r="R698" s="49"/>
      <c r="S698" s="49"/>
      <c r="T698" s="49"/>
      <c r="U698" s="49"/>
      <c r="V698" s="49"/>
      <c r="W698" s="49"/>
      <c r="X698" s="49"/>
      <c r="Y698" s="49"/>
      <c r="Z698" s="49"/>
    </row>
    <row r="699">
      <c r="A699" s="49" t="str">
        <f>IFERROR(__xludf.DUMMYFUNCTION("""COMPUTED_VALUE"""),"Plague Doctor's Boots")</f>
        <v>Plague Doctor's Boots</v>
      </c>
      <c r="B699" s="49" t="str">
        <f>IFERROR(__xludf.DUMMYFUNCTION("""COMPUTED_VALUE"""),"These boots have been designed for optimal movement through all kinds of hazards.")</f>
        <v>These boots have been designed for optimal movement through all kinds of hazards.</v>
      </c>
      <c r="C699" s="49"/>
      <c r="D699" s="49" t="str">
        <f>IFERROR(__xludf.DUMMYFUNCTION("""COMPUTED_VALUE"""),"Feet")</f>
        <v>Feet</v>
      </c>
      <c r="E699" s="49">
        <f>IFERROR(__xludf.DUMMYFUNCTION("""COMPUTED_VALUE"""),1.0)</f>
        <v>1</v>
      </c>
      <c r="F699" s="49" t="str">
        <f>IFERROR(__xludf.DUMMYFUNCTION("""COMPUTED_VALUE""")," ++Swamp Stompers: You take only half the effect of environmental hazards +-Cannot be Duplicated")</f>
        <v> ++Swamp Stompers: You take only half the effect of environmental hazards +-Cannot be Duplicated</v>
      </c>
      <c r="G699" s="49">
        <f>IFERROR(__xludf.DUMMYFUNCTION("""COMPUTED_VALUE"""),0.0)</f>
        <v>0</v>
      </c>
      <c r="H699" s="49"/>
      <c r="I699" s="49"/>
      <c r="J699" s="49"/>
      <c r="K699" s="49"/>
      <c r="L699" s="49"/>
      <c r="M699" s="49"/>
      <c r="N699" s="49"/>
      <c r="O699" s="49"/>
      <c r="P699" s="49"/>
      <c r="Q699" s="49"/>
      <c r="R699" s="49"/>
      <c r="S699" s="49"/>
      <c r="T699" s="49"/>
      <c r="U699" s="49"/>
      <c r="V699" s="49"/>
      <c r="W699" s="49"/>
      <c r="X699" s="49"/>
      <c r="Y699" s="49"/>
      <c r="Z699" s="49"/>
    </row>
    <row r="700">
      <c r="A700" s="49" t="str">
        <f>IFERROR(__xludf.DUMMYFUNCTION("""COMPUTED_VALUE"""),"Plague Doctor's Apron")</f>
        <v>Plague Doctor's Apron</v>
      </c>
      <c r="B700" s="49" t="str">
        <f>IFERROR(__xludf.DUMMYFUNCTION("""COMPUTED_VALUE"""),"The thick leather of this apron ensures that accidents with poison are minimalized.")</f>
        <v>The thick leather of this apron ensures that accidents with poison are minimalized.</v>
      </c>
      <c r="C700" s="49"/>
      <c r="D700" s="49" t="str">
        <f>IFERROR(__xludf.DUMMYFUNCTION("""COMPUTED_VALUE"""),"Torso")</f>
        <v>Torso</v>
      </c>
      <c r="E700" s="49">
        <f>IFERROR(__xludf.DUMMYFUNCTION("""COMPUTED_VALUE"""),1.0)</f>
        <v>1</v>
      </c>
      <c r="F700" s="49" t="str">
        <f>IFERROR(__xludf.DUMMYFUNCTION("""COMPUTED_VALUE""")," ++Spllatter Proof: Immune to poison +-Cannot be Duplicated")</f>
        <v> ++Spllatter Proof: Immune to poison +-Cannot be Duplicated</v>
      </c>
      <c r="G700" s="49">
        <f>IFERROR(__xludf.DUMMYFUNCTION("""COMPUTED_VALUE"""),0.0)</f>
        <v>0</v>
      </c>
      <c r="H700" s="49"/>
      <c r="I700" s="49"/>
      <c r="J700" s="49"/>
      <c r="K700" s="49"/>
      <c r="L700" s="49"/>
      <c r="M700" s="49"/>
      <c r="N700" s="49"/>
      <c r="O700" s="49"/>
      <c r="P700" s="49"/>
      <c r="Q700" s="49"/>
      <c r="R700" s="49"/>
      <c r="S700" s="49"/>
      <c r="T700" s="49"/>
      <c r="U700" s="49"/>
      <c r="V700" s="49"/>
      <c r="W700" s="49"/>
      <c r="X700" s="49"/>
      <c r="Y700" s="49"/>
      <c r="Z700" s="49"/>
    </row>
    <row r="701">
      <c r="A701" s="49" t="str">
        <f>IFERROR(__xludf.DUMMYFUNCTION("""COMPUTED_VALUE"""),"Poisonous Hand Crossbow")</f>
        <v>Poisonous Hand Crossbow</v>
      </c>
      <c r="B701" s="49" t="str">
        <f>IFERROR(__xludf.DUMMYFUNCTION("""COMPUTED_VALUE"""),"""Because sometimes the only viable tactic, is a dirty one"" ~Gwennivir")</f>
        <v>"Because sometimes the only viable tactic, is a dirty one" ~Gwennivir</v>
      </c>
      <c r="C701" s="49" t="str">
        <f>IFERROR(__xludf.DUMMYFUNCTION("""COMPUTED_VALUE"""),"Bow")</f>
        <v>Bow</v>
      </c>
      <c r="D701" s="49" t="str">
        <f>IFERROR(__xludf.DUMMYFUNCTION("""COMPUTED_VALUE"""),"Hand")</f>
        <v>Hand</v>
      </c>
      <c r="E701" s="49">
        <f>IFERROR(__xludf.DUMMYFUNCTION("""COMPUTED_VALUE"""),1000.0)</f>
        <v>1000</v>
      </c>
      <c r="F701" s="49" t="str">
        <f>IFERROR(__xludf.DUMMYFUNCTION("""COMPUTED_VALUE"""),"DMG: +50000 ++Poisoned I: Hitting an enemy with this weapon inflicts 500 poison")</f>
        <v>DMG: +50000 ++Poisoned I: Hitting an enemy with this weapon inflicts 500 poison</v>
      </c>
      <c r="G701" s="49">
        <f>IFERROR(__xludf.DUMMYFUNCTION("""COMPUTED_VALUE"""),4.95E7)</f>
        <v>49500000</v>
      </c>
      <c r="H701" s="49"/>
      <c r="I701" s="49"/>
      <c r="J701" s="49"/>
      <c r="K701" s="49"/>
      <c r="L701" s="49"/>
      <c r="M701" s="49"/>
      <c r="N701" s="49"/>
      <c r="O701" s="49"/>
      <c r="P701" s="49"/>
      <c r="Q701" s="49"/>
      <c r="R701" s="49"/>
      <c r="S701" s="49"/>
      <c r="T701" s="49"/>
      <c r="U701" s="49"/>
      <c r="V701" s="49"/>
      <c r="W701" s="49"/>
      <c r="X701" s="49"/>
      <c r="Y701" s="49"/>
      <c r="Z701" s="49"/>
    </row>
    <row r="702">
      <c r="A702" s="49" t="str">
        <f>IFERROR(__xludf.DUMMYFUNCTION("""COMPUTED_VALUE"""),"Poison Tipped Knife")</f>
        <v>Poison Tipped Knife</v>
      </c>
      <c r="B702" s="49" t="str">
        <f>IFERROR(__xludf.DUMMYFUNCTION("""COMPUTED_VALUE"""),"""It isn't the most graceful end, and it isn't quick by any means... What, you thought I'd defend it?"" ~Gwennivir")</f>
        <v>"It isn't the most graceful end, and it isn't quick by any means... What, you thought I'd defend it?" ~Gwennivir</v>
      </c>
      <c r="C702" s="49" t="str">
        <f>IFERROR(__xludf.DUMMYFUNCTION("""COMPUTED_VALUE"""),"Knife")</f>
        <v>Knife</v>
      </c>
      <c r="D702" s="49" t="str">
        <f>IFERROR(__xludf.DUMMYFUNCTION("""COMPUTED_VALUE"""),"Hand")</f>
        <v>Hand</v>
      </c>
      <c r="E702" s="49">
        <f>IFERROR(__xludf.DUMMYFUNCTION("""COMPUTED_VALUE"""),1000.0)</f>
        <v>1000</v>
      </c>
      <c r="F702" s="49" t="str">
        <f>IFERROR(__xludf.DUMMYFUNCTION("""COMPUTED_VALUE"""),"DMG: +50000 ++Poisoned I: Hitting an enemy with this weapon inflicts 500 poison")</f>
        <v>DMG: +50000 ++Poisoned I: Hitting an enemy with this weapon inflicts 500 poison</v>
      </c>
      <c r="G702" s="49">
        <f>IFERROR(__xludf.DUMMYFUNCTION("""COMPUTED_VALUE"""),4.95E7)</f>
        <v>49500000</v>
      </c>
      <c r="H702" s="49"/>
      <c r="I702" s="49"/>
      <c r="J702" s="49"/>
      <c r="K702" s="49"/>
      <c r="L702" s="49"/>
      <c r="M702" s="49"/>
      <c r="N702" s="49"/>
      <c r="O702" s="49"/>
      <c r="P702" s="49"/>
      <c r="Q702" s="49"/>
      <c r="R702" s="49"/>
      <c r="S702" s="49"/>
      <c r="T702" s="49"/>
      <c r="U702" s="49"/>
      <c r="V702" s="49"/>
      <c r="W702" s="49"/>
      <c r="X702" s="49"/>
      <c r="Y702" s="49"/>
      <c r="Z702" s="49"/>
    </row>
    <row r="703">
      <c r="A703" s="49" t="str">
        <f>IFERROR(__xludf.DUMMYFUNCTION("""COMPUTED_VALUE"""),"Frozen Head-Splitter")</f>
        <v>Frozen Head-Splitter</v>
      </c>
      <c r="B703" s="49"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49" t="str">
        <f>IFERROR(__xludf.DUMMYFUNCTION("""COMPUTED_VALUE"""),"Club")</f>
        <v>Club</v>
      </c>
      <c r="D703" s="49" t="str">
        <f>IFERROR(__xludf.DUMMYFUNCTION("""COMPUTED_VALUE"""),"Hand")</f>
        <v>Hand</v>
      </c>
      <c r="E703" s="49">
        <f>IFERROR(__xludf.DUMMYFUNCTION("""COMPUTED_VALUE"""),1200.0)</f>
        <v>1200</v>
      </c>
      <c r="F703" s="49"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49">
        <f>IFERROR(__xludf.DUMMYFUNCTION("""COMPUTED_VALUE"""),7.14E7)</f>
        <v>71400000</v>
      </c>
      <c r="H703" s="49"/>
      <c r="I703" s="49"/>
      <c r="J703" s="49"/>
      <c r="K703" s="49"/>
      <c r="L703" s="49"/>
      <c r="M703" s="49"/>
      <c r="N703" s="49"/>
      <c r="O703" s="49"/>
      <c r="P703" s="49"/>
      <c r="Q703" s="49"/>
      <c r="R703" s="49"/>
      <c r="S703" s="49"/>
      <c r="T703" s="49"/>
      <c r="U703" s="49"/>
      <c r="V703" s="49"/>
      <c r="W703" s="49"/>
      <c r="X703" s="49"/>
      <c r="Y703" s="49"/>
      <c r="Z703" s="49"/>
    </row>
    <row r="704">
      <c r="A704" s="49" t="str">
        <f>IFERROR(__xludf.DUMMYFUNCTION("""COMPUTED_VALUE"""),"Fireball Cannon")</f>
        <v>Fireball Cannon</v>
      </c>
      <c r="B704" s="49" t="str">
        <f>IFERROR(__xludf.DUMMYFUNCTION("""COMPUTED_VALUE"""),"""Sometimes fire is the only answer to the question,"" ~Gwennivir")</f>
        <v>"Sometimes fire is the only answer to the question," ~Gwennivir</v>
      </c>
      <c r="C704" s="49" t="str">
        <f>IFERROR(__xludf.DUMMYFUNCTION("""COMPUTED_VALUE"""),"Firearm")</f>
        <v>Firearm</v>
      </c>
      <c r="D704" s="49" t="str">
        <f>IFERROR(__xludf.DUMMYFUNCTION("""COMPUTED_VALUE"""),"BoatGun")</f>
        <v>BoatGun</v>
      </c>
      <c r="E704" s="49">
        <f>IFERROR(__xludf.DUMMYFUNCTION("""COMPUTED_VALUE"""),1000.0)</f>
        <v>1000</v>
      </c>
      <c r="F704" s="49" t="str">
        <f>IFERROR(__xludf.DUMMYFUNCTION("""COMPUTED_VALUE"""),"DMG: +30000, Fire DMG: +20000 ++Burn 10,000. ++Requires Fire Cannon Balls")</f>
        <v>DMG: +30000, Fire DMG: +20000 ++Burn 10,000. ++Requires Fire Cannon Balls</v>
      </c>
      <c r="G704" s="49">
        <f>IFERROR(__xludf.DUMMYFUNCTION("""COMPUTED_VALUE"""),4.95E7)</f>
        <v>49500000</v>
      </c>
      <c r="H704" s="49"/>
      <c r="I704" s="49"/>
      <c r="J704" s="49"/>
      <c r="K704" s="49"/>
      <c r="L704" s="49"/>
      <c r="M704" s="49"/>
      <c r="N704" s="49"/>
      <c r="O704" s="49"/>
      <c r="P704" s="49"/>
      <c r="Q704" s="49"/>
      <c r="R704" s="49"/>
      <c r="S704" s="49"/>
      <c r="T704" s="49"/>
      <c r="U704" s="49"/>
      <c r="V704" s="49"/>
      <c r="W704" s="49"/>
      <c r="X704" s="49"/>
      <c r="Y704" s="49"/>
      <c r="Z704" s="49"/>
    </row>
    <row r="705">
      <c r="A705" s="49" t="str">
        <f>IFERROR(__xludf.DUMMYFUNCTION("""COMPUTED_VALUE"""),"Harpoon Gun")</f>
        <v>Harpoon Gun</v>
      </c>
      <c r="B705" s="49"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49" t="str">
        <f>IFERROR(__xludf.DUMMYFUNCTION("""COMPUTED_VALUE"""),"Spear")</f>
        <v>Spear</v>
      </c>
      <c r="D705" s="49" t="str">
        <f>IFERROR(__xludf.DUMMYFUNCTION("""COMPUTED_VALUE"""),"BoatGun")</f>
        <v>BoatGun</v>
      </c>
      <c r="E705" s="49">
        <f>IFERROR(__xludf.DUMMYFUNCTION("""COMPUTED_VALUE"""),400.0)</f>
        <v>400</v>
      </c>
      <c r="F705" s="49" t="str">
        <f>IFERROR(__xludf.DUMMYFUNCTION("""COMPUTED_VALUE"""),"DMG: +10000, Blood DMG: +10000 ++Bleed 10,000. ")</f>
        <v>DMG: +10000, Blood DMG: +10000 ++Bleed 10,000. </v>
      </c>
      <c r="G705" s="49">
        <f>IFERROR(__xludf.DUMMYFUNCTION("""COMPUTED_VALUE"""),7800000.0)</f>
        <v>7800000</v>
      </c>
      <c r="H705" s="49"/>
      <c r="I705" s="49"/>
      <c r="J705" s="49"/>
      <c r="K705" s="49"/>
      <c r="L705" s="49"/>
      <c r="M705" s="49"/>
      <c r="N705" s="49"/>
      <c r="O705" s="49"/>
      <c r="P705" s="49"/>
      <c r="Q705" s="49"/>
      <c r="R705" s="49"/>
      <c r="S705" s="49"/>
      <c r="T705" s="49"/>
      <c r="U705" s="49"/>
      <c r="V705" s="49"/>
      <c r="W705" s="49"/>
      <c r="X705" s="49"/>
      <c r="Y705" s="49"/>
      <c r="Z705" s="49"/>
    </row>
    <row r="706">
      <c r="A706" s="49" t="str">
        <f>IFERROR(__xludf.DUMMYFUNCTION("""COMPUTED_VALUE"""),"Torpedo Launcher")</f>
        <v>Torpedo Launcher</v>
      </c>
      <c r="B706" s="49" t="str">
        <f>IFERROR(__xludf.DUMMYFUNCTION("""COMPUTED_VALUE"""),"""Sometimes you need a little more bang for your buck, in those times you need a torpedo,"" ~Gwennivir")</f>
        <v>"Sometimes you need a little more bang for your buck, in those times you need a torpedo," ~Gwennivir</v>
      </c>
      <c r="C706" s="49" t="str">
        <f>IFERROR(__xludf.DUMMYFUNCTION("""COMPUTED_VALUE"""),"Firearm")</f>
        <v>Firearm</v>
      </c>
      <c r="D706" s="49" t="str">
        <f>IFERROR(__xludf.DUMMYFUNCTION("""COMPUTED_VALUE"""),"BoatGun")</f>
        <v>BoatGun</v>
      </c>
      <c r="E706" s="49">
        <f>IFERROR(__xludf.DUMMYFUNCTION("""COMPUTED_VALUE"""),1000.0)</f>
        <v>1000</v>
      </c>
      <c r="F706" s="49" t="str">
        <f>IFERROR(__xludf.DUMMYFUNCTION("""COMPUTED_VALUE"""),"DMG: +50000 ++ Requires Torpedos")</f>
        <v>DMG: +50000 ++ Requires Torpedos</v>
      </c>
      <c r="G706" s="49">
        <f>IFERROR(__xludf.DUMMYFUNCTION("""COMPUTED_VALUE"""),4.95E7)</f>
        <v>49500000</v>
      </c>
      <c r="H706" s="49"/>
      <c r="I706" s="49"/>
      <c r="J706" s="49"/>
      <c r="K706" s="49"/>
      <c r="L706" s="49"/>
      <c r="M706" s="49"/>
      <c r="N706" s="49"/>
      <c r="O706" s="49"/>
      <c r="P706" s="49"/>
      <c r="Q706" s="49"/>
      <c r="R706" s="49"/>
      <c r="S706" s="49"/>
      <c r="T706" s="49"/>
      <c r="U706" s="49"/>
      <c r="V706" s="49"/>
      <c r="W706" s="49"/>
      <c r="X706" s="49"/>
      <c r="Y706" s="49"/>
      <c r="Z706" s="49"/>
    </row>
    <row r="707">
      <c r="A707" s="49" t="str">
        <f>IFERROR(__xludf.DUMMYFUNCTION("""COMPUTED_VALUE"""),"Double Barrel Shotgun")</f>
        <v>Double Barrel Shotgun</v>
      </c>
      <c r="B707" s="49" t="str">
        <f>IFERROR(__xludf.DUMMYFUNCTION("""COMPUTED_VALUE"""),"""Because what's better than one barrel? Two,"" ~Gwennivir")</f>
        <v>"Because what's better than one barrel? Two," ~Gwennivir</v>
      </c>
      <c r="C707" s="49" t="str">
        <f>IFERROR(__xludf.DUMMYFUNCTION("""COMPUTED_VALUE"""),"Firearm")</f>
        <v>Firearm</v>
      </c>
      <c r="D707" s="49" t="str">
        <f>IFERROR(__xludf.DUMMYFUNCTION("""COMPUTED_VALUE"""),"Hand")</f>
        <v>Hand</v>
      </c>
      <c r="E707" s="49">
        <f>IFERROR(__xludf.DUMMYFUNCTION("""COMPUTED_VALUE"""),800.0)</f>
        <v>800</v>
      </c>
      <c r="F707" s="49"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49">
        <f>IFERROR(__xludf.DUMMYFUNCTION("""COMPUTED_VALUE"""),3.16E7)</f>
        <v>31600000</v>
      </c>
      <c r="H707" s="49"/>
      <c r="I707" s="49"/>
      <c r="J707" s="49"/>
      <c r="K707" s="49"/>
      <c r="L707" s="49"/>
      <c r="M707" s="49"/>
      <c r="N707" s="49"/>
      <c r="O707" s="49"/>
      <c r="P707" s="49"/>
      <c r="Q707" s="49"/>
      <c r="R707" s="49"/>
      <c r="S707" s="49"/>
      <c r="T707" s="49"/>
      <c r="U707" s="49"/>
      <c r="V707" s="49"/>
      <c r="W707" s="49"/>
      <c r="X707" s="49"/>
      <c r="Y707" s="49"/>
      <c r="Z707" s="49"/>
    </row>
    <row r="708">
      <c r="A708" s="49" t="str">
        <f>IFERROR(__xludf.DUMMYFUNCTION("""COMPUTED_VALUE"""),"Single Barrel Shotgun")</f>
        <v>Single Barrel Shotgun</v>
      </c>
      <c r="B708" s="49" t="str">
        <f>IFERROR(__xludf.DUMMYFUNCTION("""COMPUTED_VALUE"""),"""For when you want to put more than one hole in your enemies at a time"" ~Gwennivir")</f>
        <v>"For when you want to put more than one hole in your enemies at a time" ~Gwennivir</v>
      </c>
      <c r="C708" s="49" t="str">
        <f>IFERROR(__xludf.DUMMYFUNCTION("""COMPUTED_VALUE"""),"Firearm")</f>
        <v>Firearm</v>
      </c>
      <c r="D708" s="49" t="str">
        <f>IFERROR(__xludf.DUMMYFUNCTION("""COMPUTED_VALUE"""),"Hand")</f>
        <v>Hand</v>
      </c>
      <c r="E708" s="49">
        <f>IFERROR(__xludf.DUMMYFUNCTION("""COMPUTED_VALUE"""),400.0)</f>
        <v>400</v>
      </c>
      <c r="F708" s="49" t="str">
        <f>IFERROR(__xludf.DUMMYFUNCTION("""COMPUTED_VALUE"""),"DMG: +10000, Blood DMG: +10000")</f>
        <v>DMG: +10000, Blood DMG: +10000</v>
      </c>
      <c r="G708" s="49">
        <f>IFERROR(__xludf.DUMMYFUNCTION("""COMPUTED_VALUE"""),7800000.0)</f>
        <v>7800000</v>
      </c>
      <c r="H708" s="49"/>
      <c r="I708" s="49"/>
      <c r="J708" s="49"/>
      <c r="K708" s="49"/>
      <c r="L708" s="49"/>
      <c r="M708" s="49"/>
      <c r="N708" s="49"/>
      <c r="O708" s="49"/>
      <c r="P708" s="49"/>
      <c r="Q708" s="49"/>
      <c r="R708" s="49"/>
      <c r="S708" s="49"/>
      <c r="T708" s="49"/>
      <c r="U708" s="49"/>
      <c r="V708" s="49"/>
      <c r="W708" s="49"/>
      <c r="X708" s="49"/>
      <c r="Y708" s="49"/>
      <c r="Z708" s="49"/>
    </row>
    <row r="709">
      <c r="A709" s="49" t="str">
        <f>IFERROR(__xludf.DUMMYFUNCTION("""COMPUTED_VALUE"""),"Poison Staff")</f>
        <v>Poison Staff</v>
      </c>
      <c r="B709" s="49"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49" t="str">
        <f>IFERROR(__xludf.DUMMYFUNCTION("""COMPUTED_VALUE"""),"Staff")</f>
        <v>Staff</v>
      </c>
      <c r="D709" s="49" t="str">
        <f>IFERROR(__xludf.DUMMYFUNCTION("""COMPUTED_VALUE"""),"Hand")</f>
        <v>Hand</v>
      </c>
      <c r="E709" s="49">
        <f>IFERROR(__xludf.DUMMYFUNCTION("""COMPUTED_VALUE"""),2000.0)</f>
        <v>2000</v>
      </c>
      <c r="F709" s="49" t="str">
        <f>IFERROR(__xludf.DUMMYFUNCTION("""COMPUTED_VALUE"""),", Nature DMG: +100000 ++ Poison 20,000")</f>
        <v>, Nature DMG: +100000 ++ Poison 20,000</v>
      </c>
      <c r="G709" s="49">
        <f>IFERROR(__xludf.DUMMYFUNCTION("""COMPUTED_VALUE"""),1.99E8)</f>
        <v>199000000</v>
      </c>
      <c r="H709" s="49"/>
      <c r="I709" s="49"/>
      <c r="J709" s="49"/>
      <c r="K709" s="49"/>
      <c r="L709" s="49"/>
      <c r="M709" s="49"/>
      <c r="N709" s="49"/>
      <c r="O709" s="49"/>
      <c r="P709" s="49"/>
      <c r="Q709" s="49"/>
      <c r="R709" s="49"/>
      <c r="S709" s="49"/>
      <c r="T709" s="49"/>
      <c r="U709" s="49"/>
      <c r="V709" s="49"/>
      <c r="W709" s="49"/>
      <c r="X709" s="49"/>
      <c r="Y709" s="49"/>
      <c r="Z709" s="49"/>
    </row>
    <row r="710">
      <c r="A710" s="49" t="str">
        <f>IFERROR(__xludf.DUMMYFUNCTION("""COMPUTED_VALUE"""),"Chameldrians Staff of Thriving Blossoms")</f>
        <v>Chameldrians Staff of Thriving Blossoms</v>
      </c>
      <c r="B710" s="49"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49" t="str">
        <f>IFERROR(__xludf.DUMMYFUNCTION("""COMPUTED_VALUE"""),"Staff")</f>
        <v>Staff</v>
      </c>
      <c r="D710" s="49" t="str">
        <f>IFERROR(__xludf.DUMMYFUNCTION("""COMPUTED_VALUE"""),"Hand")</f>
        <v>Hand</v>
      </c>
      <c r="E710" s="49">
        <f>IFERROR(__xludf.DUMMYFUNCTION("""COMPUTED_VALUE"""),2000.0)</f>
        <v>2000</v>
      </c>
      <c r="F710" s="49"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49">
        <f>IFERROR(__xludf.DUMMYFUNCTION("""COMPUTED_VALUE"""),1.99E8)</f>
        <v>199000000</v>
      </c>
      <c r="H710" s="49"/>
      <c r="I710" s="49"/>
      <c r="J710" s="49"/>
      <c r="K710" s="49"/>
      <c r="L710" s="49"/>
      <c r="M710" s="49"/>
      <c r="N710" s="49"/>
      <c r="O710" s="49"/>
      <c r="P710" s="49"/>
      <c r="Q710" s="49"/>
      <c r="R710" s="49"/>
      <c r="S710" s="49"/>
      <c r="T710" s="49"/>
      <c r="U710" s="49"/>
      <c r="V710" s="49"/>
      <c r="W710" s="49"/>
      <c r="X710" s="49"/>
      <c r="Y710" s="49"/>
      <c r="Z710" s="49"/>
    </row>
    <row r="711">
      <c r="A711" s="49" t="str">
        <f>IFERROR(__xludf.DUMMYFUNCTION("""COMPUTED_VALUE"""),"Cooper's Memento")</f>
        <v>Cooper's Memento</v>
      </c>
      <c r="B711" s="49" t="str">
        <f>IFERROR(__xludf.DUMMYFUNCTION("""COMPUTED_VALUE"""),"A small stopwatch, the ticking has stopped.")</f>
        <v>A small stopwatch, the ticking has stopped.</v>
      </c>
      <c r="C711" s="49" t="str">
        <f>IFERROR(__xludf.DUMMYFUNCTION("""COMPUTED_VALUE"""),"Item")</f>
        <v>Item</v>
      </c>
      <c r="D711" s="49" t="str">
        <f>IFERROR(__xludf.DUMMYFUNCTION("""COMPUTED_VALUE"""),"Arms")</f>
        <v>Arms</v>
      </c>
      <c r="E711" s="49">
        <f>IFERROR(__xludf.DUMMYFUNCTION("""COMPUTED_VALUE"""),1.0)</f>
        <v>1</v>
      </c>
      <c r="F711" s="49" t="str">
        <f>IFERROR(__xludf.DUMMYFUNCTION("""COMPUTED_VALUE""")," ++15% chance to be unaffected by a curse")</f>
        <v> ++15% chance to be unaffected by a curse</v>
      </c>
      <c r="G711" s="49">
        <f>IFERROR(__xludf.DUMMYFUNCTION("""COMPUTED_VALUE"""),0.0)</f>
        <v>0</v>
      </c>
      <c r="H711" s="49"/>
      <c r="I711" s="49"/>
      <c r="J711" s="49"/>
      <c r="K711" s="49"/>
      <c r="L711" s="49"/>
      <c r="M711" s="49"/>
      <c r="N711" s="49"/>
      <c r="O711" s="49"/>
      <c r="P711" s="49"/>
      <c r="Q711" s="49"/>
      <c r="R711" s="49"/>
      <c r="S711" s="49"/>
      <c r="T711" s="49"/>
      <c r="U711" s="49"/>
      <c r="V711" s="49"/>
      <c r="W711" s="49"/>
      <c r="X711" s="49"/>
      <c r="Y711" s="49"/>
      <c r="Z711" s="49"/>
    </row>
    <row r="712">
      <c r="A712" s="49" t="str">
        <f>IFERROR(__xludf.DUMMYFUNCTION("""COMPUTED_VALUE"""),"Gaian Champion's Shield")</f>
        <v>Gaian Champion's Shield</v>
      </c>
      <c r="B712" s="49" t="str">
        <f>IFERROR(__xludf.DUMMYFUNCTION("""COMPUTED_VALUE"""),"""We are born to be the shield of the people, too many paladins forget this simple fact"" ~Grisaia")</f>
        <v>"We are born to be the shield of the people, too many paladins forget this simple fact" ~Grisaia</v>
      </c>
      <c r="C712" s="49" t="str">
        <f>IFERROR(__xludf.DUMMYFUNCTION("""COMPUTED_VALUE"""),"Towershield")</f>
        <v>Towershield</v>
      </c>
      <c r="D712" s="49" t="str">
        <f>IFERROR(__xludf.DUMMYFUNCTION("""COMPUTED_VALUE"""),"Hand")</f>
        <v>Hand</v>
      </c>
      <c r="E712" s="49">
        <f>IFERROR(__xludf.DUMMYFUNCTION("""COMPUTED_VALUE"""),200.0)</f>
        <v>200</v>
      </c>
      <c r="F712" s="49"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49">
        <f>IFERROR(__xludf.DUMMYFUNCTION("""COMPUTED_VALUE"""),1.2475E9)</f>
        <v>1247500000</v>
      </c>
      <c r="H712" s="49"/>
      <c r="I712" s="49"/>
      <c r="J712" s="49"/>
      <c r="K712" s="49"/>
      <c r="L712" s="49"/>
      <c r="M712" s="49"/>
      <c r="N712" s="49"/>
      <c r="O712" s="49"/>
      <c r="P712" s="49"/>
      <c r="Q712" s="49"/>
      <c r="R712" s="49"/>
      <c r="S712" s="49"/>
      <c r="T712" s="49"/>
      <c r="U712" s="49"/>
      <c r="V712" s="49"/>
      <c r="W712" s="49"/>
      <c r="X712" s="49"/>
      <c r="Y712" s="49"/>
      <c r="Z712" s="49"/>
    </row>
    <row r="713">
      <c r="A713" s="49" t="str">
        <f>IFERROR(__xludf.DUMMYFUNCTION("""COMPUTED_VALUE"""),"The Billowing Bludgeon")</f>
        <v>The Billowing Bludgeon</v>
      </c>
      <c r="B713" s="49"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49" t="str">
        <f>IFERROR(__xludf.DUMMYFUNCTION("""COMPUTED_VALUE"""),"Staff")</f>
        <v>Staff</v>
      </c>
      <c r="D713" s="49" t="str">
        <f>IFERROR(__xludf.DUMMYFUNCTION("""COMPUTED_VALUE"""),"Hand")</f>
        <v>Hand</v>
      </c>
      <c r="E713" s="49">
        <f>IFERROR(__xludf.DUMMYFUNCTION("""COMPUTED_VALUE"""),200.0)</f>
        <v>200</v>
      </c>
      <c r="F713" s="49"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49">
        <f>IFERROR(__xludf.DUMMYFUNCTION("""COMPUTED_VALUE"""),1.797E9)</f>
        <v>1797000000</v>
      </c>
      <c r="H713" s="49"/>
      <c r="I713" s="49"/>
      <c r="J713" s="49"/>
      <c r="K713" s="49"/>
      <c r="L713" s="49"/>
      <c r="M713" s="49"/>
      <c r="N713" s="49"/>
      <c r="O713" s="49"/>
      <c r="P713" s="49"/>
      <c r="Q713" s="49"/>
      <c r="R713" s="49"/>
      <c r="S713" s="49"/>
      <c r="T713" s="49"/>
      <c r="U713" s="49"/>
      <c r="V713" s="49"/>
      <c r="W713" s="49"/>
      <c r="X713" s="49"/>
      <c r="Y713" s="49"/>
      <c r="Z713" s="49"/>
    </row>
    <row r="714">
      <c r="A714" s="49" t="str">
        <f>IFERROR(__xludf.DUMMYFUNCTION("""COMPUTED_VALUE"""),"Home Run Bat")</f>
        <v>Home Run Bat</v>
      </c>
      <c r="B714" s="49"/>
      <c r="C714" s="49" t="str">
        <f>IFERROR(__xludf.DUMMYFUNCTION("""COMPUTED_VALUE"""),"Club")</f>
        <v>Club</v>
      </c>
      <c r="D714" s="49" t="str">
        <f>IFERROR(__xludf.DUMMYFUNCTION("""COMPUTED_VALUE"""),"Hand")</f>
        <v>Hand</v>
      </c>
      <c r="E714" s="49">
        <f>IFERROR(__xludf.DUMMYFUNCTION("""COMPUTED_VALUE"""),200.0)</f>
        <v>200</v>
      </c>
      <c r="F714" s="49"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49">
        <f>IFERROR(__xludf.DUMMYFUNCTION("""COMPUTED_VALUE"""),7.98E8)</f>
        <v>798000000</v>
      </c>
      <c r="H714" s="49"/>
      <c r="I714" s="49"/>
      <c r="J714" s="49"/>
      <c r="K714" s="49"/>
      <c r="L714" s="49"/>
      <c r="M714" s="49"/>
      <c r="N714" s="49"/>
      <c r="O714" s="49"/>
      <c r="P714" s="49"/>
      <c r="Q714" s="49"/>
      <c r="R714" s="49"/>
      <c r="S714" s="49"/>
      <c r="T714" s="49"/>
      <c r="U714" s="49"/>
      <c r="V714" s="49"/>
      <c r="W714" s="49"/>
      <c r="X714" s="49"/>
      <c r="Y714" s="49"/>
      <c r="Z714" s="49"/>
    </row>
    <row r="715">
      <c r="A715" s="49" t="str">
        <f>IFERROR(__xludf.DUMMYFUNCTION("""COMPUTED_VALUE"""),"Lunar New Year Dragon Head")</f>
        <v>Lunar New Year Dragon Head</v>
      </c>
      <c r="B715" s="49"/>
      <c r="C715" s="49" t="str">
        <f>IFERROR(__xludf.DUMMYFUNCTION("""COMPUTED_VALUE"""),"Item")</f>
        <v>Item</v>
      </c>
      <c r="D715" s="49" t="str">
        <f>IFERROR(__xludf.DUMMYFUNCTION("""COMPUTED_VALUE"""),"Head")</f>
        <v>Head</v>
      </c>
      <c r="E715" s="49">
        <f>IFERROR(__xludf.DUMMYFUNCTION("""COMPUTED_VALUE"""),200.0)</f>
        <v>200</v>
      </c>
      <c r="F715" s="49" t="str">
        <f>IFERROR(__xludf.DUMMYFUNCTION("""COMPUTED_VALUE"""),"DEF: +25000, Fire DEF: +25000, Celestial DEF: +25000 ++Gain ""Greater Dragon's Breath"" Power. ++X2 additional Fire Damage.")</f>
        <v>DEF: +25000, Fire DEF: +25000, Celestial DEF: +25000 ++Gain "Greater Dragon's Breath" Power. ++X2 additional Fire Damage.</v>
      </c>
      <c r="G715" s="49">
        <f>IFERROR(__xludf.DUMMYFUNCTION("""COMPUTED_VALUE"""),1.1175E8)</f>
        <v>111750000</v>
      </c>
      <c r="H715" s="49"/>
      <c r="I715" s="49"/>
      <c r="J715" s="49"/>
      <c r="K715" s="49"/>
      <c r="L715" s="49"/>
      <c r="M715" s="49"/>
      <c r="N715" s="49"/>
      <c r="O715" s="49"/>
      <c r="P715" s="49"/>
      <c r="Q715" s="49"/>
      <c r="R715" s="49"/>
      <c r="S715" s="49"/>
      <c r="T715" s="49"/>
      <c r="U715" s="49"/>
      <c r="V715" s="49"/>
      <c r="W715" s="49"/>
      <c r="X715" s="49"/>
      <c r="Y715" s="49"/>
      <c r="Z715" s="49"/>
    </row>
    <row r="716">
      <c r="A716" s="49" t="str">
        <f>IFERROR(__xludf.DUMMYFUNCTION("""COMPUTED_VALUE"""),"Lunar New Year Dragon Shoulders")</f>
        <v>Lunar New Year Dragon Shoulders</v>
      </c>
      <c r="B716" s="49"/>
      <c r="C716" s="49" t="str">
        <f>IFERROR(__xludf.DUMMYFUNCTION("""COMPUTED_VALUE"""),"Item")</f>
        <v>Item</v>
      </c>
      <c r="D716" s="49" t="str">
        <f>IFERROR(__xludf.DUMMYFUNCTION("""COMPUTED_VALUE"""),"Shoulders")</f>
        <v>Shoulders</v>
      </c>
      <c r="E716" s="49">
        <f>IFERROR(__xludf.DUMMYFUNCTION("""COMPUTED_VALUE"""),200.0)</f>
        <v>200</v>
      </c>
      <c r="F716" s="49" t="str">
        <f>IFERROR(__xludf.DUMMYFUNCTION("""COMPUTED_VALUE"""),"DEF: +25000, Fire DEF: +25000, Celestial DEF: +25000 ++X2 additional Fire Damage.")</f>
        <v>DEF: +25000, Fire DEF: +25000, Celestial DEF: +25000 ++X2 additional Fire Damage.</v>
      </c>
      <c r="G716" s="49">
        <f>IFERROR(__xludf.DUMMYFUNCTION("""COMPUTED_VALUE"""),1.1175E8)</f>
        <v>111750000</v>
      </c>
      <c r="H716" s="49"/>
      <c r="I716" s="49"/>
      <c r="J716" s="49"/>
      <c r="K716" s="49"/>
      <c r="L716" s="49"/>
      <c r="M716" s="49"/>
      <c r="N716" s="49"/>
      <c r="O716" s="49"/>
      <c r="P716" s="49"/>
      <c r="Q716" s="49"/>
      <c r="R716" s="49"/>
      <c r="S716" s="49"/>
      <c r="T716" s="49"/>
      <c r="U716" s="49"/>
      <c r="V716" s="49"/>
      <c r="W716" s="49"/>
      <c r="X716" s="49"/>
      <c r="Y716" s="49"/>
      <c r="Z716" s="49"/>
    </row>
    <row r="717">
      <c r="A717" s="49" t="str">
        <f>IFERROR(__xludf.DUMMYFUNCTION("""COMPUTED_VALUE"""),"Lunar New Year Dragon Arms")</f>
        <v>Lunar New Year Dragon Arms</v>
      </c>
      <c r="B717" s="49"/>
      <c r="C717" s="49" t="str">
        <f>IFERROR(__xludf.DUMMYFUNCTION("""COMPUTED_VALUE"""),"Item")</f>
        <v>Item</v>
      </c>
      <c r="D717" s="49" t="str">
        <f>IFERROR(__xludf.DUMMYFUNCTION("""COMPUTED_VALUE"""),"Arms")</f>
        <v>Arms</v>
      </c>
      <c r="E717" s="49">
        <f>IFERROR(__xludf.DUMMYFUNCTION("""COMPUTED_VALUE"""),200.0)</f>
        <v>200</v>
      </c>
      <c r="F717" s="49" t="str">
        <f>IFERROR(__xludf.DUMMYFUNCTION("""COMPUTED_VALUE"""),"DEF: +25000, Fire DEF: +25000, Celestial DEF: +25000 ++X2 additional Fire Damage.")</f>
        <v>DEF: +25000, Fire DEF: +25000, Celestial DEF: +25000 ++X2 additional Fire Damage.</v>
      </c>
      <c r="G717" s="49">
        <f>IFERROR(__xludf.DUMMYFUNCTION("""COMPUTED_VALUE"""),1.1175E8)</f>
        <v>111750000</v>
      </c>
      <c r="H717" s="49"/>
      <c r="I717" s="49"/>
      <c r="J717" s="49"/>
      <c r="K717" s="49"/>
      <c r="L717" s="49"/>
      <c r="M717" s="49"/>
      <c r="N717" s="49"/>
      <c r="O717" s="49"/>
      <c r="P717" s="49"/>
      <c r="Q717" s="49"/>
      <c r="R717" s="49"/>
      <c r="S717" s="49"/>
      <c r="T717" s="49"/>
      <c r="U717" s="49"/>
      <c r="V717" s="49"/>
      <c r="W717" s="49"/>
      <c r="X717" s="49"/>
      <c r="Y717" s="49"/>
      <c r="Z717" s="49"/>
    </row>
    <row r="718">
      <c r="A718" s="49" t="str">
        <f>IFERROR(__xludf.DUMMYFUNCTION("""COMPUTED_VALUE"""),"Lunar New Year Dragon Torso")</f>
        <v>Lunar New Year Dragon Torso</v>
      </c>
      <c r="B718" s="49"/>
      <c r="C718" s="49" t="str">
        <f>IFERROR(__xludf.DUMMYFUNCTION("""COMPUTED_VALUE"""),"Item")</f>
        <v>Item</v>
      </c>
      <c r="D718" s="49" t="str">
        <f>IFERROR(__xludf.DUMMYFUNCTION("""COMPUTED_VALUE"""),"Torso")</f>
        <v>Torso</v>
      </c>
      <c r="E718" s="49">
        <f>IFERROR(__xludf.DUMMYFUNCTION("""COMPUTED_VALUE"""),200.0)</f>
        <v>200</v>
      </c>
      <c r="F718" s="49" t="str">
        <f>IFERROR(__xludf.DUMMYFUNCTION("""COMPUTED_VALUE"""),"DEF: +25000, Fire DEF: +25000, Celestial DEF: +25000 ++X2 additional Fire Damage.")</f>
        <v>DEF: +25000, Fire DEF: +25000, Celestial DEF: +25000 ++X2 additional Fire Damage.</v>
      </c>
      <c r="G718" s="49">
        <f>IFERROR(__xludf.DUMMYFUNCTION("""COMPUTED_VALUE"""),1.1175E8)</f>
        <v>111750000</v>
      </c>
      <c r="H718" s="49"/>
      <c r="I718" s="49"/>
      <c r="J718" s="49"/>
      <c r="K718" s="49"/>
      <c r="L718" s="49"/>
      <c r="M718" s="49"/>
      <c r="N718" s="49"/>
      <c r="O718" s="49"/>
      <c r="P718" s="49"/>
      <c r="Q718" s="49"/>
      <c r="R718" s="49"/>
      <c r="S718" s="49"/>
      <c r="T718" s="49"/>
      <c r="U718" s="49"/>
      <c r="V718" s="49"/>
      <c r="W718" s="49"/>
      <c r="X718" s="49"/>
      <c r="Y718" s="49"/>
      <c r="Z718" s="49"/>
    </row>
    <row r="719">
      <c r="A719" s="49" t="str">
        <f>IFERROR(__xludf.DUMMYFUNCTION("""COMPUTED_VALUE"""),"Lunar New Year Dragon Legs")</f>
        <v>Lunar New Year Dragon Legs</v>
      </c>
      <c r="B719" s="49"/>
      <c r="C719" s="49" t="str">
        <f>IFERROR(__xludf.DUMMYFUNCTION("""COMPUTED_VALUE"""),"Item")</f>
        <v>Item</v>
      </c>
      <c r="D719" s="49" t="str">
        <f>IFERROR(__xludf.DUMMYFUNCTION("""COMPUTED_VALUE"""),"Legs")</f>
        <v>Legs</v>
      </c>
      <c r="E719" s="49">
        <f>IFERROR(__xludf.DUMMYFUNCTION("""COMPUTED_VALUE"""),200.0)</f>
        <v>200</v>
      </c>
      <c r="F719" s="49" t="str">
        <f>IFERROR(__xludf.DUMMYFUNCTION("""COMPUTED_VALUE"""),"DEF: +25000, Fire DEF: +25000, Celestial DEF: +25000 ++X2 additional Fire Damage.")</f>
        <v>DEF: +25000, Fire DEF: +25000, Celestial DEF: +25000 ++X2 additional Fire Damage.</v>
      </c>
      <c r="G719" s="49">
        <f>IFERROR(__xludf.DUMMYFUNCTION("""COMPUTED_VALUE"""),1.1175E8)</f>
        <v>111750000</v>
      </c>
      <c r="H719" s="49"/>
      <c r="I719" s="49"/>
      <c r="J719" s="49"/>
      <c r="K719" s="49"/>
      <c r="L719" s="49"/>
      <c r="M719" s="49"/>
      <c r="N719" s="49"/>
      <c r="O719" s="49"/>
      <c r="P719" s="49"/>
      <c r="Q719" s="49"/>
      <c r="R719" s="49"/>
      <c r="S719" s="49"/>
      <c r="T719" s="49"/>
      <c r="U719" s="49"/>
      <c r="V719" s="49"/>
      <c r="W719" s="49"/>
      <c r="X719" s="49"/>
      <c r="Y719" s="49"/>
      <c r="Z719" s="49"/>
    </row>
    <row r="720">
      <c r="A720" s="49" t="str">
        <f>IFERROR(__xludf.DUMMYFUNCTION("""COMPUTED_VALUE"""),"Lunar New Year Dragon Feet")</f>
        <v>Lunar New Year Dragon Feet</v>
      </c>
      <c r="B720" s="49"/>
      <c r="C720" s="49" t="str">
        <f>IFERROR(__xludf.DUMMYFUNCTION("""COMPUTED_VALUE"""),"Item")</f>
        <v>Item</v>
      </c>
      <c r="D720" s="49" t="str">
        <f>IFERROR(__xludf.DUMMYFUNCTION("""COMPUTED_VALUE"""),"Feet")</f>
        <v>Feet</v>
      </c>
      <c r="E720" s="49">
        <f>IFERROR(__xludf.DUMMYFUNCTION("""COMPUTED_VALUE"""),200.0)</f>
        <v>200</v>
      </c>
      <c r="F720" s="49" t="str">
        <f>IFERROR(__xludf.DUMMYFUNCTION("""COMPUTED_VALUE"""),"DEF: +25000, Fire DEF: +25000, Celestial DEF: +25000 ++X2 additional Fire Damage.")</f>
        <v>DEF: +25000, Fire DEF: +25000, Celestial DEF: +25000 ++X2 additional Fire Damage.</v>
      </c>
      <c r="G720" s="49">
        <f>IFERROR(__xludf.DUMMYFUNCTION("""COMPUTED_VALUE"""),1.1175E8)</f>
        <v>111750000</v>
      </c>
      <c r="H720" s="49"/>
      <c r="I720" s="49"/>
      <c r="J720" s="49"/>
      <c r="K720" s="49"/>
      <c r="L720" s="49"/>
      <c r="M720" s="49"/>
      <c r="N720" s="49"/>
      <c r="O720" s="49"/>
      <c r="P720" s="49"/>
      <c r="Q720" s="49"/>
      <c r="R720" s="49"/>
      <c r="S720" s="49"/>
      <c r="T720" s="49"/>
      <c r="U720" s="49"/>
      <c r="V720" s="49"/>
      <c r="W720" s="49"/>
      <c r="X720" s="49"/>
      <c r="Y720" s="49"/>
      <c r="Z720" s="49"/>
    </row>
    <row r="721">
      <c r="A721" s="49" t="str">
        <f>IFERROR(__xludf.DUMMYFUNCTION("""COMPUTED_VALUE"""),"Spirit Blade")</f>
        <v>Spirit Blade</v>
      </c>
      <c r="B721" s="49"/>
      <c r="C721" s="49" t="str">
        <f>IFERROR(__xludf.DUMMYFUNCTION("""COMPUTED_VALUE"""),"Sword")</f>
        <v>Sword</v>
      </c>
      <c r="D721" s="49" t="str">
        <f>IFERROR(__xludf.DUMMYFUNCTION("""COMPUTED_VALUE"""),"Hand")</f>
        <v>Hand</v>
      </c>
      <c r="E721" s="49">
        <f>IFERROR(__xludf.DUMMYFUNCTION("""COMPUTED_VALUE"""),600.0)</f>
        <v>600</v>
      </c>
      <c r="F721" s="49" t="str">
        <f>IFERROR(__xludf.DUMMYFUNCTION("""COMPUTED_VALUE"""),"DMG: +20000, Light DMG: +10000")</f>
        <v>DMG: +20000, Light DMG: +10000</v>
      </c>
      <c r="G721" s="49">
        <f>IFERROR(__xludf.DUMMYFUNCTION("""COMPUTED_VALUE"""),1.77E7)</f>
        <v>17700000</v>
      </c>
      <c r="H721" s="49"/>
      <c r="I721" s="49"/>
      <c r="J721" s="49"/>
      <c r="K721" s="49"/>
      <c r="L721" s="49"/>
      <c r="M721" s="49"/>
      <c r="N721" s="49"/>
      <c r="O721" s="49"/>
      <c r="P721" s="49"/>
      <c r="Q721" s="49"/>
      <c r="R721" s="49"/>
      <c r="S721" s="49"/>
      <c r="T721" s="49"/>
      <c r="U721" s="49"/>
      <c r="V721" s="49"/>
      <c r="W721" s="49"/>
      <c r="X721" s="49"/>
      <c r="Y721" s="49"/>
      <c r="Z721" s="49"/>
    </row>
    <row r="722">
      <c r="A722" s="49" t="str">
        <f>IFERROR(__xludf.DUMMYFUNCTION("""COMPUTED_VALUE"""),"Spirit Shield")</f>
        <v>Spirit Shield</v>
      </c>
      <c r="B722" s="49"/>
      <c r="C722" s="49" t="str">
        <f>IFERROR(__xludf.DUMMYFUNCTION("""COMPUTED_VALUE"""),"Buckler")</f>
        <v>Buckler</v>
      </c>
      <c r="D722" s="49" t="str">
        <f>IFERROR(__xludf.DUMMYFUNCTION("""COMPUTED_VALUE"""),"Hand")</f>
        <v>Hand</v>
      </c>
      <c r="E722" s="49">
        <f>IFERROR(__xludf.DUMMYFUNCTION("""COMPUTED_VALUE"""),600.0)</f>
        <v>600</v>
      </c>
      <c r="F722" s="49" t="str">
        <f>IFERROR(__xludf.DUMMYFUNCTION("""COMPUTED_VALUE"""),"DEF: +20000, Light DEF: +10000")</f>
        <v>DEF: +20000, Light DEF: +10000</v>
      </c>
      <c r="G722" s="49">
        <f>IFERROR(__xludf.DUMMYFUNCTION("""COMPUTED_VALUE"""),1.77E7)</f>
        <v>17700000</v>
      </c>
      <c r="H722" s="49"/>
      <c r="I722" s="49"/>
      <c r="J722" s="49"/>
      <c r="K722" s="49"/>
      <c r="L722" s="49"/>
      <c r="M722" s="49"/>
      <c r="N722" s="49"/>
      <c r="O722" s="49"/>
      <c r="P722" s="49"/>
      <c r="Q722" s="49"/>
      <c r="R722" s="49"/>
      <c r="S722" s="49"/>
      <c r="T722" s="49"/>
      <c r="U722" s="49"/>
      <c r="V722" s="49"/>
      <c r="W722" s="49"/>
      <c r="X722" s="49"/>
      <c r="Y722" s="49"/>
      <c r="Z722" s="49"/>
    </row>
    <row r="723">
      <c r="A723" s="49" t="str">
        <f>IFERROR(__xludf.DUMMYFUNCTION("""COMPUTED_VALUE"""),"Mage's Hood")</f>
        <v>Mage's Hood</v>
      </c>
      <c r="B723" s="49"/>
      <c r="C723" s="49" t="str">
        <f>IFERROR(__xludf.DUMMYFUNCTION("""COMPUTED_VALUE"""),"Item")</f>
        <v>Item</v>
      </c>
      <c r="D723" s="49" t="str">
        <f>IFERROR(__xludf.DUMMYFUNCTION("""COMPUTED_VALUE"""),"Head")</f>
        <v>Head</v>
      </c>
      <c r="E723" s="49">
        <f>IFERROR(__xludf.DUMMYFUNCTION("""COMPUTED_VALUE"""),1.0)</f>
        <v>1</v>
      </c>
      <c r="F723" s="49" t="str">
        <f>IFERROR(__xludf.DUMMYFUNCTION("""COMPUTED_VALUE""")," ++5000 additional HP and SP. ++Plus 2 Wisdom. +-Cannot be forged. +-Cannot be duplicateed.")</f>
        <v> ++5000 additional HP and SP. ++Plus 2 Wisdom. +-Cannot be forged. +-Cannot be duplicateed.</v>
      </c>
      <c r="G723" s="49">
        <f>IFERROR(__xludf.DUMMYFUNCTION("""COMPUTED_VALUE"""),0.0)</f>
        <v>0</v>
      </c>
      <c r="H723" s="49"/>
      <c r="I723" s="49"/>
      <c r="J723" s="49"/>
      <c r="K723" s="49"/>
      <c r="L723" s="49"/>
      <c r="M723" s="49"/>
      <c r="N723" s="49"/>
      <c r="O723" s="49"/>
      <c r="P723" s="49"/>
      <c r="Q723" s="49"/>
      <c r="R723" s="49"/>
      <c r="S723" s="49"/>
      <c r="T723" s="49"/>
      <c r="U723" s="49"/>
      <c r="V723" s="49"/>
      <c r="W723" s="49"/>
      <c r="X723" s="49"/>
      <c r="Y723" s="49"/>
      <c r="Z723" s="49"/>
    </row>
    <row r="724">
      <c r="A724" s="49" t="str">
        <f>IFERROR(__xludf.DUMMYFUNCTION("""COMPUTED_VALUE"""),"Mage's Cloak")</f>
        <v>Mage's Cloak</v>
      </c>
      <c r="B724" s="49"/>
      <c r="C724" s="49" t="str">
        <f>IFERROR(__xludf.DUMMYFUNCTION("""COMPUTED_VALUE"""),"Item")</f>
        <v>Item</v>
      </c>
      <c r="D724" s="49" t="str">
        <f>IFERROR(__xludf.DUMMYFUNCTION("""COMPUTED_VALUE"""),"Torso")</f>
        <v>Torso</v>
      </c>
      <c r="E724" s="49">
        <f>IFERROR(__xludf.DUMMYFUNCTION("""COMPUTED_VALUE"""),1.0)</f>
        <v>1</v>
      </c>
      <c r="F724" s="49" t="str">
        <f>IFERROR(__xludf.DUMMYFUNCTION("""COMPUTED_VALUE""")," ++5000 additional HP and SP. ++Plus 2 Wisdom. +-Cannot be forged. +-Cannot be duplicateed.")</f>
        <v> ++5000 additional HP and SP. ++Plus 2 Wisdom. +-Cannot be forged. +-Cannot be duplicateed.</v>
      </c>
      <c r="G724" s="49">
        <f>IFERROR(__xludf.DUMMYFUNCTION("""COMPUTED_VALUE"""),0.0)</f>
        <v>0</v>
      </c>
      <c r="H724" s="49"/>
      <c r="I724" s="49"/>
      <c r="J724" s="49"/>
      <c r="K724" s="49"/>
      <c r="L724" s="49"/>
      <c r="M724" s="49"/>
      <c r="N724" s="49"/>
      <c r="O724" s="49"/>
      <c r="P724" s="49"/>
      <c r="Q724" s="49"/>
      <c r="R724" s="49"/>
      <c r="S724" s="49"/>
      <c r="T724" s="49"/>
      <c r="U724" s="49"/>
      <c r="V724" s="49"/>
      <c r="W724" s="49"/>
      <c r="X724" s="49"/>
      <c r="Y724" s="49"/>
      <c r="Z724" s="49"/>
    </row>
    <row r="725">
      <c r="A725" s="49" t="str">
        <f>IFERROR(__xludf.DUMMYFUNCTION("""COMPUTED_VALUE"""),"Mage's Shoes")</f>
        <v>Mage's Shoes</v>
      </c>
      <c r="B725" s="49"/>
      <c r="C725" s="49" t="str">
        <f>IFERROR(__xludf.DUMMYFUNCTION("""COMPUTED_VALUE"""),"Item")</f>
        <v>Item</v>
      </c>
      <c r="D725" s="49" t="str">
        <f>IFERROR(__xludf.DUMMYFUNCTION("""COMPUTED_VALUE"""),"Feet")</f>
        <v>Feet</v>
      </c>
      <c r="E725" s="49">
        <f>IFERROR(__xludf.DUMMYFUNCTION("""COMPUTED_VALUE"""),1.0)</f>
        <v>1</v>
      </c>
      <c r="F725" s="49" t="str">
        <f>IFERROR(__xludf.DUMMYFUNCTION("""COMPUTED_VALUE""")," ++5000 additional HP and SP. ++Plus 1 Wisdom. +-Cannot be forged. +-Cannot be duplicateed.")</f>
        <v> ++5000 additional HP and SP. ++Plus 1 Wisdom. +-Cannot be forged. +-Cannot be duplicateed.</v>
      </c>
      <c r="G725" s="49">
        <f>IFERROR(__xludf.DUMMYFUNCTION("""COMPUTED_VALUE"""),0.0)</f>
        <v>0</v>
      </c>
      <c r="H725" s="49"/>
      <c r="I725" s="49"/>
      <c r="J725" s="49"/>
      <c r="K725" s="49"/>
      <c r="L725" s="49"/>
      <c r="M725" s="49"/>
      <c r="N725" s="49"/>
      <c r="O725" s="49"/>
      <c r="P725" s="49"/>
      <c r="Q725" s="49"/>
      <c r="R725" s="49"/>
      <c r="S725" s="49"/>
      <c r="T725" s="49"/>
      <c r="U725" s="49"/>
      <c r="V725" s="49"/>
      <c r="W725" s="49"/>
      <c r="X725" s="49"/>
      <c r="Y725" s="49"/>
      <c r="Z725" s="49"/>
    </row>
    <row r="726">
      <c r="A726" s="49" t="str">
        <f>IFERROR(__xludf.DUMMYFUNCTION("""COMPUTED_VALUE"""),"Sorcerer's Hood")</f>
        <v>Sorcerer's Hood</v>
      </c>
      <c r="B726" s="49"/>
      <c r="C726" s="49" t="str">
        <f>IFERROR(__xludf.DUMMYFUNCTION("""COMPUTED_VALUE"""),"Item")</f>
        <v>Item</v>
      </c>
      <c r="D726" s="49" t="str">
        <f>IFERROR(__xludf.DUMMYFUNCTION("""COMPUTED_VALUE"""),"Head")</f>
        <v>Head</v>
      </c>
      <c r="E726" s="49">
        <f>IFERROR(__xludf.DUMMYFUNCTION("""COMPUTED_VALUE"""),1.0)</f>
        <v>1</v>
      </c>
      <c r="F726" s="49" t="str">
        <f>IFERROR(__xludf.DUMMYFUNCTION("""COMPUTED_VALUE""")," ++2500 additional HP and SP. ++Plus 2 Wisdom. +-Cannot be forged. +-Cannot be duplicateed.")</f>
        <v> ++2500 additional HP and SP. ++Plus 2 Wisdom. +-Cannot be forged. +-Cannot be duplicateed.</v>
      </c>
      <c r="G726" s="49">
        <f>IFERROR(__xludf.DUMMYFUNCTION("""COMPUTED_VALUE"""),0.0)</f>
        <v>0</v>
      </c>
      <c r="H726" s="49"/>
      <c r="I726" s="49"/>
      <c r="J726" s="49"/>
      <c r="K726" s="49"/>
      <c r="L726" s="49"/>
      <c r="M726" s="49"/>
      <c r="N726" s="49"/>
      <c r="O726" s="49"/>
      <c r="P726" s="49"/>
      <c r="Q726" s="49"/>
      <c r="R726" s="49"/>
      <c r="S726" s="49"/>
      <c r="T726" s="49"/>
      <c r="U726" s="49"/>
      <c r="V726" s="49"/>
      <c r="W726" s="49"/>
      <c r="X726" s="49"/>
      <c r="Y726" s="49"/>
      <c r="Z726" s="49"/>
    </row>
    <row r="727">
      <c r="A727" s="49" t="str">
        <f>IFERROR(__xludf.DUMMYFUNCTION("""COMPUTED_VALUE"""),"Sorcerer's Cloak")</f>
        <v>Sorcerer's Cloak</v>
      </c>
      <c r="B727" s="49"/>
      <c r="C727" s="49" t="str">
        <f>IFERROR(__xludf.DUMMYFUNCTION("""COMPUTED_VALUE"""),"Item")</f>
        <v>Item</v>
      </c>
      <c r="D727" s="49" t="str">
        <f>IFERROR(__xludf.DUMMYFUNCTION("""COMPUTED_VALUE"""),"Torso")</f>
        <v>Torso</v>
      </c>
      <c r="E727" s="49">
        <f>IFERROR(__xludf.DUMMYFUNCTION("""COMPUTED_VALUE"""),1.0)</f>
        <v>1</v>
      </c>
      <c r="F727" s="49" t="str">
        <f>IFERROR(__xludf.DUMMYFUNCTION("""COMPUTED_VALUE""")," ++2500 additional HP and SP. ++Plus 2 Wisdom. +-Cannot be forged. +-Cannot be duplicateed.")</f>
        <v> ++2500 additional HP and SP. ++Plus 2 Wisdom. +-Cannot be forged. +-Cannot be duplicateed.</v>
      </c>
      <c r="G727" s="49">
        <f>IFERROR(__xludf.DUMMYFUNCTION("""COMPUTED_VALUE"""),0.0)</f>
        <v>0</v>
      </c>
      <c r="H727" s="49"/>
      <c r="I727" s="49"/>
      <c r="J727" s="49"/>
      <c r="K727" s="49"/>
      <c r="L727" s="49"/>
      <c r="M727" s="49"/>
      <c r="N727" s="49"/>
      <c r="O727" s="49"/>
      <c r="P727" s="49"/>
      <c r="Q727" s="49"/>
      <c r="R727" s="49"/>
      <c r="S727" s="49"/>
      <c r="T727" s="49"/>
      <c r="U727" s="49"/>
      <c r="V727" s="49"/>
      <c r="W727" s="49"/>
      <c r="X727" s="49"/>
      <c r="Y727" s="49"/>
      <c r="Z727" s="49"/>
    </row>
    <row r="728">
      <c r="A728" s="49" t="str">
        <f>IFERROR(__xludf.DUMMYFUNCTION("""COMPUTED_VALUE"""),"Sorcerer's Shoes")</f>
        <v>Sorcerer's Shoes</v>
      </c>
      <c r="B728" s="49"/>
      <c r="C728" s="49" t="str">
        <f>IFERROR(__xludf.DUMMYFUNCTION("""COMPUTED_VALUE"""),"Item")</f>
        <v>Item</v>
      </c>
      <c r="D728" s="49" t="str">
        <f>IFERROR(__xludf.DUMMYFUNCTION("""COMPUTED_VALUE"""),"Feet")</f>
        <v>Feet</v>
      </c>
      <c r="E728" s="49">
        <f>IFERROR(__xludf.DUMMYFUNCTION("""COMPUTED_VALUE"""),1.0)</f>
        <v>1</v>
      </c>
      <c r="F728" s="49" t="str">
        <f>IFERROR(__xludf.DUMMYFUNCTION("""COMPUTED_VALUE""")," ++2500 additional HP and SP. ++Plus 1 Wisdom. +-Cannot be forged. +-Cannot be duplicateed.")</f>
        <v> ++2500 additional HP and SP. ++Plus 1 Wisdom. +-Cannot be forged. +-Cannot be duplicateed.</v>
      </c>
      <c r="G728" s="49">
        <f>IFERROR(__xludf.DUMMYFUNCTION("""COMPUTED_VALUE"""),0.0)</f>
        <v>0</v>
      </c>
      <c r="H728" s="49"/>
      <c r="I728" s="49"/>
      <c r="J728" s="49"/>
      <c r="K728" s="49"/>
      <c r="L728" s="49"/>
      <c r="M728" s="49"/>
      <c r="N728" s="49"/>
      <c r="O728" s="49"/>
      <c r="P728" s="49"/>
      <c r="Q728" s="49"/>
      <c r="R728" s="49"/>
      <c r="S728" s="49"/>
      <c r="T728" s="49"/>
      <c r="U728" s="49"/>
      <c r="V728" s="49"/>
      <c r="W728" s="49"/>
      <c r="X728" s="49"/>
      <c r="Y728" s="49"/>
      <c r="Z728" s="49"/>
    </row>
    <row r="729">
      <c r="A729" s="49" t="str">
        <f>IFERROR(__xludf.DUMMYFUNCTION("""COMPUTED_VALUE"""),"Wizard's Hood")</f>
        <v>Wizard's Hood</v>
      </c>
      <c r="B729" s="49"/>
      <c r="C729" s="49" t="str">
        <f>IFERROR(__xludf.DUMMYFUNCTION("""COMPUTED_VALUE"""),"Item")</f>
        <v>Item</v>
      </c>
      <c r="D729" s="49" t="str">
        <f>IFERROR(__xludf.DUMMYFUNCTION("""COMPUTED_VALUE"""),"Head")</f>
        <v>Head</v>
      </c>
      <c r="E729" s="49">
        <f>IFERROR(__xludf.DUMMYFUNCTION("""COMPUTED_VALUE"""),1.0)</f>
        <v>1</v>
      </c>
      <c r="F729" s="49" t="str">
        <f>IFERROR(__xludf.DUMMYFUNCTION("""COMPUTED_VALUE""")," ++1000 additional HP and SP. ++X2 Spell Damage. +-Cannot be forged. +-Cannot be duplicateed.")</f>
        <v> ++1000 additional HP and SP. ++X2 Spell Damage. +-Cannot be forged. +-Cannot be duplicateed.</v>
      </c>
      <c r="G729" s="49">
        <f>IFERROR(__xludf.DUMMYFUNCTION("""COMPUTED_VALUE"""),0.0)</f>
        <v>0</v>
      </c>
      <c r="H729" s="49"/>
      <c r="I729" s="49"/>
      <c r="J729" s="49"/>
      <c r="K729" s="49"/>
      <c r="L729" s="49"/>
      <c r="M729" s="49"/>
      <c r="N729" s="49"/>
      <c r="O729" s="49"/>
      <c r="P729" s="49"/>
      <c r="Q729" s="49"/>
      <c r="R729" s="49"/>
      <c r="S729" s="49"/>
      <c r="T729" s="49"/>
      <c r="U729" s="49"/>
      <c r="V729" s="49"/>
      <c r="W729" s="49"/>
      <c r="X729" s="49"/>
      <c r="Y729" s="49"/>
      <c r="Z729" s="49"/>
    </row>
    <row r="730">
      <c r="A730" s="49" t="str">
        <f>IFERROR(__xludf.DUMMYFUNCTION("""COMPUTED_VALUE"""),"Wizard's Cloak")</f>
        <v>Wizard's Cloak</v>
      </c>
      <c r="B730" s="49"/>
      <c r="C730" s="49" t="str">
        <f>IFERROR(__xludf.DUMMYFUNCTION("""COMPUTED_VALUE"""),"Item")</f>
        <v>Item</v>
      </c>
      <c r="D730" s="49" t="str">
        <f>IFERROR(__xludf.DUMMYFUNCTION("""COMPUTED_VALUE"""),"Torso")</f>
        <v>Torso</v>
      </c>
      <c r="E730" s="49">
        <f>IFERROR(__xludf.DUMMYFUNCTION("""COMPUTED_VALUE"""),1.0)</f>
        <v>1</v>
      </c>
      <c r="F730" s="49" t="str">
        <f>IFERROR(__xludf.DUMMYFUNCTION("""COMPUTED_VALUE""")," ++1000 additional HP and SP. ++X2 Spell Damage. +-Cannot be forged. +-Cannot be duplicateed.")</f>
        <v> ++1000 additional HP and SP. ++X2 Spell Damage. +-Cannot be forged. +-Cannot be duplicateed.</v>
      </c>
      <c r="G730" s="49">
        <f>IFERROR(__xludf.DUMMYFUNCTION("""COMPUTED_VALUE"""),0.0)</f>
        <v>0</v>
      </c>
      <c r="H730" s="49"/>
      <c r="I730" s="49"/>
      <c r="J730" s="49"/>
      <c r="K730" s="49"/>
      <c r="L730" s="49"/>
      <c r="M730" s="49"/>
      <c r="N730" s="49"/>
      <c r="O730" s="49"/>
      <c r="P730" s="49"/>
      <c r="Q730" s="49"/>
      <c r="R730" s="49"/>
      <c r="S730" s="49"/>
      <c r="T730" s="49"/>
      <c r="U730" s="49"/>
      <c r="V730" s="49"/>
      <c r="W730" s="49"/>
      <c r="X730" s="49"/>
      <c r="Y730" s="49"/>
      <c r="Z730" s="49"/>
    </row>
    <row r="731">
      <c r="A731" s="49" t="str">
        <f>IFERROR(__xludf.DUMMYFUNCTION("""COMPUTED_VALUE"""),"Wizard's Shoes")</f>
        <v>Wizard's Shoes</v>
      </c>
      <c r="B731" s="49"/>
      <c r="C731" s="49" t="str">
        <f>IFERROR(__xludf.DUMMYFUNCTION("""COMPUTED_VALUE"""),"Item")</f>
        <v>Item</v>
      </c>
      <c r="D731" s="49" t="str">
        <f>IFERROR(__xludf.DUMMYFUNCTION("""COMPUTED_VALUE"""),"Feet")</f>
        <v>Feet</v>
      </c>
      <c r="E731" s="49">
        <f>IFERROR(__xludf.DUMMYFUNCTION("""COMPUTED_VALUE"""),1.0)</f>
        <v>1</v>
      </c>
      <c r="F731" s="49" t="str">
        <f>IFERROR(__xludf.DUMMYFUNCTION("""COMPUTED_VALUE""")," ++1000 additional HP and SP. ++X2 Spell Damage. +-Cannot be forged. +-Cannot be duplicateed.")</f>
        <v> ++1000 additional HP and SP. ++X2 Spell Damage. +-Cannot be forged. +-Cannot be duplicateed.</v>
      </c>
      <c r="G731" s="49">
        <f>IFERROR(__xludf.DUMMYFUNCTION("""COMPUTED_VALUE"""),0.0)</f>
        <v>0</v>
      </c>
      <c r="H731" s="49"/>
      <c r="I731" s="49"/>
      <c r="J731" s="49"/>
      <c r="K731" s="49"/>
      <c r="L731" s="49"/>
      <c r="M731" s="49"/>
      <c r="N731" s="49"/>
      <c r="O731" s="49"/>
      <c r="P731" s="49"/>
      <c r="Q731" s="49"/>
      <c r="R731" s="49"/>
      <c r="S731" s="49"/>
      <c r="T731" s="49"/>
      <c r="U731" s="49"/>
      <c r="V731" s="49"/>
      <c r="W731" s="49"/>
      <c r="X731" s="49"/>
      <c r="Y731" s="49"/>
      <c r="Z731" s="49"/>
    </row>
    <row r="732">
      <c r="A732" s="49" t="str">
        <f>IFERROR(__xludf.DUMMYFUNCTION("""COMPUTED_VALUE"""),"Gunslinger's Cap")</f>
        <v>Gunslinger's Cap</v>
      </c>
      <c r="B732" s="49"/>
      <c r="C732" s="49" t="str">
        <f>IFERROR(__xludf.DUMMYFUNCTION("""COMPUTED_VALUE"""),"Item")</f>
        <v>Item</v>
      </c>
      <c r="D732" s="49" t="str">
        <f>IFERROR(__xludf.DUMMYFUNCTION("""COMPUTED_VALUE"""),"Head")</f>
        <v>Head</v>
      </c>
      <c r="E732" s="49">
        <f>IFERROR(__xludf.DUMMYFUNCTION("""COMPUTED_VALUE"""),1.0)</f>
        <v>1</v>
      </c>
      <c r="F732" s="49" t="str">
        <f>IFERROR(__xludf.DUMMYFUNCTION("""COMPUTED_VALUE""")," ++10,000 ACC and ATK. ++2 Mobility +-Cannot be forged or duplicated")</f>
        <v> ++10,000 ACC and ATK. ++2 Mobility +-Cannot be forged or duplicated</v>
      </c>
      <c r="G732" s="49">
        <f>IFERROR(__xludf.DUMMYFUNCTION("""COMPUTED_VALUE"""),0.0)</f>
        <v>0</v>
      </c>
      <c r="H732" s="49"/>
      <c r="I732" s="49"/>
      <c r="J732" s="49"/>
      <c r="K732" s="49"/>
      <c r="L732" s="49"/>
      <c r="M732" s="49"/>
      <c r="N732" s="49"/>
      <c r="O732" s="49"/>
      <c r="P732" s="49"/>
      <c r="Q732" s="49"/>
      <c r="R732" s="49"/>
      <c r="S732" s="49"/>
      <c r="T732" s="49"/>
      <c r="U732" s="49"/>
      <c r="V732" s="49"/>
      <c r="W732" s="49"/>
      <c r="X732" s="49"/>
      <c r="Y732" s="49"/>
      <c r="Z732" s="49"/>
    </row>
    <row r="733">
      <c r="A733" s="49" t="str">
        <f>IFERROR(__xludf.DUMMYFUNCTION("""COMPUTED_VALUE"""),"Gunslinger's Shirt")</f>
        <v>Gunslinger's Shirt</v>
      </c>
      <c r="B733" s="49"/>
      <c r="C733" s="49" t="str">
        <f>IFERROR(__xludf.DUMMYFUNCTION("""COMPUTED_VALUE"""),"Item")</f>
        <v>Item</v>
      </c>
      <c r="D733" s="49" t="str">
        <f>IFERROR(__xludf.DUMMYFUNCTION("""COMPUTED_VALUE"""),"Torso")</f>
        <v>Torso</v>
      </c>
      <c r="E733" s="49">
        <f>IFERROR(__xludf.DUMMYFUNCTION("""COMPUTED_VALUE"""),1.0)</f>
        <v>1</v>
      </c>
      <c r="F733" s="49" t="str">
        <f>IFERROR(__xludf.DUMMYFUNCTION("""COMPUTED_VALUE""")," ++10,000 ACC and ATK. ++2 Mobility +-Cannot be forged or duplicated")</f>
        <v> ++10,000 ACC and ATK. ++2 Mobility +-Cannot be forged or duplicated</v>
      </c>
      <c r="G733" s="49">
        <f>IFERROR(__xludf.DUMMYFUNCTION("""COMPUTED_VALUE"""),0.0)</f>
        <v>0</v>
      </c>
      <c r="H733" s="49"/>
      <c r="I733" s="49"/>
      <c r="J733" s="49"/>
      <c r="K733" s="49"/>
      <c r="L733" s="49"/>
      <c r="M733" s="49"/>
      <c r="N733" s="49"/>
      <c r="O733" s="49"/>
      <c r="P733" s="49"/>
      <c r="Q733" s="49"/>
      <c r="R733" s="49"/>
      <c r="S733" s="49"/>
      <c r="T733" s="49"/>
      <c r="U733" s="49"/>
      <c r="V733" s="49"/>
      <c r="W733" s="49"/>
      <c r="X733" s="49"/>
      <c r="Y733" s="49"/>
      <c r="Z733" s="49"/>
    </row>
    <row r="734">
      <c r="A734" s="49" t="str">
        <f>IFERROR(__xludf.DUMMYFUNCTION("""COMPUTED_VALUE"""),"Gunslinger's Boots")</f>
        <v>Gunslinger's Boots</v>
      </c>
      <c r="B734" s="49"/>
      <c r="C734" s="49" t="str">
        <f>IFERROR(__xludf.DUMMYFUNCTION("""COMPUTED_VALUE"""),"Item")</f>
        <v>Item</v>
      </c>
      <c r="D734" s="49" t="str">
        <f>IFERROR(__xludf.DUMMYFUNCTION("""COMPUTED_VALUE"""),"Feet")</f>
        <v>Feet</v>
      </c>
      <c r="E734" s="49">
        <f>IFERROR(__xludf.DUMMYFUNCTION("""COMPUTED_VALUE"""),1.0)</f>
        <v>1</v>
      </c>
      <c r="F734" s="49" t="str">
        <f>IFERROR(__xludf.DUMMYFUNCTION("""COMPUTED_VALUE""")," ++10,000 ACC and ATK. ++1 Mobility +-Cannot be forged or duplicated")</f>
        <v> ++10,000 ACC and ATK. ++1 Mobility +-Cannot be forged or duplicated</v>
      </c>
      <c r="G734" s="49">
        <f>IFERROR(__xludf.DUMMYFUNCTION("""COMPUTED_VALUE"""),0.0)</f>
        <v>0</v>
      </c>
      <c r="H734" s="49"/>
      <c r="I734" s="49"/>
      <c r="J734" s="49"/>
      <c r="K734" s="49"/>
      <c r="L734" s="49"/>
      <c r="M734" s="49"/>
      <c r="N734" s="49"/>
      <c r="O734" s="49"/>
      <c r="P734" s="49"/>
      <c r="Q734" s="49"/>
      <c r="R734" s="49"/>
      <c r="S734" s="49"/>
      <c r="T734" s="49"/>
      <c r="U734" s="49"/>
      <c r="V734" s="49"/>
      <c r="W734" s="49"/>
      <c r="X734" s="49"/>
      <c r="Y734" s="49"/>
      <c r="Z734" s="49"/>
    </row>
    <row r="735">
      <c r="A735" s="49" t="str">
        <f>IFERROR(__xludf.DUMMYFUNCTION("""COMPUTED_VALUE"""),"Bard's Coif")</f>
        <v>Bard's Coif</v>
      </c>
      <c r="B735" s="49"/>
      <c r="C735" s="49" t="str">
        <f>IFERROR(__xludf.DUMMYFUNCTION("""COMPUTED_VALUE"""),"Item")</f>
        <v>Item</v>
      </c>
      <c r="D735" s="49" t="str">
        <f>IFERROR(__xludf.DUMMYFUNCTION("""COMPUTED_VALUE"""),"Head")</f>
        <v>Head</v>
      </c>
      <c r="E735" s="49">
        <f>IFERROR(__xludf.DUMMYFUNCTION("""COMPUTED_VALUE"""),1.0)</f>
        <v>1</v>
      </c>
      <c r="F735" s="49" t="str">
        <f>IFERROR(__xludf.DUMMYFUNCTION("""COMPUTED_VALUE""")," ++10,000 ACC and ATK. ++2 Charisma +-Cannot be forged or duplicated")</f>
        <v> ++10,000 ACC and ATK. ++2 Charisma +-Cannot be forged or duplicated</v>
      </c>
      <c r="G735" s="49">
        <f>IFERROR(__xludf.DUMMYFUNCTION("""COMPUTED_VALUE"""),0.0)</f>
        <v>0</v>
      </c>
      <c r="H735" s="49"/>
      <c r="I735" s="49"/>
      <c r="J735" s="49"/>
      <c r="K735" s="49"/>
      <c r="L735" s="49"/>
      <c r="M735" s="49"/>
      <c r="N735" s="49"/>
      <c r="O735" s="49"/>
      <c r="P735" s="49"/>
      <c r="Q735" s="49"/>
      <c r="R735" s="49"/>
      <c r="S735" s="49"/>
      <c r="T735" s="49"/>
      <c r="U735" s="49"/>
      <c r="V735" s="49"/>
      <c r="W735" s="49"/>
      <c r="X735" s="49"/>
      <c r="Y735" s="49"/>
      <c r="Z735" s="49"/>
    </row>
    <row r="736">
      <c r="A736" s="49" t="str">
        <f>IFERROR(__xludf.DUMMYFUNCTION("""COMPUTED_VALUE"""),"Bard's Gambeson")</f>
        <v>Bard's Gambeson</v>
      </c>
      <c r="B736" s="49"/>
      <c r="C736" s="49" t="str">
        <f>IFERROR(__xludf.DUMMYFUNCTION("""COMPUTED_VALUE"""),"Item")</f>
        <v>Item</v>
      </c>
      <c r="D736" s="49" t="str">
        <f>IFERROR(__xludf.DUMMYFUNCTION("""COMPUTED_VALUE"""),"Torso")</f>
        <v>Torso</v>
      </c>
      <c r="E736" s="49">
        <f>IFERROR(__xludf.DUMMYFUNCTION("""COMPUTED_VALUE"""),1.0)</f>
        <v>1</v>
      </c>
      <c r="F736" s="49" t="str">
        <f>IFERROR(__xludf.DUMMYFUNCTION("""COMPUTED_VALUE""")," ++10,000 ACC and ATK. ++2 Charisma +-Cannot be forged or duplicated")</f>
        <v> ++10,000 ACC and ATK. ++2 Charisma +-Cannot be forged or duplicated</v>
      </c>
      <c r="G736" s="49">
        <f>IFERROR(__xludf.DUMMYFUNCTION("""COMPUTED_VALUE"""),0.0)</f>
        <v>0</v>
      </c>
      <c r="H736" s="49"/>
      <c r="I736" s="49"/>
      <c r="J736" s="49"/>
      <c r="K736" s="49"/>
      <c r="L736" s="49"/>
      <c r="M736" s="49"/>
      <c r="N736" s="49"/>
      <c r="O736" s="49"/>
      <c r="P736" s="49"/>
      <c r="Q736" s="49"/>
      <c r="R736" s="49"/>
      <c r="S736" s="49"/>
      <c r="T736" s="49"/>
      <c r="U736" s="49"/>
      <c r="V736" s="49"/>
      <c r="W736" s="49"/>
      <c r="X736" s="49"/>
      <c r="Y736" s="49"/>
      <c r="Z736" s="49"/>
    </row>
    <row r="737">
      <c r="A737" s="49" t="str">
        <f>IFERROR(__xludf.DUMMYFUNCTION("""COMPUTED_VALUE"""),"Bard's Shoes")</f>
        <v>Bard's Shoes</v>
      </c>
      <c r="B737" s="49"/>
      <c r="C737" s="49" t="str">
        <f>IFERROR(__xludf.DUMMYFUNCTION("""COMPUTED_VALUE"""),"Item")</f>
        <v>Item</v>
      </c>
      <c r="D737" s="49" t="str">
        <f>IFERROR(__xludf.DUMMYFUNCTION("""COMPUTED_VALUE"""),"Feet")</f>
        <v>Feet</v>
      </c>
      <c r="E737" s="49">
        <f>IFERROR(__xludf.DUMMYFUNCTION("""COMPUTED_VALUE"""),1.0)</f>
        <v>1</v>
      </c>
      <c r="F737" s="49" t="str">
        <f>IFERROR(__xludf.DUMMYFUNCTION("""COMPUTED_VALUE""")," ++10,000 ACC and ATK. ++1 Charisma +-Cannot be forged or duplicated")</f>
        <v> ++10,000 ACC and ATK. ++1 Charisma +-Cannot be forged or duplicated</v>
      </c>
      <c r="G737" s="49">
        <f>IFERROR(__xludf.DUMMYFUNCTION("""COMPUTED_VALUE"""),0.0)</f>
        <v>0</v>
      </c>
      <c r="H737" s="49"/>
      <c r="I737" s="49"/>
      <c r="J737" s="49"/>
      <c r="K737" s="49"/>
      <c r="L737" s="49"/>
      <c r="M737" s="49"/>
      <c r="N737" s="49"/>
      <c r="O737" s="49"/>
      <c r="P737" s="49"/>
      <c r="Q737" s="49"/>
      <c r="R737" s="49"/>
      <c r="S737" s="49"/>
      <c r="T737" s="49"/>
      <c r="U737" s="49"/>
      <c r="V737" s="49"/>
      <c r="W737" s="49"/>
      <c r="X737" s="49"/>
      <c r="Y737" s="49"/>
      <c r="Z737" s="49"/>
    </row>
    <row r="738">
      <c r="A738" s="49" t="str">
        <f>IFERROR(__xludf.DUMMYFUNCTION("""COMPUTED_VALUE"""),"Dragonscale Skirt")</f>
        <v>Dragonscale Skirt</v>
      </c>
      <c r="B738" s="49"/>
      <c r="C738" s="49" t="str">
        <f>IFERROR(__xludf.DUMMYFUNCTION("""COMPUTED_VALUE"""),"Item")</f>
        <v>Item</v>
      </c>
      <c r="D738" s="49" t="str">
        <f>IFERROR(__xludf.DUMMYFUNCTION("""COMPUTED_VALUE"""),"Legs")</f>
        <v>Legs</v>
      </c>
      <c r="E738" s="49">
        <f>IFERROR(__xludf.DUMMYFUNCTION("""COMPUTED_VALUE"""),1.0)</f>
        <v>1</v>
      </c>
      <c r="F738" s="49" t="str">
        <f>IFERROR(__xludf.DUMMYFUNCTION("""COMPUTED_VALUE""")," ++7,000 additional HP and SP, ++2 Mobility +-Cannot be forged or duplicated")</f>
        <v> ++7,000 additional HP and SP, ++2 Mobility +-Cannot be forged or duplicated</v>
      </c>
      <c r="G738" s="49">
        <f>IFERROR(__xludf.DUMMYFUNCTION("""COMPUTED_VALUE"""),0.0)</f>
        <v>0</v>
      </c>
      <c r="H738" s="49"/>
      <c r="I738" s="49"/>
      <c r="J738" s="49"/>
      <c r="K738" s="49"/>
      <c r="L738" s="49"/>
      <c r="M738" s="49"/>
      <c r="N738" s="49"/>
      <c r="O738" s="49"/>
      <c r="P738" s="49"/>
      <c r="Q738" s="49"/>
      <c r="R738" s="49"/>
      <c r="S738" s="49"/>
      <c r="T738" s="49"/>
      <c r="U738" s="49"/>
      <c r="V738" s="49"/>
      <c r="W738" s="49"/>
      <c r="X738" s="49"/>
      <c r="Y738" s="49"/>
      <c r="Z738" s="49"/>
    </row>
    <row r="739">
      <c r="A739" s="49" t="str">
        <f>IFERROR(__xludf.DUMMYFUNCTION("""COMPUTED_VALUE"""),"Dragonscale Cape")</f>
        <v>Dragonscale Cape</v>
      </c>
      <c r="B739" s="49"/>
      <c r="C739" s="49" t="str">
        <f>IFERROR(__xludf.DUMMYFUNCTION("""COMPUTED_VALUE"""),"Item")</f>
        <v>Item</v>
      </c>
      <c r="D739" s="49" t="str">
        <f>IFERROR(__xludf.DUMMYFUNCTION("""COMPUTED_VALUE"""),"Shoulders")</f>
        <v>Shoulders</v>
      </c>
      <c r="E739" s="49">
        <f>IFERROR(__xludf.DUMMYFUNCTION("""COMPUTED_VALUE"""),1.0)</f>
        <v>1</v>
      </c>
      <c r="F739" s="49" t="str">
        <f>IFERROR(__xludf.DUMMYFUNCTION("""COMPUTED_VALUE""")," ++8,300 additional HP and SP, +-Cannot be forged or duplicated")</f>
        <v> ++8,300 additional HP and SP, +-Cannot be forged or duplicated</v>
      </c>
      <c r="G739" s="49">
        <f>IFERROR(__xludf.DUMMYFUNCTION("""COMPUTED_VALUE"""),0.0)</f>
        <v>0</v>
      </c>
      <c r="H739" s="49"/>
      <c r="I739" s="49"/>
      <c r="J739" s="49"/>
      <c r="K739" s="49"/>
      <c r="L739" s="49"/>
      <c r="M739" s="49"/>
      <c r="N739" s="49"/>
      <c r="O739" s="49"/>
      <c r="P739" s="49"/>
      <c r="Q739" s="49"/>
      <c r="R739" s="49"/>
      <c r="S739" s="49"/>
      <c r="T739" s="49"/>
      <c r="U739" s="49"/>
      <c r="V739" s="49"/>
      <c r="W739" s="49"/>
      <c r="X739" s="49"/>
      <c r="Y739" s="49"/>
      <c r="Z739" s="49"/>
    </row>
    <row r="740">
      <c r="A740" s="49" t="str">
        <f>IFERROR(__xludf.DUMMYFUNCTION("""COMPUTED_VALUE"""),"Broken Dragonscale Mail")</f>
        <v>Broken Dragonscale Mail</v>
      </c>
      <c r="B740" s="49"/>
      <c r="C740" s="49" t="str">
        <f>IFERROR(__xludf.DUMMYFUNCTION("""COMPUTED_VALUE"""),"Item")</f>
        <v>Item</v>
      </c>
      <c r="D740" s="49" t="str">
        <f>IFERROR(__xludf.DUMMYFUNCTION("""COMPUTED_VALUE"""),"Torso")</f>
        <v>Torso</v>
      </c>
      <c r="E740" s="49">
        <f>IFERROR(__xludf.DUMMYFUNCTION("""COMPUTED_VALUE"""),980.0)</f>
        <v>980</v>
      </c>
      <c r="F740" s="49" t="str">
        <f>IFERROR(__xludf.DUMMYFUNCTION("""COMPUTED_VALUE"""),"DEF: +48900 +-5% chance of breaking when wearer is attacked")</f>
        <v>DEF: +48900 +-5% chance of breaking when wearer is attacked</v>
      </c>
      <c r="G740" s="49">
        <f>IFERROR(__xludf.DUMMYFUNCTION("""COMPUTED_VALUE"""),4.656E7)</f>
        <v>46560000</v>
      </c>
      <c r="H740" s="49"/>
      <c r="I740" s="49"/>
      <c r="J740" s="49"/>
      <c r="K740" s="49"/>
      <c r="L740" s="49"/>
      <c r="M740" s="49"/>
      <c r="N740" s="49"/>
      <c r="O740" s="49"/>
      <c r="P740" s="49"/>
      <c r="Q740" s="49"/>
      <c r="R740" s="49"/>
      <c r="S740" s="49"/>
      <c r="T740" s="49"/>
      <c r="U740" s="49"/>
      <c r="V740" s="49"/>
      <c r="W740" s="49"/>
      <c r="X740" s="49"/>
      <c r="Y740" s="49"/>
      <c r="Z740" s="49"/>
    </row>
    <row r="741">
      <c r="A741" s="49" t="str">
        <f>IFERROR(__xludf.DUMMYFUNCTION("""COMPUTED_VALUE"""),"Dragonscale Mail")</f>
        <v>Dragonscale Mail</v>
      </c>
      <c r="B741" s="49"/>
      <c r="C741" s="49" t="str">
        <f>IFERROR(__xludf.DUMMYFUNCTION("""COMPUTED_VALUE"""),"Item")</f>
        <v>Item</v>
      </c>
      <c r="D741" s="49" t="str">
        <f>IFERROR(__xludf.DUMMYFUNCTION("""COMPUTED_VALUE"""),"Torso")</f>
        <v>Torso</v>
      </c>
      <c r="E741" s="49">
        <f>IFERROR(__xludf.DUMMYFUNCTION("""COMPUTED_VALUE"""),3000.0)</f>
        <v>3000</v>
      </c>
      <c r="F741" s="49" t="str">
        <f>IFERROR(__xludf.DUMMYFUNCTION("""COMPUTED_VALUE"""),"DEF: +150000")</f>
        <v>DEF: +150000</v>
      </c>
      <c r="G741" s="49">
        <f>IFERROR(__xludf.DUMMYFUNCTION("""COMPUTED_VALUE"""),4.485E8)</f>
        <v>448500000</v>
      </c>
      <c r="H741" s="49"/>
      <c r="I741" s="49"/>
      <c r="J741" s="49"/>
      <c r="K741" s="49"/>
      <c r="L741" s="49"/>
      <c r="M741" s="49"/>
      <c r="N741" s="49"/>
      <c r="O741" s="49"/>
      <c r="P741" s="49"/>
      <c r="Q741" s="49"/>
      <c r="R741" s="49"/>
      <c r="S741" s="49"/>
      <c r="T741" s="49"/>
      <c r="U741" s="49"/>
      <c r="V741" s="49"/>
      <c r="W741" s="49"/>
      <c r="X741" s="49"/>
      <c r="Y741" s="49"/>
      <c r="Z741" s="49"/>
    </row>
    <row r="742">
      <c r="A742" s="49" t="str">
        <f>IFERROR(__xludf.DUMMYFUNCTION("""COMPUTED_VALUE"""),"Dragonscale Charm")</f>
        <v>Dragonscale Charm</v>
      </c>
      <c r="B742" s="49"/>
      <c r="C742" s="49" t="str">
        <f>IFERROR(__xludf.DUMMYFUNCTION("""COMPUTED_VALUE"""),"Item")</f>
        <v>Item</v>
      </c>
      <c r="D742" s="49" t="str">
        <f>IFERROR(__xludf.DUMMYFUNCTION("""COMPUTED_VALUE"""),"Neck")</f>
        <v>Neck</v>
      </c>
      <c r="E742" s="49">
        <f>IFERROR(__xludf.DUMMYFUNCTION("""COMPUTED_VALUE"""),1.0)</f>
        <v>1</v>
      </c>
      <c r="F742" s="49" t="str">
        <f>IFERROR(__xludf.DUMMYFUNCTION("""COMPUTED_VALUE""")," ++1000 additional HP and SP for every piece of Dragonscale equipment equipped +-Cannot be forged or duplicated")</f>
        <v> ++1000 additional HP and SP for every piece of Dragonscale equipment equipped +-Cannot be forged or duplicated</v>
      </c>
      <c r="G742" s="49">
        <f>IFERROR(__xludf.DUMMYFUNCTION("""COMPUTED_VALUE"""),0.0)</f>
        <v>0</v>
      </c>
      <c r="H742" s="49"/>
      <c r="I742" s="49"/>
      <c r="J742" s="49"/>
      <c r="K742" s="49"/>
      <c r="L742" s="49"/>
      <c r="M742" s="49"/>
      <c r="N742" s="49"/>
      <c r="O742" s="49"/>
      <c r="P742" s="49"/>
      <c r="Q742" s="49"/>
      <c r="R742" s="49"/>
      <c r="S742" s="49"/>
      <c r="T742" s="49"/>
      <c r="U742" s="49"/>
      <c r="V742" s="49"/>
      <c r="W742" s="49"/>
      <c r="X742" s="49"/>
      <c r="Y742" s="49"/>
      <c r="Z742" s="49"/>
    </row>
    <row r="743">
      <c r="A743" s="49" t="str">
        <f>IFERROR(__xludf.DUMMYFUNCTION("""COMPUTED_VALUE"""),"Dragonscale Sandals")</f>
        <v>Dragonscale Sandals</v>
      </c>
      <c r="B743" s="49"/>
      <c r="C743" s="49" t="str">
        <f>IFERROR(__xludf.DUMMYFUNCTION("""COMPUTED_VALUE"""),"Item")</f>
        <v>Item</v>
      </c>
      <c r="D743" s="49" t="str">
        <f>IFERROR(__xludf.DUMMYFUNCTION("""COMPUTED_VALUE"""),"Feet")</f>
        <v>Feet</v>
      </c>
      <c r="E743" s="49">
        <f>IFERROR(__xludf.DUMMYFUNCTION("""COMPUTED_VALUE"""),1.0)</f>
        <v>1</v>
      </c>
      <c r="F743" s="49" t="str">
        <f>IFERROR(__xludf.DUMMYFUNCTION("""COMPUTED_VALUE""")," ++2 Mobility +-Cannot be forged or duplicated")</f>
        <v> ++2 Mobility +-Cannot be forged or duplicated</v>
      </c>
      <c r="G743" s="49">
        <f>IFERROR(__xludf.DUMMYFUNCTION("""COMPUTED_VALUE"""),0.0)</f>
        <v>0</v>
      </c>
      <c r="H743" s="49"/>
      <c r="I743" s="49"/>
      <c r="J743" s="49"/>
      <c r="K743" s="49"/>
      <c r="L743" s="49"/>
      <c r="M743" s="49"/>
      <c r="N743" s="49"/>
      <c r="O743" s="49"/>
      <c r="P743" s="49"/>
      <c r="Q743" s="49"/>
      <c r="R743" s="49"/>
      <c r="S743" s="49"/>
      <c r="T743" s="49"/>
      <c r="U743" s="49"/>
      <c r="V743" s="49"/>
      <c r="W743" s="49"/>
      <c r="X743" s="49"/>
      <c r="Y743" s="49"/>
      <c r="Z743" s="49"/>
    </row>
    <row r="744">
      <c r="A744" s="49" t="str">
        <f>IFERROR(__xludf.DUMMYFUNCTION("""COMPUTED_VALUE"""),"Dragonscale Talisman")</f>
        <v>Dragonscale Talisman</v>
      </c>
      <c r="B744" s="49"/>
      <c r="C744" s="49" t="str">
        <f>IFERROR(__xludf.DUMMYFUNCTION("""COMPUTED_VALUE"""),"Item")</f>
        <v>Item</v>
      </c>
      <c r="D744" s="49" t="str">
        <f>IFERROR(__xludf.DUMMYFUNCTION("""COMPUTED_VALUE"""),"Neck")</f>
        <v>Neck</v>
      </c>
      <c r="E744" s="49">
        <f>IFERROR(__xludf.DUMMYFUNCTION("""COMPUTED_VALUE"""),1.0)</f>
        <v>1</v>
      </c>
      <c r="F744" s="49" t="str">
        <f>IFERROR(__xludf.DUMMYFUNCTION("""COMPUTED_VALUE""")," ++10000 additional HP and SP, +-Cannot be forged or duplicated")</f>
        <v> ++10000 additional HP and SP, +-Cannot be forged or duplicated</v>
      </c>
      <c r="G744" s="49">
        <f>IFERROR(__xludf.DUMMYFUNCTION("""COMPUTED_VALUE"""),0.0)</f>
        <v>0</v>
      </c>
      <c r="H744" s="49"/>
      <c r="I744" s="49"/>
      <c r="J744" s="49"/>
      <c r="K744" s="49"/>
      <c r="L744" s="49"/>
      <c r="M744" s="49"/>
      <c r="N744" s="49"/>
      <c r="O744" s="49"/>
      <c r="P744" s="49"/>
      <c r="Q744" s="49"/>
      <c r="R744" s="49"/>
      <c r="S744" s="49"/>
      <c r="T744" s="49"/>
      <c r="U744" s="49"/>
      <c r="V744" s="49"/>
      <c r="W744" s="49"/>
      <c r="X744" s="49"/>
      <c r="Y744" s="49"/>
      <c r="Z744" s="49"/>
    </row>
    <row r="745">
      <c r="A745" s="49" t="str">
        <f>IFERROR(__xludf.DUMMYFUNCTION("""COMPUTED_VALUE"""),"Dragonscale Water Ring")</f>
        <v>Dragonscale Water Ring</v>
      </c>
      <c r="B745" s="49"/>
      <c r="C745" s="49" t="str">
        <f>IFERROR(__xludf.DUMMYFUNCTION("""COMPUTED_VALUE"""),"Item")</f>
        <v>Item</v>
      </c>
      <c r="D745" s="49" t="str">
        <f>IFERROR(__xludf.DUMMYFUNCTION("""COMPUTED_VALUE"""),"Finger")</f>
        <v>Finger</v>
      </c>
      <c r="E745" s="49">
        <f>IFERROR(__xludf.DUMMYFUNCTION("""COMPUTED_VALUE"""),1.0)</f>
        <v>1</v>
      </c>
      <c r="F745" s="49" t="str">
        <f>IFERROR(__xludf.DUMMYFUNCTION("""COMPUTED_VALUE""")," ++Converts all Natural damage to Water damage +-Cannot be duplicated")</f>
        <v> ++Converts all Natural damage to Water damage +-Cannot be duplicated</v>
      </c>
      <c r="G745" s="49">
        <f>IFERROR(__xludf.DUMMYFUNCTION("""COMPUTED_VALUE"""),0.0)</f>
        <v>0</v>
      </c>
      <c r="H745" s="49"/>
      <c r="I745" s="49"/>
      <c r="J745" s="49"/>
      <c r="K745" s="49"/>
      <c r="L745" s="49"/>
      <c r="M745" s="49"/>
      <c r="N745" s="49"/>
      <c r="O745" s="49"/>
      <c r="P745" s="49"/>
      <c r="Q745" s="49"/>
      <c r="R745" s="49"/>
      <c r="S745" s="49"/>
      <c r="T745" s="49"/>
      <c r="U745" s="49"/>
      <c r="V745" s="49"/>
      <c r="W745" s="49"/>
      <c r="X745" s="49"/>
      <c r="Y745" s="49"/>
      <c r="Z745" s="49"/>
    </row>
    <row r="746">
      <c r="A746" s="49" t="str">
        <f>IFERROR(__xludf.DUMMYFUNCTION("""COMPUTED_VALUE"""),"Dragonscale Gauntlets")</f>
        <v>Dragonscale Gauntlets</v>
      </c>
      <c r="B746" s="49"/>
      <c r="C746" s="49" t="str">
        <f>IFERROR(__xludf.DUMMYFUNCTION("""COMPUTED_VALUE"""),"Gauntlet")</f>
        <v>Gauntlet</v>
      </c>
      <c r="D746" s="49" t="str">
        <f>IFERROR(__xludf.DUMMYFUNCTION("""COMPUTED_VALUE"""),"Hand")</f>
        <v>Hand</v>
      </c>
      <c r="E746" s="49">
        <f>IFERROR(__xludf.DUMMYFUNCTION("""COMPUTED_VALUE"""),2000.0)</f>
        <v>2000</v>
      </c>
      <c r="F746" s="49" t="str">
        <f>IFERROR(__xludf.DUMMYFUNCTION("""COMPUTED_VALUE"""),"DEF: +100000")</f>
        <v>DEF: +100000</v>
      </c>
      <c r="G746" s="49">
        <f>IFERROR(__xludf.DUMMYFUNCTION("""COMPUTED_VALUE"""),1.99E8)</f>
        <v>199000000</v>
      </c>
      <c r="H746" s="49"/>
      <c r="I746" s="49"/>
      <c r="J746" s="49"/>
      <c r="K746" s="49"/>
      <c r="L746" s="49"/>
      <c r="M746" s="49"/>
      <c r="N746" s="49"/>
      <c r="O746" s="49"/>
      <c r="P746" s="49"/>
      <c r="Q746" s="49"/>
      <c r="R746" s="49"/>
      <c r="S746" s="49"/>
      <c r="T746" s="49"/>
      <c r="U746" s="49"/>
      <c r="V746" s="49"/>
      <c r="W746" s="49"/>
      <c r="X746" s="49"/>
      <c r="Y746" s="49"/>
      <c r="Z746" s="49"/>
    </row>
    <row r="747">
      <c r="A747" s="49" t="str">
        <f>IFERROR(__xludf.DUMMYFUNCTION("""COMPUTED_VALUE"""),"Fire Dragonscale Bow")</f>
        <v>Fire Dragonscale Bow</v>
      </c>
      <c r="B747" s="49"/>
      <c r="C747" s="49" t="str">
        <f>IFERROR(__xludf.DUMMYFUNCTION("""COMPUTED_VALUE"""),"Bow")</f>
        <v>Bow</v>
      </c>
      <c r="D747" s="49" t="str">
        <f>IFERROR(__xludf.DUMMYFUNCTION("""COMPUTED_VALUE"""),"Hand")</f>
        <v>Hand</v>
      </c>
      <c r="E747" s="49">
        <f>IFERROR(__xludf.DUMMYFUNCTION("""COMPUTED_VALUE"""),3000.0)</f>
        <v>3000</v>
      </c>
      <c r="F747" s="49" t="str">
        <f>IFERROR(__xludf.DUMMYFUNCTION("""COMPUTED_VALUE"""),"DMG: +20000, Fire DMG: +130000")</f>
        <v>DMG: +20000, Fire DMG: +130000</v>
      </c>
      <c r="G747" s="49">
        <f>IFERROR(__xludf.DUMMYFUNCTION("""COMPUTED_VALUE"""),4.485E8)</f>
        <v>448500000</v>
      </c>
      <c r="H747" s="49"/>
      <c r="I747" s="49"/>
      <c r="J747" s="49"/>
      <c r="K747" s="49"/>
      <c r="L747" s="49"/>
      <c r="M747" s="49"/>
      <c r="N747" s="49"/>
      <c r="O747" s="49"/>
      <c r="P747" s="49"/>
      <c r="Q747" s="49"/>
      <c r="R747" s="49"/>
      <c r="S747" s="49"/>
      <c r="T747" s="49"/>
      <c r="U747" s="49"/>
      <c r="V747" s="49"/>
      <c r="W747" s="49"/>
      <c r="X747" s="49"/>
      <c r="Y747" s="49"/>
      <c r="Z747" s="49"/>
    </row>
    <row r="748">
      <c r="A748" s="49" t="str">
        <f>IFERROR(__xludf.DUMMYFUNCTION("""COMPUTED_VALUE"""),"Storm Dragonscale Flail")</f>
        <v>Storm Dragonscale Flail</v>
      </c>
      <c r="B748" s="49"/>
      <c r="C748" s="49" t="str">
        <f>IFERROR(__xludf.DUMMYFUNCTION("""COMPUTED_VALUE"""),"Club")</f>
        <v>Club</v>
      </c>
      <c r="D748" s="49" t="str">
        <f>IFERROR(__xludf.DUMMYFUNCTION("""COMPUTED_VALUE"""),"Hand")</f>
        <v>Hand</v>
      </c>
      <c r="E748" s="49">
        <f>IFERROR(__xludf.DUMMYFUNCTION("""COMPUTED_VALUE"""),2400.0)</f>
        <v>2400</v>
      </c>
      <c r="F748" s="49"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49">
        <f>IFERROR(__xludf.DUMMYFUNCTION("""COMPUTED_VALUE"""),2.868E8)</f>
        <v>286800000</v>
      </c>
      <c r="H748" s="49"/>
      <c r="I748" s="49"/>
      <c r="J748" s="49"/>
      <c r="K748" s="49"/>
      <c r="L748" s="49"/>
      <c r="M748" s="49"/>
      <c r="N748" s="49"/>
      <c r="O748" s="49"/>
      <c r="P748" s="49"/>
      <c r="Q748" s="49"/>
      <c r="R748" s="49"/>
      <c r="S748" s="49"/>
      <c r="T748" s="49"/>
      <c r="U748" s="49"/>
      <c r="V748" s="49"/>
      <c r="W748" s="49"/>
      <c r="X748" s="49"/>
      <c r="Y748" s="49"/>
      <c r="Z748" s="49"/>
    </row>
    <row r="749">
      <c r="A749" s="49" t="str">
        <f>IFERROR(__xludf.DUMMYFUNCTION("""COMPUTED_VALUE"""),"Dragonscale Spear")</f>
        <v>Dragonscale Spear</v>
      </c>
      <c r="B749" s="49"/>
      <c r="C749" s="49" t="str">
        <f>IFERROR(__xludf.DUMMYFUNCTION("""COMPUTED_VALUE"""),"Spear")</f>
        <v>Spear</v>
      </c>
      <c r="D749" s="49" t="str">
        <f>IFERROR(__xludf.DUMMYFUNCTION("""COMPUTED_VALUE"""),"Hand")</f>
        <v>Hand</v>
      </c>
      <c r="E749" s="49">
        <f>IFERROR(__xludf.DUMMYFUNCTION("""COMPUTED_VALUE"""),2800.0)</f>
        <v>2800</v>
      </c>
      <c r="F749" s="49" t="str">
        <f>IFERROR(__xludf.DUMMYFUNCTION("""COMPUTED_VALUE"""),"DMG: +140000")</f>
        <v>DMG: +140000</v>
      </c>
      <c r="G749" s="49">
        <f>IFERROR(__xludf.DUMMYFUNCTION("""COMPUTED_VALUE"""),3.906E8)</f>
        <v>390600000</v>
      </c>
      <c r="H749" s="49"/>
      <c r="I749" s="49"/>
      <c r="J749" s="49"/>
      <c r="K749" s="49"/>
      <c r="L749" s="49"/>
      <c r="M749" s="49"/>
      <c r="N749" s="49"/>
      <c r="O749" s="49"/>
      <c r="P749" s="49"/>
      <c r="Q749" s="49"/>
      <c r="R749" s="49"/>
      <c r="S749" s="49"/>
      <c r="T749" s="49"/>
      <c r="U749" s="49"/>
      <c r="V749" s="49"/>
      <c r="W749" s="49"/>
      <c r="X749" s="49"/>
      <c r="Y749" s="49"/>
      <c r="Z749" s="49"/>
    </row>
    <row r="750">
      <c r="A750" s="49" t="str">
        <f>IFERROR(__xludf.DUMMYFUNCTION("""COMPUTED_VALUE"""),"Dragonscale Scythe")</f>
        <v>Dragonscale Scythe</v>
      </c>
      <c r="B750" s="49"/>
      <c r="C750" s="49" t="str">
        <f>IFERROR(__xludf.DUMMYFUNCTION("""COMPUTED_VALUE"""),"Scythe")</f>
        <v>Scythe</v>
      </c>
      <c r="D750" s="49" t="str">
        <f>IFERROR(__xludf.DUMMYFUNCTION("""COMPUTED_VALUE"""),"Hand")</f>
        <v>Hand</v>
      </c>
      <c r="E750" s="49">
        <f>IFERROR(__xludf.DUMMYFUNCTION("""COMPUTED_VALUE"""),2500.0)</f>
        <v>2500</v>
      </c>
      <c r="F750" s="49" t="str">
        <f>IFERROR(__xludf.DUMMYFUNCTION("""COMPUTED_VALUE"""),"DMG: +125000 ++If used to kill a dragon, 100% chance to get its soul. +-Cannot be forged or duplicated")</f>
        <v>DMG: +125000 ++If used to kill a dragon, 100% chance to get its soul. +-Cannot be forged or duplicated</v>
      </c>
      <c r="G750" s="49">
        <f>IFERROR(__xludf.DUMMYFUNCTION("""COMPUTED_VALUE"""),3.1125E8)</f>
        <v>311250000</v>
      </c>
      <c r="H750" s="49"/>
      <c r="I750" s="49"/>
      <c r="J750" s="49"/>
      <c r="K750" s="49"/>
      <c r="L750" s="49"/>
      <c r="M750" s="49"/>
      <c r="N750" s="49"/>
      <c r="O750" s="49"/>
      <c r="P750" s="49"/>
      <c r="Q750" s="49"/>
      <c r="R750" s="49"/>
      <c r="S750" s="49"/>
      <c r="T750" s="49"/>
      <c r="U750" s="49"/>
      <c r="V750" s="49"/>
      <c r="W750" s="49"/>
      <c r="X750" s="49"/>
      <c r="Y750" s="49"/>
      <c r="Z750" s="49"/>
    </row>
    <row r="751">
      <c r="A751" s="49" t="str">
        <f>IFERROR(__xludf.DUMMYFUNCTION("""COMPUTED_VALUE"""),"Dark Dragonscale Claws")</f>
        <v>Dark Dragonscale Claws</v>
      </c>
      <c r="B751" s="49"/>
      <c r="C751" s="49" t="str">
        <f>IFERROR(__xludf.DUMMYFUNCTION("""COMPUTED_VALUE"""),"Claw")</f>
        <v>Claw</v>
      </c>
      <c r="D751" s="49" t="str">
        <f>IFERROR(__xludf.DUMMYFUNCTION("""COMPUTED_VALUE"""),"Hand")</f>
        <v>Hand</v>
      </c>
      <c r="E751" s="49">
        <f>IFERROR(__xludf.DUMMYFUNCTION("""COMPUTED_VALUE"""),2900.0)</f>
        <v>2900</v>
      </c>
      <c r="F751" s="49" t="str">
        <f>IFERROR(__xludf.DUMMYFUNCTION("""COMPUTED_VALUE"""),", Dark DMG: +145000 ++ 30% chance to remove enemy from battle")</f>
        <v>, Dark DMG: +145000 ++ 30% chance to remove enemy from battle</v>
      </c>
      <c r="G751" s="49">
        <f>IFERROR(__xludf.DUMMYFUNCTION("""COMPUTED_VALUE"""),4.1905E8)</f>
        <v>419050000</v>
      </c>
      <c r="H751" s="49"/>
      <c r="I751" s="49"/>
      <c r="J751" s="49"/>
      <c r="K751" s="49"/>
      <c r="L751" s="49"/>
      <c r="M751" s="49"/>
      <c r="N751" s="49"/>
      <c r="O751" s="49"/>
      <c r="P751" s="49"/>
      <c r="Q751" s="49"/>
      <c r="R751" s="49"/>
      <c r="S751" s="49"/>
      <c r="T751" s="49"/>
      <c r="U751" s="49"/>
      <c r="V751" s="49"/>
      <c r="W751" s="49"/>
      <c r="X751" s="49"/>
      <c r="Y751" s="49"/>
      <c r="Z751" s="49"/>
    </row>
    <row r="752">
      <c r="A752" s="49" t="str">
        <f>IFERROR(__xludf.DUMMYFUNCTION("""COMPUTED_VALUE"""),"Chaotic Dragonscale Claw")</f>
        <v>Chaotic Dragonscale Claw</v>
      </c>
      <c r="B752" s="49"/>
      <c r="C752" s="49" t="str">
        <f>IFERROR(__xludf.DUMMYFUNCTION("""COMPUTED_VALUE"""),"Claw")</f>
        <v>Claw</v>
      </c>
      <c r="D752" s="49" t="str">
        <f>IFERROR(__xludf.DUMMYFUNCTION("""COMPUTED_VALUE"""),"Hand")</f>
        <v>Hand</v>
      </c>
      <c r="E752" s="49">
        <f>IFERROR(__xludf.DUMMYFUNCTION("""COMPUTED_VALUE"""),2350.0)</f>
        <v>2350</v>
      </c>
      <c r="F752" s="49" t="str">
        <f>IFERROR(__xludf.DUMMYFUNCTION("""COMPUTED_VALUE"""),"DMG: +1, Chaos DMG: +117000 +-5% chance of dealing 1 damage when attacking")</f>
        <v>DMG: +1, Chaos DMG: +117000 +-5% chance of dealing 1 damage when attacking</v>
      </c>
      <c r="G752" s="49">
        <f>IFERROR(__xludf.DUMMYFUNCTION("""COMPUTED_VALUE"""),2.7261E8)</f>
        <v>272610000</v>
      </c>
      <c r="H752" s="49"/>
      <c r="I752" s="49"/>
      <c r="J752" s="49"/>
      <c r="K752" s="49"/>
      <c r="L752" s="49"/>
      <c r="M752" s="49"/>
      <c r="N752" s="49"/>
      <c r="O752" s="49"/>
      <c r="P752" s="49"/>
      <c r="Q752" s="49"/>
      <c r="R752" s="49"/>
      <c r="S752" s="49"/>
      <c r="T752" s="49"/>
      <c r="U752" s="49"/>
      <c r="V752" s="49"/>
      <c r="W752" s="49"/>
      <c r="X752" s="49"/>
      <c r="Y752" s="49"/>
      <c r="Z752" s="49"/>
    </row>
    <row r="753">
      <c r="A753" s="49" t="str">
        <f>IFERROR(__xludf.DUMMYFUNCTION("""COMPUTED_VALUE"""),"Earthen Dragonscale Boots")</f>
        <v>Earthen Dragonscale Boots</v>
      </c>
      <c r="B753" s="49"/>
      <c r="C753" s="49" t="str">
        <f>IFERROR(__xludf.DUMMYFUNCTION("""COMPUTED_VALUE"""),"Item")</f>
        <v>Item</v>
      </c>
      <c r="D753" s="49" t="str">
        <f>IFERROR(__xludf.DUMMYFUNCTION("""COMPUTED_VALUE"""),"Feet")</f>
        <v>Feet</v>
      </c>
      <c r="E753" s="49">
        <f>IFERROR(__xludf.DUMMYFUNCTION("""COMPUTED_VALUE"""),3000.0)</f>
        <v>3000</v>
      </c>
      <c r="F753" s="49" t="str">
        <f>IFERROR(__xludf.DUMMYFUNCTION("""COMPUTED_VALUE"""),"DEF: +60000, Earth DEF: +90000 ++Immune to Earth spells")</f>
        <v>DEF: +60000, Earth DEF: +90000 ++Immune to Earth spells</v>
      </c>
      <c r="G753" s="49">
        <f>IFERROR(__xludf.DUMMYFUNCTION("""COMPUTED_VALUE"""),4.485E8)</f>
        <v>448500000</v>
      </c>
      <c r="H753" s="49"/>
      <c r="I753" s="49"/>
      <c r="J753" s="49"/>
      <c r="K753" s="49"/>
      <c r="L753" s="49"/>
      <c r="M753" s="49"/>
      <c r="N753" s="49"/>
      <c r="O753" s="49"/>
      <c r="P753" s="49"/>
      <c r="Q753" s="49"/>
      <c r="R753" s="49"/>
      <c r="S753" s="49"/>
      <c r="T753" s="49"/>
      <c r="U753" s="49"/>
      <c r="V753" s="49"/>
      <c r="W753" s="49"/>
      <c r="X753" s="49"/>
      <c r="Y753" s="49"/>
      <c r="Z753" s="49"/>
    </row>
    <row r="754">
      <c r="A754" s="49" t="str">
        <f>IFERROR(__xludf.DUMMYFUNCTION("""COMPUTED_VALUE"""),"Dragonscale Harp")</f>
        <v>Dragonscale Harp</v>
      </c>
      <c r="B754" s="49"/>
      <c r="C754" s="49" t="str">
        <f>IFERROR(__xludf.DUMMYFUNCTION("""COMPUTED_VALUE"""),"Instrument")</f>
        <v>Instrument</v>
      </c>
      <c r="D754" s="49" t="str">
        <f>IFERROR(__xludf.DUMMYFUNCTION("""COMPUTED_VALUE"""),"Hand")</f>
        <v>Hand</v>
      </c>
      <c r="E754" s="49">
        <f>IFERROR(__xludf.DUMMYFUNCTION("""COMPUTED_VALUE"""),2620.0)</f>
        <v>2620</v>
      </c>
      <c r="F754" s="49" t="str">
        <f>IFERROR(__xludf.DUMMYFUNCTION("""COMPUTED_VALUE"""),"DMG: +1000, Acoustic DMG: +130000 ++Causes any dragon enemies to skip its next turn when attacked.")</f>
        <v>DMG: +1000, Acoustic DMG: +130000 ++Causes any dragon enemies to skip its next turn when attacked.</v>
      </c>
      <c r="G754" s="49">
        <f>IFERROR(__xludf.DUMMYFUNCTION("""COMPUTED_VALUE"""),3.4191E8)</f>
        <v>341910000</v>
      </c>
      <c r="H754" s="49"/>
      <c r="I754" s="49"/>
      <c r="J754" s="49"/>
      <c r="K754" s="49"/>
      <c r="L754" s="49"/>
      <c r="M754" s="49"/>
      <c r="N754" s="49"/>
      <c r="O754" s="49"/>
      <c r="P754" s="49"/>
      <c r="Q754" s="49"/>
      <c r="R754" s="49"/>
      <c r="S754" s="49"/>
      <c r="T754" s="49"/>
      <c r="U754" s="49"/>
      <c r="V754" s="49"/>
      <c r="W754" s="49"/>
      <c r="X754" s="49"/>
      <c r="Y754" s="49"/>
      <c r="Z754" s="49"/>
    </row>
    <row r="755">
      <c r="A755" s="49" t="str">
        <f>IFERROR(__xludf.DUMMYFUNCTION("""COMPUTED_VALUE"""),"Dragonscale Bracers")</f>
        <v>Dragonscale Bracers</v>
      </c>
      <c r="B755" s="49"/>
      <c r="C755" s="49" t="str">
        <f>IFERROR(__xludf.DUMMYFUNCTION("""COMPUTED_VALUE"""),"Item")</f>
        <v>Item</v>
      </c>
      <c r="D755" s="49" t="str">
        <f>IFERROR(__xludf.DUMMYFUNCTION("""COMPUTED_VALUE"""),"Arms")</f>
        <v>Arms</v>
      </c>
      <c r="E755" s="49">
        <f>IFERROR(__xludf.DUMMYFUNCTION("""COMPUTED_VALUE"""),2000.0)</f>
        <v>2000</v>
      </c>
      <c r="F755" s="49" t="str">
        <f>IFERROR(__xludf.DUMMYFUNCTION("""COMPUTED_VALUE"""),"DEF: +100000 ++X2 DEF when fighting a dragon(s).")</f>
        <v>DEF: +100000 ++X2 DEF when fighting a dragon(s).</v>
      </c>
      <c r="G755" s="49">
        <f>IFERROR(__xludf.DUMMYFUNCTION("""COMPUTED_VALUE"""),1.99E8)</f>
        <v>199000000</v>
      </c>
      <c r="H755" s="49"/>
      <c r="I755" s="49"/>
      <c r="J755" s="49"/>
      <c r="K755" s="49"/>
      <c r="L755" s="49"/>
      <c r="M755" s="49"/>
      <c r="N755" s="49"/>
      <c r="O755" s="49"/>
      <c r="P755" s="49"/>
      <c r="Q755" s="49"/>
      <c r="R755" s="49"/>
      <c r="S755" s="49"/>
      <c r="T755" s="49"/>
      <c r="U755" s="49"/>
      <c r="V755" s="49"/>
      <c r="W755" s="49"/>
      <c r="X755" s="49"/>
      <c r="Y755" s="49"/>
      <c r="Z755" s="49"/>
    </row>
    <row r="756">
      <c r="A756" s="49" t="str">
        <f>IFERROR(__xludf.DUMMYFUNCTION("""COMPUTED_VALUE"""),"Dragonscale Crown")</f>
        <v>Dragonscale Crown</v>
      </c>
      <c r="B756" s="49"/>
      <c r="C756" s="49" t="str">
        <f>IFERROR(__xludf.DUMMYFUNCTION("""COMPUTED_VALUE"""),"Item")</f>
        <v>Item</v>
      </c>
      <c r="D756" s="49" t="str">
        <f>IFERROR(__xludf.DUMMYFUNCTION("""COMPUTED_VALUE"""),"Head")</f>
        <v>Head</v>
      </c>
      <c r="E756" s="49">
        <f>IFERROR(__xludf.DUMMYFUNCTION("""COMPUTED_VALUE"""),1.0)</f>
        <v>1</v>
      </c>
      <c r="F756" s="49" t="str">
        <f>IFERROR(__xludf.DUMMYFUNCTION("""COMPUTED_VALUE""")," ++7,500 additional HP and SP, +-Cannot be forged or duplicated")</f>
        <v> ++7,500 additional HP and SP, +-Cannot be forged or duplicated</v>
      </c>
      <c r="G756" s="49">
        <f>IFERROR(__xludf.DUMMYFUNCTION("""COMPUTED_VALUE"""),0.0)</f>
        <v>0</v>
      </c>
      <c r="H756" s="49"/>
      <c r="I756" s="49"/>
      <c r="J756" s="49"/>
      <c r="K756" s="49"/>
      <c r="L756" s="49"/>
      <c r="M756" s="49"/>
      <c r="N756" s="49"/>
      <c r="O756" s="49"/>
      <c r="P756" s="49"/>
      <c r="Q756" s="49"/>
      <c r="R756" s="49"/>
      <c r="S756" s="49"/>
      <c r="T756" s="49"/>
      <c r="U756" s="49"/>
      <c r="V756" s="49"/>
      <c r="W756" s="49"/>
      <c r="X756" s="49"/>
      <c r="Y756" s="49"/>
      <c r="Z756" s="49"/>
    </row>
    <row r="757">
      <c r="A757" s="49" t="str">
        <f>IFERROR(__xludf.DUMMYFUNCTION("""COMPUTED_VALUE"""),"Dragonscale Helm")</f>
        <v>Dragonscale Helm</v>
      </c>
      <c r="B757" s="49"/>
      <c r="C757" s="49" t="str">
        <f>IFERROR(__xludf.DUMMYFUNCTION("""COMPUTED_VALUE"""),"Item")</f>
        <v>Item</v>
      </c>
      <c r="D757" s="49" t="str">
        <f>IFERROR(__xludf.DUMMYFUNCTION("""COMPUTED_VALUE"""),"Head")</f>
        <v>Head</v>
      </c>
      <c r="E757" s="49">
        <f>IFERROR(__xludf.DUMMYFUNCTION("""COMPUTED_VALUE"""),2600.0)</f>
        <v>2600</v>
      </c>
      <c r="F757" s="49" t="str">
        <f>IFERROR(__xludf.DUMMYFUNCTION("""COMPUTED_VALUE"""),"DEF: +130000")</f>
        <v>DEF: +130000</v>
      </c>
      <c r="G757" s="49">
        <f>IFERROR(__xludf.DUMMYFUNCTION("""COMPUTED_VALUE"""),3.367E8)</f>
        <v>336700000</v>
      </c>
      <c r="H757" s="49"/>
      <c r="I757" s="49"/>
      <c r="J757" s="49"/>
      <c r="K757" s="49"/>
      <c r="L757" s="49"/>
      <c r="M757" s="49"/>
      <c r="N757" s="49"/>
      <c r="O757" s="49"/>
      <c r="P757" s="49"/>
      <c r="Q757" s="49"/>
      <c r="R757" s="49"/>
      <c r="S757" s="49"/>
      <c r="T757" s="49"/>
      <c r="U757" s="49"/>
      <c r="V757" s="49"/>
      <c r="W757" s="49"/>
      <c r="X757" s="49"/>
      <c r="Y757" s="49"/>
      <c r="Z757" s="49"/>
    </row>
    <row r="758">
      <c r="A758" s="49" t="str">
        <f>IFERROR(__xludf.DUMMYFUNCTION("""COMPUTED_VALUE"""),"Dragonscale Rifle")</f>
        <v>Dragonscale Rifle</v>
      </c>
      <c r="B758" s="49"/>
      <c r="C758" s="49" t="str">
        <f>IFERROR(__xludf.DUMMYFUNCTION("""COMPUTED_VALUE"""),"Firearm")</f>
        <v>Firearm</v>
      </c>
      <c r="D758" s="49" t="str">
        <f>IFERROR(__xludf.DUMMYFUNCTION("""COMPUTED_VALUE"""),"Hand")</f>
        <v>Hand</v>
      </c>
      <c r="E758" s="49">
        <f>IFERROR(__xludf.DUMMYFUNCTION("""COMPUTED_VALUE"""),3400.0)</f>
        <v>3400</v>
      </c>
      <c r="F758" s="49" t="str">
        <f>IFERROR(__xludf.DUMMYFUNCTION("""COMPUTED_VALUE"""),"DMG: +170000  +-Uses bullets")</f>
        <v>DMG: +170000  +-Uses bullets</v>
      </c>
      <c r="G758" s="49">
        <f>IFERROR(__xludf.DUMMYFUNCTION("""COMPUTED_VALUE"""),5.763E8)</f>
        <v>576300000</v>
      </c>
      <c r="H758" s="49"/>
      <c r="I758" s="49"/>
      <c r="J758" s="49"/>
      <c r="K758" s="49"/>
      <c r="L758" s="49"/>
      <c r="M758" s="49"/>
      <c r="N758" s="49"/>
      <c r="O758" s="49"/>
      <c r="P758" s="49"/>
      <c r="Q758" s="49"/>
      <c r="R758" s="49"/>
      <c r="S758" s="49"/>
      <c r="T758" s="49"/>
      <c r="U758" s="49"/>
      <c r="V758" s="49"/>
      <c r="W758" s="49"/>
      <c r="X758" s="49"/>
      <c r="Y758" s="49"/>
      <c r="Z758" s="49"/>
    </row>
    <row r="759">
      <c r="A759" s="49" t="str">
        <f>IFERROR(__xludf.DUMMYFUNCTION("""COMPUTED_VALUE"""),"Searing Dragonscale Staff")</f>
        <v>Searing Dragonscale Staff</v>
      </c>
      <c r="B759" s="49"/>
      <c r="C759" s="49" t="str">
        <f>IFERROR(__xludf.DUMMYFUNCTION("""COMPUTED_VALUE"""),"Staff")</f>
        <v>Staff</v>
      </c>
      <c r="D759" s="49" t="str">
        <f>IFERROR(__xludf.DUMMYFUNCTION("""COMPUTED_VALUE"""),"Hand")</f>
        <v>Hand</v>
      </c>
      <c r="E759" s="49">
        <f>IFERROR(__xludf.DUMMYFUNCTION("""COMPUTED_VALUE"""),3000.0)</f>
        <v>3000</v>
      </c>
      <c r="F759" s="49" t="str">
        <f>IFERROR(__xludf.DUMMYFUNCTION("""COMPUTED_VALUE"""),", Light DMG: +150000")</f>
        <v>, Light DMG: +150000</v>
      </c>
      <c r="G759" s="49">
        <f>IFERROR(__xludf.DUMMYFUNCTION("""COMPUTED_VALUE"""),4.485E8)</f>
        <v>448500000</v>
      </c>
      <c r="H759" s="49"/>
      <c r="I759" s="49"/>
      <c r="J759" s="49"/>
      <c r="K759" s="49"/>
      <c r="L759" s="49"/>
      <c r="M759" s="49"/>
      <c r="N759" s="49"/>
      <c r="O759" s="49"/>
      <c r="P759" s="49"/>
      <c r="Q759" s="49"/>
      <c r="R759" s="49"/>
      <c r="S759" s="49"/>
      <c r="T759" s="49"/>
      <c r="U759" s="49"/>
      <c r="V759" s="49"/>
      <c r="W759" s="49"/>
      <c r="X759" s="49"/>
      <c r="Y759" s="49"/>
      <c r="Z759" s="49"/>
    </row>
    <row r="760">
      <c r="A760" s="49" t="str">
        <f>IFERROR(__xludf.DUMMYFUNCTION("""COMPUTED_VALUE"""),"Forgotten Scythe")</f>
        <v>Forgotten Scythe</v>
      </c>
      <c r="B760" s="49"/>
      <c r="C760" s="49" t="str">
        <f>IFERROR(__xludf.DUMMYFUNCTION("""COMPUTED_VALUE"""),"Scythe")</f>
        <v>Scythe</v>
      </c>
      <c r="D760" s="49" t="str">
        <f>IFERROR(__xludf.DUMMYFUNCTION("""COMPUTED_VALUE"""),"Hand")</f>
        <v>Hand</v>
      </c>
      <c r="E760" s="49">
        <f>IFERROR(__xludf.DUMMYFUNCTION("""COMPUTED_VALUE"""),5800.0)</f>
        <v>5800</v>
      </c>
      <c r="F760" s="49" t="str">
        <f>IFERROR(__xludf.DUMMYFUNCTION("""COMPUTED_VALUE"""),", Chaos DMG: +290000")</f>
        <v>, Chaos DMG: +290000</v>
      </c>
      <c r="G760" s="49">
        <f>IFERROR(__xludf.DUMMYFUNCTION("""COMPUTED_VALUE"""),1.6791E9)</f>
        <v>1679100000</v>
      </c>
      <c r="H760" s="49"/>
      <c r="I760" s="49"/>
      <c r="J760" s="49"/>
      <c r="K760" s="49"/>
      <c r="L760" s="49"/>
      <c r="M760" s="49"/>
      <c r="N760" s="49"/>
      <c r="O760" s="49"/>
      <c r="P760" s="49"/>
      <c r="Q760" s="49"/>
      <c r="R760" s="49"/>
      <c r="S760" s="49"/>
      <c r="T760" s="49"/>
      <c r="U760" s="49"/>
      <c r="V760" s="49"/>
      <c r="W760" s="49"/>
      <c r="X760" s="49"/>
      <c r="Y760" s="49"/>
      <c r="Z760" s="49"/>
    </row>
    <row r="761">
      <c r="A761" s="49" t="str">
        <f>IFERROR(__xludf.DUMMYFUNCTION("""COMPUTED_VALUE"""),"Forsaken Club")</f>
        <v>Forsaken Club</v>
      </c>
      <c r="B761" s="49"/>
      <c r="C761" s="49" t="str">
        <f>IFERROR(__xludf.DUMMYFUNCTION("""COMPUTED_VALUE"""),"Club")</f>
        <v>Club</v>
      </c>
      <c r="D761" s="49" t="str">
        <f>IFERROR(__xludf.DUMMYFUNCTION("""COMPUTED_VALUE"""),"Hand")</f>
        <v>Hand</v>
      </c>
      <c r="E761" s="49">
        <f>IFERROR(__xludf.DUMMYFUNCTION("""COMPUTED_VALUE"""),5000.0)</f>
        <v>5000</v>
      </c>
      <c r="F761" s="49" t="str">
        <f>IFERROR(__xludf.DUMMYFUNCTION("""COMPUTED_VALUE"""),"DMG: +250000")</f>
        <v>DMG: +250000</v>
      </c>
      <c r="G761" s="49">
        <f>IFERROR(__xludf.DUMMYFUNCTION("""COMPUTED_VALUE"""),1.2475E9)</f>
        <v>1247500000</v>
      </c>
      <c r="H761" s="49"/>
      <c r="I761" s="49"/>
      <c r="J761" s="49"/>
      <c r="K761" s="49"/>
      <c r="L761" s="49"/>
      <c r="M761" s="49"/>
      <c r="N761" s="49"/>
      <c r="O761" s="49"/>
      <c r="P761" s="49"/>
      <c r="Q761" s="49"/>
      <c r="R761" s="49"/>
      <c r="S761" s="49"/>
      <c r="T761" s="49"/>
      <c r="U761" s="49"/>
      <c r="V761" s="49"/>
      <c r="W761" s="49"/>
      <c r="X761" s="49"/>
      <c r="Y761" s="49"/>
      <c r="Z761" s="49"/>
    </row>
    <row r="762">
      <c r="A762" s="49" t="str">
        <f>IFERROR(__xludf.DUMMYFUNCTION("""COMPUTED_VALUE"""),"Demonic Breastplate")</f>
        <v>Demonic Breastplate</v>
      </c>
      <c r="B762" s="49"/>
      <c r="C762" s="49" t="str">
        <f>IFERROR(__xludf.DUMMYFUNCTION("""COMPUTED_VALUE"""),"Item")</f>
        <v>Item</v>
      </c>
      <c r="D762" s="49" t="str">
        <f>IFERROR(__xludf.DUMMYFUNCTION("""COMPUTED_VALUE"""),"Torso")</f>
        <v>Torso</v>
      </c>
      <c r="E762" s="49">
        <f>IFERROR(__xludf.DUMMYFUNCTION("""COMPUTED_VALUE"""),4000.0)</f>
        <v>4000</v>
      </c>
      <c r="F762" s="49" t="str">
        <f>IFERROR(__xludf.DUMMYFUNCTION("""COMPUTED_VALUE"""),"DEF: +50000, Fire DEF: +50000, Dark DEF: +50000, Chaos DEF: +50000")</f>
        <v>DEF: +50000, Fire DEF: +50000, Dark DEF: +50000, Chaos DEF: +50000</v>
      </c>
      <c r="G762" s="49">
        <f>IFERROR(__xludf.DUMMYFUNCTION("""COMPUTED_VALUE"""),7.98E8)</f>
        <v>798000000</v>
      </c>
      <c r="H762" s="49"/>
      <c r="I762" s="49"/>
      <c r="J762" s="49"/>
      <c r="K762" s="49"/>
      <c r="L762" s="49"/>
      <c r="M762" s="49"/>
      <c r="N762" s="49"/>
      <c r="O762" s="49"/>
      <c r="P762" s="49"/>
      <c r="Q762" s="49"/>
      <c r="R762" s="49"/>
      <c r="S762" s="49"/>
      <c r="T762" s="49"/>
      <c r="U762" s="49"/>
      <c r="V762" s="49"/>
      <c r="W762" s="49"/>
      <c r="X762" s="49"/>
      <c r="Y762" s="49"/>
      <c r="Z762" s="49"/>
    </row>
    <row r="763">
      <c r="A763" s="49" t="str">
        <f>IFERROR(__xludf.DUMMYFUNCTION("""COMPUTED_VALUE"""),"Fallen Ruler's Crown")</f>
        <v>Fallen Ruler's Crown</v>
      </c>
      <c r="B763" s="49"/>
      <c r="C763" s="49" t="str">
        <f>IFERROR(__xludf.DUMMYFUNCTION("""COMPUTED_VALUE"""),"Item")</f>
        <v>Item</v>
      </c>
      <c r="D763" s="49" t="str">
        <f>IFERROR(__xludf.DUMMYFUNCTION("""COMPUTED_VALUE"""),"Head")</f>
        <v>Head</v>
      </c>
      <c r="E763" s="49">
        <f>IFERROR(__xludf.DUMMYFUNCTION("""COMPUTED_VALUE"""),1.0)</f>
        <v>1</v>
      </c>
      <c r="F763" s="49" t="str">
        <f>IFERROR(__xludf.DUMMYFUNCTION("""COMPUTED_VALUE""")," ++5% chance undead enemies will willingly surrender +-Cannot be forged or duplicated")</f>
        <v> ++5% chance undead enemies will willingly surrender +-Cannot be forged or duplicated</v>
      </c>
      <c r="G763" s="49">
        <f>IFERROR(__xludf.DUMMYFUNCTION("""COMPUTED_VALUE"""),0.0)</f>
        <v>0</v>
      </c>
      <c r="H763" s="49"/>
      <c r="I763" s="49"/>
      <c r="J763" s="49"/>
      <c r="K763" s="49"/>
      <c r="L763" s="49"/>
      <c r="M763" s="49"/>
      <c r="N763" s="49"/>
      <c r="O763" s="49"/>
      <c r="P763" s="49"/>
      <c r="Q763" s="49"/>
      <c r="R763" s="49"/>
      <c r="S763" s="49"/>
      <c r="T763" s="49"/>
      <c r="U763" s="49"/>
      <c r="V763" s="49"/>
      <c r="W763" s="49"/>
      <c r="X763" s="49"/>
      <c r="Y763" s="49"/>
      <c r="Z763" s="49"/>
    </row>
    <row r="764">
      <c r="A764" s="49" t="str">
        <f>IFERROR(__xludf.DUMMYFUNCTION("""COMPUTED_VALUE"""),"Old Knife")</f>
        <v>Old Knife</v>
      </c>
      <c r="B764" s="49"/>
      <c r="C764" s="49" t="str">
        <f>IFERROR(__xludf.DUMMYFUNCTION("""COMPUTED_VALUE"""),"Knife")</f>
        <v>Knife</v>
      </c>
      <c r="D764" s="49" t="str">
        <f>IFERROR(__xludf.DUMMYFUNCTION("""COMPUTED_VALUE"""),"Hand")</f>
        <v>Hand</v>
      </c>
      <c r="E764" s="49">
        <f>IFERROR(__xludf.DUMMYFUNCTION("""COMPUTED_VALUE"""),3640.0)</f>
        <v>3640</v>
      </c>
      <c r="F764" s="49" t="str">
        <f>IFERROR(__xludf.DUMMYFUNCTION("""COMPUTED_VALUE"""),"DMG: +12000, Blood DMG: +170000")</f>
        <v>DMG: +12000, Blood DMG: +170000</v>
      </c>
      <c r="G764" s="49">
        <f>IFERROR(__xludf.DUMMYFUNCTION("""COMPUTED_VALUE"""),6.6066E8)</f>
        <v>660660000</v>
      </c>
      <c r="H764" s="49"/>
      <c r="I764" s="49"/>
      <c r="J764" s="49"/>
      <c r="K764" s="49"/>
      <c r="L764" s="49"/>
      <c r="M764" s="49"/>
      <c r="N764" s="49"/>
      <c r="O764" s="49"/>
      <c r="P764" s="49"/>
      <c r="Q764" s="49"/>
      <c r="R764" s="49"/>
      <c r="S764" s="49"/>
      <c r="T764" s="49"/>
      <c r="U764" s="49"/>
      <c r="V764" s="49"/>
      <c r="W764" s="49"/>
      <c r="X764" s="49"/>
      <c r="Y764" s="49"/>
      <c r="Z764" s="49"/>
    </row>
    <row r="765">
      <c r="A765" s="49" t="str">
        <f>IFERROR(__xludf.DUMMYFUNCTION("""COMPUTED_VALUE"""),"Plunderbuss")</f>
        <v>Plunderbuss</v>
      </c>
      <c r="B765" s="49"/>
      <c r="C765" s="49" t="str">
        <f>IFERROR(__xludf.DUMMYFUNCTION("""COMPUTED_VALUE"""),"Firearm")</f>
        <v>Firearm</v>
      </c>
      <c r="D765" s="49" t="str">
        <f>IFERROR(__xludf.DUMMYFUNCTION("""COMPUTED_VALUE"""),"Hand")</f>
        <v>Hand</v>
      </c>
      <c r="E765" s="49">
        <f>IFERROR(__xludf.DUMMYFUNCTION("""COMPUTED_VALUE"""),3800.0)</f>
        <v>3800</v>
      </c>
      <c r="F765" s="49" t="str">
        <f>IFERROR(__xludf.DUMMYFUNCTION("""COMPUTED_VALUE"""),"DMG: +190000 +-Uses bullets, ++Get two of every loot drop you roll. +-Cannot be forged or duplicated")</f>
        <v>DMG: +190000 +-Uses bullets, ++Get two of every loot drop you roll. +-Cannot be forged or duplicated</v>
      </c>
      <c r="G765" s="49">
        <f>IFERROR(__xludf.DUMMYFUNCTION("""COMPUTED_VALUE"""),7.201E8)</f>
        <v>720100000</v>
      </c>
      <c r="H765" s="49"/>
      <c r="I765" s="49"/>
      <c r="J765" s="49"/>
      <c r="K765" s="49"/>
      <c r="L765" s="49"/>
      <c r="M765" s="49"/>
      <c r="N765" s="49"/>
      <c r="O765" s="49"/>
      <c r="P765" s="49"/>
      <c r="Q765" s="49"/>
      <c r="R765" s="49"/>
      <c r="S765" s="49"/>
      <c r="T765" s="49"/>
      <c r="U765" s="49"/>
      <c r="V765" s="49"/>
      <c r="W765" s="49"/>
      <c r="X765" s="49"/>
      <c r="Y765" s="49"/>
      <c r="Z765" s="49"/>
    </row>
    <row r="766">
      <c r="A766" s="49" t="str">
        <f>IFERROR(__xludf.DUMMYFUNCTION("""COMPUTED_VALUE"""),"Dragon Destroyer")</f>
        <v>Dragon Destroyer</v>
      </c>
      <c r="B766" s="49"/>
      <c r="C766" s="49" t="str">
        <f>IFERROR(__xludf.DUMMYFUNCTION("""COMPUTED_VALUE"""),"Axe")</f>
        <v>Axe</v>
      </c>
      <c r="D766" s="49" t="str">
        <f>IFERROR(__xludf.DUMMYFUNCTION("""COMPUTED_VALUE"""),"Hand")</f>
        <v>Hand</v>
      </c>
      <c r="E766" s="49">
        <f>IFERROR(__xludf.DUMMYFUNCTION("""COMPUTED_VALUE"""),6000.0)</f>
        <v>6000</v>
      </c>
      <c r="F766" s="49" t="str">
        <f>IFERROR(__xludf.DUMMYFUNCTION("""COMPUTED_VALUE"""),"DMG: +300000 ++deals unblockable damage to dragons +-Cannot be forged or duplicated")</f>
        <v>DMG: +300000 ++deals unblockable damage to dragons +-Cannot be forged or duplicated</v>
      </c>
      <c r="G766" s="49">
        <f>IFERROR(__xludf.DUMMYFUNCTION("""COMPUTED_VALUE"""),1.797E9)</f>
        <v>1797000000</v>
      </c>
      <c r="H766" s="49"/>
      <c r="I766" s="49"/>
      <c r="J766" s="49"/>
      <c r="K766" s="49"/>
      <c r="L766" s="49"/>
      <c r="M766" s="49"/>
      <c r="N766" s="49"/>
      <c r="O766" s="49"/>
      <c r="P766" s="49"/>
      <c r="Q766" s="49"/>
      <c r="R766" s="49"/>
      <c r="S766" s="49"/>
      <c r="T766" s="49"/>
      <c r="U766" s="49"/>
      <c r="V766" s="49"/>
      <c r="W766" s="49"/>
      <c r="X766" s="49"/>
      <c r="Y766" s="49"/>
      <c r="Z766" s="49"/>
    </row>
    <row r="767">
      <c r="A767" s="49" t="str">
        <f>IFERROR(__xludf.DUMMYFUNCTION("""COMPUTED_VALUE"""),"Dragonscale of Returns")</f>
        <v>Dragonscale of Returns</v>
      </c>
      <c r="B767" s="49"/>
      <c r="C767" s="49" t="str">
        <f>IFERROR(__xludf.DUMMYFUNCTION("""COMPUTED_VALUE"""),"Boomerang")</f>
        <v>Boomerang</v>
      </c>
      <c r="D767" s="49" t="str">
        <f>IFERROR(__xludf.DUMMYFUNCTION("""COMPUTED_VALUE"""),"Hand")</f>
        <v>Hand</v>
      </c>
      <c r="E767" s="49">
        <f>IFERROR(__xludf.DUMMYFUNCTION("""COMPUTED_VALUE"""),1500.0)</f>
        <v>1500</v>
      </c>
      <c r="F767" s="49" t="str">
        <f>IFERROR(__xludf.DUMMYFUNCTION("""COMPUTED_VALUE"""),"DMG: +75000 ++Receive a dragon scale when thrown at a dragon, +-Cannot be forged or duplicated")</f>
        <v>DMG: +75000 ++Receive a dragon scale when thrown at a dragon, +-Cannot be forged or duplicated</v>
      </c>
      <c r="G767" s="49">
        <f>IFERROR(__xludf.DUMMYFUNCTION("""COMPUTED_VALUE"""),1.1175E8)</f>
        <v>111750000</v>
      </c>
      <c r="H767" s="49"/>
      <c r="I767" s="49"/>
      <c r="J767" s="49"/>
      <c r="K767" s="49"/>
      <c r="L767" s="49"/>
      <c r="M767" s="49"/>
      <c r="N767" s="49"/>
      <c r="O767" s="49"/>
      <c r="P767" s="49"/>
      <c r="Q767" s="49"/>
      <c r="R767" s="49"/>
      <c r="S767" s="49"/>
      <c r="T767" s="49"/>
      <c r="U767" s="49"/>
      <c r="V767" s="49"/>
      <c r="W767" s="49"/>
      <c r="X767" s="49"/>
      <c r="Y767" s="49"/>
      <c r="Z767" s="49"/>
    </row>
    <row r="768">
      <c r="A768" s="49" t="str">
        <f>IFERROR(__xludf.DUMMYFUNCTION("""COMPUTED_VALUE"""),"Brimstone Staff")</f>
        <v>Brimstone Staff</v>
      </c>
      <c r="B768" s="49"/>
      <c r="C768" s="49" t="str">
        <f>IFERROR(__xludf.DUMMYFUNCTION("""COMPUTED_VALUE"""),"Staff")</f>
        <v>Staff</v>
      </c>
      <c r="D768" s="49" t="str">
        <f>IFERROR(__xludf.DUMMYFUNCTION("""COMPUTED_VALUE"""),"Hand")</f>
        <v>Hand</v>
      </c>
      <c r="E768" s="49">
        <f>IFERROR(__xludf.DUMMYFUNCTION("""COMPUTED_VALUE"""),4600.0)</f>
        <v>4600</v>
      </c>
      <c r="F768" s="49" t="str">
        <f>IFERROR(__xludf.DUMMYFUNCTION("""COMPUTED_VALUE"""),", Fire DMG: +230000 ++Fire spells cost half SP, +-Cannot be forged or duplicated")</f>
        <v>, Fire DMG: +230000 ++Fire spells cost half SP, +-Cannot be forged or duplicated</v>
      </c>
      <c r="G768" s="49">
        <f>IFERROR(__xludf.DUMMYFUNCTION("""COMPUTED_VALUE"""),1.0557E9)</f>
        <v>1055700000</v>
      </c>
      <c r="H768" s="49"/>
      <c r="I768" s="49"/>
      <c r="J768" s="49"/>
      <c r="K768" s="49"/>
      <c r="L768" s="49"/>
      <c r="M768" s="49"/>
      <c r="N768" s="49"/>
      <c r="O768" s="49"/>
      <c r="P768" s="49"/>
      <c r="Q768" s="49"/>
      <c r="R768" s="49"/>
      <c r="S768" s="49"/>
      <c r="T768" s="49"/>
      <c r="U768" s="49"/>
      <c r="V768" s="49"/>
      <c r="W768" s="49"/>
      <c r="X768" s="49"/>
      <c r="Y768" s="49"/>
      <c r="Z768" s="49"/>
    </row>
    <row r="769">
      <c r="A769" s="49" t="str">
        <f>IFERROR(__xludf.DUMMYFUNCTION("""COMPUTED_VALUE"""),"Eternal Ember")</f>
        <v>Eternal Ember</v>
      </c>
      <c r="B769" s="49"/>
      <c r="C769" s="49" t="str">
        <f>IFERROR(__xludf.DUMMYFUNCTION("""COMPUTED_VALUE"""),"Item")</f>
        <v>Item</v>
      </c>
      <c r="D769" s="49" t="str">
        <f>IFERROR(__xludf.DUMMYFUNCTION("""COMPUTED_VALUE"""),"Neck")</f>
        <v>Neck</v>
      </c>
      <c r="E769" s="49">
        <f>IFERROR(__xludf.DUMMYFUNCTION("""COMPUTED_VALUE"""),3000.0)</f>
        <v>3000</v>
      </c>
      <c r="F769" s="49"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49">
        <f>IFERROR(__xludf.DUMMYFUNCTION("""COMPUTED_VALUE"""),4.485E8)</f>
        <v>448500000</v>
      </c>
      <c r="H769" s="49"/>
      <c r="I769" s="49"/>
      <c r="J769" s="49"/>
      <c r="K769" s="49"/>
      <c r="L769" s="49"/>
      <c r="M769" s="49"/>
      <c r="N769" s="49"/>
      <c r="O769" s="49"/>
      <c r="P769" s="49"/>
      <c r="Q769" s="49"/>
      <c r="R769" s="49"/>
      <c r="S769" s="49"/>
      <c r="T769" s="49"/>
      <c r="U769" s="49"/>
      <c r="V769" s="49"/>
      <c r="W769" s="49"/>
      <c r="X769" s="49"/>
      <c r="Y769" s="49"/>
      <c r="Z769" s="49"/>
    </row>
    <row r="770">
      <c r="A770" s="49" t="str">
        <f>IFERROR(__xludf.DUMMYFUNCTION("""COMPUTED_VALUE"""),"Crystal Blood")</f>
        <v>Crystal Blood</v>
      </c>
      <c r="B770" s="49"/>
      <c r="C770" s="49" t="str">
        <f>IFERROR(__xludf.DUMMYFUNCTION("""COMPUTED_VALUE"""),"Item")</f>
        <v>Item</v>
      </c>
      <c r="D770" s="49" t="str">
        <f>IFERROR(__xludf.DUMMYFUNCTION("""COMPUTED_VALUE"""),"Neck")</f>
        <v>Neck</v>
      </c>
      <c r="E770" s="49">
        <f>IFERROR(__xludf.DUMMYFUNCTION("""COMPUTED_VALUE"""),1.0)</f>
        <v>1</v>
      </c>
      <c r="F770" s="49" t="str">
        <f>IFERROR(__xludf.DUMMYFUNCTION("""COMPUTED_VALUE""")," ++Wearer's first non-XHP cost blood spell of the battle has no HP cost , +-Cannot be forged or duplicated")</f>
        <v> ++Wearer's first non-XHP cost blood spell of the battle has no HP cost , +-Cannot be forged or duplicated</v>
      </c>
      <c r="G770" s="49">
        <f>IFERROR(__xludf.DUMMYFUNCTION("""COMPUTED_VALUE"""),0.0)</f>
        <v>0</v>
      </c>
      <c r="H770" s="49"/>
      <c r="I770" s="49"/>
      <c r="J770" s="49"/>
      <c r="K770" s="49"/>
      <c r="L770" s="49"/>
      <c r="M770" s="49"/>
      <c r="N770" s="49"/>
      <c r="O770" s="49"/>
      <c r="P770" s="49"/>
      <c r="Q770" s="49"/>
      <c r="R770" s="49"/>
      <c r="S770" s="49"/>
      <c r="T770" s="49"/>
      <c r="U770" s="49"/>
      <c r="V770" s="49"/>
      <c r="W770" s="49"/>
      <c r="X770" s="49"/>
      <c r="Y770" s="49"/>
      <c r="Z770" s="49"/>
    </row>
    <row r="771">
      <c r="A771" s="49" t="str">
        <f>IFERROR(__xludf.DUMMYFUNCTION("""COMPUTED_VALUE"""),"Ultimate Gamble")</f>
        <v>Ultimate Gamble</v>
      </c>
      <c r="B771" s="49"/>
      <c r="C771" s="49" t="str">
        <f>IFERROR(__xludf.DUMMYFUNCTION("""COMPUTED_VALUE"""),"Sword")</f>
        <v>Sword</v>
      </c>
      <c r="D771" s="49" t="str">
        <f>IFERROR(__xludf.DUMMYFUNCTION("""COMPUTED_VALUE"""),"Hand")</f>
        <v>Hand</v>
      </c>
      <c r="E771" s="49">
        <f>IFERROR(__xludf.DUMMYFUNCTION("""COMPUTED_VALUE"""),12000.0)</f>
        <v>12000</v>
      </c>
      <c r="F771" s="49"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49">
        <f>IFERROR(__xludf.DUMMYFUNCTION("""COMPUTED_VALUE"""),7.194E9)</f>
        <v>7194000000</v>
      </c>
      <c r="H771" s="49"/>
      <c r="I771" s="49"/>
      <c r="J771" s="49"/>
      <c r="K771" s="49"/>
      <c r="L771" s="49"/>
      <c r="M771" s="49"/>
      <c r="N771" s="49"/>
      <c r="O771" s="49"/>
      <c r="P771" s="49"/>
      <c r="Q771" s="49"/>
      <c r="R771" s="49"/>
      <c r="S771" s="49"/>
      <c r="T771" s="49"/>
      <c r="U771" s="49"/>
      <c r="V771" s="49"/>
      <c r="W771" s="49"/>
      <c r="X771" s="49"/>
      <c r="Y771" s="49"/>
      <c r="Z771" s="49"/>
    </row>
    <row r="772">
      <c r="A772" s="49" t="str">
        <f>IFERROR(__xludf.DUMMYFUNCTION("""COMPUTED_VALUE"""),"Awakened Evil")</f>
        <v>Awakened Evil</v>
      </c>
      <c r="B772" s="49"/>
      <c r="C772" s="49" t="str">
        <f>IFERROR(__xludf.DUMMYFUNCTION("""COMPUTED_VALUE"""),"Claw")</f>
        <v>Claw</v>
      </c>
      <c r="D772" s="49" t="str">
        <f>IFERROR(__xludf.DUMMYFUNCTION("""COMPUTED_VALUE"""),"Hand")</f>
        <v>Hand</v>
      </c>
      <c r="E772" s="49">
        <f>IFERROR(__xludf.DUMMYFUNCTION("""COMPUTED_VALUE"""),9000.0)</f>
        <v>9000</v>
      </c>
      <c r="F772" s="49" t="str">
        <f>IFERROR(__xludf.DUMMYFUNCTION("""COMPUTED_VALUE"""),"DMG: +450000")</f>
        <v>DMG: +450000</v>
      </c>
      <c r="G772" s="49">
        <f>IFERROR(__xludf.DUMMYFUNCTION("""COMPUTED_VALUE"""),4.0455E9)</f>
        <v>4045500000</v>
      </c>
      <c r="H772" s="49"/>
      <c r="I772" s="49"/>
      <c r="J772" s="49"/>
      <c r="K772" s="49"/>
      <c r="L772" s="49"/>
      <c r="M772" s="49"/>
      <c r="N772" s="49"/>
      <c r="O772" s="49"/>
      <c r="P772" s="49"/>
      <c r="Q772" s="49"/>
      <c r="R772" s="49"/>
      <c r="S772" s="49"/>
      <c r="T772" s="49"/>
      <c r="U772" s="49"/>
      <c r="V772" s="49"/>
      <c r="W772" s="49"/>
      <c r="X772" s="49"/>
      <c r="Y772" s="49"/>
      <c r="Z772" s="49"/>
    </row>
    <row r="773">
      <c r="A773" s="49" t="str">
        <f>IFERROR(__xludf.DUMMYFUNCTION("""COMPUTED_VALUE"""),"Soldier's Charge")</f>
        <v>Soldier's Charge</v>
      </c>
      <c r="B773" s="49"/>
      <c r="C773" s="49" t="str">
        <f>IFERROR(__xludf.DUMMYFUNCTION("""COMPUTED_VALUE"""),"Firearm")</f>
        <v>Firearm</v>
      </c>
      <c r="D773" s="49" t="str">
        <f>IFERROR(__xludf.DUMMYFUNCTION("""COMPUTED_VALUE"""),"Hand")</f>
        <v>Hand</v>
      </c>
      <c r="E773" s="49">
        <f>IFERROR(__xludf.DUMMYFUNCTION("""COMPUTED_VALUE"""),4400.0)</f>
        <v>4400</v>
      </c>
      <c r="F773" s="49" t="str">
        <f>IFERROR(__xludf.DUMMYFUNCTION("""COMPUTED_VALUE"""),"DMG: +60000, Fire DMG: +60000, Spirit DMG: +100000")</f>
        <v>DMG: +60000, Fire DMG: +60000, Spirit DMG: +100000</v>
      </c>
      <c r="G773" s="49">
        <f>IFERROR(__xludf.DUMMYFUNCTION("""COMPUTED_VALUE"""),9.658E8)</f>
        <v>965800000</v>
      </c>
      <c r="H773" s="49"/>
      <c r="I773" s="49"/>
      <c r="J773" s="49"/>
      <c r="K773" s="49"/>
      <c r="L773" s="49"/>
      <c r="M773" s="49"/>
      <c r="N773" s="49"/>
      <c r="O773" s="49"/>
      <c r="P773" s="49"/>
      <c r="Q773" s="49"/>
      <c r="R773" s="49"/>
      <c r="S773" s="49"/>
      <c r="T773" s="49"/>
      <c r="U773" s="49"/>
      <c r="V773" s="49"/>
      <c r="W773" s="49"/>
      <c r="X773" s="49"/>
      <c r="Y773" s="49"/>
      <c r="Z773" s="49"/>
    </row>
    <row r="774">
      <c r="A774" s="49" t="str">
        <f>IFERROR(__xludf.DUMMYFUNCTION("""COMPUTED_VALUE"""),"Weight of Sin")</f>
        <v>Weight of Sin</v>
      </c>
      <c r="B774" s="49"/>
      <c r="C774" s="49" t="str">
        <f>IFERROR(__xludf.DUMMYFUNCTION("""COMPUTED_VALUE"""),"Item")</f>
        <v>Item</v>
      </c>
      <c r="D774" s="49" t="str">
        <f>IFERROR(__xludf.DUMMYFUNCTION("""COMPUTED_VALUE"""),"Torso")</f>
        <v>Torso</v>
      </c>
      <c r="E774" s="49">
        <f>IFERROR(__xludf.DUMMYFUNCTION("""COMPUTED_VALUE"""),11200.0)</f>
        <v>11200</v>
      </c>
      <c r="F774" s="49" t="str">
        <f>IFERROR(__xludf.DUMMYFUNCTION("""COMPUTED_VALUE"""),"DEF: +560000 +-Always go last in turn order, +-Cannot be removed")</f>
        <v>DEF: +560000 +-Always go last in turn order, +-Cannot be removed</v>
      </c>
      <c r="G774" s="49">
        <f>IFERROR(__xludf.DUMMYFUNCTION("""COMPUTED_VALUE"""),6.2664E9)</f>
        <v>6266400000</v>
      </c>
      <c r="H774" s="49"/>
      <c r="I774" s="49"/>
      <c r="J774" s="49"/>
      <c r="K774" s="49"/>
      <c r="L774" s="49"/>
      <c r="M774" s="49"/>
      <c r="N774" s="49"/>
      <c r="O774" s="49"/>
      <c r="P774" s="49"/>
      <c r="Q774" s="49"/>
      <c r="R774" s="49"/>
      <c r="S774" s="49"/>
      <c r="T774" s="49"/>
      <c r="U774" s="49"/>
      <c r="V774" s="49"/>
      <c r="W774" s="49"/>
      <c r="X774" s="49"/>
      <c r="Y774" s="49"/>
      <c r="Z774" s="49"/>
    </row>
    <row r="775">
      <c r="A775" s="49" t="str">
        <f>IFERROR(__xludf.DUMMYFUNCTION("""COMPUTED_VALUE"""),"Volcano's Summit")</f>
        <v>Volcano's Summit</v>
      </c>
      <c r="B775" s="49"/>
      <c r="C775" s="49" t="str">
        <f>IFERROR(__xludf.DUMMYFUNCTION("""COMPUTED_VALUE"""),"Item")</f>
        <v>Item</v>
      </c>
      <c r="D775" s="49" t="str">
        <f>IFERROR(__xludf.DUMMYFUNCTION("""COMPUTED_VALUE"""),"Head")</f>
        <v>Head</v>
      </c>
      <c r="E775" s="49">
        <f>IFERROR(__xludf.DUMMYFUNCTION("""COMPUTED_VALUE"""),4000.0)</f>
        <v>4000</v>
      </c>
      <c r="F775" s="49" t="str">
        <f>IFERROR(__xludf.DUMMYFUNCTION("""COMPUTED_VALUE"""),", Fire DEF: +200000 ++X2 Fire damage")</f>
        <v>, Fire DEF: +200000 ++X2 Fire damage</v>
      </c>
      <c r="G775" s="49">
        <f>IFERROR(__xludf.DUMMYFUNCTION("""COMPUTED_VALUE"""),7.98E8)</f>
        <v>798000000</v>
      </c>
      <c r="H775" s="49"/>
      <c r="I775" s="49"/>
      <c r="J775" s="49"/>
      <c r="K775" s="49"/>
      <c r="L775" s="49"/>
      <c r="M775" s="49"/>
      <c r="N775" s="49"/>
      <c r="O775" s="49"/>
      <c r="P775" s="49"/>
      <c r="Q775" s="49"/>
      <c r="R775" s="49"/>
      <c r="S775" s="49"/>
      <c r="T775" s="49"/>
      <c r="U775" s="49"/>
      <c r="V775" s="49"/>
      <c r="W775" s="49"/>
      <c r="X775" s="49"/>
      <c r="Y775" s="49"/>
      <c r="Z775" s="49"/>
    </row>
    <row r="776">
      <c r="A776" s="49" t="str">
        <f>IFERROR(__xludf.DUMMYFUNCTION("""COMPUTED_VALUE"""),"Long Distance Loveletter")</f>
        <v>Long Distance Loveletter</v>
      </c>
      <c r="B776" s="49"/>
      <c r="C776" s="49" t="str">
        <f>IFERROR(__xludf.DUMMYFUNCTION("""COMPUTED_VALUE"""),"Firearm")</f>
        <v>Firearm</v>
      </c>
      <c r="D776" s="49" t="str">
        <f>IFERROR(__xludf.DUMMYFUNCTION("""COMPUTED_VALUE"""),"Hand")</f>
        <v>Hand</v>
      </c>
      <c r="E776" s="49">
        <f>IFERROR(__xludf.DUMMYFUNCTION("""COMPUTED_VALUE"""),12000.0)</f>
        <v>12000</v>
      </c>
      <c r="F776" s="49" t="str">
        <f>IFERROR(__xludf.DUMMYFUNCTION("""COMPUTED_VALUE"""),"DMG: +600000 ++10% chance for 1 enemy to become an ally at the beginning of battle.")</f>
        <v>DMG: +600000 ++10% chance for 1 enemy to become an ally at the beginning of battle.</v>
      </c>
      <c r="G776" s="49">
        <f>IFERROR(__xludf.DUMMYFUNCTION("""COMPUTED_VALUE"""),7.194E9)</f>
        <v>7194000000</v>
      </c>
      <c r="H776" s="49"/>
      <c r="I776" s="49"/>
      <c r="J776" s="49"/>
      <c r="K776" s="49"/>
      <c r="L776" s="49"/>
      <c r="M776" s="49"/>
      <c r="N776" s="49"/>
      <c r="O776" s="49"/>
      <c r="P776" s="49"/>
      <c r="Q776" s="49"/>
      <c r="R776" s="49"/>
      <c r="S776" s="49"/>
      <c r="T776" s="49"/>
      <c r="U776" s="49"/>
      <c r="V776" s="49"/>
      <c r="W776" s="49"/>
      <c r="X776" s="49"/>
      <c r="Y776" s="49"/>
      <c r="Z776" s="49"/>
    </row>
    <row r="777">
      <c r="A777" s="49" t="str">
        <f>IFERROR(__xludf.DUMMYFUNCTION("""COMPUTED_VALUE"""),"Cursed Child's Hatchet")</f>
        <v>Cursed Child's Hatchet</v>
      </c>
      <c r="B777" s="49"/>
      <c r="C777" s="49" t="str">
        <f>IFERROR(__xludf.DUMMYFUNCTION("""COMPUTED_VALUE"""),"Axe")</f>
        <v>Axe</v>
      </c>
      <c r="D777" s="49" t="str">
        <f>IFERROR(__xludf.DUMMYFUNCTION("""COMPUTED_VALUE"""),"Hand")</f>
        <v>Hand</v>
      </c>
      <c r="E777" s="49">
        <f>IFERROR(__xludf.DUMMYFUNCTION("""COMPUTED_VALUE"""),3000.0)</f>
        <v>3000</v>
      </c>
      <c r="F777" s="49" t="str">
        <f>IFERROR(__xludf.DUMMYFUNCTION("""COMPUTED_VALUE"""),"DMG: +150000 +- 15% chance of attacking a random ally")</f>
        <v>DMG: +150000 +- 15% chance of attacking a random ally</v>
      </c>
      <c r="G777" s="49">
        <f>IFERROR(__xludf.DUMMYFUNCTION("""COMPUTED_VALUE"""),4.485E8)</f>
        <v>448500000</v>
      </c>
      <c r="H777" s="49"/>
      <c r="I777" s="49"/>
      <c r="J777" s="49"/>
      <c r="K777" s="49"/>
      <c r="L777" s="49"/>
      <c r="M777" s="49"/>
      <c r="N777" s="49"/>
      <c r="O777" s="49"/>
      <c r="P777" s="49"/>
      <c r="Q777" s="49"/>
      <c r="R777" s="49"/>
      <c r="S777" s="49"/>
      <c r="T777" s="49"/>
      <c r="U777" s="49"/>
      <c r="V777" s="49"/>
      <c r="W777" s="49"/>
      <c r="X777" s="49"/>
      <c r="Y777" s="49"/>
      <c r="Z777" s="49"/>
    </row>
    <row r="778">
      <c r="A778" s="49" t="str">
        <f>IFERROR(__xludf.DUMMYFUNCTION("""COMPUTED_VALUE"""),"Helm of Lost Hope")</f>
        <v>Helm of Lost Hope</v>
      </c>
      <c r="B778" s="49"/>
      <c r="C778" s="49" t="str">
        <f>IFERROR(__xludf.DUMMYFUNCTION("""COMPUTED_VALUE"""),"Item")</f>
        <v>Item</v>
      </c>
      <c r="D778" s="49" t="str">
        <f>IFERROR(__xludf.DUMMYFUNCTION("""COMPUTED_VALUE"""),"Head")</f>
        <v>Head</v>
      </c>
      <c r="E778" s="49">
        <f>IFERROR(__xludf.DUMMYFUNCTION("""COMPUTED_VALUE"""),6800.0)</f>
        <v>6800</v>
      </c>
      <c r="F778" s="49" t="str">
        <f>IFERROR(__xludf.DUMMYFUNCTION("""COMPUTED_VALUE"""),"DEF: +340000")</f>
        <v>DEF: +340000</v>
      </c>
      <c r="G778" s="49">
        <f>IFERROR(__xludf.DUMMYFUNCTION("""COMPUTED_VALUE"""),2.3086E9)</f>
        <v>2308600000</v>
      </c>
      <c r="H778" s="49"/>
      <c r="I778" s="49"/>
      <c r="J778" s="49"/>
      <c r="K778" s="49"/>
      <c r="L778" s="49"/>
      <c r="M778" s="49"/>
      <c r="N778" s="49"/>
      <c r="O778" s="49"/>
      <c r="P778" s="49"/>
      <c r="Q778" s="49"/>
      <c r="R778" s="49"/>
      <c r="S778" s="49"/>
      <c r="T778" s="49"/>
      <c r="U778" s="49"/>
      <c r="V778" s="49"/>
      <c r="W778" s="49"/>
      <c r="X778" s="49"/>
      <c r="Y778" s="49"/>
      <c r="Z778" s="49"/>
    </row>
    <row r="779">
      <c r="A779" s="49" t="str">
        <f>IFERROR(__xludf.DUMMYFUNCTION("""COMPUTED_VALUE"""),"Cursed Shield")</f>
        <v>Cursed Shield</v>
      </c>
      <c r="B779" s="49"/>
      <c r="C779" s="49" t="str">
        <f>IFERROR(__xludf.DUMMYFUNCTION("""COMPUTED_VALUE"""),"Towershield")</f>
        <v>Towershield</v>
      </c>
      <c r="D779" s="49" t="str">
        <f>IFERROR(__xludf.DUMMYFUNCTION("""COMPUTED_VALUE"""),"Hand")</f>
        <v>Hand</v>
      </c>
      <c r="E779" s="49">
        <f>IFERROR(__xludf.DUMMYFUNCTION("""COMPUTED_VALUE"""),3200.0)</f>
        <v>3200</v>
      </c>
      <c r="F779" s="49" t="str">
        <f>IFERROR(__xludf.DUMMYFUNCTION("""COMPUTED_VALUE"""),"DEF: +160000 +-Unequipping destroys the item")</f>
        <v>DEF: +160000 +-Unequipping destroys the item</v>
      </c>
      <c r="G779" s="49">
        <f>IFERROR(__xludf.DUMMYFUNCTION("""COMPUTED_VALUE"""),5.104E8)</f>
        <v>510400000</v>
      </c>
      <c r="H779" s="49"/>
      <c r="I779" s="49"/>
      <c r="J779" s="49"/>
      <c r="K779" s="49"/>
      <c r="L779" s="49"/>
      <c r="M779" s="49"/>
      <c r="N779" s="49"/>
      <c r="O779" s="49"/>
      <c r="P779" s="49"/>
      <c r="Q779" s="49"/>
      <c r="R779" s="49"/>
      <c r="S779" s="49"/>
      <c r="T779" s="49"/>
      <c r="U779" s="49"/>
      <c r="V779" s="49"/>
      <c r="W779" s="49"/>
      <c r="X779" s="49"/>
      <c r="Y779" s="49"/>
      <c r="Z779" s="49"/>
    </row>
    <row r="780">
      <c r="A780" s="49" t="str">
        <f>IFERROR(__xludf.DUMMYFUNCTION("""COMPUTED_VALUE"""),"Dragonscale Buckler")</f>
        <v>Dragonscale Buckler</v>
      </c>
      <c r="B780" s="49"/>
      <c r="C780" s="49" t="str">
        <f>IFERROR(__xludf.DUMMYFUNCTION("""COMPUTED_VALUE"""),"Buckler")</f>
        <v>Buckler</v>
      </c>
      <c r="D780" s="49" t="str">
        <f>IFERROR(__xludf.DUMMYFUNCTION("""COMPUTED_VALUE"""),"Hand")</f>
        <v>Hand</v>
      </c>
      <c r="E780" s="49">
        <f>IFERROR(__xludf.DUMMYFUNCTION("""COMPUTED_VALUE"""),2140.0)</f>
        <v>2140</v>
      </c>
      <c r="F780" s="49" t="str">
        <f>IFERROR(__xludf.DUMMYFUNCTION("""COMPUTED_VALUE"""),"DEF: +107000")</f>
        <v>DEF: +107000</v>
      </c>
      <c r="G780" s="49">
        <f>IFERROR(__xludf.DUMMYFUNCTION("""COMPUTED_VALUE"""),2.2791E8)</f>
        <v>227910000</v>
      </c>
      <c r="H780" s="49"/>
      <c r="I780" s="49"/>
      <c r="J780" s="49"/>
      <c r="K780" s="49"/>
      <c r="L780" s="49"/>
      <c r="M780" s="49"/>
      <c r="N780" s="49"/>
      <c r="O780" s="49"/>
      <c r="P780" s="49"/>
      <c r="Q780" s="49"/>
      <c r="R780" s="49"/>
      <c r="S780" s="49"/>
      <c r="T780" s="49"/>
      <c r="U780" s="49"/>
      <c r="V780" s="49"/>
      <c r="W780" s="49"/>
      <c r="X780" s="49"/>
      <c r="Y780" s="49"/>
      <c r="Z780" s="49"/>
    </row>
    <row r="781">
      <c r="A781" s="49" t="str">
        <f>IFERROR(__xludf.DUMMYFUNCTION("""COMPUTED_VALUE"""),"Magma Trident")</f>
        <v>Magma Trident</v>
      </c>
      <c r="B781" s="49"/>
      <c r="C781" s="49" t="str">
        <f>IFERROR(__xludf.DUMMYFUNCTION("""COMPUTED_VALUE"""),"Spear")</f>
        <v>Spear</v>
      </c>
      <c r="D781" s="49" t="str">
        <f>IFERROR(__xludf.DUMMYFUNCTION("""COMPUTED_VALUE"""),"Hand")</f>
        <v>Hand</v>
      </c>
      <c r="E781" s="49">
        <f>IFERROR(__xludf.DUMMYFUNCTION("""COMPUTED_VALUE"""),4000.0)</f>
        <v>4000</v>
      </c>
      <c r="F781" s="49" t="str">
        <f>IFERROR(__xludf.DUMMYFUNCTION("""COMPUTED_VALUE"""),"DMG: +100000, Fire DMG: +100000")</f>
        <v>DMG: +100000, Fire DMG: +100000</v>
      </c>
      <c r="G781" s="49">
        <f>IFERROR(__xludf.DUMMYFUNCTION("""COMPUTED_VALUE"""),7.98E8)</f>
        <v>798000000</v>
      </c>
      <c r="H781" s="49"/>
      <c r="I781" s="49"/>
      <c r="J781" s="49"/>
      <c r="K781" s="49"/>
      <c r="L781" s="49"/>
      <c r="M781" s="49"/>
      <c r="N781" s="49"/>
      <c r="O781" s="49"/>
      <c r="P781" s="49"/>
      <c r="Q781" s="49"/>
      <c r="R781" s="49"/>
      <c r="S781" s="49"/>
      <c r="T781" s="49"/>
      <c r="U781" s="49"/>
      <c r="V781" s="49"/>
      <c r="W781" s="49"/>
      <c r="X781" s="49"/>
      <c r="Y781" s="49"/>
      <c r="Z781" s="49"/>
    </row>
    <row r="782">
      <c r="A782" s="49" t="str">
        <f>IFERROR(__xludf.DUMMYFUNCTION("""COMPUTED_VALUE"""),"Bonemerang")</f>
        <v>Bonemerang</v>
      </c>
      <c r="B782" s="49"/>
      <c r="C782" s="49" t="str">
        <f>IFERROR(__xludf.DUMMYFUNCTION("""COMPUTED_VALUE"""),"Boomerang")</f>
        <v>Boomerang</v>
      </c>
      <c r="D782" s="49" t="str">
        <f>IFERROR(__xludf.DUMMYFUNCTION("""COMPUTED_VALUE"""),"Hand")</f>
        <v>Hand</v>
      </c>
      <c r="E782" s="49">
        <f>IFERROR(__xludf.DUMMYFUNCTION("""COMPUTED_VALUE"""),5200.0)</f>
        <v>5200</v>
      </c>
      <c r="F782" s="49" t="str">
        <f>IFERROR(__xludf.DUMMYFUNCTION("""COMPUTED_VALUE"""),"DMG: +250000, Chaos DMG: +10000")</f>
        <v>DMG: +250000, Chaos DMG: +10000</v>
      </c>
      <c r="G782" s="49">
        <f>IFERROR(__xludf.DUMMYFUNCTION("""COMPUTED_VALUE"""),1.3494E9)</f>
        <v>1349400000</v>
      </c>
      <c r="H782" s="49"/>
      <c r="I782" s="49"/>
      <c r="J782" s="49"/>
      <c r="K782" s="49"/>
      <c r="L782" s="49"/>
      <c r="M782" s="49"/>
      <c r="N782" s="49"/>
      <c r="O782" s="49"/>
      <c r="P782" s="49"/>
      <c r="Q782" s="49"/>
      <c r="R782" s="49"/>
      <c r="S782" s="49"/>
      <c r="T782" s="49"/>
      <c r="U782" s="49"/>
      <c r="V782" s="49"/>
      <c r="W782" s="49"/>
      <c r="X782" s="49"/>
      <c r="Y782" s="49"/>
      <c r="Z782" s="49"/>
    </row>
    <row r="783">
      <c r="A783" s="49" t="str">
        <f>IFERROR(__xludf.DUMMYFUNCTION("""COMPUTED_VALUE"""),"Blamerang")</f>
        <v>Blamerang</v>
      </c>
      <c r="B783" s="49"/>
      <c r="C783" s="49" t="str">
        <f>IFERROR(__xludf.DUMMYFUNCTION("""COMPUTED_VALUE"""),"Boomerang")</f>
        <v>Boomerang</v>
      </c>
      <c r="D783" s="49" t="str">
        <f>IFERROR(__xludf.DUMMYFUNCTION("""COMPUTED_VALUE"""),"Hand")</f>
        <v>Hand</v>
      </c>
      <c r="E783" s="49">
        <f>IFERROR(__xludf.DUMMYFUNCTION("""COMPUTED_VALUE"""),4400.0)</f>
        <v>4400</v>
      </c>
      <c r="F783" s="49" t="str">
        <f>IFERROR(__xludf.DUMMYFUNCTION("""COMPUTED_VALUE"""),"DMG: +20000, Fire DMG: +200000 ++Explodes when thrown at an enemy, hitting other enemies")</f>
        <v>DMG: +20000, Fire DMG: +200000 ++Explodes when thrown at an enemy, hitting other enemies</v>
      </c>
      <c r="G783" s="49">
        <f>IFERROR(__xludf.DUMMYFUNCTION("""COMPUTED_VALUE"""),9.658E8)</f>
        <v>965800000</v>
      </c>
      <c r="H783" s="49"/>
      <c r="I783" s="49"/>
      <c r="J783" s="49"/>
      <c r="K783" s="49"/>
      <c r="L783" s="49"/>
      <c r="M783" s="49"/>
      <c r="N783" s="49"/>
      <c r="O783" s="49"/>
      <c r="P783" s="49"/>
      <c r="Q783" s="49"/>
      <c r="R783" s="49"/>
      <c r="S783" s="49"/>
      <c r="T783" s="49"/>
      <c r="U783" s="49"/>
      <c r="V783" s="49"/>
      <c r="W783" s="49"/>
      <c r="X783" s="49"/>
      <c r="Y783" s="49"/>
      <c r="Z783" s="49"/>
    </row>
    <row r="784">
      <c r="A784" s="49" t="str">
        <f>IFERROR(__xludf.DUMMYFUNCTION("""COMPUTED_VALUE"""),"Condemned Bow")</f>
        <v>Condemned Bow</v>
      </c>
      <c r="B784" s="49"/>
      <c r="C784" s="49" t="str">
        <f>IFERROR(__xludf.DUMMYFUNCTION("""COMPUTED_VALUE"""),"Bow")</f>
        <v>Bow</v>
      </c>
      <c r="D784" s="49" t="str">
        <f>IFERROR(__xludf.DUMMYFUNCTION("""COMPUTED_VALUE"""),"Hand")</f>
        <v>Hand</v>
      </c>
      <c r="E784" s="49">
        <f>IFERROR(__xludf.DUMMYFUNCTION("""COMPUTED_VALUE"""),6000.0)</f>
        <v>6000</v>
      </c>
      <c r="F784" s="49" t="str">
        <f>IFERROR(__xludf.DUMMYFUNCTION("""COMPUTED_VALUE"""),"DMG: +300000 +-5% chance for the DM to take control of your turn")</f>
        <v>DMG: +300000 +-5% chance for the DM to take control of your turn</v>
      </c>
      <c r="G784" s="49">
        <f>IFERROR(__xludf.DUMMYFUNCTION("""COMPUTED_VALUE"""),1.797E9)</f>
        <v>1797000000</v>
      </c>
      <c r="H784" s="49"/>
      <c r="I784" s="49"/>
      <c r="J784" s="49"/>
      <c r="K784" s="49"/>
      <c r="L784" s="49"/>
      <c r="M784" s="49"/>
      <c r="N784" s="49"/>
      <c r="O784" s="49"/>
      <c r="P784" s="49"/>
      <c r="Q784" s="49"/>
      <c r="R784" s="49"/>
      <c r="S784" s="49"/>
      <c r="T784" s="49"/>
      <c r="U784" s="49"/>
      <c r="V784" s="49"/>
      <c r="W784" s="49"/>
      <c r="X784" s="49"/>
      <c r="Y784" s="49"/>
      <c r="Z784" s="49"/>
    </row>
    <row r="785">
      <c r="A785" s="49" t="str">
        <f>IFERROR(__xludf.DUMMYFUNCTION("""COMPUTED_VALUE"""),"Ancient Blacksmith's Soul In A Bottle")</f>
        <v>Ancient Blacksmith's Soul In A Bottle</v>
      </c>
      <c r="B785" s="49"/>
      <c r="C785" s="49" t="str">
        <f>IFERROR(__xludf.DUMMYFUNCTION("""COMPUTED_VALUE"""),"Item")</f>
        <v>Item</v>
      </c>
      <c r="D785" s="49" t="str">
        <f>IFERROR(__xludf.DUMMYFUNCTION("""COMPUTED_VALUE"""),"Neck")</f>
        <v>Neck</v>
      </c>
      <c r="E785" s="49">
        <f>IFERROR(__xludf.DUMMYFUNCTION("""COMPUTED_VALUE"""),1.0)</f>
        <v>1</v>
      </c>
      <c r="F785" s="49"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49">
        <f>IFERROR(__xludf.DUMMYFUNCTION("""COMPUTED_VALUE"""),0.0)</f>
        <v>0</v>
      </c>
      <c r="H785" s="49"/>
      <c r="I785" s="49"/>
      <c r="J785" s="49"/>
      <c r="K785" s="49"/>
      <c r="L785" s="49"/>
      <c r="M785" s="49"/>
      <c r="N785" s="49"/>
      <c r="O785" s="49"/>
      <c r="P785" s="49"/>
      <c r="Q785" s="49"/>
      <c r="R785" s="49"/>
      <c r="S785" s="49"/>
      <c r="T785" s="49"/>
      <c r="U785" s="49"/>
      <c r="V785" s="49"/>
      <c r="W785" s="49"/>
      <c r="X785" s="49"/>
      <c r="Y785" s="49"/>
      <c r="Z785" s="49"/>
    </row>
    <row r="786">
      <c r="A786" s="49" t="str">
        <f>IFERROR(__xludf.DUMMYFUNCTION("""COMPUTED_VALUE"""),"Ancient Breeder's Soul In A Bottle")</f>
        <v>Ancient Breeder's Soul In A Bottle</v>
      </c>
      <c r="B786" s="49"/>
      <c r="C786" s="49" t="str">
        <f>IFERROR(__xludf.DUMMYFUNCTION("""COMPUTED_VALUE"""),"Item")</f>
        <v>Item</v>
      </c>
      <c r="D786" s="49" t="str">
        <f>IFERROR(__xludf.DUMMYFUNCTION("""COMPUTED_VALUE"""),"Neck")</f>
        <v>Neck</v>
      </c>
      <c r="E786" s="49">
        <f>IFERROR(__xludf.DUMMYFUNCTION("""COMPUTED_VALUE"""),1.0)</f>
        <v>1</v>
      </c>
      <c r="F786" s="49" t="str">
        <f>IFERROR(__xludf.DUMMYFUNCTION("""COMPUTED_VALUE""")," ++All creatures hatched from an egg deal X5 damage of all types.")</f>
        <v> ++All creatures hatched from an egg deal X5 damage of all types.</v>
      </c>
      <c r="G786" s="49">
        <f>IFERROR(__xludf.DUMMYFUNCTION("""COMPUTED_VALUE"""),0.0)</f>
        <v>0</v>
      </c>
      <c r="H786" s="49"/>
      <c r="I786" s="49"/>
      <c r="J786" s="49"/>
      <c r="K786" s="49"/>
      <c r="L786" s="49"/>
      <c r="M786" s="49"/>
      <c r="N786" s="49"/>
      <c r="O786" s="49"/>
      <c r="P786" s="49"/>
      <c r="Q786" s="49"/>
      <c r="R786" s="49"/>
      <c r="S786" s="49"/>
      <c r="T786" s="49"/>
      <c r="U786" s="49"/>
      <c r="V786" s="49"/>
      <c r="W786" s="49"/>
      <c r="X786" s="49"/>
      <c r="Y786" s="49"/>
      <c r="Z786" s="49"/>
    </row>
    <row r="787">
      <c r="A787" s="49" t="str">
        <f>IFERROR(__xludf.DUMMYFUNCTION("""COMPUTED_VALUE"""),"Ancient Crafter's Soul In A Bottle")</f>
        <v>Ancient Crafter's Soul In A Bottle</v>
      </c>
      <c r="B787" s="49"/>
      <c r="C787" s="49" t="str">
        <f>IFERROR(__xludf.DUMMYFUNCTION("""COMPUTED_VALUE"""),"Item")</f>
        <v>Item</v>
      </c>
      <c r="D787" s="49" t="str">
        <f>IFERROR(__xludf.DUMMYFUNCTION("""COMPUTED_VALUE"""),"Neck")</f>
        <v>Neck</v>
      </c>
      <c r="E787" s="49">
        <f>IFERROR(__xludf.DUMMYFUNCTION("""COMPUTED_VALUE"""),1.0)</f>
        <v>1</v>
      </c>
      <c r="F787" s="49" t="str">
        <f>IFERROR(__xludf.DUMMYFUNCTION("""COMPUTED_VALUE""")," ++Triples all crafting materials gathered")</f>
        <v> ++Triples all crafting materials gathered</v>
      </c>
      <c r="G787" s="49">
        <f>IFERROR(__xludf.DUMMYFUNCTION("""COMPUTED_VALUE"""),0.0)</f>
        <v>0</v>
      </c>
      <c r="H787" s="49"/>
      <c r="I787" s="49"/>
      <c r="J787" s="49"/>
      <c r="K787" s="49"/>
      <c r="L787" s="49"/>
      <c r="M787" s="49"/>
      <c r="N787" s="49"/>
      <c r="O787" s="49"/>
      <c r="P787" s="49"/>
      <c r="Q787" s="49"/>
      <c r="R787" s="49"/>
      <c r="S787" s="49"/>
      <c r="T787" s="49"/>
      <c r="U787" s="49"/>
      <c r="V787" s="49"/>
      <c r="W787" s="49"/>
      <c r="X787" s="49"/>
      <c r="Y787" s="49"/>
      <c r="Z787" s="49"/>
    </row>
    <row r="788">
      <c r="A788" s="49" t="str">
        <f>IFERROR(__xludf.DUMMYFUNCTION("""COMPUTED_VALUE"""),"Ancient Alchemist's Soul In A Bottle")</f>
        <v>Ancient Alchemist's Soul In A Bottle</v>
      </c>
      <c r="B788" s="49"/>
      <c r="C788" s="49" t="str">
        <f>IFERROR(__xludf.DUMMYFUNCTION("""COMPUTED_VALUE"""),"Item")</f>
        <v>Item</v>
      </c>
      <c r="D788" s="49" t="str">
        <f>IFERROR(__xludf.DUMMYFUNCTION("""COMPUTED_VALUE"""),"Neck")</f>
        <v>Neck</v>
      </c>
      <c r="E788" s="49">
        <f>IFERROR(__xludf.DUMMYFUNCTION("""COMPUTED_VALUE"""),1.0)</f>
        <v>1</v>
      </c>
      <c r="F788" s="49" t="str">
        <f>IFERROR(__xludf.DUMMYFUNCTION("""COMPUTED_VALUE""")," ++Doubles the effect of all herbs and potions")</f>
        <v> ++Doubles the effect of all herbs and potions</v>
      </c>
      <c r="G788" s="49">
        <f>IFERROR(__xludf.DUMMYFUNCTION("""COMPUTED_VALUE"""),0.0)</f>
        <v>0</v>
      </c>
      <c r="H788" s="49"/>
      <c r="I788" s="49"/>
      <c r="J788" s="49"/>
      <c r="K788" s="49"/>
      <c r="L788" s="49"/>
      <c r="M788" s="49"/>
      <c r="N788" s="49"/>
      <c r="O788" s="49"/>
      <c r="P788" s="49"/>
      <c r="Q788" s="49"/>
      <c r="R788" s="49"/>
      <c r="S788" s="49"/>
      <c r="T788" s="49"/>
      <c r="U788" s="49"/>
      <c r="V788" s="49"/>
      <c r="W788" s="49"/>
      <c r="X788" s="49"/>
      <c r="Y788" s="49"/>
      <c r="Z788" s="49"/>
    </row>
    <row r="789">
      <c r="A789" s="49" t="str">
        <f>IFERROR(__xludf.DUMMYFUNCTION("""COMPUTED_VALUE"""),"Ancient Farmer's Soul In A Bottle")</f>
        <v>Ancient Farmer's Soul In A Bottle</v>
      </c>
      <c r="B789" s="49"/>
      <c r="C789" s="49" t="str">
        <f>IFERROR(__xludf.DUMMYFUNCTION("""COMPUTED_VALUE"""),"Item")</f>
        <v>Item</v>
      </c>
      <c r="D789" s="49" t="str">
        <f>IFERROR(__xludf.DUMMYFUNCTION("""COMPUTED_VALUE"""),"Neck")</f>
        <v>Neck</v>
      </c>
      <c r="E789" s="49">
        <f>IFERROR(__xludf.DUMMYFUNCTION("""COMPUTED_VALUE"""),1.0)</f>
        <v>1</v>
      </c>
      <c r="F789" s="49" t="str">
        <f>IFERROR(__xludf.DUMMYFUNCTION("""COMPUTED_VALUE""")," ++Doubles all items harvested from your farms")</f>
        <v> ++Doubles all items harvested from your farms</v>
      </c>
      <c r="G789" s="49">
        <f>IFERROR(__xludf.DUMMYFUNCTION("""COMPUTED_VALUE"""),0.0)</f>
        <v>0</v>
      </c>
      <c r="H789" s="49"/>
      <c r="I789" s="49"/>
      <c r="J789" s="49"/>
      <c r="K789" s="49"/>
      <c r="L789" s="49"/>
      <c r="M789" s="49"/>
      <c r="N789" s="49"/>
      <c r="O789" s="49"/>
      <c r="P789" s="49"/>
      <c r="Q789" s="49"/>
      <c r="R789" s="49"/>
      <c r="S789" s="49"/>
      <c r="T789" s="49"/>
      <c r="U789" s="49"/>
      <c r="V789" s="49"/>
      <c r="W789" s="49"/>
      <c r="X789" s="49"/>
      <c r="Y789" s="49"/>
      <c r="Z789" s="49"/>
    </row>
    <row r="790">
      <c r="A790" s="49" t="str">
        <f>IFERROR(__xludf.DUMMYFUNCTION("""COMPUTED_VALUE"""),"Ancient Chef's Soul In A Bottle")</f>
        <v>Ancient Chef's Soul In A Bottle</v>
      </c>
      <c r="B790" s="49"/>
      <c r="C790" s="49" t="str">
        <f>IFERROR(__xludf.DUMMYFUNCTION("""COMPUTED_VALUE"""),"Item")</f>
        <v>Item</v>
      </c>
      <c r="D790" s="49" t="str">
        <f>IFERROR(__xludf.DUMMYFUNCTION("""COMPUTED_VALUE"""),"Neck")</f>
        <v>Neck</v>
      </c>
      <c r="E790" s="49">
        <f>IFERROR(__xludf.DUMMYFUNCTION("""COMPUTED_VALUE"""),1.0)</f>
        <v>1</v>
      </c>
      <c r="F790" s="49" t="str">
        <f>IFERROR(__xludf.DUMMYFUNCTION("""COMPUTED_VALUE""")," ++Doubles the effect of all food items cooked")</f>
        <v> ++Doubles the effect of all food items cooked</v>
      </c>
      <c r="G790" s="49">
        <f>IFERROR(__xludf.DUMMYFUNCTION("""COMPUTED_VALUE"""),0.0)</f>
        <v>0</v>
      </c>
      <c r="H790" s="49"/>
      <c r="I790" s="49"/>
      <c r="J790" s="49"/>
      <c r="K790" s="49"/>
      <c r="L790" s="49"/>
      <c r="M790" s="49"/>
      <c r="N790" s="49"/>
      <c r="O790" s="49"/>
      <c r="P790" s="49"/>
      <c r="Q790" s="49"/>
      <c r="R790" s="49"/>
      <c r="S790" s="49"/>
      <c r="T790" s="49"/>
      <c r="U790" s="49"/>
      <c r="V790" s="49"/>
      <c r="W790" s="49"/>
      <c r="X790" s="49"/>
      <c r="Y790" s="49"/>
      <c r="Z790" s="49"/>
    </row>
    <row r="791">
      <c r="A791" s="49" t="str">
        <f>IFERROR(__xludf.DUMMYFUNCTION("""COMPUTED_VALUE"""),"Ancient Miner's Soul In A Bottle")</f>
        <v>Ancient Miner's Soul In A Bottle</v>
      </c>
      <c r="B791" s="49"/>
      <c r="C791" s="49" t="str">
        <f>IFERROR(__xludf.DUMMYFUNCTION("""COMPUTED_VALUE"""),"Item")</f>
        <v>Item</v>
      </c>
      <c r="D791" s="49" t="str">
        <f>IFERROR(__xludf.DUMMYFUNCTION("""COMPUTED_VALUE"""),"Neck")</f>
        <v>Neck</v>
      </c>
      <c r="E791" s="49">
        <f>IFERROR(__xludf.DUMMYFUNCTION("""COMPUTED_VALUE"""),1.0)</f>
        <v>1</v>
      </c>
      <c r="F791" s="49" t="str">
        <f>IFERROR(__xludf.DUMMYFUNCTION("""COMPUTED_VALUE""")," ++Doubles all minerals obtained while mining")</f>
        <v> ++Doubles all minerals obtained while mining</v>
      </c>
      <c r="G791" s="49">
        <f>IFERROR(__xludf.DUMMYFUNCTION("""COMPUTED_VALUE"""),0.0)</f>
        <v>0</v>
      </c>
      <c r="H791" s="49"/>
      <c r="I791" s="49"/>
      <c r="J791" s="49"/>
      <c r="K791" s="49"/>
      <c r="L791" s="49"/>
      <c r="M791" s="49"/>
      <c r="N791" s="49"/>
      <c r="O791" s="49"/>
      <c r="P791" s="49"/>
      <c r="Q791" s="49"/>
      <c r="R791" s="49"/>
      <c r="S791" s="49"/>
      <c r="T791" s="49"/>
      <c r="U791" s="49"/>
      <c r="V791" s="49"/>
      <c r="W791" s="49"/>
      <c r="X791" s="49"/>
      <c r="Y791" s="49"/>
      <c r="Z791" s="49"/>
    </row>
    <row r="792">
      <c r="A792" s="49" t="str">
        <f>IFERROR(__xludf.DUMMYFUNCTION("""COMPUTED_VALUE"""),"Ancient Spira Guard's Soul In A Bottle")</f>
        <v>Ancient Spira Guard's Soul In A Bottle</v>
      </c>
      <c r="B792" s="49"/>
      <c r="C792" s="49" t="str">
        <f>IFERROR(__xludf.DUMMYFUNCTION("""COMPUTED_VALUE"""),"Item")</f>
        <v>Item</v>
      </c>
      <c r="D792" s="49" t="str">
        <f>IFERROR(__xludf.DUMMYFUNCTION("""COMPUTED_VALUE"""),"Neck")</f>
        <v>Neck</v>
      </c>
      <c r="E792" s="49">
        <f>IFERROR(__xludf.DUMMYFUNCTION("""COMPUTED_VALUE"""),1.0)</f>
        <v>1</v>
      </c>
      <c r="F792" s="49" t="str">
        <f>IFERROR(__xludf.DUMMYFUNCTION("""COMPUTED_VALUE""")," ++Add +5 to all rolls to arrest")</f>
        <v> ++Add +5 to all rolls to arrest</v>
      </c>
      <c r="G792" s="49">
        <f>IFERROR(__xludf.DUMMYFUNCTION("""COMPUTED_VALUE"""),0.0)</f>
        <v>0</v>
      </c>
      <c r="H792" s="49"/>
      <c r="I792" s="49"/>
      <c r="J792" s="49"/>
      <c r="K792" s="49"/>
      <c r="L792" s="49"/>
      <c r="M792" s="49"/>
      <c r="N792" s="49"/>
      <c r="O792" s="49"/>
      <c r="P792" s="49"/>
      <c r="Q792" s="49"/>
      <c r="R792" s="49"/>
      <c r="S792" s="49"/>
      <c r="T792" s="49"/>
      <c r="U792" s="49"/>
      <c r="V792" s="49"/>
      <c r="W792" s="49"/>
      <c r="X792" s="49"/>
      <c r="Y792" s="49"/>
      <c r="Z792" s="49"/>
    </row>
    <row r="793">
      <c r="A793" s="49" t="str">
        <f>IFERROR(__xludf.DUMMYFUNCTION("""COMPUTED_VALUE"""),"Ancient Fisherman's Soul In A Bottle")</f>
        <v>Ancient Fisherman's Soul In A Bottle</v>
      </c>
      <c r="B793" s="49"/>
      <c r="C793" s="49" t="str">
        <f>IFERROR(__xludf.DUMMYFUNCTION("""COMPUTED_VALUE"""),"Item")</f>
        <v>Item</v>
      </c>
      <c r="D793" s="49" t="str">
        <f>IFERROR(__xludf.DUMMYFUNCTION("""COMPUTED_VALUE"""),"Neck")</f>
        <v>Neck</v>
      </c>
      <c r="E793" s="49">
        <f>IFERROR(__xludf.DUMMYFUNCTION("""COMPUTED_VALUE"""),1.0)</f>
        <v>1</v>
      </c>
      <c r="F793" s="49" t="str">
        <f>IFERROR(__xludf.DUMMYFUNCTION("""COMPUTED_VALUE""")," ++Doubles all fish obtained while fishing")</f>
        <v> ++Doubles all fish obtained while fishing</v>
      </c>
      <c r="G793" s="49">
        <f>IFERROR(__xludf.DUMMYFUNCTION("""COMPUTED_VALUE"""),0.0)</f>
        <v>0</v>
      </c>
      <c r="H793" s="49"/>
      <c r="I793" s="49"/>
      <c r="J793" s="49"/>
      <c r="K793" s="49"/>
      <c r="L793" s="49"/>
      <c r="M793" s="49"/>
      <c r="N793" s="49"/>
      <c r="O793" s="49"/>
      <c r="P793" s="49"/>
      <c r="Q793" s="49"/>
      <c r="R793" s="49"/>
      <c r="S793" s="49"/>
      <c r="T793" s="49"/>
      <c r="U793" s="49"/>
      <c r="V793" s="49"/>
      <c r="W793" s="49"/>
      <c r="X793" s="49"/>
      <c r="Y793" s="49"/>
      <c r="Z793" s="49"/>
    </row>
    <row r="794">
      <c r="A794" s="49" t="str">
        <f>IFERROR(__xludf.DUMMYFUNCTION("""COMPUTED_VALUE"""),"The Thumper")</f>
        <v>The Thumper</v>
      </c>
      <c r="B794" s="49"/>
      <c r="C794" s="49" t="str">
        <f>IFERROR(__xludf.DUMMYFUNCTION("""COMPUTED_VALUE"""),"Firearm")</f>
        <v>Firearm</v>
      </c>
      <c r="D794" s="49" t="str">
        <f>IFERROR(__xludf.DUMMYFUNCTION("""COMPUTED_VALUE"""),"Hand")</f>
        <v>Hand</v>
      </c>
      <c r="E794" s="49">
        <f>IFERROR(__xludf.DUMMYFUNCTION("""COMPUTED_VALUE"""),200.0)</f>
        <v>200</v>
      </c>
      <c r="F794" s="49" t="str">
        <f>IFERROR(__xludf.DUMMYFUNCTION("""COMPUTED_VALUE"""),"Dmg: +5000, Physical Dmg: +5000 ++Fires 3 Grenades, +-Uses Grenades as Ammo +-Cannot Be Forged or Duplicated")</f>
        <v>Dmg: +5000, Physical Dmg: +5000 ++Fires 3 Grenades, +-Uses Grenades as Ammo +-Cannot Be Forged or Duplicated</v>
      </c>
      <c r="G794" s="49">
        <f>IFERROR(__xludf.DUMMYFUNCTION("""COMPUTED_VALUE"""),1900000.0)</f>
        <v>1900000</v>
      </c>
      <c r="H794" s="49"/>
      <c r="I794" s="49"/>
      <c r="J794" s="49"/>
      <c r="K794" s="49"/>
      <c r="L794" s="49"/>
      <c r="M794" s="49"/>
      <c r="N794" s="49"/>
      <c r="O794" s="49"/>
      <c r="P794" s="49"/>
      <c r="Q794" s="49"/>
      <c r="R794" s="49"/>
      <c r="S794" s="49"/>
      <c r="T794" s="49"/>
      <c r="U794" s="49"/>
      <c r="V794" s="49"/>
      <c r="W794" s="49"/>
      <c r="X794" s="49"/>
      <c r="Y794" s="49"/>
      <c r="Z794" s="49"/>
    </row>
    <row r="795">
      <c r="A795" s="49" t="str">
        <f>IFERROR(__xludf.DUMMYFUNCTION("""COMPUTED_VALUE"""),"Undead King's Sword")</f>
        <v>Undead King's Sword</v>
      </c>
      <c r="B795" s="49"/>
      <c r="C795" s="49" t="str">
        <f>IFERROR(__xludf.DUMMYFUNCTION("""COMPUTED_VALUE"""),"Sword")</f>
        <v>Sword</v>
      </c>
      <c r="D795" s="49" t="str">
        <f>IFERROR(__xludf.DUMMYFUNCTION("""COMPUTED_VALUE"""),"Hand")</f>
        <v>Hand</v>
      </c>
      <c r="E795" s="49">
        <f>IFERROR(__xludf.DUMMYFUNCTION("""COMPUTED_VALUE"""),1.0)</f>
        <v>1</v>
      </c>
      <c r="F795" s="49" t="str">
        <f>IFERROR(__xludf.DUMMYFUNCTION("""COMPUTED_VALUE"""),"")</f>
        <v/>
      </c>
      <c r="G795" s="49">
        <f>IFERROR(__xludf.DUMMYFUNCTION("""COMPUTED_VALUE"""),0.0)</f>
        <v>0</v>
      </c>
      <c r="H795" s="49"/>
      <c r="I795" s="49"/>
      <c r="J795" s="49"/>
      <c r="K795" s="49"/>
      <c r="L795" s="49"/>
      <c r="M795" s="49"/>
      <c r="N795" s="49"/>
      <c r="O795" s="49"/>
      <c r="P795" s="49"/>
      <c r="Q795" s="49"/>
      <c r="R795" s="49"/>
      <c r="S795" s="49"/>
      <c r="T795" s="49"/>
      <c r="U795" s="49"/>
      <c r="V795" s="49"/>
      <c r="W795" s="49"/>
      <c r="X795" s="49"/>
      <c r="Y795" s="49"/>
      <c r="Z795" s="49"/>
    </row>
    <row r="796">
      <c r="A796" s="49" t="str">
        <f>IFERROR(__xludf.DUMMYFUNCTION("""COMPUTED_VALUE"""),"Trapper's Monocle")</f>
        <v>Trapper's Monocle</v>
      </c>
      <c r="B796" s="49"/>
      <c r="C796" s="49" t="str">
        <f>IFERROR(__xludf.DUMMYFUNCTION("""COMPUTED_VALUE"""),"Item")</f>
        <v>Item</v>
      </c>
      <c r="D796" s="49" t="str">
        <f>IFERROR(__xludf.DUMMYFUNCTION("""COMPUTED_VALUE"""),"Head")</f>
        <v>Head</v>
      </c>
      <c r="E796" s="49">
        <f>IFERROR(__xludf.DUMMYFUNCTION("""COMPUTED_VALUE"""),1.0)</f>
        <v>1</v>
      </c>
      <c r="F796" s="49" t="str">
        <f>IFERROR(__xludf.DUMMYFUNCTION("""COMPUTED_VALUE""")," ++5 to any roll to disarm or avoid a trap.")</f>
        <v> ++5 to any roll to disarm or avoid a trap.</v>
      </c>
      <c r="G796" s="49">
        <f>IFERROR(__xludf.DUMMYFUNCTION("""COMPUTED_VALUE"""),0.0)</f>
        <v>0</v>
      </c>
      <c r="H796" s="49"/>
      <c r="I796" s="49"/>
      <c r="J796" s="49"/>
      <c r="K796" s="49"/>
      <c r="L796" s="49"/>
      <c r="M796" s="49"/>
      <c r="N796" s="49"/>
      <c r="O796" s="49"/>
      <c r="P796" s="49"/>
      <c r="Q796" s="49"/>
      <c r="R796" s="49"/>
      <c r="S796" s="49"/>
      <c r="T796" s="49"/>
      <c r="U796" s="49"/>
      <c r="V796" s="49"/>
      <c r="W796" s="49"/>
      <c r="X796" s="49"/>
      <c r="Y796" s="49"/>
      <c r="Z796" s="49"/>
    </row>
    <row r="797">
      <c r="A797" s="49" t="str">
        <f>IFERROR(__xludf.DUMMYFUNCTION("""COMPUTED_VALUE"""),"Dragon's Dogma")</f>
        <v>Dragon's Dogma</v>
      </c>
      <c r="B797" s="49"/>
      <c r="C797" s="49" t="str">
        <f>IFERROR(__xludf.DUMMYFUNCTION("""COMPUTED_VALUE"""),"Sword")</f>
        <v>Sword</v>
      </c>
      <c r="D797" s="49" t="str">
        <f>IFERROR(__xludf.DUMMYFUNCTION("""COMPUTED_VALUE"""),"Hand")</f>
        <v>Hand</v>
      </c>
      <c r="E797" s="49">
        <f>IFERROR(__xludf.DUMMYFUNCTION("""COMPUTED_VALUE"""),200.0)</f>
        <v>200</v>
      </c>
      <c r="F797" s="49" t="str">
        <f>IFERROR(__xludf.DUMMYFUNCTION("""COMPUTED_VALUE"""),"DMG: +250000, Celestial DMG: +50000 TBD")</f>
        <v>DMG: +250000, Celestial DMG: +50000 TBD</v>
      </c>
      <c r="G797" s="49">
        <f>IFERROR(__xludf.DUMMYFUNCTION("""COMPUTED_VALUE"""),1.797E9)</f>
        <v>1797000000</v>
      </c>
      <c r="H797" s="49"/>
      <c r="I797" s="49"/>
      <c r="J797" s="49"/>
      <c r="K797" s="49"/>
      <c r="L797" s="49"/>
      <c r="M797" s="49"/>
      <c r="N797" s="49"/>
      <c r="O797" s="49"/>
      <c r="P797" s="49"/>
      <c r="Q797" s="49"/>
      <c r="R797" s="49"/>
      <c r="S797" s="49"/>
      <c r="T797" s="49"/>
      <c r="U797" s="49"/>
      <c r="V797" s="49"/>
      <c r="W797" s="49"/>
      <c r="X797" s="49"/>
      <c r="Y797" s="49"/>
      <c r="Z797" s="49"/>
    </row>
    <row r="798">
      <c r="A798" s="49" t="str">
        <f>IFERROR(__xludf.DUMMYFUNCTION("""COMPUTED_VALUE"""),"Dragon's Dread")</f>
        <v>Dragon's Dread</v>
      </c>
      <c r="B798" s="49"/>
      <c r="C798" s="49" t="str">
        <f>IFERROR(__xludf.DUMMYFUNCTION("""COMPUTED_VALUE"""),"Bow")</f>
        <v>Bow</v>
      </c>
      <c r="D798" s="49" t="str">
        <f>IFERROR(__xludf.DUMMYFUNCTION("""COMPUTED_VALUE"""),"Hand")</f>
        <v>Hand</v>
      </c>
      <c r="E798" s="49">
        <f>IFERROR(__xludf.DUMMYFUNCTION("""COMPUTED_VALUE"""),200.0)</f>
        <v>200</v>
      </c>
      <c r="F798" s="49"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49">
        <f>IFERROR(__xludf.DUMMYFUNCTION("""COMPUTED_VALUE"""),7.194E9)</f>
        <v>7194000000</v>
      </c>
      <c r="H798" s="49"/>
      <c r="I798" s="49"/>
      <c r="J798" s="49"/>
      <c r="K798" s="49"/>
      <c r="L798" s="49"/>
      <c r="M798" s="49"/>
      <c r="N798" s="49"/>
      <c r="O798" s="49"/>
      <c r="P798" s="49"/>
      <c r="Q798" s="49"/>
      <c r="R798" s="49"/>
      <c r="S798" s="49"/>
      <c r="T798" s="49"/>
      <c r="U798" s="49"/>
      <c r="V798" s="49"/>
      <c r="W798" s="49"/>
      <c r="X798" s="49"/>
      <c r="Y798" s="49"/>
      <c r="Z798" s="49"/>
    </row>
    <row r="799">
      <c r="A799" s="49" t="str">
        <f>IFERROR(__xludf.DUMMYFUNCTION("""COMPUTED_VALUE"""),"Dragon's Dream Breaker")</f>
        <v>Dragon's Dream Breaker</v>
      </c>
      <c r="B799" s="49"/>
      <c r="C799" s="49" t="str">
        <f>IFERROR(__xludf.DUMMYFUNCTION("""COMPUTED_VALUE"""),"Claw")</f>
        <v>Claw</v>
      </c>
      <c r="D799" s="49" t="str">
        <f>IFERROR(__xludf.DUMMYFUNCTION("""COMPUTED_VALUE"""),"Hand")</f>
        <v>Hand</v>
      </c>
      <c r="E799" s="49">
        <f>IFERROR(__xludf.DUMMYFUNCTION("""COMPUTED_VALUE"""),200.0)</f>
        <v>200</v>
      </c>
      <c r="F799" s="49" t="str">
        <f>IFERROR(__xludf.DUMMYFUNCTION("""COMPUTED_VALUE"""),"DMG: +600000, Celestial DMG: +600000 TBD")</f>
        <v>DMG: +600000, Celestial DMG: +600000 TBD</v>
      </c>
      <c r="G799" s="49">
        <f>IFERROR(__xludf.DUMMYFUNCTION("""COMPUTED_VALUE"""),2.8788E10)</f>
        <v>28788000000</v>
      </c>
      <c r="H799" s="49"/>
      <c r="I799" s="49"/>
      <c r="J799" s="49"/>
      <c r="K799" s="49"/>
      <c r="L799" s="49"/>
      <c r="M799" s="49"/>
      <c r="N799" s="49"/>
      <c r="O799" s="49"/>
      <c r="P799" s="49"/>
      <c r="Q799" s="49"/>
      <c r="R799" s="49"/>
      <c r="S799" s="49"/>
      <c r="T799" s="49"/>
      <c r="U799" s="49"/>
      <c r="V799" s="49"/>
      <c r="W799" s="49"/>
      <c r="X799" s="49"/>
      <c r="Y799" s="49"/>
      <c r="Z799" s="49"/>
    </row>
    <row r="800">
      <c r="A800" s="49" t="str">
        <f>IFERROR(__xludf.DUMMYFUNCTION("""COMPUTED_VALUE"""),"Dragon's Draught")</f>
        <v>Dragon's Draught</v>
      </c>
      <c r="B800" s="49"/>
      <c r="C800" s="49" t="str">
        <f>IFERROR(__xludf.DUMMYFUNCTION("""COMPUTED_VALUE"""),"Staff")</f>
        <v>Staff</v>
      </c>
      <c r="D800" s="49" t="str">
        <f>IFERROR(__xludf.DUMMYFUNCTION("""COMPUTED_VALUE"""),"Hand")</f>
        <v>Hand</v>
      </c>
      <c r="E800" s="49">
        <f>IFERROR(__xludf.DUMMYFUNCTION("""COMPUTED_VALUE"""),1.0)</f>
        <v>1</v>
      </c>
      <c r="F800" s="49" t="str">
        <f>IFERROR(__xludf.DUMMYFUNCTION("""COMPUTED_VALUE""")," TBD")</f>
        <v> TBD</v>
      </c>
      <c r="G800" s="49">
        <f>IFERROR(__xludf.DUMMYFUNCTION("""COMPUTED_VALUE"""),0.0)</f>
        <v>0</v>
      </c>
      <c r="H800" s="49"/>
      <c r="I800" s="49"/>
      <c r="J800" s="49"/>
      <c r="K800" s="49"/>
      <c r="L800" s="49"/>
      <c r="M800" s="49"/>
      <c r="N800" s="49"/>
      <c r="O800" s="49"/>
      <c r="P800" s="49"/>
      <c r="Q800" s="49"/>
      <c r="R800" s="49"/>
      <c r="S800" s="49"/>
      <c r="T800" s="49"/>
      <c r="U800" s="49"/>
      <c r="V800" s="49"/>
      <c r="W800" s="49"/>
      <c r="X800" s="49"/>
      <c r="Y800" s="49"/>
      <c r="Z800" s="49"/>
    </row>
    <row r="801">
      <c r="A801" s="49" t="str">
        <f>IFERROR(__xludf.DUMMYFUNCTION("""COMPUTED_VALUE"""),"Dragon's Damnation")</f>
        <v>Dragon's Damnation</v>
      </c>
      <c r="B801" s="49"/>
      <c r="C801" s="49" t="str">
        <f>IFERROR(__xludf.DUMMYFUNCTION("""COMPUTED_VALUE"""),"Gauntlet")</f>
        <v>Gauntlet</v>
      </c>
      <c r="D801" s="49" t="str">
        <f>IFERROR(__xludf.DUMMYFUNCTION("""COMPUTED_VALUE"""),"Hand")</f>
        <v>Hand</v>
      </c>
      <c r="E801" s="49">
        <f>IFERROR(__xludf.DUMMYFUNCTION("""COMPUTED_VALUE"""),200.0)</f>
        <v>200</v>
      </c>
      <c r="F801" s="49"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49">
        <f>IFERROR(__xludf.DUMMYFUNCTION("""COMPUTED_VALUE"""),2.8788E10)</f>
        <v>28788000000</v>
      </c>
      <c r="H801" s="49"/>
      <c r="I801" s="49"/>
      <c r="J801" s="49"/>
      <c r="K801" s="49"/>
      <c r="L801" s="49"/>
      <c r="M801" s="49"/>
      <c r="N801" s="49"/>
      <c r="O801" s="49"/>
      <c r="P801" s="49"/>
      <c r="Q801" s="49"/>
      <c r="R801" s="49"/>
      <c r="S801" s="49"/>
      <c r="T801" s="49"/>
      <c r="U801" s="49"/>
      <c r="V801" s="49"/>
      <c r="W801" s="49"/>
      <c r="X801" s="49"/>
      <c r="Y801" s="49"/>
      <c r="Z801" s="49"/>
    </row>
    <row r="802">
      <c r="A802" s="49" t="str">
        <f>IFERROR(__xludf.DUMMYFUNCTION("""COMPUTED_VALUE"""),"Dragon's Destruction")</f>
        <v>Dragon's Destruction</v>
      </c>
      <c r="B802" s="49"/>
      <c r="C802" s="49" t="str">
        <f>IFERROR(__xludf.DUMMYFUNCTION("""COMPUTED_VALUE"""),"Spear")</f>
        <v>Spear</v>
      </c>
      <c r="D802" s="49" t="str">
        <f>IFERROR(__xludf.DUMMYFUNCTION("""COMPUTED_VALUE"""),"Hand")</f>
        <v>Hand</v>
      </c>
      <c r="E802" s="49">
        <f>IFERROR(__xludf.DUMMYFUNCTION("""COMPUTED_VALUE"""),200.0)</f>
        <v>200</v>
      </c>
      <c r="F802" s="49"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49">
        <f>IFERROR(__xludf.DUMMYFUNCTION("""COMPUTED_VALUE"""),2.8788E10)</f>
        <v>28788000000</v>
      </c>
      <c r="H802" s="49"/>
      <c r="I802" s="49"/>
      <c r="J802" s="49"/>
      <c r="K802" s="49"/>
      <c r="L802" s="49"/>
      <c r="M802" s="49"/>
      <c r="N802" s="49"/>
      <c r="O802" s="49"/>
      <c r="P802" s="49"/>
      <c r="Q802" s="49"/>
      <c r="R802" s="49"/>
      <c r="S802" s="49"/>
      <c r="T802" s="49"/>
      <c r="U802" s="49"/>
      <c r="V802" s="49"/>
      <c r="W802" s="49"/>
      <c r="X802" s="49"/>
      <c r="Y802" s="49"/>
      <c r="Z802" s="49"/>
    </row>
    <row r="803">
      <c r="A803" s="49" t="str">
        <f>IFERROR(__xludf.DUMMYFUNCTION("""COMPUTED_VALUE"""),"Confining Collar")</f>
        <v>Confining Collar</v>
      </c>
      <c r="B803" s="49"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49" t="str">
        <f>IFERROR(__xludf.DUMMYFUNCTION("""COMPUTED_VALUE"""),"Item")</f>
        <v>Item</v>
      </c>
      <c r="D803" s="49" t="str">
        <f>IFERROR(__xludf.DUMMYFUNCTION("""COMPUTED_VALUE"""),"Neck")</f>
        <v>Neck</v>
      </c>
      <c r="E803" s="49">
        <f>IFERROR(__xludf.DUMMYFUNCTION("""COMPUTED_VALUE"""),100.0)</f>
        <v>100</v>
      </c>
      <c r="F803" s="49" t="str">
        <f>IFERROR(__xludf.DUMMYFUNCTION("""COMPUTED_VALUE"""),"DEF: +5000 +-5 to all rolls, +-Upon being worn can only be removed after 15 days of travel")</f>
        <v>DEF: +5000 +-5 to all rolls, +-Upon being worn can only be removed after 15 days of travel</v>
      </c>
      <c r="G803" s="49">
        <f>IFERROR(__xludf.DUMMYFUNCTION("""COMPUTED_VALUE"""),450000.0)</f>
        <v>450000</v>
      </c>
      <c r="H803" s="49"/>
      <c r="I803" s="49"/>
      <c r="J803" s="49"/>
      <c r="K803" s="49"/>
      <c r="L803" s="49"/>
      <c r="M803" s="49"/>
      <c r="N803" s="49"/>
      <c r="O803" s="49"/>
      <c r="P803" s="49"/>
      <c r="Q803" s="49"/>
      <c r="R803" s="49"/>
      <c r="S803" s="49"/>
      <c r="T803" s="49"/>
      <c r="U803" s="49"/>
      <c r="V803" s="49"/>
      <c r="W803" s="49"/>
      <c r="X803" s="49"/>
      <c r="Y803" s="49"/>
      <c r="Z803" s="49"/>
    </row>
    <row r="804">
      <c r="A804" s="49" t="str">
        <f>IFERROR(__xludf.DUMMYFUNCTION("""COMPUTED_VALUE"""),"Shiv")</f>
        <v>Shiv</v>
      </c>
      <c r="B804" s="49"/>
      <c r="C804" s="49" t="str">
        <f>IFERROR(__xludf.DUMMYFUNCTION("""COMPUTED_VALUE"""),"Knife")</f>
        <v>Knife</v>
      </c>
      <c r="D804" s="49" t="str">
        <f>IFERROR(__xludf.DUMMYFUNCTION("""COMPUTED_VALUE"""),"Hand")</f>
        <v>Hand</v>
      </c>
      <c r="E804" s="49">
        <f>IFERROR(__xludf.DUMMYFUNCTION("""COMPUTED_VALUE"""),4000.0)</f>
        <v>4000</v>
      </c>
      <c r="F804" s="49" t="str">
        <f>IFERROR(__xludf.DUMMYFUNCTION("""COMPUTED_VALUE"""),"DMG: +200000 ++has a 5% chance to give a random disease to any creature hit with this weapon.")</f>
        <v>DMG: +200000 ++has a 5% chance to give a random disease to any creature hit with this weapon.</v>
      </c>
      <c r="G804" s="49">
        <f>IFERROR(__xludf.DUMMYFUNCTION("""COMPUTED_VALUE"""),7.98E8)</f>
        <v>798000000</v>
      </c>
      <c r="H804" s="49"/>
      <c r="I804" s="49"/>
      <c r="J804" s="49"/>
      <c r="K804" s="49"/>
      <c r="L804" s="49"/>
      <c r="M804" s="49"/>
      <c r="N804" s="49"/>
      <c r="O804" s="49"/>
      <c r="P804" s="49"/>
      <c r="Q804" s="49"/>
      <c r="R804" s="49"/>
      <c r="S804" s="49"/>
      <c r="T804" s="49"/>
      <c r="U804" s="49"/>
      <c r="V804" s="49"/>
      <c r="W804" s="49"/>
      <c r="X804" s="49"/>
      <c r="Y804" s="49"/>
      <c r="Z804" s="49"/>
    </row>
    <row r="805">
      <c r="A805" s="49" t="str">
        <f>IFERROR(__xludf.DUMMYFUNCTION("""COMPUTED_VALUE"""),"Inmate's Cap")</f>
        <v>Inmate's Cap</v>
      </c>
      <c r="B805" s="49"/>
      <c r="C805" s="49" t="str">
        <f>IFERROR(__xludf.DUMMYFUNCTION("""COMPUTED_VALUE"""),"Item")</f>
        <v>Item</v>
      </c>
      <c r="D805" s="49" t="str">
        <f>IFERROR(__xludf.DUMMYFUNCTION("""COMPUTED_VALUE"""),"Head")</f>
        <v>Head</v>
      </c>
      <c r="E805" s="49">
        <f>IFERROR(__xludf.DUMMYFUNCTION("""COMPUTED_VALUE"""),2000.0)</f>
        <v>2000</v>
      </c>
      <c r="F805" s="49" t="str">
        <f>IFERROR(__xludf.DUMMYFUNCTION("""COMPUTED_VALUE"""),"DEF: +100000 ++has a 5% chance to avoid beng arrested without fail.")</f>
        <v>DEF: +100000 ++has a 5% chance to avoid beng arrested without fail.</v>
      </c>
      <c r="G805" s="49">
        <f>IFERROR(__xludf.DUMMYFUNCTION("""COMPUTED_VALUE"""),1.99E8)</f>
        <v>199000000</v>
      </c>
      <c r="H805" s="49"/>
      <c r="I805" s="49"/>
      <c r="J805" s="49"/>
      <c r="K805" s="49"/>
      <c r="L805" s="49"/>
      <c r="M805" s="49"/>
      <c r="N805" s="49"/>
      <c r="O805" s="49"/>
      <c r="P805" s="49"/>
      <c r="Q805" s="49"/>
      <c r="R805" s="49"/>
      <c r="S805" s="49"/>
      <c r="T805" s="49"/>
      <c r="U805" s="49"/>
      <c r="V805" s="49"/>
      <c r="W805" s="49"/>
      <c r="X805" s="49"/>
      <c r="Y805" s="49"/>
      <c r="Z805" s="49"/>
    </row>
    <row r="806">
      <c r="A806" s="49" t="str">
        <f>IFERROR(__xludf.DUMMYFUNCTION("""COMPUTED_VALUE"""),"Inmate's Shirt")</f>
        <v>Inmate's Shirt</v>
      </c>
      <c r="B806" s="49"/>
      <c r="C806" s="49" t="str">
        <f>IFERROR(__xludf.DUMMYFUNCTION("""COMPUTED_VALUE"""),"Item")</f>
        <v>Item</v>
      </c>
      <c r="D806" s="49" t="str">
        <f>IFERROR(__xludf.DUMMYFUNCTION("""COMPUTED_VALUE"""),"Torso")</f>
        <v>Torso</v>
      </c>
      <c r="E806" s="49">
        <f>IFERROR(__xludf.DUMMYFUNCTION("""COMPUTED_VALUE"""),2000.0)</f>
        <v>2000</v>
      </c>
      <c r="F806" s="49" t="str">
        <f>IFERROR(__xludf.DUMMYFUNCTION("""COMPUTED_VALUE"""),"DEF: +100000 ++has a 5% chance to avoid beng arrested without fail.")</f>
        <v>DEF: +100000 ++has a 5% chance to avoid beng arrested without fail.</v>
      </c>
      <c r="G806" s="49">
        <f>IFERROR(__xludf.DUMMYFUNCTION("""COMPUTED_VALUE"""),1.99E8)</f>
        <v>199000000</v>
      </c>
      <c r="H806" s="49"/>
      <c r="I806" s="49"/>
      <c r="J806" s="49"/>
      <c r="K806" s="49"/>
      <c r="L806" s="49"/>
      <c r="M806" s="49"/>
      <c r="N806" s="49"/>
      <c r="O806" s="49"/>
      <c r="P806" s="49"/>
      <c r="Q806" s="49"/>
      <c r="R806" s="49"/>
      <c r="S806" s="49"/>
      <c r="T806" s="49"/>
      <c r="U806" s="49"/>
      <c r="V806" s="49"/>
      <c r="W806" s="49"/>
      <c r="X806" s="49"/>
      <c r="Y806" s="49"/>
      <c r="Z806" s="49"/>
    </row>
    <row r="807">
      <c r="A807" s="49" t="str">
        <f>IFERROR(__xludf.DUMMYFUNCTION("""COMPUTED_VALUE"""),"Inmate's Pants")</f>
        <v>Inmate's Pants</v>
      </c>
      <c r="B807" s="49"/>
      <c r="C807" s="49" t="str">
        <f>IFERROR(__xludf.DUMMYFUNCTION("""COMPUTED_VALUE"""),"Item")</f>
        <v>Item</v>
      </c>
      <c r="D807" s="49" t="str">
        <f>IFERROR(__xludf.DUMMYFUNCTION("""COMPUTED_VALUE"""),"Legs")</f>
        <v>Legs</v>
      </c>
      <c r="E807" s="49">
        <f>IFERROR(__xludf.DUMMYFUNCTION("""COMPUTED_VALUE"""),2000.0)</f>
        <v>2000</v>
      </c>
      <c r="F807" s="49" t="str">
        <f>IFERROR(__xludf.DUMMYFUNCTION("""COMPUTED_VALUE"""),"DEF: +100000 ++has a 5% chance to avoid beng arrested without fail.")</f>
        <v>DEF: +100000 ++has a 5% chance to avoid beng arrested without fail.</v>
      </c>
      <c r="G807" s="49">
        <f>IFERROR(__xludf.DUMMYFUNCTION("""COMPUTED_VALUE"""),1.99E8)</f>
        <v>199000000</v>
      </c>
      <c r="H807" s="49"/>
      <c r="I807" s="49"/>
      <c r="J807" s="49"/>
      <c r="K807" s="49"/>
      <c r="L807" s="49"/>
      <c r="M807" s="49"/>
      <c r="N807" s="49"/>
      <c r="O807" s="49"/>
      <c r="P807" s="49"/>
      <c r="Q807" s="49"/>
      <c r="R807" s="49"/>
      <c r="S807" s="49"/>
      <c r="T807" s="49"/>
      <c r="U807" s="49"/>
      <c r="V807" s="49"/>
      <c r="W807" s="49"/>
      <c r="X807" s="49"/>
      <c r="Y807" s="49"/>
      <c r="Z807" s="49"/>
    </row>
    <row r="808">
      <c r="A808" s="49" t="str">
        <f>IFERROR(__xludf.DUMMYFUNCTION("""COMPUTED_VALUE"""),"Warden's Cap")</f>
        <v>Warden's Cap</v>
      </c>
      <c r="B808" s="49"/>
      <c r="C808" s="49" t="str">
        <f>IFERROR(__xludf.DUMMYFUNCTION("""COMPUTED_VALUE"""),"Item")</f>
        <v>Item</v>
      </c>
      <c r="D808" s="49" t="str">
        <f>IFERROR(__xludf.DUMMYFUNCTION("""COMPUTED_VALUE"""),"Head")</f>
        <v>Head</v>
      </c>
      <c r="E808" s="49">
        <f>IFERROR(__xludf.DUMMYFUNCTION("""COMPUTED_VALUE"""),2000.0)</f>
        <v>2000</v>
      </c>
      <c r="F808" s="49" t="str">
        <f>IFERROR(__xludf.DUMMYFUNCTION("""COMPUTED_VALUE"""),"DEF: +100000 ++X2 Damage with Clubs")</f>
        <v>DEF: +100000 ++X2 Damage with Clubs</v>
      </c>
      <c r="G808" s="49">
        <f>IFERROR(__xludf.DUMMYFUNCTION("""COMPUTED_VALUE"""),1.99E8)</f>
        <v>199000000</v>
      </c>
      <c r="H808" s="49"/>
      <c r="I808" s="49"/>
      <c r="J808" s="49"/>
      <c r="K808" s="49"/>
      <c r="L808" s="49"/>
      <c r="M808" s="49"/>
      <c r="N808" s="49"/>
      <c r="O808" s="49"/>
      <c r="P808" s="49"/>
      <c r="Q808" s="49"/>
      <c r="R808" s="49"/>
      <c r="S808" s="49"/>
      <c r="T808" s="49"/>
      <c r="U808" s="49"/>
      <c r="V808" s="49"/>
      <c r="W808" s="49"/>
      <c r="X808" s="49"/>
      <c r="Y808" s="49"/>
      <c r="Z808" s="49"/>
    </row>
    <row r="809">
      <c r="A809" s="49" t="str">
        <f>IFERROR(__xludf.DUMMYFUNCTION("""COMPUTED_VALUE"""),"Warden's Shirt")</f>
        <v>Warden's Shirt</v>
      </c>
      <c r="B809" s="49"/>
      <c r="C809" s="49" t="str">
        <f>IFERROR(__xludf.DUMMYFUNCTION("""COMPUTED_VALUE"""),"Item")</f>
        <v>Item</v>
      </c>
      <c r="D809" s="49" t="str">
        <f>IFERROR(__xludf.DUMMYFUNCTION("""COMPUTED_VALUE"""),"Torso")</f>
        <v>Torso</v>
      </c>
      <c r="E809" s="49">
        <f>IFERROR(__xludf.DUMMYFUNCTION("""COMPUTED_VALUE"""),2000.0)</f>
        <v>2000</v>
      </c>
      <c r="F809" s="49" t="str">
        <f>IFERROR(__xludf.DUMMYFUNCTION("""COMPUTED_VALUE"""),"DEF: +100000 ++X2 Damage with Clubs")</f>
        <v>DEF: +100000 ++X2 Damage with Clubs</v>
      </c>
      <c r="G809" s="49">
        <f>IFERROR(__xludf.DUMMYFUNCTION("""COMPUTED_VALUE"""),1.99E8)</f>
        <v>199000000</v>
      </c>
      <c r="H809" s="49"/>
      <c r="I809" s="49"/>
      <c r="J809" s="49"/>
      <c r="K809" s="49"/>
      <c r="L809" s="49"/>
      <c r="M809" s="49"/>
      <c r="N809" s="49"/>
      <c r="O809" s="49"/>
      <c r="P809" s="49"/>
      <c r="Q809" s="49"/>
      <c r="R809" s="49"/>
      <c r="S809" s="49"/>
      <c r="T809" s="49"/>
      <c r="U809" s="49"/>
      <c r="V809" s="49"/>
      <c r="W809" s="49"/>
      <c r="X809" s="49"/>
      <c r="Y809" s="49"/>
      <c r="Z809" s="49"/>
    </row>
    <row r="810">
      <c r="A810" s="49" t="str">
        <f>IFERROR(__xludf.DUMMYFUNCTION("""COMPUTED_VALUE"""),"Warden's Pants")</f>
        <v>Warden's Pants</v>
      </c>
      <c r="B810" s="49"/>
      <c r="C810" s="49" t="str">
        <f>IFERROR(__xludf.DUMMYFUNCTION("""COMPUTED_VALUE"""),"Item")</f>
        <v>Item</v>
      </c>
      <c r="D810" s="49" t="str">
        <f>IFERROR(__xludf.DUMMYFUNCTION("""COMPUTED_VALUE"""),"Legs")</f>
        <v>Legs</v>
      </c>
      <c r="E810" s="49">
        <f>IFERROR(__xludf.DUMMYFUNCTION("""COMPUTED_VALUE"""),2000.0)</f>
        <v>2000</v>
      </c>
      <c r="F810" s="49" t="str">
        <f>IFERROR(__xludf.DUMMYFUNCTION("""COMPUTED_VALUE"""),"DEF: +100000 ++X2 Damage with Clubs")</f>
        <v>DEF: +100000 ++X2 Damage with Clubs</v>
      </c>
      <c r="G810" s="49">
        <f>IFERROR(__xludf.DUMMYFUNCTION("""COMPUTED_VALUE"""),1.99E8)</f>
        <v>199000000</v>
      </c>
      <c r="H810" s="49"/>
      <c r="I810" s="49"/>
      <c r="J810" s="49"/>
      <c r="K810" s="49"/>
      <c r="L810" s="49"/>
      <c r="M810" s="49"/>
      <c r="N810" s="49"/>
      <c r="O810" s="49"/>
      <c r="P810" s="49"/>
      <c r="Q810" s="49"/>
      <c r="R810" s="49"/>
      <c r="S810" s="49"/>
      <c r="T810" s="49"/>
      <c r="U810" s="49"/>
      <c r="V810" s="49"/>
      <c r="W810" s="49"/>
      <c r="X810" s="49"/>
      <c r="Y810" s="49"/>
      <c r="Z810" s="49"/>
    </row>
    <row r="811">
      <c r="A811" s="49" t="str">
        <f>IFERROR(__xludf.DUMMYFUNCTION("""COMPUTED_VALUE"""),"Warden's Boots")</f>
        <v>Warden's Boots</v>
      </c>
      <c r="B811" s="49"/>
      <c r="C811" s="49" t="str">
        <f>IFERROR(__xludf.DUMMYFUNCTION("""COMPUTED_VALUE"""),"Item")</f>
        <v>Item</v>
      </c>
      <c r="D811" s="49" t="str">
        <f>IFERROR(__xludf.DUMMYFUNCTION("""COMPUTED_VALUE"""),"Feet")</f>
        <v>Feet</v>
      </c>
      <c r="E811" s="49">
        <f>IFERROR(__xludf.DUMMYFUNCTION("""COMPUTED_VALUE"""),2000.0)</f>
        <v>2000</v>
      </c>
      <c r="F811" s="49" t="str">
        <f>IFERROR(__xludf.DUMMYFUNCTION("""COMPUTED_VALUE"""),"DEF: +100000 ++X2 Damage with Clubs")</f>
        <v>DEF: +100000 ++X2 Damage with Clubs</v>
      </c>
      <c r="G811" s="49">
        <f>IFERROR(__xludf.DUMMYFUNCTION("""COMPUTED_VALUE"""),1.99E8)</f>
        <v>199000000</v>
      </c>
      <c r="H811" s="49"/>
      <c r="I811" s="49"/>
      <c r="J811" s="49"/>
      <c r="K811" s="49"/>
      <c r="L811" s="49"/>
      <c r="M811" s="49"/>
      <c r="N811" s="49"/>
      <c r="O811" s="49"/>
      <c r="P811" s="49"/>
      <c r="Q811" s="49"/>
      <c r="R811" s="49"/>
      <c r="S811" s="49"/>
      <c r="T811" s="49"/>
      <c r="U811" s="49"/>
      <c r="V811" s="49"/>
      <c r="W811" s="49"/>
      <c r="X811" s="49"/>
      <c r="Y811" s="49"/>
      <c r="Z811" s="49"/>
    </row>
    <row r="812">
      <c r="A812" s="49" t="str">
        <f>IFERROR(__xludf.DUMMYFUNCTION("""COMPUTED_VALUE"""),"Warden's Baton")</f>
        <v>Warden's Baton</v>
      </c>
      <c r="B812" s="49"/>
      <c r="C812" s="49" t="str">
        <f>IFERROR(__xludf.DUMMYFUNCTION("""COMPUTED_VALUE"""),"Club")</f>
        <v>Club</v>
      </c>
      <c r="D812" s="49" t="str">
        <f>IFERROR(__xludf.DUMMYFUNCTION("""COMPUTED_VALUE"""),"Hand")</f>
        <v>Hand</v>
      </c>
      <c r="E812" s="49">
        <f>IFERROR(__xludf.DUMMYFUNCTION("""COMPUTED_VALUE"""),4000.0)</f>
        <v>4000</v>
      </c>
      <c r="F812" s="49" t="str">
        <f>IFERROR(__xludf.DUMMYFUNCTION("""COMPUTED_VALUE"""),"DMG: +200000 ++X20 damage to any enemy wearing a confining collar.")</f>
        <v>DMG: +200000 ++X20 damage to any enemy wearing a confining collar.</v>
      </c>
      <c r="G812" s="49">
        <f>IFERROR(__xludf.DUMMYFUNCTION("""COMPUTED_VALUE"""),7.98E8)</f>
        <v>798000000</v>
      </c>
      <c r="H812" s="49"/>
      <c r="I812" s="49"/>
      <c r="J812" s="49"/>
      <c r="K812" s="49"/>
      <c r="L812" s="49"/>
      <c r="M812" s="49"/>
      <c r="N812" s="49"/>
      <c r="O812" s="49"/>
      <c r="P812" s="49"/>
      <c r="Q812" s="49"/>
      <c r="R812" s="49"/>
      <c r="S812" s="49"/>
      <c r="T812" s="49"/>
      <c r="U812" s="49"/>
      <c r="V812" s="49"/>
      <c r="W812" s="49"/>
      <c r="X812" s="49"/>
      <c r="Y812" s="49"/>
      <c r="Z812" s="49"/>
    </row>
    <row r="813">
      <c r="A813" s="49" t="str">
        <f>IFERROR(__xludf.DUMMYFUNCTION("""COMPUTED_VALUE"""),"Gentleman's Club")</f>
        <v>Gentleman's Club</v>
      </c>
      <c r="B813" s="49"/>
      <c r="C813" s="49" t="str">
        <f>IFERROR(__xludf.DUMMYFUNCTION("""COMPUTED_VALUE"""),"Club")</f>
        <v>Club</v>
      </c>
      <c r="D813" s="49" t="str">
        <f>IFERROR(__xludf.DUMMYFUNCTION("""COMPUTED_VALUE"""),"Hand")</f>
        <v>Hand</v>
      </c>
      <c r="E813" s="49">
        <f>IFERROR(__xludf.DUMMYFUNCTION("""COMPUTED_VALUE"""),3000.0)</f>
        <v>3000</v>
      </c>
      <c r="F813" s="49" t="str">
        <f>IFERROR(__xludf.DUMMYFUNCTION("""COMPUTED_VALUE"""),"DMG: +150000 ++Enemies hit with this weapon cannot cast spells for 2 rounds. +-Cannot be duplicated.")</f>
        <v>DMG: +150000 ++Enemies hit with this weapon cannot cast spells for 2 rounds. +-Cannot be duplicated.</v>
      </c>
      <c r="G813" s="49">
        <f>IFERROR(__xludf.DUMMYFUNCTION("""COMPUTED_VALUE"""),4.485E8)</f>
        <v>448500000</v>
      </c>
      <c r="H813" s="49"/>
      <c r="I813" s="49"/>
      <c r="J813" s="49"/>
      <c r="K813" s="49"/>
      <c r="L813" s="49"/>
      <c r="M813" s="49"/>
      <c r="N813" s="49"/>
      <c r="O813" s="49"/>
      <c r="P813" s="49"/>
      <c r="Q813" s="49"/>
      <c r="R813" s="49"/>
      <c r="S813" s="49"/>
      <c r="T813" s="49"/>
      <c r="U813" s="49"/>
      <c r="V813" s="49"/>
      <c r="W813" s="49"/>
      <c r="X813" s="49"/>
      <c r="Y813" s="49"/>
      <c r="Z813" s="49"/>
    </row>
    <row r="814">
      <c r="A814" s="49" t="str">
        <f>IFERROR(__xludf.DUMMYFUNCTION("""COMPUTED_VALUE"""),"Honest Shirt")</f>
        <v>Honest Shirt</v>
      </c>
      <c r="B814" s="49"/>
      <c r="C814" s="49" t="str">
        <f>IFERROR(__xludf.DUMMYFUNCTION("""COMPUTED_VALUE"""),"Item")</f>
        <v>Item</v>
      </c>
      <c r="D814" s="49" t="str">
        <f>IFERROR(__xludf.DUMMYFUNCTION("""COMPUTED_VALUE"""),"Torso")</f>
        <v>Torso</v>
      </c>
      <c r="E814" s="49">
        <f>IFERROR(__xludf.DUMMYFUNCTION("""COMPUTED_VALUE"""),2000.0)</f>
        <v>2000</v>
      </c>
      <c r="F814" s="49" t="str">
        <f>IFERROR(__xludf.DUMMYFUNCTION("""COMPUTED_VALUE"""),"DEF: +100000 ++25% chance any spell targeting the wearer fails.")</f>
        <v>DEF: +100000 ++25% chance any spell targeting the wearer fails.</v>
      </c>
      <c r="G814" s="49">
        <f>IFERROR(__xludf.DUMMYFUNCTION("""COMPUTED_VALUE"""),1.99E8)</f>
        <v>199000000</v>
      </c>
      <c r="H814" s="49"/>
      <c r="I814" s="49"/>
      <c r="J814" s="49"/>
      <c r="K814" s="49"/>
      <c r="L814" s="49"/>
      <c r="M814" s="49"/>
      <c r="N814" s="49"/>
      <c r="O814" s="49"/>
      <c r="P814" s="49"/>
      <c r="Q814" s="49"/>
      <c r="R814" s="49"/>
      <c r="S814" s="49"/>
      <c r="T814" s="49"/>
      <c r="U814" s="49"/>
      <c r="V814" s="49"/>
      <c r="W814" s="49"/>
      <c r="X814" s="49"/>
      <c r="Y814" s="49"/>
      <c r="Z814" s="49"/>
    </row>
    <row r="815">
      <c r="A815" s="49" t="str">
        <f>IFERROR(__xludf.DUMMYFUNCTION("""COMPUTED_VALUE"""),"Tinfoil Hat")</f>
        <v>Tinfoil Hat</v>
      </c>
      <c r="B815" s="49"/>
      <c r="C815" s="49" t="str">
        <f>IFERROR(__xludf.DUMMYFUNCTION("""COMPUTED_VALUE"""),"Item")</f>
        <v>Item</v>
      </c>
      <c r="D815" s="49" t="str">
        <f>IFERROR(__xludf.DUMMYFUNCTION("""COMPUTED_VALUE"""),"Head")</f>
        <v>Head</v>
      </c>
      <c r="E815" s="49">
        <f>IFERROR(__xludf.DUMMYFUNCTION("""COMPUTED_VALUE"""),1.0)</f>
        <v>1</v>
      </c>
      <c r="F815" s="49" t="str">
        <f>IFERROR(__xludf.DUMMYFUNCTION("""COMPUTED_VALUE""")," ++Immunity to Possession. +-Cannot be duplicated.")</f>
        <v> ++Immunity to Possession. +-Cannot be duplicated.</v>
      </c>
      <c r="G815" s="49">
        <f>IFERROR(__xludf.DUMMYFUNCTION("""COMPUTED_VALUE"""),0.0)</f>
        <v>0</v>
      </c>
      <c r="H815" s="49"/>
      <c r="I815" s="49"/>
      <c r="J815" s="49"/>
      <c r="K815" s="49"/>
      <c r="L815" s="49"/>
      <c r="M815" s="49"/>
      <c r="N815" s="49"/>
      <c r="O815" s="49"/>
      <c r="P815" s="49"/>
      <c r="Q815" s="49"/>
      <c r="R815" s="49"/>
      <c r="S815" s="49"/>
      <c r="T815" s="49"/>
      <c r="U815" s="49"/>
      <c r="V815" s="49"/>
      <c r="W815" s="49"/>
      <c r="X815" s="49"/>
      <c r="Y815" s="49"/>
      <c r="Z815" s="49"/>
    </row>
    <row r="816">
      <c r="A816" s="49" t="str">
        <f>IFERROR(__xludf.DUMMYFUNCTION("""COMPUTED_VALUE"""),"Anti-Magic Glasses")</f>
        <v>Anti-Magic Glasses</v>
      </c>
      <c r="B816" s="49"/>
      <c r="C816" s="49" t="str">
        <f>IFERROR(__xludf.DUMMYFUNCTION("""COMPUTED_VALUE"""),"Item")</f>
        <v>Item</v>
      </c>
      <c r="D816" s="49" t="str">
        <f>IFERROR(__xludf.DUMMYFUNCTION("""COMPUTED_VALUE"""),"Head")</f>
        <v>Head</v>
      </c>
      <c r="E816" s="49">
        <f>IFERROR(__xludf.DUMMYFUNCTION("""COMPUTED_VALUE"""),1.0)</f>
        <v>1</v>
      </c>
      <c r="F816" s="49" t="str">
        <f>IFERROR(__xludf.DUMMYFUNCTION("""COMPUTED_VALUE""")," ++Immunity to Blindness, Disorient, and Twilight. +-Cannot be duplicated")</f>
        <v> ++Immunity to Blindness, Disorient, and Twilight. +-Cannot be duplicated</v>
      </c>
      <c r="G816" s="49">
        <f>IFERROR(__xludf.DUMMYFUNCTION("""COMPUTED_VALUE"""),0.0)</f>
        <v>0</v>
      </c>
      <c r="H816" s="49"/>
      <c r="I816" s="49"/>
      <c r="J816" s="49"/>
      <c r="K816" s="49"/>
      <c r="L816" s="49"/>
      <c r="M816" s="49"/>
      <c r="N816" s="49"/>
      <c r="O816" s="49"/>
      <c r="P816" s="49"/>
      <c r="Q816" s="49"/>
      <c r="R816" s="49"/>
      <c r="S816" s="49"/>
      <c r="T816" s="49"/>
      <c r="U816" s="49"/>
      <c r="V816" s="49"/>
      <c r="W816" s="49"/>
      <c r="X816" s="49"/>
      <c r="Y816" s="49"/>
      <c r="Z816" s="49"/>
    </row>
    <row r="817">
      <c r="A817" s="49" t="str">
        <f>IFERROR(__xludf.DUMMYFUNCTION("""COMPUTED_VALUE"""),"Null Ring")</f>
        <v>Null Ring</v>
      </c>
      <c r="B817" s="49"/>
      <c r="C817" s="49" t="str">
        <f>IFERROR(__xludf.DUMMYFUNCTION("""COMPUTED_VALUE"""),"Item")</f>
        <v>Item</v>
      </c>
      <c r="D817" s="49" t="str">
        <f>IFERROR(__xludf.DUMMYFUNCTION("""COMPUTED_VALUE"""),"Finger")</f>
        <v>Finger</v>
      </c>
      <c r="E817" s="49">
        <f>IFERROR(__xludf.DUMMYFUNCTION("""COMPUTED_VALUE"""),1.0)</f>
        <v>1</v>
      </c>
      <c r="F817" s="49"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49">
        <f>IFERROR(__xludf.DUMMYFUNCTION("""COMPUTED_VALUE"""),0.0)</f>
        <v>0</v>
      </c>
      <c r="H817" s="49"/>
      <c r="I817" s="49"/>
      <c r="J817" s="49"/>
      <c r="K817" s="49"/>
      <c r="L817" s="49"/>
      <c r="M817" s="49"/>
      <c r="N817" s="49"/>
      <c r="O817" s="49"/>
      <c r="P817" s="49"/>
      <c r="Q817" s="49"/>
      <c r="R817" s="49"/>
      <c r="S817" s="49"/>
      <c r="T817" s="49"/>
      <c r="U817" s="49"/>
      <c r="V817" s="49"/>
      <c r="W817" s="49"/>
      <c r="X817" s="49"/>
      <c r="Y817" s="49"/>
      <c r="Z817" s="49"/>
    </row>
    <row r="818">
      <c r="A818" s="49" t="str">
        <f>IFERROR(__xludf.DUMMYFUNCTION("""COMPUTED_VALUE"""),"Quickdraw Bow")</f>
        <v>Quickdraw Bow</v>
      </c>
      <c r="B818" s="49"/>
      <c r="C818" s="49" t="str">
        <f>IFERROR(__xludf.DUMMYFUNCTION("""COMPUTED_VALUE"""),"Bow")</f>
        <v>Bow</v>
      </c>
      <c r="D818" s="49" t="str">
        <f>IFERROR(__xludf.DUMMYFUNCTION("""COMPUTED_VALUE"""),"Hand")</f>
        <v>Hand</v>
      </c>
      <c r="E818" s="49">
        <f>IFERROR(__xludf.DUMMYFUNCTION("""COMPUTED_VALUE"""),2000.0)</f>
        <v>2000</v>
      </c>
      <c r="F818" s="49" t="str">
        <f>IFERROR(__xludf.DUMMYFUNCTION("""COMPUTED_VALUE"""),"DMG: +99500, Spirit DMG: +500 ++Plus 2 to turn order roll +-Cannot be forged or duplicated")</f>
        <v>DMG: +99500, Spirit DMG: +500 ++Plus 2 to turn order roll +-Cannot be forged or duplicated</v>
      </c>
      <c r="G818" s="49">
        <f>IFERROR(__xludf.DUMMYFUNCTION("""COMPUTED_VALUE"""),1.99E8)</f>
        <v>199000000</v>
      </c>
      <c r="H818" s="49"/>
      <c r="I818" s="49"/>
      <c r="J818" s="49"/>
      <c r="K818" s="49"/>
      <c r="L818" s="49"/>
      <c r="M818" s="49"/>
      <c r="N818" s="49"/>
      <c r="O818" s="49"/>
      <c r="P818" s="49"/>
      <c r="Q818" s="49"/>
      <c r="R818" s="49"/>
      <c r="S818" s="49"/>
      <c r="T818" s="49"/>
      <c r="U818" s="49"/>
      <c r="V818" s="49"/>
      <c r="W818" s="49"/>
      <c r="X818" s="49"/>
      <c r="Y818" s="49"/>
      <c r="Z818" s="49"/>
    </row>
    <row r="819">
      <c r="A819" s="49" t="str">
        <f>IFERROR(__xludf.DUMMYFUNCTION("""COMPUTED_VALUE"""),"Chaos Bow")</f>
        <v>Chaos Bow</v>
      </c>
      <c r="B819" s="49"/>
      <c r="C819" s="49" t="str">
        <f>IFERROR(__xludf.DUMMYFUNCTION("""COMPUTED_VALUE"""),"Bow")</f>
        <v>Bow</v>
      </c>
      <c r="D819" s="49" t="str">
        <f>IFERROR(__xludf.DUMMYFUNCTION("""COMPUTED_VALUE"""),"Hand")</f>
        <v>Hand</v>
      </c>
      <c r="E819" s="49">
        <f>IFERROR(__xludf.DUMMYFUNCTION("""COMPUTED_VALUE"""),2600.0)</f>
        <v>2600</v>
      </c>
      <c r="F819" s="49" t="str">
        <f>IFERROR(__xludf.DUMMYFUNCTION("""COMPUTED_VALUE"""),"DMG: +50000, Chaos DMG: +80000 ++This bow targets a random enemy.")</f>
        <v>DMG: +50000, Chaos DMG: +80000 ++This bow targets a random enemy.</v>
      </c>
      <c r="G819" s="49">
        <f>IFERROR(__xludf.DUMMYFUNCTION("""COMPUTED_VALUE"""),3.367E8)</f>
        <v>336700000</v>
      </c>
      <c r="H819" s="49"/>
      <c r="I819" s="49"/>
      <c r="J819" s="49"/>
      <c r="K819" s="49"/>
      <c r="L819" s="49"/>
      <c r="M819" s="49"/>
      <c r="N819" s="49"/>
      <c r="O819" s="49"/>
      <c r="P819" s="49"/>
      <c r="Q819" s="49"/>
      <c r="R819" s="49"/>
      <c r="S819" s="49"/>
      <c r="T819" s="49"/>
      <c r="U819" s="49"/>
      <c r="V819" s="49"/>
      <c r="W819" s="49"/>
      <c r="X819" s="49"/>
      <c r="Y819" s="49"/>
      <c r="Z819" s="49"/>
    </row>
    <row r="820">
      <c r="A820" s="49" t="str">
        <f>IFERROR(__xludf.DUMMYFUNCTION("""COMPUTED_VALUE"""),"Crit Shot Bow")</f>
        <v>Crit Shot Bow</v>
      </c>
      <c r="B820" s="49"/>
      <c r="C820" s="49" t="str">
        <f>IFERROR(__xludf.DUMMYFUNCTION("""COMPUTED_VALUE"""),"Bow")</f>
        <v>Bow</v>
      </c>
      <c r="D820" s="49" t="str">
        <f>IFERROR(__xludf.DUMMYFUNCTION("""COMPUTED_VALUE"""),"Hand")</f>
        <v>Hand</v>
      </c>
      <c r="E820" s="49">
        <f>IFERROR(__xludf.DUMMYFUNCTION("""COMPUTED_VALUE"""),4000.0)</f>
        <v>4000</v>
      </c>
      <c r="F820" s="49" t="str">
        <f>IFERROR(__xludf.DUMMYFUNCTION("""COMPUTED_VALUE"""),"DMG: +200000 ++Deals 3x damage +-Accuracy halved")</f>
        <v>DMG: +200000 ++Deals 3x damage +-Accuracy halved</v>
      </c>
      <c r="G820" s="49">
        <f>IFERROR(__xludf.DUMMYFUNCTION("""COMPUTED_VALUE"""),7.98E8)</f>
        <v>798000000</v>
      </c>
      <c r="H820" s="49"/>
      <c r="I820" s="49"/>
      <c r="J820" s="49"/>
      <c r="K820" s="49"/>
      <c r="L820" s="49"/>
      <c r="M820" s="49"/>
      <c r="N820" s="49"/>
      <c r="O820" s="49"/>
      <c r="P820" s="49"/>
      <c r="Q820" s="49"/>
      <c r="R820" s="49"/>
      <c r="S820" s="49"/>
      <c r="T820" s="49"/>
      <c r="U820" s="49"/>
      <c r="V820" s="49"/>
      <c r="W820" s="49"/>
      <c r="X820" s="49"/>
      <c r="Y820" s="49"/>
      <c r="Z820" s="49"/>
    </row>
    <row r="821">
      <c r="A821" s="49" t="str">
        <f>IFERROR(__xludf.DUMMYFUNCTION("""COMPUTED_VALUE"""),"Incinerating Bow")</f>
        <v>Incinerating Bow</v>
      </c>
      <c r="B821" s="49"/>
      <c r="C821" s="49" t="str">
        <f>IFERROR(__xludf.DUMMYFUNCTION("""COMPUTED_VALUE"""),"Bow")</f>
        <v>Bow</v>
      </c>
      <c r="D821" s="49" t="str">
        <f>IFERROR(__xludf.DUMMYFUNCTION("""COMPUTED_VALUE"""),"Hand")</f>
        <v>Hand</v>
      </c>
      <c r="E821" s="49">
        <f>IFERROR(__xludf.DUMMYFUNCTION("""COMPUTED_VALUE"""),3800.0)</f>
        <v>3800</v>
      </c>
      <c r="F821" s="49"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49">
        <f>IFERROR(__xludf.DUMMYFUNCTION("""COMPUTED_VALUE"""),7.201E8)</f>
        <v>720100000</v>
      </c>
      <c r="H821" s="49"/>
      <c r="I821" s="49"/>
      <c r="J821" s="49"/>
      <c r="K821" s="49"/>
      <c r="L821" s="49"/>
      <c r="M821" s="49"/>
      <c r="N821" s="49"/>
      <c r="O821" s="49"/>
      <c r="P821" s="49"/>
      <c r="Q821" s="49"/>
      <c r="R821" s="49"/>
      <c r="S821" s="49"/>
      <c r="T821" s="49"/>
      <c r="U821" s="49"/>
      <c r="V821" s="49"/>
      <c r="W821" s="49"/>
      <c r="X821" s="49"/>
      <c r="Y821" s="49"/>
      <c r="Z821" s="49"/>
    </row>
    <row r="822">
      <c r="A822" s="49" t="str">
        <f>IFERROR(__xludf.DUMMYFUNCTION("""COMPUTED_VALUE"""),"Bone Bow")</f>
        <v>Bone Bow</v>
      </c>
      <c r="B822" s="49"/>
      <c r="C822" s="49" t="str">
        <f>IFERROR(__xludf.DUMMYFUNCTION("""COMPUTED_VALUE"""),"Bow")</f>
        <v>Bow</v>
      </c>
      <c r="D822" s="49" t="str">
        <f>IFERROR(__xludf.DUMMYFUNCTION("""COMPUTED_VALUE"""),"Hand")</f>
        <v>Hand</v>
      </c>
      <c r="E822" s="49">
        <f>IFERROR(__xludf.DUMMYFUNCTION("""COMPUTED_VALUE"""),3400.0)</f>
        <v>3400</v>
      </c>
      <c r="F822" s="49" t="str">
        <f>IFERROR(__xludf.DUMMYFUNCTION("""COMPUTED_VALUE"""),"DMG: +10000, Blood DMG: +160000 ++ 2x damage when user isundead")</f>
        <v>DMG: +10000, Blood DMG: +160000 ++ 2x damage when user isundead</v>
      </c>
      <c r="G822" s="49">
        <f>IFERROR(__xludf.DUMMYFUNCTION("""COMPUTED_VALUE"""),5.763E8)</f>
        <v>576300000</v>
      </c>
      <c r="H822" s="49"/>
      <c r="I822" s="49"/>
      <c r="J822" s="49"/>
      <c r="K822" s="49"/>
      <c r="L822" s="49"/>
      <c r="M822" s="49"/>
      <c r="N822" s="49"/>
      <c r="O822" s="49"/>
      <c r="P822" s="49"/>
      <c r="Q822" s="49"/>
      <c r="R822" s="49"/>
      <c r="S822" s="49"/>
      <c r="T822" s="49"/>
      <c r="U822" s="49"/>
      <c r="V822" s="49"/>
      <c r="W822" s="49"/>
      <c r="X822" s="49"/>
      <c r="Y822" s="49"/>
      <c r="Z822" s="49"/>
    </row>
    <row r="823">
      <c r="A823" s="49" t="str">
        <f>IFERROR(__xludf.DUMMYFUNCTION("""COMPUTED_VALUE"""),"Assassin's Fake Harp")</f>
        <v>Assassin's Fake Harp</v>
      </c>
      <c r="B823" s="49"/>
      <c r="C823" s="49" t="str">
        <f>IFERROR(__xludf.DUMMYFUNCTION("""COMPUTED_VALUE"""),"Bow")</f>
        <v>Bow</v>
      </c>
      <c r="D823" s="49" t="str">
        <f>IFERROR(__xludf.DUMMYFUNCTION("""COMPUTED_VALUE"""),"Hand")</f>
        <v>Hand</v>
      </c>
      <c r="E823" s="49">
        <f>IFERROR(__xludf.DUMMYFUNCTION("""COMPUTED_VALUE"""),3000.0)</f>
        <v>3000</v>
      </c>
      <c r="F823" s="49" t="str">
        <f>IFERROR(__xludf.DUMMYFUNCTION("""COMPUTED_VALUE"""),"DMG: +50000, Acoustic DMG: +100000 ++Deals X2 additional damage for the first round of battle.")</f>
        <v>DMG: +50000, Acoustic DMG: +100000 ++Deals X2 additional damage for the first round of battle.</v>
      </c>
      <c r="G823" s="49">
        <f>IFERROR(__xludf.DUMMYFUNCTION("""COMPUTED_VALUE"""),4.485E8)</f>
        <v>448500000</v>
      </c>
      <c r="H823" s="49"/>
      <c r="I823" s="49"/>
      <c r="J823" s="49"/>
      <c r="K823" s="49"/>
      <c r="L823" s="49"/>
      <c r="M823" s="49"/>
      <c r="N823" s="49"/>
      <c r="O823" s="49"/>
      <c r="P823" s="49"/>
      <c r="Q823" s="49"/>
      <c r="R823" s="49"/>
      <c r="S823" s="49"/>
      <c r="T823" s="49"/>
      <c r="U823" s="49"/>
      <c r="V823" s="49"/>
      <c r="W823" s="49"/>
      <c r="X823" s="49"/>
      <c r="Y823" s="49"/>
      <c r="Z823" s="49"/>
    </row>
    <row r="824">
      <c r="A824" s="49" t="str">
        <f>IFERROR(__xludf.DUMMYFUNCTION("""COMPUTED_VALUE"""),"Broken Bow")</f>
        <v>Broken Bow</v>
      </c>
      <c r="B824" s="49"/>
      <c r="C824" s="49" t="str">
        <f>IFERROR(__xludf.DUMMYFUNCTION("""COMPUTED_VALUE"""),"Club")</f>
        <v>Club</v>
      </c>
      <c r="D824" s="49" t="str">
        <f>IFERROR(__xludf.DUMMYFUNCTION("""COMPUTED_VALUE"""),"Hand")</f>
        <v>Hand</v>
      </c>
      <c r="E824" s="49">
        <f>IFERROR(__xludf.DUMMYFUNCTION("""COMPUTED_VALUE"""),20.0)</f>
        <v>20</v>
      </c>
      <c r="F824" s="49" t="str">
        <f>IFERROR(__xludf.DUMMYFUNCTION("""COMPUTED_VALUE"""),"DMG: +1000")</f>
        <v>DMG: +1000</v>
      </c>
      <c r="G824" s="49">
        <f>IFERROR(__xludf.DUMMYFUNCTION("""COMPUTED_VALUE"""),10000.0)</f>
        <v>10000</v>
      </c>
      <c r="H824" s="49"/>
      <c r="I824" s="49"/>
      <c r="J824" s="49"/>
      <c r="K824" s="49"/>
      <c r="L824" s="49"/>
      <c r="M824" s="49"/>
      <c r="N824" s="49"/>
      <c r="O824" s="49"/>
      <c r="P824" s="49"/>
      <c r="Q824" s="49"/>
      <c r="R824" s="49"/>
      <c r="S824" s="49"/>
      <c r="T824" s="49"/>
      <c r="U824" s="49"/>
      <c r="V824" s="49"/>
      <c r="W824" s="49"/>
      <c r="X824" s="49"/>
      <c r="Y824" s="49"/>
      <c r="Z824" s="49"/>
    </row>
    <row r="825">
      <c r="A825" s="49" t="str">
        <f>IFERROR(__xludf.DUMMYFUNCTION("""COMPUTED_VALUE"""),"Lizard Wizard Hat")</f>
        <v>Lizard Wizard Hat</v>
      </c>
      <c r="B825" s="49"/>
      <c r="C825" s="49" t="str">
        <f>IFERROR(__xludf.DUMMYFUNCTION("""COMPUTED_VALUE"""),"Item")</f>
        <v>Item</v>
      </c>
      <c r="D825" s="49" t="str">
        <f>IFERROR(__xludf.DUMMYFUNCTION("""COMPUTED_VALUE"""),"Head")</f>
        <v>Head</v>
      </c>
      <c r="E825" s="49">
        <f>IFERROR(__xludf.DUMMYFUNCTION("""COMPUTED_VALUE"""),200.0)</f>
        <v>200</v>
      </c>
      <c r="F825" s="49" t="str">
        <f>IFERROR(__xludf.DUMMYFUNCTION("""COMPUTED_VALUE"""),"DEF: +10000 ++7500 hp and sp, X2 poison damage")</f>
        <v>DEF: +10000 ++7500 hp and sp, X2 poison damage</v>
      </c>
      <c r="G825" s="49">
        <f>IFERROR(__xludf.DUMMYFUNCTION("""COMPUTED_VALUE"""),1900000.0)</f>
        <v>1900000</v>
      </c>
      <c r="H825" s="49"/>
      <c r="I825" s="49"/>
      <c r="J825" s="49"/>
      <c r="K825" s="49"/>
      <c r="L825" s="49"/>
      <c r="M825" s="49"/>
      <c r="N825" s="49"/>
      <c r="O825" s="49"/>
      <c r="P825" s="49"/>
      <c r="Q825" s="49"/>
      <c r="R825" s="49"/>
      <c r="S825" s="49"/>
      <c r="T825" s="49"/>
      <c r="U825" s="49"/>
      <c r="V825" s="49"/>
      <c r="W825" s="49"/>
      <c r="X825" s="49"/>
      <c r="Y825" s="49"/>
      <c r="Z825" s="49"/>
    </row>
    <row r="826">
      <c r="A826" s="49" t="str">
        <f>IFERROR(__xludf.DUMMYFUNCTION("""COMPUTED_VALUE"""),"Lizard Wizard Robes")</f>
        <v>Lizard Wizard Robes</v>
      </c>
      <c r="B826" s="49"/>
      <c r="C826" s="49" t="str">
        <f>IFERROR(__xludf.DUMMYFUNCTION("""COMPUTED_VALUE"""),"Item")</f>
        <v>Item</v>
      </c>
      <c r="D826" s="49" t="str">
        <f>IFERROR(__xludf.DUMMYFUNCTION("""COMPUTED_VALUE"""),"Torso")</f>
        <v>Torso</v>
      </c>
      <c r="E826" s="49">
        <f>IFERROR(__xludf.DUMMYFUNCTION("""COMPUTED_VALUE"""),200.0)</f>
        <v>200</v>
      </c>
      <c r="F826" s="49" t="str">
        <f>IFERROR(__xludf.DUMMYFUNCTION("""COMPUTED_VALUE"""),"DEF: +10000 ++7500 hp and sp, X2 poison damage")</f>
        <v>DEF: +10000 ++7500 hp and sp, X2 poison damage</v>
      </c>
      <c r="G826" s="49">
        <f>IFERROR(__xludf.DUMMYFUNCTION("""COMPUTED_VALUE"""),1900000.0)</f>
        <v>1900000</v>
      </c>
      <c r="H826" s="49"/>
      <c r="I826" s="49"/>
      <c r="J826" s="49"/>
      <c r="K826" s="49"/>
      <c r="L826" s="49"/>
      <c r="M826" s="49"/>
      <c r="N826" s="49"/>
      <c r="O826" s="49"/>
      <c r="P826" s="49"/>
      <c r="Q826" s="49"/>
      <c r="R826" s="49"/>
      <c r="S826" s="49"/>
      <c r="T826" s="49"/>
      <c r="U826" s="49"/>
      <c r="V826" s="49"/>
      <c r="W826" s="49"/>
      <c r="X826" s="49"/>
      <c r="Y826" s="49"/>
      <c r="Z826" s="49"/>
    </row>
    <row r="827">
      <c r="A827" s="49" t="str">
        <f>IFERROR(__xludf.DUMMYFUNCTION("""COMPUTED_VALUE"""),"Lizard Wizard Leggings")</f>
        <v>Lizard Wizard Leggings</v>
      </c>
      <c r="B827" s="49"/>
      <c r="C827" s="49" t="str">
        <f>IFERROR(__xludf.DUMMYFUNCTION("""COMPUTED_VALUE"""),"Item")</f>
        <v>Item</v>
      </c>
      <c r="D827" s="49" t="str">
        <f>IFERROR(__xludf.DUMMYFUNCTION("""COMPUTED_VALUE"""),"Legs")</f>
        <v>Legs</v>
      </c>
      <c r="E827" s="49">
        <f>IFERROR(__xludf.DUMMYFUNCTION("""COMPUTED_VALUE"""),200.0)</f>
        <v>200</v>
      </c>
      <c r="F827" s="49" t="str">
        <f>IFERROR(__xludf.DUMMYFUNCTION("""COMPUTED_VALUE"""),"DEF: +10000 ++7500 hp and sp, X2 poison damage")</f>
        <v>DEF: +10000 ++7500 hp and sp, X2 poison damage</v>
      </c>
      <c r="G827" s="49">
        <f>IFERROR(__xludf.DUMMYFUNCTION("""COMPUTED_VALUE"""),1900000.0)</f>
        <v>1900000</v>
      </c>
      <c r="H827" s="49"/>
      <c r="I827" s="49"/>
      <c r="J827" s="49"/>
      <c r="K827" s="49"/>
      <c r="L827" s="49"/>
      <c r="M827" s="49"/>
      <c r="N827" s="49"/>
      <c r="O827" s="49"/>
      <c r="P827" s="49"/>
      <c r="Q827" s="49"/>
      <c r="R827" s="49"/>
      <c r="S827" s="49"/>
      <c r="T827" s="49"/>
      <c r="U827" s="49"/>
      <c r="V827" s="49"/>
      <c r="W827" s="49"/>
      <c r="X827" s="49"/>
      <c r="Y827" s="49"/>
      <c r="Z827" s="49"/>
    </row>
    <row r="828">
      <c r="A828" s="49" t="str">
        <f>IFERROR(__xludf.DUMMYFUNCTION("""COMPUTED_VALUE"""),"Lizard Wizard Pointed Shoes")</f>
        <v>Lizard Wizard Pointed Shoes</v>
      </c>
      <c r="B828" s="49"/>
      <c r="C828" s="49" t="str">
        <f>IFERROR(__xludf.DUMMYFUNCTION("""COMPUTED_VALUE"""),"Item")</f>
        <v>Item</v>
      </c>
      <c r="D828" s="49" t="str">
        <f>IFERROR(__xludf.DUMMYFUNCTION("""COMPUTED_VALUE"""),"Feet")</f>
        <v>Feet</v>
      </c>
      <c r="E828" s="49">
        <f>IFERROR(__xludf.DUMMYFUNCTION("""COMPUTED_VALUE"""),200.0)</f>
        <v>200</v>
      </c>
      <c r="F828" s="49" t="str">
        <f>IFERROR(__xludf.DUMMYFUNCTION("""COMPUTED_VALUE"""),"DEF: +10000 ++7500 hp and sp, X2 poison damage")</f>
        <v>DEF: +10000 ++7500 hp and sp, X2 poison damage</v>
      </c>
      <c r="G828" s="49">
        <f>IFERROR(__xludf.DUMMYFUNCTION("""COMPUTED_VALUE"""),1900000.0)</f>
        <v>1900000</v>
      </c>
      <c r="H828" s="49"/>
      <c r="I828" s="49"/>
      <c r="J828" s="49"/>
      <c r="K828" s="49"/>
      <c r="L828" s="49"/>
      <c r="M828" s="49"/>
      <c r="N828" s="49"/>
      <c r="O828" s="49"/>
      <c r="P828" s="49"/>
      <c r="Q828" s="49"/>
      <c r="R828" s="49"/>
      <c r="S828" s="49"/>
      <c r="T828" s="49"/>
      <c r="U828" s="49"/>
      <c r="V828" s="49"/>
      <c r="W828" s="49"/>
      <c r="X828" s="49"/>
      <c r="Y828" s="49"/>
      <c r="Z828" s="49"/>
    </row>
    <row r="829">
      <c r="A829" s="49" t="str">
        <f>IFERROR(__xludf.DUMMYFUNCTION("""COMPUTED_VALUE"""),"Lizard Wizard Staff of Corroding Blizzard")</f>
        <v>Lizard Wizard Staff of Corroding Blizzard</v>
      </c>
      <c r="B829" s="49"/>
      <c r="C829" s="49" t="str">
        <f>IFERROR(__xludf.DUMMYFUNCTION("""COMPUTED_VALUE"""),"Staff")</f>
        <v>Staff</v>
      </c>
      <c r="D829" s="49" t="str">
        <f>IFERROR(__xludf.DUMMYFUNCTION("""COMPUTED_VALUE"""),"Hand")</f>
        <v>Hand</v>
      </c>
      <c r="E829" s="49">
        <f>IFERROR(__xludf.DUMMYFUNCTION("""COMPUTED_VALUE"""),3000.0)</f>
        <v>3000</v>
      </c>
      <c r="F829" s="49"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49">
        <f>IFERROR(__xludf.DUMMYFUNCTION("""COMPUTED_VALUE"""),4.485E8)</f>
        <v>448500000</v>
      </c>
      <c r="H829" s="49"/>
      <c r="I829" s="49"/>
      <c r="J829" s="49"/>
      <c r="K829" s="49"/>
      <c r="L829" s="49"/>
      <c r="M829" s="49"/>
      <c r="N829" s="49"/>
      <c r="O829" s="49"/>
      <c r="P829" s="49"/>
      <c r="Q829" s="49"/>
      <c r="R829" s="49"/>
      <c r="S829" s="49"/>
      <c r="T829" s="49"/>
      <c r="U829" s="49"/>
      <c r="V829" s="49"/>
      <c r="W829" s="49"/>
      <c r="X829" s="49"/>
      <c r="Y829" s="49"/>
      <c r="Z829" s="49"/>
    </row>
    <row r="830">
      <c r="A830" s="49" t="str">
        <f>IFERROR(__xludf.DUMMYFUNCTION("""COMPUTED_VALUE"""),"Lizard Wizard's Prized Ring")</f>
        <v>Lizard Wizard's Prized Ring</v>
      </c>
      <c r="B830" s="49" t="str">
        <f>IFERROR(__xludf.DUMMYFUNCTION("""COMPUTED_VALUE"""),"""The Most Prized shiny of all lizard wizard kind!"" ~Lizard Wizzard Gizzard")</f>
        <v>"The Most Prized shiny of all lizard wizard kind!" ~Lizard Wizzard Gizzard</v>
      </c>
      <c r="C830" s="49" t="str">
        <f>IFERROR(__xludf.DUMMYFUNCTION("""COMPUTED_VALUE"""),"Item")</f>
        <v>Item</v>
      </c>
      <c r="D830" s="49" t="str">
        <f>IFERROR(__xludf.DUMMYFUNCTION("""COMPUTED_VALUE"""),"Finger")</f>
        <v>Finger</v>
      </c>
      <c r="E830" s="49">
        <f>IFERROR(__xludf.DUMMYFUNCTION("""COMPUTED_VALUE"""),2000.0)</f>
        <v>2000</v>
      </c>
      <c r="F830" s="49" t="str">
        <f>IFERROR(__xludf.DUMMYFUNCTION("""COMPUTED_VALUE"""),"DEF: +100000 ++X5 Poison and Nature damage, +5 Wisdom for every enemy poisoned.")</f>
        <v>DEF: +100000 ++X5 Poison and Nature damage, +5 Wisdom for every enemy poisoned.</v>
      </c>
      <c r="G830" s="49">
        <f>IFERROR(__xludf.DUMMYFUNCTION("""COMPUTED_VALUE"""),1.99E8)</f>
        <v>199000000</v>
      </c>
      <c r="H830" s="49"/>
      <c r="I830" s="49"/>
      <c r="J830" s="49"/>
      <c r="K830" s="49"/>
      <c r="L830" s="49"/>
      <c r="M830" s="49"/>
      <c r="N830" s="49"/>
      <c r="O830" s="49"/>
      <c r="P830" s="49"/>
      <c r="Q830" s="49"/>
      <c r="R830" s="49"/>
      <c r="S830" s="49"/>
      <c r="T830" s="49"/>
      <c r="U830" s="49"/>
      <c r="V830" s="49"/>
      <c r="W830" s="49"/>
      <c r="X830" s="49"/>
      <c r="Y830" s="49"/>
      <c r="Z830" s="49"/>
    </row>
    <row r="831">
      <c r="A831" s="49" t="str">
        <f>IFERROR(__xludf.DUMMYFUNCTION("""COMPUTED_VALUE"""),"Lizard Thief's Bandana")</f>
        <v>Lizard Thief's Bandana</v>
      </c>
      <c r="B831" s="49"/>
      <c r="C831" s="49" t="str">
        <f>IFERROR(__xludf.DUMMYFUNCTION("""COMPUTED_VALUE"""),"Item")</f>
        <v>Item</v>
      </c>
      <c r="D831" s="49" t="str">
        <f>IFERROR(__xludf.DUMMYFUNCTION("""COMPUTED_VALUE"""),"Head")</f>
        <v>Head</v>
      </c>
      <c r="E831" s="49">
        <f>IFERROR(__xludf.DUMMYFUNCTION("""COMPUTED_VALUE"""),2000.0)</f>
        <v>2000</v>
      </c>
      <c r="F831" s="49" t="str">
        <f>IFERROR(__xludf.DUMMYFUNCTION("""COMPUTED_VALUE"""),"DEF: +100000 ++15000 ATK and ACC  ++X4 Knife Damage")</f>
        <v>DEF: +100000 ++15000 ATK and ACC  ++X4 Knife Damage</v>
      </c>
      <c r="G831" s="49">
        <f>IFERROR(__xludf.DUMMYFUNCTION("""COMPUTED_VALUE"""),1.99E8)</f>
        <v>199000000</v>
      </c>
      <c r="H831" s="49"/>
      <c r="I831" s="49"/>
      <c r="J831" s="49"/>
      <c r="K831" s="49"/>
      <c r="L831" s="49"/>
      <c r="M831" s="49"/>
      <c r="N831" s="49"/>
      <c r="O831" s="49"/>
      <c r="P831" s="49"/>
      <c r="Q831" s="49"/>
      <c r="R831" s="49"/>
      <c r="S831" s="49"/>
      <c r="T831" s="49"/>
      <c r="U831" s="49"/>
      <c r="V831" s="49"/>
      <c r="W831" s="49"/>
      <c r="X831" s="49"/>
      <c r="Y831" s="49"/>
      <c r="Z831" s="49"/>
    </row>
    <row r="832">
      <c r="A832" s="49" t="str">
        <f>IFERROR(__xludf.DUMMYFUNCTION("""COMPUTED_VALUE"""),"Lizard Thief's Leathers")</f>
        <v>Lizard Thief's Leathers</v>
      </c>
      <c r="B832" s="49"/>
      <c r="C832" s="49" t="str">
        <f>IFERROR(__xludf.DUMMYFUNCTION("""COMPUTED_VALUE"""),"Item")</f>
        <v>Item</v>
      </c>
      <c r="D832" s="49" t="str">
        <f>IFERROR(__xludf.DUMMYFUNCTION("""COMPUTED_VALUE"""),"Torso")</f>
        <v>Torso</v>
      </c>
      <c r="E832" s="49">
        <f>IFERROR(__xludf.DUMMYFUNCTION("""COMPUTED_VALUE"""),2000.0)</f>
        <v>2000</v>
      </c>
      <c r="F832" s="49" t="str">
        <f>IFERROR(__xludf.DUMMYFUNCTION("""COMPUTED_VALUE"""),"DEF: +100000 ++15000 ATK and ACC ++X4 Knife Damage")</f>
        <v>DEF: +100000 ++15000 ATK and ACC ++X4 Knife Damage</v>
      </c>
      <c r="G832" s="49">
        <f>IFERROR(__xludf.DUMMYFUNCTION("""COMPUTED_VALUE"""),1.99E8)</f>
        <v>199000000</v>
      </c>
      <c r="H832" s="49"/>
      <c r="I832" s="49"/>
      <c r="J832" s="49"/>
      <c r="K832" s="49"/>
      <c r="L832" s="49"/>
      <c r="M832" s="49"/>
      <c r="N832" s="49"/>
      <c r="O832" s="49"/>
      <c r="P832" s="49"/>
      <c r="Q832" s="49"/>
      <c r="R832" s="49"/>
      <c r="S832" s="49"/>
      <c r="T832" s="49"/>
      <c r="U832" s="49"/>
      <c r="V832" s="49"/>
      <c r="W832" s="49"/>
      <c r="X832" s="49"/>
      <c r="Y832" s="49"/>
      <c r="Z832" s="49"/>
    </row>
    <row r="833">
      <c r="A833" s="49" t="str">
        <f>IFERROR(__xludf.DUMMYFUNCTION("""COMPUTED_VALUE"""),"Lizard Thief's Pants")</f>
        <v>Lizard Thief's Pants</v>
      </c>
      <c r="B833" s="49"/>
      <c r="C833" s="49" t="str">
        <f>IFERROR(__xludf.DUMMYFUNCTION("""COMPUTED_VALUE"""),"Item")</f>
        <v>Item</v>
      </c>
      <c r="D833" s="49" t="str">
        <f>IFERROR(__xludf.DUMMYFUNCTION("""COMPUTED_VALUE"""),"Legs")</f>
        <v>Legs</v>
      </c>
      <c r="E833" s="49">
        <f>IFERROR(__xludf.DUMMYFUNCTION("""COMPUTED_VALUE"""),2000.0)</f>
        <v>2000</v>
      </c>
      <c r="F833" s="49" t="str">
        <f>IFERROR(__xludf.DUMMYFUNCTION("""COMPUTED_VALUE"""),"DEF: +100000 ++15000 ATK and ACC ++X4 Knife Damage")</f>
        <v>DEF: +100000 ++15000 ATK and ACC ++X4 Knife Damage</v>
      </c>
      <c r="G833" s="49">
        <f>IFERROR(__xludf.DUMMYFUNCTION("""COMPUTED_VALUE"""),1.99E8)</f>
        <v>199000000</v>
      </c>
      <c r="H833" s="49"/>
      <c r="I833" s="49"/>
      <c r="J833" s="49"/>
      <c r="K833" s="49"/>
      <c r="L833" s="49"/>
      <c r="M833" s="49"/>
      <c r="N833" s="49"/>
      <c r="O833" s="49"/>
      <c r="P833" s="49"/>
      <c r="Q833" s="49"/>
      <c r="R833" s="49"/>
      <c r="S833" s="49"/>
      <c r="T833" s="49"/>
      <c r="U833" s="49"/>
      <c r="V833" s="49"/>
      <c r="W833" s="49"/>
      <c r="X833" s="49"/>
      <c r="Y833" s="49"/>
      <c r="Z833" s="49"/>
    </row>
    <row r="834">
      <c r="A834" s="49" t="str">
        <f>IFERROR(__xludf.DUMMYFUNCTION("""COMPUTED_VALUE"""),"Lizard Thief's Boots")</f>
        <v>Lizard Thief's Boots</v>
      </c>
      <c r="B834" s="49"/>
      <c r="C834" s="49" t="str">
        <f>IFERROR(__xludf.DUMMYFUNCTION("""COMPUTED_VALUE"""),"Item")</f>
        <v>Item</v>
      </c>
      <c r="D834" s="49" t="str">
        <f>IFERROR(__xludf.DUMMYFUNCTION("""COMPUTED_VALUE"""),"Feet")</f>
        <v>Feet</v>
      </c>
      <c r="E834" s="49">
        <f>IFERROR(__xludf.DUMMYFUNCTION("""COMPUTED_VALUE"""),2000.0)</f>
        <v>2000</v>
      </c>
      <c r="F834" s="49" t="str">
        <f>IFERROR(__xludf.DUMMYFUNCTION("""COMPUTED_VALUE"""),"DEF: +100000 ++15000 ATK and ACC ++X4 Knife Damage")</f>
        <v>DEF: +100000 ++15000 ATK and ACC ++X4 Knife Damage</v>
      </c>
      <c r="G834" s="49">
        <f>IFERROR(__xludf.DUMMYFUNCTION("""COMPUTED_VALUE"""),1.99E8)</f>
        <v>199000000</v>
      </c>
      <c r="H834" s="49"/>
      <c r="I834" s="49"/>
      <c r="J834" s="49"/>
      <c r="K834" s="49"/>
      <c r="L834" s="49"/>
      <c r="M834" s="49"/>
      <c r="N834" s="49"/>
      <c r="O834" s="49"/>
      <c r="P834" s="49"/>
      <c r="Q834" s="49"/>
      <c r="R834" s="49"/>
      <c r="S834" s="49"/>
      <c r="T834" s="49"/>
      <c r="U834" s="49"/>
      <c r="V834" s="49"/>
      <c r="W834" s="49"/>
      <c r="X834" s="49"/>
      <c r="Y834" s="49"/>
      <c r="Z834" s="49"/>
    </row>
    <row r="835">
      <c r="A835" s="49" t="str">
        <f>IFERROR(__xludf.DUMMYFUNCTION("""COMPUTED_VALUE"""),"Lizard Thief's Shiny Swiper")</f>
        <v>Lizard Thief's Shiny Swiper</v>
      </c>
      <c r="B835" s="49"/>
      <c r="C835" s="49" t="str">
        <f>IFERROR(__xludf.DUMMYFUNCTION("""COMPUTED_VALUE"""),"Knife")</f>
        <v>Knife</v>
      </c>
      <c r="D835" s="49" t="str">
        <f>IFERROR(__xludf.DUMMYFUNCTION("""COMPUTED_VALUE"""),"Hand")</f>
        <v>Hand</v>
      </c>
      <c r="E835" s="49">
        <f>IFERROR(__xludf.DUMMYFUNCTION("""COMPUTED_VALUE"""),3000.0)</f>
        <v>3000</v>
      </c>
      <c r="F835" s="49"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49">
        <f>IFERROR(__xludf.DUMMYFUNCTION("""COMPUTED_VALUE"""),4.485E8)</f>
        <v>448500000</v>
      </c>
      <c r="H835" s="49"/>
      <c r="I835" s="49"/>
      <c r="J835" s="49"/>
      <c r="K835" s="49"/>
      <c r="L835" s="49"/>
      <c r="M835" s="49"/>
      <c r="N835" s="49"/>
      <c r="O835" s="49"/>
      <c r="P835" s="49"/>
      <c r="Q835" s="49"/>
      <c r="R835" s="49"/>
      <c r="S835" s="49"/>
      <c r="T835" s="49"/>
      <c r="U835" s="49"/>
      <c r="V835" s="49"/>
      <c r="W835" s="49"/>
      <c r="X835" s="49"/>
      <c r="Y835" s="49"/>
      <c r="Z835" s="49"/>
    </row>
    <row r="836">
      <c r="A836" s="49" t="str">
        <f>IFERROR(__xludf.DUMMYFUNCTION("""COMPUTED_VALUE"""),"Wyrmstone Club")</f>
        <v>Wyrmstone Club</v>
      </c>
      <c r="B836" s="49"/>
      <c r="C836" s="49" t="str">
        <f>IFERROR(__xludf.DUMMYFUNCTION("""COMPUTED_VALUE"""),"Club")</f>
        <v>Club</v>
      </c>
      <c r="D836" s="49" t="str">
        <f>IFERROR(__xludf.DUMMYFUNCTION("""COMPUTED_VALUE"""),"Hand")</f>
        <v>Hand</v>
      </c>
      <c r="E836" s="49">
        <f>IFERROR(__xludf.DUMMYFUNCTION("""COMPUTED_VALUE"""),2000.0)</f>
        <v>2000</v>
      </c>
      <c r="F836" s="49" t="str">
        <f>IFERROR(__xludf.DUMMYFUNCTION("""COMPUTED_VALUE"""),"DMG: +100000 +- Half damage against dragons")</f>
        <v>DMG: +100000 +- Half damage against dragons</v>
      </c>
      <c r="G836" s="49">
        <f>IFERROR(__xludf.DUMMYFUNCTION("""COMPUTED_VALUE"""),1.99E8)</f>
        <v>199000000</v>
      </c>
      <c r="H836" s="49"/>
      <c r="I836" s="49"/>
      <c r="J836" s="49"/>
      <c r="K836" s="49"/>
      <c r="L836" s="49"/>
      <c r="M836" s="49"/>
      <c r="N836" s="49"/>
      <c r="O836" s="49"/>
      <c r="P836" s="49"/>
      <c r="Q836" s="49"/>
      <c r="R836" s="49"/>
      <c r="S836" s="49"/>
      <c r="T836" s="49"/>
      <c r="U836" s="49"/>
      <c r="V836" s="49"/>
      <c r="W836" s="49"/>
      <c r="X836" s="49"/>
      <c r="Y836" s="49"/>
      <c r="Z836" s="49"/>
    </row>
    <row r="837">
      <c r="A837" s="49" t="str">
        <f>IFERROR(__xludf.DUMMYFUNCTION("""COMPUTED_VALUE"""),"Wyrmstone Mail")</f>
        <v>Wyrmstone Mail</v>
      </c>
      <c r="B837" s="49"/>
      <c r="C837" s="49" t="str">
        <f>IFERROR(__xludf.DUMMYFUNCTION("""COMPUTED_VALUE"""),"Item")</f>
        <v>Item</v>
      </c>
      <c r="D837" s="49" t="str">
        <f>IFERROR(__xludf.DUMMYFUNCTION("""COMPUTED_VALUE"""),"Torso")</f>
        <v>Torso</v>
      </c>
      <c r="E837" s="49">
        <f>IFERROR(__xludf.DUMMYFUNCTION("""COMPUTED_VALUE"""),2800.0)</f>
        <v>2800</v>
      </c>
      <c r="F837" s="49" t="str">
        <f>IFERROR(__xludf.DUMMYFUNCTION("""COMPUTED_VALUE"""),"DEF: +140000 ++Half damage received from dragons +-Cannot be forged or duplicated")</f>
        <v>DEF: +140000 ++Half damage received from dragons +-Cannot be forged or duplicated</v>
      </c>
      <c r="G837" s="49">
        <f>IFERROR(__xludf.DUMMYFUNCTION("""COMPUTED_VALUE"""),3.906E8)</f>
        <v>390600000</v>
      </c>
      <c r="H837" s="49"/>
      <c r="I837" s="49"/>
      <c r="J837" s="49"/>
      <c r="K837" s="49"/>
      <c r="L837" s="49"/>
      <c r="M837" s="49"/>
      <c r="N837" s="49"/>
      <c r="O837" s="49"/>
      <c r="P837" s="49"/>
      <c r="Q837" s="49"/>
      <c r="R837" s="49"/>
      <c r="S837" s="49"/>
      <c r="T837" s="49"/>
      <c r="U837" s="49"/>
      <c r="V837" s="49"/>
      <c r="W837" s="49"/>
      <c r="X837" s="49"/>
      <c r="Y837" s="49"/>
      <c r="Z837" s="49"/>
    </row>
    <row r="838">
      <c r="A838" s="49" t="str">
        <f>IFERROR(__xludf.DUMMYFUNCTION("""COMPUTED_VALUE"""),"Wyrmstone Helm")</f>
        <v>Wyrmstone Helm</v>
      </c>
      <c r="B838" s="49"/>
      <c r="C838" s="49" t="str">
        <f>IFERROR(__xludf.DUMMYFUNCTION("""COMPUTED_VALUE"""),"Item")</f>
        <v>Item</v>
      </c>
      <c r="D838" s="49" t="str">
        <f>IFERROR(__xludf.DUMMYFUNCTION("""COMPUTED_VALUE"""),"Head")</f>
        <v>Head</v>
      </c>
      <c r="E838" s="49">
        <f>IFERROR(__xludf.DUMMYFUNCTION("""COMPUTED_VALUE"""),2400.0)</f>
        <v>2400</v>
      </c>
      <c r="F838" s="49" t="str">
        <f>IFERROR(__xludf.DUMMYFUNCTION("""COMPUTED_VALUE"""),"DEF: +120000 +-Cannot be forged or duplicated")</f>
        <v>DEF: +120000 +-Cannot be forged or duplicated</v>
      </c>
      <c r="G838" s="49">
        <f>IFERROR(__xludf.DUMMYFUNCTION("""COMPUTED_VALUE"""),2.868E8)</f>
        <v>286800000</v>
      </c>
      <c r="H838" s="49"/>
      <c r="I838" s="49"/>
      <c r="J838" s="49"/>
      <c r="K838" s="49"/>
      <c r="L838" s="49"/>
      <c r="M838" s="49"/>
      <c r="N838" s="49"/>
      <c r="O838" s="49"/>
      <c r="P838" s="49"/>
      <c r="Q838" s="49"/>
      <c r="R838" s="49"/>
      <c r="S838" s="49"/>
      <c r="T838" s="49"/>
      <c r="U838" s="49"/>
      <c r="V838" s="49"/>
      <c r="W838" s="49"/>
      <c r="X838" s="49"/>
      <c r="Y838" s="49"/>
      <c r="Z838" s="49"/>
    </row>
    <row r="839">
      <c r="A839" s="49" t="str">
        <f>IFERROR(__xludf.DUMMYFUNCTION("""COMPUTED_VALUE"""),"Wyrmstone Buckler")</f>
        <v>Wyrmstone Buckler</v>
      </c>
      <c r="B839" s="49"/>
      <c r="C839" s="49" t="str">
        <f>IFERROR(__xludf.DUMMYFUNCTION("""COMPUTED_VALUE"""),"Buckler")</f>
        <v>Buckler</v>
      </c>
      <c r="D839" s="49" t="str">
        <f>IFERROR(__xludf.DUMMYFUNCTION("""COMPUTED_VALUE"""),"Hand")</f>
        <v>Hand</v>
      </c>
      <c r="E839" s="49">
        <f>IFERROR(__xludf.DUMMYFUNCTION("""COMPUTED_VALUE"""),3000.0)</f>
        <v>3000</v>
      </c>
      <c r="F839" s="49" t="str">
        <f>IFERROR(__xludf.DUMMYFUNCTION("""COMPUTED_VALUE"""),"DEF: +150000 ++25% chance to parry dragons' attacks +-Cannot be forged or duplicated")</f>
        <v>DEF: +150000 ++25% chance to parry dragons' attacks +-Cannot be forged or duplicated</v>
      </c>
      <c r="G839" s="49">
        <f>IFERROR(__xludf.DUMMYFUNCTION("""COMPUTED_VALUE"""),4.485E8)</f>
        <v>448500000</v>
      </c>
      <c r="H839" s="49"/>
      <c r="I839" s="49"/>
      <c r="J839" s="49"/>
      <c r="K839" s="49"/>
      <c r="L839" s="49"/>
      <c r="M839" s="49"/>
      <c r="N839" s="49"/>
      <c r="O839" s="49"/>
      <c r="P839" s="49"/>
      <c r="Q839" s="49"/>
      <c r="R839" s="49"/>
      <c r="S839" s="49"/>
      <c r="T839" s="49"/>
      <c r="U839" s="49"/>
      <c r="V839" s="49"/>
      <c r="W839" s="49"/>
      <c r="X839" s="49"/>
      <c r="Y839" s="49"/>
      <c r="Z839" s="49"/>
    </row>
    <row r="840">
      <c r="A840" s="49" t="str">
        <f>IFERROR(__xludf.DUMMYFUNCTION("""COMPUTED_VALUE"""),"Wyrmstone Gauntlet")</f>
        <v>Wyrmstone Gauntlet</v>
      </c>
      <c r="B840" s="49"/>
      <c r="C840" s="49" t="str">
        <f>IFERROR(__xludf.DUMMYFUNCTION("""COMPUTED_VALUE"""),"Gauntlet")</f>
        <v>Gauntlet</v>
      </c>
      <c r="D840" s="49" t="str">
        <f>IFERROR(__xludf.DUMMYFUNCTION("""COMPUTED_VALUE"""),"Hand")</f>
        <v>Hand</v>
      </c>
      <c r="E840" s="49">
        <f>IFERROR(__xludf.DUMMYFUNCTION("""COMPUTED_VALUE"""),3000.0)</f>
        <v>3000</v>
      </c>
      <c r="F840" s="49" t="str">
        <f>IFERROR(__xludf.DUMMYFUNCTION("""COMPUTED_VALUE"""),"DEF: +125000, Light DEF: +25000")</f>
        <v>DEF: +125000, Light DEF: +25000</v>
      </c>
      <c r="G840" s="49">
        <f>IFERROR(__xludf.DUMMYFUNCTION("""COMPUTED_VALUE"""),4.485E8)</f>
        <v>448500000</v>
      </c>
      <c r="H840" s="49"/>
      <c r="I840" s="49"/>
      <c r="J840" s="49"/>
      <c r="K840" s="49"/>
      <c r="L840" s="49"/>
      <c r="M840" s="49"/>
      <c r="N840" s="49"/>
      <c r="O840" s="49"/>
      <c r="P840" s="49"/>
      <c r="Q840" s="49"/>
      <c r="R840" s="49"/>
      <c r="S840" s="49"/>
      <c r="T840" s="49"/>
      <c r="U840" s="49"/>
      <c r="V840" s="49"/>
      <c r="W840" s="49"/>
      <c r="X840" s="49"/>
      <c r="Y840" s="49"/>
      <c r="Z840" s="49"/>
    </row>
    <row r="841">
      <c r="A841" s="49" t="str">
        <f>IFERROR(__xludf.DUMMYFUNCTION("""COMPUTED_VALUE"""),"Wyrmstone Leggings")</f>
        <v>Wyrmstone Leggings</v>
      </c>
      <c r="B841" s="49"/>
      <c r="C841" s="49" t="str">
        <f>IFERROR(__xludf.DUMMYFUNCTION("""COMPUTED_VALUE"""),"Item")</f>
        <v>Item</v>
      </c>
      <c r="D841" s="49" t="str">
        <f>IFERROR(__xludf.DUMMYFUNCTION("""COMPUTED_VALUE"""),"Legs")</f>
        <v>Legs</v>
      </c>
      <c r="E841" s="49">
        <f>IFERROR(__xludf.DUMMYFUNCTION("""COMPUTED_VALUE"""),2000.0)</f>
        <v>2000</v>
      </c>
      <c r="F841" s="49" t="str">
        <f>IFERROR(__xludf.DUMMYFUNCTION("""COMPUTED_VALUE"""),"DEF: +100000")</f>
        <v>DEF: +100000</v>
      </c>
      <c r="G841" s="49">
        <f>IFERROR(__xludf.DUMMYFUNCTION("""COMPUTED_VALUE"""),1.99E8)</f>
        <v>199000000</v>
      </c>
      <c r="H841" s="49"/>
      <c r="I841" s="49"/>
      <c r="J841" s="49"/>
      <c r="K841" s="49"/>
      <c r="L841" s="49"/>
      <c r="M841" s="49"/>
      <c r="N841" s="49"/>
      <c r="O841" s="49"/>
      <c r="P841" s="49"/>
      <c r="Q841" s="49"/>
      <c r="R841" s="49"/>
      <c r="S841" s="49"/>
      <c r="T841" s="49"/>
      <c r="U841" s="49"/>
      <c r="V841" s="49"/>
      <c r="W841" s="49"/>
      <c r="X841" s="49"/>
      <c r="Y841" s="49"/>
      <c r="Z841" s="49"/>
    </row>
    <row r="842">
      <c r="A842" s="49" t="str">
        <f>IFERROR(__xludf.DUMMYFUNCTION("""COMPUTED_VALUE"""),"Wyrmstone Lance")</f>
        <v>Wyrmstone Lance</v>
      </c>
      <c r="B842" s="49"/>
      <c r="C842" s="49" t="str">
        <f>IFERROR(__xludf.DUMMYFUNCTION("""COMPUTED_VALUE"""),"Spear")</f>
        <v>Spear</v>
      </c>
      <c r="D842" s="49" t="str">
        <f>IFERROR(__xludf.DUMMYFUNCTION("""COMPUTED_VALUE"""),"Hand")</f>
        <v>Hand</v>
      </c>
      <c r="E842" s="49">
        <f>IFERROR(__xludf.DUMMYFUNCTION("""COMPUTED_VALUE"""),2000.0)</f>
        <v>2000</v>
      </c>
      <c r="F842" s="49" t="str">
        <f>IFERROR(__xludf.DUMMYFUNCTION("""COMPUTED_VALUE"""),"DMG: +100000 ++Damage doubles if used two turns in a row +-Cannot be forged or duplicated")</f>
        <v>DMG: +100000 ++Damage doubles if used two turns in a row +-Cannot be forged or duplicated</v>
      </c>
      <c r="G842" s="49">
        <f>IFERROR(__xludf.DUMMYFUNCTION("""COMPUTED_VALUE"""),1.99E8)</f>
        <v>199000000</v>
      </c>
      <c r="H842" s="49"/>
      <c r="I842" s="49"/>
      <c r="J842" s="49"/>
      <c r="K842" s="49"/>
      <c r="L842" s="49"/>
      <c r="M842" s="49"/>
      <c r="N842" s="49"/>
      <c r="O842" s="49"/>
      <c r="P842" s="49"/>
      <c r="Q842" s="49"/>
      <c r="R842" s="49"/>
      <c r="S842" s="49"/>
      <c r="T842" s="49"/>
      <c r="U842" s="49"/>
      <c r="V842" s="49"/>
      <c r="W842" s="49"/>
      <c r="X842" s="49"/>
      <c r="Y842" s="49"/>
      <c r="Z842" s="49"/>
    </row>
    <row r="843">
      <c r="A843" s="49" t="str">
        <f>IFERROR(__xludf.DUMMYFUNCTION("""COMPUTED_VALUE"""),"Wyrmstone Nails")</f>
        <v>Wyrmstone Nails</v>
      </c>
      <c r="B843" s="49"/>
      <c r="C843" s="49" t="str">
        <f>IFERROR(__xludf.DUMMYFUNCTION("""COMPUTED_VALUE"""),"Claw")</f>
        <v>Claw</v>
      </c>
      <c r="D843" s="49" t="str">
        <f>IFERROR(__xludf.DUMMYFUNCTION("""COMPUTED_VALUE"""),"Hand")</f>
        <v>Hand</v>
      </c>
      <c r="E843" s="49">
        <f>IFERROR(__xludf.DUMMYFUNCTION("""COMPUTED_VALUE"""),2600.0)</f>
        <v>2600</v>
      </c>
      <c r="F843" s="49" t="str">
        <f>IFERROR(__xludf.DUMMYFUNCTION("""COMPUTED_VALUE"""),"DMG: +130000")</f>
        <v>DMG: +130000</v>
      </c>
      <c r="G843" s="49">
        <f>IFERROR(__xludf.DUMMYFUNCTION("""COMPUTED_VALUE"""),3.367E8)</f>
        <v>336700000</v>
      </c>
      <c r="H843" s="49"/>
      <c r="I843" s="49"/>
      <c r="J843" s="49"/>
      <c r="K843" s="49"/>
      <c r="L843" s="49"/>
      <c r="M843" s="49"/>
      <c r="N843" s="49"/>
      <c r="O843" s="49"/>
      <c r="P843" s="49"/>
      <c r="Q843" s="49"/>
      <c r="R843" s="49"/>
      <c r="S843" s="49"/>
      <c r="T843" s="49"/>
      <c r="U843" s="49"/>
      <c r="V843" s="49"/>
      <c r="W843" s="49"/>
      <c r="X843" s="49"/>
      <c r="Y843" s="49"/>
      <c r="Z843" s="49"/>
    </row>
    <row r="844">
      <c r="A844" s="49" t="str">
        <f>IFERROR(__xludf.DUMMYFUNCTION("""COMPUTED_VALUE"""),"Lizard Warrior's Scale Helm")</f>
        <v>Lizard Warrior's Scale Helm</v>
      </c>
      <c r="B844" s="49"/>
      <c r="C844" s="49" t="str">
        <f>IFERROR(__xludf.DUMMYFUNCTION("""COMPUTED_VALUE"""),"Item")</f>
        <v>Item</v>
      </c>
      <c r="D844" s="49" t="str">
        <f>IFERROR(__xludf.DUMMYFUNCTION("""COMPUTED_VALUE"""),"Head")</f>
        <v>Head</v>
      </c>
      <c r="E844" s="49">
        <f>IFERROR(__xludf.DUMMYFUNCTION("""COMPUTED_VALUE"""),3000.0)</f>
        <v>3000</v>
      </c>
      <c r="F844" s="49" t="str">
        <f>IFERROR(__xludf.DUMMYFUNCTION("""COMPUTED_VALUE"""),"DEF: +100000, Nature DEF: +50000")</f>
        <v>DEF: +100000, Nature DEF: +50000</v>
      </c>
      <c r="G844" s="49">
        <f>IFERROR(__xludf.DUMMYFUNCTION("""COMPUTED_VALUE"""),4.485E8)</f>
        <v>448500000</v>
      </c>
      <c r="H844" s="49"/>
      <c r="I844" s="49"/>
      <c r="J844" s="49"/>
      <c r="K844" s="49"/>
      <c r="L844" s="49"/>
      <c r="M844" s="49"/>
      <c r="N844" s="49"/>
      <c r="O844" s="49"/>
      <c r="P844" s="49"/>
      <c r="Q844" s="49"/>
      <c r="R844" s="49"/>
      <c r="S844" s="49"/>
      <c r="T844" s="49"/>
      <c r="U844" s="49"/>
      <c r="V844" s="49"/>
      <c r="W844" s="49"/>
      <c r="X844" s="49"/>
      <c r="Y844" s="49"/>
      <c r="Z844" s="49"/>
    </row>
    <row r="845">
      <c r="A845" s="49" t="str">
        <f>IFERROR(__xludf.DUMMYFUNCTION("""COMPUTED_VALUE"""),"Lizard Warrior's Scaled Pauldrons")</f>
        <v>Lizard Warrior's Scaled Pauldrons</v>
      </c>
      <c r="B845" s="49"/>
      <c r="C845" s="49" t="str">
        <f>IFERROR(__xludf.DUMMYFUNCTION("""COMPUTED_VALUE"""),"Item")</f>
        <v>Item</v>
      </c>
      <c r="D845" s="49" t="str">
        <f>IFERROR(__xludf.DUMMYFUNCTION("""COMPUTED_VALUE"""),"Shoulders")</f>
        <v>Shoulders</v>
      </c>
      <c r="E845" s="49">
        <f>IFERROR(__xludf.DUMMYFUNCTION("""COMPUTED_VALUE"""),3000.0)</f>
        <v>3000</v>
      </c>
      <c r="F845" s="49" t="str">
        <f>IFERROR(__xludf.DUMMYFUNCTION("""COMPUTED_VALUE"""),"DEF: +100000, Nature DEF: +50000")</f>
        <v>DEF: +100000, Nature DEF: +50000</v>
      </c>
      <c r="G845" s="49">
        <f>IFERROR(__xludf.DUMMYFUNCTION("""COMPUTED_VALUE"""),4.485E8)</f>
        <v>448500000</v>
      </c>
      <c r="H845" s="49"/>
      <c r="I845" s="49"/>
      <c r="J845" s="49"/>
      <c r="K845" s="49"/>
      <c r="L845" s="49"/>
      <c r="M845" s="49"/>
      <c r="N845" s="49"/>
      <c r="O845" s="49"/>
      <c r="P845" s="49"/>
      <c r="Q845" s="49"/>
      <c r="R845" s="49"/>
      <c r="S845" s="49"/>
      <c r="T845" s="49"/>
      <c r="U845" s="49"/>
      <c r="V845" s="49"/>
      <c r="W845" s="49"/>
      <c r="X845" s="49"/>
      <c r="Y845" s="49"/>
      <c r="Z845" s="49"/>
    </row>
    <row r="846">
      <c r="A846" s="49" t="str">
        <f>IFERROR(__xludf.DUMMYFUNCTION("""COMPUTED_VALUE"""),"Lizard Warrior's Scaled Chest")</f>
        <v>Lizard Warrior's Scaled Chest</v>
      </c>
      <c r="B846" s="49"/>
      <c r="C846" s="49" t="str">
        <f>IFERROR(__xludf.DUMMYFUNCTION("""COMPUTED_VALUE"""),"Item")</f>
        <v>Item</v>
      </c>
      <c r="D846" s="49" t="str">
        <f>IFERROR(__xludf.DUMMYFUNCTION("""COMPUTED_VALUE"""),"Torso")</f>
        <v>Torso</v>
      </c>
      <c r="E846" s="49">
        <f>IFERROR(__xludf.DUMMYFUNCTION("""COMPUTED_VALUE"""),3000.0)</f>
        <v>3000</v>
      </c>
      <c r="F846" s="49"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49">
        <f>IFERROR(__xludf.DUMMYFUNCTION("""COMPUTED_VALUE"""),4.485E8)</f>
        <v>448500000</v>
      </c>
      <c r="H846" s="49"/>
      <c r="I846" s="49"/>
      <c r="J846" s="49"/>
      <c r="K846" s="49"/>
      <c r="L846" s="49"/>
      <c r="M846" s="49"/>
      <c r="N846" s="49"/>
      <c r="O846" s="49"/>
      <c r="P846" s="49"/>
      <c r="Q846" s="49"/>
      <c r="R846" s="49"/>
      <c r="S846" s="49"/>
      <c r="T846" s="49"/>
      <c r="U846" s="49"/>
      <c r="V846" s="49"/>
      <c r="W846" s="49"/>
      <c r="X846" s="49"/>
      <c r="Y846" s="49"/>
      <c r="Z846" s="49"/>
    </row>
    <row r="847">
      <c r="A847" s="49" t="str">
        <f>IFERROR(__xludf.DUMMYFUNCTION("""COMPUTED_VALUE"""),"Lizard Warrior's Scaled Arms")</f>
        <v>Lizard Warrior's Scaled Arms</v>
      </c>
      <c r="B847" s="49"/>
      <c r="C847" s="49" t="str">
        <f>IFERROR(__xludf.DUMMYFUNCTION("""COMPUTED_VALUE"""),"Item")</f>
        <v>Item</v>
      </c>
      <c r="D847" s="49" t="str">
        <f>IFERROR(__xludf.DUMMYFUNCTION("""COMPUTED_VALUE"""),"Arms")</f>
        <v>Arms</v>
      </c>
      <c r="E847" s="49">
        <f>IFERROR(__xludf.DUMMYFUNCTION("""COMPUTED_VALUE"""),3000.0)</f>
        <v>3000</v>
      </c>
      <c r="F847" s="49" t="str">
        <f>IFERROR(__xludf.DUMMYFUNCTION("""COMPUTED_VALUE"""),"DEF: +100000, Nature DEF: +50000 ++7500 DEF for every enemy currently poisoned (Max 37500)")</f>
        <v>DEF: +100000, Nature DEF: +50000 ++7500 DEF for every enemy currently poisoned (Max 37500)</v>
      </c>
      <c r="G847" s="49">
        <f>IFERROR(__xludf.DUMMYFUNCTION("""COMPUTED_VALUE"""),4.485E8)</f>
        <v>448500000</v>
      </c>
      <c r="H847" s="49"/>
      <c r="I847" s="49"/>
      <c r="J847" s="49"/>
      <c r="K847" s="49"/>
      <c r="L847" s="49"/>
      <c r="M847" s="49"/>
      <c r="N847" s="49"/>
      <c r="O847" s="49"/>
      <c r="P847" s="49"/>
      <c r="Q847" s="49"/>
      <c r="R847" s="49"/>
      <c r="S847" s="49"/>
      <c r="T847" s="49"/>
      <c r="U847" s="49"/>
      <c r="V847" s="49"/>
      <c r="W847" s="49"/>
      <c r="X847" s="49"/>
      <c r="Y847" s="49"/>
      <c r="Z847" s="49"/>
    </row>
    <row r="848">
      <c r="A848" s="49" t="str">
        <f>IFERROR(__xludf.DUMMYFUNCTION("""COMPUTED_VALUE"""),"Lizard Warrior's Bracelets")</f>
        <v>Lizard Warrior's Bracelets</v>
      </c>
      <c r="B848" s="49"/>
      <c r="C848" s="49" t="str">
        <f>IFERROR(__xludf.DUMMYFUNCTION("""COMPUTED_VALUE"""),"Item")</f>
        <v>Item</v>
      </c>
      <c r="D848" s="49" t="str">
        <f>IFERROR(__xludf.DUMMYFUNCTION("""COMPUTED_VALUE"""),"Arms")</f>
        <v>Arms</v>
      </c>
      <c r="E848" s="49">
        <f>IFERROR(__xludf.DUMMYFUNCTION("""COMPUTED_VALUE"""),3000.0)</f>
        <v>3000</v>
      </c>
      <c r="F848" s="49" t="str">
        <f>IFERROR(__xludf.DUMMYFUNCTION("""COMPUTED_VALUE"""),"DEF: +100000, Nature DEF: +50000 ++5000 ACC for every enemy currently poisoned (Max 25000)")</f>
        <v>DEF: +100000, Nature DEF: +50000 ++5000 ACC for every enemy currently poisoned (Max 25000)</v>
      </c>
      <c r="G848" s="49">
        <f>IFERROR(__xludf.DUMMYFUNCTION("""COMPUTED_VALUE"""),4.485E8)</f>
        <v>448500000</v>
      </c>
      <c r="H848" s="49"/>
      <c r="I848" s="49"/>
      <c r="J848" s="49"/>
      <c r="K848" s="49"/>
      <c r="L848" s="49"/>
      <c r="M848" s="49"/>
      <c r="N848" s="49"/>
      <c r="O848" s="49"/>
      <c r="P848" s="49"/>
      <c r="Q848" s="49"/>
      <c r="R848" s="49"/>
      <c r="S848" s="49"/>
      <c r="T848" s="49"/>
      <c r="U848" s="49"/>
      <c r="V848" s="49"/>
      <c r="W848" s="49"/>
      <c r="X848" s="49"/>
      <c r="Y848" s="49"/>
      <c r="Z848" s="49"/>
    </row>
    <row r="849">
      <c r="A849" s="49" t="str">
        <f>IFERROR(__xludf.DUMMYFUNCTION("""COMPUTED_VALUE"""),"Lizard Warrior's Scaled Legs")</f>
        <v>Lizard Warrior's Scaled Legs</v>
      </c>
      <c r="B849" s="49"/>
      <c r="C849" s="49" t="str">
        <f>IFERROR(__xludf.DUMMYFUNCTION("""COMPUTED_VALUE"""),"Item")</f>
        <v>Item</v>
      </c>
      <c r="D849" s="49" t="str">
        <f>IFERROR(__xludf.DUMMYFUNCTION("""COMPUTED_VALUE"""),"Legs")</f>
        <v>Legs</v>
      </c>
      <c r="E849" s="49">
        <f>IFERROR(__xludf.DUMMYFUNCTION("""COMPUTED_VALUE"""),3000.0)</f>
        <v>3000</v>
      </c>
      <c r="F849" s="49" t="str">
        <f>IFERROR(__xludf.DUMMYFUNCTION("""COMPUTED_VALUE"""),"DEF: +100000, Nature DEF: +50000 ++5000 ATK for every enemy currently poisoned (Max 25000)")</f>
        <v>DEF: +100000, Nature DEF: +50000 ++5000 ATK for every enemy currently poisoned (Max 25000)</v>
      </c>
      <c r="G849" s="49">
        <f>IFERROR(__xludf.DUMMYFUNCTION("""COMPUTED_VALUE"""),4.485E8)</f>
        <v>448500000</v>
      </c>
      <c r="H849" s="49"/>
      <c r="I849" s="49"/>
      <c r="J849" s="49"/>
      <c r="K849" s="49"/>
      <c r="L849" s="49"/>
      <c r="M849" s="49"/>
      <c r="N849" s="49"/>
      <c r="O849" s="49"/>
      <c r="P849" s="49"/>
      <c r="Q849" s="49"/>
      <c r="R849" s="49"/>
      <c r="S849" s="49"/>
      <c r="T849" s="49"/>
      <c r="U849" s="49"/>
      <c r="V849" s="49"/>
      <c r="W849" s="49"/>
      <c r="X849" s="49"/>
      <c r="Y849" s="49"/>
      <c r="Z849" s="49"/>
    </row>
    <row r="850">
      <c r="A850" s="49" t="str">
        <f>IFERROR(__xludf.DUMMYFUNCTION("""COMPUTED_VALUE"""),"Lizard Warrior's Scaled Boots")</f>
        <v>Lizard Warrior's Scaled Boots</v>
      </c>
      <c r="B850" s="49"/>
      <c r="C850" s="49" t="str">
        <f>IFERROR(__xludf.DUMMYFUNCTION("""COMPUTED_VALUE"""),"Item")</f>
        <v>Item</v>
      </c>
      <c r="D850" s="49" t="str">
        <f>IFERROR(__xludf.DUMMYFUNCTION("""COMPUTED_VALUE"""),"Feet")</f>
        <v>Feet</v>
      </c>
      <c r="E850" s="49">
        <f>IFERROR(__xludf.DUMMYFUNCTION("""COMPUTED_VALUE"""),3000.0)</f>
        <v>3000</v>
      </c>
      <c r="F850" s="49" t="str">
        <f>IFERROR(__xludf.DUMMYFUNCTION("""COMPUTED_VALUE"""),"DEF: +100000, Nature DEF: +50000 ++1 Mobility for every enemy currently poisoned (Max 5)")</f>
        <v>DEF: +100000, Nature DEF: +50000 ++1 Mobility for every enemy currently poisoned (Max 5)</v>
      </c>
      <c r="G850" s="49">
        <f>IFERROR(__xludf.DUMMYFUNCTION("""COMPUTED_VALUE"""),4.485E8)</f>
        <v>448500000</v>
      </c>
      <c r="H850" s="49"/>
      <c r="I850" s="49"/>
      <c r="J850" s="49"/>
      <c r="K850" s="49"/>
      <c r="L850" s="49"/>
      <c r="M850" s="49"/>
      <c r="N850" s="49"/>
      <c r="O850" s="49"/>
      <c r="P850" s="49"/>
      <c r="Q850" s="49"/>
      <c r="R850" s="49"/>
      <c r="S850" s="49"/>
      <c r="T850" s="49"/>
      <c r="U850" s="49"/>
      <c r="V850" s="49"/>
      <c r="W850" s="49"/>
      <c r="X850" s="49"/>
      <c r="Y850" s="49"/>
      <c r="Z850" s="49"/>
    </row>
    <row r="851">
      <c r="A851" s="49" t="str">
        <f>IFERROR(__xludf.DUMMYFUNCTION("""COMPUTED_VALUE"""),"Lizard Warrior's Claw")</f>
        <v>Lizard Warrior's Claw</v>
      </c>
      <c r="B851" s="49"/>
      <c r="C851" s="49" t="str">
        <f>IFERROR(__xludf.DUMMYFUNCTION("""COMPUTED_VALUE"""),"Claw")</f>
        <v>Claw</v>
      </c>
      <c r="D851" s="49" t="str">
        <f>IFERROR(__xludf.DUMMYFUNCTION("""COMPUTED_VALUE"""),"Hand")</f>
        <v>Hand</v>
      </c>
      <c r="E851" s="49">
        <f>IFERROR(__xludf.DUMMYFUNCTION("""COMPUTED_VALUE"""),3000.0)</f>
        <v>3000</v>
      </c>
      <c r="F851" s="49"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49">
        <f>IFERROR(__xludf.DUMMYFUNCTION("""COMPUTED_VALUE"""),4.485E8)</f>
        <v>448500000</v>
      </c>
      <c r="H851" s="49"/>
      <c r="I851" s="49"/>
      <c r="J851" s="49"/>
      <c r="K851" s="49"/>
      <c r="L851" s="49"/>
      <c r="M851" s="49"/>
      <c r="N851" s="49"/>
      <c r="O851" s="49"/>
      <c r="P851" s="49"/>
      <c r="Q851" s="49"/>
      <c r="R851" s="49"/>
      <c r="S851" s="49"/>
      <c r="T851" s="49"/>
      <c r="U851" s="49"/>
      <c r="V851" s="49"/>
      <c r="W851" s="49"/>
      <c r="X851" s="49"/>
      <c r="Y851" s="49"/>
      <c r="Z851" s="49"/>
    </row>
    <row r="852">
      <c r="A852" s="49" t="str">
        <f>IFERROR(__xludf.DUMMYFUNCTION("""COMPUTED_VALUE"""),"Lizard Warrior Guantlet")</f>
        <v>Lizard Warrior Guantlet</v>
      </c>
      <c r="B852" s="49"/>
      <c r="C852" s="49" t="str">
        <f>IFERROR(__xludf.DUMMYFUNCTION("""COMPUTED_VALUE"""),"Gauntlet")</f>
        <v>Gauntlet</v>
      </c>
      <c r="D852" s="49" t="str">
        <f>IFERROR(__xludf.DUMMYFUNCTION("""COMPUTED_VALUE"""),"Hand")</f>
        <v>Hand</v>
      </c>
      <c r="E852" s="49">
        <f>IFERROR(__xludf.DUMMYFUNCTION("""COMPUTED_VALUE"""),3000.0)</f>
        <v>3000</v>
      </c>
      <c r="F852" s="49" t="str">
        <f>IFERROR(__xludf.DUMMYFUNCTION("""COMPUTED_VALUE"""),"DEF: +100000, Nature DEF: +50000 ++50% chance to be unaffected by a weapon attack from a poisoned enemy")</f>
        <v>DEF: +100000, Nature DEF: +50000 ++50% chance to be unaffected by a weapon attack from a poisoned enemy</v>
      </c>
      <c r="G852" s="49">
        <f>IFERROR(__xludf.DUMMYFUNCTION("""COMPUTED_VALUE"""),4.485E8)</f>
        <v>448500000</v>
      </c>
      <c r="H852" s="49"/>
      <c r="I852" s="49"/>
      <c r="J852" s="49"/>
      <c r="K852" s="49"/>
      <c r="L852" s="49"/>
      <c r="M852" s="49"/>
      <c r="N852" s="49"/>
      <c r="O852" s="49"/>
      <c r="P852" s="49"/>
      <c r="Q852" s="49"/>
      <c r="R852" s="49"/>
      <c r="S852" s="49"/>
      <c r="T852" s="49"/>
      <c r="U852" s="49"/>
      <c r="V852" s="49"/>
      <c r="W852" s="49"/>
      <c r="X852" s="49"/>
      <c r="Y852" s="49"/>
      <c r="Z852" s="49"/>
    </row>
    <row r="853">
      <c r="A853" s="49" t="str">
        <f>IFERROR(__xludf.DUMMYFUNCTION("""COMPUTED_VALUE"""),"Igaunian Assassin's Cowl")</f>
        <v>Igaunian Assassin's Cowl</v>
      </c>
      <c r="B853" s="49"/>
      <c r="C853" s="49" t="str">
        <f>IFERROR(__xludf.DUMMYFUNCTION("""COMPUTED_VALUE"""),"Item")</f>
        <v>Item</v>
      </c>
      <c r="D853" s="49" t="str">
        <f>IFERROR(__xludf.DUMMYFUNCTION("""COMPUTED_VALUE"""),"Head")</f>
        <v>Head</v>
      </c>
      <c r="E853" s="49">
        <f>IFERROR(__xludf.DUMMYFUNCTION("""COMPUTED_VALUE"""),2000.0)</f>
        <v>2000</v>
      </c>
      <c r="F853" s="49"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49">
        <f>IFERROR(__xludf.DUMMYFUNCTION("""COMPUTED_VALUE"""),1.99E8)</f>
        <v>199000000</v>
      </c>
      <c r="H853" s="49"/>
      <c r="I853" s="49"/>
      <c r="J853" s="49"/>
      <c r="K853" s="49"/>
      <c r="L853" s="49"/>
      <c r="M853" s="49"/>
      <c r="N853" s="49"/>
      <c r="O853" s="49"/>
      <c r="P853" s="49"/>
      <c r="Q853" s="49"/>
      <c r="R853" s="49"/>
      <c r="S853" s="49"/>
      <c r="T853" s="49"/>
      <c r="U853" s="49"/>
      <c r="V853" s="49"/>
      <c r="W853" s="49"/>
      <c r="X853" s="49"/>
      <c r="Y853" s="49"/>
      <c r="Z853" s="49"/>
    </row>
    <row r="854">
      <c r="A854" s="49" t="str">
        <f>IFERROR(__xludf.DUMMYFUNCTION("""COMPUTED_VALUE"""),"Igaunian Assassin's Cloths")</f>
        <v>Igaunian Assassin's Cloths</v>
      </c>
      <c r="B854" s="49"/>
      <c r="C854" s="49" t="str">
        <f>IFERROR(__xludf.DUMMYFUNCTION("""COMPUTED_VALUE"""),"Item")</f>
        <v>Item</v>
      </c>
      <c r="D854" s="49" t="str">
        <f>IFERROR(__xludf.DUMMYFUNCTION("""COMPUTED_VALUE"""),"Torso")</f>
        <v>Torso</v>
      </c>
      <c r="E854" s="49">
        <f>IFERROR(__xludf.DUMMYFUNCTION("""COMPUTED_VALUE"""),2000.0)</f>
        <v>2000</v>
      </c>
      <c r="F854" s="49" t="str">
        <f>IFERROR(__xludf.DUMMYFUNCTION("""COMPUTED_VALUE"""),"DEF: +75000, Nature DEF: +25000 ++15000 ATK and ACC ++X4 Knife and Boomerang damage")</f>
        <v>DEF: +75000, Nature DEF: +25000 ++15000 ATK and ACC ++X4 Knife and Boomerang damage</v>
      </c>
      <c r="G854" s="49">
        <f>IFERROR(__xludf.DUMMYFUNCTION("""COMPUTED_VALUE"""),1.99E8)</f>
        <v>199000000</v>
      </c>
      <c r="H854" s="49"/>
      <c r="I854" s="49"/>
      <c r="J854" s="49"/>
      <c r="K854" s="49"/>
      <c r="L854" s="49"/>
      <c r="M854" s="49"/>
      <c r="N854" s="49"/>
      <c r="O854" s="49"/>
      <c r="P854" s="49"/>
      <c r="Q854" s="49"/>
      <c r="R854" s="49"/>
      <c r="S854" s="49"/>
      <c r="T854" s="49"/>
      <c r="U854" s="49"/>
      <c r="V854" s="49"/>
      <c r="W854" s="49"/>
      <c r="X854" s="49"/>
      <c r="Y854" s="49"/>
      <c r="Z854" s="49"/>
    </row>
    <row r="855">
      <c r="A855" s="49" t="str">
        <f>IFERROR(__xludf.DUMMYFUNCTION("""COMPUTED_VALUE"""),"Iguanian Assassin's Pants")</f>
        <v>Iguanian Assassin's Pants</v>
      </c>
      <c r="B855" s="49"/>
      <c r="C855" s="49" t="str">
        <f>IFERROR(__xludf.DUMMYFUNCTION("""COMPUTED_VALUE"""),"Item")</f>
        <v>Item</v>
      </c>
      <c r="D855" s="49" t="str">
        <f>IFERROR(__xludf.DUMMYFUNCTION("""COMPUTED_VALUE"""),"Legs")</f>
        <v>Legs</v>
      </c>
      <c r="E855" s="49">
        <f>IFERROR(__xludf.DUMMYFUNCTION("""COMPUTED_VALUE"""),2000.0)</f>
        <v>2000</v>
      </c>
      <c r="F855" s="49" t="str">
        <f>IFERROR(__xludf.DUMMYFUNCTION("""COMPUTED_VALUE"""),"DEF: +75000, Nature DEF: +25000 ++15000 ATK and ACC ++X4 Knife and Boomerang damage")</f>
        <v>DEF: +75000, Nature DEF: +25000 ++15000 ATK and ACC ++X4 Knife and Boomerang damage</v>
      </c>
      <c r="G855" s="49">
        <f>IFERROR(__xludf.DUMMYFUNCTION("""COMPUTED_VALUE"""),1.99E8)</f>
        <v>199000000</v>
      </c>
      <c r="H855" s="49"/>
      <c r="I855" s="49"/>
      <c r="J855" s="49"/>
      <c r="K855" s="49"/>
      <c r="L855" s="49"/>
      <c r="M855" s="49"/>
      <c r="N855" s="49"/>
      <c r="O855" s="49"/>
      <c r="P855" s="49"/>
      <c r="Q855" s="49"/>
      <c r="R855" s="49"/>
      <c r="S855" s="49"/>
      <c r="T855" s="49"/>
      <c r="U855" s="49"/>
      <c r="V855" s="49"/>
      <c r="W855" s="49"/>
      <c r="X855" s="49"/>
      <c r="Y855" s="49"/>
      <c r="Z855" s="49"/>
    </row>
    <row r="856">
      <c r="A856" s="49" t="str">
        <f>IFERROR(__xludf.DUMMYFUNCTION("""COMPUTED_VALUE"""),"Iguanian Assassin's Boots")</f>
        <v>Iguanian Assassin's Boots</v>
      </c>
      <c r="B856" s="49"/>
      <c r="C856" s="49" t="str">
        <f>IFERROR(__xludf.DUMMYFUNCTION("""COMPUTED_VALUE"""),"Item")</f>
        <v>Item</v>
      </c>
      <c r="D856" s="49" t="str">
        <f>IFERROR(__xludf.DUMMYFUNCTION("""COMPUTED_VALUE"""),"Feet")</f>
        <v>Feet</v>
      </c>
      <c r="E856" s="49">
        <f>IFERROR(__xludf.DUMMYFUNCTION("""COMPUTED_VALUE"""),2000.0)</f>
        <v>2000</v>
      </c>
      <c r="F856" s="49" t="str">
        <f>IFERROR(__xludf.DUMMYFUNCTION("""COMPUTED_VALUE"""),"DEF: +75000, Nature DEF: +25000 ++15000 ATK and ACC ++X4 Knife and Boomerang damage")</f>
        <v>DEF: +75000, Nature DEF: +25000 ++15000 ATK and ACC ++X4 Knife and Boomerang damage</v>
      </c>
      <c r="G856" s="49">
        <f>IFERROR(__xludf.DUMMYFUNCTION("""COMPUTED_VALUE"""),1.99E8)</f>
        <v>199000000</v>
      </c>
      <c r="H856" s="49"/>
      <c r="I856" s="49"/>
      <c r="J856" s="49"/>
      <c r="K856" s="49"/>
      <c r="L856" s="49"/>
      <c r="M856" s="49"/>
      <c r="N856" s="49"/>
      <c r="O856" s="49"/>
      <c r="P856" s="49"/>
      <c r="Q856" s="49"/>
      <c r="R856" s="49"/>
      <c r="S856" s="49"/>
      <c r="T856" s="49"/>
      <c r="U856" s="49"/>
      <c r="V856" s="49"/>
      <c r="W856" s="49"/>
      <c r="X856" s="49"/>
      <c r="Y856" s="49"/>
      <c r="Z856" s="49"/>
    </row>
    <row r="857">
      <c r="A857" s="49" t="str">
        <f>IFERROR(__xludf.DUMMYFUNCTION("""COMPUTED_VALUE"""),"Iguanian Assassin's Chakram")</f>
        <v>Iguanian Assassin's Chakram</v>
      </c>
      <c r="B857" s="49"/>
      <c r="C857" s="49" t="str">
        <f>IFERROR(__xludf.DUMMYFUNCTION("""COMPUTED_VALUE"""),"Boomerang")</f>
        <v>Boomerang</v>
      </c>
      <c r="D857" s="49" t="str">
        <f>IFERROR(__xludf.DUMMYFUNCTION("""COMPUTED_VALUE"""),"Hand")</f>
        <v>Hand</v>
      </c>
      <c r="E857" s="49">
        <f>IFERROR(__xludf.DUMMYFUNCTION("""COMPUTED_VALUE"""),3000.0)</f>
        <v>3000</v>
      </c>
      <c r="F857" s="49" t="str">
        <f>IFERROR(__xludf.DUMMYFUNCTION("""COMPUTED_VALUE"""),"DMG: +100000, Nature DMG: +50000 ++Increases the weapon effect chance by 10%")</f>
        <v>DMG: +100000, Nature DMG: +50000 ++Increases the weapon effect chance by 10%</v>
      </c>
      <c r="G857" s="49">
        <f>IFERROR(__xludf.DUMMYFUNCTION("""COMPUTED_VALUE"""),4.485E8)</f>
        <v>448500000</v>
      </c>
      <c r="H857" s="49"/>
      <c r="I857" s="49"/>
      <c r="J857" s="49"/>
      <c r="K857" s="49"/>
      <c r="L857" s="49"/>
      <c r="M857" s="49"/>
      <c r="N857" s="49"/>
      <c r="O857" s="49"/>
      <c r="P857" s="49"/>
      <c r="Q857" s="49"/>
      <c r="R857" s="49"/>
      <c r="S857" s="49"/>
      <c r="T857" s="49"/>
      <c r="U857" s="49"/>
      <c r="V857" s="49"/>
      <c r="W857" s="49"/>
      <c r="X857" s="49"/>
      <c r="Y857" s="49"/>
      <c r="Z857" s="49"/>
    </row>
    <row r="858">
      <c r="A858" s="49" t="str">
        <f>IFERROR(__xludf.DUMMYFUNCTION("""COMPUTED_VALUE"""),"Iguanian Assassin's Slicer")</f>
        <v>Iguanian Assassin's Slicer</v>
      </c>
      <c r="B858" s="49"/>
      <c r="C858" s="49" t="str">
        <f>IFERROR(__xludf.DUMMYFUNCTION("""COMPUTED_VALUE"""),"Knife")</f>
        <v>Knife</v>
      </c>
      <c r="D858" s="49" t="str">
        <f>IFERROR(__xludf.DUMMYFUNCTION("""COMPUTED_VALUE"""),"Hand")</f>
        <v>Hand</v>
      </c>
      <c r="E858" s="49">
        <f>IFERROR(__xludf.DUMMYFUNCTION("""COMPUTED_VALUE"""),3000.0)</f>
        <v>3000</v>
      </c>
      <c r="F858" s="49"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49">
        <f>IFERROR(__xludf.DUMMYFUNCTION("""COMPUTED_VALUE"""),4.485E8)</f>
        <v>448500000</v>
      </c>
      <c r="H858" s="49"/>
      <c r="I858" s="49"/>
      <c r="J858" s="49"/>
      <c r="K858" s="49"/>
      <c r="L858" s="49"/>
      <c r="M858" s="49"/>
      <c r="N858" s="49"/>
      <c r="O858" s="49"/>
      <c r="P858" s="49"/>
      <c r="Q858" s="49"/>
      <c r="R858" s="49"/>
      <c r="S858" s="49"/>
      <c r="T858" s="49"/>
      <c r="U858" s="49"/>
      <c r="V858" s="49"/>
      <c r="W858" s="49"/>
      <c r="X858" s="49"/>
      <c r="Y858" s="49"/>
      <c r="Z858" s="49"/>
    </row>
    <row r="859">
      <c r="A859" s="49" t="str">
        <f>IFERROR(__xludf.DUMMYFUNCTION("""COMPUTED_VALUE"""),"Wyverntooth Smasher")</f>
        <v>Wyverntooth Smasher</v>
      </c>
      <c r="B859" s="49"/>
      <c r="C859" s="49" t="str">
        <f>IFERROR(__xludf.DUMMYFUNCTION("""COMPUTED_VALUE"""),"Axe")</f>
        <v>Axe</v>
      </c>
      <c r="D859" s="49" t="str">
        <f>IFERROR(__xludf.DUMMYFUNCTION("""COMPUTED_VALUE"""),"Hand")</f>
        <v>Hand</v>
      </c>
      <c r="E859" s="49">
        <f>IFERROR(__xludf.DUMMYFUNCTION("""COMPUTED_VALUE"""),2400.0)</f>
        <v>2400</v>
      </c>
      <c r="F859" s="49" t="str">
        <f>IFERROR(__xludf.DUMMYFUNCTION("""COMPUTED_VALUE"""),"DMG: +30000, Chaos DMG: +90000")</f>
        <v>DMG: +30000, Chaos DMG: +90000</v>
      </c>
      <c r="G859" s="49">
        <f>IFERROR(__xludf.DUMMYFUNCTION("""COMPUTED_VALUE"""),2.868E8)</f>
        <v>286800000</v>
      </c>
      <c r="H859" s="49"/>
      <c r="I859" s="49"/>
      <c r="J859" s="49"/>
      <c r="K859" s="49"/>
      <c r="L859" s="49"/>
      <c r="M859" s="49"/>
      <c r="N859" s="49"/>
      <c r="O859" s="49"/>
      <c r="P859" s="49"/>
      <c r="Q859" s="49"/>
      <c r="R859" s="49"/>
      <c r="S859" s="49"/>
      <c r="T859" s="49"/>
      <c r="U859" s="49"/>
      <c r="V859" s="49"/>
      <c r="W859" s="49"/>
      <c r="X859" s="49"/>
      <c r="Y859" s="49"/>
      <c r="Z859" s="49"/>
    </row>
    <row r="860">
      <c r="A860" s="49" t="str">
        <f>IFERROR(__xludf.DUMMYFUNCTION("""COMPUTED_VALUE"""),"Wyvernblade")</f>
        <v>Wyvernblade</v>
      </c>
      <c r="B860" s="49"/>
      <c r="C860" s="49" t="str">
        <f>IFERROR(__xludf.DUMMYFUNCTION("""COMPUTED_VALUE"""),"Knife")</f>
        <v>Knife</v>
      </c>
      <c r="D860" s="49" t="str">
        <f>IFERROR(__xludf.DUMMYFUNCTION("""COMPUTED_VALUE"""),"Hand")</f>
        <v>Hand</v>
      </c>
      <c r="E860" s="49">
        <f>IFERROR(__xludf.DUMMYFUNCTION("""COMPUTED_VALUE"""),2600.0)</f>
        <v>2600</v>
      </c>
      <c r="F860" s="49" t="str">
        <f>IFERROR(__xludf.DUMMYFUNCTION("""COMPUTED_VALUE"""),", Melee DMG: +130000")</f>
        <v>, Melee DMG: +130000</v>
      </c>
      <c r="G860" s="49">
        <f>IFERROR(__xludf.DUMMYFUNCTION("""COMPUTED_VALUE"""),3.367E8)</f>
        <v>336700000</v>
      </c>
      <c r="H860" s="49"/>
      <c r="I860" s="49"/>
      <c r="J860" s="49"/>
      <c r="K860" s="49"/>
      <c r="L860" s="49"/>
      <c r="M860" s="49"/>
      <c r="N860" s="49"/>
      <c r="O860" s="49"/>
      <c r="P860" s="49"/>
      <c r="Q860" s="49"/>
      <c r="R860" s="49"/>
      <c r="S860" s="49"/>
      <c r="T860" s="49"/>
      <c r="U860" s="49"/>
      <c r="V860" s="49"/>
      <c r="W860" s="49"/>
      <c r="X860" s="49"/>
      <c r="Y860" s="49"/>
      <c r="Z860" s="49"/>
    </row>
    <row r="861">
      <c r="A861" s="49" t="str">
        <f>IFERROR(__xludf.DUMMYFUNCTION("""COMPUTED_VALUE"""),"Wyvernscale Ring")</f>
        <v>Wyvernscale Ring</v>
      </c>
      <c r="B861" s="49"/>
      <c r="C861" s="49" t="str">
        <f>IFERROR(__xludf.DUMMYFUNCTION("""COMPUTED_VALUE"""),"Item")</f>
        <v>Item</v>
      </c>
      <c r="D861" s="49" t="str">
        <f>IFERROR(__xludf.DUMMYFUNCTION("""COMPUTED_VALUE"""),"Finger")</f>
        <v>Finger</v>
      </c>
      <c r="E861" s="49">
        <f>IFERROR(__xludf.DUMMYFUNCTION("""COMPUTED_VALUE"""),2000.0)</f>
        <v>2000</v>
      </c>
      <c r="F861" s="49" t="str">
        <f>IFERROR(__xludf.DUMMYFUNCTION("""COMPUTED_VALUE"""),", Melee DEF: +100000 ++50% chance to negate any damage from a wyvern +-Cannot be forged or duplicated")</f>
        <v>, Melee DEF: +100000 ++50% chance to negate any damage from a wyvern +-Cannot be forged or duplicated</v>
      </c>
      <c r="G861" s="49">
        <f>IFERROR(__xludf.DUMMYFUNCTION("""COMPUTED_VALUE"""),1.99E8)</f>
        <v>199000000</v>
      </c>
      <c r="H861" s="49"/>
      <c r="I861" s="49"/>
      <c r="J861" s="49"/>
      <c r="K861" s="49"/>
      <c r="L861" s="49"/>
      <c r="M861" s="49"/>
      <c r="N861" s="49"/>
      <c r="O861" s="49"/>
      <c r="P861" s="49"/>
      <c r="Q861" s="49"/>
      <c r="R861" s="49"/>
      <c r="S861" s="49"/>
      <c r="T861" s="49"/>
      <c r="U861" s="49"/>
      <c r="V861" s="49"/>
      <c r="W861" s="49"/>
      <c r="X861" s="49"/>
      <c r="Y861" s="49"/>
      <c r="Z861" s="49"/>
    </row>
    <row r="862">
      <c r="A862" s="49" t="str">
        <f>IFERROR(__xludf.DUMMYFUNCTION("""COMPUTED_VALUE"""),"Wyvern Hood")</f>
        <v>Wyvern Hood</v>
      </c>
      <c r="B862" s="49"/>
      <c r="C862" s="49" t="str">
        <f>IFERROR(__xludf.DUMMYFUNCTION("""COMPUTED_VALUE"""),"Item")</f>
        <v>Item</v>
      </c>
      <c r="D862" s="49" t="str">
        <f>IFERROR(__xludf.DUMMYFUNCTION("""COMPUTED_VALUE"""),"Head")</f>
        <v>Head</v>
      </c>
      <c r="E862" s="49">
        <f>IFERROR(__xludf.DUMMYFUNCTION("""COMPUTED_VALUE"""),1.0)</f>
        <v>1</v>
      </c>
      <c r="F862" s="49" t="str">
        <f>IFERROR(__xludf.DUMMYFUNCTION("""COMPUTED_VALUE""")," ++When in a party of 4 or more, enemy wyverns cannot target the wearer +-Cannot be forged or duplicated")</f>
        <v> ++When in a party of 4 or more, enemy wyverns cannot target the wearer +-Cannot be forged or duplicated</v>
      </c>
      <c r="G862" s="49">
        <f>IFERROR(__xludf.DUMMYFUNCTION("""COMPUTED_VALUE"""),0.0)</f>
        <v>0</v>
      </c>
      <c r="H862" s="49"/>
      <c r="I862" s="49"/>
      <c r="J862" s="49"/>
      <c r="K862" s="49"/>
      <c r="L862" s="49"/>
      <c r="M862" s="49"/>
      <c r="N862" s="49"/>
      <c r="O862" s="49"/>
      <c r="P862" s="49"/>
      <c r="Q862" s="49"/>
      <c r="R862" s="49"/>
      <c r="S862" s="49"/>
      <c r="T862" s="49"/>
      <c r="U862" s="49"/>
      <c r="V862" s="49"/>
      <c r="W862" s="49"/>
      <c r="X862" s="49"/>
      <c r="Y862" s="49"/>
      <c r="Z862" s="49"/>
    </row>
    <row r="863">
      <c r="A863" s="49" t="str">
        <f>IFERROR(__xludf.DUMMYFUNCTION("""COMPUTED_VALUE"""),"Wyvernarang")</f>
        <v>Wyvernarang</v>
      </c>
      <c r="B863" s="49"/>
      <c r="C863" s="49" t="str">
        <f>IFERROR(__xludf.DUMMYFUNCTION("""COMPUTED_VALUE"""),"Boomerang")</f>
        <v>Boomerang</v>
      </c>
      <c r="D863" s="49" t="str">
        <f>IFERROR(__xludf.DUMMYFUNCTION("""COMPUTED_VALUE"""),"Hand")</f>
        <v>Hand</v>
      </c>
      <c r="E863" s="49">
        <f>IFERROR(__xludf.DUMMYFUNCTION("""COMPUTED_VALUE"""),3000.0)</f>
        <v>3000</v>
      </c>
      <c r="F863" s="49" t="str">
        <f>IFERROR(__xludf.DUMMYFUNCTION("""COMPUTED_VALUE"""),"DMG: +50000, Spirit DMG: +50000, Chaos DMG: +50000")</f>
        <v>DMG: +50000, Spirit DMG: +50000, Chaos DMG: +50000</v>
      </c>
      <c r="G863" s="49">
        <f>IFERROR(__xludf.DUMMYFUNCTION("""COMPUTED_VALUE"""),4.485E8)</f>
        <v>448500000</v>
      </c>
      <c r="H863" s="49"/>
      <c r="I863" s="49"/>
      <c r="J863" s="49"/>
      <c r="K863" s="49"/>
      <c r="L863" s="49"/>
      <c r="M863" s="49"/>
      <c r="N863" s="49"/>
      <c r="O863" s="49"/>
      <c r="P863" s="49"/>
      <c r="Q863" s="49"/>
      <c r="R863" s="49"/>
      <c r="S863" s="49"/>
      <c r="T863" s="49"/>
      <c r="U863" s="49"/>
      <c r="V863" s="49"/>
      <c r="W863" s="49"/>
      <c r="X863" s="49"/>
      <c r="Y863" s="49"/>
      <c r="Z863" s="49"/>
    </row>
    <row r="864">
      <c r="A864" s="49" t="str">
        <f>IFERROR(__xludf.DUMMYFUNCTION("""COMPUTED_VALUE"""),"Iguanian Assassin's Memento")</f>
        <v>Iguanian Assassin's Memento</v>
      </c>
      <c r="B864" s="49" t="str">
        <f>IFERROR(__xludf.DUMMYFUNCTION("""COMPUTED_VALUE"""),"From this necklace hangs a series of teeth, each one taken from an iguanian assassin's victim.")</f>
        <v>From this necklace hangs a series of teeth, each one taken from an iguanian assassin's victim.</v>
      </c>
      <c r="C864" s="49"/>
      <c r="D864" s="49" t="str">
        <f>IFERROR(__xludf.DUMMYFUNCTION("""COMPUTED_VALUE"""),"Neck")</f>
        <v>Neck</v>
      </c>
      <c r="E864" s="49">
        <f>IFERROR(__xludf.DUMMYFUNCTION("""COMPUTED_VALUE"""),1.0)</f>
        <v>1</v>
      </c>
      <c r="F864" s="49" t="str">
        <f>IFERROR(__xludf.DUMMYFUNCTION("""COMPUTED_VALUE""")," ++For every enemy killed with this item equipped +1 permanent ATK (0/100000)")</f>
        <v> ++For every enemy killed with this item equipped +1 permanent ATK (0/100000)</v>
      </c>
      <c r="G864" s="49">
        <f>IFERROR(__xludf.DUMMYFUNCTION("""COMPUTED_VALUE"""),0.0)</f>
        <v>0</v>
      </c>
      <c r="H864" s="49"/>
      <c r="I864" s="49"/>
      <c r="J864" s="49"/>
      <c r="K864" s="49"/>
      <c r="L864" s="49"/>
      <c r="M864" s="49"/>
      <c r="N864" s="49"/>
      <c r="O864" s="49"/>
      <c r="P864" s="49"/>
      <c r="Q864" s="49"/>
      <c r="R864" s="49"/>
      <c r="S864" s="49"/>
      <c r="T864" s="49"/>
      <c r="U864" s="49"/>
      <c r="V864" s="49"/>
      <c r="W864" s="49"/>
      <c r="X864" s="49"/>
      <c r="Y864" s="49"/>
      <c r="Z864" s="49"/>
    </row>
    <row r="865">
      <c r="A865" s="49" t="str">
        <f>IFERROR(__xludf.DUMMYFUNCTION("""COMPUTED_VALUE"""),"Salamander Boots")</f>
        <v>Salamander Boots</v>
      </c>
      <c r="B865" s="49"/>
      <c r="C865" s="49" t="str">
        <f>IFERROR(__xludf.DUMMYFUNCTION("""COMPUTED_VALUE"""),"Item")</f>
        <v>Item</v>
      </c>
      <c r="D865" s="49" t="str">
        <f>IFERROR(__xludf.DUMMYFUNCTION("""COMPUTED_VALUE"""),"Feet")</f>
        <v>Feet</v>
      </c>
      <c r="E865" s="49">
        <f>IFERROR(__xludf.DUMMYFUNCTION("""COMPUTED_VALUE"""),2000.0)</f>
        <v>2000</v>
      </c>
      <c r="F865" s="49" t="str">
        <f>IFERROR(__xludf.DUMMYFUNCTION("""COMPUTED_VALUE"""),", Fire DEF: +100000")</f>
        <v>, Fire DEF: +100000</v>
      </c>
      <c r="G865" s="49">
        <f>IFERROR(__xludf.DUMMYFUNCTION("""COMPUTED_VALUE"""),1.99E8)</f>
        <v>199000000</v>
      </c>
      <c r="H865" s="49"/>
      <c r="I865" s="49"/>
      <c r="J865" s="49"/>
      <c r="K865" s="49"/>
      <c r="L865" s="49"/>
      <c r="M865" s="49"/>
      <c r="N865" s="49"/>
      <c r="O865" s="49"/>
      <c r="P865" s="49"/>
      <c r="Q865" s="49"/>
      <c r="R865" s="49"/>
      <c r="S865" s="49"/>
      <c r="T865" s="49"/>
      <c r="U865" s="49"/>
      <c r="V865" s="49"/>
      <c r="W865" s="49"/>
      <c r="X865" s="49"/>
      <c r="Y865" s="49"/>
      <c r="Z865" s="49"/>
    </row>
    <row r="866">
      <c r="A866" s="49" t="str">
        <f>IFERROR(__xludf.DUMMYFUNCTION("""COMPUTED_VALUE"""),"Salamanderscale Chainmail")</f>
        <v>Salamanderscale Chainmail</v>
      </c>
      <c r="B866" s="49"/>
      <c r="C866" s="49" t="str">
        <f>IFERROR(__xludf.DUMMYFUNCTION("""COMPUTED_VALUE"""),"Item")</f>
        <v>Item</v>
      </c>
      <c r="D866" s="49" t="str">
        <f>IFERROR(__xludf.DUMMYFUNCTION("""COMPUTED_VALUE"""),"Torso")</f>
        <v>Torso</v>
      </c>
      <c r="E866" s="49">
        <f>IFERROR(__xludf.DUMMYFUNCTION("""COMPUTED_VALUE"""),2000.0)</f>
        <v>2000</v>
      </c>
      <c r="F866" s="49" t="str">
        <f>IFERROR(__xludf.DUMMYFUNCTION("""COMPUTED_VALUE"""),", Fire DEF: +120000, Water DEF: +-10000, Storm DEF: +-10000 +-Water and Storm deal additional 20000 damage to the wearer")</f>
        <v>, Fire DEF: +120000, Water DEF: +-10000, Storm DEF: +-10000 +-Water and Storm deal additional 20000 damage to the wearer</v>
      </c>
      <c r="G866" s="49">
        <f>IFERROR(__xludf.DUMMYFUNCTION("""COMPUTED_VALUE"""),1.99E8)</f>
        <v>199000000</v>
      </c>
      <c r="H866" s="49"/>
      <c r="I866" s="49"/>
      <c r="J866" s="49"/>
      <c r="K866" s="49"/>
      <c r="L866" s="49"/>
      <c r="M866" s="49"/>
      <c r="N866" s="49"/>
      <c r="O866" s="49"/>
      <c r="P866" s="49"/>
      <c r="Q866" s="49"/>
      <c r="R866" s="49"/>
      <c r="S866" s="49"/>
      <c r="T866" s="49"/>
      <c r="U866" s="49"/>
      <c r="V866" s="49"/>
      <c r="W866" s="49"/>
      <c r="X866" s="49"/>
      <c r="Y866" s="49"/>
      <c r="Z866" s="49"/>
    </row>
    <row r="867">
      <c r="A867" s="49" t="str">
        <f>IFERROR(__xludf.DUMMYFUNCTION("""COMPUTED_VALUE"""),"Iguanian Brawler's Headband")</f>
        <v>Iguanian Brawler's Headband</v>
      </c>
      <c r="B867" s="49"/>
      <c r="C867" s="49" t="str">
        <f>IFERROR(__xludf.DUMMYFUNCTION("""COMPUTED_VALUE"""),"Item")</f>
        <v>Item</v>
      </c>
      <c r="D867" s="49" t="str">
        <f>IFERROR(__xludf.DUMMYFUNCTION("""COMPUTED_VALUE"""),"Head")</f>
        <v>Head</v>
      </c>
      <c r="E867" s="49">
        <f>IFERROR(__xludf.DUMMYFUNCTION("""COMPUTED_VALUE"""),3000.0)</f>
        <v>3000</v>
      </c>
      <c r="F867" s="49" t="str">
        <f>IFERROR(__xludf.DUMMYFUNCTION("""COMPUTED_VALUE"""),"DEF: +150000, Water DEF: +50000, Nature DEF: +-50000")</f>
        <v>DEF: +150000, Water DEF: +50000, Nature DEF: +-50000</v>
      </c>
      <c r="G867" s="49">
        <f>IFERROR(__xludf.DUMMYFUNCTION("""COMPUTED_VALUE"""),4.485E8)</f>
        <v>448500000</v>
      </c>
      <c r="H867" s="49"/>
      <c r="I867" s="49"/>
      <c r="J867" s="49"/>
      <c r="K867" s="49"/>
      <c r="L867" s="49"/>
      <c r="M867" s="49"/>
      <c r="N867" s="49"/>
      <c r="O867" s="49"/>
      <c r="P867" s="49"/>
      <c r="Q867" s="49"/>
      <c r="R867" s="49"/>
      <c r="S867" s="49"/>
      <c r="T867" s="49"/>
      <c r="U867" s="49"/>
      <c r="V867" s="49"/>
      <c r="W867" s="49"/>
      <c r="X867" s="49"/>
      <c r="Y867" s="49"/>
      <c r="Z867" s="49"/>
    </row>
    <row r="868">
      <c r="A868" s="49" t="str">
        <f>IFERROR(__xludf.DUMMYFUNCTION("""COMPUTED_VALUE"""),"Iguanian Brawler's Cape")</f>
        <v>Iguanian Brawler's Cape</v>
      </c>
      <c r="B868" s="49"/>
      <c r="C868" s="49" t="str">
        <f>IFERROR(__xludf.DUMMYFUNCTION("""COMPUTED_VALUE"""),"Item")</f>
        <v>Item</v>
      </c>
      <c r="D868" s="49" t="str">
        <f>IFERROR(__xludf.DUMMYFUNCTION("""COMPUTED_VALUE"""),"Shoulders")</f>
        <v>Shoulders</v>
      </c>
      <c r="E868" s="49">
        <f>IFERROR(__xludf.DUMMYFUNCTION("""COMPUTED_VALUE"""),3000.0)</f>
        <v>3000</v>
      </c>
      <c r="F868" s="49" t="str">
        <f>IFERROR(__xludf.DUMMYFUNCTION("""COMPUTED_VALUE"""),"DEF: +150000, Water DEF: +50000, Nature DEF: +-50000")</f>
        <v>DEF: +150000, Water DEF: +50000, Nature DEF: +-50000</v>
      </c>
      <c r="G868" s="49">
        <f>IFERROR(__xludf.DUMMYFUNCTION("""COMPUTED_VALUE"""),4.485E8)</f>
        <v>448500000</v>
      </c>
      <c r="H868" s="49"/>
      <c r="I868" s="49"/>
      <c r="J868" s="49"/>
      <c r="K868" s="49"/>
      <c r="L868" s="49"/>
      <c r="M868" s="49"/>
      <c r="N868" s="49"/>
      <c r="O868" s="49"/>
      <c r="P868" s="49"/>
      <c r="Q868" s="49"/>
      <c r="R868" s="49"/>
      <c r="S868" s="49"/>
      <c r="T868" s="49"/>
      <c r="U868" s="49"/>
      <c r="V868" s="49"/>
      <c r="W868" s="49"/>
      <c r="X868" s="49"/>
      <c r="Y868" s="49"/>
      <c r="Z868" s="49"/>
    </row>
    <row r="869">
      <c r="A869" s="49" t="str">
        <f>IFERROR(__xludf.DUMMYFUNCTION("""COMPUTED_VALUE"""),"Iguanian Brawler's Sash")</f>
        <v>Iguanian Brawler's Sash</v>
      </c>
      <c r="B869" s="49"/>
      <c r="C869" s="49" t="str">
        <f>IFERROR(__xludf.DUMMYFUNCTION("""COMPUTED_VALUE"""),"Item")</f>
        <v>Item</v>
      </c>
      <c r="D869" s="49" t="str">
        <f>IFERROR(__xludf.DUMMYFUNCTION("""COMPUTED_VALUE"""),"Torso")</f>
        <v>Torso</v>
      </c>
      <c r="E869" s="49">
        <f>IFERROR(__xludf.DUMMYFUNCTION("""COMPUTED_VALUE"""),3000.0)</f>
        <v>3000</v>
      </c>
      <c r="F869" s="49" t="str">
        <f>IFERROR(__xludf.DUMMYFUNCTION("""COMPUTED_VALUE"""),"DEF: +150000, Water DEF: +50000, Nature DEF: +-50000")</f>
        <v>DEF: +150000, Water DEF: +50000, Nature DEF: +-50000</v>
      </c>
      <c r="G869" s="49">
        <f>IFERROR(__xludf.DUMMYFUNCTION("""COMPUTED_VALUE"""),4.485E8)</f>
        <v>448500000</v>
      </c>
      <c r="H869" s="49"/>
      <c r="I869" s="49"/>
      <c r="J869" s="49"/>
      <c r="K869" s="49"/>
      <c r="L869" s="49"/>
      <c r="M869" s="49"/>
      <c r="N869" s="49"/>
      <c r="O869" s="49"/>
      <c r="P869" s="49"/>
      <c r="Q869" s="49"/>
      <c r="R869" s="49"/>
      <c r="S869" s="49"/>
      <c r="T869" s="49"/>
      <c r="U869" s="49"/>
      <c r="V869" s="49"/>
      <c r="W869" s="49"/>
      <c r="X869" s="49"/>
      <c r="Y869" s="49"/>
      <c r="Z869" s="49"/>
    </row>
    <row r="870">
      <c r="A870" s="49" t="str">
        <f>IFERROR(__xludf.DUMMYFUNCTION("""COMPUTED_VALUE"""),"Iguanian Brawler's Arm Wraps")</f>
        <v>Iguanian Brawler's Arm Wraps</v>
      </c>
      <c r="B870" s="49"/>
      <c r="C870" s="49" t="str">
        <f>IFERROR(__xludf.DUMMYFUNCTION("""COMPUTED_VALUE"""),"Item")</f>
        <v>Item</v>
      </c>
      <c r="D870" s="49" t="str">
        <f>IFERROR(__xludf.DUMMYFUNCTION("""COMPUTED_VALUE"""),"Arms")</f>
        <v>Arms</v>
      </c>
      <c r="E870" s="49">
        <f>IFERROR(__xludf.DUMMYFUNCTION("""COMPUTED_VALUE"""),3000.0)</f>
        <v>3000</v>
      </c>
      <c r="F870" s="49" t="str">
        <f>IFERROR(__xludf.DUMMYFUNCTION("""COMPUTED_VALUE"""),"DEF: +150000, Water DEF: +50000, Nature DEF: +-50000")</f>
        <v>DEF: +150000, Water DEF: +50000, Nature DEF: +-50000</v>
      </c>
      <c r="G870" s="49">
        <f>IFERROR(__xludf.DUMMYFUNCTION("""COMPUTED_VALUE"""),4.485E8)</f>
        <v>448500000</v>
      </c>
      <c r="H870" s="49"/>
      <c r="I870" s="49"/>
      <c r="J870" s="49"/>
      <c r="K870" s="49"/>
      <c r="L870" s="49"/>
      <c r="M870" s="49"/>
      <c r="N870" s="49"/>
      <c r="O870" s="49"/>
      <c r="P870" s="49"/>
      <c r="Q870" s="49"/>
      <c r="R870" s="49"/>
      <c r="S870" s="49"/>
      <c r="T870" s="49"/>
      <c r="U870" s="49"/>
      <c r="V870" s="49"/>
      <c r="W870" s="49"/>
      <c r="X870" s="49"/>
      <c r="Y870" s="49"/>
      <c r="Z870" s="49"/>
    </row>
    <row r="871">
      <c r="A871" s="49" t="str">
        <f>IFERROR(__xludf.DUMMYFUNCTION("""COMPUTED_VALUE"""),"Iguanian Brawler's Shorts")</f>
        <v>Iguanian Brawler's Shorts</v>
      </c>
      <c r="B871" s="49"/>
      <c r="C871" s="49" t="str">
        <f>IFERROR(__xludf.DUMMYFUNCTION("""COMPUTED_VALUE"""),"Item")</f>
        <v>Item</v>
      </c>
      <c r="D871" s="49" t="str">
        <f>IFERROR(__xludf.DUMMYFUNCTION("""COMPUTED_VALUE"""),"Legs")</f>
        <v>Legs</v>
      </c>
      <c r="E871" s="49">
        <f>IFERROR(__xludf.DUMMYFUNCTION("""COMPUTED_VALUE"""),3000.0)</f>
        <v>3000</v>
      </c>
      <c r="F871" s="49" t="str">
        <f>IFERROR(__xludf.DUMMYFUNCTION("""COMPUTED_VALUE"""),"DEF: +150000, Water DEF: +50000, Nature DEF: +-50000")</f>
        <v>DEF: +150000, Water DEF: +50000, Nature DEF: +-50000</v>
      </c>
      <c r="G871" s="49">
        <f>IFERROR(__xludf.DUMMYFUNCTION("""COMPUTED_VALUE"""),4.485E8)</f>
        <v>448500000</v>
      </c>
      <c r="H871" s="49"/>
      <c r="I871" s="49"/>
      <c r="J871" s="49"/>
      <c r="K871" s="49"/>
      <c r="L871" s="49"/>
      <c r="M871" s="49"/>
      <c r="N871" s="49"/>
      <c r="O871" s="49"/>
      <c r="P871" s="49"/>
      <c r="Q871" s="49"/>
      <c r="R871" s="49"/>
      <c r="S871" s="49"/>
      <c r="T871" s="49"/>
      <c r="U871" s="49"/>
      <c r="V871" s="49"/>
      <c r="W871" s="49"/>
      <c r="X871" s="49"/>
      <c r="Y871" s="49"/>
      <c r="Z871" s="49"/>
    </row>
    <row r="872">
      <c r="A872" s="49" t="str">
        <f>IFERROR(__xludf.DUMMYFUNCTION("""COMPUTED_VALUE"""),"Iguanian Brawler's Sandals")</f>
        <v>Iguanian Brawler's Sandals</v>
      </c>
      <c r="B872" s="49"/>
      <c r="C872" s="49" t="str">
        <f>IFERROR(__xludf.DUMMYFUNCTION("""COMPUTED_VALUE"""),"Item")</f>
        <v>Item</v>
      </c>
      <c r="D872" s="49" t="str">
        <f>IFERROR(__xludf.DUMMYFUNCTION("""COMPUTED_VALUE"""),"Feet")</f>
        <v>Feet</v>
      </c>
      <c r="E872" s="49">
        <f>IFERROR(__xludf.DUMMYFUNCTION("""COMPUTED_VALUE"""),3000.0)</f>
        <v>3000</v>
      </c>
      <c r="F872" s="49" t="str">
        <f>IFERROR(__xludf.DUMMYFUNCTION("""COMPUTED_VALUE"""),"DEF: +150000, Water DEF: +50000, Nature DEF: +-50000")</f>
        <v>DEF: +150000, Water DEF: +50000, Nature DEF: +-50000</v>
      </c>
      <c r="G872" s="49">
        <f>IFERROR(__xludf.DUMMYFUNCTION("""COMPUTED_VALUE"""),4.485E8)</f>
        <v>448500000</v>
      </c>
      <c r="H872" s="49"/>
      <c r="I872" s="49"/>
      <c r="J872" s="49"/>
      <c r="K872" s="49"/>
      <c r="L872" s="49"/>
      <c r="M872" s="49"/>
      <c r="N872" s="49"/>
      <c r="O872" s="49"/>
      <c r="P872" s="49"/>
      <c r="Q872" s="49"/>
      <c r="R872" s="49"/>
      <c r="S872" s="49"/>
      <c r="T872" s="49"/>
      <c r="U872" s="49"/>
      <c r="V872" s="49"/>
      <c r="W872" s="49"/>
      <c r="X872" s="49"/>
      <c r="Y872" s="49"/>
      <c r="Z872" s="49"/>
    </row>
    <row r="873">
      <c r="A873" s="49" t="str">
        <f>IFERROR(__xludf.DUMMYFUNCTION("""COMPUTED_VALUE"""),"Iguanian Brawler's Knuckles")</f>
        <v>Iguanian Brawler's Knuckles</v>
      </c>
      <c r="B873" s="49"/>
      <c r="C873" s="49" t="str">
        <f>IFERROR(__xludf.DUMMYFUNCTION("""COMPUTED_VALUE"""),"Gauntlet")</f>
        <v>Gauntlet</v>
      </c>
      <c r="D873" s="49" t="str">
        <f>IFERROR(__xludf.DUMMYFUNCTION("""COMPUTED_VALUE"""),"Hand")</f>
        <v>Hand</v>
      </c>
      <c r="E873" s="49">
        <f>IFERROR(__xludf.DUMMYFUNCTION("""COMPUTED_VALUE"""),3000.0)</f>
        <v>3000</v>
      </c>
      <c r="F873" s="49" t="str">
        <f>IFERROR(__xludf.DUMMYFUNCTION("""COMPUTED_VALUE"""),"DEF: +100000, Water DEF: +50000")</f>
        <v>DEF: +100000, Water DEF: +50000</v>
      </c>
      <c r="G873" s="49">
        <f>IFERROR(__xludf.DUMMYFUNCTION("""COMPUTED_VALUE"""),4.485E8)</f>
        <v>448500000</v>
      </c>
      <c r="H873" s="49"/>
      <c r="I873" s="49"/>
      <c r="J873" s="49"/>
      <c r="K873" s="49"/>
      <c r="L873" s="49"/>
      <c r="M873" s="49"/>
      <c r="N873" s="49"/>
      <c r="O873" s="49"/>
      <c r="P873" s="49"/>
      <c r="Q873" s="49"/>
      <c r="R873" s="49"/>
      <c r="S873" s="49"/>
      <c r="T873" s="49"/>
      <c r="U873" s="49"/>
      <c r="V873" s="49"/>
      <c r="W873" s="49"/>
      <c r="X873" s="49"/>
      <c r="Y873" s="49"/>
      <c r="Z873" s="49"/>
    </row>
    <row r="874">
      <c r="A874" s="49" t="str">
        <f>IFERROR(__xludf.DUMMYFUNCTION("""COMPUTED_VALUE"""),"Iguanian Brawler's Ring")</f>
        <v>Iguanian Brawler's Ring</v>
      </c>
      <c r="B874" s="49"/>
      <c r="C874" s="49"/>
      <c r="D874" s="49" t="str">
        <f>IFERROR(__xludf.DUMMYFUNCTION("""COMPUTED_VALUE"""),"Finger")</f>
        <v>Finger</v>
      </c>
      <c r="E874" s="49">
        <f>IFERROR(__xludf.DUMMYFUNCTION("""COMPUTED_VALUE"""),1.0)</f>
        <v>1</v>
      </c>
      <c r="F874" s="49" t="str">
        <f>IFERROR(__xludf.DUMMYFUNCTION("""COMPUTED_VALUE""")," ++X10 Natural Attack damage")</f>
        <v> ++X10 Natural Attack damage</v>
      </c>
      <c r="G874" s="49">
        <f>IFERROR(__xludf.DUMMYFUNCTION("""COMPUTED_VALUE"""),0.0)</f>
        <v>0</v>
      </c>
      <c r="H874" s="49"/>
      <c r="I874" s="49"/>
      <c r="J874" s="49"/>
      <c r="K874" s="49"/>
      <c r="L874" s="49"/>
      <c r="M874" s="49"/>
      <c r="N874" s="49"/>
      <c r="O874" s="49"/>
      <c r="P874" s="49"/>
      <c r="Q874" s="49"/>
      <c r="R874" s="49"/>
      <c r="S874" s="49"/>
      <c r="T874" s="49"/>
      <c r="U874" s="49"/>
      <c r="V874" s="49"/>
      <c r="W874" s="49"/>
      <c r="X874" s="49"/>
      <c r="Y874" s="49"/>
      <c r="Z874" s="49"/>
    </row>
    <row r="875">
      <c r="A875" s="49" t="str">
        <f>IFERROR(__xludf.DUMMYFUNCTION("""COMPUTED_VALUE"""),"Cursed Ring of Sudden Death")</f>
        <v>Cursed Ring of Sudden Death</v>
      </c>
      <c r="B875" s="49"/>
      <c r="C875" s="49" t="str">
        <f>IFERROR(__xludf.DUMMYFUNCTION("""COMPUTED_VALUE"""),"Item")</f>
        <v>Item</v>
      </c>
      <c r="D875" s="49" t="str">
        <f>IFERROR(__xludf.DUMMYFUNCTION("""COMPUTED_VALUE"""),"Finger")</f>
        <v>Finger</v>
      </c>
      <c r="E875" s="49">
        <f>IFERROR(__xludf.DUMMYFUNCTION("""COMPUTED_VALUE"""),1.0)</f>
        <v>1</v>
      </c>
      <c r="F875" s="49"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49">
        <f>IFERROR(__xludf.DUMMYFUNCTION("""COMPUTED_VALUE"""),0.0)</f>
        <v>0</v>
      </c>
      <c r="H875" s="49"/>
      <c r="I875" s="49"/>
      <c r="J875" s="49"/>
      <c r="K875" s="49"/>
      <c r="L875" s="49"/>
      <c r="M875" s="49"/>
      <c r="N875" s="49"/>
      <c r="O875" s="49"/>
      <c r="P875" s="49"/>
      <c r="Q875" s="49"/>
      <c r="R875" s="49"/>
      <c r="S875" s="49"/>
      <c r="T875" s="49"/>
      <c r="U875" s="49"/>
      <c r="V875" s="49"/>
      <c r="W875" s="49"/>
      <c r="X875" s="49"/>
      <c r="Y875" s="49"/>
      <c r="Z875" s="49"/>
    </row>
    <row r="876">
      <c r="A876" s="49" t="str">
        <f>IFERROR(__xludf.DUMMYFUNCTION("""COMPUTED_VALUE"""),"Ring of Action")</f>
        <v>Ring of Action</v>
      </c>
      <c r="B876" s="49"/>
      <c r="C876" s="49" t="str">
        <f>IFERROR(__xludf.DUMMYFUNCTION("""COMPUTED_VALUE"""),"Item")</f>
        <v>Item</v>
      </c>
      <c r="D876" s="49" t="str">
        <f>IFERROR(__xludf.DUMMYFUNCTION("""COMPUTED_VALUE"""),"Finger")</f>
        <v>Finger</v>
      </c>
      <c r="E876" s="49">
        <f>IFERROR(__xludf.DUMMYFUNCTION("""COMPUTED_VALUE"""),1.0)</f>
        <v>1</v>
      </c>
      <c r="F876" s="49" t="str">
        <f>IFERROR(__xludf.DUMMYFUNCTION("""COMPUTED_VALUE""")," ++10000 SP")</f>
        <v> ++10000 SP</v>
      </c>
      <c r="G876" s="49">
        <f>IFERROR(__xludf.DUMMYFUNCTION("""COMPUTED_VALUE"""),0.0)</f>
        <v>0</v>
      </c>
      <c r="H876" s="49"/>
      <c r="I876" s="49"/>
      <c r="J876" s="49"/>
      <c r="K876" s="49"/>
      <c r="L876" s="49"/>
      <c r="M876" s="49"/>
      <c r="N876" s="49"/>
      <c r="O876" s="49"/>
      <c r="P876" s="49"/>
      <c r="Q876" s="49"/>
      <c r="R876" s="49"/>
      <c r="S876" s="49"/>
      <c r="T876" s="49"/>
      <c r="U876" s="49"/>
      <c r="V876" s="49"/>
      <c r="W876" s="49"/>
      <c r="X876" s="49"/>
      <c r="Y876" s="49"/>
      <c r="Z876" s="49"/>
    </row>
    <row r="877">
      <c r="A877" s="49" t="str">
        <f>IFERROR(__xludf.DUMMYFUNCTION("""COMPUTED_VALUE"""),"Iguanian Mage Hat")</f>
        <v>Iguanian Mage Hat</v>
      </c>
      <c r="B877" s="49"/>
      <c r="C877" s="49" t="str">
        <f>IFERROR(__xludf.DUMMYFUNCTION("""COMPUTED_VALUE"""),"Item")</f>
        <v>Item</v>
      </c>
      <c r="D877" s="49"/>
      <c r="E877" s="49">
        <f>IFERROR(__xludf.DUMMYFUNCTION("""COMPUTED_VALUE"""),1.0)</f>
        <v>1</v>
      </c>
      <c r="F877" s="49" t="str">
        <f>IFERROR(__xludf.DUMMYFUNCTION("""COMPUTED_VALUE""")," ++10000 hp and sp")</f>
        <v> ++10000 hp and sp</v>
      </c>
      <c r="G877" s="49">
        <f>IFERROR(__xludf.DUMMYFUNCTION("""COMPUTED_VALUE"""),0.0)</f>
        <v>0</v>
      </c>
      <c r="H877" s="49"/>
      <c r="I877" s="49"/>
      <c r="J877" s="49"/>
      <c r="K877" s="49"/>
      <c r="L877" s="49"/>
      <c r="M877" s="49"/>
      <c r="N877" s="49"/>
      <c r="O877" s="49"/>
      <c r="P877" s="49"/>
      <c r="Q877" s="49"/>
      <c r="R877" s="49"/>
      <c r="S877" s="49"/>
      <c r="T877" s="49"/>
      <c r="U877" s="49"/>
      <c r="V877" s="49"/>
      <c r="W877" s="49"/>
      <c r="X877" s="49"/>
      <c r="Y877" s="49"/>
      <c r="Z877" s="49"/>
    </row>
    <row r="878">
      <c r="A878" s="49" t="str">
        <f>IFERROR(__xludf.DUMMYFUNCTION("""COMPUTED_VALUE"""),"Iguanian Mage Robes")</f>
        <v>Iguanian Mage Robes</v>
      </c>
      <c r="B878" s="49"/>
      <c r="C878" s="49" t="str">
        <f>IFERROR(__xludf.DUMMYFUNCTION("""COMPUTED_VALUE"""),"Item")</f>
        <v>Item</v>
      </c>
      <c r="D878" s="49"/>
      <c r="E878" s="49">
        <f>IFERROR(__xludf.DUMMYFUNCTION("""COMPUTED_VALUE"""),1.0)</f>
        <v>1</v>
      </c>
      <c r="F878" s="49" t="str">
        <f>IFERROR(__xludf.DUMMYFUNCTION("""COMPUTED_VALUE""")," ++10000 hp and sp")</f>
        <v> ++10000 hp and sp</v>
      </c>
      <c r="G878" s="49">
        <f>IFERROR(__xludf.DUMMYFUNCTION("""COMPUTED_VALUE"""),0.0)</f>
        <v>0</v>
      </c>
      <c r="H878" s="49"/>
      <c r="I878" s="49"/>
      <c r="J878" s="49"/>
      <c r="K878" s="49"/>
      <c r="L878" s="49"/>
      <c r="M878" s="49"/>
      <c r="N878" s="49"/>
      <c r="O878" s="49"/>
      <c r="P878" s="49"/>
      <c r="Q878" s="49"/>
      <c r="R878" s="49"/>
      <c r="S878" s="49"/>
      <c r="T878" s="49"/>
      <c r="U878" s="49"/>
      <c r="V878" s="49"/>
      <c r="W878" s="49"/>
      <c r="X878" s="49"/>
      <c r="Y878" s="49"/>
      <c r="Z878" s="49"/>
    </row>
    <row r="879">
      <c r="A879" s="49" t="str">
        <f>IFERROR(__xludf.DUMMYFUNCTION("""COMPUTED_VALUE"""),"Iguanian Mage Leggings")</f>
        <v>Iguanian Mage Leggings</v>
      </c>
      <c r="B879" s="49"/>
      <c r="C879" s="49" t="str">
        <f>IFERROR(__xludf.DUMMYFUNCTION("""COMPUTED_VALUE"""),"Item")</f>
        <v>Item</v>
      </c>
      <c r="D879" s="49"/>
      <c r="E879" s="49">
        <f>IFERROR(__xludf.DUMMYFUNCTION("""COMPUTED_VALUE"""),1.0)</f>
        <v>1</v>
      </c>
      <c r="F879" s="49" t="str">
        <f>IFERROR(__xludf.DUMMYFUNCTION("""COMPUTED_VALUE""")," ++10000 hp and sp")</f>
        <v> ++10000 hp and sp</v>
      </c>
      <c r="G879" s="49">
        <f>IFERROR(__xludf.DUMMYFUNCTION("""COMPUTED_VALUE"""),0.0)</f>
        <v>0</v>
      </c>
      <c r="H879" s="49"/>
      <c r="I879" s="49"/>
      <c r="J879" s="49"/>
      <c r="K879" s="49"/>
      <c r="L879" s="49"/>
      <c r="M879" s="49"/>
      <c r="N879" s="49"/>
      <c r="O879" s="49"/>
      <c r="P879" s="49"/>
      <c r="Q879" s="49"/>
      <c r="R879" s="49"/>
      <c r="S879" s="49"/>
      <c r="T879" s="49"/>
      <c r="U879" s="49"/>
      <c r="V879" s="49"/>
      <c r="W879" s="49"/>
      <c r="X879" s="49"/>
      <c r="Y879" s="49"/>
      <c r="Z879" s="49"/>
    </row>
    <row r="880">
      <c r="A880" s="49" t="str">
        <f>IFERROR(__xludf.DUMMYFUNCTION("""COMPUTED_VALUE"""),"Iguanian Mage Pointed Shoes")</f>
        <v>Iguanian Mage Pointed Shoes</v>
      </c>
      <c r="B880" s="49"/>
      <c r="C880" s="49" t="str">
        <f>IFERROR(__xludf.DUMMYFUNCTION("""COMPUTED_VALUE"""),"Item")</f>
        <v>Item</v>
      </c>
      <c r="D880" s="49"/>
      <c r="E880" s="49">
        <f>IFERROR(__xludf.DUMMYFUNCTION("""COMPUTED_VALUE"""),1.0)</f>
        <v>1</v>
      </c>
      <c r="F880" s="49" t="str">
        <f>IFERROR(__xludf.DUMMYFUNCTION("""COMPUTED_VALUE""")," ++10000 hp and sp")</f>
        <v> ++10000 hp and sp</v>
      </c>
      <c r="G880" s="49">
        <f>IFERROR(__xludf.DUMMYFUNCTION("""COMPUTED_VALUE"""),0.0)</f>
        <v>0</v>
      </c>
      <c r="H880" s="49"/>
      <c r="I880" s="49"/>
      <c r="J880" s="49"/>
      <c r="K880" s="49"/>
      <c r="L880" s="49"/>
      <c r="M880" s="49"/>
      <c r="N880" s="49"/>
      <c r="O880" s="49"/>
      <c r="P880" s="49"/>
      <c r="Q880" s="49"/>
      <c r="R880" s="49"/>
      <c r="S880" s="49"/>
      <c r="T880" s="49"/>
      <c r="U880" s="49"/>
      <c r="V880" s="49"/>
      <c r="W880" s="49"/>
      <c r="X880" s="49"/>
      <c r="Y880" s="49"/>
      <c r="Z880" s="49"/>
    </row>
    <row r="881">
      <c r="A881" s="49" t="str">
        <f>IFERROR(__xludf.DUMMYFUNCTION("""COMPUTED_VALUE"""),"Iguanian Mage Staff of Hail")</f>
        <v>Iguanian Mage Staff of Hail</v>
      </c>
      <c r="B881" s="49"/>
      <c r="C881" s="49" t="str">
        <f>IFERROR(__xludf.DUMMYFUNCTION("""COMPUTED_VALUE"""),"Staff")</f>
        <v>Staff</v>
      </c>
      <c r="D881" s="49"/>
      <c r="E881" s="49">
        <f>IFERROR(__xludf.DUMMYFUNCTION("""COMPUTED_VALUE"""),1.0)</f>
        <v>1</v>
      </c>
      <c r="F881" s="49"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49">
        <f>IFERROR(__xludf.DUMMYFUNCTION("""COMPUTED_VALUE"""),0.0)</f>
        <v>0</v>
      </c>
      <c r="H881" s="49"/>
      <c r="I881" s="49"/>
      <c r="J881" s="49"/>
      <c r="K881" s="49"/>
      <c r="L881" s="49"/>
      <c r="M881" s="49"/>
      <c r="N881" s="49"/>
      <c r="O881" s="49"/>
      <c r="P881" s="49"/>
      <c r="Q881" s="49"/>
      <c r="R881" s="49"/>
      <c r="S881" s="49"/>
      <c r="T881" s="49"/>
      <c r="U881" s="49"/>
      <c r="V881" s="49"/>
      <c r="W881" s="49"/>
      <c r="X881" s="49"/>
      <c r="Y881" s="49"/>
      <c r="Z881" s="49"/>
    </row>
    <row r="882">
      <c r="A882" s="49" t="str">
        <f>IFERROR(__xludf.DUMMYFUNCTION("""COMPUTED_VALUE"""),"Blood Finger Ring")</f>
        <v>Blood Finger Ring</v>
      </c>
      <c r="B882" s="49"/>
      <c r="C882" s="49" t="str">
        <f>IFERROR(__xludf.DUMMYFUNCTION("""COMPUTED_VALUE"""),"Item")</f>
        <v>Item</v>
      </c>
      <c r="D882" s="49" t="str">
        <f>IFERROR(__xludf.DUMMYFUNCTION("""COMPUTED_VALUE"""),"Finger")</f>
        <v>Finger</v>
      </c>
      <c r="E882" s="49">
        <f>IFERROR(__xludf.DUMMYFUNCTION("""COMPUTED_VALUE"""),1.0)</f>
        <v>1</v>
      </c>
      <c r="F882" s="49" t="str">
        <f>IFERROR(__xludf.DUMMYFUNCTION("""COMPUTED_VALUE""")," ++Once per battle, if HP&lt;110, heal 10000 HP +-Cannot be forged or duplicated")</f>
        <v> ++Once per battle, if HP&lt;110, heal 10000 HP +-Cannot be forged or duplicated</v>
      </c>
      <c r="G882" s="49">
        <f>IFERROR(__xludf.DUMMYFUNCTION("""COMPUTED_VALUE"""),0.0)</f>
        <v>0</v>
      </c>
      <c r="H882" s="49"/>
      <c r="I882" s="49"/>
      <c r="J882" s="49"/>
      <c r="K882" s="49"/>
      <c r="L882" s="49"/>
      <c r="M882" s="49"/>
      <c r="N882" s="49"/>
      <c r="O882" s="49"/>
      <c r="P882" s="49"/>
      <c r="Q882" s="49"/>
      <c r="R882" s="49"/>
      <c r="S882" s="49"/>
      <c r="T882" s="49"/>
      <c r="U882" s="49"/>
      <c r="V882" s="49"/>
      <c r="W882" s="49"/>
      <c r="X882" s="49"/>
      <c r="Y882" s="49"/>
      <c r="Z882" s="49"/>
    </row>
    <row r="883">
      <c r="A883" s="49" t="str">
        <f>IFERROR(__xludf.DUMMYFUNCTION("""COMPUTED_VALUE"""),"Finger Food Ring")</f>
        <v>Finger Food Ring</v>
      </c>
      <c r="B883" s="49"/>
      <c r="C883" s="49" t="str">
        <f>IFERROR(__xludf.DUMMYFUNCTION("""COMPUTED_VALUE"""),"Item")</f>
        <v>Item</v>
      </c>
      <c r="D883" s="49" t="str">
        <f>IFERROR(__xludf.DUMMYFUNCTION("""COMPUTED_VALUE"""),"Finger")</f>
        <v>Finger</v>
      </c>
      <c r="E883" s="49">
        <f>IFERROR(__xludf.DUMMYFUNCTION("""COMPUTED_VALUE"""),1.0)</f>
        <v>1</v>
      </c>
      <c r="F883" s="49"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49">
        <f>IFERROR(__xludf.DUMMYFUNCTION("""COMPUTED_VALUE"""),0.0)</f>
        <v>0</v>
      </c>
      <c r="H883" s="49"/>
      <c r="I883" s="49"/>
      <c r="J883" s="49"/>
      <c r="K883" s="49"/>
      <c r="L883" s="49"/>
      <c r="M883" s="49"/>
      <c r="N883" s="49"/>
      <c r="O883" s="49"/>
      <c r="P883" s="49"/>
      <c r="Q883" s="49"/>
      <c r="R883" s="49"/>
      <c r="S883" s="49"/>
      <c r="T883" s="49"/>
      <c r="U883" s="49"/>
      <c r="V883" s="49"/>
      <c r="W883" s="49"/>
      <c r="X883" s="49"/>
      <c r="Y883" s="49"/>
      <c r="Z883" s="49"/>
    </row>
    <row r="884">
      <c r="A884" s="49" t="str">
        <f>IFERROR(__xludf.DUMMYFUNCTION("""COMPUTED_VALUE"""),"Ring of Power")</f>
        <v>Ring of Power</v>
      </c>
      <c r="B884" s="49"/>
      <c r="C884" s="49" t="str">
        <f>IFERROR(__xludf.DUMMYFUNCTION("""COMPUTED_VALUE"""),"Item")</f>
        <v>Item</v>
      </c>
      <c r="D884" s="49" t="str">
        <f>IFERROR(__xludf.DUMMYFUNCTION("""COMPUTED_VALUE"""),"Finger")</f>
        <v>Finger</v>
      </c>
      <c r="E884" s="49">
        <f>IFERROR(__xludf.DUMMYFUNCTION("""COMPUTED_VALUE"""),1.0)</f>
        <v>1</v>
      </c>
      <c r="F884" s="49" t="str">
        <f>IFERROR(__xludf.DUMMYFUNCTION("""COMPUTED_VALUE""")," ++1500 ATK and ACC")</f>
        <v> ++1500 ATK and ACC</v>
      </c>
      <c r="G884" s="49">
        <f>IFERROR(__xludf.DUMMYFUNCTION("""COMPUTED_VALUE"""),0.0)</f>
        <v>0</v>
      </c>
      <c r="H884" s="49"/>
      <c r="I884" s="49"/>
      <c r="J884" s="49"/>
      <c r="K884" s="49"/>
      <c r="L884" s="49"/>
      <c r="M884" s="49"/>
      <c r="N884" s="49"/>
      <c r="O884" s="49"/>
      <c r="P884" s="49"/>
      <c r="Q884" s="49"/>
      <c r="R884" s="49"/>
      <c r="S884" s="49"/>
      <c r="T884" s="49"/>
      <c r="U884" s="49"/>
      <c r="V884" s="49"/>
      <c r="W884" s="49"/>
      <c r="X884" s="49"/>
      <c r="Y884" s="49"/>
      <c r="Z884" s="49"/>
    </row>
    <row r="885">
      <c r="A885" s="49" t="str">
        <f>IFERROR(__xludf.DUMMYFUNCTION("""COMPUTED_VALUE"""),"Axe of Red")</f>
        <v>Axe of Red</v>
      </c>
      <c r="B885" s="49"/>
      <c r="C885" s="49" t="str">
        <f>IFERROR(__xludf.DUMMYFUNCTION("""COMPUTED_VALUE"""),"Axe")</f>
        <v>Axe</v>
      </c>
      <c r="D885" s="49" t="str">
        <f>IFERROR(__xludf.DUMMYFUNCTION("""COMPUTED_VALUE"""),"Hand")</f>
        <v>Hand</v>
      </c>
      <c r="E885" s="49">
        <f>IFERROR(__xludf.DUMMYFUNCTION("""COMPUTED_VALUE"""),4500.0)</f>
        <v>4500</v>
      </c>
      <c r="F885" s="49" t="str">
        <f>IFERROR(__xludf.DUMMYFUNCTION("""COMPUTED_VALUE"""),", Fire DMG: +75000, Chaos DMG: +75000, Blood DMG: +75000")</f>
        <v>, Fire DMG: +75000, Chaos DMG: +75000, Blood DMG: +75000</v>
      </c>
      <c r="G885" s="49">
        <f>IFERROR(__xludf.DUMMYFUNCTION("""COMPUTED_VALUE"""),1.01025E9)</f>
        <v>1010250000</v>
      </c>
      <c r="H885" s="49"/>
      <c r="I885" s="49"/>
      <c r="J885" s="49"/>
      <c r="K885" s="49"/>
      <c r="L885" s="49"/>
      <c r="M885" s="49"/>
      <c r="N885" s="49"/>
      <c r="O885" s="49"/>
      <c r="P885" s="49"/>
      <c r="Q885" s="49"/>
      <c r="R885" s="49"/>
      <c r="S885" s="49"/>
      <c r="T885" s="49"/>
      <c r="U885" s="49"/>
      <c r="V885" s="49"/>
      <c r="W885" s="49"/>
      <c r="X885" s="49"/>
      <c r="Y885" s="49"/>
      <c r="Z885" s="49"/>
    </row>
    <row r="886">
      <c r="A886" s="49" t="str">
        <f>IFERROR(__xludf.DUMMYFUNCTION("""COMPUTED_VALUE"""),"Wyrmscale Staff")</f>
        <v>Wyrmscale Staff</v>
      </c>
      <c r="B886" s="49"/>
      <c r="C886" s="49" t="str">
        <f>IFERROR(__xludf.DUMMYFUNCTION("""COMPUTED_VALUE"""),"Staff")</f>
        <v>Staff</v>
      </c>
      <c r="D886" s="49" t="str">
        <f>IFERROR(__xludf.DUMMYFUNCTION("""COMPUTED_VALUE"""),"Hand")</f>
        <v>Hand</v>
      </c>
      <c r="E886" s="49">
        <f>IFERROR(__xludf.DUMMYFUNCTION("""COMPUTED_VALUE"""),1.0)</f>
        <v>1</v>
      </c>
      <c r="F886" s="49" t="str">
        <f>IFERROR(__xludf.DUMMYFUNCTION("""COMPUTED_VALUE""")," ++Spells have double effect when cast on dragons +-Cannot be forged or duplicated")</f>
        <v> ++Spells have double effect when cast on dragons +-Cannot be forged or duplicated</v>
      </c>
      <c r="G886" s="49">
        <f>IFERROR(__xludf.DUMMYFUNCTION("""COMPUTED_VALUE"""),0.0)</f>
        <v>0</v>
      </c>
      <c r="H886" s="49"/>
      <c r="I886" s="49"/>
      <c r="J886" s="49"/>
      <c r="K886" s="49"/>
      <c r="L886" s="49"/>
      <c r="M886" s="49"/>
      <c r="N886" s="49"/>
      <c r="O886" s="49"/>
      <c r="P886" s="49"/>
      <c r="Q886" s="49"/>
      <c r="R886" s="49"/>
      <c r="S886" s="49"/>
      <c r="T886" s="49"/>
      <c r="U886" s="49"/>
      <c r="V886" s="49"/>
      <c r="W886" s="49"/>
      <c r="X886" s="49"/>
      <c r="Y886" s="49"/>
      <c r="Z886" s="49"/>
    </row>
    <row r="887">
      <c r="A887" s="49" t="str">
        <f>IFERROR(__xludf.DUMMYFUNCTION("""COMPUTED_VALUE"""),"Wyrmscale Wand")</f>
        <v>Wyrmscale Wand</v>
      </c>
      <c r="B887" s="49"/>
      <c r="C887" s="49" t="str">
        <f>IFERROR(__xludf.DUMMYFUNCTION("""COMPUTED_VALUE"""),"Wand")</f>
        <v>Wand</v>
      </c>
      <c r="D887" s="49" t="str">
        <f>IFERROR(__xludf.DUMMYFUNCTION("""COMPUTED_VALUE"""),"Hand")</f>
        <v>Hand</v>
      </c>
      <c r="E887" s="49">
        <f>IFERROR(__xludf.DUMMYFUNCTION("""COMPUTED_VALUE"""),1.0)</f>
        <v>1</v>
      </c>
      <c r="F887" s="49" t="str">
        <f>IFERROR(__xludf.DUMMYFUNCTION("""COMPUTED_VALUE""")," ++Half the SP/HP cost of spells when in the presence of a dragon +-Cannot be forged or duplicated")</f>
        <v> ++Half the SP/HP cost of spells when in the presence of a dragon +-Cannot be forged or duplicated</v>
      </c>
      <c r="G887" s="49">
        <f>IFERROR(__xludf.DUMMYFUNCTION("""COMPUTED_VALUE"""),0.0)</f>
        <v>0</v>
      </c>
      <c r="H887" s="49"/>
      <c r="I887" s="49"/>
      <c r="J887" s="49"/>
      <c r="K887" s="49"/>
      <c r="L887" s="49"/>
      <c r="M887" s="49"/>
      <c r="N887" s="49"/>
      <c r="O887" s="49"/>
      <c r="P887" s="49"/>
      <c r="Q887" s="49"/>
      <c r="R887" s="49"/>
      <c r="S887" s="49"/>
      <c r="T887" s="49"/>
      <c r="U887" s="49"/>
      <c r="V887" s="49"/>
      <c r="W887" s="49"/>
      <c r="X887" s="49"/>
      <c r="Y887" s="49"/>
      <c r="Z887" s="49"/>
    </row>
    <row r="888">
      <c r="A888" s="49"/>
      <c r="B888" s="49" t="str">
        <f>IFERROR(__xludf.DUMMYFUNCTION("""COMPUTED_VALUE"""),"")</f>
        <v/>
      </c>
      <c r="C888" s="49" t="str">
        <f>IFERROR(__xludf.DUMMYFUNCTION("""COMPUTED_VALUE"""),"")</f>
        <v/>
      </c>
      <c r="D888" s="49" t="str">
        <f>IFERROR(__xludf.DUMMYFUNCTION("""COMPUTED_VALUE"""),"")</f>
        <v/>
      </c>
      <c r="E888" s="49" t="str">
        <f>IFERROR(__xludf.DUMMYFUNCTION("""COMPUTED_VALUE"""),"")</f>
        <v/>
      </c>
      <c r="F888" s="49" t="str">
        <f>IFERROR(__xludf.DUMMYFUNCTION("""COMPUTED_VALUE"""),"")</f>
        <v/>
      </c>
      <c r="G888" s="49" t="str">
        <f>IFERROR(__xludf.DUMMYFUNCTION("""COMPUTED_VALUE"""),"")</f>
        <v/>
      </c>
      <c r="H888" s="49"/>
      <c r="I888" s="49"/>
      <c r="J888" s="49"/>
      <c r="K888" s="49"/>
      <c r="L888" s="49"/>
      <c r="M888" s="49"/>
      <c r="N888" s="49"/>
      <c r="O888" s="49"/>
      <c r="P888" s="49"/>
      <c r="Q888" s="49"/>
      <c r="R888" s="49"/>
      <c r="S888" s="49"/>
      <c r="T888" s="49"/>
      <c r="U888" s="49"/>
      <c r="V888" s="49"/>
      <c r="W888" s="49"/>
      <c r="X888" s="49"/>
      <c r="Y888" s="49"/>
      <c r="Z888" s="49"/>
    </row>
    <row r="889">
      <c r="A889" s="49"/>
      <c r="B889" s="49" t="str">
        <f>IFERROR(__xludf.DUMMYFUNCTION("""COMPUTED_VALUE"""),"")</f>
        <v/>
      </c>
      <c r="C889" s="49" t="str">
        <f>IFERROR(__xludf.DUMMYFUNCTION("""COMPUTED_VALUE"""),"")</f>
        <v/>
      </c>
      <c r="D889" s="49" t="str">
        <f>IFERROR(__xludf.DUMMYFUNCTION("""COMPUTED_VALUE"""),"")</f>
        <v/>
      </c>
      <c r="E889" s="49" t="str">
        <f>IFERROR(__xludf.DUMMYFUNCTION("""COMPUTED_VALUE"""),"")</f>
        <v/>
      </c>
      <c r="F889" s="49" t="str">
        <f>IFERROR(__xludf.DUMMYFUNCTION("""COMPUTED_VALUE"""),"")</f>
        <v/>
      </c>
      <c r="G889" s="49" t="str">
        <f>IFERROR(__xludf.DUMMYFUNCTION("""COMPUTED_VALUE"""),"")</f>
        <v/>
      </c>
      <c r="H889" s="49"/>
      <c r="I889" s="49"/>
      <c r="J889" s="49"/>
      <c r="K889" s="49"/>
      <c r="L889" s="49"/>
      <c r="M889" s="49"/>
      <c r="N889" s="49"/>
      <c r="O889" s="49"/>
      <c r="P889" s="49"/>
      <c r="Q889" s="49"/>
      <c r="R889" s="49"/>
      <c r="S889" s="49"/>
      <c r="T889" s="49"/>
      <c r="U889" s="49"/>
      <c r="V889" s="49"/>
      <c r="W889" s="49"/>
      <c r="X889" s="49"/>
      <c r="Y889" s="49"/>
      <c r="Z889" s="49"/>
    </row>
    <row r="890">
      <c r="A890" s="49"/>
      <c r="B890" s="49" t="str">
        <f>IFERROR(__xludf.DUMMYFUNCTION("""COMPUTED_VALUE"""),"")</f>
        <v/>
      </c>
      <c r="C890" s="49" t="str">
        <f>IFERROR(__xludf.DUMMYFUNCTION("""COMPUTED_VALUE"""),"")</f>
        <v/>
      </c>
      <c r="D890" s="49" t="str">
        <f>IFERROR(__xludf.DUMMYFUNCTION("""COMPUTED_VALUE"""),"")</f>
        <v/>
      </c>
      <c r="E890" s="49" t="str">
        <f>IFERROR(__xludf.DUMMYFUNCTION("""COMPUTED_VALUE"""),"")</f>
        <v/>
      </c>
      <c r="F890" s="49" t="str">
        <f>IFERROR(__xludf.DUMMYFUNCTION("""COMPUTED_VALUE"""),"")</f>
        <v/>
      </c>
      <c r="G890" s="49" t="str">
        <f>IFERROR(__xludf.DUMMYFUNCTION("""COMPUTED_VALUE"""),"")</f>
        <v/>
      </c>
      <c r="H890" s="49"/>
      <c r="I890" s="49"/>
      <c r="J890" s="49"/>
      <c r="K890" s="49"/>
      <c r="L890" s="49"/>
      <c r="M890" s="49"/>
      <c r="N890" s="49"/>
      <c r="O890" s="49"/>
      <c r="P890" s="49"/>
      <c r="Q890" s="49"/>
      <c r="R890" s="49"/>
      <c r="S890" s="49"/>
      <c r="T890" s="49"/>
      <c r="U890" s="49"/>
      <c r="V890" s="49"/>
      <c r="W890" s="49"/>
      <c r="X890" s="49"/>
      <c r="Y890" s="49"/>
      <c r="Z890" s="49"/>
    </row>
    <row r="891">
      <c r="A891" s="49"/>
      <c r="B891" s="49" t="str">
        <f>IFERROR(__xludf.DUMMYFUNCTION("""COMPUTED_VALUE"""),"")</f>
        <v/>
      </c>
      <c r="C891" s="49" t="str">
        <f>IFERROR(__xludf.DUMMYFUNCTION("""COMPUTED_VALUE"""),"")</f>
        <v/>
      </c>
      <c r="D891" s="49" t="str">
        <f>IFERROR(__xludf.DUMMYFUNCTION("""COMPUTED_VALUE"""),"")</f>
        <v/>
      </c>
      <c r="E891" s="49" t="str">
        <f>IFERROR(__xludf.DUMMYFUNCTION("""COMPUTED_VALUE"""),"")</f>
        <v/>
      </c>
      <c r="F891" s="49" t="str">
        <f>IFERROR(__xludf.DUMMYFUNCTION("""COMPUTED_VALUE"""),"")</f>
        <v/>
      </c>
      <c r="G891" s="49" t="str">
        <f>IFERROR(__xludf.DUMMYFUNCTION("""COMPUTED_VALUE"""),"")</f>
        <v/>
      </c>
      <c r="H891" s="49"/>
      <c r="I891" s="49"/>
      <c r="J891" s="49"/>
      <c r="K891" s="49"/>
      <c r="L891" s="49"/>
      <c r="M891" s="49"/>
      <c r="N891" s="49"/>
      <c r="O891" s="49"/>
      <c r="P891" s="49"/>
      <c r="Q891" s="49"/>
      <c r="R891" s="49"/>
      <c r="S891" s="49"/>
      <c r="T891" s="49"/>
      <c r="U891" s="49"/>
      <c r="V891" s="49"/>
      <c r="W891" s="49"/>
      <c r="X891" s="49"/>
      <c r="Y891" s="49"/>
      <c r="Z891" s="49"/>
    </row>
    <row r="892">
      <c r="A892" s="49"/>
      <c r="B892" s="49" t="str">
        <f>IFERROR(__xludf.DUMMYFUNCTION("""COMPUTED_VALUE"""),"")</f>
        <v/>
      </c>
      <c r="C892" s="49" t="str">
        <f>IFERROR(__xludf.DUMMYFUNCTION("""COMPUTED_VALUE"""),"")</f>
        <v/>
      </c>
      <c r="D892" s="49" t="str">
        <f>IFERROR(__xludf.DUMMYFUNCTION("""COMPUTED_VALUE"""),"")</f>
        <v/>
      </c>
      <c r="E892" s="49" t="str">
        <f>IFERROR(__xludf.DUMMYFUNCTION("""COMPUTED_VALUE"""),"")</f>
        <v/>
      </c>
      <c r="F892" s="49" t="str">
        <f>IFERROR(__xludf.DUMMYFUNCTION("""COMPUTED_VALUE"""),"")</f>
        <v/>
      </c>
      <c r="G892" s="49" t="str">
        <f>IFERROR(__xludf.DUMMYFUNCTION("""COMPUTED_VALUE"""),"")</f>
        <v/>
      </c>
      <c r="H892" s="49"/>
      <c r="I892" s="49"/>
      <c r="J892" s="49"/>
      <c r="K892" s="49"/>
      <c r="L892" s="49"/>
      <c r="M892" s="49"/>
      <c r="N892" s="49"/>
      <c r="O892" s="49"/>
      <c r="P892" s="49"/>
      <c r="Q892" s="49"/>
      <c r="R892" s="49"/>
      <c r="S892" s="49"/>
      <c r="T892" s="49"/>
      <c r="U892" s="49"/>
      <c r="V892" s="49"/>
      <c r="W892" s="49"/>
      <c r="X892" s="49"/>
      <c r="Y892" s="49"/>
      <c r="Z892" s="49"/>
    </row>
    <row r="893">
      <c r="A893" s="49"/>
      <c r="B893" s="49" t="str">
        <f>IFERROR(__xludf.DUMMYFUNCTION("""COMPUTED_VALUE"""),"")</f>
        <v/>
      </c>
      <c r="C893" s="49" t="str">
        <f>IFERROR(__xludf.DUMMYFUNCTION("""COMPUTED_VALUE"""),"")</f>
        <v/>
      </c>
      <c r="D893" s="49" t="str">
        <f>IFERROR(__xludf.DUMMYFUNCTION("""COMPUTED_VALUE"""),"")</f>
        <v/>
      </c>
      <c r="E893" s="49" t="str">
        <f>IFERROR(__xludf.DUMMYFUNCTION("""COMPUTED_VALUE"""),"")</f>
        <v/>
      </c>
      <c r="F893" s="49" t="str">
        <f>IFERROR(__xludf.DUMMYFUNCTION("""COMPUTED_VALUE"""),"")</f>
        <v/>
      </c>
      <c r="G893" s="49" t="str">
        <f>IFERROR(__xludf.DUMMYFUNCTION("""COMPUTED_VALUE"""),"")</f>
        <v/>
      </c>
      <c r="H893" s="49"/>
      <c r="I893" s="49"/>
      <c r="J893" s="49"/>
      <c r="K893" s="49"/>
      <c r="L893" s="49"/>
      <c r="M893" s="49"/>
      <c r="N893" s="49"/>
      <c r="O893" s="49"/>
      <c r="P893" s="49"/>
      <c r="Q893" s="49"/>
      <c r="R893" s="49"/>
      <c r="S893" s="49"/>
      <c r="T893" s="49"/>
      <c r="U893" s="49"/>
      <c r="V893" s="49"/>
      <c r="W893" s="49"/>
      <c r="X893" s="49"/>
      <c r="Y893" s="49"/>
      <c r="Z893" s="49"/>
    </row>
    <row r="894">
      <c r="A894" s="49"/>
      <c r="B894" s="49" t="str">
        <f>IFERROR(__xludf.DUMMYFUNCTION("""COMPUTED_VALUE"""),"")</f>
        <v/>
      </c>
      <c r="C894" s="49" t="str">
        <f>IFERROR(__xludf.DUMMYFUNCTION("""COMPUTED_VALUE"""),"")</f>
        <v/>
      </c>
      <c r="D894" s="49" t="str">
        <f>IFERROR(__xludf.DUMMYFUNCTION("""COMPUTED_VALUE"""),"")</f>
        <v/>
      </c>
      <c r="E894" s="49" t="str">
        <f>IFERROR(__xludf.DUMMYFUNCTION("""COMPUTED_VALUE"""),"")</f>
        <v/>
      </c>
      <c r="F894" s="49" t="str">
        <f>IFERROR(__xludf.DUMMYFUNCTION("""COMPUTED_VALUE"""),"")</f>
        <v/>
      </c>
      <c r="G894" s="49" t="str">
        <f>IFERROR(__xludf.DUMMYFUNCTION("""COMPUTED_VALUE"""),"")</f>
        <v/>
      </c>
      <c r="H894" s="49"/>
      <c r="I894" s="49"/>
      <c r="J894" s="49"/>
      <c r="K894" s="49"/>
      <c r="L894" s="49"/>
      <c r="M894" s="49"/>
      <c r="N894" s="49"/>
      <c r="O894" s="49"/>
      <c r="P894" s="49"/>
      <c r="Q894" s="49"/>
      <c r="R894" s="49"/>
      <c r="S894" s="49"/>
      <c r="T894" s="49"/>
      <c r="U894" s="49"/>
      <c r="V894" s="49"/>
      <c r="W894" s="49"/>
      <c r="X894" s="49"/>
      <c r="Y894" s="49"/>
      <c r="Z894" s="49"/>
    </row>
    <row r="895">
      <c r="A895" s="49"/>
      <c r="B895" s="49" t="str">
        <f>IFERROR(__xludf.DUMMYFUNCTION("""COMPUTED_VALUE"""),"")</f>
        <v/>
      </c>
      <c r="C895" s="49" t="str">
        <f>IFERROR(__xludf.DUMMYFUNCTION("""COMPUTED_VALUE"""),"")</f>
        <v/>
      </c>
      <c r="D895" s="49" t="str">
        <f>IFERROR(__xludf.DUMMYFUNCTION("""COMPUTED_VALUE"""),"")</f>
        <v/>
      </c>
      <c r="E895" s="49" t="str">
        <f>IFERROR(__xludf.DUMMYFUNCTION("""COMPUTED_VALUE"""),"")</f>
        <v/>
      </c>
      <c r="F895" s="49" t="str">
        <f>IFERROR(__xludf.DUMMYFUNCTION("""COMPUTED_VALUE"""),"")</f>
        <v/>
      </c>
      <c r="G895" s="49" t="str">
        <f>IFERROR(__xludf.DUMMYFUNCTION("""COMPUTED_VALUE"""),"")</f>
        <v/>
      </c>
      <c r="H895" s="49"/>
      <c r="I895" s="49"/>
      <c r="J895" s="49"/>
      <c r="K895" s="49"/>
      <c r="L895" s="49"/>
      <c r="M895" s="49"/>
      <c r="N895" s="49"/>
      <c r="O895" s="49"/>
      <c r="P895" s="49"/>
      <c r="Q895" s="49"/>
      <c r="R895" s="49"/>
      <c r="S895" s="49"/>
      <c r="T895" s="49"/>
      <c r="U895" s="49"/>
      <c r="V895" s="49"/>
      <c r="W895" s="49"/>
      <c r="X895" s="49"/>
      <c r="Y895" s="49"/>
      <c r="Z895" s="49"/>
    </row>
    <row r="896">
      <c r="A896" s="49"/>
      <c r="B896" s="49" t="str">
        <f>IFERROR(__xludf.DUMMYFUNCTION("""COMPUTED_VALUE"""),"")</f>
        <v/>
      </c>
      <c r="C896" s="49" t="str">
        <f>IFERROR(__xludf.DUMMYFUNCTION("""COMPUTED_VALUE"""),"")</f>
        <v/>
      </c>
      <c r="D896" s="49" t="str">
        <f>IFERROR(__xludf.DUMMYFUNCTION("""COMPUTED_VALUE"""),"")</f>
        <v/>
      </c>
      <c r="E896" s="49" t="str">
        <f>IFERROR(__xludf.DUMMYFUNCTION("""COMPUTED_VALUE"""),"")</f>
        <v/>
      </c>
      <c r="F896" s="49" t="str">
        <f>IFERROR(__xludf.DUMMYFUNCTION("""COMPUTED_VALUE"""),"")</f>
        <v/>
      </c>
      <c r="G896" s="49" t="str">
        <f>IFERROR(__xludf.DUMMYFUNCTION("""COMPUTED_VALUE"""),"")</f>
        <v/>
      </c>
      <c r="H896" s="49"/>
      <c r="I896" s="49"/>
      <c r="J896" s="49"/>
      <c r="K896" s="49"/>
      <c r="L896" s="49"/>
      <c r="M896" s="49"/>
      <c r="N896" s="49"/>
      <c r="O896" s="49"/>
      <c r="P896" s="49"/>
      <c r="Q896" s="49"/>
      <c r="R896" s="49"/>
      <c r="S896" s="49"/>
      <c r="T896" s="49"/>
      <c r="U896" s="49"/>
      <c r="V896" s="49"/>
      <c r="W896" s="49"/>
      <c r="X896" s="49"/>
      <c r="Y896" s="49"/>
      <c r="Z896" s="49"/>
    </row>
    <row r="897">
      <c r="A897" s="49"/>
      <c r="B897" s="49" t="str">
        <f>IFERROR(__xludf.DUMMYFUNCTION("""COMPUTED_VALUE"""),"")</f>
        <v/>
      </c>
      <c r="C897" s="49" t="str">
        <f>IFERROR(__xludf.DUMMYFUNCTION("""COMPUTED_VALUE"""),"")</f>
        <v/>
      </c>
      <c r="D897" s="49" t="str">
        <f>IFERROR(__xludf.DUMMYFUNCTION("""COMPUTED_VALUE"""),"")</f>
        <v/>
      </c>
      <c r="E897" s="49" t="str">
        <f>IFERROR(__xludf.DUMMYFUNCTION("""COMPUTED_VALUE"""),"")</f>
        <v/>
      </c>
      <c r="F897" s="49" t="str">
        <f>IFERROR(__xludf.DUMMYFUNCTION("""COMPUTED_VALUE"""),"")</f>
        <v/>
      </c>
      <c r="G897" s="49" t="str">
        <f>IFERROR(__xludf.DUMMYFUNCTION("""COMPUTED_VALUE"""),"")</f>
        <v/>
      </c>
      <c r="H897" s="49"/>
      <c r="I897" s="49"/>
      <c r="J897" s="49"/>
      <c r="K897" s="49"/>
      <c r="L897" s="49"/>
      <c r="M897" s="49"/>
      <c r="N897" s="49"/>
      <c r="O897" s="49"/>
      <c r="P897" s="49"/>
      <c r="Q897" s="49"/>
      <c r="R897" s="49"/>
      <c r="S897" s="49"/>
      <c r="T897" s="49"/>
      <c r="U897" s="49"/>
      <c r="V897" s="49"/>
      <c r="W897" s="49"/>
      <c r="X897" s="49"/>
      <c r="Y897" s="49"/>
      <c r="Z897" s="49"/>
    </row>
    <row r="898">
      <c r="A898" s="49"/>
      <c r="B898" s="49" t="str">
        <f>IFERROR(__xludf.DUMMYFUNCTION("""COMPUTED_VALUE"""),"")</f>
        <v/>
      </c>
      <c r="C898" s="49" t="str">
        <f>IFERROR(__xludf.DUMMYFUNCTION("""COMPUTED_VALUE"""),"")</f>
        <v/>
      </c>
      <c r="D898" s="49" t="str">
        <f>IFERROR(__xludf.DUMMYFUNCTION("""COMPUTED_VALUE"""),"")</f>
        <v/>
      </c>
      <c r="E898" s="49" t="str">
        <f>IFERROR(__xludf.DUMMYFUNCTION("""COMPUTED_VALUE"""),"")</f>
        <v/>
      </c>
      <c r="F898" s="49" t="str">
        <f>IFERROR(__xludf.DUMMYFUNCTION("""COMPUTED_VALUE"""),"")</f>
        <v/>
      </c>
      <c r="G898" s="49" t="str">
        <f>IFERROR(__xludf.DUMMYFUNCTION("""COMPUTED_VALUE"""),"")</f>
        <v/>
      </c>
      <c r="H898" s="49"/>
      <c r="I898" s="49"/>
      <c r="J898" s="49"/>
      <c r="K898" s="49"/>
      <c r="L898" s="49"/>
      <c r="M898" s="49"/>
      <c r="N898" s="49"/>
      <c r="O898" s="49"/>
      <c r="P898" s="49"/>
      <c r="Q898" s="49"/>
      <c r="R898" s="49"/>
      <c r="S898" s="49"/>
      <c r="T898" s="49"/>
      <c r="U898" s="49"/>
      <c r="V898" s="49"/>
      <c r="W898" s="49"/>
      <c r="X898" s="49"/>
      <c r="Y898" s="49"/>
      <c r="Z898" s="49"/>
    </row>
    <row r="899">
      <c r="A899" s="49"/>
      <c r="B899" s="49" t="str">
        <f>IFERROR(__xludf.DUMMYFUNCTION("""COMPUTED_VALUE"""),"")</f>
        <v/>
      </c>
      <c r="C899" s="49" t="str">
        <f>IFERROR(__xludf.DUMMYFUNCTION("""COMPUTED_VALUE"""),"")</f>
        <v/>
      </c>
      <c r="D899" s="49" t="str">
        <f>IFERROR(__xludf.DUMMYFUNCTION("""COMPUTED_VALUE"""),"")</f>
        <v/>
      </c>
      <c r="E899" s="49" t="str">
        <f>IFERROR(__xludf.DUMMYFUNCTION("""COMPUTED_VALUE"""),"")</f>
        <v/>
      </c>
      <c r="F899" s="49" t="str">
        <f>IFERROR(__xludf.DUMMYFUNCTION("""COMPUTED_VALUE"""),"")</f>
        <v/>
      </c>
      <c r="G899" s="49" t="str">
        <f>IFERROR(__xludf.DUMMYFUNCTION("""COMPUTED_VALUE"""),"")</f>
        <v/>
      </c>
      <c r="H899" s="49"/>
      <c r="I899" s="49"/>
      <c r="J899" s="49"/>
      <c r="K899" s="49"/>
      <c r="L899" s="49"/>
      <c r="M899" s="49"/>
      <c r="N899" s="49"/>
      <c r="O899" s="49"/>
      <c r="P899" s="49"/>
      <c r="Q899" s="49"/>
      <c r="R899" s="49"/>
      <c r="S899" s="49"/>
      <c r="T899" s="49"/>
      <c r="U899" s="49"/>
      <c r="V899" s="49"/>
      <c r="W899" s="49"/>
      <c r="X899" s="49"/>
      <c r="Y899" s="49"/>
      <c r="Z899" s="49"/>
    </row>
    <row r="900">
      <c r="A900" s="49"/>
      <c r="B900" s="49" t="str">
        <f>IFERROR(__xludf.DUMMYFUNCTION("""COMPUTED_VALUE"""),"")</f>
        <v/>
      </c>
      <c r="C900" s="49" t="str">
        <f>IFERROR(__xludf.DUMMYFUNCTION("""COMPUTED_VALUE"""),"")</f>
        <v/>
      </c>
      <c r="D900" s="49" t="str">
        <f>IFERROR(__xludf.DUMMYFUNCTION("""COMPUTED_VALUE"""),"")</f>
        <v/>
      </c>
      <c r="E900" s="49" t="str">
        <f>IFERROR(__xludf.DUMMYFUNCTION("""COMPUTED_VALUE"""),"")</f>
        <v/>
      </c>
      <c r="F900" s="49" t="str">
        <f>IFERROR(__xludf.DUMMYFUNCTION("""COMPUTED_VALUE"""),"")</f>
        <v/>
      </c>
      <c r="G900" s="49" t="str">
        <f>IFERROR(__xludf.DUMMYFUNCTION("""COMPUTED_VALUE"""),"")</f>
        <v/>
      </c>
      <c r="H900" s="49"/>
      <c r="I900" s="49"/>
      <c r="J900" s="49"/>
      <c r="K900" s="49"/>
      <c r="L900" s="49"/>
      <c r="M900" s="49"/>
      <c r="N900" s="49"/>
      <c r="O900" s="49"/>
      <c r="P900" s="49"/>
      <c r="Q900" s="49"/>
      <c r="R900" s="49"/>
      <c r="S900" s="49"/>
      <c r="T900" s="49"/>
      <c r="U900" s="49"/>
      <c r="V900" s="49"/>
      <c r="W900" s="49"/>
      <c r="X900" s="49"/>
      <c r="Y900" s="49"/>
      <c r="Z900" s="49"/>
    </row>
    <row r="901">
      <c r="A901" s="49"/>
      <c r="B901" s="49" t="str">
        <f>IFERROR(__xludf.DUMMYFUNCTION("""COMPUTED_VALUE"""),"")</f>
        <v/>
      </c>
      <c r="C901" s="49" t="str">
        <f>IFERROR(__xludf.DUMMYFUNCTION("""COMPUTED_VALUE"""),"")</f>
        <v/>
      </c>
      <c r="D901" s="49" t="str">
        <f>IFERROR(__xludf.DUMMYFUNCTION("""COMPUTED_VALUE"""),"")</f>
        <v/>
      </c>
      <c r="E901" s="49" t="str">
        <f>IFERROR(__xludf.DUMMYFUNCTION("""COMPUTED_VALUE"""),"")</f>
        <v/>
      </c>
      <c r="F901" s="49" t="str">
        <f>IFERROR(__xludf.DUMMYFUNCTION("""COMPUTED_VALUE"""),"")</f>
        <v/>
      </c>
      <c r="G901" s="49" t="str">
        <f>IFERROR(__xludf.DUMMYFUNCTION("""COMPUTED_VALUE"""),"")</f>
        <v/>
      </c>
      <c r="H901" s="49"/>
      <c r="I901" s="49"/>
      <c r="J901" s="49"/>
      <c r="K901" s="49"/>
      <c r="L901" s="49"/>
      <c r="M901" s="49"/>
      <c r="N901" s="49"/>
      <c r="O901" s="49"/>
      <c r="P901" s="49"/>
      <c r="Q901" s="49"/>
      <c r="R901" s="49"/>
      <c r="S901" s="49"/>
      <c r="T901" s="49"/>
      <c r="U901" s="49"/>
      <c r="V901" s="49"/>
      <c r="W901" s="49"/>
      <c r="X901" s="49"/>
      <c r="Y901" s="49"/>
      <c r="Z901" s="49"/>
    </row>
    <row r="902">
      <c r="A902" s="49"/>
      <c r="B902" s="49" t="str">
        <f>IFERROR(__xludf.DUMMYFUNCTION("""COMPUTED_VALUE"""),"")</f>
        <v/>
      </c>
      <c r="C902" s="49" t="str">
        <f>IFERROR(__xludf.DUMMYFUNCTION("""COMPUTED_VALUE"""),"")</f>
        <v/>
      </c>
      <c r="D902" s="49" t="str">
        <f>IFERROR(__xludf.DUMMYFUNCTION("""COMPUTED_VALUE"""),"")</f>
        <v/>
      </c>
      <c r="E902" s="49" t="str">
        <f>IFERROR(__xludf.DUMMYFUNCTION("""COMPUTED_VALUE"""),"")</f>
        <v/>
      </c>
      <c r="F902" s="49" t="str">
        <f>IFERROR(__xludf.DUMMYFUNCTION("""COMPUTED_VALUE"""),"")</f>
        <v/>
      </c>
      <c r="G902" s="49" t="str">
        <f>IFERROR(__xludf.DUMMYFUNCTION("""COMPUTED_VALUE"""),"")</f>
        <v/>
      </c>
      <c r="H902" s="49"/>
      <c r="I902" s="49"/>
      <c r="J902" s="49"/>
      <c r="K902" s="49"/>
      <c r="L902" s="49"/>
      <c r="M902" s="49"/>
      <c r="N902" s="49"/>
      <c r="O902" s="49"/>
      <c r="P902" s="49"/>
      <c r="Q902" s="49"/>
      <c r="R902" s="49"/>
      <c r="S902" s="49"/>
      <c r="T902" s="49"/>
      <c r="U902" s="49"/>
      <c r="V902" s="49"/>
      <c r="W902" s="49"/>
      <c r="X902" s="49"/>
      <c r="Y902" s="49"/>
      <c r="Z902" s="49"/>
    </row>
    <row r="903">
      <c r="A903" s="49"/>
      <c r="B903" s="49" t="str">
        <f>IFERROR(__xludf.DUMMYFUNCTION("""COMPUTED_VALUE"""),"")</f>
        <v/>
      </c>
      <c r="C903" s="49" t="str">
        <f>IFERROR(__xludf.DUMMYFUNCTION("""COMPUTED_VALUE"""),"")</f>
        <v/>
      </c>
      <c r="D903" s="49" t="str">
        <f>IFERROR(__xludf.DUMMYFUNCTION("""COMPUTED_VALUE"""),"")</f>
        <v/>
      </c>
      <c r="E903" s="49" t="str">
        <f>IFERROR(__xludf.DUMMYFUNCTION("""COMPUTED_VALUE"""),"")</f>
        <v/>
      </c>
      <c r="F903" s="49" t="str">
        <f>IFERROR(__xludf.DUMMYFUNCTION("""COMPUTED_VALUE"""),"")</f>
        <v/>
      </c>
      <c r="G903" s="49" t="str">
        <f>IFERROR(__xludf.DUMMYFUNCTION("""COMPUTED_VALUE"""),"")</f>
        <v/>
      </c>
      <c r="H903" s="49"/>
      <c r="I903" s="49"/>
      <c r="J903" s="49"/>
      <c r="K903" s="49"/>
      <c r="L903" s="49"/>
      <c r="M903" s="49"/>
      <c r="N903" s="49"/>
      <c r="O903" s="49"/>
      <c r="P903" s="49"/>
      <c r="Q903" s="49"/>
      <c r="R903" s="49"/>
      <c r="S903" s="49"/>
      <c r="T903" s="49"/>
      <c r="U903" s="49"/>
      <c r="V903" s="49"/>
      <c r="W903" s="49"/>
      <c r="X903" s="49"/>
      <c r="Y903" s="49"/>
      <c r="Z903" s="49"/>
    </row>
    <row r="904">
      <c r="A904" s="49"/>
      <c r="B904" s="49" t="str">
        <f>IFERROR(__xludf.DUMMYFUNCTION("""COMPUTED_VALUE"""),"")</f>
        <v/>
      </c>
      <c r="C904" s="49" t="str">
        <f>IFERROR(__xludf.DUMMYFUNCTION("""COMPUTED_VALUE"""),"")</f>
        <v/>
      </c>
      <c r="D904" s="49" t="str">
        <f>IFERROR(__xludf.DUMMYFUNCTION("""COMPUTED_VALUE"""),"")</f>
        <v/>
      </c>
      <c r="E904" s="49" t="str">
        <f>IFERROR(__xludf.DUMMYFUNCTION("""COMPUTED_VALUE"""),"")</f>
        <v/>
      </c>
      <c r="F904" s="49" t="str">
        <f>IFERROR(__xludf.DUMMYFUNCTION("""COMPUTED_VALUE"""),"")</f>
        <v/>
      </c>
      <c r="G904" s="49" t="str">
        <f>IFERROR(__xludf.DUMMYFUNCTION("""COMPUTED_VALUE"""),"")</f>
        <v/>
      </c>
      <c r="H904" s="49"/>
      <c r="I904" s="49"/>
      <c r="J904" s="49"/>
      <c r="K904" s="49"/>
      <c r="L904" s="49"/>
      <c r="M904" s="49"/>
      <c r="N904" s="49"/>
      <c r="O904" s="49"/>
      <c r="P904" s="49"/>
      <c r="Q904" s="49"/>
      <c r="R904" s="49"/>
      <c r="S904" s="49"/>
      <c r="T904" s="49"/>
      <c r="U904" s="49"/>
      <c r="V904" s="49"/>
      <c r="W904" s="49"/>
      <c r="X904" s="49"/>
      <c r="Y904" s="49"/>
      <c r="Z904" s="49"/>
    </row>
    <row r="905">
      <c r="A905" s="49"/>
      <c r="B905" s="49" t="str">
        <f>IFERROR(__xludf.DUMMYFUNCTION("""COMPUTED_VALUE"""),"")</f>
        <v/>
      </c>
      <c r="C905" s="49" t="str">
        <f>IFERROR(__xludf.DUMMYFUNCTION("""COMPUTED_VALUE"""),"")</f>
        <v/>
      </c>
      <c r="D905" s="49" t="str">
        <f>IFERROR(__xludf.DUMMYFUNCTION("""COMPUTED_VALUE"""),"")</f>
        <v/>
      </c>
      <c r="E905" s="49" t="str">
        <f>IFERROR(__xludf.DUMMYFUNCTION("""COMPUTED_VALUE"""),"")</f>
        <v/>
      </c>
      <c r="F905" s="49" t="str">
        <f>IFERROR(__xludf.DUMMYFUNCTION("""COMPUTED_VALUE"""),"")</f>
        <v/>
      </c>
      <c r="G905" s="49" t="str">
        <f>IFERROR(__xludf.DUMMYFUNCTION("""COMPUTED_VALUE"""),"")</f>
        <v/>
      </c>
      <c r="H905" s="49"/>
      <c r="I905" s="49"/>
      <c r="J905" s="49"/>
      <c r="K905" s="49"/>
      <c r="L905" s="49"/>
      <c r="M905" s="49"/>
      <c r="N905" s="49"/>
      <c r="O905" s="49"/>
      <c r="P905" s="49"/>
      <c r="Q905" s="49"/>
      <c r="R905" s="49"/>
      <c r="S905" s="49"/>
      <c r="T905" s="49"/>
      <c r="U905" s="49"/>
      <c r="V905" s="49"/>
      <c r="W905" s="49"/>
      <c r="X905" s="49"/>
      <c r="Y905" s="49"/>
      <c r="Z905" s="49"/>
    </row>
    <row r="906">
      <c r="A906" s="49"/>
      <c r="B906" s="49" t="str">
        <f>IFERROR(__xludf.DUMMYFUNCTION("""COMPUTED_VALUE"""),"")</f>
        <v/>
      </c>
      <c r="C906" s="49" t="str">
        <f>IFERROR(__xludf.DUMMYFUNCTION("""COMPUTED_VALUE"""),"")</f>
        <v/>
      </c>
      <c r="D906" s="49" t="str">
        <f>IFERROR(__xludf.DUMMYFUNCTION("""COMPUTED_VALUE"""),"")</f>
        <v/>
      </c>
      <c r="E906" s="49" t="str">
        <f>IFERROR(__xludf.DUMMYFUNCTION("""COMPUTED_VALUE"""),"")</f>
        <v/>
      </c>
      <c r="F906" s="49" t="str">
        <f>IFERROR(__xludf.DUMMYFUNCTION("""COMPUTED_VALUE"""),"")</f>
        <v/>
      </c>
      <c r="G906" s="49" t="str">
        <f>IFERROR(__xludf.DUMMYFUNCTION("""COMPUTED_VALUE"""),"")</f>
        <v/>
      </c>
      <c r="H906" s="49"/>
      <c r="I906" s="49"/>
      <c r="J906" s="49"/>
      <c r="K906" s="49"/>
      <c r="L906" s="49"/>
      <c r="M906" s="49"/>
      <c r="N906" s="49"/>
      <c r="O906" s="49"/>
      <c r="P906" s="49"/>
      <c r="Q906" s="49"/>
      <c r="R906" s="49"/>
      <c r="S906" s="49"/>
      <c r="T906" s="49"/>
      <c r="U906" s="49"/>
      <c r="V906" s="49"/>
      <c r="W906" s="49"/>
      <c r="X906" s="49"/>
      <c r="Y906" s="49"/>
      <c r="Z906" s="49"/>
    </row>
    <row r="907">
      <c r="A907" s="49"/>
      <c r="B907" s="49" t="str">
        <f>IFERROR(__xludf.DUMMYFUNCTION("""COMPUTED_VALUE"""),"")</f>
        <v/>
      </c>
      <c r="C907" s="49" t="str">
        <f>IFERROR(__xludf.DUMMYFUNCTION("""COMPUTED_VALUE"""),"")</f>
        <v/>
      </c>
      <c r="D907" s="49" t="str">
        <f>IFERROR(__xludf.DUMMYFUNCTION("""COMPUTED_VALUE"""),"")</f>
        <v/>
      </c>
      <c r="E907" s="49" t="str">
        <f>IFERROR(__xludf.DUMMYFUNCTION("""COMPUTED_VALUE"""),"")</f>
        <v/>
      </c>
      <c r="F907" s="49" t="str">
        <f>IFERROR(__xludf.DUMMYFUNCTION("""COMPUTED_VALUE"""),"")</f>
        <v/>
      </c>
      <c r="G907" s="49" t="str">
        <f>IFERROR(__xludf.DUMMYFUNCTION("""COMPUTED_VALUE"""),"")</f>
        <v/>
      </c>
      <c r="H907" s="49"/>
      <c r="I907" s="49"/>
      <c r="J907" s="49"/>
      <c r="K907" s="49"/>
      <c r="L907" s="49"/>
      <c r="M907" s="49"/>
      <c r="N907" s="49"/>
      <c r="O907" s="49"/>
      <c r="P907" s="49"/>
      <c r="Q907" s="49"/>
      <c r="R907" s="49"/>
      <c r="S907" s="49"/>
      <c r="T907" s="49"/>
      <c r="U907" s="49"/>
      <c r="V907" s="49"/>
      <c r="W907" s="49"/>
      <c r="X907" s="49"/>
      <c r="Y907" s="49"/>
      <c r="Z907" s="49"/>
    </row>
    <row r="908">
      <c r="A908" s="49"/>
      <c r="B908" s="49" t="str">
        <f>IFERROR(__xludf.DUMMYFUNCTION("""COMPUTED_VALUE"""),"")</f>
        <v/>
      </c>
      <c r="C908" s="49" t="str">
        <f>IFERROR(__xludf.DUMMYFUNCTION("""COMPUTED_VALUE"""),"")</f>
        <v/>
      </c>
      <c r="D908" s="49" t="str">
        <f>IFERROR(__xludf.DUMMYFUNCTION("""COMPUTED_VALUE"""),"")</f>
        <v/>
      </c>
      <c r="E908" s="49" t="str">
        <f>IFERROR(__xludf.DUMMYFUNCTION("""COMPUTED_VALUE"""),"")</f>
        <v/>
      </c>
      <c r="F908" s="49" t="str">
        <f>IFERROR(__xludf.DUMMYFUNCTION("""COMPUTED_VALUE"""),"")</f>
        <v/>
      </c>
      <c r="G908" s="49" t="str">
        <f>IFERROR(__xludf.DUMMYFUNCTION("""COMPUTED_VALUE"""),"")</f>
        <v/>
      </c>
      <c r="H908" s="49"/>
      <c r="I908" s="49"/>
      <c r="J908" s="49"/>
      <c r="K908" s="49"/>
      <c r="L908" s="49"/>
      <c r="M908" s="49"/>
      <c r="N908" s="49"/>
      <c r="O908" s="49"/>
      <c r="P908" s="49"/>
      <c r="Q908" s="49"/>
      <c r="R908" s="49"/>
      <c r="S908" s="49"/>
      <c r="T908" s="49"/>
      <c r="U908" s="49"/>
      <c r="V908" s="49"/>
      <c r="W908" s="49"/>
      <c r="X908" s="49"/>
      <c r="Y908" s="49"/>
      <c r="Z908" s="49"/>
    </row>
    <row r="909">
      <c r="A909" s="49"/>
      <c r="B909" s="49" t="str">
        <f>IFERROR(__xludf.DUMMYFUNCTION("""COMPUTED_VALUE"""),"")</f>
        <v/>
      </c>
      <c r="C909" s="49" t="str">
        <f>IFERROR(__xludf.DUMMYFUNCTION("""COMPUTED_VALUE"""),"")</f>
        <v/>
      </c>
      <c r="D909" s="49" t="str">
        <f>IFERROR(__xludf.DUMMYFUNCTION("""COMPUTED_VALUE"""),"")</f>
        <v/>
      </c>
      <c r="E909" s="49" t="str">
        <f>IFERROR(__xludf.DUMMYFUNCTION("""COMPUTED_VALUE"""),"")</f>
        <v/>
      </c>
      <c r="F909" s="49" t="str">
        <f>IFERROR(__xludf.DUMMYFUNCTION("""COMPUTED_VALUE"""),"")</f>
        <v/>
      </c>
      <c r="G909" s="49" t="str">
        <f>IFERROR(__xludf.DUMMYFUNCTION("""COMPUTED_VALUE"""),"")</f>
        <v/>
      </c>
      <c r="H909" s="49"/>
      <c r="I909" s="49"/>
      <c r="J909" s="49"/>
      <c r="K909" s="49"/>
      <c r="L909" s="49"/>
      <c r="M909" s="49"/>
      <c r="N909" s="49"/>
      <c r="O909" s="49"/>
      <c r="P909" s="49"/>
      <c r="Q909" s="49"/>
      <c r="R909" s="49"/>
      <c r="S909" s="49"/>
      <c r="T909" s="49"/>
      <c r="U909" s="49"/>
      <c r="V909" s="49"/>
      <c r="W909" s="49"/>
      <c r="X909" s="49"/>
      <c r="Y909" s="49"/>
      <c r="Z909" s="49"/>
    </row>
    <row r="910">
      <c r="A910" s="49"/>
      <c r="B910" s="49" t="str">
        <f>IFERROR(__xludf.DUMMYFUNCTION("""COMPUTED_VALUE"""),"")</f>
        <v/>
      </c>
      <c r="C910" s="49" t="str">
        <f>IFERROR(__xludf.DUMMYFUNCTION("""COMPUTED_VALUE"""),"")</f>
        <v/>
      </c>
      <c r="D910" s="49" t="str">
        <f>IFERROR(__xludf.DUMMYFUNCTION("""COMPUTED_VALUE"""),"")</f>
        <v/>
      </c>
      <c r="E910" s="49" t="str">
        <f>IFERROR(__xludf.DUMMYFUNCTION("""COMPUTED_VALUE"""),"")</f>
        <v/>
      </c>
      <c r="F910" s="49" t="str">
        <f>IFERROR(__xludf.DUMMYFUNCTION("""COMPUTED_VALUE"""),"")</f>
        <v/>
      </c>
      <c r="G910" s="49" t="str">
        <f>IFERROR(__xludf.DUMMYFUNCTION("""COMPUTED_VALUE"""),"")</f>
        <v/>
      </c>
      <c r="H910" s="49"/>
      <c r="I910" s="49"/>
      <c r="J910" s="49"/>
      <c r="K910" s="49"/>
      <c r="L910" s="49"/>
      <c r="M910" s="49"/>
      <c r="N910" s="49"/>
      <c r="O910" s="49"/>
      <c r="P910" s="49"/>
      <c r="Q910" s="49"/>
      <c r="R910" s="49"/>
      <c r="S910" s="49"/>
      <c r="T910" s="49"/>
      <c r="U910" s="49"/>
      <c r="V910" s="49"/>
      <c r="W910" s="49"/>
      <c r="X910" s="49"/>
      <c r="Y910" s="49"/>
      <c r="Z910" s="49"/>
    </row>
    <row r="911">
      <c r="A911" s="49"/>
      <c r="B911" s="49" t="str">
        <f>IFERROR(__xludf.DUMMYFUNCTION("""COMPUTED_VALUE"""),"")</f>
        <v/>
      </c>
      <c r="C911" s="49" t="str">
        <f>IFERROR(__xludf.DUMMYFUNCTION("""COMPUTED_VALUE"""),"")</f>
        <v/>
      </c>
      <c r="D911" s="49" t="str">
        <f>IFERROR(__xludf.DUMMYFUNCTION("""COMPUTED_VALUE"""),"")</f>
        <v/>
      </c>
      <c r="E911" s="49" t="str">
        <f>IFERROR(__xludf.DUMMYFUNCTION("""COMPUTED_VALUE"""),"")</f>
        <v/>
      </c>
      <c r="F911" s="49" t="str">
        <f>IFERROR(__xludf.DUMMYFUNCTION("""COMPUTED_VALUE"""),"")</f>
        <v/>
      </c>
      <c r="G911" s="49" t="str">
        <f>IFERROR(__xludf.DUMMYFUNCTION("""COMPUTED_VALUE"""),"")</f>
        <v/>
      </c>
      <c r="H911" s="49"/>
      <c r="I911" s="49"/>
      <c r="J911" s="49"/>
      <c r="K911" s="49"/>
      <c r="L911" s="49"/>
      <c r="M911" s="49"/>
      <c r="N911" s="49"/>
      <c r="O911" s="49"/>
      <c r="P911" s="49"/>
      <c r="Q911" s="49"/>
      <c r="R911" s="49"/>
      <c r="S911" s="49"/>
      <c r="T911" s="49"/>
      <c r="U911" s="49"/>
      <c r="V911" s="49"/>
      <c r="W911" s="49"/>
      <c r="X911" s="49"/>
      <c r="Y911" s="49"/>
      <c r="Z911" s="49"/>
    </row>
    <row r="912">
      <c r="A912" s="49"/>
      <c r="B912" s="49" t="str">
        <f>IFERROR(__xludf.DUMMYFUNCTION("""COMPUTED_VALUE"""),"")</f>
        <v/>
      </c>
      <c r="C912" s="49" t="str">
        <f>IFERROR(__xludf.DUMMYFUNCTION("""COMPUTED_VALUE"""),"")</f>
        <v/>
      </c>
      <c r="D912" s="49" t="str">
        <f>IFERROR(__xludf.DUMMYFUNCTION("""COMPUTED_VALUE"""),"")</f>
        <v/>
      </c>
      <c r="E912" s="49" t="str">
        <f>IFERROR(__xludf.DUMMYFUNCTION("""COMPUTED_VALUE"""),"")</f>
        <v/>
      </c>
      <c r="F912" s="49" t="str">
        <f>IFERROR(__xludf.DUMMYFUNCTION("""COMPUTED_VALUE"""),"")</f>
        <v/>
      </c>
      <c r="G912" s="49" t="str">
        <f>IFERROR(__xludf.DUMMYFUNCTION("""COMPUTED_VALUE"""),"")</f>
        <v/>
      </c>
      <c r="H912" s="49"/>
      <c r="I912" s="49"/>
      <c r="J912" s="49"/>
      <c r="K912" s="49"/>
      <c r="L912" s="49"/>
      <c r="M912" s="49"/>
      <c r="N912" s="49"/>
      <c r="O912" s="49"/>
      <c r="P912" s="49"/>
      <c r="Q912" s="49"/>
      <c r="R912" s="49"/>
      <c r="S912" s="49"/>
      <c r="T912" s="49"/>
      <c r="U912" s="49"/>
      <c r="V912" s="49"/>
      <c r="W912" s="49"/>
      <c r="X912" s="49"/>
      <c r="Y912" s="49"/>
      <c r="Z912" s="49"/>
    </row>
    <row r="913">
      <c r="A913" s="49"/>
      <c r="B913" s="49" t="str">
        <f>IFERROR(__xludf.DUMMYFUNCTION("""COMPUTED_VALUE"""),"")</f>
        <v/>
      </c>
      <c r="C913" s="49" t="str">
        <f>IFERROR(__xludf.DUMMYFUNCTION("""COMPUTED_VALUE"""),"")</f>
        <v/>
      </c>
      <c r="D913" s="49" t="str">
        <f>IFERROR(__xludf.DUMMYFUNCTION("""COMPUTED_VALUE"""),"")</f>
        <v/>
      </c>
      <c r="E913" s="49" t="str">
        <f>IFERROR(__xludf.DUMMYFUNCTION("""COMPUTED_VALUE"""),"")</f>
        <v/>
      </c>
      <c r="F913" s="49" t="str">
        <f>IFERROR(__xludf.DUMMYFUNCTION("""COMPUTED_VALUE"""),"")</f>
        <v/>
      </c>
      <c r="G913" s="49" t="str">
        <f>IFERROR(__xludf.DUMMYFUNCTION("""COMPUTED_VALUE"""),"")</f>
        <v/>
      </c>
      <c r="H913" s="49"/>
      <c r="I913" s="49"/>
      <c r="J913" s="49"/>
      <c r="K913" s="49"/>
      <c r="L913" s="49"/>
      <c r="M913" s="49"/>
      <c r="N913" s="49"/>
      <c r="O913" s="49"/>
      <c r="P913" s="49"/>
      <c r="Q913" s="49"/>
      <c r="R913" s="49"/>
      <c r="S913" s="49"/>
      <c r="T913" s="49"/>
      <c r="U913" s="49"/>
      <c r="V913" s="49"/>
      <c r="W913" s="49"/>
      <c r="X913" s="49"/>
      <c r="Y913" s="49"/>
      <c r="Z913" s="49"/>
    </row>
    <row r="914">
      <c r="A914" s="49"/>
      <c r="B914" s="49" t="str">
        <f>IFERROR(__xludf.DUMMYFUNCTION("""COMPUTED_VALUE"""),"")</f>
        <v/>
      </c>
      <c r="C914" s="49" t="str">
        <f>IFERROR(__xludf.DUMMYFUNCTION("""COMPUTED_VALUE"""),"")</f>
        <v/>
      </c>
      <c r="D914" s="49" t="str">
        <f>IFERROR(__xludf.DUMMYFUNCTION("""COMPUTED_VALUE"""),"")</f>
        <v/>
      </c>
      <c r="E914" s="49" t="str">
        <f>IFERROR(__xludf.DUMMYFUNCTION("""COMPUTED_VALUE"""),"")</f>
        <v/>
      </c>
      <c r="F914" s="49" t="str">
        <f>IFERROR(__xludf.DUMMYFUNCTION("""COMPUTED_VALUE"""),"")</f>
        <v/>
      </c>
      <c r="G914" s="49" t="str">
        <f>IFERROR(__xludf.DUMMYFUNCTION("""COMPUTED_VALUE"""),"")</f>
        <v/>
      </c>
      <c r="H914" s="49"/>
      <c r="I914" s="49"/>
      <c r="J914" s="49"/>
      <c r="K914" s="49"/>
      <c r="L914" s="49"/>
      <c r="M914" s="49"/>
      <c r="N914" s="49"/>
      <c r="O914" s="49"/>
      <c r="P914" s="49"/>
      <c r="Q914" s="49"/>
      <c r="R914" s="49"/>
      <c r="S914" s="49"/>
      <c r="T914" s="49"/>
      <c r="U914" s="49"/>
      <c r="V914" s="49"/>
      <c r="W914" s="49"/>
      <c r="X914" s="49"/>
      <c r="Y914" s="49"/>
      <c r="Z914" s="49"/>
    </row>
    <row r="915">
      <c r="A915" s="49"/>
      <c r="B915" s="49" t="str">
        <f>IFERROR(__xludf.DUMMYFUNCTION("""COMPUTED_VALUE"""),"")</f>
        <v/>
      </c>
      <c r="C915" s="49" t="str">
        <f>IFERROR(__xludf.DUMMYFUNCTION("""COMPUTED_VALUE"""),"")</f>
        <v/>
      </c>
      <c r="D915" s="49" t="str">
        <f>IFERROR(__xludf.DUMMYFUNCTION("""COMPUTED_VALUE"""),"")</f>
        <v/>
      </c>
      <c r="E915" s="49" t="str">
        <f>IFERROR(__xludf.DUMMYFUNCTION("""COMPUTED_VALUE"""),"")</f>
        <v/>
      </c>
      <c r="F915" s="49" t="str">
        <f>IFERROR(__xludf.DUMMYFUNCTION("""COMPUTED_VALUE"""),"")</f>
        <v/>
      </c>
      <c r="G915" s="49" t="str">
        <f>IFERROR(__xludf.DUMMYFUNCTION("""COMPUTED_VALUE"""),"")</f>
        <v/>
      </c>
      <c r="H915" s="49"/>
      <c r="I915" s="49"/>
      <c r="J915" s="49"/>
      <c r="K915" s="49"/>
      <c r="L915" s="49"/>
      <c r="M915" s="49"/>
      <c r="N915" s="49"/>
      <c r="O915" s="49"/>
      <c r="P915" s="49"/>
      <c r="Q915" s="49"/>
      <c r="R915" s="49"/>
      <c r="S915" s="49"/>
      <c r="T915" s="49"/>
      <c r="U915" s="49"/>
      <c r="V915" s="49"/>
      <c r="W915" s="49"/>
      <c r="X915" s="49"/>
      <c r="Y915" s="49"/>
      <c r="Z915" s="49"/>
    </row>
    <row r="916">
      <c r="A916" s="49"/>
      <c r="B916" s="49" t="str">
        <f>IFERROR(__xludf.DUMMYFUNCTION("""COMPUTED_VALUE"""),"")</f>
        <v/>
      </c>
      <c r="C916" s="49" t="str">
        <f>IFERROR(__xludf.DUMMYFUNCTION("""COMPUTED_VALUE"""),"")</f>
        <v/>
      </c>
      <c r="D916" s="49" t="str">
        <f>IFERROR(__xludf.DUMMYFUNCTION("""COMPUTED_VALUE"""),"")</f>
        <v/>
      </c>
      <c r="E916" s="49" t="str">
        <f>IFERROR(__xludf.DUMMYFUNCTION("""COMPUTED_VALUE"""),"")</f>
        <v/>
      </c>
      <c r="F916" s="49" t="str">
        <f>IFERROR(__xludf.DUMMYFUNCTION("""COMPUTED_VALUE"""),"")</f>
        <v/>
      </c>
      <c r="G916" s="49" t="str">
        <f>IFERROR(__xludf.DUMMYFUNCTION("""COMPUTED_VALUE"""),"")</f>
        <v/>
      </c>
      <c r="H916" s="49"/>
      <c r="I916" s="49"/>
      <c r="J916" s="49"/>
      <c r="K916" s="49"/>
      <c r="L916" s="49"/>
      <c r="M916" s="49"/>
      <c r="N916" s="49"/>
      <c r="O916" s="49"/>
      <c r="P916" s="49"/>
      <c r="Q916" s="49"/>
      <c r="R916" s="49"/>
      <c r="S916" s="49"/>
      <c r="T916" s="49"/>
      <c r="U916" s="49"/>
      <c r="V916" s="49"/>
      <c r="W916" s="49"/>
      <c r="X916" s="49"/>
      <c r="Y916" s="49"/>
      <c r="Z916" s="49"/>
    </row>
    <row r="917">
      <c r="A917" s="49"/>
      <c r="B917" s="49" t="str">
        <f>IFERROR(__xludf.DUMMYFUNCTION("""COMPUTED_VALUE"""),"")</f>
        <v/>
      </c>
      <c r="C917" s="49" t="str">
        <f>IFERROR(__xludf.DUMMYFUNCTION("""COMPUTED_VALUE"""),"")</f>
        <v/>
      </c>
      <c r="D917" s="49" t="str">
        <f>IFERROR(__xludf.DUMMYFUNCTION("""COMPUTED_VALUE"""),"")</f>
        <v/>
      </c>
      <c r="E917" s="49" t="str">
        <f>IFERROR(__xludf.DUMMYFUNCTION("""COMPUTED_VALUE"""),"")</f>
        <v/>
      </c>
      <c r="F917" s="49" t="str">
        <f>IFERROR(__xludf.DUMMYFUNCTION("""COMPUTED_VALUE"""),"")</f>
        <v/>
      </c>
      <c r="G917" s="49" t="str">
        <f>IFERROR(__xludf.DUMMYFUNCTION("""COMPUTED_VALUE"""),"")</f>
        <v/>
      </c>
      <c r="H917" s="49"/>
      <c r="I917" s="49"/>
      <c r="J917" s="49"/>
      <c r="K917" s="49"/>
      <c r="L917" s="49"/>
      <c r="M917" s="49"/>
      <c r="N917" s="49"/>
      <c r="O917" s="49"/>
      <c r="P917" s="49"/>
      <c r="Q917" s="49"/>
      <c r="R917" s="49"/>
      <c r="S917" s="49"/>
      <c r="T917" s="49"/>
      <c r="U917" s="49"/>
      <c r="V917" s="49"/>
      <c r="W917" s="49"/>
      <c r="X917" s="49"/>
      <c r="Y917" s="49"/>
      <c r="Z917" s="49"/>
    </row>
    <row r="918">
      <c r="A918" s="49"/>
      <c r="B918" s="49" t="str">
        <f>IFERROR(__xludf.DUMMYFUNCTION("""COMPUTED_VALUE"""),"")</f>
        <v/>
      </c>
      <c r="C918" s="49" t="str">
        <f>IFERROR(__xludf.DUMMYFUNCTION("""COMPUTED_VALUE"""),"")</f>
        <v/>
      </c>
      <c r="D918" s="49" t="str">
        <f>IFERROR(__xludf.DUMMYFUNCTION("""COMPUTED_VALUE"""),"")</f>
        <v/>
      </c>
      <c r="E918" s="49" t="str">
        <f>IFERROR(__xludf.DUMMYFUNCTION("""COMPUTED_VALUE"""),"")</f>
        <v/>
      </c>
      <c r="F918" s="49" t="str">
        <f>IFERROR(__xludf.DUMMYFUNCTION("""COMPUTED_VALUE"""),"")</f>
        <v/>
      </c>
      <c r="G918" s="49" t="str">
        <f>IFERROR(__xludf.DUMMYFUNCTION("""COMPUTED_VALUE"""),"")</f>
        <v/>
      </c>
      <c r="H918" s="49"/>
      <c r="I918" s="49"/>
      <c r="J918" s="49"/>
      <c r="K918" s="49"/>
      <c r="L918" s="49"/>
      <c r="M918" s="49"/>
      <c r="N918" s="49"/>
      <c r="O918" s="49"/>
      <c r="P918" s="49"/>
      <c r="Q918" s="49"/>
      <c r="R918" s="49"/>
      <c r="S918" s="49"/>
      <c r="T918" s="49"/>
      <c r="U918" s="49"/>
      <c r="V918" s="49"/>
      <c r="W918" s="49"/>
      <c r="X918" s="49"/>
      <c r="Y918" s="49"/>
      <c r="Z918" s="49"/>
    </row>
    <row r="919">
      <c r="A919" s="49"/>
      <c r="B919" s="49" t="str">
        <f>IFERROR(__xludf.DUMMYFUNCTION("""COMPUTED_VALUE"""),"")</f>
        <v/>
      </c>
      <c r="C919" s="49" t="str">
        <f>IFERROR(__xludf.DUMMYFUNCTION("""COMPUTED_VALUE"""),"")</f>
        <v/>
      </c>
      <c r="D919" s="49" t="str">
        <f>IFERROR(__xludf.DUMMYFUNCTION("""COMPUTED_VALUE"""),"")</f>
        <v/>
      </c>
      <c r="E919" s="49" t="str">
        <f>IFERROR(__xludf.DUMMYFUNCTION("""COMPUTED_VALUE"""),"")</f>
        <v/>
      </c>
      <c r="F919" s="49" t="str">
        <f>IFERROR(__xludf.DUMMYFUNCTION("""COMPUTED_VALUE"""),"")</f>
        <v/>
      </c>
      <c r="G919" s="49" t="str">
        <f>IFERROR(__xludf.DUMMYFUNCTION("""COMPUTED_VALUE"""),"")</f>
        <v/>
      </c>
      <c r="H919" s="49"/>
      <c r="I919" s="49"/>
      <c r="J919" s="49"/>
      <c r="K919" s="49"/>
      <c r="L919" s="49"/>
      <c r="M919" s="49"/>
      <c r="N919" s="49"/>
      <c r="O919" s="49"/>
      <c r="P919" s="49"/>
      <c r="Q919" s="49"/>
      <c r="R919" s="49"/>
      <c r="S919" s="49"/>
      <c r="T919" s="49"/>
      <c r="U919" s="49"/>
      <c r="V919" s="49"/>
      <c r="W919" s="49"/>
      <c r="X919" s="49"/>
      <c r="Y919" s="49"/>
      <c r="Z919" s="49"/>
    </row>
    <row r="920">
      <c r="A920" s="49"/>
      <c r="B920" s="49" t="str">
        <f>IFERROR(__xludf.DUMMYFUNCTION("""COMPUTED_VALUE"""),"")</f>
        <v/>
      </c>
      <c r="C920" s="49" t="str">
        <f>IFERROR(__xludf.DUMMYFUNCTION("""COMPUTED_VALUE"""),"")</f>
        <v/>
      </c>
      <c r="D920" s="49" t="str">
        <f>IFERROR(__xludf.DUMMYFUNCTION("""COMPUTED_VALUE"""),"")</f>
        <v/>
      </c>
      <c r="E920" s="49" t="str">
        <f>IFERROR(__xludf.DUMMYFUNCTION("""COMPUTED_VALUE"""),"")</f>
        <v/>
      </c>
      <c r="F920" s="49" t="str">
        <f>IFERROR(__xludf.DUMMYFUNCTION("""COMPUTED_VALUE"""),"")</f>
        <v/>
      </c>
      <c r="G920" s="49" t="str">
        <f>IFERROR(__xludf.DUMMYFUNCTION("""COMPUTED_VALUE"""),"")</f>
        <v/>
      </c>
      <c r="H920" s="49"/>
      <c r="I920" s="49"/>
      <c r="J920" s="49"/>
      <c r="K920" s="49"/>
      <c r="L920" s="49"/>
      <c r="M920" s="49"/>
      <c r="N920" s="49"/>
      <c r="O920" s="49"/>
      <c r="P920" s="49"/>
      <c r="Q920" s="49"/>
      <c r="R920" s="49"/>
      <c r="S920" s="49"/>
      <c r="T920" s="49"/>
      <c r="U920" s="49"/>
      <c r="V920" s="49"/>
      <c r="W920" s="49"/>
      <c r="X920" s="49"/>
      <c r="Y920" s="49"/>
      <c r="Z920" s="49"/>
    </row>
    <row r="921">
      <c r="A921" s="49"/>
      <c r="B921" s="49" t="str">
        <f>IFERROR(__xludf.DUMMYFUNCTION("""COMPUTED_VALUE"""),"")</f>
        <v/>
      </c>
      <c r="C921" s="49" t="str">
        <f>IFERROR(__xludf.DUMMYFUNCTION("""COMPUTED_VALUE"""),"")</f>
        <v/>
      </c>
      <c r="D921" s="49" t="str">
        <f>IFERROR(__xludf.DUMMYFUNCTION("""COMPUTED_VALUE"""),"")</f>
        <v/>
      </c>
      <c r="E921" s="49" t="str">
        <f>IFERROR(__xludf.DUMMYFUNCTION("""COMPUTED_VALUE"""),"")</f>
        <v/>
      </c>
      <c r="F921" s="49" t="str">
        <f>IFERROR(__xludf.DUMMYFUNCTION("""COMPUTED_VALUE"""),"")</f>
        <v/>
      </c>
      <c r="G921" s="49" t="str">
        <f>IFERROR(__xludf.DUMMYFUNCTION("""COMPUTED_VALUE"""),"")</f>
        <v/>
      </c>
      <c r="H921" s="49"/>
      <c r="I921" s="49"/>
      <c r="J921" s="49"/>
      <c r="K921" s="49"/>
      <c r="L921" s="49"/>
      <c r="M921" s="49"/>
      <c r="N921" s="49"/>
      <c r="O921" s="49"/>
      <c r="P921" s="49"/>
      <c r="Q921" s="49"/>
      <c r="R921" s="49"/>
      <c r="S921" s="49"/>
      <c r="T921" s="49"/>
      <c r="U921" s="49"/>
      <c r="V921" s="49"/>
      <c r="W921" s="49"/>
      <c r="X921" s="49"/>
      <c r="Y921" s="49"/>
      <c r="Z921" s="49"/>
    </row>
    <row r="922">
      <c r="A922" s="49"/>
      <c r="B922" s="49" t="str">
        <f>IFERROR(__xludf.DUMMYFUNCTION("""COMPUTED_VALUE"""),"")</f>
        <v/>
      </c>
      <c r="C922" s="49" t="str">
        <f>IFERROR(__xludf.DUMMYFUNCTION("""COMPUTED_VALUE"""),"")</f>
        <v/>
      </c>
      <c r="D922" s="49" t="str">
        <f>IFERROR(__xludf.DUMMYFUNCTION("""COMPUTED_VALUE"""),"")</f>
        <v/>
      </c>
      <c r="E922" s="49" t="str">
        <f>IFERROR(__xludf.DUMMYFUNCTION("""COMPUTED_VALUE"""),"")</f>
        <v/>
      </c>
      <c r="F922" s="49" t="str">
        <f>IFERROR(__xludf.DUMMYFUNCTION("""COMPUTED_VALUE"""),"")</f>
        <v/>
      </c>
      <c r="G922" s="49" t="str">
        <f>IFERROR(__xludf.DUMMYFUNCTION("""COMPUTED_VALUE"""),"")</f>
        <v/>
      </c>
      <c r="H922" s="49"/>
      <c r="I922" s="49"/>
      <c r="J922" s="49"/>
      <c r="K922" s="49"/>
      <c r="L922" s="49"/>
      <c r="M922" s="49"/>
      <c r="N922" s="49"/>
      <c r="O922" s="49"/>
      <c r="P922" s="49"/>
      <c r="Q922" s="49"/>
      <c r="R922" s="49"/>
      <c r="S922" s="49"/>
      <c r="T922" s="49"/>
      <c r="U922" s="49"/>
      <c r="V922" s="49"/>
      <c r="W922" s="49"/>
      <c r="X922" s="49"/>
      <c r="Y922" s="49"/>
      <c r="Z922" s="49"/>
    </row>
    <row r="923">
      <c r="A923" s="49"/>
      <c r="B923" s="49" t="str">
        <f>IFERROR(__xludf.DUMMYFUNCTION("""COMPUTED_VALUE"""),"")</f>
        <v/>
      </c>
      <c r="C923" s="49" t="str">
        <f>IFERROR(__xludf.DUMMYFUNCTION("""COMPUTED_VALUE"""),"")</f>
        <v/>
      </c>
      <c r="D923" s="49" t="str">
        <f>IFERROR(__xludf.DUMMYFUNCTION("""COMPUTED_VALUE"""),"")</f>
        <v/>
      </c>
      <c r="E923" s="49" t="str">
        <f>IFERROR(__xludf.DUMMYFUNCTION("""COMPUTED_VALUE"""),"")</f>
        <v/>
      </c>
      <c r="F923" s="49" t="str">
        <f>IFERROR(__xludf.DUMMYFUNCTION("""COMPUTED_VALUE"""),"")</f>
        <v/>
      </c>
      <c r="G923" s="49" t="str">
        <f>IFERROR(__xludf.DUMMYFUNCTION("""COMPUTED_VALUE"""),"")</f>
        <v/>
      </c>
      <c r="H923" s="49"/>
      <c r="I923" s="49"/>
      <c r="J923" s="49"/>
      <c r="K923" s="49"/>
      <c r="L923" s="49"/>
      <c r="M923" s="49"/>
      <c r="N923" s="49"/>
      <c r="O923" s="49"/>
      <c r="P923" s="49"/>
      <c r="Q923" s="49"/>
      <c r="R923" s="49"/>
      <c r="S923" s="49"/>
      <c r="T923" s="49"/>
      <c r="U923" s="49"/>
      <c r="V923" s="49"/>
      <c r="W923" s="49"/>
      <c r="X923" s="49"/>
      <c r="Y923" s="49"/>
      <c r="Z923" s="49"/>
    </row>
    <row r="924">
      <c r="A924" s="49"/>
      <c r="B924" s="49" t="str">
        <f>IFERROR(__xludf.DUMMYFUNCTION("""COMPUTED_VALUE"""),"")</f>
        <v/>
      </c>
      <c r="C924" s="49" t="str">
        <f>IFERROR(__xludf.DUMMYFUNCTION("""COMPUTED_VALUE"""),"")</f>
        <v/>
      </c>
      <c r="D924" s="49" t="str">
        <f>IFERROR(__xludf.DUMMYFUNCTION("""COMPUTED_VALUE"""),"")</f>
        <v/>
      </c>
      <c r="E924" s="49" t="str">
        <f>IFERROR(__xludf.DUMMYFUNCTION("""COMPUTED_VALUE"""),"")</f>
        <v/>
      </c>
      <c r="F924" s="49" t="str">
        <f>IFERROR(__xludf.DUMMYFUNCTION("""COMPUTED_VALUE"""),"")</f>
        <v/>
      </c>
      <c r="G924" s="49" t="str">
        <f>IFERROR(__xludf.DUMMYFUNCTION("""COMPUTED_VALUE"""),"")</f>
        <v/>
      </c>
      <c r="H924" s="49"/>
      <c r="I924" s="49"/>
      <c r="J924" s="49"/>
      <c r="K924" s="49"/>
      <c r="L924" s="49"/>
      <c r="M924" s="49"/>
      <c r="N924" s="49"/>
      <c r="O924" s="49"/>
      <c r="P924" s="49"/>
      <c r="Q924" s="49"/>
      <c r="R924" s="49"/>
      <c r="S924" s="49"/>
      <c r="T924" s="49"/>
      <c r="U924" s="49"/>
      <c r="V924" s="49"/>
      <c r="W924" s="49"/>
      <c r="X924" s="49"/>
      <c r="Y924" s="49"/>
      <c r="Z924" s="49"/>
    </row>
    <row r="925">
      <c r="A925" s="49"/>
      <c r="B925" s="49" t="str">
        <f>IFERROR(__xludf.DUMMYFUNCTION("""COMPUTED_VALUE"""),"")</f>
        <v/>
      </c>
      <c r="C925" s="49" t="str">
        <f>IFERROR(__xludf.DUMMYFUNCTION("""COMPUTED_VALUE"""),"")</f>
        <v/>
      </c>
      <c r="D925" s="49" t="str">
        <f>IFERROR(__xludf.DUMMYFUNCTION("""COMPUTED_VALUE"""),"")</f>
        <v/>
      </c>
      <c r="E925" s="49" t="str">
        <f>IFERROR(__xludf.DUMMYFUNCTION("""COMPUTED_VALUE"""),"")</f>
        <v/>
      </c>
      <c r="F925" s="49" t="str">
        <f>IFERROR(__xludf.DUMMYFUNCTION("""COMPUTED_VALUE"""),"")</f>
        <v/>
      </c>
      <c r="G925" s="49" t="str">
        <f>IFERROR(__xludf.DUMMYFUNCTION("""COMPUTED_VALUE"""),"")</f>
        <v/>
      </c>
      <c r="H925" s="49"/>
      <c r="I925" s="49"/>
      <c r="J925" s="49"/>
      <c r="K925" s="49"/>
      <c r="L925" s="49"/>
      <c r="M925" s="49"/>
      <c r="N925" s="49"/>
      <c r="O925" s="49"/>
      <c r="P925" s="49"/>
      <c r="Q925" s="49"/>
      <c r="R925" s="49"/>
      <c r="S925" s="49"/>
      <c r="T925" s="49"/>
      <c r="U925" s="49"/>
      <c r="V925" s="49"/>
      <c r="W925" s="49"/>
      <c r="X925" s="49"/>
      <c r="Y925" s="49"/>
      <c r="Z925" s="49"/>
    </row>
    <row r="926">
      <c r="A926" s="49"/>
      <c r="B926" s="49" t="str">
        <f>IFERROR(__xludf.DUMMYFUNCTION("""COMPUTED_VALUE"""),"")</f>
        <v/>
      </c>
      <c r="C926" s="49" t="str">
        <f>IFERROR(__xludf.DUMMYFUNCTION("""COMPUTED_VALUE"""),"")</f>
        <v/>
      </c>
      <c r="D926" s="49" t="str">
        <f>IFERROR(__xludf.DUMMYFUNCTION("""COMPUTED_VALUE"""),"")</f>
        <v/>
      </c>
      <c r="E926" s="49" t="str">
        <f>IFERROR(__xludf.DUMMYFUNCTION("""COMPUTED_VALUE"""),"")</f>
        <v/>
      </c>
      <c r="F926" s="49" t="str">
        <f>IFERROR(__xludf.DUMMYFUNCTION("""COMPUTED_VALUE"""),"")</f>
        <v/>
      </c>
      <c r="G926" s="49" t="str">
        <f>IFERROR(__xludf.DUMMYFUNCTION("""COMPUTED_VALUE"""),"")</f>
        <v/>
      </c>
      <c r="H926" s="49"/>
      <c r="I926" s="49"/>
      <c r="J926" s="49"/>
      <c r="K926" s="49"/>
      <c r="L926" s="49"/>
      <c r="M926" s="49"/>
      <c r="N926" s="49"/>
      <c r="O926" s="49"/>
      <c r="P926" s="49"/>
      <c r="Q926" s="49"/>
      <c r="R926" s="49"/>
      <c r="S926" s="49"/>
      <c r="T926" s="49"/>
      <c r="U926" s="49"/>
      <c r="V926" s="49"/>
      <c r="W926" s="49"/>
      <c r="X926" s="49"/>
      <c r="Y926" s="49"/>
      <c r="Z926" s="49"/>
    </row>
    <row r="927">
      <c r="A927" s="49"/>
      <c r="B927" s="49" t="str">
        <f>IFERROR(__xludf.DUMMYFUNCTION("""COMPUTED_VALUE"""),"")</f>
        <v/>
      </c>
      <c r="C927" s="49" t="str">
        <f>IFERROR(__xludf.DUMMYFUNCTION("""COMPUTED_VALUE"""),"")</f>
        <v/>
      </c>
      <c r="D927" s="49" t="str">
        <f>IFERROR(__xludf.DUMMYFUNCTION("""COMPUTED_VALUE"""),"")</f>
        <v/>
      </c>
      <c r="E927" s="49" t="str">
        <f>IFERROR(__xludf.DUMMYFUNCTION("""COMPUTED_VALUE"""),"")</f>
        <v/>
      </c>
      <c r="F927" s="49" t="str">
        <f>IFERROR(__xludf.DUMMYFUNCTION("""COMPUTED_VALUE"""),"")</f>
        <v/>
      </c>
      <c r="G927" s="49" t="str">
        <f>IFERROR(__xludf.DUMMYFUNCTION("""COMPUTED_VALUE"""),"")</f>
        <v/>
      </c>
      <c r="H927" s="49"/>
      <c r="I927" s="49"/>
      <c r="J927" s="49"/>
      <c r="K927" s="49"/>
      <c r="L927" s="49"/>
      <c r="M927" s="49"/>
      <c r="N927" s="49"/>
      <c r="O927" s="49"/>
      <c r="P927" s="49"/>
      <c r="Q927" s="49"/>
      <c r="R927" s="49"/>
      <c r="S927" s="49"/>
      <c r="T927" s="49"/>
      <c r="U927" s="49"/>
      <c r="V927" s="49"/>
      <c r="W927" s="49"/>
      <c r="X927" s="49"/>
      <c r="Y927" s="49"/>
      <c r="Z927" s="49"/>
    </row>
    <row r="928">
      <c r="A928" s="49"/>
      <c r="B928" s="49" t="str">
        <f>IFERROR(__xludf.DUMMYFUNCTION("""COMPUTED_VALUE"""),"")</f>
        <v/>
      </c>
      <c r="C928" s="49" t="str">
        <f>IFERROR(__xludf.DUMMYFUNCTION("""COMPUTED_VALUE"""),"")</f>
        <v/>
      </c>
      <c r="D928" s="49" t="str">
        <f>IFERROR(__xludf.DUMMYFUNCTION("""COMPUTED_VALUE"""),"")</f>
        <v/>
      </c>
      <c r="E928" s="49" t="str">
        <f>IFERROR(__xludf.DUMMYFUNCTION("""COMPUTED_VALUE"""),"")</f>
        <v/>
      </c>
      <c r="F928" s="49" t="str">
        <f>IFERROR(__xludf.DUMMYFUNCTION("""COMPUTED_VALUE"""),"")</f>
        <v/>
      </c>
      <c r="G928" s="49" t="str">
        <f>IFERROR(__xludf.DUMMYFUNCTION("""COMPUTED_VALUE"""),"")</f>
        <v/>
      </c>
      <c r="H928" s="49"/>
      <c r="I928" s="49"/>
      <c r="J928" s="49"/>
      <c r="K928" s="49"/>
      <c r="L928" s="49"/>
      <c r="M928" s="49"/>
      <c r="N928" s="49"/>
      <c r="O928" s="49"/>
      <c r="P928" s="49"/>
      <c r="Q928" s="49"/>
      <c r="R928" s="49"/>
      <c r="S928" s="49"/>
      <c r="T928" s="49"/>
      <c r="U928" s="49"/>
      <c r="V928" s="49"/>
      <c r="W928" s="49"/>
      <c r="X928" s="49"/>
      <c r="Y928" s="49"/>
      <c r="Z928" s="49"/>
    </row>
    <row r="929">
      <c r="A929" s="49"/>
      <c r="B929" s="49" t="str">
        <f>IFERROR(__xludf.DUMMYFUNCTION("""COMPUTED_VALUE"""),"")</f>
        <v/>
      </c>
      <c r="C929" s="49" t="str">
        <f>IFERROR(__xludf.DUMMYFUNCTION("""COMPUTED_VALUE"""),"")</f>
        <v/>
      </c>
      <c r="D929" s="49" t="str">
        <f>IFERROR(__xludf.DUMMYFUNCTION("""COMPUTED_VALUE"""),"")</f>
        <v/>
      </c>
      <c r="E929" s="49" t="str">
        <f>IFERROR(__xludf.DUMMYFUNCTION("""COMPUTED_VALUE"""),"")</f>
        <v/>
      </c>
      <c r="F929" s="49" t="str">
        <f>IFERROR(__xludf.DUMMYFUNCTION("""COMPUTED_VALUE"""),"")</f>
        <v/>
      </c>
      <c r="G929" s="49" t="str">
        <f>IFERROR(__xludf.DUMMYFUNCTION("""COMPUTED_VALUE"""),"")</f>
        <v/>
      </c>
      <c r="H929" s="49"/>
      <c r="I929" s="49"/>
      <c r="J929" s="49"/>
      <c r="K929" s="49"/>
      <c r="L929" s="49"/>
      <c r="M929" s="49"/>
      <c r="N929" s="49"/>
      <c r="O929" s="49"/>
      <c r="P929" s="49"/>
      <c r="Q929" s="49"/>
      <c r="R929" s="49"/>
      <c r="S929" s="49"/>
      <c r="T929" s="49"/>
      <c r="U929" s="49"/>
      <c r="V929" s="49"/>
      <c r="W929" s="49"/>
      <c r="X929" s="49"/>
      <c r="Y929" s="49"/>
      <c r="Z929" s="49"/>
    </row>
    <row r="930">
      <c r="A930" s="49"/>
      <c r="B930" s="49" t="str">
        <f>IFERROR(__xludf.DUMMYFUNCTION("""COMPUTED_VALUE"""),"")</f>
        <v/>
      </c>
      <c r="C930" s="49" t="str">
        <f>IFERROR(__xludf.DUMMYFUNCTION("""COMPUTED_VALUE"""),"")</f>
        <v/>
      </c>
      <c r="D930" s="49" t="str">
        <f>IFERROR(__xludf.DUMMYFUNCTION("""COMPUTED_VALUE"""),"")</f>
        <v/>
      </c>
      <c r="E930" s="49" t="str">
        <f>IFERROR(__xludf.DUMMYFUNCTION("""COMPUTED_VALUE"""),"")</f>
        <v/>
      </c>
      <c r="F930" s="49" t="str">
        <f>IFERROR(__xludf.DUMMYFUNCTION("""COMPUTED_VALUE"""),"")</f>
        <v/>
      </c>
      <c r="G930" s="49" t="str">
        <f>IFERROR(__xludf.DUMMYFUNCTION("""COMPUTED_VALUE"""),"")</f>
        <v/>
      </c>
      <c r="H930" s="49"/>
      <c r="I930" s="49"/>
      <c r="J930" s="49"/>
      <c r="K930" s="49"/>
      <c r="L930" s="49"/>
      <c r="M930" s="49"/>
      <c r="N930" s="49"/>
      <c r="O930" s="49"/>
      <c r="P930" s="49"/>
      <c r="Q930" s="49"/>
      <c r="R930" s="49"/>
      <c r="S930" s="49"/>
      <c r="T930" s="49"/>
      <c r="U930" s="49"/>
      <c r="V930" s="49"/>
      <c r="W930" s="49"/>
      <c r="X930" s="49"/>
      <c r="Y930" s="49"/>
      <c r="Z930" s="49"/>
    </row>
    <row r="931">
      <c r="A931" s="49"/>
      <c r="B931" s="49" t="str">
        <f>IFERROR(__xludf.DUMMYFUNCTION("""COMPUTED_VALUE"""),"")</f>
        <v/>
      </c>
      <c r="C931" s="49" t="str">
        <f>IFERROR(__xludf.DUMMYFUNCTION("""COMPUTED_VALUE"""),"")</f>
        <v/>
      </c>
      <c r="D931" s="49" t="str">
        <f>IFERROR(__xludf.DUMMYFUNCTION("""COMPUTED_VALUE"""),"")</f>
        <v/>
      </c>
      <c r="E931" s="49" t="str">
        <f>IFERROR(__xludf.DUMMYFUNCTION("""COMPUTED_VALUE"""),"")</f>
        <v/>
      </c>
      <c r="F931" s="49" t="str">
        <f>IFERROR(__xludf.DUMMYFUNCTION("""COMPUTED_VALUE"""),"")</f>
        <v/>
      </c>
      <c r="G931" s="49" t="str">
        <f>IFERROR(__xludf.DUMMYFUNCTION("""COMPUTED_VALUE"""),"")</f>
        <v/>
      </c>
      <c r="H931" s="49"/>
      <c r="I931" s="49"/>
      <c r="J931" s="49"/>
      <c r="K931" s="49"/>
      <c r="L931" s="49"/>
      <c r="M931" s="49"/>
      <c r="N931" s="49"/>
      <c r="O931" s="49"/>
      <c r="P931" s="49"/>
      <c r="Q931" s="49"/>
      <c r="R931" s="49"/>
      <c r="S931" s="49"/>
      <c r="T931" s="49"/>
      <c r="U931" s="49"/>
      <c r="V931" s="49"/>
      <c r="W931" s="49"/>
      <c r="X931" s="49"/>
      <c r="Y931" s="49"/>
      <c r="Z931" s="49"/>
    </row>
    <row r="932">
      <c r="A932" s="49"/>
      <c r="B932" s="49" t="str">
        <f>IFERROR(__xludf.DUMMYFUNCTION("""COMPUTED_VALUE"""),"")</f>
        <v/>
      </c>
      <c r="C932" s="49" t="str">
        <f>IFERROR(__xludf.DUMMYFUNCTION("""COMPUTED_VALUE"""),"")</f>
        <v/>
      </c>
      <c r="D932" s="49" t="str">
        <f>IFERROR(__xludf.DUMMYFUNCTION("""COMPUTED_VALUE"""),"")</f>
        <v/>
      </c>
      <c r="E932" s="49" t="str">
        <f>IFERROR(__xludf.DUMMYFUNCTION("""COMPUTED_VALUE"""),"")</f>
        <v/>
      </c>
      <c r="F932" s="49" t="str">
        <f>IFERROR(__xludf.DUMMYFUNCTION("""COMPUTED_VALUE"""),"")</f>
        <v/>
      </c>
      <c r="G932" s="49" t="str">
        <f>IFERROR(__xludf.DUMMYFUNCTION("""COMPUTED_VALUE"""),"")</f>
        <v/>
      </c>
      <c r="H932" s="49"/>
      <c r="I932" s="49"/>
      <c r="J932" s="49"/>
      <c r="K932" s="49"/>
      <c r="L932" s="49"/>
      <c r="M932" s="49"/>
      <c r="N932" s="49"/>
      <c r="O932" s="49"/>
      <c r="P932" s="49"/>
      <c r="Q932" s="49"/>
      <c r="R932" s="49"/>
      <c r="S932" s="49"/>
      <c r="T932" s="49"/>
      <c r="U932" s="49"/>
      <c r="V932" s="49"/>
      <c r="W932" s="49"/>
      <c r="X932" s="49"/>
      <c r="Y932" s="49"/>
      <c r="Z932" s="49"/>
    </row>
    <row r="933">
      <c r="A933" s="49"/>
      <c r="B933" s="49" t="str">
        <f>IFERROR(__xludf.DUMMYFUNCTION("""COMPUTED_VALUE"""),"")</f>
        <v/>
      </c>
      <c r="C933" s="49" t="str">
        <f>IFERROR(__xludf.DUMMYFUNCTION("""COMPUTED_VALUE"""),"")</f>
        <v/>
      </c>
      <c r="D933" s="49" t="str">
        <f>IFERROR(__xludf.DUMMYFUNCTION("""COMPUTED_VALUE"""),"")</f>
        <v/>
      </c>
      <c r="E933" s="49" t="str">
        <f>IFERROR(__xludf.DUMMYFUNCTION("""COMPUTED_VALUE"""),"")</f>
        <v/>
      </c>
      <c r="F933" s="49" t="str">
        <f>IFERROR(__xludf.DUMMYFUNCTION("""COMPUTED_VALUE"""),"")</f>
        <v/>
      </c>
      <c r="G933" s="49" t="str">
        <f>IFERROR(__xludf.DUMMYFUNCTION("""COMPUTED_VALUE"""),"")</f>
        <v/>
      </c>
      <c r="H933" s="49"/>
      <c r="I933" s="49"/>
      <c r="J933" s="49"/>
      <c r="K933" s="49"/>
      <c r="L933" s="49"/>
      <c r="M933" s="49"/>
      <c r="N933" s="49"/>
      <c r="O933" s="49"/>
      <c r="P933" s="49"/>
      <c r="Q933" s="49"/>
      <c r="R933" s="49"/>
      <c r="S933" s="49"/>
      <c r="T933" s="49"/>
      <c r="U933" s="49"/>
      <c r="V933" s="49"/>
      <c r="W933" s="49"/>
      <c r="X933" s="49"/>
      <c r="Y933" s="49"/>
      <c r="Z933" s="49"/>
    </row>
    <row r="934">
      <c r="A934" s="49"/>
      <c r="B934" s="49" t="str">
        <f>IFERROR(__xludf.DUMMYFUNCTION("""COMPUTED_VALUE"""),"")</f>
        <v/>
      </c>
      <c r="C934" s="49" t="str">
        <f>IFERROR(__xludf.DUMMYFUNCTION("""COMPUTED_VALUE"""),"")</f>
        <v/>
      </c>
      <c r="D934" s="49" t="str">
        <f>IFERROR(__xludf.DUMMYFUNCTION("""COMPUTED_VALUE"""),"")</f>
        <v/>
      </c>
      <c r="E934" s="49" t="str">
        <f>IFERROR(__xludf.DUMMYFUNCTION("""COMPUTED_VALUE"""),"")</f>
        <v/>
      </c>
      <c r="F934" s="49" t="str">
        <f>IFERROR(__xludf.DUMMYFUNCTION("""COMPUTED_VALUE"""),"")</f>
        <v/>
      </c>
      <c r="G934" s="49" t="str">
        <f>IFERROR(__xludf.DUMMYFUNCTION("""COMPUTED_VALUE"""),"")</f>
        <v/>
      </c>
      <c r="H934" s="49"/>
      <c r="I934" s="49"/>
      <c r="J934" s="49"/>
      <c r="K934" s="49"/>
      <c r="L934" s="49"/>
      <c r="M934" s="49"/>
      <c r="N934" s="49"/>
      <c r="O934" s="49"/>
      <c r="P934" s="49"/>
      <c r="Q934" s="49"/>
      <c r="R934" s="49"/>
      <c r="S934" s="49"/>
      <c r="T934" s="49"/>
      <c r="U934" s="49"/>
      <c r="V934" s="49"/>
      <c r="W934" s="49"/>
      <c r="X934" s="49"/>
      <c r="Y934" s="49"/>
      <c r="Z934" s="49"/>
    </row>
    <row r="935">
      <c r="A935" s="49"/>
      <c r="B935" s="49" t="str">
        <f>IFERROR(__xludf.DUMMYFUNCTION("""COMPUTED_VALUE"""),"")</f>
        <v/>
      </c>
      <c r="C935" s="49" t="str">
        <f>IFERROR(__xludf.DUMMYFUNCTION("""COMPUTED_VALUE"""),"")</f>
        <v/>
      </c>
      <c r="D935" s="49" t="str">
        <f>IFERROR(__xludf.DUMMYFUNCTION("""COMPUTED_VALUE"""),"")</f>
        <v/>
      </c>
      <c r="E935" s="49" t="str">
        <f>IFERROR(__xludf.DUMMYFUNCTION("""COMPUTED_VALUE"""),"")</f>
        <v/>
      </c>
      <c r="F935" s="49" t="str">
        <f>IFERROR(__xludf.DUMMYFUNCTION("""COMPUTED_VALUE"""),"")</f>
        <v/>
      </c>
      <c r="G935" s="49" t="str">
        <f>IFERROR(__xludf.DUMMYFUNCTION("""COMPUTED_VALUE"""),"")</f>
        <v/>
      </c>
      <c r="H935" s="49"/>
      <c r="I935" s="49"/>
      <c r="J935" s="49"/>
      <c r="K935" s="49"/>
      <c r="L935" s="49"/>
      <c r="M935" s="49"/>
      <c r="N935" s="49"/>
      <c r="O935" s="49"/>
      <c r="P935" s="49"/>
      <c r="Q935" s="49"/>
      <c r="R935" s="49"/>
      <c r="S935" s="49"/>
      <c r="T935" s="49"/>
      <c r="U935" s="49"/>
      <c r="V935" s="49"/>
      <c r="W935" s="49"/>
      <c r="X935" s="49"/>
      <c r="Y935" s="49"/>
      <c r="Z935" s="49"/>
    </row>
    <row r="936">
      <c r="A936" s="49"/>
      <c r="B936" s="49" t="str">
        <f>IFERROR(__xludf.DUMMYFUNCTION("""COMPUTED_VALUE"""),"")</f>
        <v/>
      </c>
      <c r="C936" s="49" t="str">
        <f>IFERROR(__xludf.DUMMYFUNCTION("""COMPUTED_VALUE"""),"")</f>
        <v/>
      </c>
      <c r="D936" s="49" t="str">
        <f>IFERROR(__xludf.DUMMYFUNCTION("""COMPUTED_VALUE"""),"")</f>
        <v/>
      </c>
      <c r="E936" s="49" t="str">
        <f>IFERROR(__xludf.DUMMYFUNCTION("""COMPUTED_VALUE"""),"")</f>
        <v/>
      </c>
      <c r="F936" s="49" t="str">
        <f>IFERROR(__xludf.DUMMYFUNCTION("""COMPUTED_VALUE"""),"")</f>
        <v/>
      </c>
      <c r="G936" s="49" t="str">
        <f>IFERROR(__xludf.DUMMYFUNCTION("""COMPUTED_VALUE"""),"")</f>
        <v/>
      </c>
      <c r="H936" s="49"/>
      <c r="I936" s="49"/>
      <c r="J936" s="49"/>
      <c r="K936" s="49"/>
      <c r="L936" s="49"/>
      <c r="M936" s="49"/>
      <c r="N936" s="49"/>
      <c r="O936" s="49"/>
      <c r="P936" s="49"/>
      <c r="Q936" s="49"/>
      <c r="R936" s="49"/>
      <c r="S936" s="49"/>
      <c r="T936" s="49"/>
      <c r="U936" s="49"/>
      <c r="V936" s="49"/>
      <c r="W936" s="49"/>
      <c r="X936" s="49"/>
      <c r="Y936" s="49"/>
      <c r="Z936" s="49"/>
    </row>
    <row r="937">
      <c r="A937" s="49"/>
      <c r="B937" s="49" t="str">
        <f>IFERROR(__xludf.DUMMYFUNCTION("""COMPUTED_VALUE"""),"")</f>
        <v/>
      </c>
      <c r="C937" s="49" t="str">
        <f>IFERROR(__xludf.DUMMYFUNCTION("""COMPUTED_VALUE"""),"")</f>
        <v/>
      </c>
      <c r="D937" s="49" t="str">
        <f>IFERROR(__xludf.DUMMYFUNCTION("""COMPUTED_VALUE"""),"")</f>
        <v/>
      </c>
      <c r="E937" s="49" t="str">
        <f>IFERROR(__xludf.DUMMYFUNCTION("""COMPUTED_VALUE"""),"")</f>
        <v/>
      </c>
      <c r="F937" s="49" t="str">
        <f>IFERROR(__xludf.DUMMYFUNCTION("""COMPUTED_VALUE"""),"")</f>
        <v/>
      </c>
      <c r="G937" s="49" t="str">
        <f>IFERROR(__xludf.DUMMYFUNCTION("""COMPUTED_VALUE"""),"")</f>
        <v/>
      </c>
      <c r="H937" s="49"/>
      <c r="I937" s="49"/>
      <c r="J937" s="49"/>
      <c r="K937" s="49"/>
      <c r="L937" s="49"/>
      <c r="M937" s="49"/>
      <c r="N937" s="49"/>
      <c r="O937" s="49"/>
      <c r="P937" s="49"/>
      <c r="Q937" s="49"/>
      <c r="R937" s="49"/>
      <c r="S937" s="49"/>
      <c r="T937" s="49"/>
      <c r="U937" s="49"/>
      <c r="V937" s="49"/>
      <c r="W937" s="49"/>
      <c r="X937" s="49"/>
      <c r="Y937" s="49"/>
      <c r="Z937" s="49"/>
    </row>
    <row r="938">
      <c r="A938" s="49"/>
      <c r="B938" s="49" t="str">
        <f>IFERROR(__xludf.DUMMYFUNCTION("""COMPUTED_VALUE"""),"")</f>
        <v/>
      </c>
      <c r="C938" s="49" t="str">
        <f>IFERROR(__xludf.DUMMYFUNCTION("""COMPUTED_VALUE"""),"")</f>
        <v/>
      </c>
      <c r="D938" s="49" t="str">
        <f>IFERROR(__xludf.DUMMYFUNCTION("""COMPUTED_VALUE"""),"")</f>
        <v/>
      </c>
      <c r="E938" s="49" t="str">
        <f>IFERROR(__xludf.DUMMYFUNCTION("""COMPUTED_VALUE"""),"")</f>
        <v/>
      </c>
      <c r="F938" s="49" t="str">
        <f>IFERROR(__xludf.DUMMYFUNCTION("""COMPUTED_VALUE"""),"")</f>
        <v/>
      </c>
      <c r="G938" s="49" t="str">
        <f>IFERROR(__xludf.DUMMYFUNCTION("""COMPUTED_VALUE"""),"")</f>
        <v/>
      </c>
      <c r="H938" s="49"/>
      <c r="I938" s="49"/>
      <c r="J938" s="49"/>
      <c r="K938" s="49"/>
      <c r="L938" s="49"/>
      <c r="M938" s="49"/>
      <c r="N938" s="49"/>
      <c r="O938" s="49"/>
      <c r="P938" s="49"/>
      <c r="Q938" s="49"/>
      <c r="R938" s="49"/>
      <c r="S938" s="49"/>
      <c r="T938" s="49"/>
      <c r="U938" s="49"/>
      <c r="V938" s="49"/>
      <c r="W938" s="49"/>
      <c r="X938" s="49"/>
      <c r="Y938" s="49"/>
      <c r="Z938" s="49"/>
    </row>
    <row r="939">
      <c r="A939" s="49"/>
      <c r="B939" s="49" t="str">
        <f>IFERROR(__xludf.DUMMYFUNCTION("""COMPUTED_VALUE"""),"")</f>
        <v/>
      </c>
      <c r="C939" s="49" t="str">
        <f>IFERROR(__xludf.DUMMYFUNCTION("""COMPUTED_VALUE"""),"")</f>
        <v/>
      </c>
      <c r="D939" s="49" t="str">
        <f>IFERROR(__xludf.DUMMYFUNCTION("""COMPUTED_VALUE"""),"")</f>
        <v/>
      </c>
      <c r="E939" s="49" t="str">
        <f>IFERROR(__xludf.DUMMYFUNCTION("""COMPUTED_VALUE"""),"")</f>
        <v/>
      </c>
      <c r="F939" s="49" t="str">
        <f>IFERROR(__xludf.DUMMYFUNCTION("""COMPUTED_VALUE"""),"")</f>
        <v/>
      </c>
      <c r="G939" s="49" t="str">
        <f>IFERROR(__xludf.DUMMYFUNCTION("""COMPUTED_VALUE"""),"")</f>
        <v/>
      </c>
      <c r="H939" s="49"/>
      <c r="I939" s="49"/>
      <c r="J939" s="49"/>
      <c r="K939" s="49"/>
      <c r="L939" s="49"/>
      <c r="M939" s="49"/>
      <c r="N939" s="49"/>
      <c r="O939" s="49"/>
      <c r="P939" s="49"/>
      <c r="Q939" s="49"/>
      <c r="R939" s="49"/>
      <c r="S939" s="49"/>
      <c r="T939" s="49"/>
      <c r="U939" s="49"/>
      <c r="V939" s="49"/>
      <c r="W939" s="49"/>
      <c r="X939" s="49"/>
      <c r="Y939" s="49"/>
      <c r="Z939" s="49"/>
    </row>
    <row r="940">
      <c r="A940" s="49"/>
      <c r="B940" s="49" t="str">
        <f>IFERROR(__xludf.DUMMYFUNCTION("""COMPUTED_VALUE"""),"")</f>
        <v/>
      </c>
      <c r="C940" s="49" t="str">
        <f>IFERROR(__xludf.DUMMYFUNCTION("""COMPUTED_VALUE"""),"")</f>
        <v/>
      </c>
      <c r="D940" s="49" t="str">
        <f>IFERROR(__xludf.DUMMYFUNCTION("""COMPUTED_VALUE"""),"")</f>
        <v/>
      </c>
      <c r="E940" s="49" t="str">
        <f>IFERROR(__xludf.DUMMYFUNCTION("""COMPUTED_VALUE"""),"")</f>
        <v/>
      </c>
      <c r="F940" s="49" t="str">
        <f>IFERROR(__xludf.DUMMYFUNCTION("""COMPUTED_VALUE"""),"")</f>
        <v/>
      </c>
      <c r="G940" s="49" t="str">
        <f>IFERROR(__xludf.DUMMYFUNCTION("""COMPUTED_VALUE"""),"")</f>
        <v/>
      </c>
      <c r="H940" s="49"/>
      <c r="I940" s="49"/>
      <c r="J940" s="49"/>
      <c r="K940" s="49"/>
      <c r="L940" s="49"/>
      <c r="M940" s="49"/>
      <c r="N940" s="49"/>
      <c r="O940" s="49"/>
      <c r="P940" s="49"/>
      <c r="Q940" s="49"/>
      <c r="R940" s="49"/>
      <c r="S940" s="49"/>
      <c r="T940" s="49"/>
      <c r="U940" s="49"/>
      <c r="V940" s="49"/>
      <c r="W940" s="49"/>
      <c r="X940" s="49"/>
      <c r="Y940" s="49"/>
      <c r="Z940" s="49"/>
    </row>
    <row r="941">
      <c r="A941" s="49"/>
      <c r="B941" s="49" t="str">
        <f>IFERROR(__xludf.DUMMYFUNCTION("""COMPUTED_VALUE"""),"")</f>
        <v/>
      </c>
      <c r="C941" s="49" t="str">
        <f>IFERROR(__xludf.DUMMYFUNCTION("""COMPUTED_VALUE"""),"")</f>
        <v/>
      </c>
      <c r="D941" s="49" t="str">
        <f>IFERROR(__xludf.DUMMYFUNCTION("""COMPUTED_VALUE"""),"")</f>
        <v/>
      </c>
      <c r="E941" s="49" t="str">
        <f>IFERROR(__xludf.DUMMYFUNCTION("""COMPUTED_VALUE"""),"")</f>
        <v/>
      </c>
      <c r="F941" s="49" t="str">
        <f>IFERROR(__xludf.DUMMYFUNCTION("""COMPUTED_VALUE"""),"")</f>
        <v/>
      </c>
      <c r="G941" s="49" t="str">
        <f>IFERROR(__xludf.DUMMYFUNCTION("""COMPUTED_VALUE"""),"")</f>
        <v/>
      </c>
      <c r="H941" s="49"/>
      <c r="I941" s="49"/>
      <c r="J941" s="49"/>
      <c r="K941" s="49"/>
      <c r="L941" s="49"/>
      <c r="M941" s="49"/>
      <c r="N941" s="49"/>
      <c r="O941" s="49"/>
      <c r="P941" s="49"/>
      <c r="Q941" s="49"/>
      <c r="R941" s="49"/>
      <c r="S941" s="49"/>
      <c r="T941" s="49"/>
      <c r="U941" s="49"/>
      <c r="V941" s="49"/>
      <c r="W941" s="49"/>
      <c r="X941" s="49"/>
      <c r="Y941" s="49"/>
      <c r="Z941" s="49"/>
    </row>
    <row r="942">
      <c r="A942" s="49"/>
      <c r="B942" s="49" t="str">
        <f>IFERROR(__xludf.DUMMYFUNCTION("""COMPUTED_VALUE"""),"")</f>
        <v/>
      </c>
      <c r="C942" s="49" t="str">
        <f>IFERROR(__xludf.DUMMYFUNCTION("""COMPUTED_VALUE"""),"")</f>
        <v/>
      </c>
      <c r="D942" s="49" t="str">
        <f>IFERROR(__xludf.DUMMYFUNCTION("""COMPUTED_VALUE"""),"")</f>
        <v/>
      </c>
      <c r="E942" s="49" t="str">
        <f>IFERROR(__xludf.DUMMYFUNCTION("""COMPUTED_VALUE"""),"")</f>
        <v/>
      </c>
      <c r="F942" s="49" t="str">
        <f>IFERROR(__xludf.DUMMYFUNCTION("""COMPUTED_VALUE"""),"")</f>
        <v/>
      </c>
      <c r="G942" s="49" t="str">
        <f>IFERROR(__xludf.DUMMYFUNCTION("""COMPUTED_VALUE"""),"")</f>
        <v/>
      </c>
      <c r="H942" s="49"/>
      <c r="I942" s="49"/>
      <c r="J942" s="49"/>
      <c r="K942" s="49"/>
      <c r="L942" s="49"/>
      <c r="M942" s="49"/>
      <c r="N942" s="49"/>
      <c r="O942" s="49"/>
      <c r="P942" s="49"/>
      <c r="Q942" s="49"/>
      <c r="R942" s="49"/>
      <c r="S942" s="49"/>
      <c r="T942" s="49"/>
      <c r="U942" s="49"/>
      <c r="V942" s="49"/>
      <c r="W942" s="49"/>
      <c r="X942" s="49"/>
      <c r="Y942" s="49"/>
      <c r="Z942" s="49"/>
    </row>
    <row r="943">
      <c r="A943" s="49"/>
      <c r="B943" s="49" t="str">
        <f>IFERROR(__xludf.DUMMYFUNCTION("""COMPUTED_VALUE"""),"")</f>
        <v/>
      </c>
      <c r="C943" s="49" t="str">
        <f>IFERROR(__xludf.DUMMYFUNCTION("""COMPUTED_VALUE"""),"")</f>
        <v/>
      </c>
      <c r="D943" s="49" t="str">
        <f>IFERROR(__xludf.DUMMYFUNCTION("""COMPUTED_VALUE"""),"")</f>
        <v/>
      </c>
      <c r="E943" s="49" t="str">
        <f>IFERROR(__xludf.DUMMYFUNCTION("""COMPUTED_VALUE"""),"")</f>
        <v/>
      </c>
      <c r="F943" s="49" t="str">
        <f>IFERROR(__xludf.DUMMYFUNCTION("""COMPUTED_VALUE"""),"")</f>
        <v/>
      </c>
      <c r="G943" s="49" t="str">
        <f>IFERROR(__xludf.DUMMYFUNCTION("""COMPUTED_VALUE"""),"")</f>
        <v/>
      </c>
      <c r="H943" s="49"/>
      <c r="I943" s="49"/>
      <c r="J943" s="49"/>
      <c r="K943" s="49"/>
      <c r="L943" s="49"/>
      <c r="M943" s="49"/>
      <c r="N943" s="49"/>
      <c r="O943" s="49"/>
      <c r="P943" s="49"/>
      <c r="Q943" s="49"/>
      <c r="R943" s="49"/>
      <c r="S943" s="49"/>
      <c r="T943" s="49"/>
      <c r="U943" s="49"/>
      <c r="V943" s="49"/>
      <c r="W943" s="49"/>
      <c r="X943" s="49"/>
      <c r="Y943" s="49"/>
      <c r="Z943" s="49"/>
    </row>
    <row r="944">
      <c r="A944" s="49"/>
      <c r="B944" s="49" t="str">
        <f>IFERROR(__xludf.DUMMYFUNCTION("""COMPUTED_VALUE"""),"")</f>
        <v/>
      </c>
      <c r="C944" s="49" t="str">
        <f>IFERROR(__xludf.DUMMYFUNCTION("""COMPUTED_VALUE"""),"")</f>
        <v/>
      </c>
      <c r="D944" s="49" t="str">
        <f>IFERROR(__xludf.DUMMYFUNCTION("""COMPUTED_VALUE"""),"")</f>
        <v/>
      </c>
      <c r="E944" s="49" t="str">
        <f>IFERROR(__xludf.DUMMYFUNCTION("""COMPUTED_VALUE"""),"")</f>
        <v/>
      </c>
      <c r="F944" s="49" t="str">
        <f>IFERROR(__xludf.DUMMYFUNCTION("""COMPUTED_VALUE"""),"")</f>
        <v/>
      </c>
      <c r="G944" s="49" t="str">
        <f>IFERROR(__xludf.DUMMYFUNCTION("""COMPUTED_VALUE"""),"")</f>
        <v/>
      </c>
      <c r="H944" s="49"/>
      <c r="I944" s="49"/>
      <c r="J944" s="49"/>
      <c r="K944" s="49"/>
      <c r="L944" s="49"/>
      <c r="M944" s="49"/>
      <c r="N944" s="49"/>
      <c r="O944" s="49"/>
      <c r="P944" s="49"/>
      <c r="Q944" s="49"/>
      <c r="R944" s="49"/>
      <c r="S944" s="49"/>
      <c r="T944" s="49"/>
      <c r="U944" s="49"/>
      <c r="V944" s="49"/>
      <c r="W944" s="49"/>
      <c r="X944" s="49"/>
      <c r="Y944" s="49"/>
      <c r="Z944" s="49"/>
    </row>
    <row r="945">
      <c r="A945" s="49"/>
      <c r="B945" s="49" t="str">
        <f>IFERROR(__xludf.DUMMYFUNCTION("""COMPUTED_VALUE"""),"")</f>
        <v/>
      </c>
      <c r="C945" s="49" t="str">
        <f>IFERROR(__xludf.DUMMYFUNCTION("""COMPUTED_VALUE"""),"")</f>
        <v/>
      </c>
      <c r="D945" s="49" t="str">
        <f>IFERROR(__xludf.DUMMYFUNCTION("""COMPUTED_VALUE"""),"")</f>
        <v/>
      </c>
      <c r="E945" s="49" t="str">
        <f>IFERROR(__xludf.DUMMYFUNCTION("""COMPUTED_VALUE"""),"")</f>
        <v/>
      </c>
      <c r="F945" s="49" t="str">
        <f>IFERROR(__xludf.DUMMYFUNCTION("""COMPUTED_VALUE"""),"")</f>
        <v/>
      </c>
      <c r="G945" s="49" t="str">
        <f>IFERROR(__xludf.DUMMYFUNCTION("""COMPUTED_VALUE"""),"")</f>
        <v/>
      </c>
      <c r="H945" s="49"/>
      <c r="I945" s="49"/>
      <c r="J945" s="49"/>
      <c r="K945" s="49"/>
      <c r="L945" s="49"/>
      <c r="M945" s="49"/>
      <c r="N945" s="49"/>
      <c r="O945" s="49"/>
      <c r="P945" s="49"/>
      <c r="Q945" s="49"/>
      <c r="R945" s="49"/>
      <c r="S945" s="49"/>
      <c r="T945" s="49"/>
      <c r="U945" s="49"/>
      <c r="V945" s="49"/>
      <c r="W945" s="49"/>
      <c r="X945" s="49"/>
      <c r="Y945" s="49"/>
      <c r="Z945" s="49"/>
    </row>
    <row r="946">
      <c r="A946" s="49"/>
      <c r="B946" s="49" t="str">
        <f>IFERROR(__xludf.DUMMYFUNCTION("""COMPUTED_VALUE"""),"")</f>
        <v/>
      </c>
      <c r="C946" s="49" t="str">
        <f>IFERROR(__xludf.DUMMYFUNCTION("""COMPUTED_VALUE"""),"")</f>
        <v/>
      </c>
      <c r="D946" s="49" t="str">
        <f>IFERROR(__xludf.DUMMYFUNCTION("""COMPUTED_VALUE"""),"")</f>
        <v/>
      </c>
      <c r="E946" s="49" t="str">
        <f>IFERROR(__xludf.DUMMYFUNCTION("""COMPUTED_VALUE"""),"")</f>
        <v/>
      </c>
      <c r="F946" s="49" t="str">
        <f>IFERROR(__xludf.DUMMYFUNCTION("""COMPUTED_VALUE"""),"")</f>
        <v/>
      </c>
      <c r="G946" s="49" t="str">
        <f>IFERROR(__xludf.DUMMYFUNCTION("""COMPUTED_VALUE"""),"")</f>
        <v/>
      </c>
      <c r="H946" s="49"/>
      <c r="I946" s="49"/>
      <c r="J946" s="49"/>
      <c r="K946" s="49"/>
      <c r="L946" s="49"/>
      <c r="M946" s="49"/>
      <c r="N946" s="49"/>
      <c r="O946" s="49"/>
      <c r="P946" s="49"/>
      <c r="Q946" s="49"/>
      <c r="R946" s="49"/>
      <c r="S946" s="49"/>
      <c r="T946" s="49"/>
      <c r="U946" s="49"/>
      <c r="V946" s="49"/>
      <c r="W946" s="49"/>
      <c r="X946" s="49"/>
      <c r="Y946" s="49"/>
      <c r="Z946" s="49"/>
    </row>
    <row r="947">
      <c r="A947" s="49"/>
      <c r="B947" s="49" t="str">
        <f>IFERROR(__xludf.DUMMYFUNCTION("""COMPUTED_VALUE"""),"")</f>
        <v/>
      </c>
      <c r="C947" s="49" t="str">
        <f>IFERROR(__xludf.DUMMYFUNCTION("""COMPUTED_VALUE"""),"")</f>
        <v/>
      </c>
      <c r="D947" s="49" t="str">
        <f>IFERROR(__xludf.DUMMYFUNCTION("""COMPUTED_VALUE"""),"")</f>
        <v/>
      </c>
      <c r="E947" s="49" t="str">
        <f>IFERROR(__xludf.DUMMYFUNCTION("""COMPUTED_VALUE"""),"")</f>
        <v/>
      </c>
      <c r="F947" s="49" t="str">
        <f>IFERROR(__xludf.DUMMYFUNCTION("""COMPUTED_VALUE"""),"")</f>
        <v/>
      </c>
      <c r="G947" s="49" t="str">
        <f>IFERROR(__xludf.DUMMYFUNCTION("""COMPUTED_VALUE"""),"")</f>
        <v/>
      </c>
      <c r="H947" s="49"/>
      <c r="I947" s="49"/>
      <c r="J947" s="49"/>
      <c r="K947" s="49"/>
      <c r="L947" s="49"/>
      <c r="M947" s="49"/>
      <c r="N947" s="49"/>
      <c r="O947" s="49"/>
      <c r="P947" s="49"/>
      <c r="Q947" s="49"/>
      <c r="R947" s="49"/>
      <c r="S947" s="49"/>
      <c r="T947" s="49"/>
      <c r="U947" s="49"/>
      <c r="V947" s="49"/>
      <c r="W947" s="49"/>
      <c r="X947" s="49"/>
      <c r="Y947" s="49"/>
      <c r="Z947" s="49"/>
    </row>
    <row r="948">
      <c r="A948" s="49"/>
      <c r="B948" s="49" t="str">
        <f>IFERROR(__xludf.DUMMYFUNCTION("""COMPUTED_VALUE"""),"")</f>
        <v/>
      </c>
      <c r="C948" s="49" t="str">
        <f>IFERROR(__xludf.DUMMYFUNCTION("""COMPUTED_VALUE"""),"")</f>
        <v/>
      </c>
      <c r="D948" s="49" t="str">
        <f>IFERROR(__xludf.DUMMYFUNCTION("""COMPUTED_VALUE"""),"")</f>
        <v/>
      </c>
      <c r="E948" s="49" t="str">
        <f>IFERROR(__xludf.DUMMYFUNCTION("""COMPUTED_VALUE"""),"")</f>
        <v/>
      </c>
      <c r="F948" s="49" t="str">
        <f>IFERROR(__xludf.DUMMYFUNCTION("""COMPUTED_VALUE"""),"")</f>
        <v/>
      </c>
      <c r="G948" s="49" t="str">
        <f>IFERROR(__xludf.DUMMYFUNCTION("""COMPUTED_VALUE"""),"")</f>
        <v/>
      </c>
      <c r="H948" s="49"/>
      <c r="I948" s="49"/>
      <c r="J948" s="49"/>
      <c r="K948" s="49"/>
      <c r="L948" s="49"/>
      <c r="M948" s="49"/>
      <c r="N948" s="49"/>
      <c r="O948" s="49"/>
      <c r="P948" s="49"/>
      <c r="Q948" s="49"/>
      <c r="R948" s="49"/>
      <c r="S948" s="49"/>
      <c r="T948" s="49"/>
      <c r="U948" s="49"/>
      <c r="V948" s="49"/>
      <c r="W948" s="49"/>
      <c r="X948" s="49"/>
      <c r="Y948" s="49"/>
      <c r="Z948" s="49"/>
    </row>
    <row r="949">
      <c r="A949" s="49"/>
      <c r="B949" s="49" t="str">
        <f>IFERROR(__xludf.DUMMYFUNCTION("""COMPUTED_VALUE"""),"")</f>
        <v/>
      </c>
      <c r="C949" s="49" t="str">
        <f>IFERROR(__xludf.DUMMYFUNCTION("""COMPUTED_VALUE"""),"")</f>
        <v/>
      </c>
      <c r="D949" s="49" t="str">
        <f>IFERROR(__xludf.DUMMYFUNCTION("""COMPUTED_VALUE"""),"")</f>
        <v/>
      </c>
      <c r="E949" s="49" t="str">
        <f>IFERROR(__xludf.DUMMYFUNCTION("""COMPUTED_VALUE"""),"")</f>
        <v/>
      </c>
      <c r="F949" s="49" t="str">
        <f>IFERROR(__xludf.DUMMYFUNCTION("""COMPUTED_VALUE"""),"")</f>
        <v/>
      </c>
      <c r="G949" s="49" t="str">
        <f>IFERROR(__xludf.DUMMYFUNCTION("""COMPUTED_VALUE"""),"")</f>
        <v/>
      </c>
      <c r="H949" s="49"/>
      <c r="I949" s="49"/>
      <c r="J949" s="49"/>
      <c r="K949" s="49"/>
      <c r="L949" s="49"/>
      <c r="M949" s="49"/>
      <c r="N949" s="49"/>
      <c r="O949" s="49"/>
      <c r="P949" s="49"/>
      <c r="Q949" s="49"/>
      <c r="R949" s="49"/>
      <c r="S949" s="49"/>
      <c r="T949" s="49"/>
      <c r="U949" s="49"/>
      <c r="V949" s="49"/>
      <c r="W949" s="49"/>
      <c r="X949" s="49"/>
      <c r="Y949" s="49"/>
      <c r="Z949" s="49"/>
    </row>
    <row r="950">
      <c r="A950" s="49"/>
      <c r="B950" s="49" t="str">
        <f>IFERROR(__xludf.DUMMYFUNCTION("""COMPUTED_VALUE"""),"")</f>
        <v/>
      </c>
      <c r="C950" s="49" t="str">
        <f>IFERROR(__xludf.DUMMYFUNCTION("""COMPUTED_VALUE"""),"")</f>
        <v/>
      </c>
      <c r="D950" s="49" t="str">
        <f>IFERROR(__xludf.DUMMYFUNCTION("""COMPUTED_VALUE"""),"")</f>
        <v/>
      </c>
      <c r="E950" s="49" t="str">
        <f>IFERROR(__xludf.DUMMYFUNCTION("""COMPUTED_VALUE"""),"")</f>
        <v/>
      </c>
      <c r="F950" s="49" t="str">
        <f>IFERROR(__xludf.DUMMYFUNCTION("""COMPUTED_VALUE"""),"")</f>
        <v/>
      </c>
      <c r="G950" s="49" t="str">
        <f>IFERROR(__xludf.DUMMYFUNCTION("""COMPUTED_VALUE"""),"")</f>
        <v/>
      </c>
      <c r="H950" s="49"/>
      <c r="I950" s="49"/>
      <c r="J950" s="49"/>
      <c r="K950" s="49"/>
      <c r="L950" s="49"/>
      <c r="M950" s="49"/>
      <c r="N950" s="49"/>
      <c r="O950" s="49"/>
      <c r="P950" s="49"/>
      <c r="Q950" s="49"/>
      <c r="R950" s="49"/>
      <c r="S950" s="49"/>
      <c r="T950" s="49"/>
      <c r="U950" s="49"/>
      <c r="V950" s="49"/>
      <c r="W950" s="49"/>
      <c r="X950" s="49"/>
      <c r="Y950" s="49"/>
      <c r="Z950" s="49"/>
    </row>
    <row r="951">
      <c r="A951" s="49"/>
      <c r="B951" s="49" t="str">
        <f>IFERROR(__xludf.DUMMYFUNCTION("""COMPUTED_VALUE"""),"")</f>
        <v/>
      </c>
      <c r="C951" s="49" t="str">
        <f>IFERROR(__xludf.DUMMYFUNCTION("""COMPUTED_VALUE"""),"")</f>
        <v/>
      </c>
      <c r="D951" s="49" t="str">
        <f>IFERROR(__xludf.DUMMYFUNCTION("""COMPUTED_VALUE"""),"")</f>
        <v/>
      </c>
      <c r="E951" s="49" t="str">
        <f>IFERROR(__xludf.DUMMYFUNCTION("""COMPUTED_VALUE"""),"")</f>
        <v/>
      </c>
      <c r="F951" s="49" t="str">
        <f>IFERROR(__xludf.DUMMYFUNCTION("""COMPUTED_VALUE"""),"")</f>
        <v/>
      </c>
      <c r="G951" s="49" t="str">
        <f>IFERROR(__xludf.DUMMYFUNCTION("""COMPUTED_VALUE"""),"")</f>
        <v/>
      </c>
      <c r="H951" s="49"/>
      <c r="I951" s="49"/>
      <c r="J951" s="49"/>
      <c r="K951" s="49"/>
      <c r="L951" s="49"/>
      <c r="M951" s="49"/>
      <c r="N951" s="49"/>
      <c r="O951" s="49"/>
      <c r="P951" s="49"/>
      <c r="Q951" s="49"/>
      <c r="R951" s="49"/>
      <c r="S951" s="49"/>
      <c r="T951" s="49"/>
      <c r="U951" s="49"/>
      <c r="V951" s="49"/>
      <c r="W951" s="49"/>
      <c r="X951" s="49"/>
      <c r="Y951" s="49"/>
      <c r="Z951" s="49"/>
    </row>
    <row r="952">
      <c r="A952" s="49"/>
      <c r="B952" s="49" t="str">
        <f>IFERROR(__xludf.DUMMYFUNCTION("""COMPUTED_VALUE"""),"")</f>
        <v/>
      </c>
      <c r="C952" s="49" t="str">
        <f>IFERROR(__xludf.DUMMYFUNCTION("""COMPUTED_VALUE"""),"")</f>
        <v/>
      </c>
      <c r="D952" s="49" t="str">
        <f>IFERROR(__xludf.DUMMYFUNCTION("""COMPUTED_VALUE"""),"")</f>
        <v/>
      </c>
      <c r="E952" s="49" t="str">
        <f>IFERROR(__xludf.DUMMYFUNCTION("""COMPUTED_VALUE"""),"")</f>
        <v/>
      </c>
      <c r="F952" s="49" t="str">
        <f>IFERROR(__xludf.DUMMYFUNCTION("""COMPUTED_VALUE"""),"")</f>
        <v/>
      </c>
      <c r="G952" s="49" t="str">
        <f>IFERROR(__xludf.DUMMYFUNCTION("""COMPUTED_VALUE"""),"")</f>
        <v/>
      </c>
      <c r="H952" s="49"/>
      <c r="I952" s="49"/>
      <c r="J952" s="49"/>
      <c r="K952" s="49"/>
      <c r="L952" s="49"/>
      <c r="M952" s="49"/>
      <c r="N952" s="49"/>
      <c r="O952" s="49"/>
      <c r="P952" s="49"/>
      <c r="Q952" s="49"/>
      <c r="R952" s="49"/>
      <c r="S952" s="49"/>
      <c r="T952" s="49"/>
      <c r="U952" s="49"/>
      <c r="V952" s="49"/>
      <c r="W952" s="49"/>
      <c r="X952" s="49"/>
      <c r="Y952" s="49"/>
      <c r="Z952" s="49"/>
    </row>
    <row r="953">
      <c r="A953" s="49"/>
      <c r="B953" s="49" t="str">
        <f>IFERROR(__xludf.DUMMYFUNCTION("""COMPUTED_VALUE"""),"")</f>
        <v/>
      </c>
      <c r="C953" s="49" t="str">
        <f>IFERROR(__xludf.DUMMYFUNCTION("""COMPUTED_VALUE"""),"")</f>
        <v/>
      </c>
      <c r="D953" s="49" t="str">
        <f>IFERROR(__xludf.DUMMYFUNCTION("""COMPUTED_VALUE"""),"")</f>
        <v/>
      </c>
      <c r="E953" s="49" t="str">
        <f>IFERROR(__xludf.DUMMYFUNCTION("""COMPUTED_VALUE"""),"")</f>
        <v/>
      </c>
      <c r="F953" s="49" t="str">
        <f>IFERROR(__xludf.DUMMYFUNCTION("""COMPUTED_VALUE"""),"")</f>
        <v/>
      </c>
      <c r="G953" s="49" t="str">
        <f>IFERROR(__xludf.DUMMYFUNCTION("""COMPUTED_VALUE"""),"")</f>
        <v/>
      </c>
      <c r="H953" s="49"/>
      <c r="I953" s="49"/>
      <c r="J953" s="49"/>
      <c r="K953" s="49"/>
      <c r="L953" s="49"/>
      <c r="M953" s="49"/>
      <c r="N953" s="49"/>
      <c r="O953" s="49"/>
      <c r="P953" s="49"/>
      <c r="Q953" s="49"/>
      <c r="R953" s="49"/>
      <c r="S953" s="49"/>
      <c r="T953" s="49"/>
      <c r="U953" s="49"/>
      <c r="V953" s="49"/>
      <c r="W953" s="49"/>
      <c r="X953" s="49"/>
      <c r="Y953" s="49"/>
      <c r="Z953" s="49"/>
    </row>
    <row r="954">
      <c r="A954" s="49"/>
      <c r="B954" s="49" t="str">
        <f>IFERROR(__xludf.DUMMYFUNCTION("""COMPUTED_VALUE"""),"")</f>
        <v/>
      </c>
      <c r="C954" s="49" t="str">
        <f>IFERROR(__xludf.DUMMYFUNCTION("""COMPUTED_VALUE"""),"")</f>
        <v/>
      </c>
      <c r="D954" s="49" t="str">
        <f>IFERROR(__xludf.DUMMYFUNCTION("""COMPUTED_VALUE"""),"")</f>
        <v/>
      </c>
      <c r="E954" s="49" t="str">
        <f>IFERROR(__xludf.DUMMYFUNCTION("""COMPUTED_VALUE"""),"")</f>
        <v/>
      </c>
      <c r="F954" s="49" t="str">
        <f>IFERROR(__xludf.DUMMYFUNCTION("""COMPUTED_VALUE"""),"")</f>
        <v/>
      </c>
      <c r="G954" s="49" t="str">
        <f>IFERROR(__xludf.DUMMYFUNCTION("""COMPUTED_VALUE"""),"")</f>
        <v/>
      </c>
      <c r="H954" s="49"/>
      <c r="I954" s="49"/>
      <c r="J954" s="49"/>
      <c r="K954" s="49"/>
      <c r="L954" s="49"/>
      <c r="M954" s="49"/>
      <c r="N954" s="49"/>
      <c r="O954" s="49"/>
      <c r="P954" s="49"/>
      <c r="Q954" s="49"/>
      <c r="R954" s="49"/>
      <c r="S954" s="49"/>
      <c r="T954" s="49"/>
      <c r="U954" s="49"/>
      <c r="V954" s="49"/>
      <c r="W954" s="49"/>
      <c r="X954" s="49"/>
      <c r="Y954" s="49"/>
      <c r="Z954" s="49"/>
    </row>
    <row r="955">
      <c r="A955" s="49"/>
      <c r="B955" s="49" t="str">
        <f>IFERROR(__xludf.DUMMYFUNCTION("""COMPUTED_VALUE"""),"")</f>
        <v/>
      </c>
      <c r="C955" s="49" t="str">
        <f>IFERROR(__xludf.DUMMYFUNCTION("""COMPUTED_VALUE"""),"")</f>
        <v/>
      </c>
      <c r="D955" s="49" t="str">
        <f>IFERROR(__xludf.DUMMYFUNCTION("""COMPUTED_VALUE"""),"")</f>
        <v/>
      </c>
      <c r="E955" s="49" t="str">
        <f>IFERROR(__xludf.DUMMYFUNCTION("""COMPUTED_VALUE"""),"")</f>
        <v/>
      </c>
      <c r="F955" s="49" t="str">
        <f>IFERROR(__xludf.DUMMYFUNCTION("""COMPUTED_VALUE"""),"")</f>
        <v/>
      </c>
      <c r="G955" s="49" t="str">
        <f>IFERROR(__xludf.DUMMYFUNCTION("""COMPUTED_VALUE"""),"")</f>
        <v/>
      </c>
      <c r="H955" s="49"/>
      <c r="I955" s="49"/>
      <c r="J955" s="49"/>
      <c r="K955" s="49"/>
      <c r="L955" s="49"/>
      <c r="M955" s="49"/>
      <c r="N955" s="49"/>
      <c r="O955" s="49"/>
      <c r="P955" s="49"/>
      <c r="Q955" s="49"/>
      <c r="R955" s="49"/>
      <c r="S955" s="49"/>
      <c r="T955" s="49"/>
      <c r="U955" s="49"/>
      <c r="V955" s="49"/>
      <c r="W955" s="49"/>
      <c r="X955" s="49"/>
      <c r="Y955" s="49"/>
      <c r="Z955" s="49"/>
    </row>
    <row r="956">
      <c r="A956" s="49"/>
      <c r="B956" s="49" t="str">
        <f>IFERROR(__xludf.DUMMYFUNCTION("""COMPUTED_VALUE"""),"")</f>
        <v/>
      </c>
      <c r="C956" s="49" t="str">
        <f>IFERROR(__xludf.DUMMYFUNCTION("""COMPUTED_VALUE"""),"")</f>
        <v/>
      </c>
      <c r="D956" s="49" t="str">
        <f>IFERROR(__xludf.DUMMYFUNCTION("""COMPUTED_VALUE"""),"")</f>
        <v/>
      </c>
      <c r="E956" s="49" t="str">
        <f>IFERROR(__xludf.DUMMYFUNCTION("""COMPUTED_VALUE"""),"")</f>
        <v/>
      </c>
      <c r="F956" s="49" t="str">
        <f>IFERROR(__xludf.DUMMYFUNCTION("""COMPUTED_VALUE"""),"")</f>
        <v/>
      </c>
      <c r="G956" s="49" t="str">
        <f>IFERROR(__xludf.DUMMYFUNCTION("""COMPUTED_VALUE"""),"")</f>
        <v/>
      </c>
      <c r="H956" s="49"/>
      <c r="I956" s="49"/>
      <c r="J956" s="49"/>
      <c r="K956" s="49"/>
      <c r="L956" s="49"/>
      <c r="M956" s="49"/>
      <c r="N956" s="49"/>
      <c r="O956" s="49"/>
      <c r="P956" s="49"/>
      <c r="Q956" s="49"/>
      <c r="R956" s="49"/>
      <c r="S956" s="49"/>
      <c r="T956" s="49"/>
      <c r="U956" s="49"/>
      <c r="V956" s="49"/>
      <c r="W956" s="49"/>
      <c r="X956" s="49"/>
      <c r="Y956" s="49"/>
      <c r="Z956" s="49"/>
    </row>
    <row r="957">
      <c r="A957" s="49"/>
      <c r="B957" s="49" t="str">
        <f>IFERROR(__xludf.DUMMYFUNCTION("""COMPUTED_VALUE"""),"")</f>
        <v/>
      </c>
      <c r="C957" s="49" t="str">
        <f>IFERROR(__xludf.DUMMYFUNCTION("""COMPUTED_VALUE"""),"")</f>
        <v/>
      </c>
      <c r="D957" s="49" t="str">
        <f>IFERROR(__xludf.DUMMYFUNCTION("""COMPUTED_VALUE"""),"")</f>
        <v/>
      </c>
      <c r="E957" s="49" t="str">
        <f>IFERROR(__xludf.DUMMYFUNCTION("""COMPUTED_VALUE"""),"")</f>
        <v/>
      </c>
      <c r="F957" s="49" t="str">
        <f>IFERROR(__xludf.DUMMYFUNCTION("""COMPUTED_VALUE"""),"")</f>
        <v/>
      </c>
      <c r="G957" s="49" t="str">
        <f>IFERROR(__xludf.DUMMYFUNCTION("""COMPUTED_VALUE"""),"")</f>
        <v/>
      </c>
      <c r="H957" s="49"/>
      <c r="I957" s="49"/>
      <c r="J957" s="49"/>
      <c r="K957" s="49"/>
      <c r="L957" s="49"/>
      <c r="M957" s="49"/>
      <c r="N957" s="49"/>
      <c r="O957" s="49"/>
      <c r="P957" s="49"/>
      <c r="Q957" s="49"/>
      <c r="R957" s="49"/>
      <c r="S957" s="49"/>
      <c r="T957" s="49"/>
      <c r="U957" s="49"/>
      <c r="V957" s="49"/>
      <c r="W957" s="49"/>
      <c r="X957" s="49"/>
      <c r="Y957" s="49"/>
      <c r="Z957" s="49"/>
    </row>
    <row r="958">
      <c r="A958" s="49"/>
      <c r="B958" s="49" t="str">
        <f>IFERROR(__xludf.DUMMYFUNCTION("""COMPUTED_VALUE"""),"")</f>
        <v/>
      </c>
      <c r="C958" s="49" t="str">
        <f>IFERROR(__xludf.DUMMYFUNCTION("""COMPUTED_VALUE"""),"")</f>
        <v/>
      </c>
      <c r="D958" s="49" t="str">
        <f>IFERROR(__xludf.DUMMYFUNCTION("""COMPUTED_VALUE"""),"")</f>
        <v/>
      </c>
      <c r="E958" s="49" t="str">
        <f>IFERROR(__xludf.DUMMYFUNCTION("""COMPUTED_VALUE"""),"")</f>
        <v/>
      </c>
      <c r="F958" s="49" t="str">
        <f>IFERROR(__xludf.DUMMYFUNCTION("""COMPUTED_VALUE"""),"")</f>
        <v/>
      </c>
      <c r="G958" s="49" t="str">
        <f>IFERROR(__xludf.DUMMYFUNCTION("""COMPUTED_VALUE"""),"")</f>
        <v/>
      </c>
      <c r="H958" s="49"/>
      <c r="I958" s="49"/>
      <c r="J958" s="49"/>
      <c r="K958" s="49"/>
      <c r="L958" s="49"/>
      <c r="M958" s="49"/>
      <c r="N958" s="49"/>
      <c r="O958" s="49"/>
      <c r="P958" s="49"/>
      <c r="Q958" s="49"/>
      <c r="R958" s="49"/>
      <c r="S958" s="49"/>
      <c r="T958" s="49"/>
      <c r="U958" s="49"/>
      <c r="V958" s="49"/>
      <c r="W958" s="49"/>
      <c r="X958" s="49"/>
      <c r="Y958" s="49"/>
      <c r="Z958" s="49"/>
    </row>
    <row r="959">
      <c r="A959" s="49"/>
      <c r="B959" s="49" t="str">
        <f>IFERROR(__xludf.DUMMYFUNCTION("""COMPUTED_VALUE"""),"")</f>
        <v/>
      </c>
      <c r="C959" s="49" t="str">
        <f>IFERROR(__xludf.DUMMYFUNCTION("""COMPUTED_VALUE"""),"")</f>
        <v/>
      </c>
      <c r="D959" s="49" t="str">
        <f>IFERROR(__xludf.DUMMYFUNCTION("""COMPUTED_VALUE"""),"")</f>
        <v/>
      </c>
      <c r="E959" s="49" t="str">
        <f>IFERROR(__xludf.DUMMYFUNCTION("""COMPUTED_VALUE"""),"")</f>
        <v/>
      </c>
      <c r="F959" s="49" t="str">
        <f>IFERROR(__xludf.DUMMYFUNCTION("""COMPUTED_VALUE"""),"")</f>
        <v/>
      </c>
      <c r="G959" s="49" t="str">
        <f>IFERROR(__xludf.DUMMYFUNCTION("""COMPUTED_VALUE"""),"")</f>
        <v/>
      </c>
      <c r="H959" s="49"/>
      <c r="I959" s="49"/>
      <c r="J959" s="49"/>
      <c r="K959" s="49"/>
      <c r="L959" s="49"/>
      <c r="M959" s="49"/>
      <c r="N959" s="49"/>
      <c r="O959" s="49"/>
      <c r="P959" s="49"/>
      <c r="Q959" s="49"/>
      <c r="R959" s="49"/>
      <c r="S959" s="49"/>
      <c r="T959" s="49"/>
      <c r="U959" s="49"/>
      <c r="V959" s="49"/>
      <c r="W959" s="49"/>
      <c r="X959" s="49"/>
      <c r="Y959" s="49"/>
      <c r="Z959" s="49"/>
    </row>
    <row r="960">
      <c r="A960" s="49"/>
      <c r="B960" s="49" t="str">
        <f>IFERROR(__xludf.DUMMYFUNCTION("""COMPUTED_VALUE"""),"")</f>
        <v/>
      </c>
      <c r="C960" s="49" t="str">
        <f>IFERROR(__xludf.DUMMYFUNCTION("""COMPUTED_VALUE"""),"")</f>
        <v/>
      </c>
      <c r="D960" s="49" t="str">
        <f>IFERROR(__xludf.DUMMYFUNCTION("""COMPUTED_VALUE"""),"")</f>
        <v/>
      </c>
      <c r="E960" s="49" t="str">
        <f>IFERROR(__xludf.DUMMYFUNCTION("""COMPUTED_VALUE"""),"")</f>
        <v/>
      </c>
      <c r="F960" s="49" t="str">
        <f>IFERROR(__xludf.DUMMYFUNCTION("""COMPUTED_VALUE"""),"")</f>
        <v/>
      </c>
      <c r="G960" s="49" t="str">
        <f>IFERROR(__xludf.DUMMYFUNCTION("""COMPUTED_VALUE"""),"")</f>
        <v/>
      </c>
      <c r="H960" s="49"/>
      <c r="I960" s="49"/>
      <c r="J960" s="49"/>
      <c r="K960" s="49"/>
      <c r="L960" s="49"/>
      <c r="M960" s="49"/>
      <c r="N960" s="49"/>
      <c r="O960" s="49"/>
      <c r="P960" s="49"/>
      <c r="Q960" s="49"/>
      <c r="R960" s="49"/>
      <c r="S960" s="49"/>
      <c r="T960" s="49"/>
      <c r="U960" s="49"/>
      <c r="V960" s="49"/>
      <c r="W960" s="49"/>
      <c r="X960" s="49"/>
      <c r="Y960" s="49"/>
      <c r="Z960" s="49"/>
    </row>
    <row r="961">
      <c r="A961" s="49"/>
      <c r="B961" s="49" t="str">
        <f>IFERROR(__xludf.DUMMYFUNCTION("""COMPUTED_VALUE"""),"")</f>
        <v/>
      </c>
      <c r="C961" s="49" t="str">
        <f>IFERROR(__xludf.DUMMYFUNCTION("""COMPUTED_VALUE"""),"")</f>
        <v/>
      </c>
      <c r="D961" s="49" t="str">
        <f>IFERROR(__xludf.DUMMYFUNCTION("""COMPUTED_VALUE"""),"")</f>
        <v/>
      </c>
      <c r="E961" s="49" t="str">
        <f>IFERROR(__xludf.DUMMYFUNCTION("""COMPUTED_VALUE"""),"")</f>
        <v/>
      </c>
      <c r="F961" s="49" t="str">
        <f>IFERROR(__xludf.DUMMYFUNCTION("""COMPUTED_VALUE"""),"")</f>
        <v/>
      </c>
      <c r="G961" s="49" t="str">
        <f>IFERROR(__xludf.DUMMYFUNCTION("""COMPUTED_VALUE"""),"")</f>
        <v/>
      </c>
      <c r="H961" s="49"/>
      <c r="I961" s="49"/>
      <c r="J961" s="49"/>
      <c r="K961" s="49"/>
      <c r="L961" s="49"/>
      <c r="M961" s="49"/>
      <c r="N961" s="49"/>
      <c r="O961" s="49"/>
      <c r="P961" s="49"/>
      <c r="Q961" s="49"/>
      <c r="R961" s="49"/>
      <c r="S961" s="49"/>
      <c r="T961" s="49"/>
      <c r="U961" s="49"/>
      <c r="V961" s="49"/>
      <c r="W961" s="49"/>
      <c r="X961" s="49"/>
      <c r="Y961" s="49"/>
      <c r="Z961" s="49"/>
    </row>
    <row r="962">
      <c r="A962" s="49"/>
      <c r="B962" s="49" t="str">
        <f>IFERROR(__xludf.DUMMYFUNCTION("""COMPUTED_VALUE"""),"")</f>
        <v/>
      </c>
      <c r="C962" s="49" t="str">
        <f>IFERROR(__xludf.DUMMYFUNCTION("""COMPUTED_VALUE"""),"")</f>
        <v/>
      </c>
      <c r="D962" s="49" t="str">
        <f>IFERROR(__xludf.DUMMYFUNCTION("""COMPUTED_VALUE"""),"")</f>
        <v/>
      </c>
      <c r="E962" s="49" t="str">
        <f>IFERROR(__xludf.DUMMYFUNCTION("""COMPUTED_VALUE"""),"")</f>
        <v/>
      </c>
      <c r="F962" s="49" t="str">
        <f>IFERROR(__xludf.DUMMYFUNCTION("""COMPUTED_VALUE"""),"")</f>
        <v/>
      </c>
      <c r="G962" s="49" t="str">
        <f>IFERROR(__xludf.DUMMYFUNCTION("""COMPUTED_VALUE"""),"")</f>
        <v/>
      </c>
      <c r="H962" s="49"/>
      <c r="I962" s="49"/>
      <c r="J962" s="49"/>
      <c r="K962" s="49"/>
      <c r="L962" s="49"/>
      <c r="M962" s="49"/>
      <c r="N962" s="49"/>
      <c r="O962" s="49"/>
      <c r="P962" s="49"/>
      <c r="Q962" s="49"/>
      <c r="R962" s="49"/>
      <c r="S962" s="49"/>
      <c r="T962" s="49"/>
      <c r="U962" s="49"/>
      <c r="V962" s="49"/>
      <c r="W962" s="49"/>
      <c r="X962" s="49"/>
      <c r="Y962" s="49"/>
      <c r="Z962" s="49"/>
    </row>
    <row r="963">
      <c r="A963" s="49"/>
      <c r="B963" s="49" t="str">
        <f>IFERROR(__xludf.DUMMYFUNCTION("""COMPUTED_VALUE"""),"")</f>
        <v/>
      </c>
      <c r="C963" s="49" t="str">
        <f>IFERROR(__xludf.DUMMYFUNCTION("""COMPUTED_VALUE"""),"")</f>
        <v/>
      </c>
      <c r="D963" s="49" t="str">
        <f>IFERROR(__xludf.DUMMYFUNCTION("""COMPUTED_VALUE"""),"")</f>
        <v/>
      </c>
      <c r="E963" s="49" t="str">
        <f>IFERROR(__xludf.DUMMYFUNCTION("""COMPUTED_VALUE"""),"")</f>
        <v/>
      </c>
      <c r="F963" s="49" t="str">
        <f>IFERROR(__xludf.DUMMYFUNCTION("""COMPUTED_VALUE"""),"")</f>
        <v/>
      </c>
      <c r="G963" s="49" t="str">
        <f>IFERROR(__xludf.DUMMYFUNCTION("""COMPUTED_VALUE"""),"")</f>
        <v/>
      </c>
      <c r="H963" s="49"/>
      <c r="I963" s="49"/>
      <c r="J963" s="49"/>
      <c r="K963" s="49"/>
      <c r="L963" s="49"/>
      <c r="M963" s="49"/>
      <c r="N963" s="49"/>
      <c r="O963" s="49"/>
      <c r="P963" s="49"/>
      <c r="Q963" s="49"/>
      <c r="R963" s="49"/>
      <c r="S963" s="49"/>
      <c r="T963" s="49"/>
      <c r="U963" s="49"/>
      <c r="V963" s="49"/>
      <c r="W963" s="49"/>
      <c r="X963" s="49"/>
      <c r="Y963" s="49"/>
      <c r="Z963" s="49"/>
    </row>
    <row r="964">
      <c r="A964" s="49"/>
      <c r="B964" s="49" t="str">
        <f>IFERROR(__xludf.DUMMYFUNCTION("""COMPUTED_VALUE"""),"")</f>
        <v/>
      </c>
      <c r="C964" s="49" t="str">
        <f>IFERROR(__xludf.DUMMYFUNCTION("""COMPUTED_VALUE"""),"")</f>
        <v/>
      </c>
      <c r="D964" s="49" t="str">
        <f>IFERROR(__xludf.DUMMYFUNCTION("""COMPUTED_VALUE"""),"")</f>
        <v/>
      </c>
      <c r="E964" s="49" t="str">
        <f>IFERROR(__xludf.DUMMYFUNCTION("""COMPUTED_VALUE"""),"")</f>
        <v/>
      </c>
      <c r="F964" s="49" t="str">
        <f>IFERROR(__xludf.DUMMYFUNCTION("""COMPUTED_VALUE"""),"")</f>
        <v/>
      </c>
      <c r="G964" s="49" t="str">
        <f>IFERROR(__xludf.DUMMYFUNCTION("""COMPUTED_VALUE"""),"")</f>
        <v/>
      </c>
      <c r="H964" s="49"/>
      <c r="I964" s="49"/>
      <c r="J964" s="49"/>
      <c r="K964" s="49"/>
      <c r="L964" s="49"/>
      <c r="M964" s="49"/>
      <c r="N964" s="49"/>
      <c r="O964" s="49"/>
      <c r="P964" s="49"/>
      <c r="Q964" s="49"/>
      <c r="R964" s="49"/>
      <c r="S964" s="49"/>
      <c r="T964" s="49"/>
      <c r="U964" s="49"/>
      <c r="V964" s="49"/>
      <c r="W964" s="49"/>
      <c r="X964" s="49"/>
      <c r="Y964" s="49"/>
      <c r="Z964" s="49"/>
    </row>
    <row r="965">
      <c r="A965" s="49"/>
      <c r="B965" s="49" t="str">
        <f>IFERROR(__xludf.DUMMYFUNCTION("""COMPUTED_VALUE"""),"")</f>
        <v/>
      </c>
      <c r="C965" s="49" t="str">
        <f>IFERROR(__xludf.DUMMYFUNCTION("""COMPUTED_VALUE"""),"")</f>
        <v/>
      </c>
      <c r="D965" s="49" t="str">
        <f>IFERROR(__xludf.DUMMYFUNCTION("""COMPUTED_VALUE"""),"")</f>
        <v/>
      </c>
      <c r="E965" s="49" t="str">
        <f>IFERROR(__xludf.DUMMYFUNCTION("""COMPUTED_VALUE"""),"")</f>
        <v/>
      </c>
      <c r="F965" s="49" t="str">
        <f>IFERROR(__xludf.DUMMYFUNCTION("""COMPUTED_VALUE"""),"")</f>
        <v/>
      </c>
      <c r="G965" s="49" t="str">
        <f>IFERROR(__xludf.DUMMYFUNCTION("""COMPUTED_VALUE"""),"")</f>
        <v/>
      </c>
      <c r="H965" s="49"/>
      <c r="I965" s="49"/>
      <c r="J965" s="49"/>
      <c r="K965" s="49"/>
      <c r="L965" s="49"/>
      <c r="M965" s="49"/>
      <c r="N965" s="49"/>
      <c r="O965" s="49"/>
      <c r="P965" s="49"/>
      <c r="Q965" s="49"/>
      <c r="R965" s="49"/>
      <c r="S965" s="49"/>
      <c r="T965" s="49"/>
      <c r="U965" s="49"/>
      <c r="V965" s="49"/>
      <c r="W965" s="49"/>
      <c r="X965" s="49"/>
      <c r="Y965" s="49"/>
      <c r="Z965" s="49"/>
    </row>
    <row r="966">
      <c r="A966" s="49"/>
      <c r="B966" s="49" t="str">
        <f>IFERROR(__xludf.DUMMYFUNCTION("""COMPUTED_VALUE"""),"")</f>
        <v/>
      </c>
      <c r="C966" s="49" t="str">
        <f>IFERROR(__xludf.DUMMYFUNCTION("""COMPUTED_VALUE"""),"")</f>
        <v/>
      </c>
      <c r="D966" s="49" t="str">
        <f>IFERROR(__xludf.DUMMYFUNCTION("""COMPUTED_VALUE"""),"")</f>
        <v/>
      </c>
      <c r="E966" s="49" t="str">
        <f>IFERROR(__xludf.DUMMYFUNCTION("""COMPUTED_VALUE"""),"")</f>
        <v/>
      </c>
      <c r="F966" s="49" t="str">
        <f>IFERROR(__xludf.DUMMYFUNCTION("""COMPUTED_VALUE"""),"")</f>
        <v/>
      </c>
      <c r="G966" s="49" t="str">
        <f>IFERROR(__xludf.DUMMYFUNCTION("""COMPUTED_VALUE"""),"")</f>
        <v/>
      </c>
      <c r="H966" s="49"/>
      <c r="I966" s="49"/>
      <c r="J966" s="49"/>
      <c r="K966" s="49"/>
      <c r="L966" s="49"/>
      <c r="M966" s="49"/>
      <c r="N966" s="49"/>
      <c r="O966" s="49"/>
      <c r="P966" s="49"/>
      <c r="Q966" s="49"/>
      <c r="R966" s="49"/>
      <c r="S966" s="49"/>
      <c r="T966" s="49"/>
      <c r="U966" s="49"/>
      <c r="V966" s="49"/>
      <c r="W966" s="49"/>
      <c r="X966" s="49"/>
      <c r="Y966" s="49"/>
      <c r="Z966" s="49"/>
    </row>
    <row r="967">
      <c r="A967" s="49"/>
      <c r="B967" s="49" t="str">
        <f>IFERROR(__xludf.DUMMYFUNCTION("""COMPUTED_VALUE"""),"")</f>
        <v/>
      </c>
      <c r="C967" s="49" t="str">
        <f>IFERROR(__xludf.DUMMYFUNCTION("""COMPUTED_VALUE"""),"")</f>
        <v/>
      </c>
      <c r="D967" s="49" t="str">
        <f>IFERROR(__xludf.DUMMYFUNCTION("""COMPUTED_VALUE"""),"")</f>
        <v/>
      </c>
      <c r="E967" s="49" t="str">
        <f>IFERROR(__xludf.DUMMYFUNCTION("""COMPUTED_VALUE"""),"")</f>
        <v/>
      </c>
      <c r="F967" s="49" t="str">
        <f>IFERROR(__xludf.DUMMYFUNCTION("""COMPUTED_VALUE"""),"")</f>
        <v/>
      </c>
      <c r="G967" s="49" t="str">
        <f>IFERROR(__xludf.DUMMYFUNCTION("""COMPUTED_VALUE"""),"")</f>
        <v/>
      </c>
      <c r="H967" s="49"/>
      <c r="I967" s="49"/>
      <c r="J967" s="49"/>
      <c r="K967" s="49"/>
      <c r="L967" s="49"/>
      <c r="M967" s="49"/>
      <c r="N967" s="49"/>
      <c r="O967" s="49"/>
      <c r="P967" s="49"/>
      <c r="Q967" s="49"/>
      <c r="R967" s="49"/>
      <c r="S967" s="49"/>
      <c r="T967" s="49"/>
      <c r="U967" s="49"/>
      <c r="V967" s="49"/>
      <c r="W967" s="49"/>
      <c r="X967" s="49"/>
      <c r="Y967" s="49"/>
      <c r="Z967" s="49"/>
    </row>
    <row r="968">
      <c r="A968" s="49"/>
      <c r="B968" s="49" t="str">
        <f>IFERROR(__xludf.DUMMYFUNCTION("""COMPUTED_VALUE"""),"")</f>
        <v/>
      </c>
      <c r="C968" s="49" t="str">
        <f>IFERROR(__xludf.DUMMYFUNCTION("""COMPUTED_VALUE"""),"")</f>
        <v/>
      </c>
      <c r="D968" s="49" t="str">
        <f>IFERROR(__xludf.DUMMYFUNCTION("""COMPUTED_VALUE"""),"")</f>
        <v/>
      </c>
      <c r="E968" s="49" t="str">
        <f>IFERROR(__xludf.DUMMYFUNCTION("""COMPUTED_VALUE"""),"")</f>
        <v/>
      </c>
      <c r="F968" s="49" t="str">
        <f>IFERROR(__xludf.DUMMYFUNCTION("""COMPUTED_VALUE"""),"")</f>
        <v/>
      </c>
      <c r="G968" s="49" t="str">
        <f>IFERROR(__xludf.DUMMYFUNCTION("""COMPUTED_VALUE"""),"")</f>
        <v/>
      </c>
      <c r="H968" s="49"/>
      <c r="I968" s="49"/>
      <c r="J968" s="49"/>
      <c r="K968" s="49"/>
      <c r="L968" s="49"/>
      <c r="M968" s="49"/>
      <c r="N968" s="49"/>
      <c r="O968" s="49"/>
      <c r="P968" s="49"/>
      <c r="Q968" s="49"/>
      <c r="R968" s="49"/>
      <c r="S968" s="49"/>
      <c r="T968" s="49"/>
      <c r="U968" s="49"/>
      <c r="V968" s="49"/>
      <c r="W968" s="49"/>
      <c r="X968" s="49"/>
      <c r="Y968" s="49"/>
      <c r="Z968" s="49"/>
    </row>
    <row r="969">
      <c r="A969" s="49"/>
      <c r="B969" s="49" t="str">
        <f>IFERROR(__xludf.DUMMYFUNCTION("""COMPUTED_VALUE"""),"")</f>
        <v/>
      </c>
      <c r="C969" s="49" t="str">
        <f>IFERROR(__xludf.DUMMYFUNCTION("""COMPUTED_VALUE"""),"")</f>
        <v/>
      </c>
      <c r="D969" s="49" t="str">
        <f>IFERROR(__xludf.DUMMYFUNCTION("""COMPUTED_VALUE"""),"")</f>
        <v/>
      </c>
      <c r="E969" s="49" t="str">
        <f>IFERROR(__xludf.DUMMYFUNCTION("""COMPUTED_VALUE"""),"")</f>
        <v/>
      </c>
      <c r="F969" s="49" t="str">
        <f>IFERROR(__xludf.DUMMYFUNCTION("""COMPUTED_VALUE"""),"")</f>
        <v/>
      </c>
      <c r="G969" s="49" t="str">
        <f>IFERROR(__xludf.DUMMYFUNCTION("""COMPUTED_VALUE"""),"")</f>
        <v/>
      </c>
      <c r="H969" s="49"/>
      <c r="I969" s="49"/>
      <c r="J969" s="49"/>
      <c r="K969" s="49"/>
      <c r="L969" s="49"/>
      <c r="M969" s="49"/>
      <c r="N969" s="49"/>
      <c r="O969" s="49"/>
      <c r="P969" s="49"/>
      <c r="Q969" s="49"/>
      <c r="R969" s="49"/>
      <c r="S969" s="49"/>
      <c r="T969" s="49"/>
      <c r="U969" s="49"/>
      <c r="V969" s="49"/>
      <c r="W969" s="49"/>
      <c r="X969" s="49"/>
      <c r="Y969" s="49"/>
      <c r="Z969" s="49"/>
    </row>
    <row r="970">
      <c r="A970" s="49"/>
      <c r="B970" s="49" t="str">
        <f>IFERROR(__xludf.DUMMYFUNCTION("""COMPUTED_VALUE"""),"")</f>
        <v/>
      </c>
      <c r="C970" s="49" t="str">
        <f>IFERROR(__xludf.DUMMYFUNCTION("""COMPUTED_VALUE"""),"")</f>
        <v/>
      </c>
      <c r="D970" s="49" t="str">
        <f>IFERROR(__xludf.DUMMYFUNCTION("""COMPUTED_VALUE"""),"")</f>
        <v/>
      </c>
      <c r="E970" s="49" t="str">
        <f>IFERROR(__xludf.DUMMYFUNCTION("""COMPUTED_VALUE"""),"")</f>
        <v/>
      </c>
      <c r="F970" s="49" t="str">
        <f>IFERROR(__xludf.DUMMYFUNCTION("""COMPUTED_VALUE"""),"")</f>
        <v/>
      </c>
      <c r="G970" s="49" t="str">
        <f>IFERROR(__xludf.DUMMYFUNCTION("""COMPUTED_VALUE"""),"")</f>
        <v/>
      </c>
      <c r="H970" s="49"/>
      <c r="I970" s="49"/>
      <c r="J970" s="49"/>
      <c r="K970" s="49"/>
      <c r="L970" s="49"/>
      <c r="M970" s="49"/>
      <c r="N970" s="49"/>
      <c r="O970" s="49"/>
      <c r="P970" s="49"/>
      <c r="Q970" s="49"/>
      <c r="R970" s="49"/>
      <c r="S970" s="49"/>
      <c r="T970" s="49"/>
      <c r="U970" s="49"/>
      <c r="V970" s="49"/>
      <c r="W970" s="49"/>
      <c r="X970" s="49"/>
      <c r="Y970" s="49"/>
      <c r="Z970" s="49"/>
    </row>
    <row r="971">
      <c r="A971" s="49"/>
      <c r="B971" s="49" t="str">
        <f>IFERROR(__xludf.DUMMYFUNCTION("""COMPUTED_VALUE"""),"")</f>
        <v/>
      </c>
      <c r="C971" s="49" t="str">
        <f>IFERROR(__xludf.DUMMYFUNCTION("""COMPUTED_VALUE"""),"")</f>
        <v/>
      </c>
      <c r="D971" s="49" t="str">
        <f>IFERROR(__xludf.DUMMYFUNCTION("""COMPUTED_VALUE"""),"")</f>
        <v/>
      </c>
      <c r="E971" s="49" t="str">
        <f>IFERROR(__xludf.DUMMYFUNCTION("""COMPUTED_VALUE"""),"")</f>
        <v/>
      </c>
      <c r="F971" s="49" t="str">
        <f>IFERROR(__xludf.DUMMYFUNCTION("""COMPUTED_VALUE"""),"")</f>
        <v/>
      </c>
      <c r="G971" s="49" t="str">
        <f>IFERROR(__xludf.DUMMYFUNCTION("""COMPUTED_VALUE"""),"")</f>
        <v/>
      </c>
      <c r="H971" s="49"/>
      <c r="I971" s="49"/>
      <c r="J971" s="49"/>
      <c r="K971" s="49"/>
      <c r="L971" s="49"/>
      <c r="M971" s="49"/>
      <c r="N971" s="49"/>
      <c r="O971" s="49"/>
      <c r="P971" s="49"/>
      <c r="Q971" s="49"/>
      <c r="R971" s="49"/>
      <c r="S971" s="49"/>
      <c r="T971" s="49"/>
      <c r="U971" s="49"/>
      <c r="V971" s="49"/>
      <c r="W971" s="49"/>
      <c r="X971" s="49"/>
      <c r="Y971" s="49"/>
      <c r="Z971" s="49"/>
    </row>
    <row r="972">
      <c r="A972" s="49"/>
      <c r="B972" s="49" t="str">
        <f>IFERROR(__xludf.DUMMYFUNCTION("""COMPUTED_VALUE"""),"")</f>
        <v/>
      </c>
      <c r="C972" s="49" t="str">
        <f>IFERROR(__xludf.DUMMYFUNCTION("""COMPUTED_VALUE"""),"")</f>
        <v/>
      </c>
      <c r="D972" s="49" t="str">
        <f>IFERROR(__xludf.DUMMYFUNCTION("""COMPUTED_VALUE"""),"")</f>
        <v/>
      </c>
      <c r="E972" s="49" t="str">
        <f>IFERROR(__xludf.DUMMYFUNCTION("""COMPUTED_VALUE"""),"")</f>
        <v/>
      </c>
      <c r="F972" s="49" t="str">
        <f>IFERROR(__xludf.DUMMYFUNCTION("""COMPUTED_VALUE"""),"")</f>
        <v/>
      </c>
      <c r="G972" s="49" t="str">
        <f>IFERROR(__xludf.DUMMYFUNCTION("""COMPUTED_VALUE"""),"")</f>
        <v/>
      </c>
      <c r="H972" s="49"/>
      <c r="I972" s="49"/>
      <c r="J972" s="49"/>
      <c r="K972" s="49"/>
      <c r="L972" s="49"/>
      <c r="M972" s="49"/>
      <c r="N972" s="49"/>
      <c r="O972" s="49"/>
      <c r="P972" s="49"/>
      <c r="Q972" s="49"/>
      <c r="R972" s="49"/>
      <c r="S972" s="49"/>
      <c r="T972" s="49"/>
      <c r="U972" s="49"/>
      <c r="V972" s="49"/>
      <c r="W972" s="49"/>
      <c r="X972" s="49"/>
      <c r="Y972" s="49"/>
      <c r="Z972" s="49"/>
    </row>
    <row r="973">
      <c r="A973" s="49"/>
      <c r="B973" s="49" t="str">
        <f>IFERROR(__xludf.DUMMYFUNCTION("""COMPUTED_VALUE"""),"")</f>
        <v/>
      </c>
      <c r="C973" s="49" t="str">
        <f>IFERROR(__xludf.DUMMYFUNCTION("""COMPUTED_VALUE"""),"")</f>
        <v/>
      </c>
      <c r="D973" s="49" t="str">
        <f>IFERROR(__xludf.DUMMYFUNCTION("""COMPUTED_VALUE"""),"")</f>
        <v/>
      </c>
      <c r="E973" s="49" t="str">
        <f>IFERROR(__xludf.DUMMYFUNCTION("""COMPUTED_VALUE"""),"")</f>
        <v/>
      </c>
      <c r="F973" s="49" t="str">
        <f>IFERROR(__xludf.DUMMYFUNCTION("""COMPUTED_VALUE"""),"")</f>
        <v/>
      </c>
      <c r="G973" s="49" t="str">
        <f>IFERROR(__xludf.DUMMYFUNCTION("""COMPUTED_VALUE"""),"")</f>
        <v/>
      </c>
      <c r="H973" s="49"/>
      <c r="I973" s="49"/>
      <c r="J973" s="49"/>
      <c r="K973" s="49"/>
      <c r="L973" s="49"/>
      <c r="M973" s="49"/>
      <c r="N973" s="49"/>
      <c r="O973" s="49"/>
      <c r="P973" s="49"/>
      <c r="Q973" s="49"/>
      <c r="R973" s="49"/>
      <c r="S973" s="49"/>
      <c r="T973" s="49"/>
      <c r="U973" s="49"/>
      <c r="V973" s="49"/>
      <c r="W973" s="49"/>
      <c r="X973" s="49"/>
      <c r="Y973" s="49"/>
      <c r="Z973" s="49"/>
    </row>
    <row r="974">
      <c r="A974" s="49"/>
      <c r="B974" s="49" t="str">
        <f>IFERROR(__xludf.DUMMYFUNCTION("""COMPUTED_VALUE"""),"")</f>
        <v/>
      </c>
      <c r="C974" s="49" t="str">
        <f>IFERROR(__xludf.DUMMYFUNCTION("""COMPUTED_VALUE"""),"")</f>
        <v/>
      </c>
      <c r="D974" s="49" t="str">
        <f>IFERROR(__xludf.DUMMYFUNCTION("""COMPUTED_VALUE"""),"")</f>
        <v/>
      </c>
      <c r="E974" s="49" t="str">
        <f>IFERROR(__xludf.DUMMYFUNCTION("""COMPUTED_VALUE"""),"")</f>
        <v/>
      </c>
      <c r="F974" s="49" t="str">
        <f>IFERROR(__xludf.DUMMYFUNCTION("""COMPUTED_VALUE"""),"")</f>
        <v/>
      </c>
      <c r="G974" s="49" t="str">
        <f>IFERROR(__xludf.DUMMYFUNCTION("""COMPUTED_VALUE"""),"")</f>
        <v/>
      </c>
      <c r="H974" s="49"/>
      <c r="I974" s="49"/>
      <c r="J974" s="49"/>
      <c r="K974" s="49"/>
      <c r="L974" s="49"/>
      <c r="M974" s="49"/>
      <c r="N974" s="49"/>
      <c r="O974" s="49"/>
      <c r="P974" s="49"/>
      <c r="Q974" s="49"/>
      <c r="R974" s="49"/>
      <c r="S974" s="49"/>
      <c r="T974" s="49"/>
      <c r="U974" s="49"/>
      <c r="V974" s="49"/>
      <c r="W974" s="49"/>
      <c r="X974" s="49"/>
      <c r="Y974" s="49"/>
      <c r="Z974" s="49"/>
    </row>
    <row r="975">
      <c r="A975" s="49"/>
      <c r="B975" s="49" t="str">
        <f>IFERROR(__xludf.DUMMYFUNCTION("""COMPUTED_VALUE"""),"")</f>
        <v/>
      </c>
      <c r="C975" s="49" t="str">
        <f>IFERROR(__xludf.DUMMYFUNCTION("""COMPUTED_VALUE"""),"")</f>
        <v/>
      </c>
      <c r="D975" s="49" t="str">
        <f>IFERROR(__xludf.DUMMYFUNCTION("""COMPUTED_VALUE"""),"")</f>
        <v/>
      </c>
      <c r="E975" s="49" t="str">
        <f>IFERROR(__xludf.DUMMYFUNCTION("""COMPUTED_VALUE"""),"")</f>
        <v/>
      </c>
      <c r="F975" s="49" t="str">
        <f>IFERROR(__xludf.DUMMYFUNCTION("""COMPUTED_VALUE"""),"")</f>
        <v/>
      </c>
      <c r="G975" s="49" t="str">
        <f>IFERROR(__xludf.DUMMYFUNCTION("""COMPUTED_VALUE"""),"")</f>
        <v/>
      </c>
      <c r="H975" s="49"/>
      <c r="I975" s="49"/>
      <c r="J975" s="49"/>
      <c r="K975" s="49"/>
      <c r="L975" s="49"/>
      <c r="M975" s="49"/>
      <c r="N975" s="49"/>
      <c r="O975" s="49"/>
      <c r="P975" s="49"/>
      <c r="Q975" s="49"/>
      <c r="R975" s="49"/>
      <c r="S975" s="49"/>
      <c r="T975" s="49"/>
      <c r="U975" s="49"/>
      <c r="V975" s="49"/>
      <c r="W975" s="49"/>
      <c r="X975" s="49"/>
      <c r="Y975" s="49"/>
      <c r="Z975" s="49"/>
    </row>
    <row r="976">
      <c r="A976" s="49"/>
      <c r="B976" s="49" t="str">
        <f>IFERROR(__xludf.DUMMYFUNCTION("""COMPUTED_VALUE"""),"")</f>
        <v/>
      </c>
      <c r="C976" s="49" t="str">
        <f>IFERROR(__xludf.DUMMYFUNCTION("""COMPUTED_VALUE"""),"")</f>
        <v/>
      </c>
      <c r="D976" s="49" t="str">
        <f>IFERROR(__xludf.DUMMYFUNCTION("""COMPUTED_VALUE"""),"")</f>
        <v/>
      </c>
      <c r="E976" s="49" t="str">
        <f>IFERROR(__xludf.DUMMYFUNCTION("""COMPUTED_VALUE"""),"")</f>
        <v/>
      </c>
      <c r="F976" s="49" t="str">
        <f>IFERROR(__xludf.DUMMYFUNCTION("""COMPUTED_VALUE"""),"")</f>
        <v/>
      </c>
      <c r="G976" s="49" t="str">
        <f>IFERROR(__xludf.DUMMYFUNCTION("""COMPUTED_VALUE"""),"")</f>
        <v/>
      </c>
      <c r="H976" s="49"/>
      <c r="I976" s="49"/>
      <c r="J976" s="49"/>
      <c r="K976" s="49"/>
      <c r="L976" s="49"/>
      <c r="M976" s="49"/>
      <c r="N976" s="49"/>
      <c r="O976" s="49"/>
      <c r="P976" s="49"/>
      <c r="Q976" s="49"/>
      <c r="R976" s="49"/>
      <c r="S976" s="49"/>
      <c r="T976" s="49"/>
      <c r="U976" s="49"/>
      <c r="V976" s="49"/>
      <c r="W976" s="49"/>
      <c r="X976" s="49"/>
      <c r="Y976" s="49"/>
      <c r="Z976" s="49"/>
    </row>
    <row r="977">
      <c r="A977" s="49"/>
      <c r="B977" s="49" t="str">
        <f>IFERROR(__xludf.DUMMYFUNCTION("""COMPUTED_VALUE"""),"")</f>
        <v/>
      </c>
      <c r="C977" s="49" t="str">
        <f>IFERROR(__xludf.DUMMYFUNCTION("""COMPUTED_VALUE"""),"")</f>
        <v/>
      </c>
      <c r="D977" s="49" t="str">
        <f>IFERROR(__xludf.DUMMYFUNCTION("""COMPUTED_VALUE"""),"")</f>
        <v/>
      </c>
      <c r="E977" s="49" t="str">
        <f>IFERROR(__xludf.DUMMYFUNCTION("""COMPUTED_VALUE"""),"")</f>
        <v/>
      </c>
      <c r="F977" s="49" t="str">
        <f>IFERROR(__xludf.DUMMYFUNCTION("""COMPUTED_VALUE"""),"")</f>
        <v/>
      </c>
      <c r="G977" s="49" t="str">
        <f>IFERROR(__xludf.DUMMYFUNCTION("""COMPUTED_VALUE"""),"")</f>
        <v/>
      </c>
      <c r="H977" s="49"/>
      <c r="I977" s="49"/>
      <c r="J977" s="49"/>
      <c r="K977" s="49"/>
      <c r="L977" s="49"/>
      <c r="M977" s="49"/>
      <c r="N977" s="49"/>
      <c r="O977" s="49"/>
      <c r="P977" s="49"/>
      <c r="Q977" s="49"/>
      <c r="R977" s="49"/>
      <c r="S977" s="49"/>
      <c r="T977" s="49"/>
      <c r="U977" s="49"/>
      <c r="V977" s="49"/>
      <c r="W977" s="49"/>
      <c r="X977" s="49"/>
      <c r="Y977" s="49"/>
      <c r="Z977" s="49"/>
    </row>
    <row r="978">
      <c r="A978" s="49"/>
      <c r="B978" s="49" t="str">
        <f>IFERROR(__xludf.DUMMYFUNCTION("""COMPUTED_VALUE"""),"")</f>
        <v/>
      </c>
      <c r="C978" s="49" t="str">
        <f>IFERROR(__xludf.DUMMYFUNCTION("""COMPUTED_VALUE"""),"")</f>
        <v/>
      </c>
      <c r="D978" s="49" t="str">
        <f>IFERROR(__xludf.DUMMYFUNCTION("""COMPUTED_VALUE"""),"")</f>
        <v/>
      </c>
      <c r="E978" s="49" t="str">
        <f>IFERROR(__xludf.DUMMYFUNCTION("""COMPUTED_VALUE"""),"")</f>
        <v/>
      </c>
      <c r="F978" s="49" t="str">
        <f>IFERROR(__xludf.DUMMYFUNCTION("""COMPUTED_VALUE"""),"")</f>
        <v/>
      </c>
      <c r="G978" s="49" t="str">
        <f>IFERROR(__xludf.DUMMYFUNCTION("""COMPUTED_VALUE"""),"")</f>
        <v/>
      </c>
      <c r="H978" s="49"/>
      <c r="I978" s="49"/>
      <c r="J978" s="49"/>
      <c r="K978" s="49"/>
      <c r="L978" s="49"/>
      <c r="M978" s="49"/>
      <c r="N978" s="49"/>
      <c r="O978" s="49"/>
      <c r="P978" s="49"/>
      <c r="Q978" s="49"/>
      <c r="R978" s="49"/>
      <c r="S978" s="49"/>
      <c r="T978" s="49"/>
      <c r="U978" s="49"/>
      <c r="V978" s="49"/>
      <c r="W978" s="49"/>
      <c r="X978" s="49"/>
      <c r="Y978" s="49"/>
      <c r="Z978" s="49"/>
    </row>
    <row r="979">
      <c r="A979" s="49"/>
      <c r="B979" s="49" t="str">
        <f>IFERROR(__xludf.DUMMYFUNCTION("""COMPUTED_VALUE"""),"")</f>
        <v/>
      </c>
      <c r="C979" s="49" t="str">
        <f>IFERROR(__xludf.DUMMYFUNCTION("""COMPUTED_VALUE"""),"")</f>
        <v/>
      </c>
      <c r="D979" s="49" t="str">
        <f>IFERROR(__xludf.DUMMYFUNCTION("""COMPUTED_VALUE"""),"")</f>
        <v/>
      </c>
      <c r="E979" s="49" t="str">
        <f>IFERROR(__xludf.DUMMYFUNCTION("""COMPUTED_VALUE"""),"")</f>
        <v/>
      </c>
      <c r="F979" s="49" t="str">
        <f>IFERROR(__xludf.DUMMYFUNCTION("""COMPUTED_VALUE"""),"")</f>
        <v/>
      </c>
      <c r="G979" s="49" t="str">
        <f>IFERROR(__xludf.DUMMYFUNCTION("""COMPUTED_VALUE"""),"")</f>
        <v/>
      </c>
      <c r="H979" s="49"/>
      <c r="I979" s="49"/>
      <c r="J979" s="49"/>
      <c r="K979" s="49"/>
      <c r="L979" s="49"/>
      <c r="M979" s="49"/>
      <c r="N979" s="49"/>
      <c r="O979" s="49"/>
      <c r="P979" s="49"/>
      <c r="Q979" s="49"/>
      <c r="R979" s="49"/>
      <c r="S979" s="49"/>
      <c r="T979" s="49"/>
      <c r="U979" s="49"/>
      <c r="V979" s="49"/>
      <c r="W979" s="49"/>
      <c r="X979" s="49"/>
      <c r="Y979" s="49"/>
      <c r="Z979" s="49"/>
    </row>
    <row r="980">
      <c r="A980" s="49"/>
      <c r="B980" s="49" t="str">
        <f>IFERROR(__xludf.DUMMYFUNCTION("""COMPUTED_VALUE"""),"")</f>
        <v/>
      </c>
      <c r="C980" s="49" t="str">
        <f>IFERROR(__xludf.DUMMYFUNCTION("""COMPUTED_VALUE"""),"")</f>
        <v/>
      </c>
      <c r="D980" s="49" t="str">
        <f>IFERROR(__xludf.DUMMYFUNCTION("""COMPUTED_VALUE"""),"")</f>
        <v/>
      </c>
      <c r="E980" s="49" t="str">
        <f>IFERROR(__xludf.DUMMYFUNCTION("""COMPUTED_VALUE"""),"")</f>
        <v/>
      </c>
      <c r="F980" s="49" t="str">
        <f>IFERROR(__xludf.DUMMYFUNCTION("""COMPUTED_VALUE"""),"")</f>
        <v/>
      </c>
      <c r="G980" s="49" t="str">
        <f>IFERROR(__xludf.DUMMYFUNCTION("""COMPUTED_VALUE"""),"")</f>
        <v/>
      </c>
      <c r="H980" s="49"/>
      <c r="I980" s="49"/>
      <c r="J980" s="49"/>
      <c r="K980" s="49"/>
      <c r="L980" s="49"/>
      <c r="M980" s="49"/>
      <c r="N980" s="49"/>
      <c r="O980" s="49"/>
      <c r="P980" s="49"/>
      <c r="Q980" s="49"/>
      <c r="R980" s="49"/>
      <c r="S980" s="49"/>
      <c r="T980" s="49"/>
      <c r="U980" s="49"/>
      <c r="V980" s="49"/>
      <c r="W980" s="49"/>
      <c r="X980" s="49"/>
      <c r="Y980" s="49"/>
      <c r="Z980" s="49"/>
    </row>
    <row r="981">
      <c r="A981" s="49"/>
      <c r="B981" s="49" t="str">
        <f>IFERROR(__xludf.DUMMYFUNCTION("""COMPUTED_VALUE"""),"")</f>
        <v/>
      </c>
      <c r="C981" s="49" t="str">
        <f>IFERROR(__xludf.DUMMYFUNCTION("""COMPUTED_VALUE"""),"")</f>
        <v/>
      </c>
      <c r="D981" s="49" t="str">
        <f>IFERROR(__xludf.DUMMYFUNCTION("""COMPUTED_VALUE"""),"")</f>
        <v/>
      </c>
      <c r="E981" s="49" t="str">
        <f>IFERROR(__xludf.DUMMYFUNCTION("""COMPUTED_VALUE"""),"")</f>
        <v/>
      </c>
      <c r="F981" s="49" t="str">
        <f>IFERROR(__xludf.DUMMYFUNCTION("""COMPUTED_VALUE"""),"")</f>
        <v/>
      </c>
      <c r="G981" s="49" t="str">
        <f>IFERROR(__xludf.DUMMYFUNCTION("""COMPUTED_VALUE"""),"")</f>
        <v/>
      </c>
      <c r="H981" s="49"/>
      <c r="I981" s="49"/>
      <c r="J981" s="49"/>
      <c r="K981" s="49"/>
      <c r="L981" s="49"/>
      <c r="M981" s="49"/>
      <c r="N981" s="49"/>
      <c r="O981" s="49"/>
      <c r="P981" s="49"/>
      <c r="Q981" s="49"/>
      <c r="R981" s="49"/>
      <c r="S981" s="49"/>
      <c r="T981" s="49"/>
      <c r="U981" s="49"/>
      <c r="V981" s="49"/>
      <c r="W981" s="49"/>
      <c r="X981" s="49"/>
      <c r="Y981" s="49"/>
      <c r="Z981" s="49"/>
    </row>
    <row r="982">
      <c r="A982" s="49"/>
      <c r="B982" s="49" t="str">
        <f>IFERROR(__xludf.DUMMYFUNCTION("""COMPUTED_VALUE"""),"")</f>
        <v/>
      </c>
      <c r="C982" s="49" t="str">
        <f>IFERROR(__xludf.DUMMYFUNCTION("""COMPUTED_VALUE"""),"")</f>
        <v/>
      </c>
      <c r="D982" s="49" t="str">
        <f>IFERROR(__xludf.DUMMYFUNCTION("""COMPUTED_VALUE"""),"")</f>
        <v/>
      </c>
      <c r="E982" s="49" t="str">
        <f>IFERROR(__xludf.DUMMYFUNCTION("""COMPUTED_VALUE"""),"")</f>
        <v/>
      </c>
      <c r="F982" s="49" t="str">
        <f>IFERROR(__xludf.DUMMYFUNCTION("""COMPUTED_VALUE"""),"")</f>
        <v/>
      </c>
      <c r="G982" s="49" t="str">
        <f>IFERROR(__xludf.DUMMYFUNCTION("""COMPUTED_VALUE"""),"")</f>
        <v/>
      </c>
      <c r="H982" s="49"/>
      <c r="I982" s="49"/>
      <c r="J982" s="49"/>
      <c r="K982" s="49"/>
      <c r="L982" s="49"/>
      <c r="M982" s="49"/>
      <c r="N982" s="49"/>
      <c r="O982" s="49"/>
      <c r="P982" s="49"/>
      <c r="Q982" s="49"/>
      <c r="R982" s="49"/>
      <c r="S982" s="49"/>
      <c r="T982" s="49"/>
      <c r="U982" s="49"/>
      <c r="V982" s="49"/>
      <c r="W982" s="49"/>
      <c r="X982" s="49"/>
      <c r="Y982" s="49"/>
      <c r="Z982" s="49"/>
    </row>
    <row r="983">
      <c r="A983" s="49"/>
      <c r="B983" s="49" t="str">
        <f>IFERROR(__xludf.DUMMYFUNCTION("""COMPUTED_VALUE"""),"")</f>
        <v/>
      </c>
      <c r="C983" s="49" t="str">
        <f>IFERROR(__xludf.DUMMYFUNCTION("""COMPUTED_VALUE"""),"")</f>
        <v/>
      </c>
      <c r="D983" s="49" t="str">
        <f>IFERROR(__xludf.DUMMYFUNCTION("""COMPUTED_VALUE"""),"")</f>
        <v/>
      </c>
      <c r="E983" s="49" t="str">
        <f>IFERROR(__xludf.DUMMYFUNCTION("""COMPUTED_VALUE"""),"")</f>
        <v/>
      </c>
      <c r="F983" s="49" t="str">
        <f>IFERROR(__xludf.DUMMYFUNCTION("""COMPUTED_VALUE"""),"")</f>
        <v/>
      </c>
      <c r="G983" s="49" t="str">
        <f>IFERROR(__xludf.DUMMYFUNCTION("""COMPUTED_VALUE"""),"")</f>
        <v/>
      </c>
      <c r="H983" s="49"/>
      <c r="I983" s="49"/>
      <c r="J983" s="49"/>
      <c r="K983" s="49"/>
      <c r="L983" s="49"/>
      <c r="M983" s="49"/>
      <c r="N983" s="49"/>
      <c r="O983" s="49"/>
      <c r="P983" s="49"/>
      <c r="Q983" s="49"/>
      <c r="R983" s="49"/>
      <c r="S983" s="49"/>
      <c r="T983" s="49"/>
      <c r="U983" s="49"/>
      <c r="V983" s="49"/>
      <c r="W983" s="49"/>
      <c r="X983" s="49"/>
      <c r="Y983" s="49"/>
      <c r="Z983" s="49"/>
    </row>
    <row r="984">
      <c r="A984" s="49"/>
      <c r="B984" s="49" t="str">
        <f>IFERROR(__xludf.DUMMYFUNCTION("""COMPUTED_VALUE"""),"")</f>
        <v/>
      </c>
      <c r="C984" s="49" t="str">
        <f>IFERROR(__xludf.DUMMYFUNCTION("""COMPUTED_VALUE"""),"")</f>
        <v/>
      </c>
      <c r="D984" s="49" t="str">
        <f>IFERROR(__xludf.DUMMYFUNCTION("""COMPUTED_VALUE"""),"")</f>
        <v/>
      </c>
      <c r="E984" s="49" t="str">
        <f>IFERROR(__xludf.DUMMYFUNCTION("""COMPUTED_VALUE"""),"")</f>
        <v/>
      </c>
      <c r="F984" s="49" t="str">
        <f>IFERROR(__xludf.DUMMYFUNCTION("""COMPUTED_VALUE"""),"")</f>
        <v/>
      </c>
      <c r="G984" s="49" t="str">
        <f>IFERROR(__xludf.DUMMYFUNCTION("""COMPUTED_VALUE"""),"")</f>
        <v/>
      </c>
      <c r="H984" s="49"/>
      <c r="I984" s="49"/>
      <c r="J984" s="49"/>
      <c r="K984" s="49"/>
      <c r="L984" s="49"/>
      <c r="M984" s="49"/>
      <c r="N984" s="49"/>
      <c r="O984" s="49"/>
      <c r="P984" s="49"/>
      <c r="Q984" s="49"/>
      <c r="R984" s="49"/>
      <c r="S984" s="49"/>
      <c r="T984" s="49"/>
      <c r="U984" s="49"/>
      <c r="V984" s="49"/>
      <c r="W984" s="49"/>
      <c r="X984" s="49"/>
      <c r="Y984" s="49"/>
      <c r="Z984" s="49"/>
    </row>
    <row r="985">
      <c r="A985" s="49"/>
      <c r="B985" s="49" t="str">
        <f>IFERROR(__xludf.DUMMYFUNCTION("""COMPUTED_VALUE"""),"")</f>
        <v/>
      </c>
      <c r="C985" s="49" t="str">
        <f>IFERROR(__xludf.DUMMYFUNCTION("""COMPUTED_VALUE"""),"")</f>
        <v/>
      </c>
      <c r="D985" s="49" t="str">
        <f>IFERROR(__xludf.DUMMYFUNCTION("""COMPUTED_VALUE"""),"")</f>
        <v/>
      </c>
      <c r="E985" s="49" t="str">
        <f>IFERROR(__xludf.DUMMYFUNCTION("""COMPUTED_VALUE"""),"")</f>
        <v/>
      </c>
      <c r="F985" s="49" t="str">
        <f>IFERROR(__xludf.DUMMYFUNCTION("""COMPUTED_VALUE"""),"")</f>
        <v/>
      </c>
      <c r="G985" s="49" t="str">
        <f>IFERROR(__xludf.DUMMYFUNCTION("""COMPUTED_VALUE"""),"")</f>
        <v/>
      </c>
      <c r="H985" s="49"/>
      <c r="I985" s="49"/>
      <c r="J985" s="49"/>
      <c r="K985" s="49"/>
      <c r="L985" s="49"/>
      <c r="M985" s="49"/>
      <c r="N985" s="49"/>
      <c r="O985" s="49"/>
      <c r="P985" s="49"/>
      <c r="Q985" s="49"/>
      <c r="R985" s="49"/>
      <c r="S985" s="49"/>
      <c r="T985" s="49"/>
      <c r="U985" s="49"/>
      <c r="V985" s="49"/>
      <c r="W985" s="49"/>
      <c r="X985" s="49"/>
      <c r="Y985" s="49"/>
      <c r="Z985" s="49"/>
    </row>
    <row r="986">
      <c r="A986" s="49"/>
      <c r="B986" s="49" t="str">
        <f>IFERROR(__xludf.DUMMYFUNCTION("""COMPUTED_VALUE"""),"")</f>
        <v/>
      </c>
      <c r="C986" s="49" t="str">
        <f>IFERROR(__xludf.DUMMYFUNCTION("""COMPUTED_VALUE"""),"")</f>
        <v/>
      </c>
      <c r="D986" s="49" t="str">
        <f>IFERROR(__xludf.DUMMYFUNCTION("""COMPUTED_VALUE"""),"")</f>
        <v/>
      </c>
      <c r="E986" s="49" t="str">
        <f>IFERROR(__xludf.DUMMYFUNCTION("""COMPUTED_VALUE"""),"")</f>
        <v/>
      </c>
      <c r="F986" s="49" t="str">
        <f>IFERROR(__xludf.DUMMYFUNCTION("""COMPUTED_VALUE"""),"")</f>
        <v/>
      </c>
      <c r="G986" s="49" t="str">
        <f>IFERROR(__xludf.DUMMYFUNCTION("""COMPUTED_VALUE"""),"")</f>
        <v/>
      </c>
      <c r="H986" s="49"/>
      <c r="I986" s="49"/>
      <c r="J986" s="49"/>
      <c r="K986" s="49"/>
      <c r="L986" s="49"/>
      <c r="M986" s="49"/>
      <c r="N986" s="49"/>
      <c r="O986" s="49"/>
      <c r="P986" s="49"/>
      <c r="Q986" s="49"/>
      <c r="R986" s="49"/>
      <c r="S986" s="49"/>
      <c r="T986" s="49"/>
      <c r="U986" s="49"/>
      <c r="V986" s="49"/>
      <c r="W986" s="49"/>
      <c r="X986" s="49"/>
      <c r="Y986" s="49"/>
      <c r="Z986" s="49"/>
    </row>
    <row r="987">
      <c r="A987" s="49"/>
      <c r="B987" s="49" t="str">
        <f>IFERROR(__xludf.DUMMYFUNCTION("""COMPUTED_VALUE"""),"")</f>
        <v/>
      </c>
      <c r="C987" s="49" t="str">
        <f>IFERROR(__xludf.DUMMYFUNCTION("""COMPUTED_VALUE"""),"")</f>
        <v/>
      </c>
      <c r="D987" s="49" t="str">
        <f>IFERROR(__xludf.DUMMYFUNCTION("""COMPUTED_VALUE"""),"")</f>
        <v/>
      </c>
      <c r="E987" s="49" t="str">
        <f>IFERROR(__xludf.DUMMYFUNCTION("""COMPUTED_VALUE"""),"")</f>
        <v/>
      </c>
      <c r="F987" s="49" t="str">
        <f>IFERROR(__xludf.DUMMYFUNCTION("""COMPUTED_VALUE"""),"")</f>
        <v/>
      </c>
      <c r="G987" s="49" t="str">
        <f>IFERROR(__xludf.DUMMYFUNCTION("""COMPUTED_VALUE"""),"")</f>
        <v/>
      </c>
      <c r="H987" s="49"/>
      <c r="I987" s="49"/>
      <c r="J987" s="49"/>
      <c r="K987" s="49"/>
      <c r="L987" s="49"/>
      <c r="M987" s="49"/>
      <c r="N987" s="49"/>
      <c r="O987" s="49"/>
      <c r="P987" s="49"/>
      <c r="Q987" s="49"/>
      <c r="R987" s="49"/>
      <c r="S987" s="49"/>
      <c r="T987" s="49"/>
      <c r="U987" s="49"/>
      <c r="V987" s="49"/>
      <c r="W987" s="49"/>
      <c r="X987" s="49"/>
      <c r="Y987" s="49"/>
      <c r="Z987" s="49"/>
    </row>
    <row r="988">
      <c r="A988" s="49"/>
      <c r="B988" s="49" t="str">
        <f>IFERROR(__xludf.DUMMYFUNCTION("""COMPUTED_VALUE"""),"")</f>
        <v/>
      </c>
      <c r="C988" s="49" t="str">
        <f>IFERROR(__xludf.DUMMYFUNCTION("""COMPUTED_VALUE"""),"")</f>
        <v/>
      </c>
      <c r="D988" s="49" t="str">
        <f>IFERROR(__xludf.DUMMYFUNCTION("""COMPUTED_VALUE"""),"")</f>
        <v/>
      </c>
      <c r="E988" s="49" t="str">
        <f>IFERROR(__xludf.DUMMYFUNCTION("""COMPUTED_VALUE"""),"")</f>
        <v/>
      </c>
      <c r="F988" s="49" t="str">
        <f>IFERROR(__xludf.DUMMYFUNCTION("""COMPUTED_VALUE"""),"")</f>
        <v/>
      </c>
      <c r="G988" s="49" t="str">
        <f>IFERROR(__xludf.DUMMYFUNCTION("""COMPUTED_VALUE"""),"")</f>
        <v/>
      </c>
      <c r="H988" s="49"/>
      <c r="I988" s="49"/>
      <c r="J988" s="49"/>
      <c r="K988" s="49"/>
      <c r="L988" s="49"/>
      <c r="M988" s="49"/>
      <c r="N988" s="49"/>
      <c r="O988" s="49"/>
      <c r="P988" s="49"/>
      <c r="Q988" s="49"/>
      <c r="R988" s="49"/>
      <c r="S988" s="49"/>
      <c r="T988" s="49"/>
      <c r="U988" s="49"/>
      <c r="V988" s="49"/>
      <c r="W988" s="49"/>
      <c r="X988" s="49"/>
      <c r="Y988" s="49"/>
      <c r="Z988" s="49"/>
    </row>
    <row r="989">
      <c r="A989" s="49"/>
      <c r="B989" s="49" t="str">
        <f>IFERROR(__xludf.DUMMYFUNCTION("""COMPUTED_VALUE"""),"")</f>
        <v/>
      </c>
      <c r="C989" s="49" t="str">
        <f>IFERROR(__xludf.DUMMYFUNCTION("""COMPUTED_VALUE"""),"")</f>
        <v/>
      </c>
      <c r="D989" s="49" t="str">
        <f>IFERROR(__xludf.DUMMYFUNCTION("""COMPUTED_VALUE"""),"")</f>
        <v/>
      </c>
      <c r="E989" s="49" t="str">
        <f>IFERROR(__xludf.DUMMYFUNCTION("""COMPUTED_VALUE"""),"")</f>
        <v/>
      </c>
      <c r="F989" s="49" t="str">
        <f>IFERROR(__xludf.DUMMYFUNCTION("""COMPUTED_VALUE"""),"")</f>
        <v/>
      </c>
      <c r="G989" s="49" t="str">
        <f>IFERROR(__xludf.DUMMYFUNCTION("""COMPUTED_VALUE"""),"")</f>
        <v/>
      </c>
      <c r="H989" s="49"/>
      <c r="I989" s="49"/>
      <c r="J989" s="49"/>
      <c r="K989" s="49"/>
      <c r="L989" s="49"/>
      <c r="M989" s="49"/>
      <c r="N989" s="49"/>
      <c r="O989" s="49"/>
      <c r="P989" s="49"/>
      <c r="Q989" s="49"/>
      <c r="R989" s="49"/>
      <c r="S989" s="49"/>
      <c r="T989" s="49"/>
      <c r="U989" s="49"/>
      <c r="V989" s="49"/>
      <c r="W989" s="49"/>
      <c r="X989" s="49"/>
      <c r="Y989" s="49"/>
      <c r="Z989" s="49"/>
    </row>
    <row r="990">
      <c r="A990" s="49"/>
      <c r="B990" s="49" t="str">
        <f>IFERROR(__xludf.DUMMYFUNCTION("""COMPUTED_VALUE"""),"")</f>
        <v/>
      </c>
      <c r="C990" s="49" t="str">
        <f>IFERROR(__xludf.DUMMYFUNCTION("""COMPUTED_VALUE"""),"")</f>
        <v/>
      </c>
      <c r="D990" s="49" t="str">
        <f>IFERROR(__xludf.DUMMYFUNCTION("""COMPUTED_VALUE"""),"")</f>
        <v/>
      </c>
      <c r="E990" s="49" t="str">
        <f>IFERROR(__xludf.DUMMYFUNCTION("""COMPUTED_VALUE"""),"")</f>
        <v/>
      </c>
      <c r="F990" s="49" t="str">
        <f>IFERROR(__xludf.DUMMYFUNCTION("""COMPUTED_VALUE"""),"")</f>
        <v/>
      </c>
      <c r="G990" s="49" t="str">
        <f>IFERROR(__xludf.DUMMYFUNCTION("""COMPUTED_VALUE"""),"")</f>
        <v/>
      </c>
      <c r="H990" s="49"/>
      <c r="I990" s="49"/>
      <c r="J990" s="49"/>
      <c r="K990" s="49"/>
      <c r="L990" s="49"/>
      <c r="M990" s="49"/>
      <c r="N990" s="49"/>
      <c r="O990" s="49"/>
      <c r="P990" s="49"/>
      <c r="Q990" s="49"/>
      <c r="R990" s="49"/>
      <c r="S990" s="49"/>
      <c r="T990" s="49"/>
      <c r="U990" s="49"/>
      <c r="V990" s="49"/>
      <c r="W990" s="49"/>
      <c r="X990" s="49"/>
      <c r="Y990" s="49"/>
      <c r="Z990" s="49"/>
    </row>
    <row r="991">
      <c r="A991" s="49"/>
      <c r="B991" s="49" t="str">
        <f>IFERROR(__xludf.DUMMYFUNCTION("""COMPUTED_VALUE"""),"")</f>
        <v/>
      </c>
      <c r="C991" s="49" t="str">
        <f>IFERROR(__xludf.DUMMYFUNCTION("""COMPUTED_VALUE"""),"")</f>
        <v/>
      </c>
      <c r="D991" s="49" t="str">
        <f>IFERROR(__xludf.DUMMYFUNCTION("""COMPUTED_VALUE"""),"")</f>
        <v/>
      </c>
      <c r="E991" s="49" t="str">
        <f>IFERROR(__xludf.DUMMYFUNCTION("""COMPUTED_VALUE"""),"")</f>
        <v/>
      </c>
      <c r="F991" s="49" t="str">
        <f>IFERROR(__xludf.DUMMYFUNCTION("""COMPUTED_VALUE"""),"")</f>
        <v/>
      </c>
      <c r="G991" s="49" t="str">
        <f>IFERROR(__xludf.DUMMYFUNCTION("""COMPUTED_VALUE"""),"")</f>
        <v/>
      </c>
      <c r="H991" s="49"/>
      <c r="I991" s="49"/>
      <c r="J991" s="49"/>
      <c r="K991" s="49"/>
      <c r="L991" s="49"/>
      <c r="M991" s="49"/>
      <c r="N991" s="49"/>
      <c r="O991" s="49"/>
      <c r="P991" s="49"/>
      <c r="Q991" s="49"/>
      <c r="R991" s="49"/>
      <c r="S991" s="49"/>
      <c r="T991" s="49"/>
      <c r="U991" s="49"/>
      <c r="V991" s="49"/>
      <c r="W991" s="49"/>
      <c r="X991" s="49"/>
      <c r="Y991" s="49"/>
      <c r="Z991" s="49"/>
    </row>
    <row r="992">
      <c r="A992" s="49"/>
      <c r="B992" s="49" t="str">
        <f>IFERROR(__xludf.DUMMYFUNCTION("""COMPUTED_VALUE"""),"")</f>
        <v/>
      </c>
      <c r="C992" s="49" t="str">
        <f>IFERROR(__xludf.DUMMYFUNCTION("""COMPUTED_VALUE"""),"")</f>
        <v/>
      </c>
      <c r="D992" s="49" t="str">
        <f>IFERROR(__xludf.DUMMYFUNCTION("""COMPUTED_VALUE"""),"")</f>
        <v/>
      </c>
      <c r="E992" s="49" t="str">
        <f>IFERROR(__xludf.DUMMYFUNCTION("""COMPUTED_VALUE"""),"")</f>
        <v/>
      </c>
      <c r="F992" s="49" t="str">
        <f>IFERROR(__xludf.DUMMYFUNCTION("""COMPUTED_VALUE"""),"")</f>
        <v/>
      </c>
      <c r="G992" s="49" t="str">
        <f>IFERROR(__xludf.DUMMYFUNCTION("""COMPUTED_VALUE"""),"")</f>
        <v/>
      </c>
      <c r="H992" s="49"/>
      <c r="I992" s="49"/>
      <c r="J992" s="49"/>
      <c r="K992" s="49"/>
      <c r="L992" s="49"/>
      <c r="M992" s="49"/>
      <c r="N992" s="49"/>
      <c r="O992" s="49"/>
      <c r="P992" s="49"/>
      <c r="Q992" s="49"/>
      <c r="R992" s="49"/>
      <c r="S992" s="49"/>
      <c r="T992" s="49"/>
      <c r="U992" s="49"/>
      <c r="V992" s="49"/>
      <c r="W992" s="49"/>
      <c r="X992" s="49"/>
      <c r="Y992" s="49"/>
      <c r="Z992" s="49"/>
    </row>
    <row r="993">
      <c r="A993" s="49"/>
      <c r="B993" s="49" t="str">
        <f>IFERROR(__xludf.DUMMYFUNCTION("""COMPUTED_VALUE"""),"")</f>
        <v/>
      </c>
      <c r="C993" s="49" t="str">
        <f>IFERROR(__xludf.DUMMYFUNCTION("""COMPUTED_VALUE"""),"")</f>
        <v/>
      </c>
      <c r="D993" s="49" t="str">
        <f>IFERROR(__xludf.DUMMYFUNCTION("""COMPUTED_VALUE"""),"")</f>
        <v/>
      </c>
      <c r="E993" s="49" t="str">
        <f>IFERROR(__xludf.DUMMYFUNCTION("""COMPUTED_VALUE"""),"")</f>
        <v/>
      </c>
      <c r="F993" s="49" t="str">
        <f>IFERROR(__xludf.DUMMYFUNCTION("""COMPUTED_VALUE"""),"")</f>
        <v/>
      </c>
      <c r="G993" s="49" t="str">
        <f>IFERROR(__xludf.DUMMYFUNCTION("""COMPUTED_VALUE"""),"")</f>
        <v/>
      </c>
      <c r="H993" s="49"/>
      <c r="I993" s="49"/>
      <c r="J993" s="49"/>
      <c r="K993" s="49"/>
      <c r="L993" s="49"/>
      <c r="M993" s="49"/>
      <c r="N993" s="49"/>
      <c r="O993" s="49"/>
      <c r="P993" s="49"/>
      <c r="Q993" s="49"/>
      <c r="R993" s="49"/>
      <c r="S993" s="49"/>
      <c r="T993" s="49"/>
      <c r="U993" s="49"/>
      <c r="V993" s="49"/>
      <c r="W993" s="49"/>
      <c r="X993" s="49"/>
      <c r="Y993" s="49"/>
      <c r="Z993" s="49"/>
    </row>
    <row r="994">
      <c r="A994" s="49"/>
      <c r="B994" s="49" t="str">
        <f>IFERROR(__xludf.DUMMYFUNCTION("""COMPUTED_VALUE"""),"")</f>
        <v/>
      </c>
      <c r="C994" s="49" t="str">
        <f>IFERROR(__xludf.DUMMYFUNCTION("""COMPUTED_VALUE"""),"")</f>
        <v/>
      </c>
      <c r="D994" s="49" t="str">
        <f>IFERROR(__xludf.DUMMYFUNCTION("""COMPUTED_VALUE"""),"")</f>
        <v/>
      </c>
      <c r="E994" s="49" t="str">
        <f>IFERROR(__xludf.DUMMYFUNCTION("""COMPUTED_VALUE"""),"")</f>
        <v/>
      </c>
      <c r="F994" s="49" t="str">
        <f>IFERROR(__xludf.DUMMYFUNCTION("""COMPUTED_VALUE"""),"")</f>
        <v/>
      </c>
      <c r="G994" s="49" t="str">
        <f>IFERROR(__xludf.DUMMYFUNCTION("""COMPUTED_VALUE"""),"")</f>
        <v/>
      </c>
      <c r="H994" s="49"/>
      <c r="I994" s="49"/>
      <c r="J994" s="49"/>
      <c r="K994" s="49"/>
      <c r="L994" s="49"/>
      <c r="M994" s="49"/>
      <c r="N994" s="49"/>
      <c r="O994" s="49"/>
      <c r="P994" s="49"/>
      <c r="Q994" s="49"/>
      <c r="R994" s="49"/>
      <c r="S994" s="49"/>
      <c r="T994" s="49"/>
      <c r="U994" s="49"/>
      <c r="V994" s="49"/>
      <c r="W994" s="49"/>
      <c r="X994" s="49"/>
      <c r="Y994" s="49"/>
      <c r="Z994" s="49"/>
    </row>
    <row r="995">
      <c r="A995" s="49"/>
      <c r="B995" s="49" t="str">
        <f>IFERROR(__xludf.DUMMYFUNCTION("""COMPUTED_VALUE"""),"")</f>
        <v/>
      </c>
      <c r="C995" s="49" t="str">
        <f>IFERROR(__xludf.DUMMYFUNCTION("""COMPUTED_VALUE"""),"")</f>
        <v/>
      </c>
      <c r="D995" s="49" t="str">
        <f>IFERROR(__xludf.DUMMYFUNCTION("""COMPUTED_VALUE"""),"")</f>
        <v/>
      </c>
      <c r="E995" s="49" t="str">
        <f>IFERROR(__xludf.DUMMYFUNCTION("""COMPUTED_VALUE"""),"")</f>
        <v/>
      </c>
      <c r="F995" s="49" t="str">
        <f>IFERROR(__xludf.DUMMYFUNCTION("""COMPUTED_VALUE"""),"")</f>
        <v/>
      </c>
      <c r="G995" s="49" t="str">
        <f>IFERROR(__xludf.DUMMYFUNCTION("""COMPUTED_VALUE"""),"")</f>
        <v/>
      </c>
      <c r="H995" s="49"/>
      <c r="I995" s="49"/>
      <c r="J995" s="49"/>
      <c r="K995" s="49"/>
      <c r="L995" s="49"/>
      <c r="M995" s="49"/>
      <c r="N995" s="49"/>
      <c r="O995" s="49"/>
      <c r="P995" s="49"/>
      <c r="Q995" s="49"/>
      <c r="R995" s="49"/>
      <c r="S995" s="49"/>
      <c r="T995" s="49"/>
      <c r="U995" s="49"/>
      <c r="V995" s="49"/>
      <c r="W995" s="49"/>
      <c r="X995" s="49"/>
      <c r="Y995" s="49"/>
      <c r="Z995" s="49"/>
    </row>
    <row r="996">
      <c r="A996" s="49"/>
      <c r="B996" s="49" t="str">
        <f>IFERROR(__xludf.DUMMYFUNCTION("""COMPUTED_VALUE"""),"")</f>
        <v/>
      </c>
      <c r="C996" s="49" t="str">
        <f>IFERROR(__xludf.DUMMYFUNCTION("""COMPUTED_VALUE"""),"")</f>
        <v/>
      </c>
      <c r="D996" s="49" t="str">
        <f>IFERROR(__xludf.DUMMYFUNCTION("""COMPUTED_VALUE"""),"")</f>
        <v/>
      </c>
      <c r="E996" s="49" t="str">
        <f>IFERROR(__xludf.DUMMYFUNCTION("""COMPUTED_VALUE"""),"")</f>
        <v/>
      </c>
      <c r="F996" s="49" t="str">
        <f>IFERROR(__xludf.DUMMYFUNCTION("""COMPUTED_VALUE"""),"")</f>
        <v/>
      </c>
      <c r="G996" s="49" t="str">
        <f>IFERROR(__xludf.DUMMYFUNCTION("""COMPUTED_VALUE"""),"")</f>
        <v/>
      </c>
      <c r="H996" s="49"/>
      <c r="I996" s="49"/>
      <c r="J996" s="49"/>
      <c r="K996" s="49"/>
      <c r="L996" s="49"/>
      <c r="M996" s="49"/>
      <c r="N996" s="49"/>
      <c r="O996" s="49"/>
      <c r="P996" s="49"/>
      <c r="Q996" s="49"/>
      <c r="R996" s="49"/>
      <c r="S996" s="49"/>
      <c r="T996" s="49"/>
      <c r="U996" s="49"/>
      <c r="V996" s="49"/>
      <c r="W996" s="49"/>
      <c r="X996" s="49"/>
      <c r="Y996" s="49"/>
      <c r="Z996" s="49"/>
    </row>
    <row r="997">
      <c r="A997" s="49"/>
      <c r="B997" s="49" t="str">
        <f>IFERROR(__xludf.DUMMYFUNCTION("""COMPUTED_VALUE"""),"")</f>
        <v/>
      </c>
      <c r="C997" s="49" t="str">
        <f>IFERROR(__xludf.DUMMYFUNCTION("""COMPUTED_VALUE"""),"")</f>
        <v/>
      </c>
      <c r="D997" s="49" t="str">
        <f>IFERROR(__xludf.DUMMYFUNCTION("""COMPUTED_VALUE"""),"")</f>
        <v/>
      </c>
      <c r="E997" s="49" t="str">
        <f>IFERROR(__xludf.DUMMYFUNCTION("""COMPUTED_VALUE"""),"")</f>
        <v/>
      </c>
      <c r="F997" s="49" t="str">
        <f>IFERROR(__xludf.DUMMYFUNCTION("""COMPUTED_VALUE"""),"")</f>
        <v/>
      </c>
      <c r="G997" s="49" t="str">
        <f>IFERROR(__xludf.DUMMYFUNCTION("""COMPUTED_VALUE"""),"")</f>
        <v/>
      </c>
      <c r="H997" s="49"/>
      <c r="I997" s="49"/>
      <c r="J997" s="49"/>
      <c r="K997" s="49"/>
      <c r="L997" s="49"/>
      <c r="M997" s="49"/>
      <c r="N997" s="49"/>
      <c r="O997" s="49"/>
      <c r="P997" s="49"/>
      <c r="Q997" s="49"/>
      <c r="R997" s="49"/>
      <c r="S997" s="49"/>
      <c r="T997" s="49"/>
      <c r="U997" s="49"/>
      <c r="V997" s="49"/>
      <c r="W997" s="49"/>
      <c r="X997" s="49"/>
      <c r="Y997" s="49"/>
      <c r="Z997" s="49"/>
    </row>
    <row r="998">
      <c r="A998" s="49"/>
      <c r="B998" s="49" t="str">
        <f>IFERROR(__xludf.DUMMYFUNCTION("""COMPUTED_VALUE"""),"")</f>
        <v/>
      </c>
      <c r="C998" s="49" t="str">
        <f>IFERROR(__xludf.DUMMYFUNCTION("""COMPUTED_VALUE"""),"")</f>
        <v/>
      </c>
      <c r="D998" s="49" t="str">
        <f>IFERROR(__xludf.DUMMYFUNCTION("""COMPUTED_VALUE"""),"")</f>
        <v/>
      </c>
      <c r="E998" s="49" t="str">
        <f>IFERROR(__xludf.DUMMYFUNCTION("""COMPUTED_VALUE"""),"")</f>
        <v/>
      </c>
      <c r="F998" s="49" t="str">
        <f>IFERROR(__xludf.DUMMYFUNCTION("""COMPUTED_VALUE"""),"")</f>
        <v/>
      </c>
      <c r="G998" s="49" t="str">
        <f>IFERROR(__xludf.DUMMYFUNCTION("""COMPUTED_VALUE"""),"")</f>
        <v/>
      </c>
      <c r="H998" s="49"/>
      <c r="I998" s="49"/>
      <c r="J998" s="49"/>
      <c r="K998" s="49"/>
      <c r="L998" s="49"/>
      <c r="M998" s="49"/>
      <c r="N998" s="49"/>
      <c r="O998" s="49"/>
      <c r="P998" s="49"/>
      <c r="Q998" s="49"/>
      <c r="R998" s="49"/>
      <c r="S998" s="49"/>
      <c r="T998" s="49"/>
      <c r="U998" s="49"/>
      <c r="V998" s="49"/>
      <c r="W998" s="49"/>
      <c r="X998" s="49"/>
      <c r="Y998" s="49"/>
      <c r="Z998" s="49"/>
    </row>
    <row r="999">
      <c r="A999" s="49"/>
      <c r="B999" s="49" t="str">
        <f>IFERROR(__xludf.DUMMYFUNCTION("""COMPUTED_VALUE"""),"")</f>
        <v/>
      </c>
      <c r="C999" s="49" t="str">
        <f>IFERROR(__xludf.DUMMYFUNCTION("""COMPUTED_VALUE"""),"")</f>
        <v/>
      </c>
      <c r="D999" s="49" t="str">
        <f>IFERROR(__xludf.DUMMYFUNCTION("""COMPUTED_VALUE"""),"")</f>
        <v/>
      </c>
      <c r="E999" s="49" t="str">
        <f>IFERROR(__xludf.DUMMYFUNCTION("""COMPUTED_VALUE"""),"")</f>
        <v/>
      </c>
      <c r="F999" s="49" t="str">
        <f>IFERROR(__xludf.DUMMYFUNCTION("""COMPUTED_VALUE"""),"")</f>
        <v/>
      </c>
      <c r="G999" s="49" t="str">
        <f>IFERROR(__xludf.DUMMYFUNCTION("""COMPUTED_VALUE"""),"")</f>
        <v/>
      </c>
      <c r="H999" s="49"/>
      <c r="I999" s="49"/>
      <c r="J999" s="49"/>
      <c r="K999" s="49"/>
      <c r="L999" s="49"/>
      <c r="M999" s="49"/>
      <c r="N999" s="49"/>
      <c r="O999" s="49"/>
      <c r="P999" s="49"/>
      <c r="Q999" s="49"/>
      <c r="R999" s="49"/>
      <c r="S999" s="49"/>
      <c r="T999" s="49"/>
      <c r="U999" s="49"/>
      <c r="V999" s="49"/>
      <c r="W999" s="49"/>
      <c r="X999" s="49"/>
      <c r="Y999" s="49"/>
      <c r="Z999" s="49"/>
    </row>
    <row r="1000">
      <c r="A1000" s="49"/>
      <c r="B1000" s="49" t="str">
        <f>IFERROR(__xludf.DUMMYFUNCTION("""COMPUTED_VALUE"""),"")</f>
        <v/>
      </c>
      <c r="C1000" s="49" t="str">
        <f>IFERROR(__xludf.DUMMYFUNCTION("""COMPUTED_VALUE"""),"")</f>
        <v/>
      </c>
      <c r="D1000" s="49" t="str">
        <f>IFERROR(__xludf.DUMMYFUNCTION("""COMPUTED_VALUE"""),"")</f>
        <v/>
      </c>
      <c r="E1000" s="49" t="str">
        <f>IFERROR(__xludf.DUMMYFUNCTION("""COMPUTED_VALUE"""),"")</f>
        <v/>
      </c>
      <c r="F1000" s="49" t="str">
        <f>IFERROR(__xludf.DUMMYFUNCTION("""COMPUTED_VALUE"""),"")</f>
        <v/>
      </c>
      <c r="G1000" s="49" t="str">
        <f>IFERROR(__xludf.DUMMYFUNCTION("""COMPUTED_VALUE"""),"")</f>
        <v/>
      </c>
      <c r="H1000" s="49"/>
      <c r="I1000" s="49"/>
      <c r="J1000" s="49"/>
      <c r="K1000" s="49"/>
      <c r="L1000" s="49"/>
      <c r="M1000" s="49"/>
      <c r="N1000" s="49"/>
      <c r="O1000" s="49"/>
      <c r="P1000" s="49"/>
      <c r="Q1000" s="49"/>
      <c r="R1000" s="49"/>
      <c r="S1000" s="49"/>
      <c r="T1000" s="49"/>
      <c r="U1000" s="49"/>
      <c r="V1000" s="49"/>
      <c r="W1000" s="49"/>
      <c r="X1000" s="49"/>
      <c r="Y1000" s="49"/>
      <c r="Z1000" s="49"/>
    </row>
    <row r="1001">
      <c r="A1001" s="49"/>
      <c r="B1001" s="49" t="str">
        <f>IFERROR(__xludf.DUMMYFUNCTION("""COMPUTED_VALUE"""),"")</f>
        <v/>
      </c>
      <c r="C1001" s="49" t="str">
        <f>IFERROR(__xludf.DUMMYFUNCTION("""COMPUTED_VALUE"""),"")</f>
        <v/>
      </c>
      <c r="D1001" s="49" t="str">
        <f>IFERROR(__xludf.DUMMYFUNCTION("""COMPUTED_VALUE"""),"")</f>
        <v/>
      </c>
      <c r="E1001" s="49" t="str">
        <f>IFERROR(__xludf.DUMMYFUNCTION("""COMPUTED_VALUE"""),"")</f>
        <v/>
      </c>
      <c r="F1001" s="49" t="str">
        <f>IFERROR(__xludf.DUMMYFUNCTION("""COMPUTED_VALUE"""),"")</f>
        <v/>
      </c>
      <c r="G1001" s="49" t="str">
        <f>IFERROR(__xludf.DUMMYFUNCTION("""COMPUTED_VALUE"""),"")</f>
        <v/>
      </c>
      <c r="H1001" s="49"/>
      <c r="I1001" s="49"/>
      <c r="J1001" s="49"/>
      <c r="K1001" s="49"/>
      <c r="L1001" s="49"/>
      <c r="M1001" s="49"/>
      <c r="N1001" s="49"/>
      <c r="O1001" s="49"/>
      <c r="P1001" s="49"/>
      <c r="Q1001" s="49"/>
      <c r="R1001" s="49"/>
      <c r="S1001" s="49"/>
      <c r="T1001" s="49"/>
      <c r="U1001" s="49"/>
      <c r="V1001" s="49"/>
      <c r="W1001" s="49"/>
      <c r="X1001" s="49"/>
      <c r="Y1001" s="49"/>
      <c r="Z1001" s="49"/>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49" t="str">
        <f>IFERROR(__xludf.DUMMYFUNCTION("IMPORTRANGE(""https://docs.google.com/spreadsheets/d/""&amp;Config!B1,""AstrologicalSigns!A:D"")"),"Sign")</f>
        <v>Sign</v>
      </c>
      <c r="B1" s="49" t="str">
        <f>IFERROR(__xludf.DUMMYFUNCTION("""COMPUTED_VALUE"""),"Ability")</f>
        <v>Ability</v>
      </c>
      <c r="C1" s="49" t="str">
        <f>IFERROR(__xludf.DUMMYFUNCTION("""COMPUTED_VALUE"""),"Description")</f>
        <v>Description</v>
      </c>
      <c r="D1" s="49"/>
    </row>
    <row r="2">
      <c r="A2" s="49" t="str">
        <f>IFERROR(__xludf.DUMMYFUNCTION("""COMPUTED_VALUE"""),"Aries")</f>
        <v>Aries</v>
      </c>
      <c r="B2" s="49" t="str">
        <f>IFERROR(__xludf.DUMMYFUNCTION("""COMPUTED_VALUE"""),"Full Speed")</f>
        <v>Full Speed</v>
      </c>
      <c r="C2" s="49" t="str">
        <f>IFERROR(__xludf.DUMMYFUNCTION("""COMPUTED_VALUE"""),"At the start of each battle, 50% chance to act twice on the first round of a battle.")</f>
        <v>At the start of each battle, 50% chance to act twice on the first round of a battle.</v>
      </c>
      <c r="D2" s="49"/>
    </row>
    <row r="3">
      <c r="A3" s="49" t="str">
        <f>IFERROR(__xludf.DUMMYFUNCTION("""COMPUTED_VALUE"""),"Taurus")</f>
        <v>Taurus</v>
      </c>
      <c r="B3" s="49" t="str">
        <f>IFERROR(__xludf.DUMMYFUNCTION("""COMPUTED_VALUE"""),"The Bull")</f>
        <v>The Bull</v>
      </c>
      <c r="C3" s="49" t="str">
        <f>IFERROR(__xludf.DUMMYFUNCTION("""COMPUTED_VALUE"""),"During each of your turns in battle, you get 1 additional weapon attack as long as you attacked with a weapon.")</f>
        <v>During each of your turns in battle, you get 1 additional weapon attack as long as you attacked with a weapon.</v>
      </c>
      <c r="D3" s="49"/>
    </row>
    <row r="4">
      <c r="A4" s="49" t="str">
        <f>IFERROR(__xludf.DUMMYFUNCTION("""COMPUTED_VALUE"""),"Gemini")</f>
        <v>Gemini</v>
      </c>
      <c r="B4" s="49" t="str">
        <f>IFERROR(__xludf.DUMMYFUNCTION("""COMPUTED_VALUE"""),"Summon Twin")</f>
        <v>Summon Twin</v>
      </c>
      <c r="C4" s="49" t="str">
        <f>IFERROR(__xludf.DUMMYFUNCTION("""COMPUTED_VALUE"""),"Summons a controllable clone of the user. 200 SP. Can only be done once per battle.")</f>
        <v>Summons a controllable clone of the user. 200 SP. Can only be done once per battle.</v>
      </c>
      <c r="D4" s="49"/>
    </row>
    <row r="5">
      <c r="A5" s="49" t="str">
        <f>IFERROR(__xludf.DUMMYFUNCTION("""COMPUTED_VALUE"""),"Cancer")</f>
        <v>Cancer</v>
      </c>
      <c r="B5" s="49" t="str">
        <f>IFERROR(__xludf.DUMMYFUNCTION("""COMPUTED_VALUE"""),"Unrelenting Grip")</f>
        <v>Unrelenting Grip</v>
      </c>
      <c r="C5" s="49"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49"/>
    </row>
    <row r="6">
      <c r="A6" s="49" t="str">
        <f>IFERROR(__xludf.DUMMYFUNCTION("""COMPUTED_VALUE"""),"Leo")</f>
        <v>Leo</v>
      </c>
      <c r="B6" s="49" t="str">
        <f>IFERROR(__xludf.DUMMYFUNCTION("""COMPUTED_VALUE"""),"King’s Collection")</f>
        <v>King’s Collection</v>
      </c>
      <c r="C6" s="49" t="str">
        <f>IFERROR(__xludf.DUMMYFUNCTION("""COMPUTED_VALUE"""),"Gets an extra loot roll each battle.")</f>
        <v>Gets an extra loot roll each battle.</v>
      </c>
      <c r="D6" s="49"/>
    </row>
    <row r="7">
      <c r="A7" s="49" t="str">
        <f>IFERROR(__xludf.DUMMYFUNCTION("""COMPUTED_VALUE"""),"Virgo")</f>
        <v>Virgo</v>
      </c>
      <c r="B7" s="49" t="str">
        <f>IFERROR(__xludf.DUMMYFUNCTION("""COMPUTED_VALUE"""),"Maiden’s Blessing")</f>
        <v>Maiden’s Blessing</v>
      </c>
      <c r="C7" s="49" t="str">
        <f>IFERROR(__xludf.DUMMYFUNCTION("""COMPUTED_VALUE"""),"If your current SP is full, then non-damaging spells the user casts cost no SP.")</f>
        <v>If your current SP is full, then non-damaging spells the user casts cost no SP.</v>
      </c>
      <c r="D7" s="49"/>
    </row>
    <row r="8">
      <c r="A8" s="49" t="str">
        <f>IFERROR(__xludf.DUMMYFUNCTION("""COMPUTED_VALUE"""),"Libra")</f>
        <v>Libra</v>
      </c>
      <c r="B8" s="49" t="str">
        <f>IFERROR(__xludf.DUMMYFUNCTION("""COMPUTED_VALUE"""),"Balance")</f>
        <v>Balance</v>
      </c>
      <c r="C8" s="49" t="str">
        <f>IFERROR(__xludf.DUMMYFUNCTION("""COMPUTED_VALUE"""),"At the start of each battle, Half the SP/HP cost of spells for the user.")</f>
        <v>At the start of each battle, Half the SP/HP cost of spells for the user.</v>
      </c>
      <c r="D8" s="49"/>
    </row>
    <row r="9">
      <c r="A9" s="49" t="str">
        <f>IFERROR(__xludf.DUMMYFUNCTION("""COMPUTED_VALUE"""),"Scorpio")</f>
        <v>Scorpio</v>
      </c>
      <c r="B9" s="49" t="str">
        <f>IFERROR(__xludf.DUMMYFUNCTION("""COMPUTED_VALUE"""),"Poison Sting")</f>
        <v>Poison Sting</v>
      </c>
      <c r="C9" s="49" t="str">
        <f>IFERROR(__xludf.DUMMYFUNCTION("""COMPUTED_VALUE"""),"When you are attacked or killed, the enemy that attacked or killed you will take Poison 1000 per turn.")</f>
        <v>When you are attacked or killed, the enemy that attacked or killed you will take Poison 1000 per turn.</v>
      </c>
      <c r="D9" s="49"/>
    </row>
    <row r="10">
      <c r="A10" s="49" t="str">
        <f>IFERROR(__xludf.DUMMYFUNCTION("""COMPUTED_VALUE"""),"Sagittarius")</f>
        <v>Sagittarius</v>
      </c>
      <c r="B10" s="49" t="str">
        <f>IFERROR(__xludf.DUMMYFUNCTION("""COMPUTED_VALUE"""),"Archer’s Experience")</f>
        <v>Archer’s Experience</v>
      </c>
      <c r="C10" s="49" t="str">
        <f>IFERROR(__xludf.DUMMYFUNCTION("""COMPUTED_VALUE"""),"X4 damage towards ranged non-spell attacks.")</f>
        <v>X4 damage towards ranged non-spell attacks.</v>
      </c>
      <c r="D10" s="49"/>
    </row>
    <row r="11">
      <c r="A11" s="49" t="str">
        <f>IFERROR(__xludf.DUMMYFUNCTION("""COMPUTED_VALUE"""),"Capricorn")</f>
        <v>Capricorn</v>
      </c>
      <c r="B11" s="49" t="str">
        <f>IFERROR(__xludf.DUMMYFUNCTION("""COMPUTED_VALUE"""),"Magic Enhancement")</f>
        <v>Magic Enhancement</v>
      </c>
      <c r="C11" s="49" t="str">
        <f>IFERROR(__xludf.DUMMYFUNCTION("""COMPUTED_VALUE"""),"X2 Spell Damage.")</f>
        <v>X2 Spell Damage.</v>
      </c>
      <c r="D11" s="49"/>
    </row>
    <row r="12">
      <c r="A12" s="49" t="str">
        <f>IFERROR(__xludf.DUMMYFUNCTION("""COMPUTED_VALUE"""),"Aquarius")</f>
        <v>Aquarius</v>
      </c>
      <c r="B12" s="49" t="str">
        <f>IFERROR(__xludf.DUMMYFUNCTION("""COMPUTED_VALUE"""),"Child of Water")</f>
        <v>Child of Water</v>
      </c>
      <c r="C12" s="49" t="str">
        <f>IFERROR(__xludf.DUMMYFUNCTION("""COMPUTED_VALUE"""),"X4 Water Damage, Immune to Water.")</f>
        <v>X4 Water Damage, Immune to Water.</v>
      </c>
      <c r="D12" s="49"/>
    </row>
    <row r="13">
      <c r="A13" s="49" t="str">
        <f>IFERROR(__xludf.DUMMYFUNCTION("""COMPUTED_VALUE"""),"Pisces")</f>
        <v>Pisces</v>
      </c>
      <c r="B13" s="49" t="str">
        <f>IFERROR(__xludf.DUMMYFUNCTION("""COMPUTED_VALUE"""),"Fate’s Hands")</f>
        <v>Fate’s Hands</v>
      </c>
      <c r="C13" s="49"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49"/>
    </row>
    <row r="14">
      <c r="A14" s="49" t="str">
        <f>IFERROR(__xludf.DUMMYFUNCTION("""COMPUTED_VALUE"""),"Custos")</f>
        <v>Custos</v>
      </c>
      <c r="B14" s="49" t="str">
        <f>IFERROR(__xludf.DUMMYFUNCTION("""COMPUTED_VALUE"""),"The Celestial Guardian")</f>
        <v>The Celestial Guardian</v>
      </c>
      <c r="C14" s="49" t="str">
        <f>IFERROR(__xludf.DUMMYFUNCTION("""COMPUTED_VALUE"""),"50% chance to not take any damage for the first round of a battle ")</f>
        <v>50% chance to not take any damage for the first round of a battle </v>
      </c>
      <c r="D14" s="49"/>
    </row>
    <row r="15">
      <c r="A15" s="49" t="str">
        <f>IFERROR(__xludf.DUMMYFUNCTION("""COMPUTED_VALUE"""),"Serpens")</f>
        <v>Serpens</v>
      </c>
      <c r="B15" s="49" t="str">
        <f>IFERROR(__xludf.DUMMYFUNCTION("""COMPUTED_VALUE"""),"The Silver Serpent")</f>
        <v>The Silver Serpent</v>
      </c>
      <c r="C15" s="49" t="str">
        <f>IFERROR(__xludf.DUMMYFUNCTION("""COMPUTED_VALUE"""),"+5 Wisom when engaging a trap or puzzle in battle/rp.")</f>
        <v>+5 Wisom when engaging a trap or puzzle in battle/rp.</v>
      </c>
      <c r="D15" s="49"/>
    </row>
    <row r="16">
      <c r="A16" s="49" t="str">
        <f>IFERROR(__xludf.DUMMYFUNCTION("""COMPUTED_VALUE"""),"Malleator")</f>
        <v>Malleator</v>
      </c>
      <c r="B16" s="49" t="str">
        <f>IFERROR(__xludf.DUMMYFUNCTION("""COMPUTED_VALUE"""),"The Fiery Forge")</f>
        <v>The Fiery Forge</v>
      </c>
      <c r="C16" s="49" t="str">
        <f>IFERROR(__xludf.DUMMYFUNCTION("""COMPUTED_VALUE"""),"You need an additional failed roll to break an item while forging.")</f>
        <v>You need an additional failed roll to break an item while forging.</v>
      </c>
      <c r="D16" s="49"/>
    </row>
    <row r="17">
      <c r="A17" s="49" t="str">
        <f>IFERROR(__xludf.DUMMYFUNCTION("""COMPUTED_VALUE"""),"Lupus")</f>
        <v>Lupus</v>
      </c>
      <c r="B17" s="49" t="str">
        <f>IFERROR(__xludf.DUMMYFUNCTION("""COMPUTED_VALUE"""),"The Spectral Wolf")</f>
        <v>The Spectral Wolf</v>
      </c>
      <c r="C17" s="49"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49"/>
    </row>
    <row r="18">
      <c r="A18" s="49" t="str">
        <f>IFERROR(__xludf.DUMMYFUNCTION("""COMPUTED_VALUE"""),"Scriptus")</f>
        <v>Scriptus</v>
      </c>
      <c r="B18" s="49" t="str">
        <f>IFERROR(__xludf.DUMMYFUNCTION("""COMPUTED_VALUE"""),"The Starry Scribe")</f>
        <v>The Starry Scribe</v>
      </c>
      <c r="C18" s="49" t="str">
        <f>IFERROR(__xludf.DUMMYFUNCTION("""COMPUTED_VALUE"""),"If your current SP is full, damaging spells the user casts cost no SP.")</f>
        <v>If your current SP is full, damaging spells the user casts cost no SP.</v>
      </c>
      <c r="D18" s="49"/>
    </row>
    <row r="19">
      <c r="A19" s="49" t="str">
        <f>IFERROR(__xludf.DUMMYFUNCTION("""COMPUTED_VALUE"""),"Arboreas")</f>
        <v>Arboreas</v>
      </c>
      <c r="B19" s="49" t="str">
        <f>IFERROR(__xludf.DUMMYFUNCTION("""COMPUTED_VALUE"""),"The Whispering Trees")</f>
        <v>The Whispering Trees</v>
      </c>
      <c r="C19" s="49" t="str">
        <f>IFERROR(__xludf.DUMMYFUNCTION("""COMPUTED_VALUE"""),"X4 Nature Damage, Immune to Nature.")</f>
        <v>X4 Nature Damage, Immune to Nature.</v>
      </c>
      <c r="D19" s="49"/>
    </row>
    <row r="20">
      <c r="A20" s="49" t="str">
        <f>IFERROR(__xludf.DUMMYFUNCTION("""COMPUTED_VALUE"""),"Aranea")</f>
        <v>Aranea</v>
      </c>
      <c r="B20" s="49" t="str">
        <f>IFERROR(__xludf.DUMMYFUNCTION("""COMPUTED_VALUE"""),"The Cosmic Weaver")</f>
        <v>The Cosmic Weaver</v>
      </c>
      <c r="C20" s="49" t="str">
        <f>IFERROR(__xludf.DUMMYFUNCTION("""COMPUTED_VALUE"""),"Allows the user to reroll one failed Fail/Succeed roll per battle/rp action.")</f>
        <v>Allows the user to reroll one failed Fail/Succeed roll per battle/rp action.</v>
      </c>
      <c r="D20" s="49"/>
    </row>
    <row r="21">
      <c r="A21" s="49"/>
      <c r="B21" s="49"/>
      <c r="C21" s="49"/>
      <c r="D21" s="49"/>
    </row>
    <row r="22">
      <c r="A22" s="49"/>
      <c r="B22" s="49"/>
      <c r="C22" s="49"/>
      <c r="D22" s="49"/>
    </row>
    <row r="23">
      <c r="A23" s="49"/>
      <c r="B23" s="49"/>
      <c r="C23" s="49"/>
      <c r="D23" s="49"/>
    </row>
    <row r="24">
      <c r="A24" s="49"/>
      <c r="B24" s="49"/>
      <c r="C24" s="49"/>
      <c r="D24" s="49"/>
    </row>
    <row r="25">
      <c r="A25" s="49"/>
      <c r="B25" s="49"/>
      <c r="C25" s="49"/>
      <c r="D25" s="49"/>
    </row>
    <row r="26">
      <c r="A26" s="49"/>
      <c r="B26" s="49"/>
      <c r="C26" s="49"/>
      <c r="D26" s="49"/>
    </row>
    <row r="27">
      <c r="A27" s="49"/>
      <c r="B27" s="49"/>
      <c r="C27" s="49"/>
      <c r="D27" s="49"/>
    </row>
    <row r="28">
      <c r="A28" s="49"/>
      <c r="B28" s="49"/>
      <c r="C28" s="49"/>
      <c r="D28" s="49"/>
    </row>
    <row r="29">
      <c r="A29" s="49"/>
      <c r="B29" s="49"/>
      <c r="C29" s="49"/>
      <c r="D29" s="49"/>
    </row>
    <row r="30">
      <c r="A30" s="49"/>
      <c r="B30" s="49"/>
      <c r="C30" s="49"/>
      <c r="D30" s="49"/>
    </row>
    <row r="31">
      <c r="A31" s="49"/>
      <c r="B31" s="49"/>
      <c r="C31" s="49"/>
      <c r="D31" s="49"/>
    </row>
    <row r="32">
      <c r="A32" s="49"/>
      <c r="B32" s="49"/>
      <c r="C32" s="49"/>
      <c r="D32" s="49"/>
    </row>
    <row r="33">
      <c r="A33" s="49"/>
      <c r="B33" s="49"/>
      <c r="C33" s="49"/>
      <c r="D33" s="49"/>
    </row>
    <row r="34">
      <c r="A34" s="49"/>
      <c r="B34" s="49"/>
      <c r="C34" s="49"/>
      <c r="D34" s="49"/>
    </row>
    <row r="35">
      <c r="A35" s="49"/>
      <c r="B35" s="49"/>
      <c r="C35" s="49"/>
      <c r="D35" s="49"/>
    </row>
    <row r="36">
      <c r="A36" s="49"/>
      <c r="B36" s="49"/>
      <c r="C36" s="49"/>
      <c r="D36" s="49"/>
    </row>
    <row r="37">
      <c r="A37" s="49"/>
      <c r="B37" s="49"/>
      <c r="C37" s="49"/>
      <c r="D37" s="49"/>
    </row>
    <row r="38">
      <c r="A38" s="49"/>
      <c r="B38" s="49"/>
      <c r="C38" s="49"/>
      <c r="D38" s="49"/>
    </row>
    <row r="39">
      <c r="A39" s="49"/>
      <c r="B39" s="49"/>
      <c r="C39" s="49"/>
      <c r="D39" s="49"/>
    </row>
    <row r="40">
      <c r="A40" s="49"/>
      <c r="B40" s="49"/>
      <c r="C40" s="49"/>
      <c r="D40" s="49"/>
    </row>
    <row r="41">
      <c r="A41" s="49"/>
      <c r="B41" s="49"/>
      <c r="C41" s="49"/>
      <c r="D41" s="49"/>
    </row>
    <row r="42">
      <c r="A42" s="49"/>
      <c r="B42" s="49"/>
      <c r="C42" s="49"/>
      <c r="D42" s="49"/>
    </row>
    <row r="43">
      <c r="A43" s="49"/>
      <c r="B43" s="49"/>
      <c r="C43" s="49"/>
      <c r="D43" s="49"/>
    </row>
    <row r="44">
      <c r="A44" s="49"/>
      <c r="B44" s="49"/>
      <c r="C44" s="49"/>
      <c r="D44" s="49"/>
    </row>
    <row r="45">
      <c r="A45" s="49"/>
      <c r="B45" s="49"/>
      <c r="C45" s="49"/>
      <c r="D45" s="49"/>
    </row>
    <row r="46">
      <c r="A46" s="49"/>
      <c r="B46" s="49"/>
      <c r="C46" s="49"/>
      <c r="D46" s="49"/>
    </row>
    <row r="47">
      <c r="A47" s="49"/>
      <c r="B47" s="49"/>
      <c r="C47" s="49"/>
      <c r="D47" s="49"/>
    </row>
    <row r="48">
      <c r="A48" s="49"/>
      <c r="B48" s="49"/>
      <c r="C48" s="49"/>
      <c r="D48" s="49"/>
    </row>
    <row r="49">
      <c r="A49" s="49"/>
      <c r="B49" s="49"/>
      <c r="C49" s="49"/>
      <c r="D49" s="49"/>
    </row>
    <row r="50">
      <c r="A50" s="49"/>
      <c r="B50" s="49"/>
      <c r="C50" s="49"/>
      <c r="D50" s="49"/>
    </row>
    <row r="51">
      <c r="A51" s="49"/>
      <c r="B51" s="49"/>
      <c r="C51" s="49"/>
      <c r="D51" s="49"/>
    </row>
    <row r="52">
      <c r="A52" s="49"/>
      <c r="B52" s="49"/>
      <c r="C52" s="49"/>
      <c r="D52" s="49"/>
    </row>
    <row r="53">
      <c r="A53" s="49"/>
      <c r="B53" s="49"/>
      <c r="C53" s="49"/>
      <c r="D53" s="49"/>
    </row>
    <row r="54">
      <c r="A54" s="49"/>
      <c r="B54" s="49"/>
      <c r="C54" s="49"/>
      <c r="D54" s="49"/>
    </row>
    <row r="55">
      <c r="A55" s="49"/>
      <c r="B55" s="49"/>
      <c r="C55" s="49"/>
      <c r="D55" s="49"/>
    </row>
    <row r="56">
      <c r="A56" s="49"/>
      <c r="B56" s="49"/>
      <c r="C56" s="49"/>
      <c r="D56" s="49"/>
    </row>
    <row r="57">
      <c r="A57" s="49"/>
      <c r="B57" s="49"/>
      <c r="C57" s="49"/>
      <c r="D57" s="49"/>
    </row>
    <row r="58">
      <c r="A58" s="49"/>
      <c r="B58" s="49"/>
      <c r="C58" s="49"/>
      <c r="D58" s="49"/>
    </row>
    <row r="59">
      <c r="A59" s="49"/>
      <c r="B59" s="49"/>
      <c r="C59" s="49"/>
      <c r="D59" s="49"/>
    </row>
    <row r="60">
      <c r="A60" s="49"/>
      <c r="B60" s="49"/>
      <c r="C60" s="49"/>
      <c r="D60" s="49"/>
    </row>
    <row r="61">
      <c r="A61" s="49"/>
      <c r="B61" s="49"/>
      <c r="C61" s="49"/>
      <c r="D61" s="49"/>
    </row>
    <row r="62">
      <c r="A62" s="49"/>
      <c r="B62" s="49"/>
      <c r="C62" s="49"/>
      <c r="D62" s="49"/>
    </row>
    <row r="63">
      <c r="A63" s="49"/>
      <c r="B63" s="49"/>
      <c r="C63" s="49"/>
      <c r="D63" s="49"/>
    </row>
    <row r="64">
      <c r="A64" s="49"/>
      <c r="B64" s="49"/>
      <c r="C64" s="49"/>
      <c r="D64" s="49"/>
    </row>
    <row r="65">
      <c r="A65" s="49"/>
      <c r="B65" s="49"/>
      <c r="C65" s="49"/>
      <c r="D65" s="49"/>
    </row>
    <row r="66">
      <c r="A66" s="49"/>
      <c r="B66" s="49"/>
      <c r="C66" s="49"/>
      <c r="D66" s="49"/>
    </row>
    <row r="67">
      <c r="A67" s="49"/>
      <c r="B67" s="49"/>
      <c r="C67" s="49"/>
      <c r="D67" s="49"/>
    </row>
    <row r="68">
      <c r="A68" s="49"/>
      <c r="B68" s="49"/>
      <c r="C68" s="49"/>
      <c r="D68" s="49"/>
    </row>
    <row r="69">
      <c r="A69" s="49"/>
      <c r="B69" s="49"/>
      <c r="C69" s="49"/>
      <c r="D69" s="49"/>
    </row>
    <row r="70">
      <c r="A70" s="49"/>
      <c r="B70" s="49"/>
      <c r="C70" s="49"/>
      <c r="D70" s="49"/>
    </row>
    <row r="71">
      <c r="A71" s="49"/>
      <c r="B71" s="49"/>
      <c r="C71" s="49"/>
      <c r="D71" s="49"/>
    </row>
    <row r="72">
      <c r="A72" s="49"/>
      <c r="B72" s="49"/>
      <c r="C72" s="49"/>
      <c r="D72" s="49"/>
    </row>
    <row r="73">
      <c r="A73" s="49"/>
      <c r="B73" s="49"/>
      <c r="C73" s="49"/>
      <c r="D73" s="49"/>
    </row>
    <row r="74">
      <c r="A74" s="49"/>
      <c r="B74" s="49"/>
      <c r="C74" s="49"/>
      <c r="D74" s="49"/>
    </row>
    <row r="75">
      <c r="A75" s="49"/>
      <c r="B75" s="49"/>
      <c r="C75" s="49"/>
      <c r="D75" s="49"/>
    </row>
    <row r="76">
      <c r="A76" s="49"/>
      <c r="B76" s="49"/>
      <c r="C76" s="49"/>
      <c r="D76" s="49"/>
    </row>
    <row r="77">
      <c r="A77" s="49"/>
      <c r="B77" s="49"/>
      <c r="C77" s="49"/>
      <c r="D77" s="49"/>
    </row>
    <row r="78">
      <c r="A78" s="49"/>
      <c r="B78" s="49"/>
      <c r="C78" s="49"/>
      <c r="D78" s="49"/>
    </row>
    <row r="79">
      <c r="A79" s="49"/>
      <c r="B79" s="49"/>
      <c r="C79" s="49"/>
      <c r="D79" s="49"/>
    </row>
    <row r="80">
      <c r="A80" s="49"/>
      <c r="B80" s="49"/>
      <c r="C80" s="49"/>
      <c r="D80" s="49"/>
    </row>
    <row r="81">
      <c r="A81" s="49"/>
      <c r="B81" s="49"/>
      <c r="C81" s="49"/>
      <c r="D81" s="49"/>
    </row>
    <row r="82">
      <c r="A82" s="49"/>
      <c r="B82" s="49"/>
      <c r="C82" s="49"/>
      <c r="D82" s="49"/>
    </row>
    <row r="83">
      <c r="A83" s="49"/>
      <c r="B83" s="49"/>
      <c r="C83" s="49"/>
      <c r="D83" s="49"/>
    </row>
    <row r="84">
      <c r="A84" s="49"/>
      <c r="B84" s="49"/>
      <c r="C84" s="49"/>
      <c r="D84" s="49"/>
    </row>
    <row r="85">
      <c r="A85" s="49"/>
      <c r="B85" s="49"/>
      <c r="C85" s="49"/>
      <c r="D85" s="49"/>
    </row>
    <row r="86">
      <c r="A86" s="49"/>
      <c r="B86" s="49"/>
      <c r="C86" s="49"/>
      <c r="D86" s="49"/>
    </row>
    <row r="87">
      <c r="A87" s="49"/>
      <c r="B87" s="49"/>
      <c r="C87" s="49"/>
      <c r="D87" s="49"/>
    </row>
    <row r="88">
      <c r="A88" s="49"/>
      <c r="B88" s="49"/>
      <c r="C88" s="49"/>
      <c r="D88" s="49"/>
    </row>
    <row r="89">
      <c r="A89" s="49"/>
      <c r="B89" s="49"/>
      <c r="C89" s="49"/>
      <c r="D89" s="49"/>
    </row>
    <row r="90">
      <c r="A90" s="49"/>
      <c r="B90" s="49"/>
      <c r="C90" s="49"/>
      <c r="D90" s="49"/>
    </row>
    <row r="91">
      <c r="A91" s="49"/>
      <c r="B91" s="49"/>
      <c r="C91" s="49"/>
      <c r="D91" s="49"/>
    </row>
    <row r="92">
      <c r="A92" s="49"/>
      <c r="B92" s="49"/>
      <c r="C92" s="49"/>
      <c r="D92" s="49"/>
    </row>
    <row r="93">
      <c r="A93" s="49"/>
      <c r="B93" s="49"/>
      <c r="C93" s="49"/>
      <c r="D93" s="49"/>
    </row>
    <row r="94">
      <c r="A94" s="49"/>
      <c r="B94" s="49"/>
      <c r="C94" s="49"/>
      <c r="D94" s="49"/>
    </row>
    <row r="95">
      <c r="A95" s="49"/>
      <c r="B95" s="49"/>
      <c r="C95" s="49"/>
      <c r="D95" s="49"/>
    </row>
    <row r="96">
      <c r="A96" s="49"/>
      <c r="B96" s="49"/>
      <c r="C96" s="49"/>
      <c r="D96" s="49"/>
    </row>
    <row r="97">
      <c r="A97" s="49"/>
      <c r="B97" s="49"/>
      <c r="C97" s="49"/>
      <c r="D97" s="49"/>
    </row>
    <row r="98">
      <c r="A98" s="49"/>
      <c r="B98" s="49"/>
      <c r="C98" s="49"/>
      <c r="D98" s="49"/>
    </row>
    <row r="99">
      <c r="A99" s="49"/>
      <c r="B99" s="49"/>
      <c r="C99" s="49"/>
      <c r="D99" s="49"/>
    </row>
    <row r="100">
      <c r="A100" s="49"/>
      <c r="B100" s="49"/>
      <c r="C100" s="49"/>
      <c r="D100" s="49"/>
    </row>
    <row r="101">
      <c r="A101" s="49"/>
      <c r="B101" s="49"/>
      <c r="C101" s="49"/>
      <c r="D101" s="49"/>
    </row>
    <row r="102">
      <c r="A102" s="49"/>
      <c r="B102" s="49"/>
      <c r="C102" s="49"/>
      <c r="D102" s="49"/>
    </row>
    <row r="103">
      <c r="A103" s="49"/>
      <c r="B103" s="49"/>
      <c r="C103" s="49"/>
      <c r="D103" s="49"/>
    </row>
    <row r="104">
      <c r="A104" s="49"/>
      <c r="B104" s="49"/>
      <c r="C104" s="49"/>
      <c r="D104" s="49"/>
    </row>
    <row r="105">
      <c r="A105" s="49"/>
      <c r="B105" s="49"/>
      <c r="C105" s="49"/>
      <c r="D105" s="49"/>
    </row>
    <row r="106">
      <c r="A106" s="49"/>
      <c r="B106" s="49"/>
      <c r="C106" s="49"/>
      <c r="D106" s="49"/>
    </row>
    <row r="107">
      <c r="A107" s="49"/>
      <c r="B107" s="49"/>
      <c r="C107" s="49"/>
      <c r="D107" s="49"/>
    </row>
    <row r="108">
      <c r="A108" s="49"/>
      <c r="B108" s="49"/>
      <c r="C108" s="49"/>
      <c r="D108" s="49"/>
    </row>
    <row r="109">
      <c r="A109" s="49"/>
      <c r="B109" s="49"/>
      <c r="C109" s="49"/>
      <c r="D109" s="49"/>
    </row>
    <row r="110">
      <c r="A110" s="49"/>
      <c r="B110" s="49"/>
      <c r="C110" s="49"/>
      <c r="D110" s="49"/>
    </row>
    <row r="111">
      <c r="A111" s="49"/>
      <c r="B111" s="49"/>
      <c r="C111" s="49"/>
      <c r="D111" s="49"/>
    </row>
    <row r="112">
      <c r="A112" s="49"/>
      <c r="B112" s="49"/>
      <c r="C112" s="49"/>
      <c r="D112" s="49"/>
    </row>
    <row r="113">
      <c r="A113" s="49"/>
      <c r="B113" s="49"/>
      <c r="C113" s="49"/>
      <c r="D113" s="49"/>
    </row>
    <row r="114">
      <c r="A114" s="49"/>
      <c r="B114" s="49"/>
      <c r="C114" s="49"/>
      <c r="D114" s="49"/>
    </row>
    <row r="115">
      <c r="A115" s="49"/>
      <c r="B115" s="49"/>
      <c r="C115" s="49"/>
      <c r="D115" s="49"/>
    </row>
    <row r="116">
      <c r="A116" s="49"/>
      <c r="B116" s="49"/>
      <c r="C116" s="49"/>
      <c r="D116" s="49"/>
    </row>
    <row r="117">
      <c r="A117" s="49"/>
      <c r="B117" s="49"/>
      <c r="C117" s="49"/>
      <c r="D117" s="49"/>
    </row>
    <row r="118">
      <c r="A118" s="49"/>
      <c r="B118" s="49"/>
      <c r="C118" s="49"/>
      <c r="D118" s="49"/>
    </row>
    <row r="119">
      <c r="A119" s="49"/>
      <c r="B119" s="49"/>
      <c r="C119" s="49"/>
      <c r="D119" s="49"/>
    </row>
    <row r="120">
      <c r="A120" s="49"/>
      <c r="B120" s="49"/>
      <c r="C120" s="49"/>
      <c r="D120" s="49"/>
    </row>
    <row r="121">
      <c r="A121" s="49"/>
      <c r="B121" s="49"/>
      <c r="C121" s="49"/>
      <c r="D121" s="49"/>
    </row>
    <row r="122">
      <c r="A122" s="49"/>
      <c r="B122" s="49"/>
      <c r="C122" s="49"/>
      <c r="D122" s="49"/>
    </row>
    <row r="123">
      <c r="A123" s="49"/>
      <c r="B123" s="49"/>
      <c r="C123" s="49"/>
      <c r="D123" s="49"/>
    </row>
    <row r="124">
      <c r="A124" s="49"/>
      <c r="B124" s="49"/>
      <c r="C124" s="49"/>
      <c r="D124" s="49"/>
    </row>
    <row r="125">
      <c r="A125" s="49"/>
      <c r="B125" s="49"/>
      <c r="C125" s="49"/>
      <c r="D125" s="49"/>
    </row>
    <row r="126">
      <c r="A126" s="49"/>
      <c r="B126" s="49"/>
      <c r="C126" s="49"/>
      <c r="D126" s="49"/>
    </row>
    <row r="127">
      <c r="A127" s="49"/>
      <c r="B127" s="49"/>
      <c r="C127" s="49"/>
      <c r="D127" s="49"/>
    </row>
    <row r="128">
      <c r="A128" s="49"/>
      <c r="B128" s="49"/>
      <c r="C128" s="49"/>
      <c r="D128" s="49"/>
    </row>
    <row r="129">
      <c r="A129" s="49"/>
      <c r="B129" s="49"/>
      <c r="C129" s="49"/>
      <c r="D129" s="49"/>
    </row>
    <row r="130">
      <c r="A130" s="49"/>
      <c r="B130" s="49"/>
      <c r="C130" s="49"/>
      <c r="D130" s="49"/>
    </row>
    <row r="131">
      <c r="A131" s="49"/>
      <c r="B131" s="49"/>
      <c r="C131" s="49"/>
      <c r="D131" s="49"/>
    </row>
    <row r="132">
      <c r="A132" s="49"/>
      <c r="B132" s="49"/>
      <c r="C132" s="49"/>
      <c r="D132" s="49"/>
    </row>
    <row r="133">
      <c r="A133" s="49"/>
      <c r="B133" s="49"/>
      <c r="C133" s="49"/>
      <c r="D133" s="49"/>
    </row>
    <row r="134">
      <c r="A134" s="49"/>
      <c r="B134" s="49"/>
      <c r="C134" s="49"/>
      <c r="D134" s="49"/>
    </row>
    <row r="135">
      <c r="A135" s="49"/>
      <c r="B135" s="49"/>
      <c r="C135" s="49"/>
      <c r="D135" s="49"/>
    </row>
    <row r="136">
      <c r="A136" s="49"/>
      <c r="B136" s="49"/>
      <c r="C136" s="49"/>
      <c r="D136" s="49"/>
    </row>
    <row r="137">
      <c r="A137" s="49"/>
      <c r="B137" s="49"/>
      <c r="C137" s="49"/>
      <c r="D137" s="49"/>
    </row>
    <row r="138">
      <c r="A138" s="49"/>
      <c r="B138" s="49"/>
      <c r="C138" s="49"/>
      <c r="D138" s="49"/>
    </row>
    <row r="139">
      <c r="A139" s="49"/>
      <c r="B139" s="49"/>
      <c r="C139" s="49"/>
      <c r="D139" s="49"/>
    </row>
    <row r="140">
      <c r="A140" s="49"/>
      <c r="B140" s="49"/>
      <c r="C140" s="49"/>
      <c r="D140" s="49"/>
    </row>
    <row r="141">
      <c r="A141" s="49"/>
      <c r="B141" s="49"/>
      <c r="C141" s="49"/>
      <c r="D141" s="49"/>
    </row>
    <row r="142">
      <c r="A142" s="49"/>
      <c r="B142" s="49"/>
      <c r="C142" s="49"/>
      <c r="D142" s="49"/>
    </row>
    <row r="143">
      <c r="A143" s="49"/>
      <c r="B143" s="49"/>
      <c r="C143" s="49"/>
      <c r="D143" s="49"/>
    </row>
    <row r="144">
      <c r="A144" s="49"/>
      <c r="B144" s="49"/>
      <c r="C144" s="49"/>
      <c r="D144" s="49"/>
    </row>
    <row r="145">
      <c r="A145" s="49"/>
      <c r="B145" s="49"/>
      <c r="C145" s="49"/>
      <c r="D145" s="49"/>
    </row>
    <row r="146">
      <c r="A146" s="49"/>
      <c r="B146" s="49"/>
      <c r="C146" s="49"/>
      <c r="D146" s="49"/>
    </row>
    <row r="147">
      <c r="A147" s="49"/>
      <c r="B147" s="49"/>
      <c r="C147" s="49"/>
      <c r="D147" s="49"/>
    </row>
    <row r="148">
      <c r="A148" s="49"/>
      <c r="B148" s="49"/>
      <c r="C148" s="49"/>
      <c r="D148" s="49"/>
    </row>
    <row r="149">
      <c r="A149" s="49"/>
      <c r="B149" s="49"/>
      <c r="C149" s="49"/>
      <c r="D149" s="49"/>
    </row>
    <row r="150">
      <c r="A150" s="49"/>
      <c r="B150" s="49"/>
      <c r="C150" s="49"/>
      <c r="D150" s="49"/>
    </row>
    <row r="151">
      <c r="A151" s="49"/>
      <c r="B151" s="49"/>
      <c r="C151" s="49"/>
      <c r="D151" s="49"/>
    </row>
    <row r="152">
      <c r="A152" s="49"/>
      <c r="B152" s="49"/>
      <c r="C152" s="49"/>
      <c r="D152" s="49"/>
    </row>
    <row r="153">
      <c r="A153" s="49"/>
      <c r="B153" s="49"/>
      <c r="C153" s="49"/>
      <c r="D153" s="49"/>
    </row>
    <row r="154">
      <c r="A154" s="49"/>
      <c r="B154" s="49"/>
      <c r="C154" s="49"/>
      <c r="D154" s="49"/>
    </row>
    <row r="155">
      <c r="A155" s="49"/>
      <c r="B155" s="49"/>
      <c r="C155" s="49"/>
      <c r="D155" s="49"/>
    </row>
    <row r="156">
      <c r="A156" s="49"/>
      <c r="B156" s="49"/>
      <c r="C156" s="49"/>
      <c r="D156" s="49"/>
    </row>
    <row r="157">
      <c r="A157" s="49"/>
      <c r="B157" s="49"/>
      <c r="C157" s="49"/>
      <c r="D157" s="49"/>
    </row>
    <row r="158">
      <c r="A158" s="49"/>
      <c r="B158" s="49"/>
      <c r="C158" s="49"/>
      <c r="D158" s="49"/>
    </row>
    <row r="159">
      <c r="A159" s="49"/>
      <c r="B159" s="49"/>
      <c r="C159" s="49"/>
      <c r="D159" s="49"/>
    </row>
    <row r="160">
      <c r="A160" s="49"/>
      <c r="B160" s="49"/>
      <c r="C160" s="49"/>
      <c r="D160" s="49"/>
    </row>
    <row r="161">
      <c r="A161" s="49"/>
      <c r="B161" s="49"/>
      <c r="C161" s="49"/>
      <c r="D161" s="49"/>
    </row>
    <row r="162">
      <c r="A162" s="49"/>
      <c r="B162" s="49"/>
      <c r="C162" s="49"/>
      <c r="D162" s="49"/>
    </row>
    <row r="163">
      <c r="A163" s="49"/>
      <c r="B163" s="49"/>
      <c r="C163" s="49"/>
      <c r="D163" s="49"/>
    </row>
    <row r="164">
      <c r="A164" s="49"/>
      <c r="B164" s="49"/>
      <c r="C164" s="49"/>
      <c r="D164" s="49"/>
    </row>
    <row r="165">
      <c r="A165" s="49"/>
      <c r="B165" s="49"/>
      <c r="C165" s="49"/>
      <c r="D165" s="49"/>
    </row>
    <row r="166">
      <c r="A166" s="49"/>
      <c r="B166" s="49"/>
      <c r="C166" s="49"/>
      <c r="D166" s="49"/>
    </row>
    <row r="167">
      <c r="A167" s="49"/>
      <c r="B167" s="49"/>
      <c r="C167" s="49"/>
      <c r="D167" s="49"/>
    </row>
    <row r="168">
      <c r="A168" s="49"/>
      <c r="B168" s="49"/>
      <c r="C168" s="49"/>
      <c r="D168" s="49"/>
    </row>
    <row r="169">
      <c r="A169" s="49"/>
      <c r="B169" s="49"/>
      <c r="C169" s="49"/>
      <c r="D169" s="49"/>
    </row>
    <row r="170">
      <c r="A170" s="49"/>
      <c r="B170" s="49"/>
      <c r="C170" s="49"/>
      <c r="D170" s="49"/>
    </row>
    <row r="171">
      <c r="A171" s="49"/>
      <c r="B171" s="49"/>
      <c r="C171" s="49"/>
      <c r="D171" s="49"/>
    </row>
    <row r="172">
      <c r="A172" s="49"/>
      <c r="B172" s="49"/>
      <c r="C172" s="49"/>
      <c r="D172" s="49"/>
    </row>
    <row r="173">
      <c r="A173" s="49"/>
      <c r="B173" s="49"/>
      <c r="C173" s="49"/>
      <c r="D173" s="49"/>
    </row>
    <row r="174">
      <c r="A174" s="49"/>
      <c r="B174" s="49"/>
      <c r="C174" s="49"/>
      <c r="D174" s="49"/>
    </row>
    <row r="175">
      <c r="A175" s="49"/>
      <c r="B175" s="49"/>
      <c r="C175" s="49"/>
      <c r="D175" s="49"/>
    </row>
    <row r="176">
      <c r="A176" s="49"/>
      <c r="B176" s="49"/>
      <c r="C176" s="49"/>
      <c r="D176" s="49"/>
    </row>
    <row r="177">
      <c r="A177" s="49"/>
      <c r="B177" s="49"/>
      <c r="C177" s="49"/>
      <c r="D177" s="49"/>
    </row>
    <row r="178">
      <c r="A178" s="49"/>
      <c r="B178" s="49"/>
      <c r="C178" s="49"/>
      <c r="D178" s="49"/>
    </row>
    <row r="179">
      <c r="A179" s="49"/>
      <c r="B179" s="49"/>
      <c r="C179" s="49"/>
      <c r="D179" s="49"/>
    </row>
    <row r="180">
      <c r="A180" s="49"/>
      <c r="B180" s="49"/>
      <c r="C180" s="49"/>
      <c r="D180" s="49"/>
    </row>
    <row r="181">
      <c r="A181" s="49"/>
      <c r="B181" s="49"/>
      <c r="C181" s="49"/>
      <c r="D181" s="49"/>
    </row>
    <row r="182">
      <c r="A182" s="49"/>
      <c r="B182" s="49"/>
      <c r="C182" s="49"/>
      <c r="D182" s="49"/>
    </row>
    <row r="183">
      <c r="A183" s="49"/>
      <c r="B183" s="49"/>
      <c r="C183" s="49"/>
      <c r="D183" s="49"/>
    </row>
    <row r="184">
      <c r="A184" s="49"/>
      <c r="B184" s="49"/>
      <c r="C184" s="49"/>
      <c r="D184" s="49"/>
    </row>
    <row r="185">
      <c r="A185" s="49"/>
      <c r="B185" s="49"/>
      <c r="C185" s="49"/>
      <c r="D185" s="49"/>
    </row>
    <row r="186">
      <c r="A186" s="49"/>
      <c r="B186" s="49"/>
      <c r="C186" s="49"/>
      <c r="D186" s="49"/>
    </row>
    <row r="187">
      <c r="A187" s="49"/>
      <c r="B187" s="49"/>
      <c r="C187" s="49"/>
      <c r="D187" s="49"/>
    </row>
    <row r="188">
      <c r="A188" s="49"/>
      <c r="B188" s="49"/>
      <c r="C188" s="49"/>
      <c r="D188" s="49"/>
    </row>
    <row r="189">
      <c r="A189" s="49"/>
      <c r="B189" s="49"/>
      <c r="C189" s="49"/>
      <c r="D189" s="49"/>
    </row>
    <row r="190">
      <c r="A190" s="49"/>
      <c r="B190" s="49"/>
      <c r="C190" s="49"/>
      <c r="D190" s="49"/>
    </row>
    <row r="191">
      <c r="A191" s="49"/>
      <c r="B191" s="49"/>
      <c r="C191" s="49"/>
      <c r="D191" s="49"/>
    </row>
    <row r="192">
      <c r="A192" s="49"/>
      <c r="B192" s="49"/>
      <c r="C192" s="49"/>
      <c r="D192" s="49"/>
    </row>
    <row r="193">
      <c r="A193" s="49"/>
      <c r="B193" s="49"/>
      <c r="C193" s="49"/>
      <c r="D193" s="49"/>
    </row>
    <row r="194">
      <c r="A194" s="49"/>
      <c r="B194" s="49"/>
      <c r="C194" s="49"/>
      <c r="D194" s="49"/>
    </row>
    <row r="195">
      <c r="A195" s="49"/>
      <c r="B195" s="49"/>
      <c r="C195" s="49"/>
      <c r="D195" s="49"/>
    </row>
    <row r="196">
      <c r="A196" s="49"/>
      <c r="B196" s="49"/>
      <c r="C196" s="49"/>
      <c r="D196" s="49"/>
    </row>
    <row r="197">
      <c r="A197" s="49"/>
      <c r="B197" s="49"/>
      <c r="C197" s="49"/>
      <c r="D197" s="49"/>
    </row>
    <row r="198">
      <c r="A198" s="49"/>
      <c r="B198" s="49"/>
      <c r="C198" s="49"/>
      <c r="D198" s="49"/>
    </row>
    <row r="199">
      <c r="A199" s="49"/>
      <c r="B199" s="49"/>
      <c r="C199" s="49"/>
      <c r="D199" s="49"/>
    </row>
    <row r="200">
      <c r="A200" s="49"/>
      <c r="B200" s="49"/>
      <c r="C200" s="49"/>
      <c r="D200" s="49"/>
    </row>
    <row r="201">
      <c r="A201" s="49"/>
      <c r="B201" s="49"/>
      <c r="C201" s="49"/>
      <c r="D201" s="49"/>
    </row>
    <row r="202">
      <c r="A202" s="49"/>
      <c r="B202" s="49"/>
      <c r="C202" s="49"/>
      <c r="D202" s="49"/>
    </row>
    <row r="203">
      <c r="A203" s="49"/>
      <c r="B203" s="49"/>
      <c r="C203" s="49"/>
      <c r="D203" s="49"/>
    </row>
    <row r="204">
      <c r="A204" s="49"/>
      <c r="B204" s="49"/>
      <c r="C204" s="49"/>
      <c r="D204" s="49"/>
    </row>
    <row r="205">
      <c r="A205" s="49"/>
      <c r="B205" s="49"/>
      <c r="C205" s="49"/>
      <c r="D205" s="49"/>
    </row>
    <row r="206">
      <c r="A206" s="49"/>
      <c r="B206" s="49"/>
      <c r="C206" s="49"/>
      <c r="D206" s="49"/>
    </row>
    <row r="207">
      <c r="A207" s="49"/>
      <c r="B207" s="49"/>
      <c r="C207" s="49"/>
      <c r="D207" s="49"/>
    </row>
    <row r="208">
      <c r="A208" s="49"/>
      <c r="B208" s="49"/>
      <c r="C208" s="49"/>
      <c r="D208" s="49"/>
    </row>
    <row r="209">
      <c r="A209" s="49"/>
      <c r="B209" s="49"/>
      <c r="C209" s="49"/>
      <c r="D209" s="49"/>
    </row>
    <row r="210">
      <c r="A210" s="49"/>
      <c r="B210" s="49"/>
      <c r="C210" s="49"/>
      <c r="D210" s="49"/>
    </row>
    <row r="211">
      <c r="A211" s="49"/>
      <c r="B211" s="49"/>
      <c r="C211" s="49"/>
      <c r="D211" s="49"/>
    </row>
    <row r="212">
      <c r="A212" s="49"/>
      <c r="B212" s="49"/>
      <c r="C212" s="49"/>
      <c r="D212" s="49"/>
    </row>
    <row r="213">
      <c r="A213" s="49"/>
      <c r="B213" s="49"/>
      <c r="C213" s="49"/>
      <c r="D213" s="49"/>
    </row>
    <row r="214">
      <c r="A214" s="49"/>
      <c r="B214" s="49"/>
      <c r="C214" s="49"/>
      <c r="D214" s="49"/>
    </row>
    <row r="215">
      <c r="A215" s="49"/>
      <c r="B215" s="49"/>
      <c r="C215" s="49"/>
      <c r="D215" s="49"/>
    </row>
    <row r="216">
      <c r="A216" s="49"/>
      <c r="B216" s="49"/>
      <c r="C216" s="49"/>
      <c r="D216" s="49"/>
    </row>
    <row r="217">
      <c r="A217" s="49"/>
      <c r="B217" s="49"/>
      <c r="C217" s="49"/>
      <c r="D217" s="49"/>
    </row>
    <row r="218">
      <c r="A218" s="49"/>
      <c r="B218" s="49"/>
      <c r="C218" s="49"/>
      <c r="D218" s="49"/>
    </row>
    <row r="219">
      <c r="A219" s="49"/>
      <c r="B219" s="49"/>
      <c r="C219" s="49"/>
      <c r="D219" s="49"/>
    </row>
    <row r="220">
      <c r="A220" s="49"/>
      <c r="B220" s="49"/>
      <c r="C220" s="49"/>
      <c r="D220" s="49"/>
    </row>
    <row r="221">
      <c r="A221" s="49"/>
      <c r="B221" s="49"/>
      <c r="C221" s="49"/>
      <c r="D221" s="49"/>
    </row>
    <row r="222">
      <c r="A222" s="49"/>
      <c r="B222" s="49"/>
      <c r="C222" s="49"/>
      <c r="D222" s="49"/>
    </row>
    <row r="223">
      <c r="A223" s="49"/>
      <c r="B223" s="49"/>
      <c r="C223" s="49"/>
      <c r="D223" s="49"/>
    </row>
    <row r="224">
      <c r="A224" s="49"/>
      <c r="B224" s="49"/>
      <c r="C224" s="49"/>
      <c r="D224" s="49"/>
    </row>
    <row r="225">
      <c r="A225" s="49"/>
      <c r="B225" s="49"/>
      <c r="C225" s="49"/>
      <c r="D225" s="49"/>
    </row>
    <row r="226">
      <c r="A226" s="49"/>
      <c r="B226" s="49"/>
      <c r="C226" s="49"/>
      <c r="D226" s="49"/>
    </row>
    <row r="227">
      <c r="A227" s="49"/>
      <c r="B227" s="49"/>
      <c r="C227" s="49"/>
      <c r="D227" s="49"/>
    </row>
    <row r="228">
      <c r="A228" s="49"/>
      <c r="B228" s="49"/>
      <c r="C228" s="49"/>
      <c r="D228" s="49"/>
    </row>
    <row r="229">
      <c r="A229" s="49"/>
      <c r="B229" s="49"/>
      <c r="C229" s="49"/>
      <c r="D229" s="49"/>
    </row>
    <row r="230">
      <c r="A230" s="49"/>
      <c r="B230" s="49"/>
      <c r="C230" s="49"/>
      <c r="D230" s="49"/>
    </row>
    <row r="231">
      <c r="A231" s="49"/>
      <c r="B231" s="49"/>
      <c r="C231" s="49"/>
      <c r="D231" s="49"/>
    </row>
    <row r="232">
      <c r="A232" s="49"/>
      <c r="B232" s="49"/>
      <c r="C232" s="49"/>
      <c r="D232" s="49"/>
    </row>
    <row r="233">
      <c r="A233" s="49"/>
      <c r="B233" s="49"/>
      <c r="C233" s="49"/>
      <c r="D233" s="49"/>
    </row>
    <row r="234">
      <c r="A234" s="49"/>
      <c r="B234" s="49"/>
      <c r="C234" s="49"/>
      <c r="D234" s="49"/>
    </row>
    <row r="235">
      <c r="A235" s="49"/>
      <c r="B235" s="49"/>
      <c r="C235" s="49"/>
      <c r="D235" s="49"/>
    </row>
    <row r="236">
      <c r="A236" s="49"/>
      <c r="B236" s="49"/>
      <c r="C236" s="49"/>
      <c r="D236" s="49"/>
    </row>
    <row r="237">
      <c r="A237" s="49"/>
      <c r="B237" s="49"/>
      <c r="C237" s="49"/>
      <c r="D237" s="49"/>
    </row>
    <row r="238">
      <c r="A238" s="49"/>
      <c r="B238" s="49"/>
      <c r="C238" s="49"/>
      <c r="D238" s="49"/>
    </row>
    <row r="239">
      <c r="A239" s="49"/>
      <c r="B239" s="49"/>
      <c r="C239" s="49"/>
      <c r="D239" s="49"/>
    </row>
    <row r="240">
      <c r="A240" s="49"/>
      <c r="B240" s="49"/>
      <c r="C240" s="49"/>
      <c r="D240" s="49"/>
    </row>
    <row r="241">
      <c r="A241" s="49"/>
      <c r="B241" s="49"/>
      <c r="C241" s="49"/>
      <c r="D241" s="49"/>
    </row>
    <row r="242">
      <c r="A242" s="49"/>
      <c r="B242" s="49"/>
      <c r="C242" s="49"/>
      <c r="D242" s="49"/>
    </row>
    <row r="243">
      <c r="A243" s="49"/>
      <c r="B243" s="49"/>
      <c r="C243" s="49"/>
      <c r="D243" s="49"/>
    </row>
    <row r="244">
      <c r="A244" s="49"/>
      <c r="B244" s="49"/>
      <c r="C244" s="49"/>
      <c r="D244" s="49"/>
    </row>
    <row r="245">
      <c r="A245" s="49"/>
      <c r="B245" s="49"/>
      <c r="C245" s="49"/>
      <c r="D245" s="49"/>
    </row>
    <row r="246">
      <c r="A246" s="49"/>
      <c r="B246" s="49"/>
      <c r="C246" s="49"/>
      <c r="D246" s="49"/>
    </row>
    <row r="247">
      <c r="A247" s="49"/>
      <c r="B247" s="49"/>
      <c r="C247" s="49"/>
      <c r="D247" s="49"/>
    </row>
    <row r="248">
      <c r="A248" s="49"/>
      <c r="B248" s="49"/>
      <c r="C248" s="49"/>
      <c r="D248" s="49"/>
    </row>
    <row r="249">
      <c r="A249" s="49"/>
      <c r="B249" s="49"/>
      <c r="C249" s="49"/>
      <c r="D249" s="49"/>
    </row>
    <row r="250">
      <c r="A250" s="49"/>
      <c r="B250" s="49"/>
      <c r="C250" s="49"/>
      <c r="D250" s="49"/>
    </row>
    <row r="251">
      <c r="A251" s="49"/>
      <c r="B251" s="49"/>
      <c r="C251" s="49"/>
      <c r="D251" s="49"/>
    </row>
    <row r="252">
      <c r="A252" s="49"/>
      <c r="B252" s="49"/>
      <c r="C252" s="49"/>
      <c r="D252" s="49"/>
    </row>
    <row r="253">
      <c r="A253" s="49"/>
      <c r="B253" s="49"/>
      <c r="C253" s="49"/>
      <c r="D253" s="49"/>
    </row>
    <row r="254">
      <c r="A254" s="49"/>
      <c r="B254" s="49"/>
      <c r="C254" s="49"/>
      <c r="D254" s="49"/>
    </row>
    <row r="255">
      <c r="A255" s="49"/>
      <c r="B255" s="49"/>
      <c r="C255" s="49"/>
      <c r="D255" s="49"/>
    </row>
    <row r="256">
      <c r="A256" s="49"/>
      <c r="B256" s="49"/>
      <c r="C256" s="49"/>
      <c r="D256" s="49"/>
    </row>
    <row r="257">
      <c r="A257" s="49"/>
      <c r="B257" s="49"/>
      <c r="C257" s="49"/>
      <c r="D257" s="49"/>
    </row>
    <row r="258">
      <c r="A258" s="49"/>
      <c r="B258" s="49"/>
      <c r="C258" s="49"/>
      <c r="D258" s="49"/>
    </row>
    <row r="259">
      <c r="A259" s="49"/>
      <c r="B259" s="49"/>
      <c r="C259" s="49"/>
      <c r="D259" s="49"/>
    </row>
    <row r="260">
      <c r="A260" s="49"/>
      <c r="B260" s="49"/>
      <c r="C260" s="49"/>
      <c r="D260" s="49"/>
    </row>
    <row r="261">
      <c r="A261" s="49"/>
      <c r="B261" s="49"/>
      <c r="C261" s="49"/>
      <c r="D261" s="49"/>
    </row>
    <row r="262">
      <c r="A262" s="49"/>
      <c r="B262" s="49"/>
      <c r="C262" s="49"/>
      <c r="D262" s="49"/>
    </row>
    <row r="263">
      <c r="A263" s="49"/>
      <c r="B263" s="49"/>
      <c r="C263" s="49"/>
      <c r="D263" s="49"/>
    </row>
    <row r="264">
      <c r="A264" s="49"/>
      <c r="B264" s="49"/>
      <c r="C264" s="49"/>
      <c r="D264" s="49"/>
    </row>
    <row r="265">
      <c r="A265" s="49"/>
      <c r="B265" s="49"/>
      <c r="C265" s="49"/>
      <c r="D265" s="49"/>
    </row>
    <row r="266">
      <c r="A266" s="49"/>
      <c r="B266" s="49"/>
      <c r="C266" s="49"/>
      <c r="D266" s="49"/>
    </row>
    <row r="267">
      <c r="A267" s="49"/>
      <c r="B267" s="49"/>
      <c r="C267" s="49"/>
      <c r="D267" s="49"/>
    </row>
    <row r="268">
      <c r="A268" s="49"/>
      <c r="B268" s="49"/>
      <c r="C268" s="49"/>
      <c r="D268" s="49"/>
    </row>
    <row r="269">
      <c r="A269" s="49"/>
      <c r="B269" s="49"/>
      <c r="C269" s="49"/>
      <c r="D269" s="49"/>
    </row>
    <row r="270">
      <c r="A270" s="49"/>
      <c r="B270" s="49"/>
      <c r="C270" s="49"/>
      <c r="D270" s="49"/>
    </row>
    <row r="271">
      <c r="A271" s="49"/>
      <c r="B271" s="49"/>
      <c r="C271" s="49"/>
      <c r="D271" s="49"/>
    </row>
    <row r="272">
      <c r="A272" s="49"/>
      <c r="B272" s="49"/>
      <c r="C272" s="49"/>
      <c r="D272" s="49"/>
    </row>
    <row r="273">
      <c r="A273" s="49"/>
      <c r="B273" s="49"/>
      <c r="C273" s="49"/>
      <c r="D273" s="49"/>
    </row>
    <row r="274">
      <c r="A274" s="49"/>
      <c r="B274" s="49"/>
      <c r="C274" s="49"/>
      <c r="D274" s="49"/>
    </row>
    <row r="275">
      <c r="A275" s="49"/>
      <c r="B275" s="49"/>
      <c r="C275" s="49"/>
      <c r="D275" s="49"/>
    </row>
    <row r="276">
      <c r="A276" s="49"/>
      <c r="B276" s="49"/>
      <c r="C276" s="49"/>
      <c r="D276" s="49"/>
    </row>
    <row r="277">
      <c r="A277" s="49"/>
      <c r="B277" s="49"/>
      <c r="C277" s="49"/>
      <c r="D277" s="49"/>
    </row>
    <row r="278">
      <c r="A278" s="49"/>
      <c r="B278" s="49"/>
      <c r="C278" s="49"/>
      <c r="D278" s="49"/>
    </row>
    <row r="279">
      <c r="A279" s="49"/>
      <c r="B279" s="49"/>
      <c r="C279" s="49"/>
      <c r="D279" s="49"/>
    </row>
    <row r="280">
      <c r="A280" s="49"/>
      <c r="B280" s="49"/>
      <c r="C280" s="49"/>
      <c r="D280" s="49"/>
    </row>
    <row r="281">
      <c r="A281" s="49"/>
      <c r="B281" s="49"/>
      <c r="C281" s="49"/>
      <c r="D281" s="49"/>
    </row>
    <row r="282">
      <c r="A282" s="49"/>
      <c r="B282" s="49"/>
      <c r="C282" s="49"/>
      <c r="D282" s="49"/>
    </row>
    <row r="283">
      <c r="A283" s="49"/>
      <c r="B283" s="49"/>
      <c r="C283" s="49"/>
      <c r="D283" s="49"/>
    </row>
    <row r="284">
      <c r="A284" s="49"/>
      <c r="B284" s="49"/>
      <c r="C284" s="49"/>
      <c r="D284" s="49"/>
    </row>
    <row r="285">
      <c r="A285" s="49"/>
      <c r="B285" s="49"/>
      <c r="C285" s="49"/>
      <c r="D285" s="49"/>
    </row>
    <row r="286">
      <c r="A286" s="49"/>
      <c r="B286" s="49"/>
      <c r="C286" s="49"/>
      <c r="D286" s="49"/>
    </row>
    <row r="287">
      <c r="A287" s="49"/>
      <c r="B287" s="49"/>
      <c r="C287" s="49"/>
      <c r="D287" s="49"/>
    </row>
    <row r="288">
      <c r="A288" s="49"/>
      <c r="B288" s="49"/>
      <c r="C288" s="49"/>
      <c r="D288" s="49"/>
    </row>
    <row r="289">
      <c r="A289" s="49"/>
      <c r="B289" s="49"/>
      <c r="C289" s="49"/>
      <c r="D289" s="49"/>
    </row>
    <row r="290">
      <c r="A290" s="49"/>
      <c r="B290" s="49"/>
      <c r="C290" s="49"/>
      <c r="D290" s="49"/>
    </row>
    <row r="291">
      <c r="A291" s="49"/>
      <c r="B291" s="49"/>
      <c r="C291" s="49"/>
      <c r="D291" s="49"/>
    </row>
    <row r="292">
      <c r="A292" s="49"/>
      <c r="B292" s="49"/>
      <c r="C292" s="49"/>
      <c r="D292" s="49"/>
    </row>
    <row r="293">
      <c r="A293" s="49"/>
      <c r="B293" s="49"/>
      <c r="C293" s="49"/>
      <c r="D293" s="49"/>
    </row>
    <row r="294">
      <c r="A294" s="49"/>
      <c r="B294" s="49"/>
      <c r="C294" s="49"/>
      <c r="D294" s="49"/>
    </row>
    <row r="295">
      <c r="A295" s="49"/>
      <c r="B295" s="49"/>
      <c r="C295" s="49"/>
      <c r="D295" s="49"/>
    </row>
    <row r="296">
      <c r="A296" s="49"/>
      <c r="B296" s="49"/>
      <c r="C296" s="49"/>
      <c r="D296" s="49"/>
    </row>
    <row r="297">
      <c r="A297" s="49"/>
      <c r="B297" s="49"/>
      <c r="C297" s="49"/>
      <c r="D297" s="49"/>
    </row>
    <row r="298">
      <c r="A298" s="49"/>
      <c r="B298" s="49"/>
      <c r="C298" s="49"/>
      <c r="D298" s="49"/>
    </row>
    <row r="299">
      <c r="A299" s="49"/>
      <c r="B299" s="49"/>
      <c r="C299" s="49"/>
      <c r="D299" s="49"/>
    </row>
    <row r="300">
      <c r="A300" s="49"/>
      <c r="B300" s="49"/>
      <c r="C300" s="49"/>
      <c r="D300" s="49"/>
    </row>
    <row r="301">
      <c r="A301" s="49"/>
      <c r="B301" s="49"/>
      <c r="C301" s="49"/>
      <c r="D301" s="49"/>
    </row>
    <row r="302">
      <c r="A302" s="49"/>
      <c r="B302" s="49"/>
      <c r="C302" s="49"/>
      <c r="D302" s="49"/>
    </row>
    <row r="303">
      <c r="A303" s="49"/>
      <c r="B303" s="49"/>
      <c r="C303" s="49"/>
      <c r="D303" s="49"/>
    </row>
    <row r="304">
      <c r="A304" s="49"/>
      <c r="B304" s="49"/>
      <c r="C304" s="49"/>
      <c r="D304" s="49"/>
    </row>
    <row r="305">
      <c r="A305" s="49"/>
      <c r="B305" s="49"/>
      <c r="C305" s="49"/>
      <c r="D305" s="49"/>
    </row>
    <row r="306">
      <c r="A306" s="49"/>
      <c r="B306" s="49"/>
      <c r="C306" s="49"/>
      <c r="D306" s="49"/>
    </row>
    <row r="307">
      <c r="A307" s="49"/>
      <c r="B307" s="49"/>
      <c r="C307" s="49"/>
      <c r="D307" s="49"/>
    </row>
    <row r="308">
      <c r="A308" s="49"/>
      <c r="B308" s="49"/>
      <c r="C308" s="49"/>
      <c r="D308" s="49"/>
    </row>
    <row r="309">
      <c r="A309" s="49"/>
      <c r="B309" s="49"/>
      <c r="C309" s="49"/>
      <c r="D309" s="49"/>
    </row>
    <row r="310">
      <c r="A310" s="49"/>
      <c r="B310" s="49"/>
      <c r="C310" s="49"/>
      <c r="D310" s="49"/>
    </row>
    <row r="311">
      <c r="A311" s="49"/>
      <c r="B311" s="49"/>
      <c r="C311" s="49"/>
      <c r="D311" s="49"/>
    </row>
    <row r="312">
      <c r="A312" s="49"/>
      <c r="B312" s="49"/>
      <c r="C312" s="49"/>
      <c r="D312" s="49"/>
    </row>
    <row r="313">
      <c r="A313" s="49"/>
      <c r="B313" s="49"/>
      <c r="C313" s="49"/>
      <c r="D313" s="49"/>
    </row>
    <row r="314">
      <c r="A314" s="49"/>
      <c r="B314" s="49"/>
      <c r="C314" s="49"/>
      <c r="D314" s="49"/>
    </row>
    <row r="315">
      <c r="A315" s="49"/>
      <c r="B315" s="49"/>
      <c r="C315" s="49"/>
      <c r="D315" s="49"/>
    </row>
    <row r="316">
      <c r="A316" s="49"/>
      <c r="B316" s="49"/>
      <c r="C316" s="49"/>
      <c r="D316" s="49"/>
    </row>
    <row r="317">
      <c r="A317" s="49"/>
      <c r="B317" s="49"/>
      <c r="C317" s="49"/>
      <c r="D317" s="49"/>
    </row>
    <row r="318">
      <c r="A318" s="49"/>
      <c r="B318" s="49"/>
      <c r="C318" s="49"/>
      <c r="D318" s="49"/>
    </row>
    <row r="319">
      <c r="A319" s="49"/>
      <c r="B319" s="49"/>
      <c r="C319" s="49"/>
      <c r="D319" s="49"/>
    </row>
    <row r="320">
      <c r="A320" s="49"/>
      <c r="B320" s="49"/>
      <c r="C320" s="49"/>
      <c r="D320" s="49"/>
    </row>
    <row r="321">
      <c r="A321" s="49"/>
      <c r="B321" s="49"/>
      <c r="C321" s="49"/>
      <c r="D321" s="49"/>
    </row>
    <row r="322">
      <c r="A322" s="49"/>
      <c r="B322" s="49"/>
      <c r="C322" s="49"/>
      <c r="D322" s="49"/>
    </row>
    <row r="323">
      <c r="A323" s="49"/>
      <c r="B323" s="49"/>
      <c r="C323" s="49"/>
      <c r="D323" s="49"/>
    </row>
    <row r="324">
      <c r="A324" s="49"/>
      <c r="B324" s="49"/>
      <c r="C324" s="49"/>
      <c r="D324" s="49"/>
    </row>
    <row r="325">
      <c r="A325" s="49"/>
      <c r="B325" s="49"/>
      <c r="C325" s="49"/>
      <c r="D325" s="49"/>
    </row>
    <row r="326">
      <c r="A326" s="49"/>
      <c r="B326" s="49"/>
      <c r="C326" s="49"/>
      <c r="D326" s="49"/>
    </row>
    <row r="327">
      <c r="A327" s="49"/>
      <c r="B327" s="49"/>
      <c r="C327" s="49"/>
      <c r="D327" s="49"/>
    </row>
    <row r="328">
      <c r="A328" s="49"/>
      <c r="B328" s="49"/>
      <c r="C328" s="49"/>
      <c r="D328" s="49"/>
    </row>
    <row r="329">
      <c r="A329" s="49"/>
      <c r="B329" s="49"/>
      <c r="C329" s="49"/>
      <c r="D329" s="49"/>
    </row>
    <row r="330">
      <c r="A330" s="49"/>
      <c r="B330" s="49"/>
      <c r="C330" s="49"/>
      <c r="D330" s="49"/>
    </row>
    <row r="331">
      <c r="A331" s="49"/>
      <c r="B331" s="49"/>
      <c r="C331" s="49"/>
      <c r="D331" s="49"/>
    </row>
    <row r="332">
      <c r="A332" s="49"/>
      <c r="B332" s="49"/>
      <c r="C332" s="49"/>
      <c r="D332" s="49"/>
    </row>
    <row r="333">
      <c r="A333" s="49"/>
      <c r="B333" s="49"/>
      <c r="C333" s="49"/>
      <c r="D333" s="49"/>
    </row>
    <row r="334">
      <c r="A334" s="49"/>
      <c r="B334" s="49"/>
      <c r="C334" s="49"/>
      <c r="D334" s="49"/>
    </row>
    <row r="335">
      <c r="A335" s="49"/>
      <c r="B335" s="49"/>
      <c r="C335" s="49"/>
      <c r="D335" s="49"/>
    </row>
    <row r="336">
      <c r="A336" s="49"/>
      <c r="B336" s="49"/>
      <c r="C336" s="49"/>
      <c r="D336" s="49"/>
    </row>
    <row r="337">
      <c r="A337" s="49"/>
      <c r="B337" s="49"/>
      <c r="C337" s="49"/>
      <c r="D337" s="49"/>
    </row>
    <row r="338">
      <c r="A338" s="49"/>
      <c r="B338" s="49"/>
      <c r="C338" s="49"/>
      <c r="D338" s="49"/>
    </row>
    <row r="339">
      <c r="A339" s="49"/>
      <c r="B339" s="49"/>
      <c r="C339" s="49"/>
      <c r="D339" s="49"/>
    </row>
    <row r="340">
      <c r="A340" s="49"/>
      <c r="B340" s="49"/>
      <c r="C340" s="49"/>
      <c r="D340" s="49"/>
    </row>
    <row r="341">
      <c r="A341" s="49"/>
      <c r="B341" s="49"/>
      <c r="C341" s="49"/>
      <c r="D341" s="49"/>
    </row>
    <row r="342">
      <c r="A342" s="49"/>
      <c r="B342" s="49"/>
      <c r="C342" s="49"/>
      <c r="D342" s="49"/>
    </row>
    <row r="343">
      <c r="A343" s="49"/>
      <c r="B343" s="49"/>
      <c r="C343" s="49"/>
      <c r="D343" s="49"/>
    </row>
    <row r="344">
      <c r="A344" s="49"/>
      <c r="B344" s="49"/>
      <c r="C344" s="49"/>
      <c r="D344" s="49"/>
    </row>
    <row r="345">
      <c r="A345" s="49"/>
      <c r="B345" s="49"/>
      <c r="C345" s="49"/>
      <c r="D345" s="49"/>
    </row>
    <row r="346">
      <c r="A346" s="49"/>
      <c r="B346" s="49"/>
      <c r="C346" s="49"/>
      <c r="D346" s="49"/>
    </row>
    <row r="347">
      <c r="A347" s="49"/>
      <c r="B347" s="49"/>
      <c r="C347" s="49"/>
      <c r="D347" s="49"/>
    </row>
    <row r="348">
      <c r="A348" s="49"/>
      <c r="B348" s="49"/>
      <c r="C348" s="49"/>
      <c r="D348" s="49"/>
    </row>
    <row r="349">
      <c r="A349" s="49"/>
      <c r="B349" s="49"/>
      <c r="C349" s="49"/>
      <c r="D349" s="49"/>
    </row>
    <row r="350">
      <c r="A350" s="49"/>
      <c r="B350" s="49"/>
      <c r="C350" s="49"/>
      <c r="D350" s="49"/>
    </row>
    <row r="351">
      <c r="A351" s="49"/>
      <c r="B351" s="49"/>
      <c r="C351" s="49"/>
      <c r="D351" s="49"/>
    </row>
    <row r="352">
      <c r="A352" s="49"/>
      <c r="B352" s="49"/>
      <c r="C352" s="49"/>
      <c r="D352" s="49"/>
    </row>
    <row r="353">
      <c r="A353" s="49"/>
      <c r="B353" s="49"/>
      <c r="C353" s="49"/>
      <c r="D353" s="49"/>
    </row>
    <row r="354">
      <c r="A354" s="49"/>
      <c r="B354" s="49"/>
      <c r="C354" s="49"/>
      <c r="D354" s="49"/>
    </row>
    <row r="355">
      <c r="A355" s="49"/>
      <c r="B355" s="49"/>
      <c r="C355" s="49"/>
      <c r="D355" s="49"/>
    </row>
    <row r="356">
      <c r="A356" s="49"/>
      <c r="B356" s="49"/>
      <c r="C356" s="49"/>
      <c r="D356" s="49"/>
    </row>
    <row r="357">
      <c r="A357" s="49"/>
      <c r="B357" s="49"/>
      <c r="C357" s="49"/>
      <c r="D357" s="49"/>
    </row>
    <row r="358">
      <c r="A358" s="49"/>
      <c r="B358" s="49"/>
      <c r="C358" s="49"/>
      <c r="D358" s="49"/>
    </row>
    <row r="359">
      <c r="A359" s="49"/>
      <c r="B359" s="49"/>
      <c r="C359" s="49"/>
      <c r="D359" s="49"/>
    </row>
    <row r="360">
      <c r="A360" s="49"/>
      <c r="B360" s="49"/>
      <c r="C360" s="49"/>
      <c r="D360" s="49"/>
    </row>
    <row r="361">
      <c r="A361" s="49"/>
      <c r="B361" s="49"/>
      <c r="C361" s="49"/>
      <c r="D361" s="49"/>
    </row>
    <row r="362">
      <c r="A362" s="49"/>
      <c r="B362" s="49"/>
      <c r="C362" s="49"/>
      <c r="D362" s="49"/>
    </row>
    <row r="363">
      <c r="A363" s="49"/>
      <c r="B363" s="49"/>
      <c r="C363" s="49"/>
      <c r="D363" s="49"/>
    </row>
    <row r="364">
      <c r="A364" s="49"/>
      <c r="B364" s="49"/>
      <c r="C364" s="49"/>
      <c r="D364" s="49"/>
    </row>
    <row r="365">
      <c r="A365" s="49"/>
      <c r="B365" s="49"/>
      <c r="C365" s="49"/>
      <c r="D365" s="49"/>
    </row>
    <row r="366">
      <c r="A366" s="49"/>
      <c r="B366" s="49"/>
      <c r="C366" s="49"/>
      <c r="D366" s="49"/>
    </row>
    <row r="367">
      <c r="A367" s="49"/>
      <c r="B367" s="49"/>
      <c r="C367" s="49"/>
      <c r="D367" s="49"/>
    </row>
    <row r="368">
      <c r="A368" s="49"/>
      <c r="B368" s="49"/>
      <c r="C368" s="49"/>
      <c r="D368" s="49"/>
    </row>
    <row r="369">
      <c r="A369" s="49"/>
      <c r="B369" s="49"/>
      <c r="C369" s="49"/>
      <c r="D369" s="49"/>
    </row>
    <row r="370">
      <c r="A370" s="49"/>
      <c r="B370" s="49"/>
      <c r="C370" s="49"/>
      <c r="D370" s="49"/>
    </row>
    <row r="371">
      <c r="A371" s="49"/>
      <c r="B371" s="49"/>
      <c r="C371" s="49"/>
      <c r="D371" s="49"/>
    </row>
    <row r="372">
      <c r="A372" s="49"/>
      <c r="B372" s="49"/>
      <c r="C372" s="49"/>
      <c r="D372" s="49"/>
    </row>
    <row r="373">
      <c r="A373" s="49"/>
      <c r="B373" s="49"/>
      <c r="C373" s="49"/>
      <c r="D373" s="49"/>
    </row>
    <row r="374">
      <c r="A374" s="49"/>
      <c r="B374" s="49"/>
      <c r="C374" s="49"/>
      <c r="D374" s="49"/>
    </row>
    <row r="375">
      <c r="A375" s="49"/>
      <c r="B375" s="49"/>
      <c r="C375" s="49"/>
      <c r="D375" s="49"/>
    </row>
    <row r="376">
      <c r="A376" s="49"/>
      <c r="B376" s="49"/>
      <c r="C376" s="49"/>
      <c r="D376" s="49"/>
    </row>
    <row r="377">
      <c r="A377" s="49"/>
      <c r="B377" s="49"/>
      <c r="C377" s="49"/>
      <c r="D377" s="49"/>
    </row>
    <row r="378">
      <c r="A378" s="49"/>
      <c r="B378" s="49"/>
      <c r="C378" s="49"/>
      <c r="D378" s="49"/>
    </row>
    <row r="379">
      <c r="A379" s="49"/>
      <c r="B379" s="49"/>
      <c r="C379" s="49"/>
      <c r="D379" s="49"/>
    </row>
    <row r="380">
      <c r="A380" s="49"/>
      <c r="B380" s="49"/>
      <c r="C380" s="49"/>
      <c r="D380" s="49"/>
    </row>
    <row r="381">
      <c r="A381" s="49"/>
      <c r="B381" s="49"/>
      <c r="C381" s="49"/>
      <c r="D381" s="49"/>
    </row>
    <row r="382">
      <c r="A382" s="49"/>
      <c r="B382" s="49"/>
      <c r="C382" s="49"/>
      <c r="D382" s="49"/>
    </row>
    <row r="383">
      <c r="A383" s="49"/>
      <c r="B383" s="49"/>
      <c r="C383" s="49"/>
      <c r="D383" s="49"/>
    </row>
    <row r="384">
      <c r="A384" s="49"/>
      <c r="B384" s="49"/>
      <c r="C384" s="49"/>
      <c r="D384" s="49"/>
    </row>
    <row r="385">
      <c r="A385" s="49"/>
      <c r="B385" s="49"/>
      <c r="C385" s="49"/>
      <c r="D385" s="49"/>
    </row>
    <row r="386">
      <c r="A386" s="49"/>
      <c r="B386" s="49"/>
      <c r="C386" s="49"/>
      <c r="D386" s="49"/>
    </row>
    <row r="387">
      <c r="A387" s="49"/>
      <c r="B387" s="49"/>
      <c r="C387" s="49"/>
      <c r="D387" s="49"/>
    </row>
    <row r="388">
      <c r="A388" s="49"/>
      <c r="B388" s="49"/>
      <c r="C388" s="49"/>
      <c r="D388" s="49"/>
    </row>
    <row r="389">
      <c r="A389" s="49"/>
      <c r="B389" s="49"/>
      <c r="C389" s="49"/>
      <c r="D389" s="49"/>
    </row>
    <row r="390">
      <c r="A390" s="49"/>
      <c r="B390" s="49"/>
      <c r="C390" s="49"/>
      <c r="D390" s="49"/>
    </row>
    <row r="391">
      <c r="A391" s="49"/>
      <c r="B391" s="49"/>
      <c r="C391" s="49"/>
      <c r="D391" s="49"/>
    </row>
    <row r="392">
      <c r="A392" s="49"/>
      <c r="B392" s="49"/>
      <c r="C392" s="49"/>
      <c r="D392" s="49"/>
    </row>
    <row r="393">
      <c r="A393" s="49"/>
      <c r="B393" s="49"/>
      <c r="C393" s="49"/>
      <c r="D393" s="49"/>
    </row>
    <row r="394">
      <c r="A394" s="49"/>
      <c r="B394" s="49"/>
      <c r="C394" s="49"/>
      <c r="D394" s="49"/>
    </row>
    <row r="395">
      <c r="A395" s="49"/>
      <c r="B395" s="49"/>
      <c r="C395" s="49"/>
      <c r="D395" s="49"/>
    </row>
    <row r="396">
      <c r="A396" s="49"/>
      <c r="B396" s="49"/>
      <c r="C396" s="49"/>
      <c r="D396" s="49"/>
    </row>
    <row r="397">
      <c r="A397" s="49"/>
      <c r="B397" s="49"/>
      <c r="C397" s="49"/>
      <c r="D397" s="49"/>
    </row>
    <row r="398">
      <c r="A398" s="49"/>
      <c r="B398" s="49"/>
      <c r="C398" s="49"/>
      <c r="D398" s="49"/>
    </row>
    <row r="399">
      <c r="A399" s="49"/>
      <c r="B399" s="49"/>
      <c r="C399" s="49"/>
      <c r="D399" s="49"/>
    </row>
    <row r="400">
      <c r="A400" s="49"/>
      <c r="B400" s="49"/>
      <c r="C400" s="49"/>
      <c r="D400" s="49"/>
    </row>
    <row r="401">
      <c r="A401" s="49"/>
      <c r="B401" s="49"/>
      <c r="C401" s="49"/>
      <c r="D401" s="49"/>
    </row>
    <row r="402">
      <c r="A402" s="49"/>
      <c r="B402" s="49"/>
      <c r="C402" s="49"/>
      <c r="D402" s="49"/>
    </row>
    <row r="403">
      <c r="A403" s="49"/>
      <c r="B403" s="49"/>
      <c r="C403" s="49"/>
      <c r="D403" s="49"/>
    </row>
    <row r="404">
      <c r="A404" s="49"/>
      <c r="B404" s="49"/>
      <c r="C404" s="49"/>
      <c r="D404" s="49"/>
    </row>
    <row r="405">
      <c r="A405" s="49"/>
      <c r="B405" s="49"/>
      <c r="C405" s="49"/>
      <c r="D405" s="49"/>
    </row>
    <row r="406">
      <c r="A406" s="49"/>
      <c r="B406" s="49"/>
      <c r="C406" s="49"/>
      <c r="D406" s="49"/>
    </row>
    <row r="407">
      <c r="A407" s="49"/>
      <c r="B407" s="49"/>
      <c r="C407" s="49"/>
      <c r="D407" s="49"/>
    </row>
    <row r="408">
      <c r="A408" s="49"/>
      <c r="B408" s="49"/>
      <c r="C408" s="49"/>
      <c r="D408" s="49"/>
    </row>
    <row r="409">
      <c r="A409" s="49"/>
      <c r="B409" s="49"/>
      <c r="C409" s="49"/>
      <c r="D409" s="49"/>
    </row>
    <row r="410">
      <c r="A410" s="49"/>
      <c r="B410" s="49"/>
      <c r="C410" s="49"/>
      <c r="D410" s="49"/>
    </row>
    <row r="411">
      <c r="A411" s="49"/>
      <c r="B411" s="49"/>
      <c r="C411" s="49"/>
      <c r="D411" s="49"/>
    </row>
    <row r="412">
      <c r="A412" s="49"/>
      <c r="B412" s="49"/>
      <c r="C412" s="49"/>
      <c r="D412" s="49"/>
    </row>
    <row r="413">
      <c r="A413" s="49"/>
      <c r="B413" s="49"/>
      <c r="C413" s="49"/>
      <c r="D413" s="49"/>
    </row>
    <row r="414">
      <c r="A414" s="49"/>
      <c r="B414" s="49"/>
      <c r="C414" s="49"/>
      <c r="D414" s="49"/>
    </row>
    <row r="415">
      <c r="A415" s="49"/>
      <c r="B415" s="49"/>
      <c r="C415" s="49"/>
      <c r="D415" s="49"/>
    </row>
    <row r="416">
      <c r="A416" s="49"/>
      <c r="B416" s="49"/>
      <c r="C416" s="49"/>
      <c r="D416" s="49"/>
    </row>
    <row r="417">
      <c r="A417" s="49"/>
      <c r="B417" s="49"/>
      <c r="C417" s="49"/>
      <c r="D417" s="49"/>
    </row>
    <row r="418">
      <c r="A418" s="49"/>
      <c r="B418" s="49"/>
      <c r="C418" s="49"/>
      <c r="D418" s="49"/>
    </row>
    <row r="419">
      <c r="A419" s="49"/>
      <c r="B419" s="49"/>
      <c r="C419" s="49"/>
      <c r="D419" s="49"/>
    </row>
    <row r="420">
      <c r="A420" s="49"/>
      <c r="B420" s="49"/>
      <c r="C420" s="49"/>
      <c r="D420" s="49"/>
    </row>
    <row r="421">
      <c r="A421" s="49"/>
      <c r="B421" s="49"/>
      <c r="C421" s="49"/>
      <c r="D421" s="49"/>
    </row>
    <row r="422">
      <c r="A422" s="49"/>
      <c r="B422" s="49"/>
      <c r="C422" s="49"/>
      <c r="D422" s="49"/>
    </row>
    <row r="423">
      <c r="A423" s="49"/>
      <c r="B423" s="49"/>
      <c r="C423" s="49"/>
      <c r="D423" s="49"/>
    </row>
    <row r="424">
      <c r="A424" s="49"/>
      <c r="B424" s="49"/>
      <c r="C424" s="49"/>
      <c r="D424" s="49"/>
    </row>
    <row r="425">
      <c r="A425" s="49"/>
      <c r="B425" s="49"/>
      <c r="C425" s="49"/>
      <c r="D425" s="49"/>
    </row>
    <row r="426">
      <c r="A426" s="49"/>
      <c r="B426" s="49"/>
      <c r="C426" s="49"/>
      <c r="D426" s="49"/>
    </row>
    <row r="427">
      <c r="A427" s="49"/>
      <c r="B427" s="49"/>
      <c r="C427" s="49"/>
      <c r="D427" s="49"/>
    </row>
    <row r="428">
      <c r="A428" s="49"/>
      <c r="B428" s="49"/>
      <c r="C428" s="49"/>
      <c r="D428" s="49"/>
    </row>
    <row r="429">
      <c r="A429" s="49"/>
      <c r="B429" s="49"/>
      <c r="C429" s="49"/>
      <c r="D429" s="49"/>
    </row>
    <row r="430">
      <c r="A430" s="49"/>
      <c r="B430" s="49"/>
      <c r="C430" s="49"/>
      <c r="D430" s="49"/>
    </row>
    <row r="431">
      <c r="A431" s="49"/>
      <c r="B431" s="49"/>
      <c r="C431" s="49"/>
      <c r="D431" s="49"/>
    </row>
    <row r="432">
      <c r="A432" s="49"/>
      <c r="B432" s="49"/>
      <c r="C432" s="49"/>
      <c r="D432" s="49"/>
    </row>
    <row r="433">
      <c r="A433" s="49"/>
      <c r="B433" s="49"/>
      <c r="C433" s="49"/>
      <c r="D433" s="49"/>
    </row>
    <row r="434">
      <c r="A434" s="49"/>
      <c r="B434" s="49"/>
      <c r="C434" s="49"/>
      <c r="D434" s="49"/>
    </row>
    <row r="435">
      <c r="A435" s="49"/>
      <c r="B435" s="49"/>
      <c r="C435" s="49"/>
      <c r="D435" s="49"/>
    </row>
    <row r="436">
      <c r="A436" s="49"/>
      <c r="B436" s="49"/>
      <c r="C436" s="49"/>
      <c r="D436" s="49"/>
    </row>
    <row r="437">
      <c r="A437" s="49"/>
      <c r="B437" s="49"/>
      <c r="C437" s="49"/>
      <c r="D437" s="49"/>
    </row>
    <row r="438">
      <c r="A438" s="49"/>
      <c r="B438" s="49"/>
      <c r="C438" s="49"/>
      <c r="D438" s="49"/>
    </row>
    <row r="439">
      <c r="A439" s="49"/>
      <c r="B439" s="49"/>
      <c r="C439" s="49"/>
      <c r="D439" s="49"/>
    </row>
    <row r="440">
      <c r="A440" s="49"/>
      <c r="B440" s="49"/>
      <c r="C440" s="49"/>
      <c r="D440" s="49"/>
    </row>
    <row r="441">
      <c r="A441" s="49"/>
      <c r="B441" s="49"/>
      <c r="C441" s="49"/>
      <c r="D441" s="49"/>
    </row>
    <row r="442">
      <c r="A442" s="49"/>
      <c r="B442" s="49"/>
      <c r="C442" s="49"/>
      <c r="D442" s="49"/>
    </row>
    <row r="443">
      <c r="A443" s="49"/>
      <c r="B443" s="49"/>
      <c r="C443" s="49"/>
      <c r="D443" s="49"/>
    </row>
    <row r="444">
      <c r="A444" s="49"/>
      <c r="B444" s="49"/>
      <c r="C444" s="49"/>
      <c r="D444" s="49"/>
    </row>
    <row r="445">
      <c r="A445" s="49"/>
      <c r="B445" s="49"/>
      <c r="C445" s="49"/>
      <c r="D445" s="49"/>
    </row>
    <row r="446">
      <c r="A446" s="49"/>
      <c r="B446" s="49"/>
      <c r="C446" s="49"/>
      <c r="D446" s="49"/>
    </row>
    <row r="447">
      <c r="A447" s="49"/>
      <c r="B447" s="49"/>
      <c r="C447" s="49"/>
      <c r="D447" s="49"/>
    </row>
    <row r="448">
      <c r="A448" s="49"/>
      <c r="B448" s="49"/>
      <c r="C448" s="49"/>
      <c r="D448" s="49"/>
    </row>
    <row r="449">
      <c r="A449" s="49"/>
      <c r="B449" s="49"/>
      <c r="C449" s="49"/>
      <c r="D449" s="49"/>
    </row>
    <row r="450">
      <c r="A450" s="49"/>
      <c r="B450" s="49"/>
      <c r="C450" s="49"/>
      <c r="D450" s="49"/>
    </row>
    <row r="451">
      <c r="A451" s="49"/>
      <c r="B451" s="49"/>
      <c r="C451" s="49"/>
      <c r="D451" s="49"/>
    </row>
    <row r="452">
      <c r="A452" s="49"/>
      <c r="B452" s="49"/>
      <c r="C452" s="49"/>
      <c r="D452" s="49"/>
    </row>
    <row r="453">
      <c r="A453" s="49"/>
      <c r="B453" s="49"/>
      <c r="C453" s="49"/>
      <c r="D453" s="49"/>
    </row>
    <row r="454">
      <c r="A454" s="49"/>
      <c r="B454" s="49"/>
      <c r="C454" s="49"/>
      <c r="D454" s="49"/>
    </row>
    <row r="455">
      <c r="A455" s="49"/>
      <c r="B455" s="49"/>
      <c r="C455" s="49"/>
      <c r="D455" s="49"/>
    </row>
    <row r="456">
      <c r="A456" s="49"/>
      <c r="B456" s="49"/>
      <c r="C456" s="49"/>
      <c r="D456" s="49"/>
    </row>
    <row r="457">
      <c r="A457" s="49"/>
      <c r="B457" s="49"/>
      <c r="C457" s="49"/>
      <c r="D457" s="49"/>
    </row>
    <row r="458">
      <c r="A458" s="49"/>
      <c r="B458" s="49"/>
      <c r="C458" s="49"/>
      <c r="D458" s="49"/>
    </row>
    <row r="459">
      <c r="A459" s="49"/>
      <c r="B459" s="49"/>
      <c r="C459" s="49"/>
      <c r="D459" s="49"/>
    </row>
    <row r="460">
      <c r="A460" s="49"/>
      <c r="B460" s="49"/>
      <c r="C460" s="49"/>
      <c r="D460" s="49"/>
    </row>
    <row r="461">
      <c r="A461" s="49"/>
      <c r="B461" s="49"/>
      <c r="C461" s="49"/>
      <c r="D461" s="49"/>
    </row>
    <row r="462">
      <c r="A462" s="49"/>
      <c r="B462" s="49"/>
      <c r="C462" s="49"/>
      <c r="D462" s="49"/>
    </row>
    <row r="463">
      <c r="A463" s="49"/>
      <c r="B463" s="49"/>
      <c r="C463" s="49"/>
      <c r="D463" s="49"/>
    </row>
    <row r="464">
      <c r="A464" s="49"/>
      <c r="B464" s="49"/>
      <c r="C464" s="49"/>
      <c r="D464" s="49"/>
    </row>
    <row r="465">
      <c r="A465" s="49"/>
      <c r="B465" s="49"/>
      <c r="C465" s="49"/>
      <c r="D465" s="49"/>
    </row>
    <row r="466">
      <c r="A466" s="49"/>
      <c r="B466" s="49"/>
      <c r="C466" s="49"/>
      <c r="D466" s="49"/>
    </row>
    <row r="467">
      <c r="A467" s="49"/>
      <c r="B467" s="49"/>
      <c r="C467" s="49"/>
      <c r="D467" s="49"/>
    </row>
    <row r="468">
      <c r="A468" s="49"/>
      <c r="B468" s="49"/>
      <c r="C468" s="49"/>
      <c r="D468" s="49"/>
    </row>
    <row r="469">
      <c r="A469" s="49"/>
      <c r="B469" s="49"/>
      <c r="C469" s="49"/>
      <c r="D469" s="49"/>
    </row>
    <row r="470">
      <c r="A470" s="49"/>
      <c r="B470" s="49"/>
      <c r="C470" s="49"/>
      <c r="D470" s="49"/>
    </row>
    <row r="471">
      <c r="A471" s="49"/>
      <c r="B471" s="49"/>
      <c r="C471" s="49"/>
      <c r="D471" s="49"/>
    </row>
    <row r="472">
      <c r="A472" s="49"/>
      <c r="B472" s="49"/>
      <c r="C472" s="49"/>
      <c r="D472" s="49"/>
    </row>
    <row r="473">
      <c r="A473" s="49"/>
      <c r="B473" s="49"/>
      <c r="C473" s="49"/>
      <c r="D473" s="49"/>
    </row>
    <row r="474">
      <c r="A474" s="49"/>
      <c r="B474" s="49"/>
      <c r="C474" s="49"/>
      <c r="D474" s="49"/>
    </row>
    <row r="475">
      <c r="A475" s="49"/>
      <c r="B475" s="49"/>
      <c r="C475" s="49"/>
      <c r="D475" s="49"/>
    </row>
    <row r="476">
      <c r="A476" s="49"/>
      <c r="B476" s="49"/>
      <c r="C476" s="49"/>
      <c r="D476" s="49"/>
    </row>
    <row r="477">
      <c r="A477" s="49"/>
      <c r="B477" s="49"/>
      <c r="C477" s="49"/>
      <c r="D477" s="49"/>
    </row>
    <row r="478">
      <c r="A478" s="49"/>
      <c r="B478" s="49"/>
      <c r="C478" s="49"/>
      <c r="D478" s="49"/>
    </row>
    <row r="479">
      <c r="A479" s="49"/>
      <c r="B479" s="49"/>
      <c r="C479" s="49"/>
      <c r="D479" s="49"/>
    </row>
    <row r="480">
      <c r="A480" s="49"/>
      <c r="B480" s="49"/>
      <c r="C480" s="49"/>
      <c r="D480" s="49"/>
    </row>
    <row r="481">
      <c r="A481" s="49"/>
      <c r="B481" s="49"/>
      <c r="C481" s="49"/>
      <c r="D481" s="49"/>
    </row>
    <row r="482">
      <c r="A482" s="49"/>
      <c r="B482" s="49"/>
      <c r="C482" s="49"/>
      <c r="D482" s="49"/>
    </row>
    <row r="483">
      <c r="A483" s="49"/>
      <c r="B483" s="49"/>
      <c r="C483" s="49"/>
      <c r="D483" s="49"/>
    </row>
    <row r="484">
      <c r="A484" s="49"/>
      <c r="B484" s="49"/>
      <c r="C484" s="49"/>
      <c r="D484" s="49"/>
    </row>
    <row r="485">
      <c r="A485" s="49"/>
      <c r="B485" s="49"/>
      <c r="C485" s="49"/>
      <c r="D485" s="49"/>
    </row>
    <row r="486">
      <c r="A486" s="49"/>
      <c r="B486" s="49"/>
      <c r="C486" s="49"/>
      <c r="D486" s="49"/>
    </row>
    <row r="487">
      <c r="A487" s="49"/>
      <c r="B487" s="49"/>
      <c r="C487" s="49"/>
      <c r="D487" s="49"/>
    </row>
    <row r="488">
      <c r="A488" s="49"/>
      <c r="B488" s="49"/>
      <c r="C488" s="49"/>
      <c r="D488" s="49"/>
    </row>
    <row r="489">
      <c r="A489" s="49"/>
      <c r="B489" s="49"/>
      <c r="C489" s="49"/>
      <c r="D489" s="49"/>
    </row>
    <row r="490">
      <c r="A490" s="49"/>
      <c r="B490" s="49"/>
      <c r="C490" s="49"/>
      <c r="D490" s="49"/>
    </row>
    <row r="491">
      <c r="A491" s="49"/>
      <c r="B491" s="49"/>
      <c r="C491" s="49"/>
      <c r="D491" s="49"/>
    </row>
    <row r="492">
      <c r="A492" s="49"/>
      <c r="B492" s="49"/>
      <c r="C492" s="49"/>
      <c r="D492" s="49"/>
    </row>
    <row r="493">
      <c r="A493" s="49"/>
      <c r="B493" s="49"/>
      <c r="C493" s="49"/>
      <c r="D493" s="49"/>
    </row>
    <row r="494">
      <c r="A494" s="49"/>
      <c r="B494" s="49"/>
      <c r="C494" s="49"/>
      <c r="D494" s="49"/>
    </row>
    <row r="495">
      <c r="A495" s="49"/>
      <c r="B495" s="49"/>
      <c r="C495" s="49"/>
      <c r="D495" s="49"/>
    </row>
    <row r="496">
      <c r="A496" s="49"/>
      <c r="B496" s="49"/>
      <c r="C496" s="49"/>
      <c r="D496" s="49"/>
    </row>
    <row r="497">
      <c r="A497" s="49"/>
      <c r="B497" s="49"/>
      <c r="C497" s="49"/>
      <c r="D497" s="49"/>
    </row>
    <row r="498">
      <c r="A498" s="49"/>
      <c r="B498" s="49"/>
      <c r="C498" s="49"/>
      <c r="D498" s="49"/>
    </row>
    <row r="499">
      <c r="A499" s="49"/>
      <c r="B499" s="49"/>
      <c r="C499" s="49"/>
      <c r="D499" s="49"/>
    </row>
    <row r="500">
      <c r="A500" s="49"/>
      <c r="B500" s="49"/>
      <c r="C500" s="49"/>
      <c r="D500" s="49"/>
    </row>
    <row r="501">
      <c r="A501" s="49"/>
      <c r="B501" s="49"/>
      <c r="C501" s="49"/>
      <c r="D501" s="49"/>
    </row>
    <row r="502">
      <c r="A502" s="49"/>
      <c r="B502" s="49"/>
      <c r="C502" s="49"/>
      <c r="D502" s="49"/>
    </row>
    <row r="503">
      <c r="A503" s="49"/>
      <c r="B503" s="49"/>
      <c r="C503" s="49"/>
      <c r="D503" s="49"/>
    </row>
    <row r="504">
      <c r="A504" s="49"/>
      <c r="B504" s="49"/>
      <c r="C504" s="49"/>
      <c r="D504" s="49"/>
    </row>
    <row r="505">
      <c r="A505" s="49"/>
      <c r="B505" s="49"/>
      <c r="C505" s="49"/>
      <c r="D505" s="49"/>
    </row>
    <row r="506">
      <c r="A506" s="49"/>
      <c r="B506" s="49"/>
      <c r="C506" s="49"/>
      <c r="D506" s="49"/>
    </row>
    <row r="507">
      <c r="A507" s="49"/>
      <c r="B507" s="49"/>
      <c r="C507" s="49"/>
      <c r="D507" s="49"/>
    </row>
    <row r="508">
      <c r="A508" s="49"/>
      <c r="B508" s="49"/>
      <c r="C508" s="49"/>
      <c r="D508" s="49"/>
    </row>
    <row r="509">
      <c r="A509" s="49"/>
      <c r="B509" s="49"/>
      <c r="C509" s="49"/>
      <c r="D509" s="49"/>
    </row>
    <row r="510">
      <c r="A510" s="49"/>
      <c r="B510" s="49"/>
      <c r="C510" s="49"/>
      <c r="D510" s="49"/>
    </row>
    <row r="511">
      <c r="A511" s="49"/>
      <c r="B511" s="49"/>
      <c r="C511" s="49"/>
      <c r="D511" s="49"/>
    </row>
    <row r="512">
      <c r="A512" s="49"/>
      <c r="B512" s="49"/>
      <c r="C512" s="49"/>
      <c r="D512" s="49"/>
    </row>
    <row r="513">
      <c r="A513" s="49"/>
      <c r="B513" s="49"/>
      <c r="C513" s="49"/>
      <c r="D513" s="49"/>
    </row>
    <row r="514">
      <c r="A514" s="49"/>
      <c r="B514" s="49"/>
      <c r="C514" s="49"/>
      <c r="D514" s="49"/>
    </row>
    <row r="515">
      <c r="A515" s="49"/>
      <c r="B515" s="49"/>
      <c r="C515" s="49"/>
      <c r="D515" s="49"/>
    </row>
    <row r="516">
      <c r="A516" s="49"/>
      <c r="B516" s="49"/>
      <c r="C516" s="49"/>
      <c r="D516" s="49"/>
    </row>
    <row r="517">
      <c r="A517" s="49"/>
      <c r="B517" s="49"/>
      <c r="C517" s="49"/>
      <c r="D517" s="49"/>
    </row>
    <row r="518">
      <c r="A518" s="49"/>
      <c r="B518" s="49"/>
      <c r="C518" s="49"/>
      <c r="D518" s="49"/>
    </row>
    <row r="519">
      <c r="A519" s="49"/>
      <c r="B519" s="49"/>
      <c r="C519" s="49"/>
      <c r="D519" s="49"/>
    </row>
    <row r="520">
      <c r="A520" s="49"/>
      <c r="B520" s="49"/>
      <c r="C520" s="49"/>
      <c r="D520" s="49"/>
    </row>
    <row r="521">
      <c r="A521" s="49"/>
      <c r="B521" s="49"/>
      <c r="C521" s="49"/>
      <c r="D521" s="49"/>
    </row>
    <row r="522">
      <c r="A522" s="49"/>
      <c r="B522" s="49"/>
      <c r="C522" s="49"/>
      <c r="D522" s="49"/>
    </row>
    <row r="523">
      <c r="A523" s="49"/>
      <c r="B523" s="49"/>
      <c r="C523" s="49"/>
      <c r="D523" s="49"/>
    </row>
    <row r="524">
      <c r="A524" s="49"/>
      <c r="B524" s="49"/>
      <c r="C524" s="49"/>
      <c r="D524" s="49"/>
    </row>
    <row r="525">
      <c r="A525" s="49"/>
      <c r="B525" s="49"/>
      <c r="C525" s="49"/>
      <c r="D525" s="49"/>
    </row>
    <row r="526">
      <c r="A526" s="49"/>
      <c r="B526" s="49"/>
      <c r="C526" s="49"/>
      <c r="D526" s="49"/>
    </row>
    <row r="527">
      <c r="A527" s="49"/>
      <c r="B527" s="49"/>
      <c r="C527" s="49"/>
      <c r="D527" s="49"/>
    </row>
    <row r="528">
      <c r="A528" s="49"/>
      <c r="B528" s="49"/>
      <c r="C528" s="49"/>
      <c r="D528" s="49"/>
    </row>
    <row r="529">
      <c r="A529" s="49"/>
      <c r="B529" s="49"/>
      <c r="C529" s="49"/>
      <c r="D529" s="49"/>
    </row>
    <row r="530">
      <c r="A530" s="49"/>
      <c r="B530" s="49"/>
      <c r="C530" s="49"/>
      <c r="D530" s="49"/>
    </row>
    <row r="531">
      <c r="A531" s="49"/>
      <c r="B531" s="49"/>
      <c r="C531" s="49"/>
      <c r="D531" s="49"/>
    </row>
    <row r="532">
      <c r="A532" s="49"/>
      <c r="B532" s="49"/>
      <c r="C532" s="49"/>
      <c r="D532" s="49"/>
    </row>
    <row r="533">
      <c r="A533" s="49"/>
      <c r="B533" s="49"/>
      <c r="C533" s="49"/>
      <c r="D533" s="49"/>
    </row>
    <row r="534">
      <c r="A534" s="49"/>
      <c r="B534" s="49"/>
      <c r="C534" s="49"/>
      <c r="D534" s="49"/>
    </row>
    <row r="535">
      <c r="A535" s="49"/>
      <c r="B535" s="49"/>
      <c r="C535" s="49"/>
      <c r="D535" s="49"/>
    </row>
    <row r="536">
      <c r="A536" s="49"/>
      <c r="B536" s="49"/>
      <c r="C536" s="49"/>
      <c r="D536" s="49"/>
    </row>
    <row r="537">
      <c r="A537" s="49"/>
      <c r="B537" s="49"/>
      <c r="C537" s="49"/>
      <c r="D537" s="49"/>
    </row>
    <row r="538">
      <c r="A538" s="49"/>
      <c r="B538" s="49"/>
      <c r="C538" s="49"/>
      <c r="D538" s="49"/>
    </row>
    <row r="539">
      <c r="A539" s="49"/>
      <c r="B539" s="49"/>
      <c r="C539" s="49"/>
      <c r="D539" s="49"/>
    </row>
    <row r="540">
      <c r="A540" s="49"/>
      <c r="B540" s="49"/>
      <c r="C540" s="49"/>
      <c r="D540" s="49"/>
    </row>
    <row r="541">
      <c r="A541" s="49"/>
      <c r="B541" s="49"/>
      <c r="C541" s="49"/>
      <c r="D541" s="49"/>
    </row>
    <row r="542">
      <c r="A542" s="49"/>
      <c r="B542" s="49"/>
      <c r="C542" s="49"/>
      <c r="D542" s="49"/>
    </row>
    <row r="543">
      <c r="A543" s="49"/>
      <c r="B543" s="49"/>
      <c r="C543" s="49"/>
      <c r="D543" s="49"/>
    </row>
    <row r="544">
      <c r="A544" s="49"/>
      <c r="B544" s="49"/>
      <c r="C544" s="49"/>
      <c r="D544" s="49"/>
    </row>
    <row r="545">
      <c r="A545" s="49"/>
      <c r="B545" s="49"/>
      <c r="C545" s="49"/>
      <c r="D545" s="49"/>
    </row>
    <row r="546">
      <c r="A546" s="49"/>
      <c r="B546" s="49"/>
      <c r="C546" s="49"/>
      <c r="D546" s="49"/>
    </row>
    <row r="547">
      <c r="A547" s="49"/>
      <c r="B547" s="49"/>
      <c r="C547" s="49"/>
      <c r="D547" s="49"/>
    </row>
    <row r="548">
      <c r="A548" s="49"/>
      <c r="B548" s="49"/>
      <c r="C548" s="49"/>
      <c r="D548" s="49"/>
    </row>
    <row r="549">
      <c r="A549" s="49"/>
      <c r="B549" s="49"/>
      <c r="C549" s="49"/>
      <c r="D549" s="49"/>
    </row>
    <row r="550">
      <c r="A550" s="49"/>
      <c r="B550" s="49"/>
      <c r="C550" s="49"/>
      <c r="D550" s="49"/>
    </row>
    <row r="551">
      <c r="A551" s="49"/>
      <c r="B551" s="49"/>
      <c r="C551" s="49"/>
      <c r="D551" s="49"/>
    </row>
    <row r="552">
      <c r="A552" s="49"/>
      <c r="B552" s="49"/>
      <c r="C552" s="49"/>
      <c r="D552" s="49"/>
    </row>
    <row r="553">
      <c r="A553" s="49"/>
      <c r="B553" s="49"/>
      <c r="C553" s="49"/>
      <c r="D553" s="49"/>
    </row>
    <row r="554">
      <c r="A554" s="49"/>
      <c r="B554" s="49"/>
      <c r="C554" s="49"/>
      <c r="D554" s="49"/>
    </row>
    <row r="555">
      <c r="A555" s="49"/>
      <c r="B555" s="49"/>
      <c r="C555" s="49"/>
      <c r="D555" s="49"/>
    </row>
    <row r="556">
      <c r="A556" s="49"/>
      <c r="B556" s="49"/>
      <c r="C556" s="49"/>
      <c r="D556" s="49"/>
    </row>
    <row r="557">
      <c r="A557" s="49"/>
      <c r="B557" s="49"/>
      <c r="C557" s="49"/>
      <c r="D557" s="49"/>
    </row>
    <row r="558">
      <c r="A558" s="49"/>
      <c r="B558" s="49"/>
      <c r="C558" s="49"/>
      <c r="D558" s="49"/>
    </row>
    <row r="559">
      <c r="A559" s="49"/>
      <c r="B559" s="49"/>
      <c r="C559" s="49"/>
      <c r="D559" s="49"/>
    </row>
    <row r="560">
      <c r="A560" s="49"/>
      <c r="B560" s="49"/>
      <c r="C560" s="49"/>
      <c r="D560" s="49"/>
    </row>
    <row r="561">
      <c r="A561" s="49"/>
      <c r="B561" s="49"/>
      <c r="C561" s="49"/>
      <c r="D561" s="49"/>
    </row>
    <row r="562">
      <c r="A562" s="49"/>
      <c r="B562" s="49"/>
      <c r="C562" s="49"/>
      <c r="D562" s="49"/>
    </row>
    <row r="563">
      <c r="A563" s="49"/>
      <c r="B563" s="49"/>
      <c r="C563" s="49"/>
      <c r="D563" s="49"/>
    </row>
    <row r="564">
      <c r="A564" s="49"/>
      <c r="B564" s="49"/>
      <c r="C564" s="49"/>
      <c r="D564" s="49"/>
    </row>
    <row r="565">
      <c r="A565" s="49"/>
      <c r="B565" s="49"/>
      <c r="C565" s="49"/>
      <c r="D565" s="49"/>
    </row>
    <row r="566">
      <c r="A566" s="49"/>
      <c r="B566" s="49"/>
      <c r="C566" s="49"/>
      <c r="D566" s="49"/>
    </row>
    <row r="567">
      <c r="A567" s="49"/>
      <c r="B567" s="49"/>
      <c r="C567" s="49"/>
      <c r="D567" s="49"/>
    </row>
    <row r="568">
      <c r="A568" s="49"/>
      <c r="B568" s="49"/>
      <c r="C568" s="49"/>
      <c r="D568" s="49"/>
    </row>
    <row r="569">
      <c r="A569" s="49"/>
      <c r="B569" s="49"/>
      <c r="C569" s="49"/>
      <c r="D569" s="49"/>
    </row>
    <row r="570">
      <c r="A570" s="49"/>
      <c r="B570" s="49"/>
      <c r="C570" s="49"/>
      <c r="D570" s="49"/>
    </row>
    <row r="571">
      <c r="A571" s="49"/>
      <c r="B571" s="49"/>
      <c r="C571" s="49"/>
      <c r="D571" s="49"/>
    </row>
    <row r="572">
      <c r="A572" s="49"/>
      <c r="B572" s="49"/>
      <c r="C572" s="49"/>
      <c r="D572" s="49"/>
    </row>
    <row r="573">
      <c r="A573" s="49"/>
      <c r="B573" s="49"/>
      <c r="C573" s="49"/>
      <c r="D573" s="49"/>
    </row>
    <row r="574">
      <c r="A574" s="49"/>
      <c r="B574" s="49"/>
      <c r="C574" s="49"/>
      <c r="D574" s="49"/>
    </row>
    <row r="575">
      <c r="A575" s="49"/>
      <c r="B575" s="49"/>
      <c r="C575" s="49"/>
      <c r="D575" s="49"/>
    </row>
    <row r="576">
      <c r="A576" s="49"/>
      <c r="B576" s="49"/>
      <c r="C576" s="49"/>
      <c r="D576" s="49"/>
    </row>
    <row r="577">
      <c r="A577" s="49"/>
      <c r="B577" s="49"/>
      <c r="C577" s="49"/>
      <c r="D577" s="49"/>
    </row>
    <row r="578">
      <c r="A578" s="49"/>
      <c r="B578" s="49"/>
      <c r="C578" s="49"/>
      <c r="D578" s="49"/>
    </row>
    <row r="579">
      <c r="A579" s="49"/>
      <c r="B579" s="49"/>
      <c r="C579" s="49"/>
      <c r="D579" s="49"/>
    </row>
    <row r="580">
      <c r="A580" s="49"/>
      <c r="B580" s="49"/>
      <c r="C580" s="49"/>
      <c r="D580" s="49"/>
    </row>
    <row r="581">
      <c r="A581" s="49"/>
      <c r="B581" s="49"/>
      <c r="C581" s="49"/>
      <c r="D581" s="49"/>
    </row>
    <row r="582">
      <c r="A582" s="49"/>
      <c r="B582" s="49"/>
      <c r="C582" s="49"/>
      <c r="D582" s="49"/>
    </row>
    <row r="583">
      <c r="A583" s="49"/>
      <c r="B583" s="49"/>
      <c r="C583" s="49"/>
      <c r="D583" s="49"/>
    </row>
    <row r="584">
      <c r="A584" s="49"/>
      <c r="B584" s="49"/>
      <c r="C584" s="49"/>
      <c r="D584" s="49"/>
    </row>
    <row r="585">
      <c r="A585" s="49"/>
      <c r="B585" s="49"/>
      <c r="C585" s="49"/>
      <c r="D585" s="49"/>
    </row>
    <row r="586">
      <c r="A586" s="49"/>
      <c r="B586" s="49"/>
      <c r="C586" s="49"/>
      <c r="D586" s="49"/>
    </row>
    <row r="587">
      <c r="A587" s="49"/>
      <c r="B587" s="49"/>
      <c r="C587" s="49"/>
      <c r="D587" s="49"/>
    </row>
    <row r="588">
      <c r="A588" s="49"/>
      <c r="B588" s="49"/>
      <c r="C588" s="49"/>
      <c r="D588" s="49"/>
    </row>
    <row r="589">
      <c r="A589" s="49"/>
      <c r="B589" s="49"/>
      <c r="C589" s="49"/>
      <c r="D589" s="49"/>
    </row>
    <row r="590">
      <c r="A590" s="49"/>
      <c r="B590" s="49"/>
      <c r="C590" s="49"/>
      <c r="D590" s="49"/>
    </row>
    <row r="591">
      <c r="A591" s="49"/>
      <c r="B591" s="49"/>
      <c r="C591" s="49"/>
      <c r="D591" s="49"/>
    </row>
    <row r="592">
      <c r="A592" s="49"/>
      <c r="B592" s="49"/>
      <c r="C592" s="49"/>
      <c r="D592" s="49"/>
    </row>
    <row r="593">
      <c r="A593" s="49"/>
      <c r="B593" s="49"/>
      <c r="C593" s="49"/>
      <c r="D593" s="49"/>
    </row>
    <row r="594">
      <c r="A594" s="49"/>
      <c r="B594" s="49"/>
      <c r="C594" s="49"/>
      <c r="D594" s="49"/>
    </row>
    <row r="595">
      <c r="A595" s="49"/>
      <c r="B595" s="49"/>
      <c r="C595" s="49"/>
      <c r="D595" s="49"/>
    </row>
    <row r="596">
      <c r="A596" s="49"/>
      <c r="B596" s="49"/>
      <c r="C596" s="49"/>
      <c r="D596" s="49"/>
    </row>
    <row r="597">
      <c r="A597" s="49"/>
      <c r="B597" s="49"/>
      <c r="C597" s="49"/>
      <c r="D597" s="49"/>
    </row>
    <row r="598">
      <c r="A598" s="49"/>
      <c r="B598" s="49"/>
      <c r="C598" s="49"/>
      <c r="D598" s="49"/>
    </row>
    <row r="599">
      <c r="A599" s="49"/>
      <c r="B599" s="49"/>
      <c r="C599" s="49"/>
      <c r="D599" s="49"/>
    </row>
    <row r="600">
      <c r="A600" s="49"/>
      <c r="B600" s="49"/>
      <c r="C600" s="49"/>
      <c r="D600" s="49"/>
    </row>
    <row r="601">
      <c r="A601" s="49"/>
      <c r="B601" s="49"/>
      <c r="C601" s="49"/>
      <c r="D601" s="49"/>
    </row>
    <row r="602">
      <c r="A602" s="49"/>
      <c r="B602" s="49"/>
      <c r="C602" s="49"/>
      <c r="D602" s="49"/>
    </row>
    <row r="603">
      <c r="A603" s="49"/>
      <c r="B603" s="49"/>
      <c r="C603" s="49"/>
      <c r="D603" s="49"/>
    </row>
    <row r="604">
      <c r="A604" s="49"/>
      <c r="B604" s="49"/>
      <c r="C604" s="49"/>
      <c r="D604" s="49"/>
    </row>
    <row r="605">
      <c r="A605" s="49"/>
      <c r="B605" s="49"/>
      <c r="C605" s="49"/>
      <c r="D605" s="49"/>
    </row>
    <row r="606">
      <c r="A606" s="49"/>
      <c r="B606" s="49"/>
      <c r="C606" s="49"/>
      <c r="D606" s="49"/>
    </row>
    <row r="607">
      <c r="A607" s="49"/>
      <c r="B607" s="49"/>
      <c r="C607" s="49"/>
      <c r="D607" s="49"/>
    </row>
    <row r="608">
      <c r="A608" s="49"/>
      <c r="B608" s="49"/>
      <c r="C608" s="49"/>
      <c r="D608" s="49"/>
    </row>
    <row r="609">
      <c r="A609" s="49"/>
      <c r="B609" s="49"/>
      <c r="C609" s="49"/>
      <c r="D609" s="49"/>
    </row>
    <row r="610">
      <c r="A610" s="49"/>
      <c r="B610" s="49"/>
      <c r="C610" s="49"/>
      <c r="D610" s="49"/>
    </row>
    <row r="611">
      <c r="A611" s="49"/>
      <c r="B611" s="49"/>
      <c r="C611" s="49"/>
      <c r="D611" s="49"/>
    </row>
    <row r="612">
      <c r="A612" s="49"/>
      <c r="B612" s="49"/>
      <c r="C612" s="49"/>
      <c r="D612" s="49"/>
    </row>
    <row r="613">
      <c r="A613" s="49"/>
      <c r="B613" s="49"/>
      <c r="C613" s="49"/>
      <c r="D613" s="49"/>
    </row>
    <row r="614">
      <c r="A614" s="49"/>
      <c r="B614" s="49"/>
      <c r="C614" s="49"/>
      <c r="D614" s="49"/>
    </row>
    <row r="615">
      <c r="A615" s="49"/>
      <c r="B615" s="49"/>
      <c r="C615" s="49"/>
      <c r="D615" s="49"/>
    </row>
    <row r="616">
      <c r="A616" s="49"/>
      <c r="B616" s="49"/>
      <c r="C616" s="49"/>
      <c r="D616" s="49"/>
    </row>
    <row r="617">
      <c r="A617" s="49"/>
      <c r="B617" s="49"/>
      <c r="C617" s="49"/>
      <c r="D617" s="49"/>
    </row>
    <row r="618">
      <c r="A618" s="49"/>
      <c r="B618" s="49"/>
      <c r="C618" s="49"/>
      <c r="D618" s="49"/>
    </row>
    <row r="619">
      <c r="A619" s="49"/>
      <c r="B619" s="49"/>
      <c r="C619" s="49"/>
      <c r="D619" s="49"/>
    </row>
    <row r="620">
      <c r="A620" s="49"/>
      <c r="B620" s="49"/>
      <c r="C620" s="49"/>
      <c r="D620" s="49"/>
    </row>
    <row r="621">
      <c r="A621" s="49"/>
      <c r="B621" s="49"/>
      <c r="C621" s="49"/>
      <c r="D621" s="49"/>
    </row>
    <row r="622">
      <c r="A622" s="49"/>
      <c r="B622" s="49"/>
      <c r="C622" s="49"/>
      <c r="D622" s="49"/>
    </row>
    <row r="623">
      <c r="A623" s="49"/>
      <c r="B623" s="49"/>
      <c r="C623" s="49"/>
      <c r="D623" s="49"/>
    </row>
    <row r="624">
      <c r="A624" s="49"/>
      <c r="B624" s="49"/>
      <c r="C624" s="49"/>
      <c r="D624" s="49"/>
    </row>
    <row r="625">
      <c r="A625" s="49"/>
      <c r="B625" s="49"/>
      <c r="C625" s="49"/>
      <c r="D625" s="49"/>
    </row>
    <row r="626">
      <c r="A626" s="49"/>
      <c r="B626" s="49"/>
      <c r="C626" s="49"/>
      <c r="D626" s="49"/>
    </row>
    <row r="627">
      <c r="A627" s="49"/>
      <c r="B627" s="49"/>
      <c r="C627" s="49"/>
      <c r="D627" s="49"/>
    </row>
    <row r="628">
      <c r="A628" s="49"/>
      <c r="B628" s="49"/>
      <c r="C628" s="49"/>
      <c r="D628" s="49"/>
    </row>
    <row r="629">
      <c r="A629" s="49"/>
      <c r="B629" s="49"/>
      <c r="C629" s="49"/>
      <c r="D629" s="49"/>
    </row>
    <row r="630">
      <c r="A630" s="49"/>
      <c r="B630" s="49"/>
      <c r="C630" s="49"/>
      <c r="D630" s="49"/>
    </row>
    <row r="631">
      <c r="A631" s="49"/>
      <c r="B631" s="49"/>
      <c r="C631" s="49"/>
      <c r="D631" s="49"/>
    </row>
    <row r="632">
      <c r="A632" s="49"/>
      <c r="B632" s="49"/>
      <c r="C632" s="49"/>
      <c r="D632" s="49"/>
    </row>
    <row r="633">
      <c r="A633" s="49"/>
      <c r="B633" s="49"/>
      <c r="C633" s="49"/>
      <c r="D633" s="49"/>
    </row>
    <row r="634">
      <c r="A634" s="49"/>
      <c r="B634" s="49"/>
      <c r="C634" s="49"/>
      <c r="D634" s="49"/>
    </row>
    <row r="635">
      <c r="A635" s="49"/>
      <c r="B635" s="49"/>
      <c r="C635" s="49"/>
      <c r="D635" s="49"/>
    </row>
    <row r="636">
      <c r="A636" s="49"/>
      <c r="B636" s="49"/>
      <c r="C636" s="49"/>
      <c r="D636" s="49"/>
    </row>
    <row r="637">
      <c r="A637" s="49"/>
      <c r="B637" s="49"/>
      <c r="C637" s="49"/>
      <c r="D637" s="49"/>
    </row>
    <row r="638">
      <c r="A638" s="49"/>
      <c r="B638" s="49"/>
      <c r="C638" s="49"/>
      <c r="D638" s="49"/>
    </row>
    <row r="639">
      <c r="A639" s="49"/>
      <c r="B639" s="49"/>
      <c r="C639" s="49"/>
      <c r="D639" s="49"/>
    </row>
    <row r="640">
      <c r="A640" s="49"/>
      <c r="B640" s="49"/>
      <c r="C640" s="49"/>
      <c r="D640" s="49"/>
    </row>
    <row r="641">
      <c r="A641" s="49"/>
      <c r="B641" s="49"/>
      <c r="C641" s="49"/>
      <c r="D641" s="49"/>
    </row>
    <row r="642">
      <c r="A642" s="49"/>
      <c r="B642" s="49"/>
      <c r="C642" s="49"/>
      <c r="D642" s="49"/>
    </row>
    <row r="643">
      <c r="A643" s="49"/>
      <c r="B643" s="49"/>
      <c r="C643" s="49"/>
      <c r="D643" s="49"/>
    </row>
    <row r="644">
      <c r="A644" s="49"/>
      <c r="B644" s="49"/>
      <c r="C644" s="49"/>
      <c r="D644" s="49"/>
    </row>
    <row r="645">
      <c r="A645" s="49"/>
      <c r="B645" s="49"/>
      <c r="C645" s="49"/>
      <c r="D645" s="49"/>
    </row>
    <row r="646">
      <c r="A646" s="49"/>
      <c r="B646" s="49"/>
      <c r="C646" s="49"/>
      <c r="D646" s="49"/>
    </row>
    <row r="647">
      <c r="A647" s="49"/>
      <c r="B647" s="49"/>
      <c r="C647" s="49"/>
      <c r="D647" s="49"/>
    </row>
    <row r="648">
      <c r="A648" s="49"/>
      <c r="B648" s="49"/>
      <c r="C648" s="49"/>
      <c r="D648" s="49"/>
    </row>
    <row r="649">
      <c r="A649" s="49"/>
      <c r="B649" s="49"/>
      <c r="C649" s="49"/>
      <c r="D649" s="49"/>
    </row>
    <row r="650">
      <c r="A650" s="49"/>
      <c r="B650" s="49"/>
      <c r="C650" s="49"/>
      <c r="D650" s="49"/>
    </row>
    <row r="651">
      <c r="A651" s="49"/>
      <c r="B651" s="49"/>
      <c r="C651" s="49"/>
      <c r="D651" s="49"/>
    </row>
    <row r="652">
      <c r="A652" s="49"/>
      <c r="B652" s="49"/>
      <c r="C652" s="49"/>
      <c r="D652" s="49"/>
    </row>
    <row r="653">
      <c r="A653" s="49"/>
      <c r="B653" s="49"/>
      <c r="C653" s="49"/>
      <c r="D653" s="49"/>
    </row>
    <row r="654">
      <c r="A654" s="49"/>
      <c r="B654" s="49"/>
      <c r="C654" s="49"/>
      <c r="D654" s="49"/>
    </row>
    <row r="655">
      <c r="A655" s="49"/>
      <c r="B655" s="49"/>
      <c r="C655" s="49"/>
      <c r="D655" s="49"/>
    </row>
    <row r="656">
      <c r="A656" s="49"/>
      <c r="B656" s="49"/>
      <c r="C656" s="49"/>
      <c r="D656" s="49"/>
    </row>
    <row r="657">
      <c r="A657" s="49"/>
      <c r="B657" s="49"/>
      <c r="C657" s="49"/>
      <c r="D657" s="49"/>
    </row>
    <row r="658">
      <c r="A658" s="49"/>
      <c r="B658" s="49"/>
      <c r="C658" s="49"/>
      <c r="D658" s="49"/>
    </row>
    <row r="659">
      <c r="A659" s="49"/>
      <c r="B659" s="49"/>
      <c r="C659" s="49"/>
      <c r="D659" s="49"/>
    </row>
    <row r="660">
      <c r="A660" s="49"/>
      <c r="B660" s="49"/>
      <c r="C660" s="49"/>
      <c r="D660" s="49"/>
    </row>
    <row r="661">
      <c r="A661" s="49"/>
      <c r="B661" s="49"/>
      <c r="C661" s="49"/>
      <c r="D661" s="49"/>
    </row>
    <row r="662">
      <c r="A662" s="49"/>
      <c r="B662" s="49"/>
      <c r="C662" s="49"/>
      <c r="D662" s="49"/>
    </row>
    <row r="663">
      <c r="A663" s="49"/>
      <c r="B663" s="49"/>
      <c r="C663" s="49"/>
      <c r="D663" s="49"/>
    </row>
    <row r="664">
      <c r="A664" s="49"/>
      <c r="B664" s="49"/>
      <c r="C664" s="49"/>
      <c r="D664" s="49"/>
    </row>
    <row r="665">
      <c r="A665" s="49"/>
      <c r="B665" s="49"/>
      <c r="C665" s="49"/>
      <c r="D665" s="49"/>
    </row>
    <row r="666">
      <c r="A666" s="49"/>
      <c r="B666" s="49"/>
      <c r="C666" s="49"/>
      <c r="D666" s="49"/>
    </row>
    <row r="667">
      <c r="A667" s="49"/>
      <c r="B667" s="49"/>
      <c r="C667" s="49"/>
      <c r="D667" s="49"/>
    </row>
    <row r="668">
      <c r="A668" s="49"/>
      <c r="B668" s="49"/>
      <c r="C668" s="49"/>
      <c r="D668" s="49"/>
    </row>
    <row r="669">
      <c r="A669" s="49"/>
      <c r="B669" s="49"/>
      <c r="C669" s="49"/>
      <c r="D669" s="49"/>
    </row>
    <row r="670">
      <c r="A670" s="49"/>
      <c r="B670" s="49"/>
      <c r="C670" s="49"/>
      <c r="D670" s="49"/>
    </row>
    <row r="671">
      <c r="A671" s="49"/>
      <c r="B671" s="49"/>
      <c r="C671" s="49"/>
      <c r="D671" s="49"/>
    </row>
    <row r="672">
      <c r="A672" s="49"/>
      <c r="B672" s="49"/>
      <c r="C672" s="49"/>
      <c r="D672" s="49"/>
    </row>
    <row r="673">
      <c r="A673" s="49"/>
      <c r="B673" s="49"/>
      <c r="C673" s="49"/>
      <c r="D673" s="49"/>
    </row>
    <row r="674">
      <c r="A674" s="49"/>
      <c r="B674" s="49"/>
      <c r="C674" s="49"/>
      <c r="D674" s="49"/>
    </row>
    <row r="675">
      <c r="A675" s="49"/>
      <c r="B675" s="49"/>
      <c r="C675" s="49"/>
      <c r="D675" s="49"/>
    </row>
    <row r="676">
      <c r="A676" s="49"/>
      <c r="B676" s="49"/>
      <c r="C676" s="49"/>
      <c r="D676" s="49"/>
    </row>
    <row r="677">
      <c r="A677" s="49"/>
      <c r="B677" s="49"/>
      <c r="C677" s="49"/>
      <c r="D677" s="49"/>
    </row>
    <row r="678">
      <c r="A678" s="49"/>
      <c r="B678" s="49"/>
      <c r="C678" s="49"/>
      <c r="D678" s="49"/>
    </row>
    <row r="679">
      <c r="A679" s="49"/>
      <c r="B679" s="49"/>
      <c r="C679" s="49"/>
      <c r="D679" s="49"/>
    </row>
    <row r="680">
      <c r="A680" s="49"/>
      <c r="B680" s="49"/>
      <c r="C680" s="49"/>
      <c r="D680" s="49"/>
    </row>
    <row r="681">
      <c r="A681" s="49"/>
      <c r="B681" s="49"/>
      <c r="C681" s="49"/>
      <c r="D681" s="49"/>
    </row>
    <row r="682">
      <c r="A682" s="49"/>
      <c r="B682" s="49"/>
      <c r="C682" s="49"/>
      <c r="D682" s="49"/>
    </row>
    <row r="683">
      <c r="A683" s="49"/>
      <c r="B683" s="49"/>
      <c r="C683" s="49"/>
      <c r="D683" s="49"/>
    </row>
    <row r="684">
      <c r="A684" s="49"/>
      <c r="B684" s="49"/>
      <c r="C684" s="49"/>
      <c r="D684" s="49"/>
    </row>
    <row r="685">
      <c r="A685" s="49"/>
      <c r="B685" s="49"/>
      <c r="C685" s="49"/>
      <c r="D685" s="49"/>
    </row>
    <row r="686">
      <c r="A686" s="49"/>
      <c r="B686" s="49"/>
      <c r="C686" s="49"/>
      <c r="D686" s="49"/>
    </row>
    <row r="687">
      <c r="A687" s="49"/>
      <c r="B687" s="49"/>
      <c r="C687" s="49"/>
      <c r="D687" s="49"/>
    </row>
    <row r="688">
      <c r="A688" s="49"/>
      <c r="B688" s="49"/>
      <c r="C688" s="49"/>
      <c r="D688" s="49"/>
    </row>
    <row r="689">
      <c r="A689" s="49"/>
      <c r="B689" s="49"/>
      <c r="C689" s="49"/>
      <c r="D689" s="49"/>
    </row>
    <row r="690">
      <c r="A690" s="49"/>
      <c r="B690" s="49"/>
      <c r="C690" s="49"/>
      <c r="D690" s="49"/>
    </row>
    <row r="691">
      <c r="A691" s="49"/>
      <c r="B691" s="49"/>
      <c r="C691" s="49"/>
      <c r="D691" s="49"/>
    </row>
    <row r="692">
      <c r="A692" s="49"/>
      <c r="B692" s="49"/>
      <c r="C692" s="49"/>
      <c r="D692" s="49"/>
    </row>
    <row r="693">
      <c r="A693" s="49"/>
      <c r="B693" s="49"/>
      <c r="C693" s="49"/>
      <c r="D693" s="49"/>
    </row>
    <row r="694">
      <c r="A694" s="49"/>
      <c r="B694" s="49"/>
      <c r="C694" s="49"/>
      <c r="D694" s="49"/>
    </row>
    <row r="695">
      <c r="A695" s="49"/>
      <c r="B695" s="49"/>
      <c r="C695" s="49"/>
      <c r="D695" s="49"/>
    </row>
    <row r="696">
      <c r="A696" s="49"/>
      <c r="B696" s="49"/>
      <c r="C696" s="49"/>
      <c r="D696" s="49"/>
    </row>
    <row r="697">
      <c r="A697" s="49"/>
      <c r="B697" s="49"/>
      <c r="C697" s="49"/>
      <c r="D697" s="49"/>
    </row>
    <row r="698">
      <c r="A698" s="49"/>
      <c r="B698" s="49"/>
      <c r="C698" s="49"/>
      <c r="D698" s="49"/>
    </row>
    <row r="699">
      <c r="A699" s="49"/>
      <c r="B699" s="49"/>
      <c r="C699" s="49"/>
      <c r="D699" s="49"/>
    </row>
    <row r="700">
      <c r="A700" s="49"/>
      <c r="B700" s="49"/>
      <c r="C700" s="49"/>
      <c r="D700" s="49"/>
    </row>
    <row r="701">
      <c r="A701" s="49"/>
      <c r="B701" s="49"/>
      <c r="C701" s="49"/>
      <c r="D701" s="49"/>
    </row>
    <row r="702">
      <c r="A702" s="49"/>
      <c r="B702" s="49"/>
      <c r="C702" s="49"/>
      <c r="D702" s="49"/>
    </row>
    <row r="703">
      <c r="A703" s="49"/>
      <c r="B703" s="49"/>
      <c r="C703" s="49"/>
      <c r="D703" s="49"/>
    </row>
    <row r="704">
      <c r="A704" s="49"/>
      <c r="B704" s="49"/>
      <c r="C704" s="49"/>
      <c r="D704" s="49"/>
    </row>
    <row r="705">
      <c r="A705" s="49"/>
      <c r="B705" s="49"/>
      <c r="C705" s="49"/>
      <c r="D705" s="49"/>
    </row>
    <row r="706">
      <c r="A706" s="49"/>
      <c r="B706" s="49"/>
      <c r="C706" s="49"/>
      <c r="D706" s="49"/>
    </row>
    <row r="707">
      <c r="A707" s="49"/>
      <c r="B707" s="49"/>
      <c r="C707" s="49"/>
      <c r="D707" s="49"/>
    </row>
    <row r="708">
      <c r="A708" s="49"/>
      <c r="B708" s="49"/>
      <c r="C708" s="49"/>
      <c r="D708" s="49"/>
    </row>
    <row r="709">
      <c r="A709" s="49"/>
      <c r="B709" s="49"/>
      <c r="C709" s="49"/>
      <c r="D709" s="49"/>
    </row>
    <row r="710">
      <c r="A710" s="49"/>
      <c r="B710" s="49"/>
      <c r="C710" s="49"/>
      <c r="D710" s="49"/>
    </row>
    <row r="711">
      <c r="A711" s="49"/>
      <c r="B711" s="49"/>
      <c r="C711" s="49"/>
      <c r="D711" s="49"/>
    </row>
    <row r="712">
      <c r="A712" s="49"/>
      <c r="B712" s="49"/>
      <c r="C712" s="49"/>
      <c r="D712" s="49"/>
    </row>
    <row r="713">
      <c r="A713" s="49"/>
      <c r="B713" s="49"/>
      <c r="C713" s="49"/>
      <c r="D713" s="49"/>
    </row>
    <row r="714">
      <c r="A714" s="49"/>
      <c r="B714" s="49"/>
      <c r="C714" s="49"/>
      <c r="D714" s="49"/>
    </row>
    <row r="715">
      <c r="A715" s="49"/>
      <c r="B715" s="49"/>
      <c r="C715" s="49"/>
      <c r="D715" s="49"/>
    </row>
    <row r="716">
      <c r="A716" s="49"/>
      <c r="B716" s="49"/>
      <c r="C716" s="49"/>
      <c r="D716" s="49"/>
    </row>
    <row r="717">
      <c r="A717" s="49"/>
      <c r="B717" s="49"/>
      <c r="C717" s="49"/>
      <c r="D717" s="49"/>
    </row>
    <row r="718">
      <c r="A718" s="49"/>
      <c r="B718" s="49"/>
      <c r="C718" s="49"/>
      <c r="D718" s="49"/>
    </row>
    <row r="719">
      <c r="A719" s="49"/>
      <c r="B719" s="49"/>
      <c r="C719" s="49"/>
      <c r="D719" s="49"/>
    </row>
    <row r="720">
      <c r="A720" s="49"/>
      <c r="B720" s="49"/>
      <c r="C720" s="49"/>
      <c r="D720" s="49"/>
    </row>
    <row r="721">
      <c r="A721" s="49"/>
      <c r="B721" s="49"/>
      <c r="C721" s="49"/>
      <c r="D721" s="49"/>
    </row>
    <row r="722">
      <c r="A722" s="49"/>
      <c r="B722" s="49"/>
      <c r="C722" s="49"/>
      <c r="D722" s="49"/>
    </row>
    <row r="723">
      <c r="A723" s="49"/>
      <c r="B723" s="49"/>
      <c r="C723" s="49"/>
      <c r="D723" s="49"/>
    </row>
    <row r="724">
      <c r="A724" s="49"/>
      <c r="B724" s="49"/>
      <c r="C724" s="49"/>
      <c r="D724" s="49"/>
    </row>
    <row r="725">
      <c r="A725" s="49"/>
      <c r="B725" s="49"/>
      <c r="C725" s="49"/>
      <c r="D725" s="49"/>
    </row>
    <row r="726">
      <c r="A726" s="49"/>
      <c r="B726" s="49"/>
      <c r="C726" s="49"/>
      <c r="D726" s="49"/>
    </row>
    <row r="727">
      <c r="A727" s="49"/>
      <c r="B727" s="49"/>
      <c r="C727" s="49"/>
      <c r="D727" s="49"/>
    </row>
    <row r="728">
      <c r="A728" s="49"/>
      <c r="B728" s="49"/>
      <c r="C728" s="49"/>
      <c r="D728" s="49"/>
    </row>
    <row r="729">
      <c r="A729" s="49"/>
      <c r="B729" s="49"/>
      <c r="C729" s="49"/>
      <c r="D729" s="49"/>
    </row>
    <row r="730">
      <c r="A730" s="49"/>
      <c r="B730" s="49"/>
      <c r="C730" s="49"/>
      <c r="D730" s="49"/>
    </row>
    <row r="731">
      <c r="A731" s="49"/>
      <c r="B731" s="49"/>
      <c r="C731" s="49"/>
      <c r="D731" s="49"/>
    </row>
    <row r="732">
      <c r="A732" s="49"/>
      <c r="B732" s="49"/>
      <c r="C732" s="49"/>
      <c r="D732" s="49"/>
    </row>
    <row r="733">
      <c r="A733" s="49"/>
      <c r="B733" s="49"/>
      <c r="C733" s="49"/>
      <c r="D733" s="49"/>
    </row>
    <row r="734">
      <c r="A734" s="49"/>
      <c r="B734" s="49"/>
      <c r="C734" s="49"/>
      <c r="D734" s="49"/>
    </row>
    <row r="735">
      <c r="A735" s="49"/>
      <c r="B735" s="49"/>
      <c r="C735" s="49"/>
      <c r="D735" s="49"/>
    </row>
    <row r="736">
      <c r="A736" s="49"/>
      <c r="B736" s="49"/>
      <c r="C736" s="49"/>
      <c r="D736" s="49"/>
    </row>
    <row r="737">
      <c r="A737" s="49"/>
      <c r="B737" s="49"/>
      <c r="C737" s="49"/>
      <c r="D737" s="49"/>
    </row>
    <row r="738">
      <c r="A738" s="49"/>
      <c r="B738" s="49"/>
      <c r="C738" s="49"/>
      <c r="D738" s="49"/>
    </row>
    <row r="739">
      <c r="A739" s="49"/>
      <c r="B739" s="49"/>
      <c r="C739" s="49"/>
      <c r="D739" s="49"/>
    </row>
    <row r="740">
      <c r="A740" s="49"/>
      <c r="B740" s="49"/>
      <c r="C740" s="49"/>
      <c r="D740" s="49"/>
    </row>
    <row r="741">
      <c r="A741" s="49"/>
      <c r="B741" s="49"/>
      <c r="C741" s="49"/>
      <c r="D741" s="49"/>
    </row>
    <row r="742">
      <c r="A742" s="49"/>
      <c r="B742" s="49"/>
      <c r="C742" s="49"/>
      <c r="D742" s="49"/>
    </row>
    <row r="743">
      <c r="A743" s="49"/>
      <c r="B743" s="49"/>
      <c r="C743" s="49"/>
      <c r="D743" s="49"/>
    </row>
    <row r="744">
      <c r="A744" s="49"/>
      <c r="B744" s="49"/>
      <c r="C744" s="49"/>
      <c r="D744" s="49"/>
    </row>
    <row r="745">
      <c r="A745" s="49"/>
      <c r="B745" s="49"/>
      <c r="C745" s="49"/>
      <c r="D745" s="49"/>
    </row>
    <row r="746">
      <c r="A746" s="49"/>
      <c r="B746" s="49"/>
      <c r="C746" s="49"/>
      <c r="D746" s="49"/>
    </row>
    <row r="747">
      <c r="A747" s="49"/>
      <c r="B747" s="49"/>
      <c r="C747" s="49"/>
      <c r="D747" s="49"/>
    </row>
    <row r="748">
      <c r="A748" s="49"/>
      <c r="B748" s="49"/>
      <c r="C748" s="49"/>
      <c r="D748" s="49"/>
    </row>
    <row r="749">
      <c r="A749" s="49"/>
      <c r="B749" s="49"/>
      <c r="C749" s="49"/>
      <c r="D749" s="49"/>
    </row>
    <row r="750">
      <c r="A750" s="49"/>
      <c r="B750" s="49"/>
      <c r="C750" s="49"/>
      <c r="D750" s="49"/>
    </row>
    <row r="751">
      <c r="A751" s="49"/>
      <c r="B751" s="49"/>
      <c r="C751" s="49"/>
      <c r="D751" s="49"/>
    </row>
    <row r="752">
      <c r="A752" s="49"/>
      <c r="B752" s="49"/>
      <c r="C752" s="49"/>
      <c r="D752" s="49"/>
    </row>
    <row r="753">
      <c r="A753" s="49"/>
      <c r="B753" s="49"/>
      <c r="C753" s="49"/>
      <c r="D753" s="49"/>
    </row>
    <row r="754">
      <c r="A754" s="49"/>
      <c r="B754" s="49"/>
      <c r="C754" s="49"/>
      <c r="D754" s="49"/>
    </row>
    <row r="755">
      <c r="A755" s="49"/>
      <c r="B755" s="49"/>
      <c r="C755" s="49"/>
      <c r="D755" s="49"/>
    </row>
    <row r="756">
      <c r="A756" s="49"/>
      <c r="B756" s="49"/>
      <c r="C756" s="49"/>
      <c r="D756" s="49"/>
    </row>
    <row r="757">
      <c r="A757" s="49"/>
      <c r="B757" s="49"/>
      <c r="C757" s="49"/>
      <c r="D757" s="49"/>
    </row>
    <row r="758">
      <c r="A758" s="49"/>
      <c r="B758" s="49"/>
      <c r="C758" s="49"/>
      <c r="D758" s="49"/>
    </row>
    <row r="759">
      <c r="A759" s="49"/>
      <c r="B759" s="49"/>
      <c r="C759" s="49"/>
      <c r="D759" s="49"/>
    </row>
    <row r="760">
      <c r="A760" s="49"/>
      <c r="B760" s="49"/>
      <c r="C760" s="49"/>
      <c r="D760" s="49"/>
    </row>
    <row r="761">
      <c r="A761" s="49"/>
      <c r="B761" s="49"/>
      <c r="C761" s="49"/>
      <c r="D761" s="49"/>
    </row>
    <row r="762">
      <c r="A762" s="49"/>
      <c r="B762" s="49"/>
      <c r="C762" s="49"/>
      <c r="D762" s="49"/>
    </row>
    <row r="763">
      <c r="A763" s="49"/>
      <c r="B763" s="49"/>
      <c r="C763" s="49"/>
      <c r="D763" s="49"/>
    </row>
    <row r="764">
      <c r="A764" s="49"/>
      <c r="B764" s="49"/>
      <c r="C764" s="49"/>
      <c r="D764" s="49"/>
    </row>
    <row r="765">
      <c r="A765" s="49"/>
      <c r="B765" s="49"/>
      <c r="C765" s="49"/>
      <c r="D765" s="49"/>
    </row>
    <row r="766">
      <c r="A766" s="49"/>
      <c r="B766" s="49"/>
      <c r="C766" s="49"/>
      <c r="D766" s="49"/>
    </row>
    <row r="767">
      <c r="A767" s="49"/>
      <c r="B767" s="49"/>
      <c r="C767" s="49"/>
      <c r="D767" s="49"/>
    </row>
    <row r="768">
      <c r="A768" s="49"/>
      <c r="B768" s="49"/>
      <c r="C768" s="49"/>
      <c r="D768" s="49"/>
    </row>
    <row r="769">
      <c r="A769" s="49"/>
      <c r="B769" s="49"/>
      <c r="C769" s="49"/>
      <c r="D769" s="49"/>
    </row>
    <row r="770">
      <c r="A770" s="49"/>
      <c r="B770" s="49"/>
      <c r="C770" s="49"/>
      <c r="D770" s="49"/>
    </row>
    <row r="771">
      <c r="A771" s="49"/>
      <c r="B771" s="49"/>
      <c r="C771" s="49"/>
      <c r="D771" s="49"/>
    </row>
    <row r="772">
      <c r="A772" s="49"/>
      <c r="B772" s="49"/>
      <c r="C772" s="49"/>
      <c r="D772" s="49"/>
    </row>
    <row r="773">
      <c r="A773" s="49"/>
      <c r="B773" s="49"/>
      <c r="C773" s="49"/>
      <c r="D773" s="49"/>
    </row>
    <row r="774">
      <c r="A774" s="49"/>
      <c r="B774" s="49"/>
      <c r="C774" s="49"/>
      <c r="D774" s="49"/>
    </row>
    <row r="775">
      <c r="A775" s="49"/>
      <c r="B775" s="49"/>
      <c r="C775" s="49"/>
      <c r="D775" s="49"/>
    </row>
    <row r="776">
      <c r="A776" s="49"/>
      <c r="B776" s="49"/>
      <c r="C776" s="49"/>
      <c r="D776" s="49"/>
    </row>
    <row r="777">
      <c r="A777" s="49"/>
      <c r="B777" s="49"/>
      <c r="C777" s="49"/>
      <c r="D777" s="49"/>
    </row>
    <row r="778">
      <c r="A778" s="49"/>
      <c r="B778" s="49"/>
      <c r="C778" s="49"/>
      <c r="D778" s="49"/>
    </row>
    <row r="779">
      <c r="A779" s="49"/>
      <c r="B779" s="49"/>
      <c r="C779" s="49"/>
      <c r="D779" s="49"/>
    </row>
    <row r="780">
      <c r="A780" s="49"/>
      <c r="B780" s="49"/>
      <c r="C780" s="49"/>
      <c r="D780" s="49"/>
    </row>
    <row r="781">
      <c r="A781" s="49"/>
      <c r="B781" s="49"/>
      <c r="C781" s="49"/>
      <c r="D781" s="49"/>
    </row>
    <row r="782">
      <c r="A782" s="49"/>
      <c r="B782" s="49"/>
      <c r="C782" s="49"/>
      <c r="D782" s="49"/>
    </row>
    <row r="783">
      <c r="A783" s="49"/>
      <c r="B783" s="49"/>
      <c r="C783" s="49"/>
      <c r="D783" s="49"/>
    </row>
    <row r="784">
      <c r="A784" s="49"/>
      <c r="B784" s="49"/>
      <c r="C784" s="49"/>
      <c r="D784" s="49"/>
    </row>
    <row r="785">
      <c r="A785" s="49"/>
      <c r="B785" s="49"/>
      <c r="C785" s="49"/>
      <c r="D785" s="49"/>
    </row>
    <row r="786">
      <c r="A786" s="49"/>
      <c r="B786" s="49"/>
      <c r="C786" s="49"/>
      <c r="D786" s="49"/>
    </row>
    <row r="787">
      <c r="A787" s="49"/>
      <c r="B787" s="49"/>
      <c r="C787" s="49"/>
      <c r="D787" s="49"/>
    </row>
    <row r="788">
      <c r="A788" s="49"/>
      <c r="B788" s="49"/>
      <c r="C788" s="49"/>
      <c r="D788" s="49"/>
    </row>
    <row r="789">
      <c r="A789" s="49"/>
      <c r="B789" s="49"/>
      <c r="C789" s="49"/>
      <c r="D789" s="49"/>
    </row>
    <row r="790">
      <c r="A790" s="49"/>
      <c r="B790" s="49"/>
      <c r="C790" s="49"/>
      <c r="D790" s="49"/>
    </row>
    <row r="791">
      <c r="A791" s="49"/>
      <c r="B791" s="49"/>
      <c r="C791" s="49"/>
      <c r="D791" s="49"/>
    </row>
    <row r="792">
      <c r="A792" s="49"/>
      <c r="B792" s="49"/>
      <c r="C792" s="49"/>
      <c r="D792" s="49"/>
    </row>
    <row r="793">
      <c r="A793" s="49"/>
      <c r="B793" s="49"/>
      <c r="C793" s="49"/>
      <c r="D793" s="49"/>
    </row>
    <row r="794">
      <c r="A794" s="49"/>
      <c r="B794" s="49"/>
      <c r="C794" s="49"/>
      <c r="D794" s="49"/>
    </row>
    <row r="795">
      <c r="A795" s="49"/>
      <c r="B795" s="49"/>
      <c r="C795" s="49"/>
      <c r="D795" s="49"/>
    </row>
    <row r="796">
      <c r="A796" s="49"/>
      <c r="B796" s="49"/>
      <c r="C796" s="49"/>
      <c r="D796" s="49"/>
    </row>
    <row r="797">
      <c r="A797" s="49"/>
      <c r="B797" s="49"/>
      <c r="C797" s="49"/>
      <c r="D797" s="49"/>
    </row>
    <row r="798">
      <c r="A798" s="49"/>
      <c r="B798" s="49"/>
      <c r="C798" s="49"/>
      <c r="D798" s="49"/>
    </row>
    <row r="799">
      <c r="A799" s="49"/>
      <c r="B799" s="49"/>
      <c r="C799" s="49"/>
      <c r="D799" s="49"/>
    </row>
    <row r="800">
      <c r="A800" s="49"/>
      <c r="B800" s="49"/>
      <c r="C800" s="49"/>
      <c r="D800" s="49"/>
    </row>
    <row r="801">
      <c r="A801" s="49"/>
      <c r="B801" s="49"/>
      <c r="C801" s="49"/>
      <c r="D801" s="49"/>
    </row>
    <row r="802">
      <c r="A802" s="49"/>
      <c r="B802" s="49"/>
      <c r="C802" s="49"/>
      <c r="D802" s="49"/>
    </row>
    <row r="803">
      <c r="A803" s="49"/>
      <c r="B803" s="49"/>
      <c r="C803" s="49"/>
      <c r="D803" s="49"/>
    </row>
    <row r="804">
      <c r="A804" s="49"/>
      <c r="B804" s="49"/>
      <c r="C804" s="49"/>
      <c r="D804" s="49"/>
    </row>
    <row r="805">
      <c r="A805" s="49"/>
      <c r="B805" s="49"/>
      <c r="C805" s="49"/>
      <c r="D805" s="49"/>
    </row>
    <row r="806">
      <c r="A806" s="49"/>
      <c r="B806" s="49"/>
      <c r="C806" s="49"/>
      <c r="D806" s="49"/>
    </row>
    <row r="807">
      <c r="A807" s="49"/>
      <c r="B807" s="49"/>
      <c r="C807" s="49"/>
      <c r="D807" s="49"/>
    </row>
    <row r="808">
      <c r="A808" s="49"/>
      <c r="B808" s="49"/>
      <c r="C808" s="49"/>
      <c r="D808" s="49"/>
    </row>
    <row r="809">
      <c r="A809" s="49"/>
      <c r="B809" s="49"/>
      <c r="C809" s="49"/>
      <c r="D809" s="49"/>
    </row>
    <row r="810">
      <c r="A810" s="49"/>
      <c r="B810" s="49"/>
      <c r="C810" s="49"/>
      <c r="D810" s="49"/>
    </row>
    <row r="811">
      <c r="A811" s="49"/>
      <c r="B811" s="49"/>
      <c r="C811" s="49"/>
      <c r="D811" s="49"/>
    </row>
    <row r="812">
      <c r="A812" s="49"/>
      <c r="B812" s="49"/>
      <c r="C812" s="49"/>
      <c r="D812" s="49"/>
    </row>
    <row r="813">
      <c r="A813" s="49"/>
      <c r="B813" s="49"/>
      <c r="C813" s="49"/>
      <c r="D813" s="49"/>
    </row>
    <row r="814">
      <c r="A814" s="49"/>
      <c r="B814" s="49"/>
      <c r="C814" s="49"/>
      <c r="D814" s="49"/>
    </row>
    <row r="815">
      <c r="A815" s="49"/>
      <c r="B815" s="49"/>
      <c r="C815" s="49"/>
      <c r="D815" s="49"/>
    </row>
    <row r="816">
      <c r="A816" s="49"/>
      <c r="B816" s="49"/>
      <c r="C816" s="49"/>
      <c r="D816" s="49"/>
    </row>
    <row r="817">
      <c r="A817" s="49"/>
      <c r="B817" s="49"/>
      <c r="C817" s="49"/>
      <c r="D817" s="49"/>
    </row>
    <row r="818">
      <c r="A818" s="49"/>
      <c r="B818" s="49"/>
      <c r="C818" s="49"/>
      <c r="D818" s="49"/>
    </row>
    <row r="819">
      <c r="A819" s="49"/>
      <c r="B819" s="49"/>
      <c r="C819" s="49"/>
      <c r="D819" s="49"/>
    </row>
    <row r="820">
      <c r="A820" s="49"/>
      <c r="B820" s="49"/>
      <c r="C820" s="49"/>
      <c r="D820" s="49"/>
    </row>
    <row r="821">
      <c r="A821" s="49"/>
      <c r="B821" s="49"/>
      <c r="C821" s="49"/>
      <c r="D821" s="49"/>
    </row>
    <row r="822">
      <c r="A822" s="49"/>
      <c r="B822" s="49"/>
      <c r="C822" s="49"/>
      <c r="D822" s="49"/>
    </row>
    <row r="823">
      <c r="A823" s="49"/>
      <c r="B823" s="49"/>
      <c r="C823" s="49"/>
      <c r="D823" s="49"/>
    </row>
    <row r="824">
      <c r="A824" s="49"/>
      <c r="B824" s="49"/>
      <c r="C824" s="49"/>
      <c r="D824" s="49"/>
    </row>
    <row r="825">
      <c r="A825" s="49"/>
      <c r="B825" s="49"/>
      <c r="C825" s="49"/>
      <c r="D825" s="49"/>
    </row>
    <row r="826">
      <c r="A826" s="49"/>
      <c r="B826" s="49"/>
      <c r="C826" s="49"/>
      <c r="D826" s="49"/>
    </row>
    <row r="827">
      <c r="A827" s="49"/>
      <c r="B827" s="49"/>
      <c r="C827" s="49"/>
      <c r="D827" s="49"/>
    </row>
    <row r="828">
      <c r="A828" s="49"/>
      <c r="B828" s="49"/>
      <c r="C828" s="49"/>
      <c r="D828" s="49"/>
    </row>
    <row r="829">
      <c r="A829" s="49"/>
      <c r="B829" s="49"/>
      <c r="C829" s="49"/>
      <c r="D829" s="49"/>
    </row>
    <row r="830">
      <c r="A830" s="49"/>
      <c r="B830" s="49"/>
      <c r="C830" s="49"/>
      <c r="D830" s="49"/>
    </row>
    <row r="831">
      <c r="A831" s="49"/>
      <c r="B831" s="49"/>
      <c r="C831" s="49"/>
      <c r="D831" s="49"/>
    </row>
    <row r="832">
      <c r="A832" s="49"/>
      <c r="B832" s="49"/>
      <c r="C832" s="49"/>
      <c r="D832" s="49"/>
    </row>
    <row r="833">
      <c r="A833" s="49"/>
      <c r="B833" s="49"/>
      <c r="C833" s="49"/>
      <c r="D833" s="49"/>
    </row>
    <row r="834">
      <c r="A834" s="49"/>
      <c r="B834" s="49"/>
      <c r="C834" s="49"/>
      <c r="D834" s="49"/>
    </row>
    <row r="835">
      <c r="A835" s="49"/>
      <c r="B835" s="49"/>
      <c r="C835" s="49"/>
      <c r="D835" s="49"/>
    </row>
    <row r="836">
      <c r="A836" s="49"/>
      <c r="B836" s="49"/>
      <c r="C836" s="49"/>
      <c r="D836" s="49"/>
    </row>
    <row r="837">
      <c r="A837" s="49"/>
      <c r="B837" s="49"/>
      <c r="C837" s="49"/>
      <c r="D837" s="49"/>
    </row>
    <row r="838">
      <c r="A838" s="49"/>
      <c r="B838" s="49"/>
      <c r="C838" s="49"/>
      <c r="D838" s="49"/>
    </row>
    <row r="839">
      <c r="A839" s="49"/>
      <c r="B839" s="49"/>
      <c r="C839" s="49"/>
      <c r="D839" s="49"/>
    </row>
    <row r="840">
      <c r="A840" s="49"/>
      <c r="B840" s="49"/>
      <c r="C840" s="49"/>
      <c r="D840" s="49"/>
    </row>
    <row r="841">
      <c r="A841" s="49"/>
      <c r="B841" s="49"/>
      <c r="C841" s="49"/>
      <c r="D841" s="49"/>
    </row>
    <row r="842">
      <c r="A842" s="49"/>
      <c r="B842" s="49"/>
      <c r="C842" s="49"/>
      <c r="D842" s="49"/>
    </row>
    <row r="843">
      <c r="A843" s="49"/>
      <c r="B843" s="49"/>
      <c r="C843" s="49"/>
      <c r="D843" s="49"/>
    </row>
    <row r="844">
      <c r="A844" s="49"/>
      <c r="B844" s="49"/>
      <c r="C844" s="49"/>
      <c r="D844" s="49"/>
    </row>
    <row r="845">
      <c r="A845" s="49"/>
      <c r="B845" s="49"/>
      <c r="C845" s="49"/>
      <c r="D845" s="49"/>
    </row>
    <row r="846">
      <c r="A846" s="49"/>
      <c r="B846" s="49"/>
      <c r="C846" s="49"/>
      <c r="D846" s="49"/>
    </row>
    <row r="847">
      <c r="A847" s="49"/>
      <c r="B847" s="49"/>
      <c r="C847" s="49"/>
      <c r="D847" s="49"/>
    </row>
    <row r="848">
      <c r="A848" s="49"/>
      <c r="B848" s="49"/>
      <c r="C848" s="49"/>
      <c r="D848" s="49"/>
    </row>
    <row r="849">
      <c r="A849" s="49"/>
      <c r="B849" s="49"/>
      <c r="C849" s="49"/>
      <c r="D849" s="49"/>
    </row>
    <row r="850">
      <c r="A850" s="49"/>
      <c r="B850" s="49"/>
      <c r="C850" s="49"/>
      <c r="D850" s="49"/>
    </row>
    <row r="851">
      <c r="A851" s="49"/>
      <c r="B851" s="49"/>
      <c r="C851" s="49"/>
      <c r="D851" s="49"/>
    </row>
    <row r="852">
      <c r="A852" s="49"/>
      <c r="B852" s="49"/>
      <c r="C852" s="49"/>
      <c r="D852" s="49"/>
    </row>
    <row r="853">
      <c r="A853" s="49"/>
      <c r="B853" s="49"/>
      <c r="C853" s="49"/>
      <c r="D853" s="49"/>
    </row>
    <row r="854">
      <c r="A854" s="49"/>
      <c r="B854" s="49"/>
      <c r="C854" s="49"/>
      <c r="D854" s="49"/>
    </row>
    <row r="855">
      <c r="A855" s="49"/>
      <c r="B855" s="49"/>
      <c r="C855" s="49"/>
      <c r="D855" s="49"/>
    </row>
    <row r="856">
      <c r="A856" s="49"/>
      <c r="B856" s="49"/>
      <c r="C856" s="49"/>
      <c r="D856" s="49"/>
    </row>
    <row r="857">
      <c r="A857" s="49"/>
      <c r="B857" s="49"/>
      <c r="C857" s="49"/>
      <c r="D857" s="49"/>
    </row>
    <row r="858">
      <c r="A858" s="49"/>
      <c r="B858" s="49"/>
      <c r="C858" s="49"/>
      <c r="D858" s="49"/>
    </row>
    <row r="859">
      <c r="A859" s="49"/>
      <c r="B859" s="49"/>
      <c r="C859" s="49"/>
      <c r="D859" s="49"/>
    </row>
    <row r="860">
      <c r="A860" s="49"/>
      <c r="B860" s="49"/>
      <c r="C860" s="49"/>
      <c r="D860" s="49"/>
    </row>
    <row r="861">
      <c r="A861" s="49"/>
      <c r="B861" s="49"/>
      <c r="C861" s="49"/>
      <c r="D861" s="49"/>
    </row>
    <row r="862">
      <c r="A862" s="49"/>
      <c r="B862" s="49"/>
      <c r="C862" s="49"/>
      <c r="D862" s="49"/>
    </row>
    <row r="863">
      <c r="A863" s="49"/>
      <c r="B863" s="49"/>
      <c r="C863" s="49"/>
      <c r="D863" s="49"/>
    </row>
    <row r="864">
      <c r="A864" s="49"/>
      <c r="B864" s="49"/>
      <c r="C864" s="49"/>
      <c r="D864" s="49"/>
    </row>
    <row r="865">
      <c r="A865" s="49"/>
      <c r="B865" s="49"/>
      <c r="C865" s="49"/>
      <c r="D865" s="49"/>
    </row>
    <row r="866">
      <c r="A866" s="49"/>
      <c r="B866" s="49"/>
      <c r="C866" s="49"/>
      <c r="D866" s="49"/>
    </row>
    <row r="867">
      <c r="A867" s="49"/>
      <c r="B867" s="49"/>
      <c r="C867" s="49"/>
      <c r="D867" s="49"/>
    </row>
    <row r="868">
      <c r="A868" s="49"/>
      <c r="B868" s="49"/>
      <c r="C868" s="49"/>
      <c r="D868" s="49"/>
    </row>
    <row r="869">
      <c r="A869" s="49"/>
      <c r="B869" s="49"/>
      <c r="C869" s="49"/>
      <c r="D869" s="49"/>
    </row>
    <row r="870">
      <c r="A870" s="49"/>
      <c r="B870" s="49"/>
      <c r="C870" s="49"/>
      <c r="D870" s="49"/>
    </row>
    <row r="871">
      <c r="A871" s="49"/>
      <c r="B871" s="49"/>
      <c r="C871" s="49"/>
      <c r="D871" s="49"/>
    </row>
    <row r="872">
      <c r="A872" s="49"/>
      <c r="B872" s="49"/>
      <c r="C872" s="49"/>
      <c r="D872" s="49"/>
    </row>
    <row r="873">
      <c r="A873" s="49"/>
      <c r="B873" s="49"/>
      <c r="C873" s="49"/>
      <c r="D873" s="49"/>
    </row>
    <row r="874">
      <c r="A874" s="49"/>
      <c r="B874" s="49"/>
      <c r="C874" s="49"/>
      <c r="D874" s="49"/>
    </row>
    <row r="875">
      <c r="A875" s="49"/>
      <c r="B875" s="49"/>
      <c r="C875" s="49"/>
      <c r="D875" s="49"/>
    </row>
    <row r="876">
      <c r="A876" s="49"/>
      <c r="B876" s="49"/>
      <c r="C876" s="49"/>
      <c r="D876" s="49"/>
    </row>
    <row r="877">
      <c r="A877" s="49"/>
      <c r="B877" s="49"/>
      <c r="C877" s="49"/>
      <c r="D877" s="49"/>
    </row>
    <row r="878">
      <c r="A878" s="49"/>
      <c r="B878" s="49"/>
      <c r="C878" s="49"/>
      <c r="D878" s="49"/>
    </row>
    <row r="879">
      <c r="A879" s="49"/>
      <c r="B879" s="49"/>
      <c r="C879" s="49"/>
      <c r="D879" s="49"/>
    </row>
    <row r="880">
      <c r="A880" s="49"/>
      <c r="B880" s="49"/>
      <c r="C880" s="49"/>
      <c r="D880" s="49"/>
    </row>
    <row r="881">
      <c r="A881" s="49"/>
      <c r="B881" s="49"/>
      <c r="C881" s="49"/>
      <c r="D881" s="49"/>
    </row>
    <row r="882">
      <c r="A882" s="49"/>
      <c r="B882" s="49"/>
      <c r="C882" s="49"/>
      <c r="D882" s="49"/>
    </row>
    <row r="883">
      <c r="A883" s="49"/>
      <c r="B883" s="49"/>
      <c r="C883" s="49"/>
      <c r="D883" s="49"/>
    </row>
    <row r="884">
      <c r="A884" s="49"/>
      <c r="B884" s="49"/>
      <c r="C884" s="49"/>
      <c r="D884" s="49"/>
    </row>
    <row r="885">
      <c r="A885" s="49"/>
      <c r="B885" s="49"/>
      <c r="C885" s="49"/>
      <c r="D885" s="49"/>
    </row>
    <row r="886">
      <c r="A886" s="49"/>
      <c r="B886" s="49"/>
      <c r="C886" s="49"/>
      <c r="D886" s="49"/>
    </row>
    <row r="887">
      <c r="A887" s="49"/>
      <c r="B887" s="49"/>
      <c r="C887" s="49"/>
      <c r="D887" s="49"/>
    </row>
    <row r="888">
      <c r="A888" s="49"/>
      <c r="B888" s="49"/>
      <c r="C888" s="49"/>
      <c r="D888" s="49"/>
    </row>
    <row r="889">
      <c r="A889" s="49"/>
      <c r="B889" s="49"/>
      <c r="C889" s="49"/>
      <c r="D889" s="49"/>
    </row>
    <row r="890">
      <c r="A890" s="49"/>
      <c r="B890" s="49"/>
      <c r="C890" s="49"/>
      <c r="D890" s="49"/>
    </row>
    <row r="891">
      <c r="A891" s="49"/>
      <c r="B891" s="49"/>
      <c r="C891" s="49"/>
      <c r="D891" s="49"/>
    </row>
    <row r="892">
      <c r="A892" s="49"/>
      <c r="B892" s="49"/>
      <c r="C892" s="49"/>
      <c r="D892" s="49"/>
    </row>
    <row r="893">
      <c r="A893" s="49"/>
      <c r="B893" s="49"/>
      <c r="C893" s="49"/>
      <c r="D893" s="49"/>
    </row>
    <row r="894">
      <c r="A894" s="49"/>
      <c r="B894" s="49"/>
      <c r="C894" s="49"/>
      <c r="D894" s="49"/>
    </row>
    <row r="895">
      <c r="A895" s="49"/>
      <c r="B895" s="49"/>
      <c r="C895" s="49"/>
      <c r="D895" s="49"/>
    </row>
    <row r="896">
      <c r="A896" s="49"/>
      <c r="B896" s="49"/>
      <c r="C896" s="49"/>
      <c r="D896" s="49"/>
    </row>
    <row r="897">
      <c r="A897" s="49"/>
      <c r="B897" s="49"/>
      <c r="C897" s="49"/>
      <c r="D897" s="49"/>
    </row>
    <row r="898">
      <c r="A898" s="49"/>
      <c r="B898" s="49"/>
      <c r="C898" s="49"/>
      <c r="D898" s="49"/>
    </row>
    <row r="899">
      <c r="A899" s="49"/>
      <c r="B899" s="49"/>
      <c r="C899" s="49"/>
      <c r="D899" s="49"/>
    </row>
    <row r="900">
      <c r="A900" s="49"/>
      <c r="B900" s="49"/>
      <c r="C900" s="49"/>
      <c r="D900" s="49"/>
    </row>
    <row r="901">
      <c r="A901" s="49"/>
      <c r="B901" s="49"/>
      <c r="C901" s="49"/>
      <c r="D901" s="49"/>
    </row>
    <row r="902">
      <c r="A902" s="49"/>
      <c r="B902" s="49"/>
      <c r="C902" s="49"/>
      <c r="D902" s="49"/>
    </row>
    <row r="903">
      <c r="A903" s="49"/>
      <c r="B903" s="49"/>
      <c r="C903" s="49"/>
      <c r="D903" s="49"/>
    </row>
    <row r="904">
      <c r="A904" s="49"/>
      <c r="B904" s="49"/>
      <c r="C904" s="49"/>
      <c r="D904" s="49"/>
    </row>
    <row r="905">
      <c r="A905" s="49"/>
      <c r="B905" s="49"/>
      <c r="C905" s="49"/>
      <c r="D905" s="49"/>
    </row>
    <row r="906">
      <c r="A906" s="49"/>
      <c r="B906" s="49"/>
      <c r="C906" s="49"/>
      <c r="D906" s="49"/>
    </row>
    <row r="907">
      <c r="A907" s="49"/>
      <c r="B907" s="49"/>
      <c r="C907" s="49"/>
      <c r="D907" s="49"/>
    </row>
    <row r="908">
      <c r="A908" s="49"/>
      <c r="B908" s="49"/>
      <c r="C908" s="49"/>
      <c r="D908" s="49"/>
    </row>
    <row r="909">
      <c r="A909" s="49"/>
      <c r="B909" s="49"/>
      <c r="C909" s="49"/>
      <c r="D909" s="49"/>
    </row>
    <row r="910">
      <c r="A910" s="49"/>
      <c r="B910" s="49"/>
      <c r="C910" s="49"/>
      <c r="D910" s="49"/>
    </row>
    <row r="911">
      <c r="A911" s="49"/>
      <c r="B911" s="49"/>
      <c r="C911" s="49"/>
      <c r="D911" s="49"/>
    </row>
    <row r="912">
      <c r="A912" s="49"/>
      <c r="B912" s="49"/>
      <c r="C912" s="49"/>
      <c r="D912" s="49"/>
    </row>
    <row r="913">
      <c r="A913" s="49"/>
      <c r="B913" s="49"/>
      <c r="C913" s="49"/>
      <c r="D913" s="49"/>
    </row>
    <row r="914">
      <c r="A914" s="49"/>
      <c r="B914" s="49"/>
      <c r="C914" s="49"/>
      <c r="D914" s="49"/>
    </row>
    <row r="915">
      <c r="A915" s="49"/>
      <c r="B915" s="49"/>
      <c r="C915" s="49"/>
      <c r="D915" s="49"/>
    </row>
    <row r="916">
      <c r="A916" s="49"/>
      <c r="B916" s="49"/>
      <c r="C916" s="49"/>
      <c r="D916" s="49"/>
    </row>
    <row r="917">
      <c r="A917" s="49"/>
      <c r="B917" s="49"/>
      <c r="C917" s="49"/>
      <c r="D917" s="49"/>
    </row>
    <row r="918">
      <c r="A918" s="49"/>
      <c r="B918" s="49"/>
      <c r="C918" s="49"/>
      <c r="D918" s="49"/>
    </row>
    <row r="919">
      <c r="A919" s="49"/>
      <c r="B919" s="49"/>
      <c r="C919" s="49"/>
      <c r="D919" s="49"/>
    </row>
    <row r="920">
      <c r="A920" s="49"/>
      <c r="B920" s="49"/>
      <c r="C920" s="49"/>
      <c r="D920" s="49"/>
    </row>
    <row r="921">
      <c r="A921" s="49"/>
      <c r="B921" s="49"/>
      <c r="C921" s="49"/>
      <c r="D921" s="49"/>
    </row>
    <row r="922">
      <c r="A922" s="49"/>
      <c r="B922" s="49"/>
      <c r="C922" s="49"/>
      <c r="D922" s="49"/>
    </row>
    <row r="923">
      <c r="A923" s="49"/>
      <c r="B923" s="49"/>
      <c r="C923" s="49"/>
      <c r="D923" s="49"/>
    </row>
    <row r="924">
      <c r="A924" s="49"/>
      <c r="B924" s="49"/>
      <c r="C924" s="49"/>
      <c r="D924" s="49"/>
    </row>
    <row r="925">
      <c r="A925" s="49"/>
      <c r="B925" s="49"/>
      <c r="C925" s="49"/>
      <c r="D925" s="49"/>
    </row>
    <row r="926">
      <c r="A926" s="49"/>
      <c r="B926" s="49"/>
      <c r="C926" s="49"/>
      <c r="D926" s="49"/>
    </row>
    <row r="927">
      <c r="A927" s="49"/>
      <c r="B927" s="49"/>
      <c r="C927" s="49"/>
      <c r="D927" s="49"/>
    </row>
    <row r="928">
      <c r="A928" s="49"/>
      <c r="B928" s="49"/>
      <c r="C928" s="49"/>
      <c r="D928" s="49"/>
    </row>
    <row r="929">
      <c r="A929" s="49"/>
      <c r="B929" s="49"/>
      <c r="C929" s="49"/>
      <c r="D929" s="49"/>
    </row>
    <row r="930">
      <c r="A930" s="49"/>
      <c r="B930" s="49"/>
      <c r="C930" s="49"/>
      <c r="D930" s="49"/>
    </row>
    <row r="931">
      <c r="A931" s="49"/>
      <c r="B931" s="49"/>
      <c r="C931" s="49"/>
      <c r="D931" s="49"/>
    </row>
    <row r="932">
      <c r="A932" s="49"/>
      <c r="B932" s="49"/>
      <c r="C932" s="49"/>
      <c r="D932" s="49"/>
    </row>
    <row r="933">
      <c r="A933" s="49"/>
      <c r="B933" s="49"/>
      <c r="C933" s="49"/>
      <c r="D933" s="49"/>
    </row>
    <row r="934">
      <c r="A934" s="49"/>
      <c r="B934" s="49"/>
      <c r="C934" s="49"/>
      <c r="D934" s="49"/>
    </row>
    <row r="935">
      <c r="A935" s="49"/>
      <c r="B935" s="49"/>
      <c r="C935" s="49"/>
      <c r="D935" s="49"/>
    </row>
    <row r="936">
      <c r="A936" s="49"/>
      <c r="B936" s="49"/>
      <c r="C936" s="49"/>
      <c r="D936" s="49"/>
    </row>
    <row r="937">
      <c r="A937" s="49"/>
      <c r="B937" s="49"/>
      <c r="C937" s="49"/>
      <c r="D937" s="49"/>
    </row>
    <row r="938">
      <c r="A938" s="49"/>
      <c r="B938" s="49"/>
      <c r="C938" s="49"/>
      <c r="D938" s="49"/>
    </row>
    <row r="939">
      <c r="A939" s="49"/>
      <c r="B939" s="49"/>
      <c r="C939" s="49"/>
      <c r="D939" s="49"/>
    </row>
    <row r="940">
      <c r="A940" s="49"/>
      <c r="B940" s="49"/>
      <c r="C940" s="49"/>
      <c r="D940" s="49"/>
    </row>
    <row r="941">
      <c r="A941" s="49"/>
      <c r="B941" s="49"/>
      <c r="C941" s="49"/>
      <c r="D941" s="49"/>
    </row>
    <row r="942">
      <c r="A942" s="49"/>
      <c r="B942" s="49"/>
      <c r="C942" s="49"/>
      <c r="D942" s="49"/>
    </row>
    <row r="943">
      <c r="A943" s="49"/>
      <c r="B943" s="49"/>
      <c r="C943" s="49"/>
      <c r="D943" s="49"/>
    </row>
    <row r="944">
      <c r="A944" s="49"/>
      <c r="B944" s="49"/>
      <c r="C944" s="49"/>
      <c r="D944" s="49"/>
    </row>
    <row r="945">
      <c r="A945" s="49"/>
      <c r="B945" s="49"/>
      <c r="C945" s="49"/>
      <c r="D945" s="49"/>
    </row>
    <row r="946">
      <c r="A946" s="49"/>
      <c r="B946" s="49"/>
      <c r="C946" s="49"/>
      <c r="D946" s="49"/>
    </row>
    <row r="947">
      <c r="A947" s="49"/>
      <c r="B947" s="49"/>
      <c r="C947" s="49"/>
      <c r="D947" s="49"/>
    </row>
    <row r="948">
      <c r="A948" s="49"/>
      <c r="B948" s="49"/>
      <c r="C948" s="49"/>
      <c r="D948" s="49"/>
    </row>
    <row r="949">
      <c r="A949" s="49"/>
      <c r="B949" s="49"/>
      <c r="C949" s="49"/>
      <c r="D949" s="49"/>
    </row>
    <row r="950">
      <c r="A950" s="49"/>
      <c r="B950" s="49"/>
      <c r="C950" s="49"/>
      <c r="D950" s="49"/>
    </row>
    <row r="951">
      <c r="A951" s="49"/>
      <c r="B951" s="49"/>
      <c r="C951" s="49"/>
      <c r="D951" s="49"/>
    </row>
    <row r="952">
      <c r="A952" s="49"/>
      <c r="B952" s="49"/>
      <c r="C952" s="49"/>
      <c r="D952" s="49"/>
    </row>
    <row r="953">
      <c r="A953" s="49"/>
      <c r="B953" s="49"/>
      <c r="C953" s="49"/>
      <c r="D953" s="49"/>
    </row>
    <row r="954">
      <c r="A954" s="49"/>
      <c r="B954" s="49"/>
      <c r="C954" s="49"/>
      <c r="D954" s="49"/>
    </row>
    <row r="955">
      <c r="A955" s="49"/>
      <c r="B955" s="49"/>
      <c r="C955" s="49"/>
      <c r="D955" s="49"/>
    </row>
    <row r="956">
      <c r="A956" s="49"/>
      <c r="B956" s="49"/>
      <c r="C956" s="49"/>
      <c r="D956" s="49"/>
    </row>
    <row r="957">
      <c r="A957" s="49"/>
      <c r="B957" s="49"/>
      <c r="C957" s="49"/>
      <c r="D957" s="49"/>
    </row>
    <row r="958">
      <c r="A958" s="49"/>
      <c r="B958" s="49"/>
      <c r="C958" s="49"/>
      <c r="D958" s="49"/>
    </row>
    <row r="959">
      <c r="A959" s="49"/>
      <c r="B959" s="49"/>
      <c r="C959" s="49"/>
      <c r="D959" s="49"/>
    </row>
    <row r="960">
      <c r="A960" s="49"/>
      <c r="B960" s="49"/>
      <c r="C960" s="49"/>
      <c r="D960" s="49"/>
    </row>
    <row r="961">
      <c r="A961" s="49"/>
      <c r="B961" s="49"/>
      <c r="C961" s="49"/>
      <c r="D961" s="49"/>
    </row>
    <row r="962">
      <c r="A962" s="49"/>
      <c r="B962" s="49"/>
      <c r="C962" s="49"/>
      <c r="D962" s="49"/>
    </row>
    <row r="963">
      <c r="A963" s="49"/>
      <c r="B963" s="49"/>
      <c r="C963" s="49"/>
      <c r="D963" s="49"/>
    </row>
    <row r="964">
      <c r="A964" s="49"/>
      <c r="B964" s="49"/>
      <c r="C964" s="49"/>
      <c r="D964" s="49"/>
    </row>
    <row r="965">
      <c r="A965" s="49"/>
      <c r="B965" s="49"/>
      <c r="C965" s="49"/>
      <c r="D965" s="49"/>
    </row>
    <row r="966">
      <c r="A966" s="49"/>
      <c r="B966" s="49"/>
      <c r="C966" s="49"/>
      <c r="D966" s="49"/>
    </row>
    <row r="967">
      <c r="A967" s="49"/>
      <c r="B967" s="49"/>
      <c r="C967" s="49"/>
      <c r="D967" s="49"/>
    </row>
    <row r="968">
      <c r="A968" s="49"/>
      <c r="B968" s="49"/>
      <c r="C968" s="49"/>
      <c r="D968" s="49"/>
    </row>
    <row r="969">
      <c r="A969" s="49"/>
      <c r="B969" s="49"/>
      <c r="C969" s="49"/>
      <c r="D969" s="49"/>
    </row>
    <row r="970">
      <c r="A970" s="49"/>
      <c r="B970" s="49"/>
      <c r="C970" s="49"/>
      <c r="D970" s="49"/>
    </row>
    <row r="971">
      <c r="A971" s="49"/>
      <c r="B971" s="49"/>
      <c r="C971" s="49"/>
      <c r="D971" s="49"/>
    </row>
    <row r="972">
      <c r="A972" s="49"/>
      <c r="B972" s="49"/>
      <c r="C972" s="49"/>
      <c r="D972" s="49"/>
    </row>
    <row r="973">
      <c r="A973" s="49"/>
      <c r="B973" s="49"/>
      <c r="C973" s="49"/>
      <c r="D973" s="49"/>
    </row>
    <row r="974">
      <c r="A974" s="49"/>
      <c r="B974" s="49"/>
      <c r="C974" s="49"/>
      <c r="D974" s="49"/>
    </row>
    <row r="975">
      <c r="A975" s="49"/>
      <c r="B975" s="49"/>
      <c r="C975" s="49"/>
      <c r="D975" s="49"/>
    </row>
    <row r="976">
      <c r="A976" s="49"/>
      <c r="B976" s="49"/>
      <c r="C976" s="49"/>
      <c r="D976" s="49"/>
    </row>
    <row r="977">
      <c r="A977" s="49"/>
      <c r="B977" s="49"/>
      <c r="C977" s="49"/>
      <c r="D977" s="49"/>
    </row>
    <row r="978">
      <c r="A978" s="49"/>
      <c r="B978" s="49"/>
      <c r="C978" s="49"/>
      <c r="D978" s="49"/>
    </row>
    <row r="979">
      <c r="A979" s="49"/>
      <c r="B979" s="49"/>
      <c r="C979" s="49"/>
      <c r="D979" s="49"/>
    </row>
    <row r="980">
      <c r="A980" s="49"/>
      <c r="B980" s="49"/>
      <c r="C980" s="49"/>
      <c r="D980" s="49"/>
    </row>
    <row r="981">
      <c r="A981" s="49"/>
      <c r="B981" s="49"/>
      <c r="C981" s="49"/>
      <c r="D981" s="49"/>
    </row>
    <row r="982">
      <c r="A982" s="49"/>
      <c r="B982" s="49"/>
      <c r="C982" s="49"/>
      <c r="D982" s="49"/>
    </row>
    <row r="983">
      <c r="A983" s="49"/>
      <c r="B983" s="49"/>
      <c r="C983" s="49"/>
      <c r="D983" s="49"/>
    </row>
    <row r="984">
      <c r="A984" s="49"/>
      <c r="B984" s="49"/>
      <c r="C984" s="49"/>
      <c r="D984" s="49"/>
    </row>
    <row r="985">
      <c r="A985" s="49"/>
      <c r="B985" s="49"/>
      <c r="C985" s="49"/>
      <c r="D985" s="49"/>
    </row>
    <row r="986">
      <c r="A986" s="49"/>
      <c r="B986" s="49"/>
      <c r="C986" s="49"/>
      <c r="D986" s="49"/>
    </row>
    <row r="987">
      <c r="A987" s="49"/>
      <c r="B987" s="49"/>
      <c r="C987" s="49"/>
      <c r="D987" s="49"/>
    </row>
    <row r="988">
      <c r="A988" s="49"/>
      <c r="B988" s="49"/>
      <c r="C988" s="49"/>
      <c r="D988" s="49"/>
    </row>
    <row r="989">
      <c r="A989" s="49"/>
      <c r="B989" s="49"/>
      <c r="C989" s="49"/>
      <c r="D989" s="49"/>
    </row>
    <row r="990">
      <c r="A990" s="49"/>
      <c r="B990" s="49"/>
      <c r="C990" s="49"/>
      <c r="D990" s="49"/>
    </row>
    <row r="991">
      <c r="A991" s="49"/>
      <c r="B991" s="49"/>
      <c r="C991" s="49"/>
      <c r="D991" s="49"/>
    </row>
    <row r="992">
      <c r="A992" s="49"/>
      <c r="B992" s="49"/>
      <c r="C992" s="49"/>
      <c r="D992" s="49"/>
    </row>
    <row r="993">
      <c r="A993" s="49"/>
      <c r="B993" s="49"/>
      <c r="C993" s="49"/>
      <c r="D993" s="49"/>
    </row>
    <row r="994">
      <c r="A994" s="49"/>
      <c r="B994" s="49"/>
      <c r="C994" s="49"/>
      <c r="D994" s="49"/>
    </row>
    <row r="995">
      <c r="A995" s="49"/>
      <c r="B995" s="49"/>
      <c r="C995" s="49"/>
      <c r="D995" s="49"/>
    </row>
    <row r="996">
      <c r="A996" s="49"/>
      <c r="B996" s="49"/>
      <c r="C996" s="49"/>
      <c r="D996" s="49"/>
    </row>
    <row r="997">
      <c r="A997" s="49"/>
      <c r="B997" s="49"/>
      <c r="C997" s="49"/>
      <c r="D997" s="49"/>
    </row>
    <row r="998">
      <c r="A998" s="49"/>
      <c r="B998" s="49"/>
      <c r="C998" s="49"/>
      <c r="D998" s="49"/>
    </row>
    <row r="999">
      <c r="A999" s="49"/>
      <c r="B999" s="49"/>
      <c r="C999" s="49"/>
      <c r="D999" s="49"/>
    </row>
    <row r="1000">
      <c r="A1000" s="49"/>
      <c r="B1000" s="49"/>
      <c r="C1000" s="49"/>
      <c r="D1000" s="49"/>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 t="s">
        <v>25</v>
      </c>
      <c r="B1" s="105" t="s">
        <v>26</v>
      </c>
      <c r="C1" s="19" t="s">
        <v>27</v>
      </c>
      <c r="D1" s="105" t="s">
        <v>210</v>
      </c>
      <c r="E1" s="105" t="s">
        <v>211</v>
      </c>
      <c r="F1" s="105" t="s">
        <v>28</v>
      </c>
      <c r="G1" s="105" t="s">
        <v>212</v>
      </c>
    </row>
    <row r="2">
      <c r="A2" s="128" t="str">
        <f>IFERROR(__xludf.DUMMYFUNCTION("IMPORTRANGE(""https://docs.google.com/spreadsheets/d/""&amp;Config!B1,""ItemEquipCombine!A:Z"")"),"""Hellfire Club"" Vest of Metal Harmony's")</f>
        <v>"Hellfire Club" Vest of Metal Harmony's</v>
      </c>
      <c r="B2" s="49"/>
      <c r="C2" s="49"/>
      <c r="D2" s="49" t="str">
        <f>IFERROR(__xludf.DUMMYFUNCTION("""COMPUTED_VALUE"""),"Torso")</f>
        <v>Torso</v>
      </c>
      <c r="E2" s="49">
        <f>IFERROR(__xludf.DUMMYFUNCTION("""COMPUTED_VALUE"""),200.0)</f>
        <v>200</v>
      </c>
      <c r="F2" s="49" t="str">
        <f>IFERROR(__xludf.DUMMYFUNCTION("""COMPUTED_VALUE"""),"DEF: ++10000 ++When dealing damage with an instrument you will regain sp equal to the damage you caused.")</f>
        <v>DEF: ++10000 ++When dealing damage with an instrument you will regain sp equal to the damage you caused.</v>
      </c>
      <c r="G2" s="49">
        <f>IFERROR(__xludf.DUMMYFUNCTION("""COMPUTED_VALUE"""),1900000.0)</f>
        <v>1900000</v>
      </c>
      <c r="H2" s="49"/>
      <c r="I2" s="49"/>
      <c r="J2" s="49"/>
      <c r="K2" s="49"/>
      <c r="L2" s="49"/>
      <c r="M2" s="49"/>
      <c r="N2" s="49"/>
      <c r="O2" s="49"/>
      <c r="P2" s="49"/>
      <c r="Q2" s="49"/>
      <c r="R2" s="49"/>
      <c r="S2" s="49"/>
      <c r="T2" s="49"/>
      <c r="U2" s="49"/>
      <c r="V2" s="49"/>
      <c r="W2" s="49"/>
      <c r="X2" s="49"/>
      <c r="Y2" s="49"/>
      <c r="Z2" s="49"/>
    </row>
    <row r="3">
      <c r="A3" s="49" t="str">
        <f>IFERROR(__xludf.DUMMYFUNCTION("""COMPUTED_VALUE"""),"""Sweetheart"" Guitar of The Upside Down")</f>
        <v>"Sweetheart" Guitar of The Upside Down</v>
      </c>
      <c r="B3" s="49"/>
      <c r="C3" s="49" t="str">
        <f>IFERROR(__xludf.DUMMYFUNCTION("""COMPUTED_VALUE"""),"Instrument")</f>
        <v>Instrument</v>
      </c>
      <c r="D3" s="49" t="str">
        <f>IFERROR(__xludf.DUMMYFUNCTION("""COMPUTED_VALUE"""),"Hand")</f>
        <v>Hand</v>
      </c>
      <c r="E3" s="49">
        <f>IFERROR(__xludf.DUMMYFUNCTION("""COMPUTED_VALUE"""),200.0)</f>
        <v>200</v>
      </c>
      <c r="F3" s="49"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49">
        <f>IFERROR(__xludf.DUMMYFUNCTION("""COMPUTED_VALUE"""),1900000.0)</f>
        <v>1900000</v>
      </c>
      <c r="H3" s="49"/>
      <c r="I3" s="49"/>
      <c r="J3" s="49"/>
      <c r="K3" s="49"/>
      <c r="L3" s="49"/>
      <c r="M3" s="49"/>
      <c r="N3" s="49"/>
      <c r="O3" s="49"/>
      <c r="P3" s="49"/>
      <c r="Q3" s="49"/>
      <c r="R3" s="49"/>
      <c r="S3" s="49"/>
      <c r="T3" s="49"/>
      <c r="U3" s="49"/>
      <c r="V3" s="49"/>
      <c r="W3" s="49"/>
      <c r="X3" s="49"/>
      <c r="Y3" s="49"/>
      <c r="Z3" s="49"/>
    </row>
    <row r="4">
      <c r="A4" s="49" t="str">
        <f>IFERROR(__xludf.DUMMYFUNCTION("""COMPUTED_VALUE"""),"Alpha Sword")</f>
        <v>Alpha Sword</v>
      </c>
      <c r="B4" s="49"/>
      <c r="C4" s="49" t="str">
        <f>IFERROR(__xludf.DUMMYFUNCTION("""COMPUTED_VALUE"""),"Sword")</f>
        <v>Sword</v>
      </c>
      <c r="D4" s="49" t="str">
        <f>IFERROR(__xludf.DUMMYFUNCTION("""COMPUTED_VALUE"""),"Hand")</f>
        <v>Hand</v>
      </c>
      <c r="E4" s="49">
        <f>IFERROR(__xludf.DUMMYFUNCTION("""COMPUTED_VALUE"""),4000.0)</f>
        <v>4000</v>
      </c>
      <c r="F4" s="49"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49">
        <f>IFERROR(__xludf.DUMMYFUNCTION("""COMPUTED_VALUE"""),7.98E8)</f>
        <v>798000000</v>
      </c>
      <c r="H4" s="49"/>
      <c r="I4" s="49"/>
      <c r="J4" s="49"/>
      <c r="K4" s="49"/>
      <c r="L4" s="49"/>
      <c r="M4" s="49"/>
      <c r="N4" s="49"/>
      <c r="O4" s="49"/>
      <c r="P4" s="49"/>
      <c r="Q4" s="49"/>
      <c r="R4" s="49"/>
      <c r="S4" s="49"/>
      <c r="T4" s="49"/>
      <c r="U4" s="49"/>
      <c r="V4" s="49"/>
      <c r="W4" s="49"/>
      <c r="X4" s="49"/>
      <c r="Y4" s="49"/>
      <c r="Z4" s="49"/>
    </row>
    <row r="5">
      <c r="A5" s="49" t="str">
        <f>IFERROR(__xludf.DUMMYFUNCTION("""COMPUTED_VALUE"""),"Ancient Colossus Forest Hammer")</f>
        <v>Ancient Colossus Forest Hammer</v>
      </c>
      <c r="B5" s="49"/>
      <c r="C5" s="49" t="str">
        <f>IFERROR(__xludf.DUMMYFUNCTION("""COMPUTED_VALUE"""),"Club")</f>
        <v>Club</v>
      </c>
      <c r="D5" s="49" t="str">
        <f>IFERROR(__xludf.DUMMYFUNCTION("""COMPUTED_VALUE"""),"Hand")</f>
        <v>Hand</v>
      </c>
      <c r="E5" s="49">
        <f>IFERROR(__xludf.DUMMYFUNCTION("""COMPUTED_VALUE"""),700.0)</f>
        <v>700</v>
      </c>
      <c r="F5" s="49"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49">
        <f>IFERROR(__xludf.DUMMYFUNCTION("""COMPUTED_VALUE"""),2.415E7)</f>
        <v>24150000</v>
      </c>
      <c r="H5" s="49"/>
      <c r="I5" s="49"/>
      <c r="J5" s="49"/>
      <c r="K5" s="49"/>
      <c r="L5" s="49"/>
      <c r="M5" s="49"/>
      <c r="N5" s="49"/>
      <c r="O5" s="49"/>
      <c r="P5" s="49"/>
      <c r="Q5" s="49"/>
      <c r="R5" s="49"/>
      <c r="S5" s="49"/>
      <c r="T5" s="49"/>
      <c r="U5" s="49"/>
      <c r="V5" s="49"/>
      <c r="W5" s="49"/>
      <c r="X5" s="49"/>
      <c r="Y5" s="49"/>
      <c r="Z5" s="49"/>
    </row>
    <row r="6">
      <c r="A6" s="49" t="str">
        <f>IFERROR(__xludf.DUMMYFUNCTION("""COMPUTED_VALUE"""),"Ancient Samurai Sword")</f>
        <v>Ancient Samurai Sword</v>
      </c>
      <c r="B6" s="49"/>
      <c r="C6" s="49" t="str">
        <f>IFERROR(__xludf.DUMMYFUNCTION("""COMPUTED_VALUE"""),"Sword")</f>
        <v>Sword</v>
      </c>
      <c r="D6" s="49" t="str">
        <f>IFERROR(__xludf.DUMMYFUNCTION("""COMPUTED_VALUE"""),"Hand")</f>
        <v>Hand</v>
      </c>
      <c r="E6" s="49">
        <f>IFERROR(__xludf.DUMMYFUNCTION("""COMPUTED_VALUE"""),800.0)</f>
        <v>800</v>
      </c>
      <c r="F6" s="49"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49">
        <f>IFERROR(__xludf.DUMMYFUNCTION("""COMPUTED_VALUE"""),3.16E7)</f>
        <v>31600000</v>
      </c>
      <c r="H6" s="49"/>
      <c r="I6" s="49"/>
      <c r="J6" s="49"/>
      <c r="K6" s="49"/>
      <c r="L6" s="49"/>
      <c r="M6" s="49"/>
      <c r="N6" s="49"/>
      <c r="O6" s="49"/>
      <c r="P6" s="49"/>
      <c r="Q6" s="49"/>
      <c r="R6" s="49"/>
      <c r="S6" s="49"/>
      <c r="T6" s="49"/>
      <c r="U6" s="49"/>
      <c r="V6" s="49"/>
      <c r="W6" s="49"/>
      <c r="X6" s="49"/>
      <c r="Y6" s="49"/>
      <c r="Z6" s="49"/>
    </row>
    <row r="7">
      <c r="A7" s="49" t="str">
        <f>IFERROR(__xludf.DUMMYFUNCTION("""COMPUTED_VALUE"""),"Ancient Stone Guardians Sword")</f>
        <v>Ancient Stone Guardians Sword</v>
      </c>
      <c r="B7" s="49"/>
      <c r="C7" s="49" t="str">
        <f>IFERROR(__xludf.DUMMYFUNCTION("""COMPUTED_VALUE"""),"Sword")</f>
        <v>Sword</v>
      </c>
      <c r="D7" s="49" t="str">
        <f>IFERROR(__xludf.DUMMYFUNCTION("""COMPUTED_VALUE"""),"Hand")</f>
        <v>Hand</v>
      </c>
      <c r="E7" s="49">
        <f>IFERROR(__xludf.DUMMYFUNCTION("""COMPUTED_VALUE"""),1200.0)</f>
        <v>1200</v>
      </c>
      <c r="F7" s="49" t="str">
        <f>IFERROR(__xludf.DUMMYFUNCTION("""COMPUTED_VALUE"""),"DMG: +20000, Earth DMG: +20000, Light DMG: +20000 ++X2 Defense for all allies")</f>
        <v>DMG: +20000, Earth DMG: +20000, Light DMG: +20000 ++X2 Defense for all allies</v>
      </c>
      <c r="G7" s="49">
        <f>IFERROR(__xludf.DUMMYFUNCTION("""COMPUTED_VALUE"""),7.14E7)</f>
        <v>71400000</v>
      </c>
      <c r="H7" s="49"/>
      <c r="I7" s="49"/>
      <c r="J7" s="49"/>
      <c r="K7" s="49"/>
      <c r="L7" s="49"/>
      <c r="M7" s="49"/>
      <c r="N7" s="49"/>
      <c r="O7" s="49"/>
      <c r="P7" s="49"/>
      <c r="Q7" s="49"/>
      <c r="R7" s="49"/>
      <c r="S7" s="49"/>
      <c r="T7" s="49"/>
      <c r="U7" s="49"/>
      <c r="V7" s="49"/>
      <c r="W7" s="49"/>
      <c r="X7" s="49"/>
      <c r="Y7" s="49"/>
      <c r="Z7" s="49"/>
    </row>
    <row r="8">
      <c r="A8" s="49" t="str">
        <f>IFERROR(__xludf.DUMMYFUNCTION("""COMPUTED_VALUE"""),"Aqua Robe")</f>
        <v>Aqua Robe</v>
      </c>
      <c r="B8" s="49"/>
      <c r="C8" s="49"/>
      <c r="D8" s="49" t="str">
        <f>IFERROR(__xludf.DUMMYFUNCTION("""COMPUTED_VALUE"""),"Torso")</f>
        <v>Torso</v>
      </c>
      <c r="E8" s="49">
        <f>IFERROR(__xludf.DUMMYFUNCTION("""COMPUTED_VALUE"""),40.0)</f>
        <v>40</v>
      </c>
      <c r="F8" s="49" t="str">
        <f>IFERROR(__xludf.DUMMYFUNCTION("""COMPUTED_VALUE"""),"DEF: +1000, Water DEF: +1000 ++X4 damage additional water damage for the user.")</f>
        <v>DEF: +1000, Water DEF: +1000 ++X4 damage additional water damage for the user.</v>
      </c>
      <c r="G8" s="49">
        <f>IFERROR(__xludf.DUMMYFUNCTION("""COMPUTED_VALUE"""),60000.0)</f>
        <v>60000</v>
      </c>
      <c r="H8" s="49"/>
      <c r="I8" s="49"/>
      <c r="J8" s="49"/>
      <c r="K8" s="49"/>
      <c r="L8" s="49"/>
      <c r="M8" s="49"/>
      <c r="N8" s="49"/>
      <c r="O8" s="49"/>
      <c r="P8" s="49"/>
      <c r="Q8" s="49"/>
      <c r="R8" s="49"/>
      <c r="S8" s="49"/>
      <c r="T8" s="49"/>
      <c r="U8" s="49"/>
      <c r="V8" s="49"/>
      <c r="W8" s="49"/>
      <c r="X8" s="49"/>
      <c r="Y8" s="49"/>
      <c r="Z8" s="49"/>
    </row>
    <row r="9">
      <c r="A9" s="49" t="str">
        <f>IFERROR(__xludf.DUMMYFUNCTION("""COMPUTED_VALUE"""),"Aquatic Boots of Atlantis")</f>
        <v>Aquatic Boots of Atlantis</v>
      </c>
      <c r="B9" s="49"/>
      <c r="C9" s="49"/>
      <c r="D9" s="49" t="str">
        <f>IFERROR(__xludf.DUMMYFUNCTION("""COMPUTED_VALUE"""),"Feet")</f>
        <v>Feet</v>
      </c>
      <c r="E9" s="49">
        <f>IFERROR(__xludf.DUMMYFUNCTION("""COMPUTED_VALUE"""),300.0)</f>
        <v>300</v>
      </c>
      <c r="F9" s="49" t="str">
        <f>IFERROR(__xludf.DUMMYFUNCTION("""COMPUTED_VALUE"""),"DEF: +7500, Water DEF: +7500 ++X6 additional water damage for self.")</f>
        <v>DEF: +7500, Water DEF: +7500 ++X6 additional water damage for self.</v>
      </c>
      <c r="G9" s="49">
        <f>IFERROR(__xludf.DUMMYFUNCTION("""COMPUTED_VALUE"""),4350000.0)</f>
        <v>4350000</v>
      </c>
      <c r="H9" s="49"/>
      <c r="I9" s="49"/>
      <c r="J9" s="49"/>
      <c r="K9" s="49"/>
      <c r="L9" s="49"/>
      <c r="M9" s="49"/>
      <c r="N9" s="49"/>
      <c r="O9" s="49"/>
      <c r="P9" s="49"/>
      <c r="Q9" s="49"/>
      <c r="R9" s="49"/>
      <c r="S9" s="49"/>
      <c r="T9" s="49"/>
      <c r="U9" s="49"/>
      <c r="V9" s="49"/>
      <c r="W9" s="49"/>
      <c r="X9" s="49"/>
      <c r="Y9" s="49"/>
      <c r="Z9" s="49"/>
    </row>
    <row r="10">
      <c r="A10" s="49" t="str">
        <f>IFERROR(__xludf.DUMMYFUNCTION("""COMPUTED_VALUE"""),"Aquatic Chestplate of Atlantis")</f>
        <v>Aquatic Chestplate of Atlantis</v>
      </c>
      <c r="B10" s="49"/>
      <c r="C10" s="49"/>
      <c r="D10" s="49" t="str">
        <f>IFERROR(__xludf.DUMMYFUNCTION("""COMPUTED_VALUE"""),"Torso")</f>
        <v>Torso</v>
      </c>
      <c r="E10" s="49">
        <f>IFERROR(__xludf.DUMMYFUNCTION("""COMPUTED_VALUE"""),600.0)</f>
        <v>600</v>
      </c>
      <c r="F10" s="49"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49">
        <f>IFERROR(__xludf.DUMMYFUNCTION("""COMPUTED_VALUE"""),1.77E7)</f>
        <v>17700000</v>
      </c>
      <c r="H10" s="49"/>
      <c r="I10" s="49"/>
      <c r="J10" s="49"/>
      <c r="K10" s="49"/>
      <c r="L10" s="49"/>
      <c r="M10" s="49"/>
      <c r="N10" s="49"/>
      <c r="O10" s="49"/>
      <c r="P10" s="49"/>
      <c r="Q10" s="49"/>
      <c r="R10" s="49"/>
      <c r="S10" s="49"/>
      <c r="T10" s="49"/>
      <c r="U10" s="49"/>
      <c r="V10" s="49"/>
      <c r="W10" s="49"/>
      <c r="X10" s="49"/>
      <c r="Y10" s="49"/>
      <c r="Z10" s="49"/>
    </row>
    <row r="11">
      <c r="A11" s="49" t="str">
        <f>IFERROR(__xludf.DUMMYFUNCTION("""COMPUTED_VALUE"""),"Aquatic Greaves of Atlantis")</f>
        <v>Aquatic Greaves of Atlantis</v>
      </c>
      <c r="B11" s="49"/>
      <c r="C11" s="49"/>
      <c r="D11" s="49" t="str">
        <f>IFERROR(__xludf.DUMMYFUNCTION("""COMPUTED_VALUE"""),"Legs")</f>
        <v>Legs</v>
      </c>
      <c r="E11" s="49">
        <f>IFERROR(__xludf.DUMMYFUNCTION("""COMPUTED_VALUE"""),300.0)</f>
        <v>300</v>
      </c>
      <c r="F11" s="49" t="str">
        <f>IFERROR(__xludf.DUMMYFUNCTION("""COMPUTED_VALUE"""),"DEF: +7500, Water DEF: +7500 ++X6 additional water damage for self.")</f>
        <v>DEF: +7500, Water DEF: +7500 ++X6 additional water damage for self.</v>
      </c>
      <c r="G11" s="49">
        <f>IFERROR(__xludf.DUMMYFUNCTION("""COMPUTED_VALUE"""),4350000.0)</f>
        <v>4350000</v>
      </c>
      <c r="H11" s="49"/>
      <c r="I11" s="49"/>
      <c r="J11" s="49"/>
      <c r="K11" s="49"/>
      <c r="L11" s="49"/>
      <c r="M11" s="49"/>
      <c r="N11" s="49"/>
      <c r="O11" s="49"/>
      <c r="P11" s="49"/>
      <c r="Q11" s="49"/>
      <c r="R11" s="49"/>
      <c r="S11" s="49"/>
      <c r="T11" s="49"/>
      <c r="U11" s="49"/>
      <c r="V11" s="49"/>
      <c r="W11" s="49"/>
      <c r="X11" s="49"/>
      <c r="Y11" s="49"/>
      <c r="Z11" s="49"/>
    </row>
    <row r="12">
      <c r="A12" s="49" t="str">
        <f>IFERROR(__xludf.DUMMYFUNCTION("""COMPUTED_VALUE"""),"Aquatic Helmet of Atlantis")</f>
        <v>Aquatic Helmet of Atlantis</v>
      </c>
      <c r="B12" s="49"/>
      <c r="C12" s="49"/>
      <c r="D12" s="49" t="str">
        <f>IFERROR(__xludf.DUMMYFUNCTION("""COMPUTED_VALUE"""),"Head")</f>
        <v>Head</v>
      </c>
      <c r="E12" s="49">
        <f>IFERROR(__xludf.DUMMYFUNCTION("""COMPUTED_VALUE"""),300.0)</f>
        <v>300</v>
      </c>
      <c r="F12" s="49" t="str">
        <f>IFERROR(__xludf.DUMMYFUNCTION("""COMPUTED_VALUE"""),"DEF: +7500, Water DEF: +7500 ++X6 additional water damage for self.")</f>
        <v>DEF: +7500, Water DEF: +7500 ++X6 additional water damage for self.</v>
      </c>
      <c r="G12" s="49">
        <f>IFERROR(__xludf.DUMMYFUNCTION("""COMPUTED_VALUE"""),4350000.0)</f>
        <v>4350000</v>
      </c>
      <c r="H12" s="49"/>
      <c r="I12" s="49"/>
      <c r="J12" s="49"/>
      <c r="K12" s="49"/>
      <c r="L12" s="49"/>
      <c r="M12" s="49"/>
      <c r="N12" s="49"/>
      <c r="O12" s="49"/>
      <c r="P12" s="49"/>
      <c r="Q12" s="49"/>
      <c r="R12" s="49"/>
      <c r="S12" s="49"/>
      <c r="T12" s="49"/>
      <c r="U12" s="49"/>
      <c r="V12" s="49"/>
      <c r="W12" s="49"/>
      <c r="X12" s="49"/>
      <c r="Y12" s="49"/>
      <c r="Z12" s="49"/>
    </row>
    <row r="13">
      <c r="A13" s="49" t="str">
        <f>IFERROR(__xludf.DUMMYFUNCTION("""COMPUTED_VALUE"""),"Aquatic Pauldrons of Atlantis")</f>
        <v>Aquatic Pauldrons of Atlantis</v>
      </c>
      <c r="B13" s="49"/>
      <c r="C13" s="49"/>
      <c r="D13" s="49" t="str">
        <f>IFERROR(__xludf.DUMMYFUNCTION("""COMPUTED_VALUE"""),"Shoulders")</f>
        <v>Shoulders</v>
      </c>
      <c r="E13" s="49">
        <f>IFERROR(__xludf.DUMMYFUNCTION("""COMPUTED_VALUE"""),300.0)</f>
        <v>300</v>
      </c>
      <c r="F13" s="49" t="str">
        <f>IFERROR(__xludf.DUMMYFUNCTION("""COMPUTED_VALUE"""),"DEF: +7500, Water DEF: +7500 ++X6 additional water damage for self.")</f>
        <v>DEF: +7500, Water DEF: +7500 ++X6 additional water damage for self.</v>
      </c>
      <c r="G13" s="49">
        <f>IFERROR(__xludf.DUMMYFUNCTION("""COMPUTED_VALUE"""),4350000.0)</f>
        <v>4350000</v>
      </c>
      <c r="H13" s="49"/>
      <c r="I13" s="49"/>
      <c r="J13" s="49"/>
      <c r="K13" s="49"/>
      <c r="L13" s="49"/>
      <c r="M13" s="49"/>
      <c r="N13" s="49"/>
      <c r="O13" s="49"/>
      <c r="P13" s="49"/>
      <c r="Q13" s="49"/>
      <c r="R13" s="49"/>
      <c r="S13" s="49"/>
      <c r="T13" s="49"/>
      <c r="U13" s="49"/>
      <c r="V13" s="49"/>
      <c r="W13" s="49"/>
      <c r="X13" s="49"/>
      <c r="Y13" s="49"/>
      <c r="Z13" s="49"/>
    </row>
    <row r="14">
      <c r="A14" s="49" t="str">
        <f>IFERROR(__xludf.DUMMYFUNCTION("""COMPUTED_VALUE"""),"Aquatic Sword of Atlantis")</f>
        <v>Aquatic Sword of Atlantis</v>
      </c>
      <c r="B14" s="49"/>
      <c r="C14" s="49" t="str">
        <f>IFERROR(__xludf.DUMMYFUNCTION("""COMPUTED_VALUE"""),"Sword")</f>
        <v>Sword</v>
      </c>
      <c r="D14" s="49" t="str">
        <f>IFERROR(__xludf.DUMMYFUNCTION("""COMPUTED_VALUE"""),"Hand")</f>
        <v>Hand</v>
      </c>
      <c r="E14" s="49">
        <f>IFERROR(__xludf.DUMMYFUNCTION("""COMPUTED_VALUE"""),1200.0)</f>
        <v>1200</v>
      </c>
      <c r="F14" s="49"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49">
        <f>IFERROR(__xludf.DUMMYFUNCTION("""COMPUTED_VALUE"""),7.14E7)</f>
        <v>71400000</v>
      </c>
      <c r="H14" s="49"/>
      <c r="I14" s="49"/>
      <c r="J14" s="49"/>
      <c r="K14" s="49"/>
      <c r="L14" s="49"/>
      <c r="M14" s="49"/>
      <c r="N14" s="49"/>
      <c r="O14" s="49"/>
      <c r="P14" s="49"/>
      <c r="Q14" s="49"/>
      <c r="R14" s="49"/>
      <c r="S14" s="49"/>
      <c r="T14" s="49"/>
      <c r="U14" s="49"/>
      <c r="V14" s="49"/>
      <c r="W14" s="49"/>
      <c r="X14" s="49"/>
      <c r="Y14" s="49"/>
      <c r="Z14" s="49"/>
    </row>
    <row r="15">
      <c r="A15" s="49" t="str">
        <f>IFERROR(__xludf.DUMMYFUNCTION("""COMPUTED_VALUE"""),"Aquatic Vambraces of Atlantis")</f>
        <v>Aquatic Vambraces of Atlantis</v>
      </c>
      <c r="B15" s="49"/>
      <c r="C15" s="49"/>
      <c r="D15" s="49" t="str">
        <f>IFERROR(__xludf.DUMMYFUNCTION("""COMPUTED_VALUE"""),"Arms")</f>
        <v>Arms</v>
      </c>
      <c r="E15" s="49">
        <f>IFERROR(__xludf.DUMMYFUNCTION("""COMPUTED_VALUE"""),300.0)</f>
        <v>300</v>
      </c>
      <c r="F15" s="49" t="str">
        <f>IFERROR(__xludf.DUMMYFUNCTION("""COMPUTED_VALUE"""),"DEF: +7500, Water DEF: +7500 X6 additional water damage for self.")</f>
        <v>DEF: +7500, Water DEF: +7500 X6 additional water damage for self.</v>
      </c>
      <c r="G15" s="49">
        <f>IFERROR(__xludf.DUMMYFUNCTION("""COMPUTED_VALUE"""),4350000.0)</f>
        <v>4350000</v>
      </c>
      <c r="H15" s="49"/>
      <c r="I15" s="49"/>
      <c r="J15" s="49"/>
      <c r="K15" s="49"/>
      <c r="L15" s="49"/>
      <c r="M15" s="49"/>
      <c r="N15" s="49"/>
      <c r="O15" s="49"/>
      <c r="P15" s="49"/>
      <c r="Q15" s="49"/>
      <c r="R15" s="49"/>
      <c r="S15" s="49"/>
      <c r="T15" s="49"/>
      <c r="U15" s="49"/>
      <c r="V15" s="49"/>
      <c r="W15" s="49"/>
      <c r="X15" s="49"/>
      <c r="Y15" s="49"/>
      <c r="Z15" s="49"/>
    </row>
    <row r="16">
      <c r="A16" s="49" t="str">
        <f>IFERROR(__xludf.DUMMYFUNCTION("""COMPUTED_VALUE"""),"Archer’s Cloaked Vest")</f>
        <v>Archer’s Cloaked Vest</v>
      </c>
      <c r="B16" s="49"/>
      <c r="C16" s="49"/>
      <c r="D16" s="49" t="str">
        <f>IFERROR(__xludf.DUMMYFUNCTION("""COMPUTED_VALUE"""),"Torso")</f>
        <v>Torso</v>
      </c>
      <c r="E16" s="49">
        <f>IFERROR(__xludf.DUMMYFUNCTION("""COMPUTED_VALUE"""),20.0)</f>
        <v>20</v>
      </c>
      <c r="F16" s="49"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49">
        <f>IFERROR(__xludf.DUMMYFUNCTION("""COMPUTED_VALUE"""),1000.0)</f>
        <v>1000</v>
      </c>
      <c r="H16" s="49"/>
      <c r="I16" s="49"/>
      <c r="J16" s="49"/>
      <c r="K16" s="49"/>
      <c r="L16" s="49"/>
      <c r="M16" s="49"/>
      <c r="N16" s="49"/>
      <c r="O16" s="49"/>
      <c r="P16" s="49"/>
      <c r="Q16" s="49"/>
      <c r="R16" s="49"/>
      <c r="S16" s="49"/>
      <c r="T16" s="49"/>
      <c r="U16" s="49"/>
      <c r="V16" s="49"/>
      <c r="W16" s="49"/>
      <c r="X16" s="49"/>
      <c r="Y16" s="49"/>
      <c r="Z16" s="49"/>
    </row>
    <row r="17">
      <c r="A17" s="49" t="str">
        <f>IFERROR(__xludf.DUMMYFUNCTION("""COMPUTED_VALUE"""),"Archers Boots")</f>
        <v>Archers Boots</v>
      </c>
      <c r="B17" s="49"/>
      <c r="C17" s="49"/>
      <c r="D17" s="49" t="str">
        <f>IFERROR(__xludf.DUMMYFUNCTION("""COMPUTED_VALUE"""),"Feet")</f>
        <v>Feet</v>
      </c>
      <c r="E17" s="49">
        <f>IFERROR(__xludf.DUMMYFUNCTION("""COMPUTED_VALUE"""),1.0)</f>
        <v>1</v>
      </c>
      <c r="F17" s="49" t="str">
        <f>IFERROR(__xludf.DUMMYFUNCTION("""COMPUTED_VALUE""")," (Ranger Set) ++5 evasion ++Only archers can equip, +-Cannot be duplicated or forged.")</f>
        <v> (Ranger Set) ++5 evasion ++Only archers can equip, +-Cannot be duplicated or forged.</v>
      </c>
      <c r="G17" s="49">
        <f>IFERROR(__xludf.DUMMYFUNCTION("""COMPUTED_VALUE"""),0.0)</f>
        <v>0</v>
      </c>
      <c r="H17" s="49"/>
      <c r="I17" s="49"/>
      <c r="J17" s="49"/>
      <c r="K17" s="49"/>
      <c r="L17" s="49"/>
      <c r="M17" s="49"/>
      <c r="N17" s="49"/>
      <c r="O17" s="49"/>
      <c r="P17" s="49"/>
      <c r="Q17" s="49"/>
      <c r="R17" s="49"/>
      <c r="S17" s="49"/>
      <c r="T17" s="49"/>
      <c r="U17" s="49"/>
      <c r="V17" s="49"/>
      <c r="W17" s="49"/>
      <c r="X17" s="49"/>
      <c r="Y17" s="49"/>
      <c r="Z17" s="49"/>
    </row>
    <row r="18">
      <c r="A18" s="49" t="str">
        <f>IFERROR(__xludf.DUMMYFUNCTION("""COMPUTED_VALUE"""),"Archers Cloak")</f>
        <v>Archers Cloak</v>
      </c>
      <c r="B18" s="49"/>
      <c r="C18" s="49"/>
      <c r="D18" s="49" t="str">
        <f>IFERROR(__xludf.DUMMYFUNCTION("""COMPUTED_VALUE"""),"Torso")</f>
        <v>Torso</v>
      </c>
      <c r="E18" s="49">
        <f>IFERROR(__xludf.DUMMYFUNCTION("""COMPUTED_VALUE"""),1.0)</f>
        <v>1</v>
      </c>
      <c r="F18" s="49" t="str">
        <f>IFERROR(__xludf.DUMMYFUNCTION("""COMPUTED_VALUE""")," (Ranger Set) ++Ranged Spells cost half the sp cost ++Only archers can equip")</f>
        <v> (Ranger Set) ++Ranged Spells cost half the sp cost ++Only archers can equip</v>
      </c>
      <c r="G18" s="49">
        <f>IFERROR(__xludf.DUMMYFUNCTION("""COMPUTED_VALUE"""),0.0)</f>
        <v>0</v>
      </c>
      <c r="H18" s="49"/>
      <c r="I18" s="49"/>
      <c r="J18" s="49"/>
      <c r="K18" s="49"/>
      <c r="L18" s="49"/>
      <c r="M18" s="49"/>
      <c r="N18" s="49"/>
      <c r="O18" s="49"/>
      <c r="P18" s="49"/>
      <c r="Q18" s="49"/>
      <c r="R18" s="49"/>
      <c r="S18" s="49"/>
      <c r="T18" s="49"/>
      <c r="U18" s="49"/>
      <c r="V18" s="49"/>
      <c r="W18" s="49"/>
      <c r="X18" s="49"/>
      <c r="Y18" s="49"/>
      <c r="Z18" s="49"/>
    </row>
    <row r="19">
      <c r="A19" s="49" t="str">
        <f>IFERROR(__xludf.DUMMYFUNCTION("""COMPUTED_VALUE"""),"Armor Of Cthulhu")</f>
        <v>Armor Of Cthulhu</v>
      </c>
      <c r="B19" s="49"/>
      <c r="C19" s="49"/>
      <c r="D19" s="49" t="str">
        <f>IFERROR(__xludf.DUMMYFUNCTION("""COMPUTED_VALUE"""),"Torso")</f>
        <v>Torso</v>
      </c>
      <c r="E19" s="49">
        <f>IFERROR(__xludf.DUMMYFUNCTION("""COMPUTED_VALUE"""),400.0)</f>
        <v>400</v>
      </c>
      <c r="F19" s="49"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49">
        <f>IFERROR(__xludf.DUMMYFUNCTION("""COMPUTED_VALUE"""),7800000.0)</f>
        <v>7800000</v>
      </c>
      <c r="H19" s="49"/>
      <c r="I19" s="49"/>
      <c r="J19" s="49"/>
      <c r="K19" s="49"/>
      <c r="L19" s="49"/>
      <c r="M19" s="49"/>
      <c r="N19" s="49"/>
      <c r="O19" s="49"/>
      <c r="P19" s="49"/>
      <c r="Q19" s="49"/>
      <c r="R19" s="49"/>
      <c r="S19" s="49"/>
      <c r="T19" s="49"/>
      <c r="U19" s="49"/>
      <c r="V19" s="49"/>
      <c r="W19" s="49"/>
      <c r="X19" s="49"/>
      <c r="Y19" s="49"/>
      <c r="Z19" s="49"/>
    </row>
    <row r="20">
      <c r="A20" s="49" t="str">
        <f>IFERROR(__xludf.DUMMYFUNCTION("""COMPUTED_VALUE"""),"Armor Of Zeldron")</f>
        <v>Armor Of Zeldron</v>
      </c>
      <c r="B20" s="49" t="str">
        <f>IFERROR(__xludf.DUMMYFUNCTION("""COMPUTED_VALUE"""),"Made of gold")</f>
        <v>Made of gold</v>
      </c>
      <c r="C20" s="49"/>
      <c r="D20" s="49" t="str">
        <f>IFERROR(__xludf.DUMMYFUNCTION("""COMPUTED_VALUE"""),"Torso")</f>
        <v>Torso</v>
      </c>
      <c r="E20" s="49">
        <f>IFERROR(__xludf.DUMMYFUNCTION("""COMPUTED_VALUE"""),400.0)</f>
        <v>400</v>
      </c>
      <c r="F20" s="49" t="str">
        <f>IFERROR(__xludf.DUMMYFUNCTION("""COMPUTED_VALUE"""),"DEF: +10000, Order DEF: +10000")</f>
        <v>DEF: +10000, Order DEF: +10000</v>
      </c>
      <c r="G20" s="49">
        <f>IFERROR(__xludf.DUMMYFUNCTION("""COMPUTED_VALUE"""),7800000.0)</f>
        <v>7800000</v>
      </c>
      <c r="H20" s="49"/>
      <c r="I20" s="49"/>
      <c r="J20" s="49"/>
      <c r="K20" s="49"/>
      <c r="L20" s="49"/>
      <c r="M20" s="49"/>
      <c r="N20" s="49"/>
      <c r="O20" s="49"/>
      <c r="P20" s="49"/>
      <c r="Q20" s="49"/>
      <c r="R20" s="49"/>
      <c r="S20" s="49"/>
      <c r="T20" s="49"/>
      <c r="U20" s="49"/>
      <c r="V20" s="49"/>
      <c r="W20" s="49"/>
      <c r="X20" s="49"/>
      <c r="Y20" s="49"/>
      <c r="Z20" s="49"/>
    </row>
    <row r="21">
      <c r="A21" s="49" t="str">
        <f>IFERROR(__xludf.DUMMYFUNCTION("""COMPUTED_VALUE"""),"Ashen Pole Axe")</f>
        <v>Ashen Pole Axe</v>
      </c>
      <c r="B21" s="49"/>
      <c r="C21" s="49" t="str">
        <f>IFERROR(__xludf.DUMMYFUNCTION("""COMPUTED_VALUE"""),"Axe")</f>
        <v>Axe</v>
      </c>
      <c r="D21" s="49" t="str">
        <f>IFERROR(__xludf.DUMMYFUNCTION("""COMPUTED_VALUE"""),"Hand")</f>
        <v>Hand</v>
      </c>
      <c r="E21" s="49">
        <f>IFERROR(__xludf.DUMMYFUNCTION("""COMPUTED_VALUE"""),20.0)</f>
        <v>20</v>
      </c>
      <c r="F21" s="49" t="str">
        <f>IFERROR(__xludf.DUMMYFUNCTION("""COMPUTED_VALUE"""),"DMG: +500, Fire DMG: +500 ++Inflicts Burn 500")</f>
        <v>DMG: +500, Fire DMG: +500 ++Inflicts Burn 500</v>
      </c>
      <c r="G21" s="49">
        <f>IFERROR(__xludf.DUMMYFUNCTION("""COMPUTED_VALUE"""),10000.0)</f>
        <v>10000</v>
      </c>
      <c r="H21" s="49"/>
      <c r="I21" s="49"/>
      <c r="J21" s="49"/>
      <c r="K21" s="49"/>
      <c r="L21" s="49"/>
      <c r="M21" s="49"/>
      <c r="N21" s="49"/>
      <c r="O21" s="49"/>
      <c r="P21" s="49"/>
      <c r="Q21" s="49"/>
      <c r="R21" s="49"/>
      <c r="S21" s="49"/>
      <c r="T21" s="49"/>
      <c r="U21" s="49"/>
      <c r="V21" s="49"/>
      <c r="W21" s="49"/>
      <c r="X21" s="49"/>
      <c r="Y21" s="49"/>
      <c r="Z21" s="49"/>
    </row>
    <row r="22">
      <c r="A22" s="49" t="str">
        <f>IFERROR(__xludf.DUMMYFUNCTION("""COMPUTED_VALUE"""),"Bamboo Spear")</f>
        <v>Bamboo Spear</v>
      </c>
      <c r="B22" s="49"/>
      <c r="C22" s="49" t="str">
        <f>IFERROR(__xludf.DUMMYFUNCTION("""COMPUTED_VALUE"""),"Spear")</f>
        <v>Spear</v>
      </c>
      <c r="D22" s="49" t="str">
        <f>IFERROR(__xludf.DUMMYFUNCTION("""COMPUTED_VALUE"""),"Hand")</f>
        <v>Hand</v>
      </c>
      <c r="E22" s="49">
        <f>IFERROR(__xludf.DUMMYFUNCTION("""COMPUTED_VALUE"""),60.0)</f>
        <v>60</v>
      </c>
      <c r="F22" s="49"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49">
        <f>IFERROR(__xludf.DUMMYFUNCTION("""COMPUTED_VALUE"""),150000.0)</f>
        <v>150000</v>
      </c>
      <c r="H22" s="49"/>
      <c r="I22" s="49"/>
      <c r="J22" s="49"/>
      <c r="K22" s="49"/>
      <c r="L22" s="49"/>
      <c r="M22" s="49"/>
      <c r="N22" s="49"/>
      <c r="O22" s="49"/>
      <c r="P22" s="49"/>
      <c r="Q22" s="49"/>
      <c r="R22" s="49"/>
      <c r="S22" s="49"/>
      <c r="T22" s="49"/>
      <c r="U22" s="49"/>
      <c r="V22" s="49"/>
      <c r="W22" s="49"/>
      <c r="X22" s="49"/>
      <c r="Y22" s="49"/>
      <c r="Z22" s="49"/>
    </row>
    <row r="23">
      <c r="A23" s="49" t="str">
        <f>IFERROR(__xludf.DUMMYFUNCTION("""COMPUTED_VALUE"""),"Baosheng’s Restore Pendant")</f>
        <v>Baosheng’s Restore Pendant</v>
      </c>
      <c r="B23" s="49"/>
      <c r="C23" s="49"/>
      <c r="D23" s="49" t="str">
        <f>IFERROR(__xludf.DUMMYFUNCTION("""COMPUTED_VALUE"""),"Neck")</f>
        <v>Neck</v>
      </c>
      <c r="E23" s="49">
        <f>IFERROR(__xludf.DUMMYFUNCTION("""COMPUTED_VALUE"""),1.0)</f>
        <v>1</v>
      </c>
      <c r="F23" s="49" t="str">
        <f>IFERROR(__xludf.DUMMYFUNCTION("""COMPUTED_VALUE""")," ++Restores 100 HP and SP per round during battle.")</f>
        <v> ++Restores 100 HP and SP per round during battle.</v>
      </c>
      <c r="G23" s="49">
        <f>IFERROR(__xludf.DUMMYFUNCTION("""COMPUTED_VALUE"""),0.0)</f>
        <v>0</v>
      </c>
      <c r="H23" s="49"/>
      <c r="I23" s="49"/>
      <c r="J23" s="49"/>
      <c r="K23" s="49"/>
      <c r="L23" s="49"/>
      <c r="M23" s="49"/>
      <c r="N23" s="49"/>
      <c r="O23" s="49"/>
      <c r="P23" s="49"/>
      <c r="Q23" s="49"/>
      <c r="R23" s="49"/>
      <c r="S23" s="49"/>
      <c r="T23" s="49"/>
      <c r="U23" s="49"/>
      <c r="V23" s="49"/>
      <c r="W23" s="49"/>
      <c r="X23" s="49"/>
      <c r="Y23" s="49"/>
      <c r="Z23" s="49"/>
    </row>
    <row r="24">
      <c r="A24" s="49" t="str">
        <f>IFERROR(__xludf.DUMMYFUNCTION("""COMPUTED_VALUE"""),"Basic Cannon")</f>
        <v>Basic Cannon</v>
      </c>
      <c r="B24" s="49"/>
      <c r="C24" s="49" t="str">
        <f>IFERROR(__xludf.DUMMYFUNCTION("""COMPUTED_VALUE"""),"Firearm")</f>
        <v>Firearm</v>
      </c>
      <c r="D24" s="49" t="str">
        <f>IFERROR(__xludf.DUMMYFUNCTION("""COMPUTED_VALUE"""),"BoatGun")</f>
        <v>BoatGun</v>
      </c>
      <c r="E24" s="49">
        <f>IFERROR(__xludf.DUMMYFUNCTION("""COMPUTED_VALUE"""),400.0)</f>
        <v>400</v>
      </c>
      <c r="F24" s="49" t="str">
        <f>IFERROR(__xludf.DUMMYFUNCTION("""COMPUTED_VALUE"""),"DMG: +20000")</f>
        <v>DMG: +20000</v>
      </c>
      <c r="G24" s="49">
        <f>IFERROR(__xludf.DUMMYFUNCTION("""COMPUTED_VALUE"""),7800000.0)</f>
        <v>7800000</v>
      </c>
      <c r="H24" s="49"/>
      <c r="I24" s="49"/>
      <c r="J24" s="49"/>
      <c r="K24" s="49"/>
      <c r="L24" s="49"/>
      <c r="M24" s="49"/>
      <c r="N24" s="49"/>
      <c r="O24" s="49"/>
      <c r="P24" s="49"/>
      <c r="Q24" s="49"/>
      <c r="R24" s="49"/>
      <c r="S24" s="49"/>
      <c r="T24" s="49"/>
      <c r="U24" s="49"/>
      <c r="V24" s="49"/>
      <c r="W24" s="49"/>
      <c r="X24" s="49"/>
      <c r="Y24" s="49"/>
      <c r="Z24" s="49"/>
    </row>
    <row r="25">
      <c r="A25" s="49" t="str">
        <f>IFERROR(__xludf.DUMMYFUNCTION("""COMPUTED_VALUE"""),"Beltane Floral crown")</f>
        <v>Beltane Floral crown</v>
      </c>
      <c r="B25" s="49"/>
      <c r="C25" s="49"/>
      <c r="D25" s="49" t="str">
        <f>IFERROR(__xludf.DUMMYFUNCTION("""COMPUTED_VALUE"""),"Head")</f>
        <v>Head</v>
      </c>
      <c r="E25" s="49">
        <f>IFERROR(__xludf.DUMMYFUNCTION("""COMPUTED_VALUE"""),1.0)</f>
        <v>1</v>
      </c>
      <c r="F25" s="49" t="str">
        <f>IFERROR(__xludf.DUMMYFUNCTION("""COMPUTED_VALUE""")," ++Grants immunity to Nature.")</f>
        <v> ++Grants immunity to Nature.</v>
      </c>
      <c r="G25" s="49">
        <f>IFERROR(__xludf.DUMMYFUNCTION("""COMPUTED_VALUE"""),0.0)</f>
        <v>0</v>
      </c>
      <c r="H25" s="49"/>
      <c r="I25" s="49"/>
      <c r="J25" s="49"/>
      <c r="K25" s="49"/>
      <c r="L25" s="49"/>
      <c r="M25" s="49"/>
      <c r="N25" s="49"/>
      <c r="O25" s="49"/>
      <c r="P25" s="49"/>
      <c r="Q25" s="49"/>
      <c r="R25" s="49"/>
      <c r="S25" s="49"/>
      <c r="T25" s="49"/>
      <c r="U25" s="49"/>
      <c r="V25" s="49"/>
      <c r="W25" s="49"/>
      <c r="X25" s="49"/>
      <c r="Y25" s="49"/>
      <c r="Z25" s="49"/>
    </row>
    <row r="26">
      <c r="A26" s="49" t="str">
        <f>IFERROR(__xludf.DUMMYFUNCTION("""COMPUTED_VALUE"""),"Beta Sword")</f>
        <v>Beta Sword</v>
      </c>
      <c r="B26" s="49"/>
      <c r="C26" s="49"/>
      <c r="D26" s="49" t="str">
        <f>IFERROR(__xludf.DUMMYFUNCTION("""COMPUTED_VALUE"""),"Hand")</f>
        <v>Hand</v>
      </c>
      <c r="E26" s="49">
        <f>IFERROR(__xludf.DUMMYFUNCTION("""COMPUTED_VALUE"""),3000.0)</f>
        <v>3000</v>
      </c>
      <c r="F26" s="49" t="str">
        <f>IFERROR(__xludf.DUMMYFUNCTION("""COMPUTED_VALUE"""),"DMG: +125000, Dark DMG: +25000 ++Allows you to use another party members companion on your turn as a second action.")</f>
        <v>DMG: +125000, Dark DMG: +25000 ++Allows you to use another party members companion on your turn as a second action.</v>
      </c>
      <c r="G26" s="49">
        <f>IFERROR(__xludf.DUMMYFUNCTION("""COMPUTED_VALUE"""),4.485E8)</f>
        <v>448500000</v>
      </c>
      <c r="H26" s="49"/>
      <c r="I26" s="49"/>
      <c r="J26" s="49"/>
      <c r="K26" s="49"/>
      <c r="L26" s="49"/>
      <c r="M26" s="49"/>
      <c r="N26" s="49"/>
      <c r="O26" s="49"/>
      <c r="P26" s="49"/>
      <c r="Q26" s="49"/>
      <c r="R26" s="49"/>
      <c r="S26" s="49"/>
      <c r="T26" s="49"/>
      <c r="U26" s="49"/>
      <c r="V26" s="49"/>
      <c r="W26" s="49"/>
      <c r="X26" s="49"/>
      <c r="Y26" s="49"/>
      <c r="Z26" s="49"/>
    </row>
    <row r="27">
      <c r="A27" s="49" t="str">
        <f>IFERROR(__xludf.DUMMYFUNCTION("""COMPUTED_VALUE"""),"Black Crystal Necklace of Luck")</f>
        <v>Black Crystal Necklace of Luck</v>
      </c>
      <c r="B27" s="49"/>
      <c r="C27" s="49"/>
      <c r="D27" s="49" t="str">
        <f>IFERROR(__xludf.DUMMYFUNCTION("""COMPUTED_VALUE"""),"Neck")</f>
        <v>Neck</v>
      </c>
      <c r="E27" s="49">
        <f>IFERROR(__xludf.DUMMYFUNCTION("""COMPUTED_VALUE"""),1.0)</f>
        <v>1</v>
      </c>
      <c r="F27" s="49" t="str">
        <f>IFERROR(__xludf.DUMMYFUNCTION("""COMPUTED_VALUE""")," ++Plus 2 is added to whatever number you roll on a d20 ++can only wear one, +-Cannot be forged or duplicated.")</f>
        <v> ++Plus 2 is added to whatever number you roll on a d20 ++can only wear one, +-Cannot be forged or duplicated.</v>
      </c>
      <c r="G27" s="49">
        <f>IFERROR(__xludf.DUMMYFUNCTION("""COMPUTED_VALUE"""),0.0)</f>
        <v>0</v>
      </c>
      <c r="H27" s="49"/>
      <c r="I27" s="49"/>
      <c r="J27" s="49"/>
      <c r="K27" s="49"/>
      <c r="L27" s="49"/>
      <c r="M27" s="49"/>
      <c r="N27" s="49"/>
      <c r="O27" s="49"/>
      <c r="P27" s="49"/>
      <c r="Q27" s="49"/>
      <c r="R27" s="49"/>
      <c r="S27" s="49"/>
      <c r="T27" s="49"/>
      <c r="U27" s="49"/>
      <c r="V27" s="49"/>
      <c r="W27" s="49"/>
      <c r="X27" s="49"/>
      <c r="Y27" s="49"/>
      <c r="Z27" s="49"/>
    </row>
    <row r="28">
      <c r="A28" s="49" t="str">
        <f>IFERROR(__xludf.DUMMYFUNCTION("""COMPUTED_VALUE"""),"Black Serpent Dragon Pendant")</f>
        <v>Black Serpent Dragon Pendant</v>
      </c>
      <c r="B28" s="49"/>
      <c r="C28" s="49"/>
      <c r="D28" s="49" t="str">
        <f>IFERROR(__xludf.DUMMYFUNCTION("""COMPUTED_VALUE"""),"Neck")</f>
        <v>Neck</v>
      </c>
      <c r="E28" s="49">
        <f>IFERROR(__xludf.DUMMYFUNCTION("""COMPUTED_VALUE"""),1.0)</f>
        <v>1</v>
      </c>
      <c r="F28" s="49" t="str">
        <f>IFERROR(__xludf.DUMMYFUNCTION("""COMPUTED_VALUE""")," ++Immunity to dark and water damage. ++X2 additional dark and water damage for the wearer.")</f>
        <v> ++Immunity to dark and water damage. ++X2 additional dark and water damage for the wearer.</v>
      </c>
      <c r="G28" s="49">
        <f>IFERROR(__xludf.DUMMYFUNCTION("""COMPUTED_VALUE"""),0.0)</f>
        <v>0</v>
      </c>
      <c r="H28" s="49"/>
      <c r="I28" s="49"/>
      <c r="J28" s="49"/>
      <c r="K28" s="49"/>
      <c r="L28" s="49"/>
      <c r="M28" s="49"/>
      <c r="N28" s="49"/>
      <c r="O28" s="49"/>
      <c r="P28" s="49"/>
      <c r="Q28" s="49"/>
      <c r="R28" s="49"/>
      <c r="S28" s="49"/>
      <c r="T28" s="49"/>
      <c r="U28" s="49"/>
      <c r="V28" s="49"/>
      <c r="W28" s="49"/>
      <c r="X28" s="49"/>
      <c r="Y28" s="49"/>
      <c r="Z28" s="49"/>
    </row>
    <row r="29">
      <c r="A29" s="49" t="str">
        <f>IFERROR(__xludf.DUMMYFUNCTION("""COMPUTED_VALUE"""),"Blade of Burning Energy")</f>
        <v>Blade of Burning Energy</v>
      </c>
      <c r="B29" s="49"/>
      <c r="C29" s="49" t="str">
        <f>IFERROR(__xludf.DUMMYFUNCTION("""COMPUTED_VALUE"""),"Sword")</f>
        <v>Sword</v>
      </c>
      <c r="D29" s="49" t="str">
        <f>IFERROR(__xludf.DUMMYFUNCTION("""COMPUTED_VALUE"""),"Hand")</f>
        <v>Hand</v>
      </c>
      <c r="E29" s="49">
        <f>IFERROR(__xludf.DUMMYFUNCTION("""COMPUTED_VALUE"""),400.0)</f>
        <v>400</v>
      </c>
      <c r="F29" s="49" t="str">
        <f>IFERROR(__xludf.DUMMYFUNCTION("""COMPUTED_VALUE"""),"DMG: +10000, Fire DMG: +10000 ++Burn 5000")</f>
        <v>DMG: +10000, Fire DMG: +10000 ++Burn 5000</v>
      </c>
      <c r="G29" s="49">
        <f>IFERROR(__xludf.DUMMYFUNCTION("""COMPUTED_VALUE"""),7800000.0)</f>
        <v>7800000</v>
      </c>
      <c r="H29" s="49"/>
      <c r="I29" s="49"/>
      <c r="J29" s="49"/>
      <c r="K29" s="49"/>
      <c r="L29" s="49"/>
      <c r="M29" s="49"/>
      <c r="N29" s="49"/>
      <c r="O29" s="49"/>
      <c r="P29" s="49"/>
      <c r="Q29" s="49"/>
      <c r="R29" s="49"/>
      <c r="S29" s="49"/>
      <c r="T29" s="49"/>
      <c r="U29" s="49"/>
      <c r="V29" s="49"/>
      <c r="W29" s="49"/>
      <c r="X29" s="49"/>
      <c r="Y29" s="49"/>
      <c r="Z29" s="49"/>
    </row>
    <row r="30">
      <c r="A30" s="49" t="str">
        <f>IFERROR(__xludf.DUMMYFUNCTION("""COMPUTED_VALUE"""),"Blood Katana")</f>
        <v>Blood Katana</v>
      </c>
      <c r="B30" s="49"/>
      <c r="C30" s="49" t="str">
        <f>IFERROR(__xludf.DUMMYFUNCTION("""COMPUTED_VALUE"""),"Sword")</f>
        <v>Sword</v>
      </c>
      <c r="D30" s="49" t="str">
        <f>IFERROR(__xludf.DUMMYFUNCTION("""COMPUTED_VALUE"""),"Hand")</f>
        <v>Hand</v>
      </c>
      <c r="E30" s="49">
        <f>IFERROR(__xludf.DUMMYFUNCTION("""COMPUTED_VALUE"""),400.0)</f>
        <v>400</v>
      </c>
      <c r="F30" s="49" t="str">
        <f>IFERROR(__xludf.DUMMYFUNCTION("""COMPUTED_VALUE"""),"DMG: +10000, Blood DMG: +10000 ++X2 blood damage for spells and weapons. +-Cannot be duplicated.")</f>
        <v>DMG: +10000, Blood DMG: +10000 ++X2 blood damage for spells and weapons. +-Cannot be duplicated.</v>
      </c>
      <c r="G30" s="49">
        <f>IFERROR(__xludf.DUMMYFUNCTION("""COMPUTED_VALUE"""),7800000.0)</f>
        <v>7800000</v>
      </c>
      <c r="H30" s="49"/>
      <c r="I30" s="49"/>
      <c r="J30" s="49"/>
      <c r="K30" s="49"/>
      <c r="L30" s="49"/>
      <c r="M30" s="49"/>
      <c r="N30" s="49"/>
      <c r="O30" s="49"/>
      <c r="P30" s="49"/>
      <c r="Q30" s="49"/>
      <c r="R30" s="49"/>
      <c r="S30" s="49"/>
      <c r="T30" s="49"/>
      <c r="U30" s="49"/>
      <c r="V30" s="49"/>
      <c r="W30" s="49"/>
      <c r="X30" s="49"/>
      <c r="Y30" s="49"/>
      <c r="Z30" s="49"/>
    </row>
    <row r="31">
      <c r="A31" s="49" t="str">
        <f>IFERROR(__xludf.DUMMYFUNCTION("""COMPUTED_VALUE"""),"Blue Steel Sword")</f>
        <v>Blue Steel Sword</v>
      </c>
      <c r="B31" s="49"/>
      <c r="C31" s="49" t="str">
        <f>IFERROR(__xludf.DUMMYFUNCTION("""COMPUTED_VALUE"""),"Sword")</f>
        <v>Sword</v>
      </c>
      <c r="D31" s="49" t="str">
        <f>IFERROR(__xludf.DUMMYFUNCTION("""COMPUTED_VALUE"""),"Hand")</f>
        <v>Hand</v>
      </c>
      <c r="E31" s="49">
        <f>IFERROR(__xludf.DUMMYFUNCTION("""COMPUTED_VALUE"""),40.0)</f>
        <v>40</v>
      </c>
      <c r="F31" s="49" t="str">
        <f>IFERROR(__xludf.DUMMYFUNCTION("""COMPUTED_VALUE"""),"DMG: +1000, Water DMG: +1000")</f>
        <v>DMG: +1000, Water DMG: +1000</v>
      </c>
      <c r="G31" s="49">
        <f>IFERROR(__xludf.DUMMYFUNCTION("""COMPUTED_VALUE"""),60000.0)</f>
        <v>60000</v>
      </c>
      <c r="H31" s="49"/>
      <c r="I31" s="49"/>
      <c r="J31" s="49"/>
      <c r="K31" s="49"/>
      <c r="L31" s="49"/>
      <c r="M31" s="49"/>
      <c r="N31" s="49"/>
      <c r="O31" s="49"/>
      <c r="P31" s="49"/>
      <c r="Q31" s="49"/>
      <c r="R31" s="49"/>
      <c r="S31" s="49"/>
      <c r="T31" s="49"/>
      <c r="U31" s="49"/>
      <c r="V31" s="49"/>
      <c r="W31" s="49"/>
      <c r="X31" s="49"/>
      <c r="Y31" s="49"/>
      <c r="Z31" s="49"/>
    </row>
    <row r="32">
      <c r="A32" s="49" t="str">
        <f>IFERROR(__xludf.DUMMYFUNCTION("""COMPUTED_VALUE"""),"Blunderbuss (Exclusive)")</f>
        <v>Blunderbuss (Exclusive)</v>
      </c>
      <c r="B32" s="49"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49" t="str">
        <f>IFERROR(__xludf.DUMMYFUNCTION("""COMPUTED_VALUE"""),"Firearm")</f>
        <v>Firearm</v>
      </c>
      <c r="D32" s="49" t="str">
        <f>IFERROR(__xludf.DUMMYFUNCTION("""COMPUTED_VALUE"""),"Hand")</f>
        <v>Hand</v>
      </c>
      <c r="E32" s="49">
        <f>IFERROR(__xludf.DUMMYFUNCTION("""COMPUTED_VALUE"""),200.0)</f>
        <v>200</v>
      </c>
      <c r="F32" s="49"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49">
        <f>IFERROR(__xludf.DUMMYFUNCTION("""COMPUTED_VALUE"""),1.99E8)</f>
        <v>199000000</v>
      </c>
      <c r="H32" s="49"/>
      <c r="I32" s="49"/>
      <c r="J32" s="49"/>
      <c r="K32" s="49"/>
      <c r="L32" s="49"/>
      <c r="M32" s="49"/>
      <c r="N32" s="49"/>
      <c r="O32" s="49"/>
      <c r="P32" s="49"/>
      <c r="Q32" s="49"/>
      <c r="R32" s="49"/>
      <c r="S32" s="49"/>
      <c r="T32" s="49"/>
      <c r="U32" s="49"/>
      <c r="V32" s="49"/>
      <c r="W32" s="49"/>
      <c r="X32" s="49"/>
      <c r="Y32" s="49"/>
      <c r="Z32" s="49"/>
    </row>
    <row r="33">
      <c r="A33" s="49" t="str">
        <f>IFERROR(__xludf.DUMMYFUNCTION("""COMPUTED_VALUE"""),"Bone Sword ")</f>
        <v>Bone Sword </v>
      </c>
      <c r="B33" s="49"/>
      <c r="C33" s="49" t="str">
        <f>IFERROR(__xludf.DUMMYFUNCTION("""COMPUTED_VALUE"""),"Sword")</f>
        <v>Sword</v>
      </c>
      <c r="D33" s="49" t="str">
        <f>IFERROR(__xludf.DUMMYFUNCTION("""COMPUTED_VALUE"""),"Hand")</f>
        <v>Hand</v>
      </c>
      <c r="E33" s="49">
        <f>IFERROR(__xludf.DUMMYFUNCTION("""COMPUTED_VALUE"""),300.0)</f>
        <v>300</v>
      </c>
      <c r="F33" s="49" t="str">
        <f>IFERROR(__xludf.DUMMYFUNCTION("""COMPUTED_VALUE"""),"DMG: +5000, Earth DMG: +5000, Dark DMG: +5000 ++X2 Earth damage. ")</f>
        <v>DMG: +5000, Earth DMG: +5000, Dark DMG: +5000 ++X2 Earth damage. </v>
      </c>
      <c r="G33" s="49">
        <f>IFERROR(__xludf.DUMMYFUNCTION("""COMPUTED_VALUE"""),4350000.0)</f>
        <v>4350000</v>
      </c>
      <c r="H33" s="49"/>
      <c r="I33" s="49"/>
      <c r="J33" s="49"/>
      <c r="K33" s="49"/>
      <c r="L33" s="49"/>
      <c r="M33" s="49"/>
      <c r="N33" s="49"/>
      <c r="O33" s="49"/>
      <c r="P33" s="49"/>
      <c r="Q33" s="49"/>
      <c r="R33" s="49"/>
      <c r="S33" s="49"/>
      <c r="T33" s="49"/>
      <c r="U33" s="49"/>
      <c r="V33" s="49"/>
      <c r="W33" s="49"/>
      <c r="X33" s="49"/>
      <c r="Y33" s="49"/>
      <c r="Z33" s="49"/>
    </row>
    <row r="34">
      <c r="A34" s="49" t="str">
        <f>IFERROR(__xludf.DUMMYFUNCTION("""COMPUTED_VALUE"""),"Boots of Waking Waters")</f>
        <v>Boots of Waking Waters</v>
      </c>
      <c r="B34" s="49"/>
      <c r="C34" s="49"/>
      <c r="D34" s="49" t="str">
        <f>IFERROR(__xludf.DUMMYFUNCTION("""COMPUTED_VALUE"""),"Feet")</f>
        <v>Feet</v>
      </c>
      <c r="E34" s="49">
        <f>IFERROR(__xludf.DUMMYFUNCTION("""COMPUTED_VALUE"""),200.0)</f>
        <v>200</v>
      </c>
      <c r="F34" s="49" t="str">
        <f>IFERROR(__xludf.DUMMYFUNCTION("""COMPUTED_VALUE"""),"DEF: +5000, Water DEF: +5000 ++X4 additional water damage for self.")</f>
        <v>DEF: +5000, Water DEF: +5000 ++X4 additional water damage for self.</v>
      </c>
      <c r="G34" s="49">
        <f>IFERROR(__xludf.DUMMYFUNCTION("""COMPUTED_VALUE"""),1900000.0)</f>
        <v>1900000</v>
      </c>
      <c r="H34" s="49"/>
      <c r="I34" s="49"/>
      <c r="J34" s="49"/>
      <c r="K34" s="49"/>
      <c r="L34" s="49"/>
      <c r="M34" s="49"/>
      <c r="N34" s="49"/>
      <c r="O34" s="49"/>
      <c r="P34" s="49"/>
      <c r="Q34" s="49"/>
      <c r="R34" s="49"/>
      <c r="S34" s="49"/>
      <c r="T34" s="49"/>
      <c r="U34" s="49"/>
      <c r="V34" s="49"/>
      <c r="W34" s="49"/>
      <c r="X34" s="49"/>
      <c r="Y34" s="49"/>
      <c r="Z34" s="49"/>
    </row>
    <row r="35">
      <c r="A35" s="49" t="str">
        <f>IFERROR(__xludf.DUMMYFUNCTION("""COMPUTED_VALUE"""),"Bow of Chaotic Darkness")</f>
        <v>Bow of Chaotic Darkness</v>
      </c>
      <c r="B35" s="49"/>
      <c r="C35" s="49" t="str">
        <f>IFERROR(__xludf.DUMMYFUNCTION("""COMPUTED_VALUE"""),"Bow")</f>
        <v>Bow</v>
      </c>
      <c r="D35" s="49" t="str">
        <f>IFERROR(__xludf.DUMMYFUNCTION("""COMPUTED_VALUE"""),"Hand")</f>
        <v>Hand</v>
      </c>
      <c r="E35" s="49">
        <f>IFERROR(__xludf.DUMMYFUNCTION("""COMPUTED_VALUE"""),4400.0)</f>
        <v>4400</v>
      </c>
      <c r="F35" s="49" t="str">
        <f>IFERROR(__xludf.DUMMYFUNCTION("""COMPUTED_VALUE"""),"DMG: +140000, Dark DMG: +40000, Chaos DMG: +40000 ++You may use up to 4 arrows with this bow.")</f>
        <v>DMG: +140000, Dark DMG: +40000, Chaos DMG: +40000 ++You may use up to 4 arrows with this bow.</v>
      </c>
      <c r="G35" s="49">
        <f>IFERROR(__xludf.DUMMYFUNCTION("""COMPUTED_VALUE"""),9.658E8)</f>
        <v>965800000</v>
      </c>
      <c r="H35" s="49"/>
      <c r="I35" s="49"/>
      <c r="J35" s="49"/>
      <c r="K35" s="49"/>
      <c r="L35" s="49"/>
      <c r="M35" s="49"/>
      <c r="N35" s="49"/>
      <c r="O35" s="49"/>
      <c r="P35" s="49"/>
      <c r="Q35" s="49"/>
      <c r="R35" s="49"/>
      <c r="S35" s="49"/>
      <c r="T35" s="49"/>
      <c r="U35" s="49"/>
      <c r="V35" s="49"/>
      <c r="W35" s="49"/>
      <c r="X35" s="49"/>
      <c r="Y35" s="49"/>
      <c r="Z35" s="49"/>
    </row>
    <row r="36">
      <c r="A36" s="49" t="str">
        <f>IFERROR(__xludf.DUMMYFUNCTION("""COMPUTED_VALUE"""),"Bow of Luck")</f>
        <v>Bow of Luck</v>
      </c>
      <c r="B36" s="49"/>
      <c r="C36" s="49" t="str">
        <f>IFERROR(__xludf.DUMMYFUNCTION("""COMPUTED_VALUE"""),"Bow")</f>
        <v>Bow</v>
      </c>
      <c r="D36" s="49" t="str">
        <f>IFERROR(__xludf.DUMMYFUNCTION("""COMPUTED_VALUE"""),"Hand")</f>
        <v>Hand</v>
      </c>
      <c r="E36" s="49">
        <f>IFERROR(__xludf.DUMMYFUNCTION("""COMPUTED_VALUE"""),3000.0)</f>
        <v>3000</v>
      </c>
      <c r="F36" s="49"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49">
        <f>IFERROR(__xludf.DUMMYFUNCTION("""COMPUTED_VALUE"""),4.485E8)</f>
        <v>448500000</v>
      </c>
      <c r="H36" s="49"/>
      <c r="I36" s="49"/>
      <c r="J36" s="49"/>
      <c r="K36" s="49"/>
      <c r="L36" s="49"/>
      <c r="M36" s="49"/>
      <c r="N36" s="49"/>
      <c r="O36" s="49"/>
      <c r="P36" s="49"/>
      <c r="Q36" s="49"/>
      <c r="R36" s="49"/>
      <c r="S36" s="49"/>
      <c r="T36" s="49"/>
      <c r="U36" s="49"/>
      <c r="V36" s="49"/>
      <c r="W36" s="49"/>
      <c r="X36" s="49"/>
      <c r="Y36" s="49"/>
      <c r="Z36" s="49"/>
    </row>
    <row r="37">
      <c r="A37" s="49" t="str">
        <f>IFERROR(__xludf.DUMMYFUNCTION("""COMPUTED_VALUE"""),"Bow of The Sacred Druids")</f>
        <v>Bow of The Sacred Druids</v>
      </c>
      <c r="B37" s="49"/>
      <c r="C37" s="49" t="str">
        <f>IFERROR(__xludf.DUMMYFUNCTION("""COMPUTED_VALUE"""),"Bow")</f>
        <v>Bow</v>
      </c>
      <c r="D37" s="49" t="str">
        <f>IFERROR(__xludf.DUMMYFUNCTION("""COMPUTED_VALUE"""),"Hand")</f>
        <v>Hand</v>
      </c>
      <c r="E37" s="49">
        <f>IFERROR(__xludf.DUMMYFUNCTION("""COMPUTED_VALUE"""),200.0)</f>
        <v>200</v>
      </c>
      <c r="F37" s="49" t="str">
        <f>IFERROR(__xludf.DUMMYFUNCTION("""COMPUTED_VALUE"""),"DMG: +5000, Nature DMG: +5000 ++Druids Call - X4 additional damage for ranged weapons.")</f>
        <v>DMG: +5000, Nature DMG: +5000 ++Druids Call - X4 additional damage for ranged weapons.</v>
      </c>
      <c r="G37" s="49">
        <f>IFERROR(__xludf.DUMMYFUNCTION("""COMPUTED_VALUE"""),1900000.0)</f>
        <v>1900000</v>
      </c>
      <c r="H37" s="49"/>
      <c r="I37" s="49"/>
      <c r="J37" s="49"/>
      <c r="K37" s="49"/>
      <c r="L37" s="49"/>
      <c r="M37" s="49"/>
      <c r="N37" s="49"/>
      <c r="O37" s="49"/>
      <c r="P37" s="49"/>
      <c r="Q37" s="49"/>
      <c r="R37" s="49"/>
      <c r="S37" s="49"/>
      <c r="T37" s="49"/>
      <c r="U37" s="49"/>
      <c r="V37" s="49"/>
      <c r="W37" s="49"/>
      <c r="X37" s="49"/>
      <c r="Y37" s="49"/>
      <c r="Z37" s="49"/>
    </row>
    <row r="38">
      <c r="A38" s="49" t="str">
        <f>IFERROR(__xludf.DUMMYFUNCTION("""COMPUTED_VALUE"""),"Bo Staff Of Zhenmay")</f>
        <v>Bo Staff Of Zhenmay</v>
      </c>
      <c r="B38" s="49"/>
      <c r="C38" s="49" t="str">
        <f>IFERROR(__xludf.DUMMYFUNCTION("""COMPUTED_VALUE"""),"Club")</f>
        <v>Club</v>
      </c>
      <c r="D38" s="49" t="str">
        <f>IFERROR(__xludf.DUMMYFUNCTION("""COMPUTED_VALUE"""),"Hand")</f>
        <v>Hand</v>
      </c>
      <c r="E38" s="49">
        <f>IFERROR(__xludf.DUMMYFUNCTION("""COMPUTED_VALUE"""),3000.0)</f>
        <v>3000</v>
      </c>
      <c r="F38" s="49" t="str">
        <f>IFERROR(__xludf.DUMMYFUNCTION("""COMPUTED_VALUE"""),"DMG: +100000, Zen DMG: +50000 ++Blindness 2. ")</f>
        <v>DMG: +100000, Zen DMG: +50000 ++Blindness 2. </v>
      </c>
      <c r="G38" s="49">
        <f>IFERROR(__xludf.DUMMYFUNCTION("""COMPUTED_VALUE"""),4.485E8)</f>
        <v>448500000</v>
      </c>
      <c r="H38" s="49"/>
      <c r="I38" s="49"/>
      <c r="J38" s="49"/>
      <c r="K38" s="49"/>
      <c r="L38" s="49"/>
      <c r="M38" s="49"/>
      <c r="N38" s="49"/>
      <c r="O38" s="49"/>
      <c r="P38" s="49"/>
      <c r="Q38" s="49"/>
      <c r="R38" s="49"/>
      <c r="S38" s="49"/>
      <c r="T38" s="49"/>
      <c r="U38" s="49"/>
      <c r="V38" s="49"/>
      <c r="W38" s="49"/>
      <c r="X38" s="49"/>
      <c r="Y38" s="49"/>
      <c r="Z38" s="49"/>
    </row>
    <row r="39">
      <c r="A39" s="49" t="str">
        <f>IFERROR(__xludf.DUMMYFUNCTION("""COMPUTED_VALUE"""),"Breezy Clothes")</f>
        <v>Breezy Clothes</v>
      </c>
      <c r="B39" s="49"/>
      <c r="C39" s="49"/>
      <c r="D39" s="49" t="str">
        <f>IFERROR(__xludf.DUMMYFUNCTION("""COMPUTED_VALUE"""),"Torso")</f>
        <v>Torso</v>
      </c>
      <c r="E39" s="49">
        <f>IFERROR(__xludf.DUMMYFUNCTION("""COMPUTED_VALUE"""),1.0)</f>
        <v>1</v>
      </c>
      <c r="F39" s="49" t="str">
        <f>IFERROR(__xludf.DUMMYFUNCTION("""COMPUTED_VALUE""")," ++While equipped, Take half damage from fire damage, But decrease water damage you deal by half. ")</f>
        <v> ++While equipped, Take half damage from fire damage, But decrease water damage you deal by half. </v>
      </c>
      <c r="G39" s="49">
        <f>IFERROR(__xludf.DUMMYFUNCTION("""COMPUTED_VALUE"""),0.0)</f>
        <v>0</v>
      </c>
      <c r="H39" s="49"/>
      <c r="I39" s="49"/>
      <c r="J39" s="49"/>
      <c r="K39" s="49"/>
      <c r="L39" s="49"/>
      <c r="M39" s="49"/>
      <c r="N39" s="49"/>
      <c r="O39" s="49"/>
      <c r="P39" s="49"/>
      <c r="Q39" s="49"/>
      <c r="R39" s="49"/>
      <c r="S39" s="49"/>
      <c r="T39" s="49"/>
      <c r="U39" s="49"/>
      <c r="V39" s="49"/>
      <c r="W39" s="49"/>
      <c r="X39" s="49"/>
      <c r="Y39" s="49"/>
      <c r="Z39" s="49"/>
    </row>
    <row r="40">
      <c r="A40" s="49" t="str">
        <f>IFERROR(__xludf.DUMMYFUNCTION("""COMPUTED_VALUE"""),"Bright Flame Sword")</f>
        <v>Bright Flame Sword</v>
      </c>
      <c r="B40" s="49"/>
      <c r="C40" s="49" t="str">
        <f>IFERROR(__xludf.DUMMYFUNCTION("""COMPUTED_VALUE"""),"Sword")</f>
        <v>Sword</v>
      </c>
      <c r="D40" s="49" t="str">
        <f>IFERROR(__xludf.DUMMYFUNCTION("""COMPUTED_VALUE"""),"Hand")</f>
        <v>Hand</v>
      </c>
      <c r="E40" s="49">
        <f>IFERROR(__xludf.DUMMYFUNCTION("""COMPUTED_VALUE"""),300.0)</f>
        <v>300</v>
      </c>
      <c r="F40" s="49" t="str">
        <f>IFERROR(__xludf.DUMMYFUNCTION("""COMPUTED_VALUE"""),"DMG: +10000, Fire DMG: +5000")</f>
        <v>DMG: +10000, Fire DMG: +5000</v>
      </c>
      <c r="G40" s="49">
        <f>IFERROR(__xludf.DUMMYFUNCTION("""COMPUTED_VALUE"""),4350000.0)</f>
        <v>4350000</v>
      </c>
      <c r="H40" s="49"/>
      <c r="I40" s="49"/>
      <c r="J40" s="49"/>
      <c r="K40" s="49"/>
      <c r="L40" s="49"/>
      <c r="M40" s="49"/>
      <c r="N40" s="49"/>
      <c r="O40" s="49"/>
      <c r="P40" s="49"/>
      <c r="Q40" s="49"/>
      <c r="R40" s="49"/>
      <c r="S40" s="49"/>
      <c r="T40" s="49"/>
      <c r="U40" s="49"/>
      <c r="V40" s="49"/>
      <c r="W40" s="49"/>
      <c r="X40" s="49"/>
      <c r="Y40" s="49"/>
      <c r="Z40" s="49"/>
    </row>
    <row r="41">
      <c r="A41" s="49" t="str">
        <f>IFERROR(__xludf.DUMMYFUNCTION("""COMPUTED_VALUE"""),"Broken Sword")</f>
        <v>Broken Sword</v>
      </c>
      <c r="B41" s="49"/>
      <c r="C41" s="49" t="str">
        <f>IFERROR(__xludf.DUMMYFUNCTION("""COMPUTED_VALUE"""),"Knife")</f>
        <v>Knife</v>
      </c>
      <c r="D41" s="49" t="str">
        <f>IFERROR(__xludf.DUMMYFUNCTION("""COMPUTED_VALUE"""),"Hand")</f>
        <v>Hand</v>
      </c>
      <c r="E41" s="49">
        <f>IFERROR(__xludf.DUMMYFUNCTION("""COMPUTED_VALUE"""),1.0)</f>
        <v>1</v>
      </c>
      <c r="F41" s="49" t="str">
        <f>IFERROR(__xludf.DUMMYFUNCTION("""COMPUTED_VALUE"""),"DMG: +1 ++ -1 evasion")</f>
        <v>DMG: +1 ++ -1 evasion</v>
      </c>
      <c r="G41" s="49">
        <f>IFERROR(__xludf.DUMMYFUNCTION("""COMPUTED_VALUE"""),0.0)</f>
        <v>0</v>
      </c>
      <c r="H41" s="49"/>
      <c r="I41" s="49"/>
      <c r="J41" s="49"/>
      <c r="K41" s="49"/>
      <c r="L41" s="49"/>
      <c r="M41" s="49"/>
      <c r="N41" s="49"/>
      <c r="O41" s="49"/>
      <c r="P41" s="49"/>
      <c r="Q41" s="49"/>
      <c r="R41" s="49"/>
      <c r="S41" s="49"/>
      <c r="T41" s="49"/>
      <c r="U41" s="49"/>
      <c r="V41" s="49"/>
      <c r="W41" s="49"/>
      <c r="X41" s="49"/>
      <c r="Y41" s="49"/>
      <c r="Z41" s="49"/>
    </row>
    <row r="42">
      <c r="A42" s="49" t="str">
        <f>IFERROR(__xludf.DUMMYFUNCTION("""COMPUTED_VALUE"""),"Burning Broadsword")</f>
        <v>Burning Broadsword</v>
      </c>
      <c r="B42" s="49"/>
      <c r="C42" s="49" t="str">
        <f>IFERROR(__xludf.DUMMYFUNCTION("""COMPUTED_VALUE"""),"Sword")</f>
        <v>Sword</v>
      </c>
      <c r="D42" s="49" t="str">
        <f>IFERROR(__xludf.DUMMYFUNCTION("""COMPUTED_VALUE"""),"Hand")</f>
        <v>Hand</v>
      </c>
      <c r="E42" s="49">
        <f>IFERROR(__xludf.DUMMYFUNCTION("""COMPUTED_VALUE"""),200.0)</f>
        <v>200</v>
      </c>
      <c r="F42" s="49" t="str">
        <f>IFERROR(__xludf.DUMMYFUNCTION("""COMPUTED_VALUE"""),"DMG: +5000, Fire DMG: +5000 ++10,000 fire damage per round for 3 rounds.")</f>
        <v>DMG: +5000, Fire DMG: +5000 ++10,000 fire damage per round for 3 rounds.</v>
      </c>
      <c r="G42" s="49">
        <f>IFERROR(__xludf.DUMMYFUNCTION("""COMPUTED_VALUE"""),1900000.0)</f>
        <v>1900000</v>
      </c>
      <c r="H42" s="49"/>
      <c r="I42" s="49"/>
      <c r="J42" s="49"/>
      <c r="K42" s="49"/>
      <c r="L42" s="49"/>
      <c r="M42" s="49"/>
      <c r="N42" s="49"/>
      <c r="O42" s="49"/>
      <c r="P42" s="49"/>
      <c r="Q42" s="49"/>
      <c r="R42" s="49"/>
      <c r="S42" s="49"/>
      <c r="T42" s="49"/>
      <c r="U42" s="49"/>
      <c r="V42" s="49"/>
      <c r="W42" s="49"/>
      <c r="X42" s="49"/>
      <c r="Y42" s="49"/>
      <c r="Z42" s="49"/>
    </row>
    <row r="43">
      <c r="A43" s="49" t="str">
        <f>IFERROR(__xludf.DUMMYFUNCTION("""COMPUTED_VALUE"""),"Candy Corn Necklace")</f>
        <v>Candy Corn Necklace</v>
      </c>
      <c r="B43" s="49" t="str">
        <f>IFERROR(__xludf.DUMMYFUNCTION("""COMPUTED_VALUE"""),"Halloween Exclusive")</f>
        <v>Halloween Exclusive</v>
      </c>
      <c r="C43" s="49"/>
      <c r="D43" s="49" t="str">
        <f>IFERROR(__xludf.DUMMYFUNCTION("""COMPUTED_VALUE"""),"Neck")</f>
        <v>Neck</v>
      </c>
      <c r="E43" s="49">
        <f>IFERROR(__xludf.DUMMYFUNCTION("""COMPUTED_VALUE"""),1.0)</f>
        <v>1</v>
      </c>
      <c r="F43" s="49" t="str">
        <f>IFERROR(__xludf.DUMMYFUNCTION("""COMPUTED_VALUE""")," ++Gives Immunity to Dark and Chaos Damage, ++ +2 Intimidation.")</f>
        <v> ++Gives Immunity to Dark and Chaos Damage, ++ +2 Intimidation.</v>
      </c>
      <c r="G43" s="49">
        <f>IFERROR(__xludf.DUMMYFUNCTION("""COMPUTED_VALUE"""),0.0)</f>
        <v>0</v>
      </c>
      <c r="H43" s="49"/>
      <c r="I43" s="49"/>
      <c r="J43" s="49"/>
      <c r="K43" s="49"/>
      <c r="L43" s="49"/>
      <c r="M43" s="49"/>
      <c r="N43" s="49"/>
      <c r="O43" s="49"/>
      <c r="P43" s="49"/>
      <c r="Q43" s="49"/>
      <c r="R43" s="49"/>
      <c r="S43" s="49"/>
      <c r="T43" s="49"/>
      <c r="U43" s="49"/>
      <c r="V43" s="49"/>
      <c r="W43" s="49"/>
      <c r="X43" s="49"/>
      <c r="Y43" s="49"/>
      <c r="Z43" s="49"/>
    </row>
    <row r="44">
      <c r="A44" s="49" t="str">
        <f>IFERROR(__xludf.DUMMYFUNCTION("""COMPUTED_VALUE"""),"Candy Corn Rifle")</f>
        <v>Candy Corn Rifle</v>
      </c>
      <c r="B44" s="49" t="str">
        <f>IFERROR(__xludf.DUMMYFUNCTION("""COMPUTED_VALUE"""),"Halloween Exclusive")</f>
        <v>Halloween Exclusive</v>
      </c>
      <c r="C44" s="49" t="str">
        <f>IFERROR(__xludf.DUMMYFUNCTION("""COMPUTED_VALUE"""),"Firearm")</f>
        <v>Firearm</v>
      </c>
      <c r="D44" s="49" t="str">
        <f>IFERROR(__xludf.DUMMYFUNCTION("""COMPUTED_VALUE"""),"Hand")</f>
        <v>Hand</v>
      </c>
      <c r="E44" s="49">
        <f>IFERROR(__xludf.DUMMYFUNCTION("""COMPUTED_VALUE"""),200.0)</f>
        <v>200</v>
      </c>
      <c r="F44" s="49"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49">
        <f>IFERROR(__xludf.DUMMYFUNCTION("""COMPUTED_VALUE"""),1.272E8)</f>
        <v>127200000</v>
      </c>
      <c r="H44" s="49"/>
      <c r="I44" s="49"/>
      <c r="J44" s="49"/>
      <c r="K44" s="49"/>
      <c r="L44" s="49"/>
      <c r="M44" s="49"/>
      <c r="N44" s="49"/>
      <c r="O44" s="49"/>
      <c r="P44" s="49"/>
      <c r="Q44" s="49"/>
      <c r="R44" s="49"/>
      <c r="S44" s="49"/>
      <c r="T44" s="49"/>
      <c r="U44" s="49"/>
      <c r="V44" s="49"/>
      <c r="W44" s="49"/>
      <c r="X44" s="49"/>
      <c r="Y44" s="49"/>
      <c r="Z44" s="49"/>
    </row>
    <row r="45">
      <c r="A45" s="49" t="str">
        <f>IFERROR(__xludf.DUMMYFUNCTION("""COMPUTED_VALUE"""),"Cap of Metal Harmony's")</f>
        <v>Cap of Metal Harmony's</v>
      </c>
      <c r="B45" s="49"/>
      <c r="C45" s="49"/>
      <c r="D45" s="49" t="str">
        <f>IFERROR(__xludf.DUMMYFUNCTION("""COMPUTED_VALUE"""),"Head")</f>
        <v>Head</v>
      </c>
      <c r="E45" s="49">
        <f>IFERROR(__xludf.DUMMYFUNCTION("""COMPUTED_VALUE"""),200.0)</f>
        <v>200</v>
      </c>
      <c r="F45" s="49" t="str">
        <f>IFERROR(__xludf.DUMMYFUNCTION("""COMPUTED_VALUE"""),"DEF: +10000 ++Half the SP cost for Fire, Water, Storm, Earth, and Nature spells.")</f>
        <v>DEF: +10000 ++Half the SP cost for Fire, Water, Storm, Earth, and Nature spells.</v>
      </c>
      <c r="G45" s="49">
        <f>IFERROR(__xludf.DUMMYFUNCTION("""COMPUTED_VALUE"""),1900000.0)</f>
        <v>1900000</v>
      </c>
      <c r="H45" s="49"/>
      <c r="I45" s="49"/>
      <c r="J45" s="49"/>
      <c r="K45" s="49"/>
      <c r="L45" s="49"/>
      <c r="M45" s="49"/>
      <c r="N45" s="49"/>
      <c r="O45" s="49"/>
      <c r="P45" s="49"/>
      <c r="Q45" s="49"/>
      <c r="R45" s="49"/>
      <c r="S45" s="49"/>
      <c r="T45" s="49"/>
      <c r="U45" s="49"/>
      <c r="V45" s="49"/>
      <c r="W45" s="49"/>
      <c r="X45" s="49"/>
      <c r="Y45" s="49"/>
      <c r="Z45" s="49"/>
    </row>
    <row r="46">
      <c r="A46" s="49" t="str">
        <f>IFERROR(__xludf.DUMMYFUNCTION("""COMPUTED_VALUE"""),"Celestian Royal Shield")</f>
        <v>Celestian Royal Shield</v>
      </c>
      <c r="B46" s="49" t="str">
        <f>IFERROR(__xludf.DUMMYFUNCTION("""COMPUTED_VALUE"""),"Quest Item")</f>
        <v>Quest Item</v>
      </c>
      <c r="C46" s="49" t="str">
        <f>IFERROR(__xludf.DUMMYFUNCTION("""COMPUTED_VALUE"""),"Towershield")</f>
        <v>Towershield</v>
      </c>
      <c r="D46" s="49" t="str">
        <f>IFERROR(__xludf.DUMMYFUNCTION("""COMPUTED_VALUE"""),"Hand")</f>
        <v>Hand</v>
      </c>
      <c r="E46" s="49">
        <f>IFERROR(__xludf.DUMMYFUNCTION("""COMPUTED_VALUE"""),200.0)</f>
        <v>200</v>
      </c>
      <c r="F46" s="49"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49">
        <f>IFERROR(__xludf.DUMMYFUNCTION("""COMPUTED_VALUE"""),3.196E9)</f>
        <v>3196000000</v>
      </c>
      <c r="H46" s="49"/>
      <c r="I46" s="49"/>
      <c r="J46" s="49"/>
      <c r="K46" s="49"/>
      <c r="L46" s="49"/>
      <c r="M46" s="49"/>
      <c r="N46" s="49"/>
      <c r="O46" s="49"/>
      <c r="P46" s="49"/>
      <c r="Q46" s="49"/>
      <c r="R46" s="49"/>
      <c r="S46" s="49"/>
      <c r="T46" s="49"/>
      <c r="U46" s="49"/>
      <c r="V46" s="49"/>
      <c r="W46" s="49"/>
      <c r="X46" s="49"/>
      <c r="Y46" s="49"/>
      <c r="Z46" s="49"/>
    </row>
    <row r="47">
      <c r="A47" s="49" t="str">
        <f>IFERROR(__xludf.DUMMYFUNCTION("""COMPUTED_VALUE"""),"Celestian Royal Sword")</f>
        <v>Celestian Royal Sword</v>
      </c>
      <c r="B47" s="49" t="str">
        <f>IFERROR(__xludf.DUMMYFUNCTION("""COMPUTED_VALUE"""),"Quest Item")</f>
        <v>Quest Item</v>
      </c>
      <c r="C47" s="49" t="str">
        <f>IFERROR(__xludf.DUMMYFUNCTION("""COMPUTED_VALUE"""),"Sword")</f>
        <v>Sword</v>
      </c>
      <c r="D47" s="49" t="str">
        <f>IFERROR(__xludf.DUMMYFUNCTION("""COMPUTED_VALUE"""),"Hand")</f>
        <v>Hand</v>
      </c>
      <c r="E47" s="49">
        <f>IFERROR(__xludf.DUMMYFUNCTION("""COMPUTED_VALUE"""),200.0)</f>
        <v>200</v>
      </c>
      <c r="F47" s="49"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49">
        <f>IFERROR(__xludf.DUMMYFUNCTION("""COMPUTED_VALUE"""),3.196E9)</f>
        <v>3196000000</v>
      </c>
      <c r="H47" s="49"/>
      <c r="I47" s="49"/>
      <c r="J47" s="49"/>
      <c r="K47" s="49"/>
      <c r="L47" s="49"/>
      <c r="M47" s="49"/>
      <c r="N47" s="49"/>
      <c r="O47" s="49"/>
      <c r="P47" s="49"/>
      <c r="Q47" s="49"/>
      <c r="R47" s="49"/>
      <c r="S47" s="49"/>
      <c r="T47" s="49"/>
      <c r="U47" s="49"/>
      <c r="V47" s="49"/>
      <c r="W47" s="49"/>
      <c r="X47" s="49"/>
      <c r="Y47" s="49"/>
      <c r="Z47" s="49"/>
    </row>
    <row r="48">
      <c r="A48" s="49" t="str">
        <f>IFERROR(__xludf.DUMMYFUNCTION("""COMPUTED_VALUE"""),"Chain Link Armor")</f>
        <v>Chain Link Armor</v>
      </c>
      <c r="B48" s="49"/>
      <c r="C48" s="49"/>
      <c r="D48" s="49" t="str">
        <f>IFERROR(__xludf.DUMMYFUNCTION("""COMPUTED_VALUE"""),"Torso")</f>
        <v>Torso</v>
      </c>
      <c r="E48" s="49">
        <f>IFERROR(__xludf.DUMMYFUNCTION("""COMPUTED_VALUE"""),40.0)</f>
        <v>40</v>
      </c>
      <c r="F48" s="49"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49">
        <f>IFERROR(__xludf.DUMMYFUNCTION("""COMPUTED_VALUE"""),60000.0)</f>
        <v>60000</v>
      </c>
      <c r="H48" s="49"/>
      <c r="I48" s="49"/>
      <c r="J48" s="49"/>
      <c r="K48" s="49"/>
      <c r="L48" s="49"/>
      <c r="M48" s="49"/>
      <c r="N48" s="49"/>
      <c r="O48" s="49"/>
      <c r="P48" s="49"/>
      <c r="Q48" s="49"/>
      <c r="R48" s="49"/>
      <c r="S48" s="49"/>
      <c r="T48" s="49"/>
      <c r="U48" s="49"/>
      <c r="V48" s="49"/>
      <c r="W48" s="49"/>
      <c r="X48" s="49"/>
      <c r="Y48" s="49"/>
      <c r="Z48" s="49"/>
    </row>
    <row r="49">
      <c r="A49" s="49" t="str">
        <f>IFERROR(__xludf.DUMMYFUNCTION("""COMPUTED_VALUE"""),"Chaos Sword")</f>
        <v>Chaos Sword</v>
      </c>
      <c r="B49" s="49"/>
      <c r="C49" s="49" t="str">
        <f>IFERROR(__xludf.DUMMYFUNCTION("""COMPUTED_VALUE"""),"Sword")</f>
        <v>Sword</v>
      </c>
      <c r="D49" s="49" t="str">
        <f>IFERROR(__xludf.DUMMYFUNCTION("""COMPUTED_VALUE"""),"Hand")</f>
        <v>Hand</v>
      </c>
      <c r="E49" s="49">
        <f>IFERROR(__xludf.DUMMYFUNCTION("""COMPUTED_VALUE"""),90.0)</f>
        <v>90</v>
      </c>
      <c r="F49" s="49" t="str">
        <f>IFERROR(__xludf.DUMMYFUNCTION("""COMPUTED_VALUE"""),"DMG: +2500, Chaos DMG: +2000 ++ +2 Intimidation. +-Cannot be duplicated. +-Can only equip one.")</f>
        <v>DMG: +2500, Chaos DMG: +2000 ++ +2 Intimidation. +-Cannot be duplicated. +-Can only equip one.</v>
      </c>
      <c r="G49" s="49">
        <f>IFERROR(__xludf.DUMMYFUNCTION("""COMPUTED_VALUE"""),360000.0)</f>
        <v>360000</v>
      </c>
      <c r="H49" s="49"/>
      <c r="I49" s="49"/>
      <c r="J49" s="49"/>
      <c r="K49" s="49"/>
      <c r="L49" s="49"/>
      <c r="M49" s="49"/>
      <c r="N49" s="49"/>
      <c r="O49" s="49"/>
      <c r="P49" s="49"/>
      <c r="Q49" s="49"/>
      <c r="R49" s="49"/>
      <c r="S49" s="49"/>
      <c r="T49" s="49"/>
      <c r="U49" s="49"/>
      <c r="V49" s="49"/>
      <c r="W49" s="49"/>
      <c r="X49" s="49"/>
      <c r="Y49" s="49"/>
      <c r="Z49" s="49"/>
    </row>
    <row r="50">
      <c r="A50" s="49" t="str">
        <f>IFERROR(__xludf.DUMMYFUNCTION("""COMPUTED_VALUE"""),"Chaotic Amulet")</f>
        <v>Chaotic Amulet</v>
      </c>
      <c r="B50" s="49"/>
      <c r="C50" s="49"/>
      <c r="D50" s="49" t="str">
        <f>IFERROR(__xludf.DUMMYFUNCTION("""COMPUTED_VALUE"""),"Neck")</f>
        <v>Neck</v>
      </c>
      <c r="E50" s="49">
        <f>IFERROR(__xludf.DUMMYFUNCTION("""COMPUTED_VALUE"""),1.0)</f>
        <v>1</v>
      </c>
      <c r="F50" s="49" t="str">
        <f>IFERROR(__xludf.DUMMYFUNCTION("""COMPUTED_VALUE""")," ++Immunity to all Chaos Dmg, ++Deal 2x more Chaos Dmg.")</f>
        <v> ++Immunity to all Chaos Dmg, ++Deal 2x more Chaos Dmg.</v>
      </c>
      <c r="G50" s="49">
        <f>IFERROR(__xludf.DUMMYFUNCTION("""COMPUTED_VALUE"""),0.0)</f>
        <v>0</v>
      </c>
      <c r="H50" s="49"/>
      <c r="I50" s="49"/>
      <c r="J50" s="49"/>
      <c r="K50" s="49"/>
      <c r="L50" s="49"/>
      <c r="M50" s="49"/>
      <c r="N50" s="49"/>
      <c r="O50" s="49"/>
      <c r="P50" s="49"/>
      <c r="Q50" s="49"/>
      <c r="R50" s="49"/>
      <c r="S50" s="49"/>
      <c r="T50" s="49"/>
      <c r="U50" s="49"/>
      <c r="V50" s="49"/>
      <c r="W50" s="49"/>
      <c r="X50" s="49"/>
      <c r="Y50" s="49"/>
      <c r="Z50" s="49"/>
    </row>
    <row r="51">
      <c r="A51" s="49" t="str">
        <f>IFERROR(__xludf.DUMMYFUNCTION("""COMPUTED_VALUE"""),"Ring")</f>
        <v>Ring</v>
      </c>
      <c r="B51" s="49"/>
      <c r="C51" s="49"/>
      <c r="D51" s="49" t="str">
        <f>IFERROR(__xludf.DUMMYFUNCTION("""COMPUTED_VALUE"""),"Ring")</f>
        <v>Ring</v>
      </c>
      <c r="E51" s="49">
        <f>IFERROR(__xludf.DUMMYFUNCTION("""COMPUTED_VALUE"""),1.0)</f>
        <v>1</v>
      </c>
      <c r="F51" s="49" t="str">
        <f>IFERROR(__xludf.DUMMYFUNCTION("""COMPUTED_VALUE""")," ++X2 additional Chaos and Blood damage")</f>
        <v> ++X2 additional Chaos and Blood damage</v>
      </c>
      <c r="G51" s="49">
        <f>IFERROR(__xludf.DUMMYFUNCTION("""COMPUTED_VALUE"""),0.0)</f>
        <v>0</v>
      </c>
      <c r="H51" s="49"/>
      <c r="I51" s="49"/>
      <c r="J51" s="49"/>
      <c r="K51" s="49"/>
      <c r="L51" s="49"/>
      <c r="M51" s="49"/>
      <c r="N51" s="49"/>
      <c r="O51" s="49"/>
      <c r="P51" s="49"/>
      <c r="Q51" s="49"/>
      <c r="R51" s="49"/>
      <c r="S51" s="49"/>
      <c r="T51" s="49"/>
      <c r="U51" s="49"/>
      <c r="V51" s="49"/>
      <c r="W51" s="49"/>
      <c r="X51" s="49"/>
      <c r="Y51" s="49"/>
      <c r="Z51" s="49"/>
    </row>
    <row r="52">
      <c r="A52" s="49" t="str">
        <f>IFERROR(__xludf.DUMMYFUNCTION("""COMPUTED_VALUE"""),"Chaotic Shadow Life Orb")</f>
        <v>Chaotic Shadow Life Orb</v>
      </c>
      <c r="B52" s="49"/>
      <c r="C52" s="49"/>
      <c r="D52" s="49" t="str">
        <f>IFERROR(__xludf.DUMMYFUNCTION("""COMPUTED_VALUE"""),"Hand")</f>
        <v>Hand</v>
      </c>
      <c r="E52" s="49">
        <f>IFERROR(__xludf.DUMMYFUNCTION("""COMPUTED_VALUE"""),1.0)</f>
        <v>1</v>
      </c>
      <c r="F52" s="49"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49">
        <f>IFERROR(__xludf.DUMMYFUNCTION("""COMPUTED_VALUE"""),0.0)</f>
        <v>0</v>
      </c>
      <c r="H52" s="49"/>
      <c r="I52" s="49"/>
      <c r="J52" s="49"/>
      <c r="K52" s="49"/>
      <c r="L52" s="49"/>
      <c r="M52" s="49"/>
      <c r="N52" s="49"/>
      <c r="O52" s="49"/>
      <c r="P52" s="49"/>
      <c r="Q52" s="49"/>
      <c r="R52" s="49"/>
      <c r="S52" s="49"/>
      <c r="T52" s="49"/>
      <c r="U52" s="49"/>
      <c r="V52" s="49"/>
      <c r="W52" s="49"/>
      <c r="X52" s="49"/>
      <c r="Y52" s="49"/>
      <c r="Z52" s="49"/>
    </row>
    <row r="53">
      <c r="A53" s="49" t="str">
        <f>IFERROR(__xludf.DUMMYFUNCTION("""COMPUTED_VALUE"""),"Charm of Awaken")</f>
        <v>Charm of Awaken</v>
      </c>
      <c r="B53" s="49"/>
      <c r="C53" s="49"/>
      <c r="D53" s="49" t="str">
        <f>IFERROR(__xludf.DUMMYFUNCTION("""COMPUTED_VALUE"""),"Neck")</f>
        <v>Neck</v>
      </c>
      <c r="E53" s="49">
        <f>IFERROR(__xludf.DUMMYFUNCTION("""COMPUTED_VALUE"""),1.0)</f>
        <v>1</v>
      </c>
      <c r="F53" s="49" t="str">
        <f>IFERROR(__xludf.DUMMYFUNCTION("""COMPUTED_VALUE""")," ++Immunity to sleep.")</f>
        <v> ++Immunity to sleep.</v>
      </c>
      <c r="G53" s="49">
        <f>IFERROR(__xludf.DUMMYFUNCTION("""COMPUTED_VALUE"""),0.0)</f>
        <v>0</v>
      </c>
      <c r="H53" s="49"/>
      <c r="I53" s="49"/>
      <c r="J53" s="49"/>
      <c r="K53" s="49"/>
      <c r="L53" s="49"/>
      <c r="M53" s="49"/>
      <c r="N53" s="49"/>
      <c r="O53" s="49"/>
      <c r="P53" s="49"/>
      <c r="Q53" s="49"/>
      <c r="R53" s="49"/>
      <c r="S53" s="49"/>
      <c r="T53" s="49"/>
      <c r="U53" s="49"/>
      <c r="V53" s="49"/>
      <c r="W53" s="49"/>
      <c r="X53" s="49"/>
      <c r="Y53" s="49"/>
      <c r="Z53" s="49"/>
    </row>
    <row r="54">
      <c r="A54" s="49" t="str">
        <f>IFERROR(__xludf.DUMMYFUNCTION("""COMPUTED_VALUE"""),"Chestplate of Foul Night")</f>
        <v>Chestplate of Foul Night</v>
      </c>
      <c r="B54" s="49"/>
      <c r="C54" s="49"/>
      <c r="D54" s="49" t="str">
        <f>IFERROR(__xludf.DUMMYFUNCTION("""COMPUTED_VALUE"""),"Torso")</f>
        <v>Torso</v>
      </c>
      <c r="E54" s="49">
        <f>IFERROR(__xludf.DUMMYFUNCTION("""COMPUTED_VALUE"""),200.0)</f>
        <v>200</v>
      </c>
      <c r="F54" s="49" t="str">
        <f>IFERROR(__xludf.DUMMYFUNCTION("""COMPUTED_VALUE"""),"DEF: +5000, Nature DEF: +5000 (Foul Night Set) ++X2 Nature and Poison damage, ++Poison Immunity.")</f>
        <v>DEF: +5000, Nature DEF: +5000 (Foul Night Set) ++X2 Nature and Poison damage, ++Poison Immunity.</v>
      </c>
      <c r="G54" s="49">
        <f>IFERROR(__xludf.DUMMYFUNCTION("""COMPUTED_VALUE"""),1900000.0)</f>
        <v>1900000</v>
      </c>
      <c r="H54" s="49"/>
      <c r="I54" s="49"/>
      <c r="J54" s="49"/>
      <c r="K54" s="49"/>
      <c r="L54" s="49"/>
      <c r="M54" s="49"/>
      <c r="N54" s="49"/>
      <c r="O54" s="49"/>
      <c r="P54" s="49"/>
      <c r="Q54" s="49"/>
      <c r="R54" s="49"/>
      <c r="S54" s="49"/>
      <c r="T54" s="49"/>
      <c r="U54" s="49"/>
      <c r="V54" s="49"/>
      <c r="W54" s="49"/>
      <c r="X54" s="49"/>
      <c r="Y54" s="49"/>
      <c r="Z54" s="49"/>
    </row>
    <row r="55">
      <c r="A55" s="49" t="str">
        <f>IFERROR(__xludf.DUMMYFUNCTION("""COMPUTED_VALUE"""),"Chestplate of Waking Waters")</f>
        <v>Chestplate of Waking Waters</v>
      </c>
      <c r="B55" s="49"/>
      <c r="C55" s="49"/>
      <c r="D55" s="49" t="str">
        <f>IFERROR(__xludf.DUMMYFUNCTION("""COMPUTED_VALUE"""),"Torso")</f>
        <v>Torso</v>
      </c>
      <c r="E55" s="49">
        <f>IFERROR(__xludf.DUMMYFUNCTION("""COMPUTED_VALUE"""),400.0)</f>
        <v>400</v>
      </c>
      <c r="F55" s="49" t="str">
        <f>IFERROR(__xludf.DUMMYFUNCTION("""COMPUTED_VALUE"""),"DEF: +10000, Water DEF: +10000 ++X4 additional water damage for self.")</f>
        <v>DEF: +10000, Water DEF: +10000 ++X4 additional water damage for self.</v>
      </c>
      <c r="G55" s="49">
        <f>IFERROR(__xludf.DUMMYFUNCTION("""COMPUTED_VALUE"""),7800000.0)</f>
        <v>7800000</v>
      </c>
      <c r="H55" s="49"/>
      <c r="I55" s="49"/>
      <c r="J55" s="49"/>
      <c r="K55" s="49"/>
      <c r="L55" s="49"/>
      <c r="M55" s="49"/>
      <c r="N55" s="49"/>
      <c r="O55" s="49"/>
      <c r="P55" s="49"/>
      <c r="Q55" s="49"/>
      <c r="R55" s="49"/>
      <c r="S55" s="49"/>
      <c r="T55" s="49"/>
      <c r="U55" s="49"/>
      <c r="V55" s="49"/>
      <c r="W55" s="49"/>
      <c r="X55" s="49"/>
      <c r="Y55" s="49"/>
      <c r="Z55" s="49"/>
    </row>
    <row r="56">
      <c r="A56" s="49" t="str">
        <f>IFERROR(__xludf.DUMMYFUNCTION("""COMPUTED_VALUE"""),"Cloth Cap")</f>
        <v>Cloth Cap</v>
      </c>
      <c r="B56" s="49"/>
      <c r="C56" s="49"/>
      <c r="D56" s="49" t="str">
        <f>IFERROR(__xludf.DUMMYFUNCTION("""COMPUTED_VALUE"""),"Head")</f>
        <v>Head</v>
      </c>
      <c r="E56" s="49">
        <f>IFERROR(__xludf.DUMMYFUNCTION("""COMPUTED_VALUE"""),50.0)</f>
        <v>50</v>
      </c>
      <c r="F56" s="49" t="str">
        <f>IFERROR(__xludf.DUMMYFUNCTION("""COMPUTED_VALUE"""),"DEF: +2500")</f>
        <v>DEF: +2500</v>
      </c>
      <c r="G56" s="49">
        <f>IFERROR(__xludf.DUMMYFUNCTION("""COMPUTED_VALUE"""),100000.0)</f>
        <v>100000</v>
      </c>
      <c r="H56" s="49"/>
      <c r="I56" s="49"/>
      <c r="J56" s="49"/>
      <c r="K56" s="49"/>
      <c r="L56" s="49"/>
      <c r="M56" s="49"/>
      <c r="N56" s="49"/>
      <c r="O56" s="49"/>
      <c r="P56" s="49"/>
      <c r="Q56" s="49"/>
      <c r="R56" s="49"/>
      <c r="S56" s="49"/>
      <c r="T56" s="49"/>
      <c r="U56" s="49"/>
      <c r="V56" s="49"/>
      <c r="W56" s="49"/>
      <c r="X56" s="49"/>
      <c r="Y56" s="49"/>
      <c r="Z56" s="49"/>
    </row>
    <row r="57">
      <c r="A57" s="49" t="str">
        <f>IFERROR(__xludf.DUMMYFUNCTION("""COMPUTED_VALUE"""),"Colossus Bone Sword")</f>
        <v>Colossus Bone Sword</v>
      </c>
      <c r="B57" s="49" t="str">
        <f>IFERROR(__xludf.DUMMYFUNCTION("""COMPUTED_VALUE"""),"Mob Exclusive")</f>
        <v>Mob Exclusive</v>
      </c>
      <c r="C57" s="49" t="str">
        <f>IFERROR(__xludf.DUMMYFUNCTION("""COMPUTED_VALUE"""),"Sword")</f>
        <v>Sword</v>
      </c>
      <c r="D57" s="49" t="str">
        <f>IFERROR(__xludf.DUMMYFUNCTION("""COMPUTED_VALUE"""),"Hand")</f>
        <v>Hand</v>
      </c>
      <c r="E57" s="49">
        <f>IFERROR(__xludf.DUMMYFUNCTION("""COMPUTED_VALUE"""),1500.0)</f>
        <v>1500</v>
      </c>
      <c r="F57" s="49" t="str">
        <f>IFERROR(__xludf.DUMMYFUNCTION("""COMPUTED_VALUE"""),"DMG: +25000, Earth DMG: +25000, Dark DMG: +25000 ++X2 additional damage for the user.")</f>
        <v>DMG: +25000, Earth DMG: +25000, Dark DMG: +25000 ++X2 additional damage for the user.</v>
      </c>
      <c r="G57" s="49">
        <f>IFERROR(__xludf.DUMMYFUNCTION("""COMPUTED_VALUE"""),1.1175E8)</f>
        <v>111750000</v>
      </c>
      <c r="H57" s="49"/>
      <c r="I57" s="49"/>
      <c r="J57" s="49"/>
      <c r="K57" s="49"/>
      <c r="L57" s="49"/>
      <c r="M57" s="49"/>
      <c r="N57" s="49"/>
      <c r="O57" s="49"/>
      <c r="P57" s="49"/>
      <c r="Q57" s="49"/>
      <c r="R57" s="49"/>
      <c r="S57" s="49"/>
      <c r="T57" s="49"/>
      <c r="U57" s="49"/>
      <c r="V57" s="49"/>
      <c r="W57" s="49"/>
      <c r="X57" s="49"/>
      <c r="Y57" s="49"/>
      <c r="Z57" s="49"/>
    </row>
    <row r="58">
      <c r="A58" s="49" t="str">
        <f>IFERROR(__xludf.DUMMYFUNCTION("""COMPUTED_VALUE"""),"Coral Hat")</f>
        <v>Coral Hat</v>
      </c>
      <c r="B58" s="49"/>
      <c r="C58" s="49"/>
      <c r="D58" s="49" t="str">
        <f>IFERROR(__xludf.DUMMYFUNCTION("""COMPUTED_VALUE"""),"Head")</f>
        <v>Head</v>
      </c>
      <c r="E58" s="49">
        <f>IFERROR(__xludf.DUMMYFUNCTION("""COMPUTED_VALUE"""),20.0)</f>
        <v>20</v>
      </c>
      <c r="F58" s="49" t="str">
        <f>IFERROR(__xludf.DUMMYFUNCTION("""COMPUTED_VALUE"""),"DEF: +800 ++Immunity to water damage.")</f>
        <v>DEF: +800 ++Immunity to water damage.</v>
      </c>
      <c r="G58" s="49">
        <f>IFERROR(__xludf.DUMMYFUNCTION("""COMPUTED_VALUE"""),1000.0)</f>
        <v>1000</v>
      </c>
      <c r="H58" s="49"/>
      <c r="I58" s="49"/>
      <c r="J58" s="49"/>
      <c r="K58" s="49"/>
      <c r="L58" s="49"/>
      <c r="M58" s="49"/>
      <c r="N58" s="49"/>
      <c r="O58" s="49"/>
      <c r="P58" s="49"/>
      <c r="Q58" s="49"/>
      <c r="R58" s="49"/>
      <c r="S58" s="49"/>
      <c r="T58" s="49"/>
      <c r="U58" s="49"/>
      <c r="V58" s="49"/>
      <c r="W58" s="49"/>
      <c r="X58" s="49"/>
      <c r="Y58" s="49"/>
      <c r="Z58" s="49"/>
    </row>
    <row r="59">
      <c r="A59" s="49" t="str">
        <f>IFERROR(__xludf.DUMMYFUNCTION("""COMPUTED_VALUE"""),"Critical Vanish Armor")</f>
        <v>Critical Vanish Armor</v>
      </c>
      <c r="B59" s="49"/>
      <c r="C59" s="49"/>
      <c r="D59" s="49" t="str">
        <f>IFERROR(__xludf.DUMMYFUNCTION("""COMPUTED_VALUE"""),"Torso")</f>
        <v>Torso</v>
      </c>
      <c r="E59" s="49">
        <f>IFERROR(__xludf.DUMMYFUNCTION("""COMPUTED_VALUE"""),10.0)</f>
        <v>10</v>
      </c>
      <c r="F59" s="49" t="str">
        <f>IFERROR(__xludf.DUMMYFUNCTION("""COMPUTED_VALUE"""),"DEF: +500 ++will negate a critical hit to the wearer")</f>
        <v>DEF: +500 ++will negate a critical hit to the wearer</v>
      </c>
      <c r="G59" s="49">
        <f>IFERROR(__xludf.DUMMYFUNCTION("""COMPUTED_VALUE"""),1000.0)</f>
        <v>1000</v>
      </c>
      <c r="H59" s="49"/>
      <c r="I59" s="49"/>
      <c r="J59" s="49"/>
      <c r="K59" s="49"/>
      <c r="L59" s="49"/>
      <c r="M59" s="49"/>
      <c r="N59" s="49"/>
      <c r="O59" s="49"/>
      <c r="P59" s="49"/>
      <c r="Q59" s="49"/>
      <c r="R59" s="49"/>
      <c r="S59" s="49"/>
      <c r="T59" s="49"/>
      <c r="U59" s="49"/>
      <c r="V59" s="49"/>
      <c r="W59" s="49"/>
      <c r="X59" s="49"/>
      <c r="Y59" s="49"/>
      <c r="Z59" s="49"/>
    </row>
    <row r="60">
      <c r="A60" s="49" t="str">
        <f>IFERROR(__xludf.DUMMYFUNCTION("""COMPUTED_VALUE"""),"Crow Staff")</f>
        <v>Crow Staff</v>
      </c>
      <c r="B60" s="49"/>
      <c r="C60" s="49" t="str">
        <f>IFERROR(__xludf.DUMMYFUNCTION("""COMPUTED_VALUE"""),"Staff")</f>
        <v>Staff</v>
      </c>
      <c r="D60" s="49" t="str">
        <f>IFERROR(__xludf.DUMMYFUNCTION("""COMPUTED_VALUE"""),"Hand")</f>
        <v>Hand</v>
      </c>
      <c r="E60" s="49">
        <f>IFERROR(__xludf.DUMMYFUNCTION("""COMPUTED_VALUE"""),400.0)</f>
        <v>400</v>
      </c>
      <c r="F60" s="49" t="str">
        <f>IFERROR(__xludf.DUMMYFUNCTION("""COMPUTED_VALUE"""),"DMG: +10000, Dark DMG: +10000 ++Swarm: inflicts 10000 bleed to all enemies. +- 300SP")</f>
        <v>DMG: +10000, Dark DMG: +10000 ++Swarm: inflicts 10000 bleed to all enemies. +- 300SP</v>
      </c>
      <c r="G60" s="49">
        <f>IFERROR(__xludf.DUMMYFUNCTION("""COMPUTED_VALUE"""),7800000.0)</f>
        <v>7800000</v>
      </c>
      <c r="H60" s="49"/>
      <c r="I60" s="49"/>
      <c r="J60" s="49"/>
      <c r="K60" s="49"/>
      <c r="L60" s="49"/>
      <c r="M60" s="49"/>
      <c r="N60" s="49"/>
      <c r="O60" s="49"/>
      <c r="P60" s="49"/>
      <c r="Q60" s="49"/>
      <c r="R60" s="49"/>
      <c r="S60" s="49"/>
      <c r="T60" s="49"/>
      <c r="U60" s="49"/>
      <c r="V60" s="49"/>
      <c r="W60" s="49"/>
      <c r="X60" s="49"/>
      <c r="Y60" s="49"/>
      <c r="Z60" s="49"/>
    </row>
    <row r="61">
      <c r="A61" s="49" t="str">
        <f>IFERROR(__xludf.DUMMYFUNCTION("""COMPUTED_VALUE"""),"Crown of Control")</f>
        <v>Crown of Control</v>
      </c>
      <c r="B61" s="49"/>
      <c r="C61" s="49"/>
      <c r="D61" s="49" t="str">
        <f>IFERROR(__xludf.DUMMYFUNCTION("""COMPUTED_VALUE"""),"Head")</f>
        <v>Head</v>
      </c>
      <c r="E61" s="49">
        <f>IFERROR(__xludf.DUMMYFUNCTION("""COMPUTED_VALUE"""),300.0)</f>
        <v>300</v>
      </c>
      <c r="F61" s="49"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49">
        <f>IFERROR(__xludf.DUMMYFUNCTION("""COMPUTED_VALUE"""),4350000.0)</f>
        <v>4350000</v>
      </c>
      <c r="H61" s="49"/>
      <c r="I61" s="49"/>
      <c r="J61" s="49"/>
      <c r="K61" s="49"/>
      <c r="L61" s="49"/>
      <c r="M61" s="49"/>
      <c r="N61" s="49"/>
      <c r="O61" s="49"/>
      <c r="P61" s="49"/>
      <c r="Q61" s="49"/>
      <c r="R61" s="49"/>
      <c r="S61" s="49"/>
      <c r="T61" s="49"/>
      <c r="U61" s="49"/>
      <c r="V61" s="49"/>
      <c r="W61" s="49"/>
      <c r="X61" s="49"/>
      <c r="Y61" s="49"/>
      <c r="Z61" s="49"/>
    </row>
    <row r="62">
      <c r="A62" s="49" t="str">
        <f>IFERROR(__xludf.DUMMYFUNCTION("""COMPUTED_VALUE"""),"Crown of Ice Spears")</f>
        <v>Crown of Ice Spears</v>
      </c>
      <c r="B62" s="49"/>
      <c r="C62" s="49"/>
      <c r="D62" s="49" t="str">
        <f>IFERROR(__xludf.DUMMYFUNCTION("""COMPUTED_VALUE"""),"Head")</f>
        <v>Head</v>
      </c>
      <c r="E62" s="49">
        <f>IFERROR(__xludf.DUMMYFUNCTION("""COMPUTED_VALUE"""),200.0)</f>
        <v>200</v>
      </c>
      <c r="F62" s="49"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49">
        <f>IFERROR(__xludf.DUMMYFUNCTION("""COMPUTED_VALUE"""),1900000.0)</f>
        <v>1900000</v>
      </c>
      <c r="H62" s="49"/>
      <c r="I62" s="49"/>
      <c r="J62" s="49"/>
      <c r="K62" s="49"/>
      <c r="L62" s="49"/>
      <c r="M62" s="49"/>
      <c r="N62" s="49"/>
      <c r="O62" s="49"/>
      <c r="P62" s="49"/>
      <c r="Q62" s="49"/>
      <c r="R62" s="49"/>
      <c r="S62" s="49"/>
      <c r="T62" s="49"/>
      <c r="U62" s="49"/>
      <c r="V62" s="49"/>
      <c r="W62" s="49"/>
      <c r="X62" s="49"/>
      <c r="Y62" s="49"/>
      <c r="Z62" s="49"/>
    </row>
    <row r="63">
      <c r="A63" s="49" t="str">
        <f>IFERROR(__xludf.DUMMYFUNCTION("""COMPUTED_VALUE"""),"Crown of the Forgotten")</f>
        <v>Crown of the Forgotten</v>
      </c>
      <c r="B63" s="49"/>
      <c r="C63" s="49"/>
      <c r="D63" s="49" t="str">
        <f>IFERROR(__xludf.DUMMYFUNCTION("""COMPUTED_VALUE"""),"Head")</f>
        <v>Head</v>
      </c>
      <c r="E63" s="49">
        <f>IFERROR(__xludf.DUMMYFUNCTION("""COMPUTED_VALUE"""),20.0)</f>
        <v>20</v>
      </c>
      <c r="F63" s="49"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49">
        <f>IFERROR(__xludf.DUMMYFUNCTION("""COMPUTED_VALUE"""),10000.0)</f>
        <v>10000</v>
      </c>
      <c r="H63" s="49"/>
      <c r="I63" s="49"/>
      <c r="J63" s="49"/>
      <c r="K63" s="49"/>
      <c r="L63" s="49"/>
      <c r="M63" s="49"/>
      <c r="N63" s="49"/>
      <c r="O63" s="49"/>
      <c r="P63" s="49"/>
      <c r="Q63" s="49"/>
      <c r="R63" s="49"/>
      <c r="S63" s="49"/>
      <c r="T63" s="49"/>
      <c r="U63" s="49"/>
      <c r="V63" s="49"/>
      <c r="W63" s="49"/>
      <c r="X63" s="49"/>
      <c r="Y63" s="49"/>
      <c r="Z63" s="49"/>
    </row>
    <row r="64">
      <c r="A64" s="49" t="str">
        <f>IFERROR(__xludf.DUMMYFUNCTION("""COMPUTED_VALUE"""),"Crown Of The Sea Serpent")</f>
        <v>Crown Of The Sea Serpent</v>
      </c>
      <c r="B64" s="49"/>
      <c r="C64" s="49"/>
      <c r="D64" s="49" t="str">
        <f>IFERROR(__xludf.DUMMYFUNCTION("""COMPUTED_VALUE"""),"Head")</f>
        <v>Head</v>
      </c>
      <c r="E64" s="49">
        <f>IFERROR(__xludf.DUMMYFUNCTION("""COMPUTED_VALUE"""),1.0)</f>
        <v>1</v>
      </c>
      <c r="F64" s="49" t="str">
        <f>IFERROR(__xludf.DUMMYFUNCTION("""COMPUTED_VALUE""")," ++X4 additional water damage for the user, ++Water spells cost half sp, +-Cannot be duplicated.")</f>
        <v> ++X4 additional water damage for the user, ++Water spells cost half sp, +-Cannot be duplicated.</v>
      </c>
      <c r="G64" s="49">
        <f>IFERROR(__xludf.DUMMYFUNCTION("""COMPUTED_VALUE"""),0.0)</f>
        <v>0</v>
      </c>
      <c r="H64" s="49"/>
      <c r="I64" s="49"/>
      <c r="J64" s="49"/>
      <c r="K64" s="49"/>
      <c r="L64" s="49"/>
      <c r="M64" s="49"/>
      <c r="N64" s="49"/>
      <c r="O64" s="49"/>
      <c r="P64" s="49"/>
      <c r="Q64" s="49"/>
      <c r="R64" s="49"/>
      <c r="S64" s="49"/>
      <c r="T64" s="49"/>
      <c r="U64" s="49"/>
      <c r="V64" s="49"/>
      <c r="W64" s="49"/>
      <c r="X64" s="49"/>
      <c r="Y64" s="49"/>
      <c r="Z64" s="49"/>
    </row>
    <row r="65">
      <c r="A65" s="49" t="str">
        <f>IFERROR(__xludf.DUMMYFUNCTION("""COMPUTED_VALUE"""),"Crown Of Tritonoch")</f>
        <v>Crown Of Tritonoch</v>
      </c>
      <c r="B65" s="49"/>
      <c r="C65" s="49"/>
      <c r="D65" s="49" t="str">
        <f>IFERROR(__xludf.DUMMYFUNCTION("""COMPUTED_VALUE"""),"Head")</f>
        <v>Head</v>
      </c>
      <c r="E65" s="49">
        <f>IFERROR(__xludf.DUMMYFUNCTION("""COMPUTED_VALUE"""),400.0)</f>
        <v>400</v>
      </c>
      <c r="F65" s="49" t="str">
        <f>IFERROR(__xludf.DUMMYFUNCTION("""COMPUTED_VALUE"""),"DEF: +20000 ++Waves of Entitlement - x5 additional Water damage")</f>
        <v>DEF: +20000 ++Waves of Entitlement - x5 additional Water damage</v>
      </c>
      <c r="G65" s="49">
        <f>IFERROR(__xludf.DUMMYFUNCTION("""COMPUTED_VALUE"""),7800000.0)</f>
        <v>7800000</v>
      </c>
      <c r="H65" s="49"/>
      <c r="I65" s="49"/>
      <c r="J65" s="49"/>
      <c r="K65" s="49"/>
      <c r="L65" s="49"/>
      <c r="M65" s="49"/>
      <c r="N65" s="49"/>
      <c r="O65" s="49"/>
      <c r="P65" s="49"/>
      <c r="Q65" s="49"/>
      <c r="R65" s="49"/>
      <c r="S65" s="49"/>
      <c r="T65" s="49"/>
      <c r="U65" s="49"/>
      <c r="V65" s="49"/>
      <c r="W65" s="49"/>
      <c r="X65" s="49"/>
      <c r="Y65" s="49"/>
      <c r="Z65" s="49"/>
    </row>
    <row r="66">
      <c r="A66" s="49" t="str">
        <f>IFERROR(__xludf.DUMMYFUNCTION("""COMPUTED_VALUE"""),"Cryogenic Claymore")</f>
        <v>Cryogenic Claymore</v>
      </c>
      <c r="B66" s="49" t="str">
        <f>IFERROR(__xludf.DUMMYFUNCTION("""COMPUTED_VALUE"""),"(The Frozen Blade Master Set)")</f>
        <v>(The Frozen Blade Master Set)</v>
      </c>
      <c r="C66" s="49" t="str">
        <f>IFERROR(__xludf.DUMMYFUNCTION("""COMPUTED_VALUE"""),"Sword")</f>
        <v>Sword</v>
      </c>
      <c r="D66" s="49" t="str">
        <f>IFERROR(__xludf.DUMMYFUNCTION("""COMPUTED_VALUE"""),"Hand")</f>
        <v>Hand</v>
      </c>
      <c r="E66" s="49">
        <f>IFERROR(__xludf.DUMMYFUNCTION("""COMPUTED_VALUE"""),400.0)</f>
        <v>400</v>
      </c>
      <c r="F66" s="49" t="str">
        <f>IFERROR(__xludf.DUMMYFUNCTION("""COMPUTED_VALUE"""),"DMG: +10000, Water DMG: +10000 ++10% chance to freeze all enemies.")</f>
        <v>DMG: +10000, Water DMG: +10000 ++10% chance to freeze all enemies.</v>
      </c>
      <c r="G66" s="49">
        <f>IFERROR(__xludf.DUMMYFUNCTION("""COMPUTED_VALUE"""),7800000.0)</f>
        <v>7800000</v>
      </c>
      <c r="H66" s="49"/>
      <c r="I66" s="49"/>
      <c r="J66" s="49"/>
      <c r="K66" s="49"/>
      <c r="L66" s="49"/>
      <c r="M66" s="49"/>
      <c r="N66" s="49"/>
      <c r="O66" s="49"/>
      <c r="P66" s="49"/>
      <c r="Q66" s="49"/>
      <c r="R66" s="49"/>
      <c r="S66" s="49"/>
      <c r="T66" s="49"/>
      <c r="U66" s="49"/>
      <c r="V66" s="49"/>
      <c r="W66" s="49"/>
      <c r="X66" s="49"/>
      <c r="Y66" s="49"/>
      <c r="Z66" s="49"/>
    </row>
    <row r="67">
      <c r="A67" s="49" t="str">
        <f>IFERROR(__xludf.DUMMYFUNCTION("""COMPUTED_VALUE"""),"Crystal Forged Helmet")</f>
        <v>Crystal Forged Helmet</v>
      </c>
      <c r="B67" s="49"/>
      <c r="C67" s="49"/>
      <c r="D67" s="49" t="str">
        <f>IFERROR(__xludf.DUMMYFUNCTION("""COMPUTED_VALUE"""),"Head")</f>
        <v>Head</v>
      </c>
      <c r="E67" s="49">
        <f>IFERROR(__xludf.DUMMYFUNCTION("""COMPUTED_VALUE"""),200.0)</f>
        <v>200</v>
      </c>
      <c r="F67" s="49" t="str">
        <f>IFERROR(__xludf.DUMMYFUNCTION("""COMPUTED_VALUE"""),"DEF: +10000 ++When equipped, Gem and Crystal related weapons deal an additional X2 damage for the user.")</f>
        <v>DEF: +10000 ++When equipped, Gem and Crystal related weapons deal an additional X2 damage for the user.</v>
      </c>
      <c r="G67" s="49">
        <f>IFERROR(__xludf.DUMMYFUNCTION("""COMPUTED_VALUE"""),1900000.0)</f>
        <v>1900000</v>
      </c>
      <c r="H67" s="49"/>
      <c r="I67" s="49"/>
      <c r="J67" s="49"/>
      <c r="K67" s="49"/>
      <c r="L67" s="49"/>
      <c r="M67" s="49"/>
      <c r="N67" s="49"/>
      <c r="O67" s="49"/>
      <c r="P67" s="49"/>
      <c r="Q67" s="49"/>
      <c r="R67" s="49"/>
      <c r="S67" s="49"/>
      <c r="T67" s="49"/>
      <c r="U67" s="49"/>
      <c r="V67" s="49"/>
      <c r="W67" s="49"/>
      <c r="X67" s="49"/>
      <c r="Y67" s="49"/>
      <c r="Z67" s="49"/>
    </row>
    <row r="68">
      <c r="A68" s="49" t="str">
        <f>IFERROR(__xludf.DUMMYFUNCTION("""COMPUTED_VALUE"""),"Crystal Forged Axe")</f>
        <v>Crystal Forged Axe</v>
      </c>
      <c r="B68" s="49"/>
      <c r="C68" s="49"/>
      <c r="D68" s="49" t="str">
        <f>IFERROR(__xludf.DUMMYFUNCTION("""COMPUTED_VALUE"""),"Hand")</f>
        <v>Hand</v>
      </c>
      <c r="E68" s="49">
        <f>IFERROR(__xludf.DUMMYFUNCTION("""COMPUTED_VALUE"""),400.0)</f>
        <v>400</v>
      </c>
      <c r="F68" s="49"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49">
        <f>IFERROR(__xludf.DUMMYFUNCTION("""COMPUTED_VALUE"""),7800000.0)</f>
        <v>7800000</v>
      </c>
      <c r="H68" s="49"/>
      <c r="I68" s="49"/>
      <c r="J68" s="49"/>
      <c r="K68" s="49"/>
      <c r="L68" s="49"/>
      <c r="M68" s="49"/>
      <c r="N68" s="49"/>
      <c r="O68" s="49"/>
      <c r="P68" s="49"/>
      <c r="Q68" s="49"/>
      <c r="R68" s="49"/>
      <c r="S68" s="49"/>
      <c r="T68" s="49"/>
      <c r="U68" s="49"/>
      <c r="V68" s="49"/>
      <c r="W68" s="49"/>
      <c r="X68" s="49"/>
      <c r="Y68" s="49"/>
      <c r="Z68" s="49"/>
    </row>
    <row r="69">
      <c r="A69" s="49" t="str">
        <f>IFERROR(__xludf.DUMMYFUNCTION("""COMPUTED_VALUE"""),"Crystal Forged Chestplate")</f>
        <v>Crystal Forged Chestplate</v>
      </c>
      <c r="B69" s="49"/>
      <c r="C69" s="49"/>
      <c r="D69" s="49" t="str">
        <f>IFERROR(__xludf.DUMMYFUNCTION("""COMPUTED_VALUE"""),"Torso")</f>
        <v>Torso</v>
      </c>
      <c r="E69" s="49">
        <f>IFERROR(__xludf.DUMMYFUNCTION("""COMPUTED_VALUE"""),200.0)</f>
        <v>200</v>
      </c>
      <c r="F69" s="49"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49">
        <f>IFERROR(__xludf.DUMMYFUNCTION("""COMPUTED_VALUE"""),1900000.0)</f>
        <v>1900000</v>
      </c>
      <c r="H69" s="49"/>
      <c r="I69" s="49"/>
      <c r="J69" s="49"/>
      <c r="K69" s="49"/>
      <c r="L69" s="49"/>
      <c r="M69" s="49"/>
      <c r="N69" s="49"/>
      <c r="O69" s="49"/>
      <c r="P69" s="49"/>
      <c r="Q69" s="49"/>
      <c r="R69" s="49"/>
      <c r="S69" s="49"/>
      <c r="T69" s="49"/>
      <c r="U69" s="49"/>
      <c r="V69" s="49"/>
      <c r="W69" s="49"/>
      <c r="X69" s="49"/>
      <c r="Y69" s="49"/>
      <c r="Z69" s="49"/>
    </row>
    <row r="70">
      <c r="A70" s="49" t="str">
        <f>IFERROR(__xludf.DUMMYFUNCTION("""COMPUTED_VALUE"""),"Crystal Healing Amulet")</f>
        <v>Crystal Healing Amulet</v>
      </c>
      <c r="B70" s="49"/>
      <c r="C70" s="49"/>
      <c r="D70" s="49" t="str">
        <f>IFERROR(__xludf.DUMMYFUNCTION("""COMPUTED_VALUE"""),"Neck")</f>
        <v>Neck</v>
      </c>
      <c r="E70" s="49">
        <f>IFERROR(__xludf.DUMMYFUNCTION("""COMPUTED_VALUE"""),1.0)</f>
        <v>1</v>
      </c>
      <c r="F70" s="49"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49">
        <f>IFERROR(__xludf.DUMMYFUNCTION("""COMPUTED_VALUE"""),0.0)</f>
        <v>0</v>
      </c>
      <c r="H70" s="49"/>
      <c r="I70" s="49"/>
      <c r="J70" s="49"/>
      <c r="K70" s="49"/>
      <c r="L70" s="49"/>
      <c r="M70" s="49"/>
      <c r="N70" s="49"/>
      <c r="O70" s="49"/>
      <c r="P70" s="49"/>
      <c r="Q70" s="49"/>
      <c r="R70" s="49"/>
      <c r="S70" s="49"/>
      <c r="T70" s="49"/>
      <c r="U70" s="49"/>
      <c r="V70" s="49"/>
      <c r="W70" s="49"/>
      <c r="X70" s="49"/>
      <c r="Y70" s="49"/>
      <c r="Z70" s="49"/>
    </row>
    <row r="71">
      <c r="A71" s="49" t="str">
        <f>IFERROR(__xludf.DUMMYFUNCTION("""COMPUTED_VALUE"""),"Crystal Longsword")</f>
        <v>Crystal Longsword</v>
      </c>
      <c r="B71" s="49"/>
      <c r="C71" s="49" t="str">
        <f>IFERROR(__xludf.DUMMYFUNCTION("""COMPUTED_VALUE"""),"Sword")</f>
        <v>Sword</v>
      </c>
      <c r="D71" s="49" t="str">
        <f>IFERROR(__xludf.DUMMYFUNCTION("""COMPUTED_VALUE"""),"Hand")</f>
        <v>Hand</v>
      </c>
      <c r="E71" s="49">
        <f>IFERROR(__xludf.DUMMYFUNCTION("""COMPUTED_VALUE"""),200.0)</f>
        <v>200</v>
      </c>
      <c r="F71" s="49"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49">
        <f>IFERROR(__xludf.DUMMYFUNCTION("""COMPUTED_VALUE"""),1900000.0)</f>
        <v>1900000</v>
      </c>
      <c r="H71" s="49"/>
      <c r="I71" s="49"/>
      <c r="J71" s="49"/>
      <c r="K71" s="49"/>
      <c r="L71" s="49"/>
      <c r="M71" s="49"/>
      <c r="N71" s="49"/>
      <c r="O71" s="49"/>
      <c r="P71" s="49"/>
      <c r="Q71" s="49"/>
      <c r="R71" s="49"/>
      <c r="S71" s="49"/>
      <c r="T71" s="49"/>
      <c r="U71" s="49"/>
      <c r="V71" s="49"/>
      <c r="W71" s="49"/>
      <c r="X71" s="49"/>
      <c r="Y71" s="49"/>
      <c r="Z71" s="49"/>
    </row>
    <row r="72">
      <c r="A72" s="49" t="str">
        <f>IFERROR(__xludf.DUMMYFUNCTION("""COMPUTED_VALUE"""),"Crystal Ring")</f>
        <v>Crystal Ring</v>
      </c>
      <c r="B72" s="49"/>
      <c r="C72" s="49"/>
      <c r="D72" s="49" t="str">
        <f>IFERROR(__xludf.DUMMYFUNCTION("""COMPUTED_VALUE"""),"Ring")</f>
        <v>Ring</v>
      </c>
      <c r="E72" s="49">
        <f>IFERROR(__xludf.DUMMYFUNCTION("""COMPUTED_VALUE"""),1.0)</f>
        <v>1</v>
      </c>
      <c r="F72" s="49" t="str">
        <f>IFERROR(__xludf.DUMMYFUNCTION("""COMPUTED_VALUE""")," ++When equipped, Gem and Crystal related weapons deal an additional X2 damage for the user.")</f>
        <v> ++When equipped, Gem and Crystal related weapons deal an additional X2 damage for the user.</v>
      </c>
      <c r="G72" s="49">
        <f>IFERROR(__xludf.DUMMYFUNCTION("""COMPUTED_VALUE"""),0.0)</f>
        <v>0</v>
      </c>
      <c r="H72" s="49"/>
      <c r="I72" s="49"/>
      <c r="J72" s="49"/>
      <c r="K72" s="49"/>
      <c r="L72" s="49"/>
      <c r="M72" s="49"/>
      <c r="N72" s="49"/>
      <c r="O72" s="49"/>
      <c r="P72" s="49"/>
      <c r="Q72" s="49"/>
      <c r="R72" s="49"/>
      <c r="S72" s="49"/>
      <c r="T72" s="49"/>
      <c r="U72" s="49"/>
      <c r="V72" s="49"/>
      <c r="W72" s="49"/>
      <c r="X72" s="49"/>
      <c r="Y72" s="49"/>
      <c r="Z72" s="49"/>
    </row>
    <row r="73">
      <c r="A73" s="49" t="str">
        <f>IFERROR(__xludf.DUMMYFUNCTION("""COMPUTED_VALUE"""),"Crystal Shield")</f>
        <v>Crystal Shield</v>
      </c>
      <c r="B73" s="49"/>
      <c r="C73" s="49" t="str">
        <f>IFERROR(__xludf.DUMMYFUNCTION("""COMPUTED_VALUE"""),"Buckler")</f>
        <v>Buckler</v>
      </c>
      <c r="D73" s="49" t="str">
        <f>IFERROR(__xludf.DUMMYFUNCTION("""COMPUTED_VALUE"""),"Hand")</f>
        <v>Hand</v>
      </c>
      <c r="E73" s="49">
        <f>IFERROR(__xludf.DUMMYFUNCTION("""COMPUTED_VALUE"""),200.0)</f>
        <v>200</v>
      </c>
      <c r="F73" s="49" t="str">
        <f>IFERROR(__xludf.DUMMYFUNCTION("""COMPUTED_VALUE"""),"DEF: +10000 ++Take half damage from Gem and Crystal related weapons.")</f>
        <v>DEF: +10000 ++Take half damage from Gem and Crystal related weapons.</v>
      </c>
      <c r="G73" s="49">
        <f>IFERROR(__xludf.DUMMYFUNCTION("""COMPUTED_VALUE"""),1900000.0)</f>
        <v>1900000</v>
      </c>
      <c r="H73" s="49"/>
      <c r="I73" s="49"/>
      <c r="J73" s="49"/>
      <c r="K73" s="49"/>
      <c r="L73" s="49"/>
      <c r="M73" s="49"/>
      <c r="N73" s="49"/>
      <c r="O73" s="49"/>
      <c r="P73" s="49"/>
      <c r="Q73" s="49"/>
      <c r="R73" s="49"/>
      <c r="S73" s="49"/>
      <c r="T73" s="49"/>
      <c r="U73" s="49"/>
      <c r="V73" s="49"/>
      <c r="W73" s="49"/>
      <c r="X73" s="49"/>
      <c r="Y73" s="49"/>
      <c r="Z73" s="49"/>
    </row>
    <row r="74">
      <c r="A74" s="49" t="str">
        <f>IFERROR(__xludf.DUMMYFUNCTION("""COMPUTED_VALUE"""),"Crystal Staff")</f>
        <v>Crystal Staff</v>
      </c>
      <c r="B74" s="49"/>
      <c r="C74" s="49" t="str">
        <f>IFERROR(__xludf.DUMMYFUNCTION("""COMPUTED_VALUE"""),"Staff")</f>
        <v>Staff</v>
      </c>
      <c r="D74" s="49" t="str">
        <f>IFERROR(__xludf.DUMMYFUNCTION("""COMPUTED_VALUE"""),"Hand")</f>
        <v>Hand</v>
      </c>
      <c r="E74" s="49">
        <f>IFERROR(__xludf.DUMMYFUNCTION("""COMPUTED_VALUE"""),1.0)</f>
        <v>1</v>
      </c>
      <c r="F74" s="49"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49">
        <f>IFERROR(__xludf.DUMMYFUNCTION("""COMPUTED_VALUE"""),0.0)</f>
        <v>0</v>
      </c>
      <c r="H74" s="49"/>
      <c r="I74" s="49"/>
      <c r="J74" s="49"/>
      <c r="K74" s="49"/>
      <c r="L74" s="49"/>
      <c r="M74" s="49"/>
      <c r="N74" s="49"/>
      <c r="O74" s="49"/>
      <c r="P74" s="49"/>
      <c r="Q74" s="49"/>
      <c r="R74" s="49"/>
      <c r="S74" s="49"/>
      <c r="T74" s="49"/>
      <c r="U74" s="49"/>
      <c r="V74" s="49"/>
      <c r="W74" s="49"/>
      <c r="X74" s="49"/>
      <c r="Y74" s="49"/>
      <c r="Z74" s="49"/>
    </row>
    <row r="75">
      <c r="A75" s="49" t="str">
        <f>IFERROR(__xludf.DUMMYFUNCTION("""COMPUTED_VALUE"""),"Crystal Sword")</f>
        <v>Crystal Sword</v>
      </c>
      <c r="B75" s="49"/>
      <c r="C75" s="49" t="str">
        <f>IFERROR(__xludf.DUMMYFUNCTION("""COMPUTED_VALUE"""),"Sword")</f>
        <v>Sword</v>
      </c>
      <c r="D75" s="49" t="str">
        <f>IFERROR(__xludf.DUMMYFUNCTION("""COMPUTED_VALUE"""),"Hand")</f>
        <v>Hand</v>
      </c>
      <c r="E75" s="49">
        <f>IFERROR(__xludf.DUMMYFUNCTION("""COMPUTED_VALUE"""),80.0)</f>
        <v>80</v>
      </c>
      <c r="F75" s="49"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49">
        <f>IFERROR(__xludf.DUMMYFUNCTION("""COMPUTED_VALUE"""),280000.0)</f>
        <v>280000</v>
      </c>
      <c r="H75" s="49"/>
      <c r="I75" s="49"/>
      <c r="J75" s="49"/>
      <c r="K75" s="49"/>
      <c r="L75" s="49"/>
      <c r="M75" s="49"/>
      <c r="N75" s="49"/>
      <c r="O75" s="49"/>
      <c r="P75" s="49"/>
      <c r="Q75" s="49"/>
      <c r="R75" s="49"/>
      <c r="S75" s="49"/>
      <c r="T75" s="49"/>
      <c r="U75" s="49"/>
      <c r="V75" s="49"/>
      <c r="W75" s="49"/>
      <c r="X75" s="49"/>
      <c r="Y75" s="49"/>
      <c r="Z75" s="49"/>
    </row>
    <row r="76">
      <c r="A76" s="49" t="str">
        <f>IFERROR(__xludf.DUMMYFUNCTION("""COMPUTED_VALUE"""),"Cursed Blade")</f>
        <v>Cursed Blade</v>
      </c>
      <c r="B76" s="49"/>
      <c r="C76" s="49" t="str">
        <f>IFERROR(__xludf.DUMMYFUNCTION("""COMPUTED_VALUE"""),"Sword")</f>
        <v>Sword</v>
      </c>
      <c r="D76" s="49" t="str">
        <f>IFERROR(__xludf.DUMMYFUNCTION("""COMPUTED_VALUE"""),"Hand")</f>
        <v>Hand</v>
      </c>
      <c r="E76" s="49">
        <f>IFERROR(__xludf.DUMMYFUNCTION("""COMPUTED_VALUE"""),620.0)</f>
        <v>620</v>
      </c>
      <c r="F76" s="49" t="str">
        <f>IFERROR(__xludf.DUMMYFUNCTION("""COMPUTED_VALUE"""),"DMG: +30000, Dark DMG: +1000 +- -5 evasion and mobility while equipped.")</f>
        <v>DMG: +30000, Dark DMG: +1000 +- -5 evasion and mobility while equipped.</v>
      </c>
      <c r="G76" s="49">
        <f>IFERROR(__xludf.DUMMYFUNCTION("""COMPUTED_VALUE"""),1.891E7)</f>
        <v>18910000</v>
      </c>
      <c r="H76" s="49"/>
      <c r="I76" s="49"/>
      <c r="J76" s="49"/>
      <c r="K76" s="49"/>
      <c r="L76" s="49"/>
      <c r="M76" s="49"/>
      <c r="N76" s="49"/>
      <c r="O76" s="49"/>
      <c r="P76" s="49"/>
      <c r="Q76" s="49"/>
      <c r="R76" s="49"/>
      <c r="S76" s="49"/>
      <c r="T76" s="49"/>
      <c r="U76" s="49"/>
      <c r="V76" s="49"/>
      <c r="W76" s="49"/>
      <c r="X76" s="49"/>
      <c r="Y76" s="49"/>
      <c r="Z76" s="49"/>
    </row>
    <row r="77">
      <c r="A77" s="49" t="str">
        <f>IFERROR(__xludf.DUMMYFUNCTION("""COMPUTED_VALUE"""),"Cursed Blade of The Void Realm")</f>
        <v>Cursed Blade of The Void Realm</v>
      </c>
      <c r="B77" s="49"/>
      <c r="C77" s="49" t="str">
        <f>IFERROR(__xludf.DUMMYFUNCTION("""COMPUTED_VALUE"""),"Sword")</f>
        <v>Sword</v>
      </c>
      <c r="D77" s="49" t="str">
        <f>IFERROR(__xludf.DUMMYFUNCTION("""COMPUTED_VALUE"""),"Hand")</f>
        <v>Hand</v>
      </c>
      <c r="E77" s="49">
        <f>IFERROR(__xludf.DUMMYFUNCTION("""COMPUTED_VALUE"""),1.0)</f>
        <v>1</v>
      </c>
      <c r="F77" s="49" t="str">
        <f>IFERROR(__xludf.DUMMYFUNCTION("""COMPUTED_VALUE""")," +-When equipped this item cannot be unequipped for 3 rounds, +-Depletes 1000 SP per round.")</f>
        <v> +-When equipped this item cannot be unequipped for 3 rounds, +-Depletes 1000 SP per round.</v>
      </c>
      <c r="G77" s="49">
        <f>IFERROR(__xludf.DUMMYFUNCTION("""COMPUTED_VALUE"""),0.0)</f>
        <v>0</v>
      </c>
      <c r="H77" s="49"/>
      <c r="I77" s="49"/>
      <c r="J77" s="49"/>
      <c r="K77" s="49"/>
      <c r="L77" s="49"/>
      <c r="M77" s="49"/>
      <c r="N77" s="49"/>
      <c r="O77" s="49"/>
      <c r="P77" s="49"/>
      <c r="Q77" s="49"/>
      <c r="R77" s="49"/>
      <c r="S77" s="49"/>
      <c r="T77" s="49"/>
      <c r="U77" s="49"/>
      <c r="V77" s="49"/>
      <c r="W77" s="49"/>
      <c r="X77" s="49"/>
      <c r="Y77" s="49"/>
      <c r="Z77" s="49"/>
    </row>
    <row r="78">
      <c r="A78" s="49" t="str">
        <f>IFERROR(__xludf.DUMMYFUNCTION("""COMPUTED_VALUE"""),"Dagger")</f>
        <v>Dagger</v>
      </c>
      <c r="B78" s="49" t="str">
        <f>IFERROR(__xludf.DUMMYFUNCTION("""COMPUTED_VALUE"""),"The first weapon ")</f>
        <v>The first weapon </v>
      </c>
      <c r="C78" s="49" t="str">
        <f>IFERROR(__xludf.DUMMYFUNCTION("""COMPUTED_VALUE"""),"Knife")</f>
        <v>Knife</v>
      </c>
      <c r="D78" s="49" t="str">
        <f>IFERROR(__xludf.DUMMYFUNCTION("""COMPUTED_VALUE"""),"Hand")</f>
        <v>Hand</v>
      </c>
      <c r="E78" s="49">
        <f>IFERROR(__xludf.DUMMYFUNCTION("""COMPUTED_VALUE"""),20.0)</f>
        <v>20</v>
      </c>
      <c r="F78" s="49" t="str">
        <f>IFERROR(__xludf.DUMMYFUNCTION("""COMPUTED_VALUE"""),"DMG: +1000")</f>
        <v>DMG: +1000</v>
      </c>
      <c r="G78" s="49">
        <f>IFERROR(__xludf.DUMMYFUNCTION("""COMPUTED_VALUE"""),10000.0)</f>
        <v>10000</v>
      </c>
      <c r="H78" s="49"/>
      <c r="I78" s="49"/>
      <c r="J78" s="49"/>
      <c r="K78" s="49"/>
      <c r="L78" s="49"/>
      <c r="M78" s="49"/>
      <c r="N78" s="49"/>
      <c r="O78" s="49"/>
      <c r="P78" s="49"/>
      <c r="Q78" s="49"/>
      <c r="R78" s="49"/>
      <c r="S78" s="49"/>
      <c r="T78" s="49"/>
      <c r="U78" s="49"/>
      <c r="V78" s="49"/>
      <c r="W78" s="49"/>
      <c r="X78" s="49"/>
      <c r="Y78" s="49"/>
      <c r="Z78" s="49"/>
    </row>
    <row r="79">
      <c r="A79" s="49" t="str">
        <f>IFERROR(__xludf.DUMMYFUNCTION("""COMPUTED_VALUE"""),"Dagger of Flowers")</f>
        <v>Dagger of Flowers</v>
      </c>
      <c r="B79" s="49" t="str">
        <f>IFERROR(__xludf.DUMMYFUNCTION("""COMPUTED_VALUE"""),"(Event Exclusive)")</f>
        <v>(Event Exclusive)</v>
      </c>
      <c r="C79" s="49" t="str">
        <f>IFERROR(__xludf.DUMMYFUNCTION("""COMPUTED_VALUE"""),"Knife")</f>
        <v>Knife</v>
      </c>
      <c r="D79" s="49" t="str">
        <f>IFERROR(__xludf.DUMMYFUNCTION("""COMPUTED_VALUE"""),"Hand")</f>
        <v>Hand</v>
      </c>
      <c r="E79" s="49">
        <f>IFERROR(__xludf.DUMMYFUNCTION("""COMPUTED_VALUE"""),90.0)</f>
        <v>90</v>
      </c>
      <c r="F79" s="49" t="str">
        <f>IFERROR(__xludf.DUMMYFUNCTION("""COMPUTED_VALUE"""),"DMG: +3000, Nature DMG: +1500")</f>
        <v>DMG: +3000, Nature DMG: +1500</v>
      </c>
      <c r="G79" s="49">
        <f>IFERROR(__xludf.DUMMYFUNCTION("""COMPUTED_VALUE"""),360000.0)</f>
        <v>360000</v>
      </c>
      <c r="H79" s="49"/>
      <c r="I79" s="49"/>
      <c r="J79" s="49"/>
      <c r="K79" s="49"/>
      <c r="L79" s="49"/>
      <c r="M79" s="49"/>
      <c r="N79" s="49"/>
      <c r="O79" s="49"/>
      <c r="P79" s="49"/>
      <c r="Q79" s="49"/>
      <c r="R79" s="49"/>
      <c r="S79" s="49"/>
      <c r="T79" s="49"/>
      <c r="U79" s="49"/>
      <c r="V79" s="49"/>
      <c r="W79" s="49"/>
      <c r="X79" s="49"/>
      <c r="Y79" s="49"/>
      <c r="Z79" s="49"/>
    </row>
    <row r="80">
      <c r="A80" s="49" t="str">
        <f>IFERROR(__xludf.DUMMYFUNCTION("""COMPUTED_VALUE"""),"Dagger of The Cultist")</f>
        <v>Dagger of The Cultist</v>
      </c>
      <c r="B80" s="49"/>
      <c r="C80" s="49" t="str">
        <f>IFERROR(__xludf.DUMMYFUNCTION("""COMPUTED_VALUE"""),"Knife")</f>
        <v>Knife</v>
      </c>
      <c r="D80" s="49" t="str">
        <f>IFERROR(__xludf.DUMMYFUNCTION("""COMPUTED_VALUE"""),"Hand")</f>
        <v>Hand</v>
      </c>
      <c r="E80" s="49">
        <f>IFERROR(__xludf.DUMMYFUNCTION("""COMPUTED_VALUE"""),120.0)</f>
        <v>120</v>
      </c>
      <c r="F80" s="49" t="str">
        <f>IFERROR(__xludf.DUMMYFUNCTION("""COMPUTED_VALUE"""),"DMG: +2000, Dark DMG: +2000, Chaos DMG: +2000 (Cultist Set) ++25% chance of instant death to the target.")</f>
        <v>DMG: +2000, Dark DMG: +2000, Chaos DMG: +2000 (Cultist Set) ++25% chance of instant death to the target.</v>
      </c>
      <c r="G80" s="49">
        <f>IFERROR(__xludf.DUMMYFUNCTION("""COMPUTED_VALUE"""),660000.0)</f>
        <v>660000</v>
      </c>
      <c r="H80" s="49"/>
      <c r="I80" s="49"/>
      <c r="J80" s="49"/>
      <c r="K80" s="49"/>
      <c r="L80" s="49"/>
      <c r="M80" s="49"/>
      <c r="N80" s="49"/>
      <c r="O80" s="49"/>
      <c r="P80" s="49"/>
      <c r="Q80" s="49"/>
      <c r="R80" s="49"/>
      <c r="S80" s="49"/>
      <c r="T80" s="49"/>
      <c r="U80" s="49"/>
      <c r="V80" s="49"/>
      <c r="W80" s="49"/>
      <c r="X80" s="49"/>
      <c r="Y80" s="49"/>
      <c r="Z80" s="49"/>
    </row>
    <row r="81">
      <c r="A81" s="49" t="str">
        <f>IFERROR(__xludf.DUMMYFUNCTION("""COMPUTED_VALUE"""),"Dark Ice Sword")</f>
        <v>Dark Ice Sword</v>
      </c>
      <c r="B81" s="49"/>
      <c r="C81" s="49" t="str">
        <f>IFERROR(__xludf.DUMMYFUNCTION("""COMPUTED_VALUE"""),"Sword")</f>
        <v>Sword</v>
      </c>
      <c r="D81" s="49" t="str">
        <f>IFERROR(__xludf.DUMMYFUNCTION("""COMPUTED_VALUE"""),"Hand")</f>
        <v>Hand</v>
      </c>
      <c r="E81" s="49">
        <f>IFERROR(__xludf.DUMMYFUNCTION("""COMPUTED_VALUE"""),20.0)</f>
        <v>20</v>
      </c>
      <c r="F81" s="49" t="str">
        <f>IFERROR(__xludf.DUMMYFUNCTION("""COMPUTED_VALUE"""),"DMG: +600 ++25% Chance to freeze target.")</f>
        <v>DMG: +600 ++25% Chance to freeze target.</v>
      </c>
      <c r="G81" s="49">
        <f>IFERROR(__xludf.DUMMYFUNCTION("""COMPUTED_VALUE"""),1000.0)</f>
        <v>1000</v>
      </c>
      <c r="H81" s="49"/>
      <c r="I81" s="49"/>
      <c r="J81" s="49"/>
      <c r="K81" s="49"/>
      <c r="L81" s="49"/>
      <c r="M81" s="49"/>
      <c r="N81" s="49"/>
      <c r="O81" s="49"/>
      <c r="P81" s="49"/>
      <c r="Q81" s="49"/>
      <c r="R81" s="49"/>
      <c r="S81" s="49"/>
      <c r="T81" s="49"/>
      <c r="U81" s="49"/>
      <c r="V81" s="49"/>
      <c r="W81" s="49"/>
      <c r="X81" s="49"/>
      <c r="Y81" s="49"/>
      <c r="Z81" s="49"/>
    </row>
    <row r="82">
      <c r="A82" s="49" t="str">
        <f>IFERROR(__xludf.DUMMYFUNCTION("""COMPUTED_VALUE"""),"Dark Knight Helm")</f>
        <v>Dark Knight Helm</v>
      </c>
      <c r="B82" s="49"/>
      <c r="C82" s="49"/>
      <c r="D82" s="49" t="str">
        <f>IFERROR(__xludf.DUMMYFUNCTION("""COMPUTED_VALUE"""),"Head")</f>
        <v>Head</v>
      </c>
      <c r="E82" s="49">
        <f>IFERROR(__xludf.DUMMYFUNCTION("""COMPUTED_VALUE"""),10.0)</f>
        <v>10</v>
      </c>
      <c r="F82" s="49" t="str">
        <f>IFERROR(__xludf.DUMMYFUNCTION("""COMPUTED_VALUE"""),"DEF: +500 ++Immune to dark damage")</f>
        <v>DEF: +500 ++Immune to dark damage</v>
      </c>
      <c r="G82" s="49">
        <f>IFERROR(__xludf.DUMMYFUNCTION("""COMPUTED_VALUE"""),1000.0)</f>
        <v>1000</v>
      </c>
      <c r="H82" s="49"/>
      <c r="I82" s="49"/>
      <c r="J82" s="49"/>
      <c r="K82" s="49"/>
      <c r="L82" s="49"/>
      <c r="M82" s="49"/>
      <c r="N82" s="49"/>
      <c r="O82" s="49"/>
      <c r="P82" s="49"/>
      <c r="Q82" s="49"/>
      <c r="R82" s="49"/>
      <c r="S82" s="49"/>
      <c r="T82" s="49"/>
      <c r="U82" s="49"/>
      <c r="V82" s="49"/>
      <c r="W82" s="49"/>
      <c r="X82" s="49"/>
      <c r="Y82" s="49"/>
      <c r="Z82" s="49"/>
    </row>
    <row r="83">
      <c r="A83" s="49" t="str">
        <f>IFERROR(__xludf.DUMMYFUNCTION("""COMPUTED_VALUE"""),"Dark Wand")</f>
        <v>Dark Wand</v>
      </c>
      <c r="B83" s="49"/>
      <c r="C83" s="49" t="str">
        <f>IFERROR(__xludf.DUMMYFUNCTION("""COMPUTED_VALUE"""),"Wand")</f>
        <v>Wand</v>
      </c>
      <c r="D83" s="49" t="str">
        <f>IFERROR(__xludf.DUMMYFUNCTION("""COMPUTED_VALUE"""),"Hand")</f>
        <v>Hand</v>
      </c>
      <c r="E83" s="49">
        <f>IFERROR(__xludf.DUMMYFUNCTION("""COMPUTED_VALUE"""),1.0)</f>
        <v>1</v>
      </c>
      <c r="F83" s="49" t="str">
        <f>IFERROR(__xludf.DUMMYFUNCTION("""COMPUTED_VALUE""")," ++Half the SP cost of dark spells")</f>
        <v> ++Half the SP cost of dark spells</v>
      </c>
      <c r="G83" s="49">
        <f>IFERROR(__xludf.DUMMYFUNCTION("""COMPUTED_VALUE"""),0.0)</f>
        <v>0</v>
      </c>
      <c r="H83" s="49"/>
      <c r="I83" s="49"/>
      <c r="J83" s="49"/>
      <c r="K83" s="49"/>
      <c r="L83" s="49"/>
      <c r="M83" s="49"/>
      <c r="N83" s="49"/>
      <c r="O83" s="49"/>
      <c r="P83" s="49"/>
      <c r="Q83" s="49"/>
      <c r="R83" s="49"/>
      <c r="S83" s="49"/>
      <c r="T83" s="49"/>
      <c r="U83" s="49"/>
      <c r="V83" s="49"/>
      <c r="W83" s="49"/>
      <c r="X83" s="49"/>
      <c r="Y83" s="49"/>
      <c r="Z83" s="49"/>
    </row>
    <row r="84">
      <c r="A84" s="49" t="str">
        <f>IFERROR(__xludf.DUMMYFUNCTION("""COMPUTED_VALUE"""),"Dead Forest Blade")</f>
        <v>Dead Forest Blade</v>
      </c>
      <c r="B84" s="49"/>
      <c r="C84" s="49" t="str">
        <f>IFERROR(__xludf.DUMMYFUNCTION("""COMPUTED_VALUE"""),"Sword")</f>
        <v>Sword</v>
      </c>
      <c r="D84" s="49" t="str">
        <f>IFERROR(__xludf.DUMMYFUNCTION("""COMPUTED_VALUE"""),"Hand")</f>
        <v>Hand</v>
      </c>
      <c r="E84" s="49">
        <f>IFERROR(__xludf.DUMMYFUNCTION("""COMPUTED_VALUE"""),180.0)</f>
        <v>180</v>
      </c>
      <c r="F84" s="49"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49">
        <f>IFERROR(__xludf.DUMMYFUNCTION("""COMPUTED_VALUE"""),1530000.0)</f>
        <v>1530000</v>
      </c>
      <c r="H84" s="49"/>
      <c r="I84" s="49"/>
      <c r="J84" s="49"/>
      <c r="K84" s="49"/>
      <c r="L84" s="49"/>
      <c r="M84" s="49"/>
      <c r="N84" s="49"/>
      <c r="O84" s="49"/>
      <c r="P84" s="49"/>
      <c r="Q84" s="49"/>
      <c r="R84" s="49"/>
      <c r="S84" s="49"/>
      <c r="T84" s="49"/>
      <c r="U84" s="49"/>
      <c r="V84" s="49"/>
      <c r="W84" s="49"/>
      <c r="X84" s="49"/>
      <c r="Y84" s="49"/>
      <c r="Z84" s="49"/>
    </row>
    <row r="85">
      <c r="A85" s="49" t="str">
        <f>IFERROR(__xludf.DUMMYFUNCTION("""COMPUTED_VALUE"""),"Dead Forest Branch")</f>
        <v>Dead Forest Branch</v>
      </c>
      <c r="B85" s="49"/>
      <c r="C85" s="49" t="str">
        <f>IFERROR(__xludf.DUMMYFUNCTION("""COMPUTED_VALUE"""),"Club")</f>
        <v>Club</v>
      </c>
      <c r="D85" s="49" t="str">
        <f>IFERROR(__xludf.DUMMYFUNCTION("""COMPUTED_VALUE"""),"Hand")</f>
        <v>Hand</v>
      </c>
      <c r="E85" s="49">
        <f>IFERROR(__xludf.DUMMYFUNCTION("""COMPUTED_VALUE"""),200.0)</f>
        <v>200</v>
      </c>
      <c r="F85" s="49" t="str">
        <f>IFERROR(__xludf.DUMMYFUNCTION("""COMPUTED_VALUE"""),", Celestial DMG: +10000000 ++This Branch will deal 10,000,000 celestial damage but it has a 95% chance to break")</f>
        <v>, Celestial DMG: +10000000 ++This Branch will deal 10,000,000 celestial damage but it has a 95% chance to break</v>
      </c>
      <c r="G85" s="49">
        <f>IFERROR(__xludf.DUMMYFUNCTION("""COMPUTED_VALUE"""),2.8788E10)</f>
        <v>28788000000</v>
      </c>
      <c r="H85" s="49"/>
      <c r="I85" s="49"/>
      <c r="J85" s="49"/>
      <c r="K85" s="49"/>
      <c r="L85" s="49"/>
      <c r="M85" s="49"/>
      <c r="N85" s="49"/>
      <c r="O85" s="49"/>
      <c r="P85" s="49"/>
      <c r="Q85" s="49"/>
      <c r="R85" s="49"/>
      <c r="S85" s="49"/>
      <c r="T85" s="49"/>
      <c r="U85" s="49"/>
      <c r="V85" s="49"/>
      <c r="W85" s="49"/>
      <c r="X85" s="49"/>
      <c r="Y85" s="49"/>
      <c r="Z85" s="49"/>
    </row>
    <row r="86">
      <c r="A86" s="49" t="str">
        <f>IFERROR(__xludf.DUMMYFUNCTION("""COMPUTED_VALUE"""),"Death's Scythe")</f>
        <v>Death's Scythe</v>
      </c>
      <c r="B86" s="49"/>
      <c r="C86" s="49" t="str">
        <f>IFERROR(__xludf.DUMMYFUNCTION("""COMPUTED_VALUE"""),"Scythe")</f>
        <v>Scythe</v>
      </c>
      <c r="D86" s="49" t="str">
        <f>IFERROR(__xludf.DUMMYFUNCTION("""COMPUTED_VALUE"""),"Hand")</f>
        <v>Hand</v>
      </c>
      <c r="E86" s="49">
        <f>IFERROR(__xludf.DUMMYFUNCTION("""COMPUTED_VALUE"""),600.0)</f>
        <v>600</v>
      </c>
      <c r="F86" s="49"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49">
        <f>IFERROR(__xludf.DUMMYFUNCTION("""COMPUTED_VALUE"""),1.77E7)</f>
        <v>17700000</v>
      </c>
      <c r="H86" s="49"/>
      <c r="I86" s="49"/>
      <c r="J86" s="49"/>
      <c r="K86" s="49"/>
      <c r="L86" s="49"/>
      <c r="M86" s="49"/>
      <c r="N86" s="49"/>
      <c r="O86" s="49"/>
      <c r="P86" s="49"/>
      <c r="Q86" s="49"/>
      <c r="R86" s="49"/>
      <c r="S86" s="49"/>
      <c r="T86" s="49"/>
      <c r="U86" s="49"/>
      <c r="V86" s="49"/>
      <c r="W86" s="49"/>
      <c r="X86" s="49"/>
      <c r="Y86" s="49"/>
      <c r="Z86" s="49"/>
    </row>
    <row r="87">
      <c r="A87" s="49" t="str">
        <f>IFERROR(__xludf.DUMMYFUNCTION("""COMPUTED_VALUE"""),"Demonic Scythe of Chaos ")</f>
        <v>Demonic Scythe of Chaos </v>
      </c>
      <c r="B87" s="49"/>
      <c r="C87" s="49" t="str">
        <f>IFERROR(__xludf.DUMMYFUNCTION("""COMPUTED_VALUE"""),"Scythe")</f>
        <v>Scythe</v>
      </c>
      <c r="D87" s="49" t="str">
        <f>IFERROR(__xludf.DUMMYFUNCTION("""COMPUTED_VALUE"""),"Hand")</f>
        <v>Hand</v>
      </c>
      <c r="E87" s="49">
        <f>IFERROR(__xludf.DUMMYFUNCTION("""COMPUTED_VALUE"""),3000.0)</f>
        <v>3000</v>
      </c>
      <c r="F87" s="49" t="str">
        <f>IFERROR(__xludf.DUMMYFUNCTION("""COMPUTED_VALUE"""),"DMG: +50000, Fire DMG: +50000, Chaos DMG: +50000 ++X2  Additional Fire and Chaos damage. +-Cannot be duplicated.")</f>
        <v>DMG: +50000, Fire DMG: +50000, Chaos DMG: +50000 ++X2  Additional Fire and Chaos damage. +-Cannot be duplicated.</v>
      </c>
      <c r="G87" s="49">
        <f>IFERROR(__xludf.DUMMYFUNCTION("""COMPUTED_VALUE"""),4.485E8)</f>
        <v>448500000</v>
      </c>
      <c r="H87" s="49"/>
      <c r="I87" s="49"/>
      <c r="J87" s="49"/>
      <c r="K87" s="49"/>
      <c r="L87" s="49"/>
      <c r="M87" s="49"/>
      <c r="N87" s="49"/>
      <c r="O87" s="49"/>
      <c r="P87" s="49"/>
      <c r="Q87" s="49"/>
      <c r="R87" s="49"/>
      <c r="S87" s="49"/>
      <c r="T87" s="49"/>
      <c r="U87" s="49"/>
      <c r="V87" s="49"/>
      <c r="W87" s="49"/>
      <c r="X87" s="49"/>
      <c r="Y87" s="49"/>
      <c r="Z87" s="49"/>
    </row>
    <row r="88">
      <c r="A88" s="49" t="str">
        <f>IFERROR(__xludf.DUMMYFUNCTION("""COMPUTED_VALUE"""),"Demonic Sword of The King")</f>
        <v>Demonic Sword of The King</v>
      </c>
      <c r="B88" s="49"/>
      <c r="C88" s="49" t="str">
        <f>IFERROR(__xludf.DUMMYFUNCTION("""COMPUTED_VALUE"""),"Sword")</f>
        <v>Sword</v>
      </c>
      <c r="D88" s="49" t="str">
        <f>IFERROR(__xludf.DUMMYFUNCTION("""COMPUTED_VALUE"""),"Hand")</f>
        <v>Hand</v>
      </c>
      <c r="E88" s="49">
        <f>IFERROR(__xludf.DUMMYFUNCTION("""COMPUTED_VALUE"""),200.0)</f>
        <v>200</v>
      </c>
      <c r="F88" s="49"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49">
        <f>IFERROR(__xludf.DUMMYFUNCTION("""COMPUTED_VALUE"""),3.196E9)</f>
        <v>3196000000</v>
      </c>
      <c r="H88" s="49"/>
      <c r="I88" s="49"/>
      <c r="J88" s="49"/>
      <c r="K88" s="49"/>
      <c r="L88" s="49"/>
      <c r="M88" s="49"/>
      <c r="N88" s="49"/>
      <c r="O88" s="49"/>
      <c r="P88" s="49"/>
      <c r="Q88" s="49"/>
      <c r="R88" s="49"/>
      <c r="S88" s="49"/>
      <c r="T88" s="49"/>
      <c r="U88" s="49"/>
      <c r="V88" s="49"/>
      <c r="W88" s="49"/>
      <c r="X88" s="49"/>
      <c r="Y88" s="49"/>
      <c r="Z88" s="49"/>
    </row>
    <row r="89">
      <c r="A89" s="49" t="str">
        <f>IFERROR(__xludf.DUMMYFUNCTION("""COMPUTED_VALUE"""),"Dimensional Dagger")</f>
        <v>Dimensional Dagger</v>
      </c>
      <c r="B89" s="49"/>
      <c r="C89" s="49" t="str">
        <f>IFERROR(__xludf.DUMMYFUNCTION("""COMPUTED_VALUE"""),"Knife")</f>
        <v>Knife</v>
      </c>
      <c r="D89" s="49" t="str">
        <f>IFERROR(__xludf.DUMMYFUNCTION("""COMPUTED_VALUE"""),"Hand")</f>
        <v>Hand</v>
      </c>
      <c r="E89" s="49">
        <f>IFERROR(__xludf.DUMMYFUNCTION("""COMPUTED_VALUE"""),200.0)</f>
        <v>200</v>
      </c>
      <c r="F89" s="49" t="str">
        <f>IFERROR(__xludf.DUMMYFUNCTION("""COMPUTED_VALUE"""),"DMG: +5000, Chaos DMG: +5000 ++25% chance to teleport the target being attacked to a random location.")</f>
        <v>DMG: +5000, Chaos DMG: +5000 ++25% chance to teleport the target being attacked to a random location.</v>
      </c>
      <c r="G89" s="49">
        <f>IFERROR(__xludf.DUMMYFUNCTION("""COMPUTED_VALUE"""),1900000.0)</f>
        <v>1900000</v>
      </c>
      <c r="H89" s="49"/>
      <c r="I89" s="49"/>
      <c r="J89" s="49"/>
      <c r="K89" s="49"/>
      <c r="L89" s="49"/>
      <c r="M89" s="49"/>
      <c r="N89" s="49"/>
      <c r="O89" s="49"/>
      <c r="P89" s="49"/>
      <c r="Q89" s="49"/>
      <c r="R89" s="49"/>
      <c r="S89" s="49"/>
      <c r="T89" s="49"/>
      <c r="U89" s="49"/>
      <c r="V89" s="49"/>
      <c r="W89" s="49"/>
      <c r="X89" s="49"/>
      <c r="Y89" s="49"/>
      <c r="Z89" s="49"/>
    </row>
    <row r="90">
      <c r="A90" s="49" t="str">
        <f>IFERROR(__xludf.DUMMYFUNCTION("""COMPUTED_VALUE"""),"Draconic Shield")</f>
        <v>Draconic Shield</v>
      </c>
      <c r="B90" s="49"/>
      <c r="C90" s="49" t="str">
        <f>IFERROR(__xludf.DUMMYFUNCTION("""COMPUTED_VALUE"""),"Towershield")</f>
        <v>Towershield</v>
      </c>
      <c r="D90" s="49" t="str">
        <f>IFERROR(__xludf.DUMMYFUNCTION("""COMPUTED_VALUE"""),"Hand")</f>
        <v>Hand</v>
      </c>
      <c r="E90" s="49">
        <f>IFERROR(__xludf.DUMMYFUNCTION("""COMPUTED_VALUE"""),5000.0)</f>
        <v>5000</v>
      </c>
      <c r="F90" s="49"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49">
        <f>IFERROR(__xludf.DUMMYFUNCTION("""COMPUTED_VALUE"""),1.2475E9)</f>
        <v>1247500000</v>
      </c>
      <c r="H90" s="49"/>
      <c r="I90" s="49"/>
      <c r="J90" s="49"/>
      <c r="K90" s="49"/>
      <c r="L90" s="49"/>
      <c r="M90" s="49"/>
      <c r="N90" s="49"/>
      <c r="O90" s="49"/>
      <c r="P90" s="49"/>
      <c r="Q90" s="49"/>
      <c r="R90" s="49"/>
      <c r="S90" s="49"/>
      <c r="T90" s="49"/>
      <c r="U90" s="49"/>
      <c r="V90" s="49"/>
      <c r="W90" s="49"/>
      <c r="X90" s="49"/>
      <c r="Y90" s="49"/>
      <c r="Z90" s="49"/>
    </row>
    <row r="91">
      <c r="A91" s="49" t="str">
        <f>IFERROR(__xludf.DUMMYFUNCTION("""COMPUTED_VALUE"""),"Dragon's Skull")</f>
        <v>Dragon's Skull</v>
      </c>
      <c r="B91" s="49"/>
      <c r="C91" s="49"/>
      <c r="D91" s="49" t="str">
        <f>IFERROR(__xludf.DUMMYFUNCTION("""COMPUTED_VALUE"""),"Head")</f>
        <v>Head</v>
      </c>
      <c r="E91" s="49">
        <f>IFERROR(__xludf.DUMMYFUNCTION("""COMPUTED_VALUE"""),200.0)</f>
        <v>200</v>
      </c>
      <c r="F91" s="49" t="str">
        <f>IFERROR(__xludf.DUMMYFUNCTION("""COMPUTED_VALUE"""),"DEF: +10000 ++Any damage that is dealt to the wearer by a dragon is negated. ++(Dragon Tamers Cannot Wear This)")</f>
        <v>DEF: +10000 ++Any damage that is dealt to the wearer by a dragon is negated. ++(Dragon Tamers Cannot Wear This)</v>
      </c>
      <c r="G91" s="49">
        <f>IFERROR(__xludf.DUMMYFUNCTION("""COMPUTED_VALUE"""),1900000.0)</f>
        <v>1900000</v>
      </c>
      <c r="H91" s="49"/>
      <c r="I91" s="49"/>
      <c r="J91" s="49"/>
      <c r="K91" s="49"/>
      <c r="L91" s="49"/>
      <c r="M91" s="49"/>
      <c r="N91" s="49"/>
      <c r="O91" s="49"/>
      <c r="P91" s="49"/>
      <c r="Q91" s="49"/>
      <c r="R91" s="49"/>
      <c r="S91" s="49"/>
      <c r="T91" s="49"/>
      <c r="U91" s="49"/>
      <c r="V91" s="49"/>
      <c r="W91" s="49"/>
      <c r="X91" s="49"/>
      <c r="Y91" s="49"/>
      <c r="Z91" s="49"/>
    </row>
    <row r="92">
      <c r="A92" s="49" t="str">
        <f>IFERROR(__xludf.DUMMYFUNCTION("""COMPUTED_VALUE"""),"Dragonbone Greatsword")</f>
        <v>Dragonbone Greatsword</v>
      </c>
      <c r="B92" s="49"/>
      <c r="C92" s="49" t="str">
        <f>IFERROR(__xludf.DUMMYFUNCTION("""COMPUTED_VALUE"""),"Sword")</f>
        <v>Sword</v>
      </c>
      <c r="D92" s="49" t="str">
        <f>IFERROR(__xludf.DUMMYFUNCTION("""COMPUTED_VALUE"""),"Hand")</f>
        <v>Hand</v>
      </c>
      <c r="E92" s="49">
        <f>IFERROR(__xludf.DUMMYFUNCTION("""COMPUTED_VALUE"""),200.0)</f>
        <v>200</v>
      </c>
      <c r="F92" s="49"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49">
        <f>IFERROR(__xludf.DUMMYFUNCTION("""COMPUTED_VALUE"""),7.194E9)</f>
        <v>7194000000</v>
      </c>
      <c r="H92" s="49"/>
      <c r="I92" s="49"/>
      <c r="J92" s="49"/>
      <c r="K92" s="49"/>
      <c r="L92" s="49"/>
      <c r="M92" s="49"/>
      <c r="N92" s="49"/>
      <c r="O92" s="49"/>
      <c r="P92" s="49"/>
      <c r="Q92" s="49"/>
      <c r="R92" s="49"/>
      <c r="S92" s="49"/>
      <c r="T92" s="49"/>
      <c r="U92" s="49"/>
      <c r="V92" s="49"/>
      <c r="W92" s="49"/>
      <c r="X92" s="49"/>
      <c r="Y92" s="49"/>
      <c r="Z92" s="49"/>
    </row>
    <row r="93">
      <c r="A93" s="49" t="str">
        <f>IFERROR(__xludf.DUMMYFUNCTION("""COMPUTED_VALUE"""),"Dreading Wand Of Fire")</f>
        <v>Dreading Wand Of Fire</v>
      </c>
      <c r="B93" s="49"/>
      <c r="C93" s="49" t="str">
        <f>IFERROR(__xludf.DUMMYFUNCTION("""COMPUTED_VALUE"""),"Wand")</f>
        <v>Wand</v>
      </c>
      <c r="D93" s="49" t="str">
        <f>IFERROR(__xludf.DUMMYFUNCTION("""COMPUTED_VALUE"""),"Hand")</f>
        <v>Hand</v>
      </c>
      <c r="E93" s="49">
        <f>IFERROR(__xludf.DUMMYFUNCTION("""COMPUTED_VALUE"""),1.0)</f>
        <v>1</v>
      </c>
      <c r="F93" s="49" t="str">
        <f>IFERROR(__xludf.DUMMYFUNCTION("""COMPUTED_VALUE""")," ++Half SP costs for fire spells")</f>
        <v> ++Half SP costs for fire spells</v>
      </c>
      <c r="G93" s="49">
        <f>IFERROR(__xludf.DUMMYFUNCTION("""COMPUTED_VALUE"""),0.0)</f>
        <v>0</v>
      </c>
      <c r="H93" s="49"/>
      <c r="I93" s="49"/>
      <c r="J93" s="49"/>
      <c r="K93" s="49"/>
      <c r="L93" s="49"/>
      <c r="M93" s="49"/>
      <c r="N93" s="49"/>
      <c r="O93" s="49"/>
      <c r="P93" s="49"/>
      <c r="Q93" s="49"/>
      <c r="R93" s="49"/>
      <c r="S93" s="49"/>
      <c r="T93" s="49"/>
      <c r="U93" s="49"/>
      <c r="V93" s="49"/>
      <c r="W93" s="49"/>
      <c r="X93" s="49"/>
      <c r="Y93" s="49"/>
      <c r="Z93" s="49"/>
    </row>
    <row r="94">
      <c r="A94" s="49" t="str">
        <f>IFERROR(__xludf.DUMMYFUNCTION("""COMPUTED_VALUE"""),"Dy Yu’s Plated Armor")</f>
        <v>Dy Yu’s Plated Armor</v>
      </c>
      <c r="B94" s="49"/>
      <c r="C94" s="49"/>
      <c r="D94" s="49" t="str">
        <f>IFERROR(__xludf.DUMMYFUNCTION("""COMPUTED_VALUE"""),"Torso")</f>
        <v>Torso</v>
      </c>
      <c r="E94" s="49">
        <f>IFERROR(__xludf.DUMMYFUNCTION("""COMPUTED_VALUE"""),4000.0)</f>
        <v>4000</v>
      </c>
      <c r="F94" s="49"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49">
        <f>IFERROR(__xludf.DUMMYFUNCTION("""COMPUTED_VALUE"""),7.98E8)</f>
        <v>798000000</v>
      </c>
      <c r="H94" s="49"/>
      <c r="I94" s="49"/>
      <c r="J94" s="49"/>
      <c r="K94" s="49"/>
      <c r="L94" s="49"/>
      <c r="M94" s="49"/>
      <c r="N94" s="49"/>
      <c r="O94" s="49"/>
      <c r="P94" s="49"/>
      <c r="Q94" s="49"/>
      <c r="R94" s="49"/>
      <c r="S94" s="49"/>
      <c r="T94" s="49"/>
      <c r="U94" s="49"/>
      <c r="V94" s="49"/>
      <c r="W94" s="49"/>
      <c r="X94" s="49"/>
      <c r="Y94" s="49"/>
      <c r="Z94" s="49"/>
    </row>
    <row r="95">
      <c r="A95" s="49" t="str">
        <f>IFERROR(__xludf.DUMMYFUNCTION("""COMPUTED_VALUE"""),"Easters Ring (Exclusive)")</f>
        <v>Easters Ring (Exclusive)</v>
      </c>
      <c r="B95" s="49"/>
      <c r="C95" s="49"/>
      <c r="D95" s="49" t="str">
        <f>IFERROR(__xludf.DUMMYFUNCTION("""COMPUTED_VALUE"""),"Ring")</f>
        <v>Ring</v>
      </c>
      <c r="E95" s="49">
        <f>IFERROR(__xludf.DUMMYFUNCTION("""COMPUTED_VALUE"""),1.0)</f>
        <v>1</v>
      </c>
      <c r="F95" s="49" t="str">
        <f>IFERROR(__xludf.DUMMYFUNCTION("""COMPUTED_VALUE""")," ++Can turn one bad day of travel into a good day of travel. +-Cannot be forged")</f>
        <v> ++Can turn one bad day of travel into a good day of travel. +-Cannot be forged</v>
      </c>
      <c r="G95" s="49">
        <f>IFERROR(__xludf.DUMMYFUNCTION("""COMPUTED_VALUE"""),0.0)</f>
        <v>0</v>
      </c>
      <c r="H95" s="49"/>
      <c r="I95" s="49"/>
      <c r="J95" s="49"/>
      <c r="K95" s="49"/>
      <c r="L95" s="49"/>
      <c r="M95" s="49"/>
      <c r="N95" s="49"/>
      <c r="O95" s="49"/>
      <c r="P95" s="49"/>
      <c r="Q95" s="49"/>
      <c r="R95" s="49"/>
      <c r="S95" s="49"/>
      <c r="T95" s="49"/>
      <c r="U95" s="49"/>
      <c r="V95" s="49"/>
      <c r="W95" s="49"/>
      <c r="X95" s="49"/>
      <c r="Y95" s="49"/>
      <c r="Z95" s="49"/>
    </row>
    <row r="96">
      <c r="A96" s="49" t="str">
        <f>IFERROR(__xludf.DUMMYFUNCTION("""COMPUTED_VALUE"""),"Enchanted Chestplate of Defense")</f>
        <v>Enchanted Chestplate of Defense</v>
      </c>
      <c r="B96" s="49"/>
      <c r="C96" s="49"/>
      <c r="D96" s="49" t="str">
        <f>IFERROR(__xludf.DUMMYFUNCTION("""COMPUTED_VALUE"""),"Torso")</f>
        <v>Torso</v>
      </c>
      <c r="E96" s="49">
        <f>IFERROR(__xludf.DUMMYFUNCTION("""COMPUTED_VALUE"""),100.0)</f>
        <v>100</v>
      </c>
      <c r="F96" s="49" t="str">
        <f>IFERROR(__xludf.DUMMYFUNCTION("""COMPUTED_VALUE"""),"DEF: +5000 ++Damage received by Spells and Weapons are reduced to half when wearing this.")</f>
        <v>DEF: +5000 ++Damage received by Spells and Weapons are reduced to half when wearing this.</v>
      </c>
      <c r="G96" s="49">
        <f>IFERROR(__xludf.DUMMYFUNCTION("""COMPUTED_VALUE"""),450000.0)</f>
        <v>450000</v>
      </c>
      <c r="H96" s="49"/>
      <c r="I96" s="49"/>
      <c r="J96" s="49"/>
      <c r="K96" s="49"/>
      <c r="L96" s="49"/>
      <c r="M96" s="49"/>
      <c r="N96" s="49"/>
      <c r="O96" s="49"/>
      <c r="P96" s="49"/>
      <c r="Q96" s="49"/>
      <c r="R96" s="49"/>
      <c r="S96" s="49"/>
      <c r="T96" s="49"/>
      <c r="U96" s="49"/>
      <c r="V96" s="49"/>
      <c r="W96" s="49"/>
      <c r="X96" s="49"/>
      <c r="Y96" s="49"/>
      <c r="Z96" s="49"/>
    </row>
    <row r="97">
      <c r="A97" s="49" t="str">
        <f>IFERROR(__xludf.DUMMYFUNCTION("""COMPUTED_VALUE"""),"Enchanted Dagger")</f>
        <v>Enchanted Dagger</v>
      </c>
      <c r="B97" s="49"/>
      <c r="C97" s="49" t="str">
        <f>IFERROR(__xludf.DUMMYFUNCTION("""COMPUTED_VALUE"""),"Knife")</f>
        <v>Knife</v>
      </c>
      <c r="D97" s="49" t="str">
        <f>IFERROR(__xludf.DUMMYFUNCTION("""COMPUTED_VALUE"""),"Hand")</f>
        <v>Hand</v>
      </c>
      <c r="E97" s="49">
        <f>IFERROR(__xludf.DUMMYFUNCTION("""COMPUTED_VALUE"""),1.0)</f>
        <v>1</v>
      </c>
      <c r="F97" s="49" t="str">
        <f>IFERROR(__xludf.DUMMYFUNCTION("""COMPUTED_VALUE"""),": +1 ++100% of instantly killing the target.")</f>
        <v>: +1 ++100% of instantly killing the target.</v>
      </c>
      <c r="G97" s="49">
        <f>IFERROR(__xludf.DUMMYFUNCTION("""COMPUTED_VALUE"""),0.0)</f>
        <v>0</v>
      </c>
      <c r="H97" s="49"/>
      <c r="I97" s="49"/>
      <c r="J97" s="49"/>
      <c r="K97" s="49"/>
      <c r="L97" s="49"/>
      <c r="M97" s="49"/>
      <c r="N97" s="49"/>
      <c r="O97" s="49"/>
      <c r="P97" s="49"/>
      <c r="Q97" s="49"/>
      <c r="R97" s="49"/>
      <c r="S97" s="49"/>
      <c r="T97" s="49"/>
      <c r="U97" s="49"/>
      <c r="V97" s="49"/>
      <c r="W97" s="49"/>
      <c r="X97" s="49"/>
      <c r="Y97" s="49"/>
      <c r="Z97" s="49"/>
    </row>
    <row r="98">
      <c r="A98" s="49" t="str">
        <f>IFERROR(__xludf.DUMMYFUNCTION("""COMPUTED_VALUE"""),"Enchanted Falcon Blade")</f>
        <v>Enchanted Falcon Blade</v>
      </c>
      <c r="B98" s="49"/>
      <c r="C98" s="49" t="str">
        <f>IFERROR(__xludf.DUMMYFUNCTION("""COMPUTED_VALUE"""),"Sword")</f>
        <v>Sword</v>
      </c>
      <c r="D98" s="49" t="str">
        <f>IFERROR(__xludf.DUMMYFUNCTION("""COMPUTED_VALUE"""),"Hand")</f>
        <v>Hand</v>
      </c>
      <c r="E98" s="49">
        <f>IFERROR(__xludf.DUMMYFUNCTION("""COMPUTED_VALUE"""),60.0)</f>
        <v>60</v>
      </c>
      <c r="F98" s="49"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49">
        <f>IFERROR(__xludf.DUMMYFUNCTION("""COMPUTED_VALUE"""),100000.0)</f>
        <v>100000</v>
      </c>
      <c r="H98" s="49"/>
      <c r="I98" s="49"/>
      <c r="J98" s="49"/>
      <c r="K98" s="49"/>
      <c r="L98" s="49"/>
      <c r="M98" s="49"/>
      <c r="N98" s="49"/>
      <c r="O98" s="49"/>
      <c r="P98" s="49"/>
      <c r="Q98" s="49"/>
      <c r="R98" s="49"/>
      <c r="S98" s="49"/>
      <c r="T98" s="49"/>
      <c r="U98" s="49"/>
      <c r="V98" s="49"/>
      <c r="W98" s="49"/>
      <c r="X98" s="49"/>
      <c r="Y98" s="49"/>
      <c r="Z98" s="49"/>
    </row>
    <row r="99">
      <c r="A99" s="49" t="str">
        <f>IFERROR(__xludf.DUMMYFUNCTION("""COMPUTED_VALUE"""),"Energy Prong")</f>
        <v>Energy Prong</v>
      </c>
      <c r="B99" s="49"/>
      <c r="C99" s="49" t="str">
        <f>IFERROR(__xludf.DUMMYFUNCTION("""COMPUTED_VALUE"""),"Spear")</f>
        <v>Spear</v>
      </c>
      <c r="D99" s="49" t="str">
        <f>IFERROR(__xludf.DUMMYFUNCTION("""COMPUTED_VALUE"""),"Hand")</f>
        <v>Hand</v>
      </c>
      <c r="E99" s="49">
        <f>IFERROR(__xludf.DUMMYFUNCTION("""COMPUTED_VALUE"""),10.0)</f>
        <v>10</v>
      </c>
      <c r="F99" s="49" t="str">
        <f>IFERROR(__xludf.DUMMYFUNCTION("""COMPUTED_VALUE"""),"DMG: +500 ++50% chance of stun 3.")</f>
        <v>DMG: +500 ++50% chance of stun 3.</v>
      </c>
      <c r="G99" s="49">
        <f>IFERROR(__xludf.DUMMYFUNCTION("""COMPUTED_VALUE"""),1000.0)</f>
        <v>1000</v>
      </c>
      <c r="H99" s="49"/>
      <c r="I99" s="49"/>
      <c r="J99" s="49"/>
      <c r="K99" s="49"/>
      <c r="L99" s="49"/>
      <c r="M99" s="49"/>
      <c r="N99" s="49"/>
      <c r="O99" s="49"/>
      <c r="P99" s="49"/>
      <c r="Q99" s="49"/>
      <c r="R99" s="49"/>
      <c r="S99" s="49"/>
      <c r="T99" s="49"/>
      <c r="U99" s="49"/>
      <c r="V99" s="49"/>
      <c r="W99" s="49"/>
      <c r="X99" s="49"/>
      <c r="Y99" s="49"/>
      <c r="Z99" s="49"/>
    </row>
    <row r="100">
      <c r="A100" s="49" t="str">
        <f>IFERROR(__xludf.DUMMYFUNCTION("""COMPUTED_VALUE"""),"Faery Kings Sword")</f>
        <v>Faery Kings Sword</v>
      </c>
      <c r="B100" s="49"/>
      <c r="C100" s="49" t="str">
        <f>IFERROR(__xludf.DUMMYFUNCTION("""COMPUTED_VALUE"""),"Sword")</f>
        <v>Sword</v>
      </c>
      <c r="D100" s="49" t="str">
        <f>IFERROR(__xludf.DUMMYFUNCTION("""COMPUTED_VALUE"""),"Hand")</f>
        <v>Hand</v>
      </c>
      <c r="E100" s="49">
        <f>IFERROR(__xludf.DUMMYFUNCTION("""COMPUTED_VALUE"""),200.0)</f>
        <v>200</v>
      </c>
      <c r="F100" s="49" t="str">
        <f>IFERROR(__xludf.DUMMYFUNCTION("""COMPUTED_VALUE"""),"DMG: +500000, Nature DMG: +25000, Celestial DMG: +25000")</f>
        <v>DMG: +500000, Nature DMG: +25000, Celestial DMG: +25000</v>
      </c>
      <c r="G100" s="49">
        <f>IFERROR(__xludf.DUMMYFUNCTION("""COMPUTED_VALUE"""),6.0445E9)</f>
        <v>6044500000</v>
      </c>
      <c r="H100" s="49"/>
      <c r="I100" s="49"/>
      <c r="J100" s="49"/>
      <c r="K100" s="49"/>
      <c r="L100" s="49"/>
      <c r="M100" s="49"/>
      <c r="N100" s="49"/>
      <c r="O100" s="49"/>
      <c r="P100" s="49"/>
      <c r="Q100" s="49"/>
      <c r="R100" s="49"/>
      <c r="S100" s="49"/>
      <c r="T100" s="49"/>
      <c r="U100" s="49"/>
      <c r="V100" s="49"/>
      <c r="W100" s="49"/>
      <c r="X100" s="49"/>
      <c r="Y100" s="49"/>
      <c r="Z100" s="49"/>
    </row>
    <row r="101">
      <c r="A101" s="49" t="str">
        <f>IFERROR(__xludf.DUMMYFUNCTION("""COMPUTED_VALUE"""),"False Helmet")</f>
        <v>False Helmet</v>
      </c>
      <c r="B101" s="49"/>
      <c r="C101" s="49"/>
      <c r="D101" s="49" t="str">
        <f>IFERROR(__xludf.DUMMYFUNCTION("""COMPUTED_VALUE"""),"Head")</f>
        <v>Head</v>
      </c>
      <c r="E101" s="49">
        <f>IFERROR(__xludf.DUMMYFUNCTION("""COMPUTED_VALUE"""),1.0)</f>
        <v>1</v>
      </c>
      <c r="F101" s="49" t="str">
        <f>IFERROR(__xludf.DUMMYFUNCTION("""COMPUTED_VALUE""")," ++ ++5 Intimidation, ++ - 2 Charisma. +-Cannot be forged +-Cannot be duplicated.")</f>
        <v> ++ ++5 Intimidation, ++ - 2 Charisma. +-Cannot be forged +-Cannot be duplicated.</v>
      </c>
      <c r="G101" s="49">
        <f>IFERROR(__xludf.DUMMYFUNCTION("""COMPUTED_VALUE"""),0.0)</f>
        <v>0</v>
      </c>
      <c r="H101" s="49"/>
      <c r="I101" s="49"/>
      <c r="J101" s="49"/>
      <c r="K101" s="49"/>
      <c r="L101" s="49"/>
      <c r="M101" s="49"/>
      <c r="N101" s="49"/>
      <c r="O101" s="49"/>
      <c r="P101" s="49"/>
      <c r="Q101" s="49"/>
      <c r="R101" s="49"/>
      <c r="S101" s="49"/>
      <c r="T101" s="49"/>
      <c r="U101" s="49"/>
      <c r="V101" s="49"/>
      <c r="W101" s="49"/>
      <c r="X101" s="49"/>
      <c r="Y101" s="49"/>
      <c r="Z101" s="49"/>
    </row>
    <row r="102">
      <c r="A102" s="49" t="str">
        <f>IFERROR(__xludf.DUMMYFUNCTION("""COMPUTED_VALUE"""),"Felt Cap")</f>
        <v>Felt Cap</v>
      </c>
      <c r="B102" s="49"/>
      <c r="C102" s="49"/>
      <c r="D102" s="49" t="str">
        <f>IFERROR(__xludf.DUMMYFUNCTION("""COMPUTED_VALUE"""),"Head")</f>
        <v>Head</v>
      </c>
      <c r="E102" s="49">
        <f>IFERROR(__xludf.DUMMYFUNCTION("""COMPUTED_VALUE"""),1.0)</f>
        <v>1</v>
      </c>
      <c r="F102" s="49" t="str">
        <f>IFERROR(__xludf.DUMMYFUNCTION("""COMPUTED_VALUE""")," ++ -1 Evasion ++ +2 Intimidation, +-Can only wear one, +-Cannot be duplicated.")</f>
        <v> ++ -1 Evasion ++ +2 Intimidation, +-Can only wear one, +-Cannot be duplicated.</v>
      </c>
      <c r="G102" s="49">
        <f>IFERROR(__xludf.DUMMYFUNCTION("""COMPUTED_VALUE"""),0.0)</f>
        <v>0</v>
      </c>
      <c r="H102" s="49"/>
      <c r="I102" s="49"/>
      <c r="J102" s="49"/>
      <c r="K102" s="49"/>
      <c r="L102" s="49"/>
      <c r="M102" s="49"/>
      <c r="N102" s="49"/>
      <c r="O102" s="49"/>
      <c r="P102" s="49"/>
      <c r="Q102" s="49"/>
      <c r="R102" s="49"/>
      <c r="S102" s="49"/>
      <c r="T102" s="49"/>
      <c r="U102" s="49"/>
      <c r="V102" s="49"/>
      <c r="W102" s="49"/>
      <c r="X102" s="49"/>
      <c r="Y102" s="49"/>
      <c r="Z102" s="49"/>
    </row>
    <row r="103">
      <c r="A103" s="49" t="str">
        <f>IFERROR(__xludf.DUMMYFUNCTION("""COMPUTED_VALUE"""),"Fire Resistant Boots")</f>
        <v>Fire Resistant Boots</v>
      </c>
      <c r="B103" s="49"/>
      <c r="C103" s="49"/>
      <c r="D103" s="49" t="str">
        <f>IFERROR(__xludf.DUMMYFUNCTION("""COMPUTED_VALUE"""),"Feet")</f>
        <v>Feet</v>
      </c>
      <c r="E103" s="49">
        <f>IFERROR(__xludf.DUMMYFUNCTION("""COMPUTED_VALUE"""),200.0)</f>
        <v>200</v>
      </c>
      <c r="F103" s="49" t="str">
        <f>IFERROR(__xludf.DUMMYFUNCTION("""COMPUTED_VALUE"""),", Fire DEF: +10000 ++Fire Immune, ++X2 Additional fire damage. +-Cannot be duplicated.")</f>
        <v>, Fire DEF: +10000 ++Fire Immune, ++X2 Additional fire damage. +-Cannot be duplicated.</v>
      </c>
      <c r="G103" s="49">
        <f>IFERROR(__xludf.DUMMYFUNCTION("""COMPUTED_VALUE"""),1900000.0)</f>
        <v>1900000</v>
      </c>
      <c r="H103" s="49"/>
      <c r="I103" s="49"/>
      <c r="J103" s="49"/>
      <c r="K103" s="49"/>
      <c r="L103" s="49"/>
      <c r="M103" s="49"/>
      <c r="N103" s="49"/>
      <c r="O103" s="49"/>
      <c r="P103" s="49"/>
      <c r="Q103" s="49"/>
      <c r="R103" s="49"/>
      <c r="S103" s="49"/>
      <c r="T103" s="49"/>
      <c r="U103" s="49"/>
      <c r="V103" s="49"/>
      <c r="W103" s="49"/>
      <c r="X103" s="49"/>
      <c r="Y103" s="49"/>
      <c r="Z103" s="49"/>
    </row>
    <row r="104">
      <c r="A104" s="49" t="str">
        <f>IFERROR(__xludf.DUMMYFUNCTION("""COMPUTED_VALUE"""),"Fire Ring")</f>
        <v>Fire Ring</v>
      </c>
      <c r="B104" s="49"/>
      <c r="C104" s="49"/>
      <c r="D104" s="49" t="str">
        <f>IFERROR(__xludf.DUMMYFUNCTION("""COMPUTED_VALUE"""),"Ring")</f>
        <v>Ring</v>
      </c>
      <c r="E104" s="49">
        <f>IFERROR(__xludf.DUMMYFUNCTION("""COMPUTED_VALUE"""),1.0)</f>
        <v>1</v>
      </c>
      <c r="F104" s="49" t="str">
        <f>IFERROR(__xludf.DUMMYFUNCTION("""COMPUTED_VALUE""")," ++Fire Immune, ++X2 Additional fire damage. +-Cannot be duplicated.")</f>
        <v> ++Fire Immune, ++X2 Additional fire damage. +-Cannot be duplicated.</v>
      </c>
      <c r="G104" s="49">
        <f>IFERROR(__xludf.DUMMYFUNCTION("""COMPUTED_VALUE"""),0.0)</f>
        <v>0</v>
      </c>
      <c r="H104" s="49"/>
      <c r="I104" s="49"/>
      <c r="J104" s="49"/>
      <c r="K104" s="49"/>
      <c r="L104" s="49"/>
      <c r="M104" s="49"/>
      <c r="N104" s="49"/>
      <c r="O104" s="49"/>
      <c r="P104" s="49"/>
      <c r="Q104" s="49"/>
      <c r="R104" s="49"/>
      <c r="S104" s="49"/>
      <c r="T104" s="49"/>
      <c r="U104" s="49"/>
      <c r="V104" s="49"/>
      <c r="W104" s="49"/>
      <c r="X104" s="49"/>
      <c r="Y104" s="49"/>
      <c r="Z104" s="49"/>
    </row>
    <row r="105">
      <c r="A105" s="49" t="str">
        <f>IFERROR(__xludf.DUMMYFUNCTION("""COMPUTED_VALUE"""),"Fire Shield")</f>
        <v>Fire Shield</v>
      </c>
      <c r="B105" s="49"/>
      <c r="C105" s="49" t="str">
        <f>IFERROR(__xludf.DUMMYFUNCTION("""COMPUTED_VALUE"""),"Towershield")</f>
        <v>Towershield</v>
      </c>
      <c r="D105" s="49" t="str">
        <f>IFERROR(__xludf.DUMMYFUNCTION("""COMPUTED_VALUE"""),"Hand")</f>
        <v>Hand</v>
      </c>
      <c r="E105" s="49">
        <f>IFERROR(__xludf.DUMMYFUNCTION("""COMPUTED_VALUE"""),200.0)</f>
        <v>200</v>
      </c>
      <c r="F105" s="49" t="str">
        <f>IFERROR(__xludf.DUMMYFUNCTION("""COMPUTED_VALUE"""),"DEF: +5000, Fire DEF: +5000 ++ Immunity to Fire, ++X2 Additional fire resistance. +-Cannot be duplicated.")</f>
        <v>DEF: +5000, Fire DEF: +5000 ++ Immunity to Fire, ++X2 Additional fire resistance. +-Cannot be duplicated.</v>
      </c>
      <c r="G105" s="49">
        <f>IFERROR(__xludf.DUMMYFUNCTION("""COMPUTED_VALUE"""),1900000.0)</f>
        <v>1900000</v>
      </c>
      <c r="H105" s="49"/>
      <c r="I105" s="49"/>
      <c r="J105" s="49"/>
      <c r="K105" s="49"/>
      <c r="L105" s="49"/>
      <c r="M105" s="49"/>
      <c r="N105" s="49"/>
      <c r="O105" s="49"/>
      <c r="P105" s="49"/>
      <c r="Q105" s="49"/>
      <c r="R105" s="49"/>
      <c r="S105" s="49"/>
      <c r="T105" s="49"/>
      <c r="U105" s="49"/>
      <c r="V105" s="49"/>
      <c r="W105" s="49"/>
      <c r="X105" s="49"/>
      <c r="Y105" s="49"/>
      <c r="Z105" s="49"/>
    </row>
    <row r="106">
      <c r="A106" s="49" t="str">
        <f>IFERROR(__xludf.DUMMYFUNCTION("""COMPUTED_VALUE"""),"Fire Sword")</f>
        <v>Fire Sword</v>
      </c>
      <c r="B106" s="49"/>
      <c r="C106" s="49" t="str">
        <f>IFERROR(__xludf.DUMMYFUNCTION("""COMPUTED_VALUE"""),"Sword")</f>
        <v>Sword</v>
      </c>
      <c r="D106" s="49" t="str">
        <f>IFERROR(__xludf.DUMMYFUNCTION("""COMPUTED_VALUE"""),"Hand")</f>
        <v>Hand</v>
      </c>
      <c r="E106" s="49">
        <f>IFERROR(__xludf.DUMMYFUNCTION("""COMPUTED_VALUE"""),200.0)</f>
        <v>200</v>
      </c>
      <c r="F106" s="49" t="str">
        <f>IFERROR(__xludf.DUMMYFUNCTION("""COMPUTED_VALUE"""),"DMG: +5000, Fire DMG: +5000 ++X2 Additional Fire damage. Burn 2500. Cannot be duplicated.")</f>
        <v>DMG: +5000, Fire DMG: +5000 ++X2 Additional Fire damage. Burn 2500. Cannot be duplicated.</v>
      </c>
      <c r="G106" s="49">
        <f>IFERROR(__xludf.DUMMYFUNCTION("""COMPUTED_VALUE"""),1900000.0)</f>
        <v>1900000</v>
      </c>
      <c r="H106" s="49"/>
      <c r="I106" s="49"/>
      <c r="J106" s="49"/>
      <c r="K106" s="49"/>
      <c r="L106" s="49"/>
      <c r="M106" s="49"/>
      <c r="N106" s="49"/>
      <c r="O106" s="49"/>
      <c r="P106" s="49"/>
      <c r="Q106" s="49"/>
      <c r="R106" s="49"/>
      <c r="S106" s="49"/>
      <c r="T106" s="49"/>
      <c r="U106" s="49"/>
      <c r="V106" s="49"/>
      <c r="W106" s="49"/>
      <c r="X106" s="49"/>
      <c r="Y106" s="49"/>
      <c r="Z106" s="49"/>
    </row>
    <row r="107">
      <c r="A107" s="49" t="str">
        <f>IFERROR(__xludf.DUMMYFUNCTION("""COMPUTED_VALUE"""),"Fireproof Suit")</f>
        <v>Fireproof Suit</v>
      </c>
      <c r="B107" s="49"/>
      <c r="C107" s="49"/>
      <c r="D107" s="49" t="str">
        <f>IFERROR(__xludf.DUMMYFUNCTION("""COMPUTED_VALUE"""),"Torso")</f>
        <v>Torso</v>
      </c>
      <c r="E107" s="49">
        <f>IFERROR(__xludf.DUMMYFUNCTION("""COMPUTED_VALUE"""),400.0)</f>
        <v>400</v>
      </c>
      <c r="F107" s="49" t="str">
        <f>IFERROR(__xludf.DUMMYFUNCTION("""COMPUTED_VALUE"""),"DEF: +5000, Fire DEF: +15000 Fire Immune, X2 Additional fire resistance. Cannot be duplicated.")</f>
        <v>DEF: +5000, Fire DEF: +15000 Fire Immune, X2 Additional fire resistance. Cannot be duplicated.</v>
      </c>
      <c r="G107" s="49">
        <f>IFERROR(__xludf.DUMMYFUNCTION("""COMPUTED_VALUE"""),7800000.0)</f>
        <v>7800000</v>
      </c>
      <c r="H107" s="49"/>
      <c r="I107" s="49"/>
      <c r="J107" s="49"/>
      <c r="K107" s="49"/>
      <c r="L107" s="49"/>
      <c r="M107" s="49"/>
      <c r="N107" s="49"/>
      <c r="O107" s="49"/>
      <c r="P107" s="49"/>
      <c r="Q107" s="49"/>
      <c r="R107" s="49"/>
      <c r="S107" s="49"/>
      <c r="T107" s="49"/>
      <c r="U107" s="49"/>
      <c r="V107" s="49"/>
      <c r="W107" s="49"/>
      <c r="X107" s="49"/>
      <c r="Y107" s="49"/>
      <c r="Z107" s="49"/>
    </row>
    <row r="108">
      <c r="A108" s="49" t="str">
        <f>IFERROR(__xludf.DUMMYFUNCTION("""COMPUTED_VALUE"""),"Fish Pendant")</f>
        <v>Fish Pendant</v>
      </c>
      <c r="B108" s="49"/>
      <c r="C108" s="49"/>
      <c r="D108" s="49" t="str">
        <f>IFERROR(__xludf.DUMMYFUNCTION("""COMPUTED_VALUE"""),"Neck")</f>
        <v>Neck</v>
      </c>
      <c r="E108" s="49">
        <f>IFERROR(__xludf.DUMMYFUNCTION("""COMPUTED_VALUE"""),1.0)</f>
        <v>1</v>
      </c>
      <c r="F108" s="49" t="str">
        <f>IFERROR(__xludf.DUMMYFUNCTION("""COMPUTED_VALUE""")," ++Choose the rarity of the fish when fishing +-Cannot be forged +-Cannot be duplicated +-Can only equip one")</f>
        <v> ++Choose the rarity of the fish when fishing +-Cannot be forged +-Cannot be duplicated +-Can only equip one</v>
      </c>
      <c r="G108" s="49">
        <f>IFERROR(__xludf.DUMMYFUNCTION("""COMPUTED_VALUE"""),0.0)</f>
        <v>0</v>
      </c>
      <c r="H108" s="49"/>
      <c r="I108" s="49"/>
      <c r="J108" s="49"/>
      <c r="K108" s="49"/>
      <c r="L108" s="49"/>
      <c r="M108" s="49"/>
      <c r="N108" s="49"/>
      <c r="O108" s="49"/>
      <c r="P108" s="49"/>
      <c r="Q108" s="49"/>
      <c r="R108" s="49"/>
      <c r="S108" s="49"/>
      <c r="T108" s="49"/>
      <c r="U108" s="49"/>
      <c r="V108" s="49"/>
      <c r="W108" s="49"/>
      <c r="X108" s="49"/>
      <c r="Y108" s="49"/>
      <c r="Z108" s="49"/>
    </row>
    <row r="109">
      <c r="A109" s="49" t="str">
        <f>IFERROR(__xludf.DUMMYFUNCTION("""COMPUTED_VALUE"""),"Flame Band")</f>
        <v>Flame Band</v>
      </c>
      <c r="B109" s="49"/>
      <c r="C109" s="49"/>
      <c r="D109" s="49" t="str">
        <f>IFERROR(__xludf.DUMMYFUNCTION("""COMPUTED_VALUE"""),"Arms")</f>
        <v>Arms</v>
      </c>
      <c r="E109" s="49">
        <f>IFERROR(__xludf.DUMMYFUNCTION("""COMPUTED_VALUE"""),1.0)</f>
        <v>1</v>
      </c>
      <c r="F109" s="49" t="str">
        <f>IFERROR(__xludf.DUMMYFUNCTION("""COMPUTED_VALUE""")," Fire Immune, X2 Additional fire damage. +-Cannot be duplicated")</f>
        <v> Fire Immune, X2 Additional fire damage. +-Cannot be duplicated</v>
      </c>
      <c r="G109" s="49">
        <f>IFERROR(__xludf.DUMMYFUNCTION("""COMPUTED_VALUE"""),0.0)</f>
        <v>0</v>
      </c>
      <c r="H109" s="49"/>
      <c r="I109" s="49"/>
      <c r="J109" s="49"/>
      <c r="K109" s="49"/>
      <c r="L109" s="49"/>
      <c r="M109" s="49"/>
      <c r="N109" s="49"/>
      <c r="O109" s="49"/>
      <c r="P109" s="49"/>
      <c r="Q109" s="49"/>
      <c r="R109" s="49"/>
      <c r="S109" s="49"/>
      <c r="T109" s="49"/>
      <c r="U109" s="49"/>
      <c r="V109" s="49"/>
      <c r="W109" s="49"/>
      <c r="X109" s="49"/>
      <c r="Y109" s="49"/>
      <c r="Z109" s="49"/>
    </row>
    <row r="110">
      <c r="A110" s="49" t="str">
        <f>IFERROR(__xludf.DUMMYFUNCTION("""COMPUTED_VALUE"""),"Flame Mask")</f>
        <v>Flame Mask</v>
      </c>
      <c r="B110" s="49"/>
      <c r="C110" s="49"/>
      <c r="D110" s="49" t="str">
        <f>IFERROR(__xludf.DUMMYFUNCTION("""COMPUTED_VALUE"""),"Head")</f>
        <v>Head</v>
      </c>
      <c r="E110" s="49">
        <f>IFERROR(__xludf.DUMMYFUNCTION("""COMPUTED_VALUE"""),130.0)</f>
        <v>130</v>
      </c>
      <c r="F110" s="49" t="str">
        <f>IFERROR(__xludf.DUMMYFUNCTION("""COMPUTED_VALUE"""),"DEF: +5000, Fire DEF: +1500 ++Fire Immunity, ++X2 Additional fire resistance. +-Cannot be duplicated.")</f>
        <v>DEF: +5000, Fire DEF: +1500 ++Fire Immunity, ++X2 Additional fire resistance. +-Cannot be duplicated.</v>
      </c>
      <c r="G110" s="49">
        <f>IFERROR(__xludf.DUMMYFUNCTION("""COMPUTED_VALUE"""),780000.0)</f>
        <v>780000</v>
      </c>
      <c r="H110" s="49"/>
      <c r="I110" s="49"/>
      <c r="J110" s="49"/>
      <c r="K110" s="49"/>
      <c r="L110" s="49"/>
      <c r="M110" s="49"/>
      <c r="N110" s="49"/>
      <c r="O110" s="49"/>
      <c r="P110" s="49"/>
      <c r="Q110" s="49"/>
      <c r="R110" s="49"/>
      <c r="S110" s="49"/>
      <c r="T110" s="49"/>
      <c r="U110" s="49"/>
      <c r="V110" s="49"/>
      <c r="W110" s="49"/>
      <c r="X110" s="49"/>
      <c r="Y110" s="49"/>
      <c r="Z110" s="49"/>
    </row>
    <row r="111">
      <c r="A111" s="49" t="str">
        <f>IFERROR(__xludf.DUMMYFUNCTION("""COMPUTED_VALUE"""),"Flamethrower")</f>
        <v>Flamethrower</v>
      </c>
      <c r="B111" s="49"/>
      <c r="C111" s="49" t="str">
        <f>IFERROR(__xludf.DUMMYFUNCTION("""COMPUTED_VALUE"""),"Firearm")</f>
        <v>Firearm</v>
      </c>
      <c r="D111" s="49" t="str">
        <f>IFERROR(__xludf.DUMMYFUNCTION("""COMPUTED_VALUE"""),"Hand")</f>
        <v>Hand</v>
      </c>
      <c r="E111" s="49">
        <f>IFERROR(__xludf.DUMMYFUNCTION("""COMPUTED_VALUE"""),700.0)</f>
        <v>700</v>
      </c>
      <c r="F111" s="49" t="str">
        <f>IFERROR(__xludf.DUMMYFUNCTION("""COMPUTED_VALUE"""),", Fire DMG: +35000 ++20% chance of hitting all enemies")</f>
        <v>, Fire DMG: +35000 ++20% chance of hitting all enemies</v>
      </c>
      <c r="G111" s="49">
        <f>IFERROR(__xludf.DUMMYFUNCTION("""COMPUTED_VALUE"""),2.415E7)</f>
        <v>24150000</v>
      </c>
      <c r="H111" s="49"/>
      <c r="I111" s="49"/>
      <c r="J111" s="49"/>
      <c r="K111" s="49"/>
      <c r="L111" s="49"/>
      <c r="M111" s="49"/>
      <c r="N111" s="49"/>
      <c r="O111" s="49"/>
      <c r="P111" s="49"/>
      <c r="Q111" s="49"/>
      <c r="R111" s="49"/>
      <c r="S111" s="49"/>
      <c r="T111" s="49"/>
      <c r="U111" s="49"/>
      <c r="V111" s="49"/>
      <c r="W111" s="49"/>
      <c r="X111" s="49"/>
      <c r="Y111" s="49"/>
      <c r="Z111" s="49"/>
    </row>
    <row r="112">
      <c r="A112" s="49" t="str">
        <f>IFERROR(__xludf.DUMMYFUNCTION("""COMPUTED_VALUE"""),"Flaming Sword")</f>
        <v>Flaming Sword</v>
      </c>
      <c r="B112" s="49"/>
      <c r="C112" s="49" t="str">
        <f>IFERROR(__xludf.DUMMYFUNCTION("""COMPUTED_VALUE"""),"Sword")</f>
        <v>Sword</v>
      </c>
      <c r="D112" s="49" t="str">
        <f>IFERROR(__xludf.DUMMYFUNCTION("""COMPUTED_VALUE"""),"Hand")</f>
        <v>Hand</v>
      </c>
      <c r="E112" s="49">
        <f>IFERROR(__xludf.DUMMYFUNCTION("""COMPUTED_VALUE"""),300.0)</f>
        <v>300</v>
      </c>
      <c r="F112" s="49" t="str">
        <f>IFERROR(__xludf.DUMMYFUNCTION("""COMPUTED_VALUE"""),"DMG: +5000, Fire DMG: +5000, Nature DMG: +5000 ++Burn 1000")</f>
        <v>DMG: +5000, Fire DMG: +5000, Nature DMG: +5000 ++Burn 1000</v>
      </c>
      <c r="G112" s="49">
        <f>IFERROR(__xludf.DUMMYFUNCTION("""COMPUTED_VALUE"""),4350000.0)</f>
        <v>4350000</v>
      </c>
      <c r="H112" s="49"/>
      <c r="I112" s="49"/>
      <c r="J112" s="49"/>
      <c r="K112" s="49"/>
      <c r="L112" s="49"/>
      <c r="M112" s="49"/>
      <c r="N112" s="49"/>
      <c r="O112" s="49"/>
      <c r="P112" s="49"/>
      <c r="Q112" s="49"/>
      <c r="R112" s="49"/>
      <c r="S112" s="49"/>
      <c r="T112" s="49"/>
      <c r="U112" s="49"/>
      <c r="V112" s="49"/>
      <c r="W112" s="49"/>
      <c r="X112" s="49"/>
      <c r="Y112" s="49"/>
      <c r="Z112" s="49"/>
    </row>
    <row r="113">
      <c r="A113" s="49" t="str">
        <f>IFERROR(__xludf.DUMMYFUNCTION("""COMPUTED_VALUE"""),"Foul Night Blade")</f>
        <v>Foul Night Blade</v>
      </c>
      <c r="B113" s="49"/>
      <c r="C113" s="49" t="str">
        <f>IFERROR(__xludf.DUMMYFUNCTION("""COMPUTED_VALUE"""),"Sword")</f>
        <v>Sword</v>
      </c>
      <c r="D113" s="49" t="str">
        <f>IFERROR(__xludf.DUMMYFUNCTION("""COMPUTED_VALUE"""),"Hand")</f>
        <v>Hand</v>
      </c>
      <c r="E113" s="49">
        <f>IFERROR(__xludf.DUMMYFUNCTION("""COMPUTED_VALUE"""),200.0)</f>
        <v>200</v>
      </c>
      <c r="F113" s="49"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49">
        <f>IFERROR(__xludf.DUMMYFUNCTION("""COMPUTED_VALUE"""),1900000.0)</f>
        <v>1900000</v>
      </c>
      <c r="H113" s="49"/>
      <c r="I113" s="49"/>
      <c r="J113" s="49"/>
      <c r="K113" s="49"/>
      <c r="L113" s="49"/>
      <c r="M113" s="49"/>
      <c r="N113" s="49"/>
      <c r="O113" s="49"/>
      <c r="P113" s="49"/>
      <c r="Q113" s="49"/>
      <c r="R113" s="49"/>
      <c r="S113" s="49"/>
      <c r="T113" s="49"/>
      <c r="U113" s="49"/>
      <c r="V113" s="49"/>
      <c r="W113" s="49"/>
      <c r="X113" s="49"/>
      <c r="Y113" s="49"/>
      <c r="Z113" s="49"/>
    </row>
    <row r="114">
      <c r="A114" s="49" t="str">
        <f>IFERROR(__xludf.DUMMYFUNCTION("""COMPUTED_VALUE"""),"Freezing Chains")</f>
        <v>Freezing Chains</v>
      </c>
      <c r="B114" s="49"/>
      <c r="C114" s="49" t="str">
        <f>IFERROR(__xludf.DUMMYFUNCTION("""COMPUTED_VALUE"""),"Club")</f>
        <v>Club</v>
      </c>
      <c r="D114" s="49" t="str">
        <f>IFERROR(__xludf.DUMMYFUNCTION("""COMPUTED_VALUE"""),"Hand")</f>
        <v>Hand</v>
      </c>
      <c r="E114" s="49">
        <f>IFERROR(__xludf.DUMMYFUNCTION("""COMPUTED_VALUE"""),200.0)</f>
        <v>200</v>
      </c>
      <c r="F114" s="49" t="str">
        <f>IFERROR(__xludf.DUMMYFUNCTION("""COMPUTED_VALUE"""),"DMG: +5000, Water DMG: +5000 ++Frost Bind- binds the target freezing them until the end of their next turn")</f>
        <v>DMG: +5000, Water DMG: +5000 ++Frost Bind- binds the target freezing them until the end of their next turn</v>
      </c>
      <c r="G114" s="49">
        <f>IFERROR(__xludf.DUMMYFUNCTION("""COMPUTED_VALUE"""),1900000.0)</f>
        <v>1900000</v>
      </c>
      <c r="H114" s="49"/>
      <c r="I114" s="49"/>
      <c r="J114" s="49"/>
      <c r="K114" s="49"/>
      <c r="L114" s="49"/>
      <c r="M114" s="49"/>
      <c r="N114" s="49"/>
      <c r="O114" s="49"/>
      <c r="P114" s="49"/>
      <c r="Q114" s="49"/>
      <c r="R114" s="49"/>
      <c r="S114" s="49"/>
      <c r="T114" s="49"/>
      <c r="U114" s="49"/>
      <c r="V114" s="49"/>
      <c r="W114" s="49"/>
      <c r="X114" s="49"/>
      <c r="Y114" s="49"/>
      <c r="Z114" s="49"/>
    </row>
    <row r="115">
      <c r="A115" s="49" t="str">
        <f>IFERROR(__xludf.DUMMYFUNCTION("""COMPUTED_VALUE"""),"Frost Bow")</f>
        <v>Frost Bow</v>
      </c>
      <c r="B115" s="49"/>
      <c r="C115" s="49" t="str">
        <f>IFERROR(__xludf.DUMMYFUNCTION("""COMPUTED_VALUE"""),"Bow")</f>
        <v>Bow</v>
      </c>
      <c r="D115" s="49" t="str">
        <f>IFERROR(__xludf.DUMMYFUNCTION("""COMPUTED_VALUE"""),"Hand")</f>
        <v>Hand</v>
      </c>
      <c r="E115" s="49">
        <f>IFERROR(__xludf.DUMMYFUNCTION("""COMPUTED_VALUE"""),180.0)</f>
        <v>180</v>
      </c>
      <c r="F115" s="49" t="str">
        <f>IFERROR(__xludf.DUMMYFUNCTION("""COMPUTED_VALUE"""),"DMG: +5000, Water DMG: +4000 ++Arrows Used with this bow have a 50% chance to freeze the target(s)")</f>
        <v>DMG: +5000, Water DMG: +4000 ++Arrows Used with this bow have a 50% chance to freeze the target(s)</v>
      </c>
      <c r="G115" s="49">
        <f>IFERROR(__xludf.DUMMYFUNCTION("""COMPUTED_VALUE"""),1530000.0)</f>
        <v>1530000</v>
      </c>
      <c r="H115" s="49"/>
      <c r="I115" s="49"/>
      <c r="J115" s="49"/>
      <c r="K115" s="49"/>
      <c r="L115" s="49"/>
      <c r="M115" s="49"/>
      <c r="N115" s="49"/>
      <c r="O115" s="49"/>
      <c r="P115" s="49"/>
      <c r="Q115" s="49"/>
      <c r="R115" s="49"/>
      <c r="S115" s="49"/>
      <c r="T115" s="49"/>
      <c r="U115" s="49"/>
      <c r="V115" s="49"/>
      <c r="W115" s="49"/>
      <c r="X115" s="49"/>
      <c r="Y115" s="49"/>
      <c r="Z115" s="49"/>
    </row>
    <row r="116">
      <c r="A116" s="49" t="str">
        <f>IFERROR(__xludf.DUMMYFUNCTION("""COMPUTED_VALUE"""),"Frost Cloak")</f>
        <v>Frost Cloak</v>
      </c>
      <c r="B116" s="49"/>
      <c r="C116" s="49"/>
      <c r="D116" s="49" t="str">
        <f>IFERROR(__xludf.DUMMYFUNCTION("""COMPUTED_VALUE"""),"Torso")</f>
        <v>Torso</v>
      </c>
      <c r="E116" s="49">
        <f>IFERROR(__xludf.DUMMYFUNCTION("""COMPUTED_VALUE"""),1.0)</f>
        <v>1</v>
      </c>
      <c r="F116" s="49" t="str">
        <f>IFERROR(__xludf.DUMMYFUNCTION("""COMPUTED_VALUE""")," (Frost Mage Set) ++When caster is hit by an enemy,the enemy is frozen for 5r/s caster,s cloak last for 3 r/s 90 sp")</f>
        <v> (Frost Mage Set) ++When caster is hit by an enemy,the enemy is frozen for 5r/s caster,s cloak last for 3 r/s 90 sp</v>
      </c>
      <c r="G116" s="49">
        <f>IFERROR(__xludf.DUMMYFUNCTION("""COMPUTED_VALUE"""),0.0)</f>
        <v>0</v>
      </c>
      <c r="H116" s="49"/>
      <c r="I116" s="49"/>
      <c r="J116" s="49"/>
      <c r="K116" s="49"/>
      <c r="L116" s="49"/>
      <c r="M116" s="49"/>
      <c r="N116" s="49"/>
      <c r="O116" s="49"/>
      <c r="P116" s="49"/>
      <c r="Q116" s="49"/>
      <c r="R116" s="49"/>
      <c r="S116" s="49"/>
      <c r="T116" s="49"/>
      <c r="U116" s="49"/>
      <c r="V116" s="49"/>
      <c r="W116" s="49"/>
      <c r="X116" s="49"/>
      <c r="Y116" s="49"/>
      <c r="Z116" s="49"/>
    </row>
    <row r="117">
      <c r="A117" s="49" t="str">
        <f>IFERROR(__xludf.DUMMYFUNCTION("""COMPUTED_VALUE"""),"Frost Spear")</f>
        <v>Frost Spear</v>
      </c>
      <c r="B117" s="49" t="str">
        <f>IFERROR(__xludf.DUMMYFUNCTION("""COMPUTED_VALUE"""),"Event Exclusive")</f>
        <v>Event Exclusive</v>
      </c>
      <c r="C117" s="49" t="str">
        <f>IFERROR(__xludf.DUMMYFUNCTION("""COMPUTED_VALUE"""),"Spear")</f>
        <v>Spear</v>
      </c>
      <c r="D117" s="49" t="str">
        <f>IFERROR(__xludf.DUMMYFUNCTION("""COMPUTED_VALUE"""),"Hand")</f>
        <v>Hand</v>
      </c>
      <c r="E117" s="49">
        <f>IFERROR(__xludf.DUMMYFUNCTION("""COMPUTED_VALUE"""),1000.0)</f>
        <v>1000</v>
      </c>
      <c r="F117" s="49" t="str">
        <f>IFERROR(__xludf.DUMMYFUNCTION("""COMPUTED_VALUE"""),"DMG: +25000, Storm DMG: +25000 (The Frozen Spear Master Set) ++50% chance to freeze any enemies hit with this weapon")</f>
        <v>DMG: +25000, Storm DMG: +25000 (The Frozen Spear Master Set) ++50% chance to freeze any enemies hit with this weapon</v>
      </c>
      <c r="G117" s="49">
        <f>IFERROR(__xludf.DUMMYFUNCTION("""COMPUTED_VALUE"""),4.95E7)</f>
        <v>49500000</v>
      </c>
      <c r="H117" s="49"/>
      <c r="I117" s="49"/>
      <c r="J117" s="49"/>
      <c r="K117" s="49"/>
      <c r="L117" s="49"/>
      <c r="M117" s="49"/>
      <c r="N117" s="49"/>
      <c r="O117" s="49"/>
      <c r="P117" s="49"/>
      <c r="Q117" s="49"/>
      <c r="R117" s="49"/>
      <c r="S117" s="49"/>
      <c r="T117" s="49"/>
      <c r="U117" s="49"/>
      <c r="V117" s="49"/>
      <c r="W117" s="49"/>
      <c r="X117" s="49"/>
      <c r="Y117" s="49"/>
      <c r="Z117" s="49"/>
    </row>
    <row r="118">
      <c r="A118" s="49" t="str">
        <f>IFERROR(__xludf.DUMMYFUNCTION("""COMPUTED_VALUE"""),"Frozen Carrot Dagger")</f>
        <v>Frozen Carrot Dagger</v>
      </c>
      <c r="B118" s="49" t="str">
        <f>IFERROR(__xludf.DUMMYFUNCTION("""COMPUTED_VALUE"""),"Event Exclusive")</f>
        <v>Event Exclusive</v>
      </c>
      <c r="C118" s="49" t="str">
        <f>IFERROR(__xludf.DUMMYFUNCTION("""COMPUTED_VALUE"""),"Knife")</f>
        <v>Knife</v>
      </c>
      <c r="D118" s="49" t="str">
        <f>IFERROR(__xludf.DUMMYFUNCTION("""COMPUTED_VALUE"""),"Hand")</f>
        <v>Hand</v>
      </c>
      <c r="E118" s="49">
        <f>IFERROR(__xludf.DUMMYFUNCTION("""COMPUTED_VALUE"""),200.0)</f>
        <v>200</v>
      </c>
      <c r="F118" s="49" t="str">
        <f>IFERROR(__xludf.DUMMYFUNCTION("""COMPUTED_VALUE"""),"DMG: +5000, Water DMG: +5000")</f>
        <v>DMG: +5000, Water DMG: +5000</v>
      </c>
      <c r="G118" s="49">
        <f>IFERROR(__xludf.DUMMYFUNCTION("""COMPUTED_VALUE"""),1900000.0)</f>
        <v>1900000</v>
      </c>
      <c r="H118" s="49"/>
      <c r="I118" s="49"/>
      <c r="J118" s="49"/>
      <c r="K118" s="49"/>
      <c r="L118" s="49"/>
      <c r="M118" s="49"/>
      <c r="N118" s="49"/>
      <c r="O118" s="49"/>
      <c r="P118" s="49"/>
      <c r="Q118" s="49"/>
      <c r="R118" s="49"/>
      <c r="S118" s="49"/>
      <c r="T118" s="49"/>
      <c r="U118" s="49"/>
      <c r="V118" s="49"/>
      <c r="W118" s="49"/>
      <c r="X118" s="49"/>
      <c r="Y118" s="49"/>
      <c r="Z118" s="49"/>
    </row>
    <row r="119">
      <c r="A119" s="49" t="str">
        <f>IFERROR(__xludf.DUMMYFUNCTION("""COMPUTED_VALUE"""),"Frozen Falchion")</f>
        <v>Frozen Falchion</v>
      </c>
      <c r="B119" s="49"/>
      <c r="C119" s="49" t="str">
        <f>IFERROR(__xludf.DUMMYFUNCTION("""COMPUTED_VALUE"""),"Sword")</f>
        <v>Sword</v>
      </c>
      <c r="D119" s="49" t="str">
        <f>IFERROR(__xludf.DUMMYFUNCTION("""COMPUTED_VALUE"""),"Hand")</f>
        <v>Hand</v>
      </c>
      <c r="E119" s="49">
        <f>IFERROR(__xludf.DUMMYFUNCTION("""COMPUTED_VALUE"""),400.0)</f>
        <v>400</v>
      </c>
      <c r="F119" s="49"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49">
        <f>IFERROR(__xludf.DUMMYFUNCTION("""COMPUTED_VALUE"""),7800000.0)</f>
        <v>7800000</v>
      </c>
      <c r="H119" s="49"/>
      <c r="I119" s="49"/>
      <c r="J119" s="49"/>
      <c r="K119" s="49"/>
      <c r="L119" s="49"/>
      <c r="M119" s="49"/>
      <c r="N119" s="49"/>
      <c r="O119" s="49"/>
      <c r="P119" s="49"/>
      <c r="Q119" s="49"/>
      <c r="R119" s="49"/>
      <c r="S119" s="49"/>
      <c r="T119" s="49"/>
      <c r="U119" s="49"/>
      <c r="V119" s="49"/>
      <c r="W119" s="49"/>
      <c r="X119" s="49"/>
      <c r="Y119" s="49"/>
      <c r="Z119" s="49"/>
    </row>
    <row r="120">
      <c r="A120" s="49" t="str">
        <f>IFERROR(__xludf.DUMMYFUNCTION("""COMPUTED_VALUE"""),"Frozen Soul Lantern")</f>
        <v>Frozen Soul Lantern</v>
      </c>
      <c r="B120" s="49"/>
      <c r="C120" s="49" t="str">
        <f>IFERROR(__xludf.DUMMYFUNCTION("""COMPUTED_VALUE"""),"Wand")</f>
        <v>Wand</v>
      </c>
      <c r="D120" s="49" t="str">
        <f>IFERROR(__xludf.DUMMYFUNCTION("""COMPUTED_VALUE"""),"Hand")</f>
        <v>Hand</v>
      </c>
      <c r="E120" s="49">
        <f>IFERROR(__xludf.DUMMYFUNCTION("""COMPUTED_VALUE"""),1.0)</f>
        <v>1</v>
      </c>
      <c r="F120" s="49"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49">
        <f>IFERROR(__xludf.DUMMYFUNCTION("""COMPUTED_VALUE"""),0.0)</f>
        <v>0</v>
      </c>
      <c r="H120" s="49"/>
      <c r="I120" s="49"/>
      <c r="J120" s="49"/>
      <c r="K120" s="49"/>
      <c r="L120" s="49"/>
      <c r="M120" s="49"/>
      <c r="N120" s="49"/>
      <c r="O120" s="49"/>
      <c r="P120" s="49"/>
      <c r="Q120" s="49"/>
      <c r="R120" s="49"/>
      <c r="S120" s="49"/>
      <c r="T120" s="49"/>
      <c r="U120" s="49"/>
      <c r="V120" s="49"/>
      <c r="W120" s="49"/>
      <c r="X120" s="49"/>
      <c r="Y120" s="49"/>
      <c r="Z120" s="49"/>
    </row>
    <row r="121">
      <c r="A121" s="49" t="str">
        <f>IFERROR(__xludf.DUMMYFUNCTION("""COMPUTED_VALUE"""),"Gargoyle War Horn")</f>
        <v>Gargoyle War Horn</v>
      </c>
      <c r="B121" s="49"/>
      <c r="C121" s="49" t="str">
        <f>IFERROR(__xludf.DUMMYFUNCTION("""COMPUTED_VALUE"""),"Wand")</f>
        <v>Wand</v>
      </c>
      <c r="D121" s="49" t="str">
        <f>IFERROR(__xludf.DUMMYFUNCTION("""COMPUTED_VALUE"""),"Hand")</f>
        <v>Hand</v>
      </c>
      <c r="E121" s="49">
        <f>IFERROR(__xludf.DUMMYFUNCTION("""COMPUTED_VALUE"""),1.0)</f>
        <v>1</v>
      </c>
      <c r="F121" s="49" t="str">
        <f>IFERROR(__xludf.DUMMYFUNCTION("""COMPUTED_VALUE""")," ++Summons a d2 of Gargoyles to help you in battle. +-Can only be used once per battle.")</f>
        <v> ++Summons a d2 of Gargoyles to help you in battle. +-Can only be used once per battle.</v>
      </c>
      <c r="G121" s="49">
        <f>IFERROR(__xludf.DUMMYFUNCTION("""COMPUTED_VALUE"""),0.0)</f>
        <v>0</v>
      </c>
      <c r="H121" s="49"/>
      <c r="I121" s="49"/>
      <c r="J121" s="49"/>
      <c r="K121" s="49"/>
      <c r="L121" s="49"/>
      <c r="M121" s="49"/>
      <c r="N121" s="49"/>
      <c r="O121" s="49"/>
      <c r="P121" s="49"/>
      <c r="Q121" s="49"/>
      <c r="R121" s="49"/>
      <c r="S121" s="49"/>
      <c r="T121" s="49"/>
      <c r="U121" s="49"/>
      <c r="V121" s="49"/>
      <c r="W121" s="49"/>
      <c r="X121" s="49"/>
      <c r="Y121" s="49"/>
      <c r="Z121" s="49"/>
    </row>
    <row r="122">
      <c r="A122" s="49" t="str">
        <f>IFERROR(__xludf.DUMMYFUNCTION("""COMPUTED_VALUE"""),"Gargoyle’s Heavy Enchanted Bow")</f>
        <v>Gargoyle’s Heavy Enchanted Bow</v>
      </c>
      <c r="B122" s="49"/>
      <c r="C122" s="49" t="str">
        <f>IFERROR(__xludf.DUMMYFUNCTION("""COMPUTED_VALUE"""),"Bow")</f>
        <v>Bow</v>
      </c>
      <c r="D122" s="49" t="str">
        <f>IFERROR(__xludf.DUMMYFUNCTION("""COMPUTED_VALUE"""),"Hand")</f>
        <v>Hand</v>
      </c>
      <c r="E122" s="49">
        <f>IFERROR(__xludf.DUMMYFUNCTION("""COMPUTED_VALUE"""),3000.0)</f>
        <v>3000</v>
      </c>
      <c r="F122" s="49" t="str">
        <f>IFERROR(__xludf.DUMMYFUNCTION("""COMPUTED_VALUE"""),"DMG: +100000, Earth DMG: +50000 ++Damage dealt with this bow gives you hp back equal to the damage you dealt. ")</f>
        <v>DMG: +100000, Earth DMG: +50000 ++Damage dealt with this bow gives you hp back equal to the damage you dealt. </v>
      </c>
      <c r="G122" s="49">
        <f>IFERROR(__xludf.DUMMYFUNCTION("""COMPUTED_VALUE"""),4.485E8)</f>
        <v>448500000</v>
      </c>
      <c r="H122" s="49"/>
      <c r="I122" s="49"/>
      <c r="J122" s="49"/>
      <c r="K122" s="49"/>
      <c r="L122" s="49"/>
      <c r="M122" s="49"/>
      <c r="N122" s="49"/>
      <c r="O122" s="49"/>
      <c r="P122" s="49"/>
      <c r="Q122" s="49"/>
      <c r="R122" s="49"/>
      <c r="S122" s="49"/>
      <c r="T122" s="49"/>
      <c r="U122" s="49"/>
      <c r="V122" s="49"/>
      <c r="W122" s="49"/>
      <c r="X122" s="49"/>
      <c r="Y122" s="49"/>
      <c r="Z122" s="49"/>
    </row>
    <row r="123">
      <c r="A123" s="49" t="str">
        <f>IFERROR(__xludf.DUMMYFUNCTION("""COMPUTED_VALUE"""),"Gargoyle’s Necklace of Luck ")</f>
        <v>Gargoyle’s Necklace of Luck </v>
      </c>
      <c r="B123" s="49"/>
      <c r="C123" s="49"/>
      <c r="D123" s="49" t="str">
        <f>IFERROR(__xludf.DUMMYFUNCTION("""COMPUTED_VALUE"""),"Neck")</f>
        <v>Neck</v>
      </c>
      <c r="E123" s="49">
        <f>IFERROR(__xludf.DUMMYFUNCTION("""COMPUTED_VALUE"""),1.0)</f>
        <v>1</v>
      </c>
      <c r="F123" s="49"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49">
        <f>IFERROR(__xludf.DUMMYFUNCTION("""COMPUTED_VALUE"""),0.0)</f>
        <v>0</v>
      </c>
      <c r="H123" s="49"/>
      <c r="I123" s="49"/>
      <c r="J123" s="49"/>
      <c r="K123" s="49"/>
      <c r="L123" s="49"/>
      <c r="M123" s="49"/>
      <c r="N123" s="49"/>
      <c r="O123" s="49"/>
      <c r="P123" s="49"/>
      <c r="Q123" s="49"/>
      <c r="R123" s="49"/>
      <c r="S123" s="49"/>
      <c r="T123" s="49"/>
      <c r="U123" s="49"/>
      <c r="V123" s="49"/>
      <c r="W123" s="49"/>
      <c r="X123" s="49"/>
      <c r="Y123" s="49"/>
      <c r="Z123" s="49"/>
    </row>
    <row r="124">
      <c r="A124" s="49" t="str">
        <f>IFERROR(__xludf.DUMMYFUNCTION("""COMPUTED_VALUE"""),"Gargoyle’s Ring")</f>
        <v>Gargoyle’s Ring</v>
      </c>
      <c r="B124" s="49"/>
      <c r="C124" s="49"/>
      <c r="D124" s="49" t="str">
        <f>IFERROR(__xludf.DUMMYFUNCTION("""COMPUTED_VALUE"""),"Ring")</f>
        <v>Ring</v>
      </c>
      <c r="E124" s="49">
        <f>IFERROR(__xludf.DUMMYFUNCTION("""COMPUTED_VALUE"""),1.0)</f>
        <v>1</v>
      </c>
      <c r="F124" s="49"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49">
        <f>IFERROR(__xludf.DUMMYFUNCTION("""COMPUTED_VALUE"""),0.0)</f>
        <v>0</v>
      </c>
      <c r="H124" s="49"/>
      <c r="I124" s="49"/>
      <c r="J124" s="49"/>
      <c r="K124" s="49"/>
      <c r="L124" s="49"/>
      <c r="M124" s="49"/>
      <c r="N124" s="49"/>
      <c r="O124" s="49"/>
      <c r="P124" s="49"/>
      <c r="Q124" s="49"/>
      <c r="R124" s="49"/>
      <c r="S124" s="49"/>
      <c r="T124" s="49"/>
      <c r="U124" s="49"/>
      <c r="V124" s="49"/>
      <c r="W124" s="49"/>
      <c r="X124" s="49"/>
      <c r="Y124" s="49"/>
      <c r="Z124" s="49"/>
    </row>
    <row r="125">
      <c r="A125" s="49" t="str">
        <f>IFERROR(__xludf.DUMMYFUNCTION("""COMPUTED_VALUE"""),"Giant Spider Leg")</f>
        <v>Giant Spider Leg</v>
      </c>
      <c r="B125" s="49"/>
      <c r="C125" s="49" t="str">
        <f>IFERROR(__xludf.DUMMYFUNCTION("""COMPUTED_VALUE"""),"Knife")</f>
        <v>Knife</v>
      </c>
      <c r="D125" s="49" t="str">
        <f>IFERROR(__xludf.DUMMYFUNCTION("""COMPUTED_VALUE"""),"Hand")</f>
        <v>Hand</v>
      </c>
      <c r="E125" s="49">
        <f>IFERROR(__xludf.DUMMYFUNCTION("""COMPUTED_VALUE"""),200.0)</f>
        <v>200</v>
      </c>
      <c r="F125" s="49" t="str">
        <f>IFERROR(__xludf.DUMMYFUNCTION("""COMPUTED_VALUE"""),"ATK: +10000 ++When hitting an enemy inflict them with poison 500")</f>
        <v>ATK: +10000 ++When hitting an enemy inflict them with poison 500</v>
      </c>
      <c r="G125" s="49">
        <f>IFERROR(__xludf.DUMMYFUNCTION("""COMPUTED_VALUE"""),1900000.0)</f>
        <v>1900000</v>
      </c>
      <c r="H125" s="49"/>
      <c r="I125" s="49"/>
      <c r="J125" s="49"/>
      <c r="K125" s="49"/>
      <c r="L125" s="49"/>
      <c r="M125" s="49"/>
      <c r="N125" s="49"/>
      <c r="O125" s="49"/>
      <c r="P125" s="49"/>
      <c r="Q125" s="49"/>
      <c r="R125" s="49"/>
      <c r="S125" s="49"/>
      <c r="T125" s="49"/>
      <c r="U125" s="49"/>
      <c r="V125" s="49"/>
      <c r="W125" s="49"/>
      <c r="X125" s="49"/>
      <c r="Y125" s="49"/>
      <c r="Z125" s="49"/>
    </row>
    <row r="126">
      <c r="A126" s="49" t="str">
        <f>IFERROR(__xludf.DUMMYFUNCTION("""COMPUTED_VALUE"""),"Glass Shield")</f>
        <v>Glass Shield</v>
      </c>
      <c r="B126" s="49"/>
      <c r="C126" s="49" t="str">
        <f>IFERROR(__xludf.DUMMYFUNCTION("""COMPUTED_VALUE"""),"Towershield")</f>
        <v>Towershield</v>
      </c>
      <c r="D126" s="49" t="str">
        <f>IFERROR(__xludf.DUMMYFUNCTION("""COMPUTED_VALUE"""),"Hand")</f>
        <v>Hand</v>
      </c>
      <c r="E126" s="49">
        <f>IFERROR(__xludf.DUMMYFUNCTION("""COMPUTED_VALUE"""),1000.0)</f>
        <v>1000</v>
      </c>
      <c r="F126" s="49" t="str">
        <f>IFERROR(__xludf.DUMMYFUNCTION("""COMPUTED_VALUE"""),"DEF: +50000 +-has a 50% chance of breaking upon taking damage")</f>
        <v>DEF: +50000 +-has a 50% chance of breaking upon taking damage</v>
      </c>
      <c r="G126" s="49">
        <f>IFERROR(__xludf.DUMMYFUNCTION("""COMPUTED_VALUE"""),4.95E7)</f>
        <v>49500000</v>
      </c>
      <c r="H126" s="49"/>
      <c r="I126" s="49"/>
      <c r="J126" s="49"/>
      <c r="K126" s="49"/>
      <c r="L126" s="49"/>
      <c r="M126" s="49"/>
      <c r="N126" s="49"/>
      <c r="O126" s="49"/>
      <c r="P126" s="49"/>
      <c r="Q126" s="49"/>
      <c r="R126" s="49"/>
      <c r="S126" s="49"/>
      <c r="T126" s="49"/>
      <c r="U126" s="49"/>
      <c r="V126" s="49"/>
      <c r="W126" s="49"/>
      <c r="X126" s="49"/>
      <c r="Y126" s="49"/>
      <c r="Z126" s="49"/>
    </row>
    <row r="127">
      <c r="A127" s="49" t="str">
        <f>IFERROR(__xludf.DUMMYFUNCTION("""COMPUTED_VALUE"""),"Goose Staff")</f>
        <v>Goose Staff</v>
      </c>
      <c r="B127" s="49"/>
      <c r="C127" s="49" t="str">
        <f>IFERROR(__xludf.DUMMYFUNCTION("""COMPUTED_VALUE"""),"Staff")</f>
        <v>Staff</v>
      </c>
      <c r="D127" s="49" t="str">
        <f>IFERROR(__xludf.DUMMYFUNCTION("""COMPUTED_VALUE"""),"Hand")</f>
        <v>Hand</v>
      </c>
      <c r="E127" s="49">
        <f>IFERROR(__xludf.DUMMYFUNCTION("""COMPUTED_VALUE"""),1.0)</f>
        <v>1</v>
      </c>
      <c r="F127" s="49" t="str">
        <f>IFERROR(__xludf.DUMMYFUNCTION("""COMPUTED_VALUE""")," ++Summons Lord Goose to aid you in battle, 1000 SP.")</f>
        <v> ++Summons Lord Goose to aid you in battle, 1000 SP.</v>
      </c>
      <c r="G127" s="49">
        <f>IFERROR(__xludf.DUMMYFUNCTION("""COMPUTED_VALUE"""),0.0)</f>
        <v>0</v>
      </c>
      <c r="H127" s="49"/>
      <c r="I127" s="49"/>
      <c r="J127" s="49"/>
      <c r="K127" s="49"/>
      <c r="L127" s="49"/>
      <c r="M127" s="49"/>
      <c r="N127" s="49"/>
      <c r="O127" s="49"/>
      <c r="P127" s="49"/>
      <c r="Q127" s="49"/>
      <c r="R127" s="49"/>
      <c r="S127" s="49"/>
      <c r="T127" s="49"/>
      <c r="U127" s="49"/>
      <c r="V127" s="49"/>
      <c r="W127" s="49"/>
      <c r="X127" s="49"/>
      <c r="Y127" s="49"/>
      <c r="Z127" s="49"/>
    </row>
    <row r="128">
      <c r="A128" s="49" t="str">
        <f>IFERROR(__xludf.DUMMYFUNCTION("""COMPUTED_VALUE"""),"Grand Hellfire Sword")</f>
        <v>Grand Hellfire Sword</v>
      </c>
      <c r="B128" s="49"/>
      <c r="C128" s="49" t="str">
        <f>IFERROR(__xludf.DUMMYFUNCTION("""COMPUTED_VALUE"""),"Sword")</f>
        <v>Sword</v>
      </c>
      <c r="D128" s="49" t="str">
        <f>IFERROR(__xludf.DUMMYFUNCTION("""COMPUTED_VALUE"""),"Hand")</f>
        <v>Hand</v>
      </c>
      <c r="E128" s="49">
        <f>IFERROR(__xludf.DUMMYFUNCTION("""COMPUTED_VALUE"""),200.0)</f>
        <v>200</v>
      </c>
      <c r="F128" s="49"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49">
        <f>IFERROR(__xludf.DUMMYFUNCTION("""COMPUTED_VALUE"""),1.797E9)</f>
        <v>1797000000</v>
      </c>
      <c r="H128" s="49"/>
      <c r="I128" s="49"/>
      <c r="J128" s="49"/>
      <c r="K128" s="49"/>
      <c r="L128" s="49"/>
      <c r="M128" s="49"/>
      <c r="N128" s="49"/>
      <c r="O128" s="49"/>
      <c r="P128" s="49"/>
      <c r="Q128" s="49"/>
      <c r="R128" s="49"/>
      <c r="S128" s="49"/>
      <c r="T128" s="49"/>
      <c r="U128" s="49"/>
      <c r="V128" s="49"/>
      <c r="W128" s="49"/>
      <c r="X128" s="49"/>
      <c r="Y128" s="49"/>
      <c r="Z128" s="49"/>
    </row>
    <row r="129">
      <c r="A129" s="49" t="str">
        <f>IFERROR(__xludf.DUMMYFUNCTION("""COMPUTED_VALUE"""),"Grand Master Bow")</f>
        <v>Grand Master Bow</v>
      </c>
      <c r="B129" s="49"/>
      <c r="C129" s="49" t="str">
        <f>IFERROR(__xludf.DUMMYFUNCTION("""COMPUTED_VALUE"""),"Bow")</f>
        <v>Bow</v>
      </c>
      <c r="D129" s="49" t="str">
        <f>IFERROR(__xludf.DUMMYFUNCTION("""COMPUTED_VALUE"""),"Hand")</f>
        <v>Hand</v>
      </c>
      <c r="E129" s="49">
        <f>IFERROR(__xludf.DUMMYFUNCTION("""COMPUTED_VALUE"""),20.0)</f>
        <v>20</v>
      </c>
      <c r="F129" s="49" t="str">
        <f>IFERROR(__xludf.DUMMYFUNCTION("""COMPUTED_VALUE"""),"DMG: +1000 ++X4 additional damage towards ranged attacks. +-Only Archers can equip. +-Cannot be duplicated. ")</f>
        <v>DMG: +1000 ++X4 additional damage towards ranged attacks. +-Only Archers can equip. +-Cannot be duplicated. </v>
      </c>
      <c r="G129" s="49">
        <f>IFERROR(__xludf.DUMMYFUNCTION("""COMPUTED_VALUE"""),10000.0)</f>
        <v>10000</v>
      </c>
      <c r="H129" s="49"/>
      <c r="I129" s="49"/>
      <c r="J129" s="49"/>
      <c r="K129" s="49"/>
      <c r="L129" s="49"/>
      <c r="M129" s="49"/>
      <c r="N129" s="49"/>
      <c r="O129" s="49"/>
      <c r="P129" s="49"/>
      <c r="Q129" s="49"/>
      <c r="R129" s="49"/>
      <c r="S129" s="49"/>
      <c r="T129" s="49"/>
      <c r="U129" s="49"/>
      <c r="V129" s="49"/>
      <c r="W129" s="49"/>
      <c r="X129" s="49"/>
      <c r="Y129" s="49"/>
      <c r="Z129" s="49"/>
    </row>
    <row r="130">
      <c r="A130" s="49" t="str">
        <f>IFERROR(__xludf.DUMMYFUNCTION("""COMPUTED_VALUE"""),"Grass Sword")</f>
        <v>Grass Sword</v>
      </c>
      <c r="B130" s="49" t="str">
        <f>IFERROR(__xludf.DUMMYFUNCTION("""COMPUTED_VALUE"""),"A strong grass entity in the form of a sword")</f>
        <v>A strong grass entity in the form of a sword</v>
      </c>
      <c r="C130" s="49" t="str">
        <f>IFERROR(__xludf.DUMMYFUNCTION("""COMPUTED_VALUE"""),"Sword")</f>
        <v>Sword</v>
      </c>
      <c r="D130" s="49" t="str">
        <f>IFERROR(__xludf.DUMMYFUNCTION("""COMPUTED_VALUE"""),"Hand")</f>
        <v>Hand</v>
      </c>
      <c r="E130" s="49">
        <f>IFERROR(__xludf.DUMMYFUNCTION("""COMPUTED_VALUE"""),1.0)</f>
        <v>1</v>
      </c>
      <c r="F130" s="49" t="str">
        <f>IFERROR(__xludf.DUMMYFUNCTION("""COMPUTED_VALUE"""),"DMG: +250")</f>
        <v>DMG: +250</v>
      </c>
      <c r="G130" s="49">
        <f>IFERROR(__xludf.DUMMYFUNCTION("""COMPUTED_VALUE"""),0.0)</f>
        <v>0</v>
      </c>
      <c r="H130" s="49"/>
      <c r="I130" s="49"/>
      <c r="J130" s="49"/>
      <c r="K130" s="49"/>
      <c r="L130" s="49"/>
      <c r="M130" s="49"/>
      <c r="N130" s="49"/>
      <c r="O130" s="49"/>
      <c r="P130" s="49"/>
      <c r="Q130" s="49"/>
      <c r="R130" s="49"/>
      <c r="S130" s="49"/>
      <c r="T130" s="49"/>
      <c r="U130" s="49"/>
      <c r="V130" s="49"/>
      <c r="W130" s="49"/>
      <c r="X130" s="49"/>
      <c r="Y130" s="49"/>
      <c r="Z130" s="49"/>
    </row>
    <row r="131">
      <c r="A131" s="49" t="str">
        <f>IFERROR(__xludf.DUMMYFUNCTION("""COMPUTED_VALUE"""),"Great Stone Gargoyle Sword")</f>
        <v>Great Stone Gargoyle Sword</v>
      </c>
      <c r="B131" s="49"/>
      <c r="C131" s="49" t="str">
        <f>IFERROR(__xludf.DUMMYFUNCTION("""COMPUTED_VALUE"""),"Sword")</f>
        <v>Sword</v>
      </c>
      <c r="D131" s="49" t="str">
        <f>IFERROR(__xludf.DUMMYFUNCTION("""COMPUTED_VALUE"""),"Hand")</f>
        <v>Hand</v>
      </c>
      <c r="E131" s="49">
        <f>IFERROR(__xludf.DUMMYFUNCTION("""COMPUTED_VALUE"""),4000.0)</f>
        <v>4000</v>
      </c>
      <c r="F131" s="49"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49">
        <f>IFERROR(__xludf.DUMMYFUNCTION("""COMPUTED_VALUE"""),7.98E8)</f>
        <v>798000000</v>
      </c>
      <c r="H131" s="49"/>
      <c r="I131" s="49"/>
      <c r="J131" s="49"/>
      <c r="K131" s="49"/>
      <c r="L131" s="49"/>
      <c r="M131" s="49"/>
      <c r="N131" s="49"/>
      <c r="O131" s="49"/>
      <c r="P131" s="49"/>
      <c r="Q131" s="49"/>
      <c r="R131" s="49"/>
      <c r="S131" s="49"/>
      <c r="T131" s="49"/>
      <c r="U131" s="49"/>
      <c r="V131" s="49"/>
      <c r="W131" s="49"/>
      <c r="X131" s="49"/>
      <c r="Y131" s="49"/>
      <c r="Z131" s="49"/>
    </row>
    <row r="132">
      <c r="A132" s="49" t="str">
        <f>IFERROR(__xludf.DUMMYFUNCTION("""COMPUTED_VALUE"""),"Greaves of The Sea Serpent")</f>
        <v>Greaves of The Sea Serpent</v>
      </c>
      <c r="B132" s="49"/>
      <c r="C132" s="49"/>
      <c r="D132" s="49" t="str">
        <f>IFERROR(__xludf.DUMMYFUNCTION("""COMPUTED_VALUE"""),"Legs")</f>
        <v>Legs</v>
      </c>
      <c r="E132" s="49">
        <f>IFERROR(__xludf.DUMMYFUNCTION("""COMPUTED_VALUE"""),100.0)</f>
        <v>100</v>
      </c>
      <c r="F132" s="49" t="str">
        <f>IFERROR(__xludf.DUMMYFUNCTION("""COMPUTED_VALUE"""),"DEF: +2500, Water DEF: +2500 ++X2 additional water damage for self.")</f>
        <v>DEF: +2500, Water DEF: +2500 ++X2 additional water damage for self.</v>
      </c>
      <c r="G132" s="49">
        <f>IFERROR(__xludf.DUMMYFUNCTION("""COMPUTED_VALUE"""),450000.0)</f>
        <v>450000</v>
      </c>
      <c r="H132" s="49"/>
      <c r="I132" s="49"/>
      <c r="J132" s="49"/>
      <c r="K132" s="49"/>
      <c r="L132" s="49"/>
      <c r="M132" s="49"/>
      <c r="N132" s="49"/>
      <c r="O132" s="49"/>
      <c r="P132" s="49"/>
      <c r="Q132" s="49"/>
      <c r="R132" s="49"/>
      <c r="S132" s="49"/>
      <c r="T132" s="49"/>
      <c r="U132" s="49"/>
      <c r="V132" s="49"/>
      <c r="W132" s="49"/>
      <c r="X132" s="49"/>
      <c r="Y132" s="49"/>
      <c r="Z132" s="49"/>
    </row>
    <row r="133">
      <c r="A133" s="49" t="str">
        <f>IFERROR(__xludf.DUMMYFUNCTION("""COMPUTED_VALUE"""),"Greaves of Waking Waters")</f>
        <v>Greaves of Waking Waters</v>
      </c>
      <c r="B133" s="49"/>
      <c r="C133" s="49"/>
      <c r="D133" s="49" t="str">
        <f>IFERROR(__xludf.DUMMYFUNCTION("""COMPUTED_VALUE"""),"Legs")</f>
        <v>Legs</v>
      </c>
      <c r="E133" s="49">
        <f>IFERROR(__xludf.DUMMYFUNCTION("""COMPUTED_VALUE"""),200.0)</f>
        <v>200</v>
      </c>
      <c r="F133" s="49" t="str">
        <f>IFERROR(__xludf.DUMMYFUNCTION("""COMPUTED_VALUE"""),"DEF: +5000, Water DEF: +5000 ++X4 additional water damage for self.")</f>
        <v>DEF: +5000, Water DEF: +5000 ++X4 additional water damage for self.</v>
      </c>
      <c r="G133" s="49">
        <f>IFERROR(__xludf.DUMMYFUNCTION("""COMPUTED_VALUE"""),1900000.0)</f>
        <v>1900000</v>
      </c>
      <c r="H133" s="49"/>
      <c r="I133" s="49"/>
      <c r="J133" s="49"/>
      <c r="K133" s="49"/>
      <c r="L133" s="49"/>
      <c r="M133" s="49"/>
      <c r="N133" s="49"/>
      <c r="O133" s="49"/>
      <c r="P133" s="49"/>
      <c r="Q133" s="49"/>
      <c r="R133" s="49"/>
      <c r="S133" s="49"/>
      <c r="T133" s="49"/>
      <c r="U133" s="49"/>
      <c r="V133" s="49"/>
      <c r="W133" s="49"/>
      <c r="X133" s="49"/>
      <c r="Y133" s="49"/>
      <c r="Z133" s="49"/>
    </row>
    <row r="134">
      <c r="A134" s="49" t="str">
        <f>IFERROR(__xludf.DUMMYFUNCTION("""COMPUTED_VALUE"""),"Halloween Staff")</f>
        <v>Halloween Staff</v>
      </c>
      <c r="B134" s="49" t="str">
        <f>IFERROR(__xludf.DUMMYFUNCTION("""COMPUTED_VALUE"""),"Halloween exclusive")</f>
        <v>Halloween exclusive</v>
      </c>
      <c r="C134" s="49" t="str">
        <f>IFERROR(__xludf.DUMMYFUNCTION("""COMPUTED_VALUE"""),"Staff")</f>
        <v>Staff</v>
      </c>
      <c r="D134" s="49" t="str">
        <f>IFERROR(__xludf.DUMMYFUNCTION("""COMPUTED_VALUE"""),"Hand")</f>
        <v>Hand</v>
      </c>
      <c r="E134" s="49">
        <f>IFERROR(__xludf.DUMMYFUNCTION("""COMPUTED_VALUE"""),1.0)</f>
        <v>1</v>
      </c>
      <c r="F134" s="49" t="str">
        <f>IFERROR(__xludf.DUMMYFUNCTION("""COMPUTED_VALUE""")," ++Transform into the Headless Horseman for 3 rounds.")</f>
        <v> ++Transform into the Headless Horseman for 3 rounds.</v>
      </c>
      <c r="G134" s="49">
        <f>IFERROR(__xludf.DUMMYFUNCTION("""COMPUTED_VALUE"""),0.0)</f>
        <v>0</v>
      </c>
      <c r="H134" s="49"/>
      <c r="I134" s="49"/>
      <c r="J134" s="49"/>
      <c r="K134" s="49"/>
      <c r="L134" s="49"/>
      <c r="M134" s="49"/>
      <c r="N134" s="49"/>
      <c r="O134" s="49"/>
      <c r="P134" s="49"/>
      <c r="Q134" s="49"/>
      <c r="R134" s="49"/>
      <c r="S134" s="49"/>
      <c r="T134" s="49"/>
      <c r="U134" s="49"/>
      <c r="V134" s="49"/>
      <c r="W134" s="49"/>
      <c r="X134" s="49"/>
      <c r="Y134" s="49"/>
      <c r="Z134" s="49"/>
    </row>
    <row r="135">
      <c r="A135" s="49" t="str">
        <f>IFERROR(__xludf.DUMMYFUNCTION("""COMPUTED_VALUE"""),"Hammer of Chaotic Shadows")</f>
        <v>Hammer of Chaotic Shadows</v>
      </c>
      <c r="B135" s="49"/>
      <c r="C135" s="49" t="str">
        <f>IFERROR(__xludf.DUMMYFUNCTION("""COMPUTED_VALUE"""),"Club")</f>
        <v>Club</v>
      </c>
      <c r="D135" s="49" t="str">
        <f>IFERROR(__xludf.DUMMYFUNCTION("""COMPUTED_VALUE"""),"Hand")</f>
        <v>Hand</v>
      </c>
      <c r="E135" s="49">
        <f>IFERROR(__xludf.DUMMYFUNCTION("""COMPUTED_VALUE"""),300.0)</f>
        <v>300</v>
      </c>
      <c r="F135" s="49" t="str">
        <f>IFERROR(__xludf.DUMMYFUNCTION("""COMPUTED_VALUE"""),"DMG: +5000, Dark DMG: +5000, Chaos DMG: +5000 ++X2 Additional Dark and Chaos Damage. ")</f>
        <v>DMG: +5000, Dark DMG: +5000, Chaos DMG: +5000 ++X2 Additional Dark and Chaos Damage. </v>
      </c>
      <c r="G135" s="49">
        <f>IFERROR(__xludf.DUMMYFUNCTION("""COMPUTED_VALUE"""),4350000.0)</f>
        <v>4350000</v>
      </c>
      <c r="H135" s="49"/>
      <c r="I135" s="49"/>
      <c r="J135" s="49"/>
      <c r="K135" s="49"/>
      <c r="L135" s="49"/>
      <c r="M135" s="49"/>
      <c r="N135" s="49"/>
      <c r="O135" s="49"/>
      <c r="P135" s="49"/>
      <c r="Q135" s="49"/>
      <c r="R135" s="49"/>
      <c r="S135" s="49"/>
      <c r="T135" s="49"/>
      <c r="U135" s="49"/>
      <c r="V135" s="49"/>
      <c r="W135" s="49"/>
      <c r="X135" s="49"/>
      <c r="Y135" s="49"/>
      <c r="Z135" s="49"/>
    </row>
    <row r="136">
      <c r="A136" s="49" t="str">
        <f>IFERROR(__xludf.DUMMYFUNCTION("""COMPUTED_VALUE"""),"Hardened Ice Sickle")</f>
        <v>Hardened Ice Sickle</v>
      </c>
      <c r="B136" s="49" t="str">
        <f>IFERROR(__xludf.DUMMYFUNCTION("""COMPUTED_VALUE"""),"Event Exclusive")</f>
        <v>Event Exclusive</v>
      </c>
      <c r="C136" s="49" t="str">
        <f>IFERROR(__xludf.DUMMYFUNCTION("""COMPUTED_VALUE"""),"Knife")</f>
        <v>Knife</v>
      </c>
      <c r="D136" s="49" t="str">
        <f>IFERROR(__xludf.DUMMYFUNCTION("""COMPUTED_VALUE"""),"Hand")</f>
        <v>Hand</v>
      </c>
      <c r="E136" s="49">
        <f>IFERROR(__xludf.DUMMYFUNCTION("""COMPUTED_VALUE"""),200.0)</f>
        <v>200</v>
      </c>
      <c r="F136" s="49" t="str">
        <f>IFERROR(__xludf.DUMMYFUNCTION("""COMPUTED_VALUE"""),"DMG: +5000, Water DMG: +5000 ++75% chance to freeze the target.")</f>
        <v>DMG: +5000, Water DMG: +5000 ++75% chance to freeze the target.</v>
      </c>
      <c r="G136" s="49">
        <f>IFERROR(__xludf.DUMMYFUNCTION("""COMPUTED_VALUE"""),1900000.0)</f>
        <v>1900000</v>
      </c>
      <c r="H136" s="49"/>
      <c r="I136" s="49"/>
      <c r="J136" s="49"/>
      <c r="K136" s="49"/>
      <c r="L136" s="49"/>
      <c r="M136" s="49"/>
      <c r="N136" s="49"/>
      <c r="O136" s="49"/>
      <c r="P136" s="49"/>
      <c r="Q136" s="49"/>
      <c r="R136" s="49"/>
      <c r="S136" s="49"/>
      <c r="T136" s="49"/>
      <c r="U136" s="49"/>
      <c r="V136" s="49"/>
      <c r="W136" s="49"/>
      <c r="X136" s="49"/>
      <c r="Y136" s="49"/>
      <c r="Z136" s="49"/>
    </row>
    <row r="137">
      <c r="A137" s="49" t="str">
        <f>IFERROR(__xludf.DUMMYFUNCTION("""COMPUTED_VALUE"""),"Haunted Katana")</f>
        <v>Haunted Katana</v>
      </c>
      <c r="B137" s="49"/>
      <c r="C137" s="49" t="str">
        <f>IFERROR(__xludf.DUMMYFUNCTION("""COMPUTED_VALUE"""),"Sword")</f>
        <v>Sword</v>
      </c>
      <c r="D137" s="49" t="str">
        <f>IFERROR(__xludf.DUMMYFUNCTION("""COMPUTED_VALUE"""),"Hand")</f>
        <v>Hand</v>
      </c>
      <c r="E137" s="49">
        <f>IFERROR(__xludf.DUMMYFUNCTION("""COMPUTED_VALUE"""),600.0)</f>
        <v>600</v>
      </c>
      <c r="F137" s="49" t="str">
        <f>IFERROR(__xludf.DUMMYFUNCTION("""COMPUTED_VALUE"""),"DMG: +10000, Dark DMG: +10000, Spirit DMG: +10000 +-You go last during the turn order in battle.. ")</f>
        <v>DMG: +10000, Dark DMG: +10000, Spirit DMG: +10000 +-You go last during the turn order in battle.. </v>
      </c>
      <c r="G137" s="49">
        <f>IFERROR(__xludf.DUMMYFUNCTION("""COMPUTED_VALUE"""),1.77E7)</f>
        <v>17700000</v>
      </c>
      <c r="H137" s="49"/>
      <c r="I137" s="49"/>
      <c r="J137" s="49"/>
      <c r="K137" s="49"/>
      <c r="L137" s="49"/>
      <c r="M137" s="49"/>
      <c r="N137" s="49"/>
      <c r="O137" s="49"/>
      <c r="P137" s="49"/>
      <c r="Q137" s="49"/>
      <c r="R137" s="49"/>
      <c r="S137" s="49"/>
      <c r="T137" s="49"/>
      <c r="U137" s="49"/>
      <c r="V137" s="49"/>
      <c r="W137" s="49"/>
      <c r="X137" s="49"/>
      <c r="Y137" s="49"/>
      <c r="Z137" s="49"/>
    </row>
    <row r="138">
      <c r="A138" s="49" t="str">
        <f>IFERROR(__xludf.DUMMYFUNCTION("""COMPUTED_VALUE"""),"Haunted King's Favorite Shield")</f>
        <v>Haunted King's Favorite Shield</v>
      </c>
      <c r="B138" s="49" t="str">
        <f>IFERROR(__xludf.DUMMYFUNCTION("""COMPUTED_VALUE"""),"Halloween exclusive")</f>
        <v>Halloween exclusive</v>
      </c>
      <c r="C138" s="49" t="str">
        <f>IFERROR(__xludf.DUMMYFUNCTION("""COMPUTED_VALUE"""),"Towershield")</f>
        <v>Towershield</v>
      </c>
      <c r="D138" s="49" t="str">
        <f>IFERROR(__xludf.DUMMYFUNCTION("""COMPUTED_VALUE"""),"Hand")</f>
        <v>Hand</v>
      </c>
      <c r="E138" s="49">
        <f>IFERROR(__xludf.DUMMYFUNCTION("""COMPUTED_VALUE"""),20.0)</f>
        <v>20</v>
      </c>
      <c r="F138" s="49"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49">
        <f>IFERROR(__xludf.DUMMYFUNCTION("""COMPUTED_VALUE"""),10000.0)</f>
        <v>10000</v>
      </c>
      <c r="H138" s="49"/>
      <c r="I138" s="49"/>
      <c r="J138" s="49"/>
      <c r="K138" s="49"/>
      <c r="L138" s="49"/>
      <c r="M138" s="49"/>
      <c r="N138" s="49"/>
      <c r="O138" s="49"/>
      <c r="P138" s="49"/>
      <c r="Q138" s="49"/>
      <c r="R138" s="49"/>
      <c r="S138" s="49"/>
      <c r="T138" s="49"/>
      <c r="U138" s="49"/>
      <c r="V138" s="49"/>
      <c r="W138" s="49"/>
      <c r="X138" s="49"/>
      <c r="Y138" s="49"/>
      <c r="Z138" s="49"/>
    </row>
    <row r="139">
      <c r="A139" s="49" t="str">
        <f>IFERROR(__xludf.DUMMYFUNCTION("""COMPUTED_VALUE"""),"Haunted King's Favorite Sword")</f>
        <v>Haunted King's Favorite Sword</v>
      </c>
      <c r="B139" s="49" t="str">
        <f>IFERROR(__xludf.DUMMYFUNCTION("""COMPUTED_VALUE"""),"Halloween exclusive")</f>
        <v>Halloween exclusive</v>
      </c>
      <c r="C139" s="49" t="str">
        <f>IFERROR(__xludf.DUMMYFUNCTION("""COMPUTED_VALUE"""),"Sword")</f>
        <v>Sword</v>
      </c>
      <c r="D139" s="49" t="str">
        <f>IFERROR(__xludf.DUMMYFUNCTION("""COMPUTED_VALUE"""),"Hand")</f>
        <v>Hand</v>
      </c>
      <c r="E139" s="49">
        <f>IFERROR(__xludf.DUMMYFUNCTION("""COMPUTED_VALUE"""),60.0)</f>
        <v>60</v>
      </c>
      <c r="F139" s="49"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49">
        <f>IFERROR(__xludf.DUMMYFUNCTION("""COMPUTED_VALUE"""),150000.0)</f>
        <v>150000</v>
      </c>
      <c r="H139" s="49"/>
      <c r="I139" s="49"/>
      <c r="J139" s="49"/>
      <c r="K139" s="49"/>
      <c r="L139" s="49"/>
      <c r="M139" s="49"/>
      <c r="N139" s="49"/>
      <c r="O139" s="49"/>
      <c r="P139" s="49"/>
      <c r="Q139" s="49"/>
      <c r="R139" s="49"/>
      <c r="S139" s="49"/>
      <c r="T139" s="49"/>
      <c r="U139" s="49"/>
      <c r="V139" s="49"/>
      <c r="W139" s="49"/>
      <c r="X139" s="49"/>
      <c r="Y139" s="49"/>
      <c r="Z139" s="49"/>
    </row>
    <row r="140">
      <c r="A140" s="49" t="str">
        <f>IFERROR(__xludf.DUMMYFUNCTION("""COMPUTED_VALUE"""),"Heatmore Flame Golem Head")</f>
        <v>Heatmore Flame Golem Head</v>
      </c>
      <c r="B140" s="49"/>
      <c r="C140" s="49"/>
      <c r="D140" s="49" t="str">
        <f>IFERROR(__xludf.DUMMYFUNCTION("""COMPUTED_VALUE"""),"Head")</f>
        <v>Head</v>
      </c>
      <c r="E140" s="49">
        <f>IFERROR(__xludf.DUMMYFUNCTION("""COMPUTED_VALUE"""),300.0)</f>
        <v>300</v>
      </c>
      <c r="F140" s="49" t="str">
        <f>IFERROR(__xludf.DUMMYFUNCTION("""COMPUTED_VALUE"""),"DEF: +5000, Fire DEF: +5000, Earth DEF: +5000 ++X2 additional Earth and Fire Resistance.")</f>
        <v>DEF: +5000, Fire DEF: +5000, Earth DEF: +5000 ++X2 additional Earth and Fire Resistance.</v>
      </c>
      <c r="G140" s="49">
        <f>IFERROR(__xludf.DUMMYFUNCTION("""COMPUTED_VALUE"""),4350000.0)</f>
        <v>4350000</v>
      </c>
      <c r="H140" s="49"/>
      <c r="I140" s="49"/>
      <c r="J140" s="49"/>
      <c r="K140" s="49"/>
      <c r="L140" s="49"/>
      <c r="M140" s="49"/>
      <c r="N140" s="49"/>
      <c r="O140" s="49"/>
      <c r="P140" s="49"/>
      <c r="Q140" s="49"/>
      <c r="R140" s="49"/>
      <c r="S140" s="49"/>
      <c r="T140" s="49"/>
      <c r="U140" s="49"/>
      <c r="V140" s="49"/>
      <c r="W140" s="49"/>
      <c r="X140" s="49"/>
      <c r="Y140" s="49"/>
      <c r="Z140" s="49"/>
    </row>
    <row r="141">
      <c r="A141" s="49" t="str">
        <f>IFERROR(__xludf.DUMMYFUNCTION("""COMPUTED_VALUE"""),"Helmet of Darkness")</f>
        <v>Helmet of Darkness</v>
      </c>
      <c r="B141" s="49"/>
      <c r="C141" s="49"/>
      <c r="D141" s="49" t="str">
        <f>IFERROR(__xludf.DUMMYFUNCTION("""COMPUTED_VALUE"""),"Head")</f>
        <v>Head</v>
      </c>
      <c r="E141" s="49">
        <f>IFERROR(__xludf.DUMMYFUNCTION("""COMPUTED_VALUE"""),400.0)</f>
        <v>400</v>
      </c>
      <c r="F141" s="49" t="str">
        <f>IFERROR(__xludf.DUMMYFUNCTION("""COMPUTED_VALUE"""),"DEF: +10000, Dark DEF: +10000 ++Immunity to Dark damage.")</f>
        <v>DEF: +10000, Dark DEF: +10000 ++Immunity to Dark damage.</v>
      </c>
      <c r="G141" s="49">
        <f>IFERROR(__xludf.DUMMYFUNCTION("""COMPUTED_VALUE"""),7800000.0)</f>
        <v>7800000</v>
      </c>
      <c r="H141" s="49"/>
      <c r="I141" s="49"/>
      <c r="J141" s="49"/>
      <c r="K141" s="49"/>
      <c r="L141" s="49"/>
      <c r="M141" s="49"/>
      <c r="N141" s="49"/>
      <c r="O141" s="49"/>
      <c r="P141" s="49"/>
      <c r="Q141" s="49"/>
      <c r="R141" s="49"/>
      <c r="S141" s="49"/>
      <c r="T141" s="49"/>
      <c r="U141" s="49"/>
      <c r="V141" s="49"/>
      <c r="W141" s="49"/>
      <c r="X141" s="49"/>
      <c r="Y141" s="49"/>
      <c r="Z141" s="49"/>
    </row>
    <row r="142">
      <c r="A142" s="49" t="str">
        <f>IFERROR(__xludf.DUMMYFUNCTION("""COMPUTED_VALUE"""),"Helmet of Waking Waters")</f>
        <v>Helmet of Waking Waters</v>
      </c>
      <c r="B142" s="49"/>
      <c r="C142" s="49"/>
      <c r="D142" s="49" t="str">
        <f>IFERROR(__xludf.DUMMYFUNCTION("""COMPUTED_VALUE"""),"Head")</f>
        <v>Head</v>
      </c>
      <c r="E142" s="49">
        <f>IFERROR(__xludf.DUMMYFUNCTION("""COMPUTED_VALUE"""),200.0)</f>
        <v>200</v>
      </c>
      <c r="F142" s="49" t="str">
        <f>IFERROR(__xludf.DUMMYFUNCTION("""COMPUTED_VALUE"""),"DEF: +5000, Water DEF: +5000 ++X4 additional water damage.")</f>
        <v>DEF: +5000, Water DEF: +5000 ++X4 additional water damage.</v>
      </c>
      <c r="G142" s="49">
        <f>IFERROR(__xludf.DUMMYFUNCTION("""COMPUTED_VALUE"""),1900000.0)</f>
        <v>1900000</v>
      </c>
      <c r="H142" s="49"/>
      <c r="I142" s="49"/>
      <c r="J142" s="49"/>
      <c r="K142" s="49"/>
      <c r="L142" s="49"/>
      <c r="M142" s="49"/>
      <c r="N142" s="49"/>
      <c r="O142" s="49"/>
      <c r="P142" s="49"/>
      <c r="Q142" s="49"/>
      <c r="R142" s="49"/>
      <c r="S142" s="49"/>
      <c r="T142" s="49"/>
      <c r="U142" s="49"/>
      <c r="V142" s="49"/>
      <c r="W142" s="49"/>
      <c r="X142" s="49"/>
      <c r="Y142" s="49"/>
      <c r="Z142" s="49"/>
    </row>
    <row r="143">
      <c r="A143" s="49" t="str">
        <f>IFERROR(__xludf.DUMMYFUNCTION("""COMPUTED_VALUE"""),"High Range Bow")</f>
        <v>High Range Bow</v>
      </c>
      <c r="B143" s="49"/>
      <c r="C143" s="49" t="str">
        <f>IFERROR(__xludf.DUMMYFUNCTION("""COMPUTED_VALUE"""),"Bow")</f>
        <v>Bow</v>
      </c>
      <c r="D143" s="49" t="str">
        <f>IFERROR(__xludf.DUMMYFUNCTION("""COMPUTED_VALUE"""),"Hand")</f>
        <v>Hand</v>
      </c>
      <c r="E143" s="49">
        <f>IFERROR(__xludf.DUMMYFUNCTION("""COMPUTED_VALUE"""),10.0)</f>
        <v>10</v>
      </c>
      <c r="F143" s="49" t="str">
        <f>IFERROR(__xludf.DUMMYFUNCTION("""COMPUTED_VALUE"""),"DMG: +500 ++Hawkeye: X2 more arrow damage and ranged attacks deal half damage that are dealt to the wearer. ")</f>
        <v>DMG: +500 ++Hawkeye: X2 more arrow damage and ranged attacks deal half damage that are dealt to the wearer. </v>
      </c>
      <c r="G143" s="49">
        <f>IFERROR(__xludf.DUMMYFUNCTION("""COMPUTED_VALUE"""),1000.0)</f>
        <v>1000</v>
      </c>
      <c r="H143" s="49"/>
      <c r="I143" s="49"/>
      <c r="J143" s="49"/>
      <c r="K143" s="49"/>
      <c r="L143" s="49"/>
      <c r="M143" s="49"/>
      <c r="N143" s="49"/>
      <c r="O143" s="49"/>
      <c r="P143" s="49"/>
      <c r="Q143" s="49"/>
      <c r="R143" s="49"/>
      <c r="S143" s="49"/>
      <c r="T143" s="49"/>
      <c r="U143" s="49"/>
      <c r="V143" s="49"/>
      <c r="W143" s="49"/>
      <c r="X143" s="49"/>
      <c r="Y143" s="49"/>
      <c r="Z143" s="49"/>
    </row>
    <row r="144">
      <c r="A144" s="49" t="str">
        <f>IFERROR(__xludf.DUMMYFUNCTION("""COMPUTED_VALUE"""),"Horn of The Forgotten")</f>
        <v>Horn of The Forgotten</v>
      </c>
      <c r="B144" s="49"/>
      <c r="C144" s="49" t="str">
        <f>IFERROR(__xludf.DUMMYFUNCTION("""COMPUTED_VALUE"""),"Wand")</f>
        <v>Wand</v>
      </c>
      <c r="D144" s="49" t="str">
        <f>IFERROR(__xludf.DUMMYFUNCTION("""COMPUTED_VALUE"""),"Hand")</f>
        <v>Hand</v>
      </c>
      <c r="E144" s="49">
        <f>IFERROR(__xludf.DUMMYFUNCTION("""COMPUTED_VALUE"""),1.0)</f>
        <v>1</v>
      </c>
      <c r="F144" s="49"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49">
        <f>IFERROR(__xludf.DUMMYFUNCTION("""COMPUTED_VALUE"""),0.0)</f>
        <v>0</v>
      </c>
      <c r="H144" s="49"/>
      <c r="I144" s="49"/>
      <c r="J144" s="49"/>
      <c r="K144" s="49"/>
      <c r="L144" s="49"/>
      <c r="M144" s="49"/>
      <c r="N144" s="49"/>
      <c r="O144" s="49"/>
      <c r="P144" s="49"/>
      <c r="Q144" s="49"/>
      <c r="R144" s="49"/>
      <c r="S144" s="49"/>
      <c r="T144" s="49"/>
      <c r="U144" s="49"/>
      <c r="V144" s="49"/>
      <c r="W144" s="49"/>
      <c r="X144" s="49"/>
      <c r="Y144" s="49"/>
      <c r="Z144" s="49"/>
    </row>
    <row r="145">
      <c r="A145" s="49" t="str">
        <f>IFERROR(__xludf.DUMMYFUNCTION("""COMPUTED_VALUE"""),"Houyi's Bow")</f>
        <v>Houyi's Bow</v>
      </c>
      <c r="B145" s="49"/>
      <c r="C145" s="49" t="str">
        <f>IFERROR(__xludf.DUMMYFUNCTION("""COMPUTED_VALUE"""),"Bow")</f>
        <v>Bow</v>
      </c>
      <c r="D145" s="49" t="str">
        <f>IFERROR(__xludf.DUMMYFUNCTION("""COMPUTED_VALUE"""),"Hand")</f>
        <v>Hand</v>
      </c>
      <c r="E145" s="49">
        <f>IFERROR(__xludf.DUMMYFUNCTION("""COMPUTED_VALUE"""),400.0)</f>
        <v>400</v>
      </c>
      <c r="F145" s="49" t="str">
        <f>IFERROR(__xludf.DUMMYFUNCTION("""COMPUTED_VALUE"""),"DMG: +20000 ++Skill Shot - gives the wielder X2 accuracy and X2 damage for bows.")</f>
        <v>DMG: +20000 ++Skill Shot - gives the wielder X2 accuracy and X2 damage for bows.</v>
      </c>
      <c r="G145" s="49">
        <f>IFERROR(__xludf.DUMMYFUNCTION("""COMPUTED_VALUE"""),7800000.0)</f>
        <v>7800000</v>
      </c>
      <c r="H145" s="49"/>
      <c r="I145" s="49"/>
      <c r="J145" s="49"/>
      <c r="K145" s="49"/>
      <c r="L145" s="49"/>
      <c r="M145" s="49"/>
      <c r="N145" s="49"/>
      <c r="O145" s="49"/>
      <c r="P145" s="49"/>
      <c r="Q145" s="49"/>
      <c r="R145" s="49"/>
      <c r="S145" s="49"/>
      <c r="T145" s="49"/>
      <c r="U145" s="49"/>
      <c r="V145" s="49"/>
      <c r="W145" s="49"/>
      <c r="X145" s="49"/>
      <c r="Y145" s="49"/>
      <c r="Z145" s="49"/>
    </row>
    <row r="146">
      <c r="A146" s="49" t="str">
        <f>IFERROR(__xludf.DUMMYFUNCTION("""COMPUTED_VALUE"""),"Ice Blade")</f>
        <v>Ice Blade</v>
      </c>
      <c r="B146" s="49"/>
      <c r="C146" s="49" t="str">
        <f>IFERROR(__xludf.DUMMYFUNCTION("""COMPUTED_VALUE"""),"Sword")</f>
        <v>Sword</v>
      </c>
      <c r="D146" s="49" t="str">
        <f>IFERROR(__xludf.DUMMYFUNCTION("""COMPUTED_VALUE"""),"Hand")</f>
        <v>Hand</v>
      </c>
      <c r="E146" s="49">
        <f>IFERROR(__xludf.DUMMYFUNCTION("""COMPUTED_VALUE"""),100.0)</f>
        <v>100</v>
      </c>
      <c r="F146" s="49" t="str">
        <f>IFERROR(__xludf.DUMMYFUNCTION("""COMPUTED_VALUE"""),"DMG: +2000, Water DMG: +3000 ++50% chance to freeze the target.")</f>
        <v>DMG: +2000, Water DMG: +3000 ++50% chance to freeze the target.</v>
      </c>
      <c r="G146" s="49">
        <f>IFERROR(__xludf.DUMMYFUNCTION("""COMPUTED_VALUE"""),450000.0)</f>
        <v>450000</v>
      </c>
      <c r="H146" s="49"/>
      <c r="I146" s="49"/>
      <c r="J146" s="49"/>
      <c r="K146" s="49"/>
      <c r="L146" s="49"/>
      <c r="M146" s="49"/>
      <c r="N146" s="49"/>
      <c r="O146" s="49"/>
      <c r="P146" s="49"/>
      <c r="Q146" s="49"/>
      <c r="R146" s="49"/>
      <c r="S146" s="49"/>
      <c r="T146" s="49"/>
      <c r="U146" s="49"/>
      <c r="V146" s="49"/>
      <c r="W146" s="49"/>
      <c r="X146" s="49"/>
      <c r="Y146" s="49"/>
      <c r="Z146" s="49"/>
    </row>
    <row r="147">
      <c r="A147" s="49" t="str">
        <f>IFERROR(__xludf.DUMMYFUNCTION("""COMPUTED_VALUE"""),"Inferno Staff")</f>
        <v>Inferno Staff</v>
      </c>
      <c r="B147" s="49"/>
      <c r="C147" s="49" t="str">
        <f>IFERROR(__xludf.DUMMYFUNCTION("""COMPUTED_VALUE"""),"Staff")</f>
        <v>Staff</v>
      </c>
      <c r="D147" s="49" t="str">
        <f>IFERROR(__xludf.DUMMYFUNCTION("""COMPUTED_VALUE"""),"Hand")</f>
        <v>Hand</v>
      </c>
      <c r="E147" s="49">
        <f>IFERROR(__xludf.DUMMYFUNCTION("""COMPUTED_VALUE"""),200.0)</f>
        <v>200</v>
      </c>
      <c r="F147" s="49" t="str">
        <f>IFERROR(__xludf.DUMMYFUNCTION("""COMPUTED_VALUE"""),", Fire : +10000 ++Burn 10,000 to 1 target for 3 rounds. 100sp.")</f>
        <v>, Fire : +10000 ++Burn 10,000 to 1 target for 3 rounds. 100sp.</v>
      </c>
      <c r="G147" s="49">
        <f>IFERROR(__xludf.DUMMYFUNCTION("""COMPUTED_VALUE"""),1900000.0)</f>
        <v>1900000</v>
      </c>
      <c r="H147" s="49"/>
      <c r="I147" s="49"/>
      <c r="J147" s="49"/>
      <c r="K147" s="49"/>
      <c r="L147" s="49"/>
      <c r="M147" s="49"/>
      <c r="N147" s="49"/>
      <c r="O147" s="49"/>
      <c r="P147" s="49"/>
      <c r="Q147" s="49"/>
      <c r="R147" s="49"/>
      <c r="S147" s="49"/>
      <c r="T147" s="49"/>
      <c r="U147" s="49"/>
      <c r="V147" s="49"/>
      <c r="W147" s="49"/>
      <c r="X147" s="49"/>
      <c r="Y147" s="49"/>
      <c r="Z147" s="49"/>
    </row>
    <row r="148">
      <c r="A148" s="49" t="str">
        <f>IFERROR(__xludf.DUMMYFUNCTION("""COMPUTED_VALUE"""),"Jack's Special Archer Robe")</f>
        <v>Jack's Special Archer Robe</v>
      </c>
      <c r="B148" s="49" t="str">
        <f>IFERROR(__xludf.DUMMYFUNCTION("""COMPUTED_VALUE"""),"Halloween exclusive")</f>
        <v>Halloween exclusive</v>
      </c>
      <c r="C148" s="49"/>
      <c r="D148" s="49" t="str">
        <f>IFERROR(__xludf.DUMMYFUNCTION("""COMPUTED_VALUE"""),"Torso")</f>
        <v>Torso</v>
      </c>
      <c r="E148" s="49">
        <f>IFERROR(__xludf.DUMMYFUNCTION("""COMPUTED_VALUE"""),20.0)</f>
        <v>20</v>
      </c>
      <c r="F148" s="49" t="str">
        <f>IFERROR(__xludf.DUMMYFUNCTION("""COMPUTED_VALUE"""),"DEF: +900 ++Range Spells cost half the SP cost and all damage is doubled for ranged spells +-Archer Class Only")</f>
        <v>DEF: +900 ++Range Spells cost half the SP cost and all damage is doubled for ranged spells +-Archer Class Only</v>
      </c>
      <c r="G148" s="49">
        <f>IFERROR(__xludf.DUMMYFUNCTION("""COMPUTED_VALUE"""),1000.0)</f>
        <v>1000</v>
      </c>
      <c r="H148" s="49"/>
      <c r="I148" s="49"/>
      <c r="J148" s="49"/>
      <c r="K148" s="49"/>
      <c r="L148" s="49"/>
      <c r="M148" s="49"/>
      <c r="N148" s="49"/>
      <c r="O148" s="49"/>
      <c r="P148" s="49"/>
      <c r="Q148" s="49"/>
      <c r="R148" s="49"/>
      <c r="S148" s="49"/>
      <c r="T148" s="49"/>
      <c r="U148" s="49"/>
      <c r="V148" s="49"/>
      <c r="W148" s="49"/>
      <c r="X148" s="49"/>
      <c r="Y148" s="49"/>
      <c r="Z148" s="49"/>
    </row>
    <row r="149">
      <c r="A149" s="49" t="str">
        <f>IFERROR(__xludf.DUMMYFUNCTION("""COMPUTED_VALUE"""),"Jack's Special Ring")</f>
        <v>Jack's Special Ring</v>
      </c>
      <c r="B149" s="49" t="str">
        <f>IFERROR(__xludf.DUMMYFUNCTION("""COMPUTED_VALUE"""),"Halloween exclusive")</f>
        <v>Halloween exclusive</v>
      </c>
      <c r="C149" s="49"/>
      <c r="D149" s="49" t="str">
        <f>IFERROR(__xludf.DUMMYFUNCTION("""COMPUTED_VALUE"""),"Ring")</f>
        <v>Ring</v>
      </c>
      <c r="E149" s="49">
        <f>IFERROR(__xludf.DUMMYFUNCTION("""COMPUTED_VALUE"""),1.0)</f>
        <v>1</v>
      </c>
      <c r="F149" s="49" t="str">
        <f>IFERROR(__xludf.DUMMYFUNCTION("""COMPUTED_VALUE""")," ++Increase all types of damage by X2. +-Cannot be forged +-Cannot be duplicated")</f>
        <v> ++Increase all types of damage by X2. +-Cannot be forged +-Cannot be duplicated</v>
      </c>
      <c r="G149" s="49">
        <f>IFERROR(__xludf.DUMMYFUNCTION("""COMPUTED_VALUE"""),0.0)</f>
        <v>0</v>
      </c>
      <c r="H149" s="49"/>
      <c r="I149" s="49"/>
      <c r="J149" s="49"/>
      <c r="K149" s="49"/>
      <c r="L149" s="49"/>
      <c r="M149" s="49"/>
      <c r="N149" s="49"/>
      <c r="O149" s="49"/>
      <c r="P149" s="49"/>
      <c r="Q149" s="49"/>
      <c r="R149" s="49"/>
      <c r="S149" s="49"/>
      <c r="T149" s="49"/>
      <c r="U149" s="49"/>
      <c r="V149" s="49"/>
      <c r="W149" s="49"/>
      <c r="X149" s="49"/>
      <c r="Y149" s="49"/>
      <c r="Z149" s="49"/>
    </row>
    <row r="150">
      <c r="A150" s="49" t="str">
        <f>IFERROR(__xludf.DUMMYFUNCTION("""COMPUTED_VALUE"""),"Jack's Special Sword")</f>
        <v>Jack's Special Sword</v>
      </c>
      <c r="B150" s="49" t="str">
        <f>IFERROR(__xludf.DUMMYFUNCTION("""COMPUTED_VALUE"""),"Halloween exclusive")</f>
        <v>Halloween exclusive</v>
      </c>
      <c r="C150" s="49" t="str">
        <f>IFERROR(__xludf.DUMMYFUNCTION("""COMPUTED_VALUE"""),"Sword")</f>
        <v>Sword</v>
      </c>
      <c r="D150" s="49" t="str">
        <f>IFERROR(__xludf.DUMMYFUNCTION("""COMPUTED_VALUE"""),"Hand")</f>
        <v>Hand</v>
      </c>
      <c r="E150" s="49">
        <f>IFERROR(__xludf.DUMMYFUNCTION("""COMPUTED_VALUE"""),60.0)</f>
        <v>60</v>
      </c>
      <c r="F150" s="49"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49">
        <f>IFERROR(__xludf.DUMMYFUNCTION("""COMPUTED_VALUE"""),150000.0)</f>
        <v>150000</v>
      </c>
      <c r="H150" s="49"/>
      <c r="I150" s="49"/>
      <c r="J150" s="49"/>
      <c r="K150" s="49"/>
      <c r="L150" s="49"/>
      <c r="M150" s="49"/>
      <c r="N150" s="49"/>
      <c r="O150" s="49"/>
      <c r="P150" s="49"/>
      <c r="Q150" s="49"/>
      <c r="R150" s="49"/>
      <c r="S150" s="49"/>
      <c r="T150" s="49"/>
      <c r="U150" s="49"/>
      <c r="V150" s="49"/>
      <c r="W150" s="49"/>
      <c r="X150" s="49"/>
      <c r="Y150" s="49"/>
      <c r="Z150" s="49"/>
    </row>
    <row r="151">
      <c r="A151" s="49" t="str">
        <f>IFERROR(__xludf.DUMMYFUNCTION("""COMPUTED_VALUE"""),"Jack’o Lantern Helmet of Swampy Hallow")</f>
        <v>Jack’o Lantern Helmet of Swampy Hallow</v>
      </c>
      <c r="B151" s="49" t="str">
        <f>IFERROR(__xludf.DUMMYFUNCTION("""COMPUTED_VALUE"""),"Halloween exclusive")</f>
        <v>Halloween exclusive</v>
      </c>
      <c r="C151" s="49"/>
      <c r="D151" s="49" t="str">
        <f>IFERROR(__xludf.DUMMYFUNCTION("""COMPUTED_VALUE"""),"Head")</f>
        <v>Head</v>
      </c>
      <c r="E151" s="49">
        <f>IFERROR(__xludf.DUMMYFUNCTION("""COMPUTED_VALUE"""),600.0)</f>
        <v>600</v>
      </c>
      <c r="F151" s="49"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49">
        <f>IFERROR(__xludf.DUMMYFUNCTION("""COMPUTED_VALUE"""),1.77E7)</f>
        <v>17700000</v>
      </c>
      <c r="H151" s="49"/>
      <c r="I151" s="49"/>
      <c r="J151" s="49"/>
      <c r="K151" s="49"/>
      <c r="L151" s="49"/>
      <c r="M151" s="49"/>
      <c r="N151" s="49"/>
      <c r="O151" s="49"/>
      <c r="P151" s="49"/>
      <c r="Q151" s="49"/>
      <c r="R151" s="49"/>
      <c r="S151" s="49"/>
      <c r="T151" s="49"/>
      <c r="U151" s="49"/>
      <c r="V151" s="49"/>
      <c r="W151" s="49"/>
      <c r="X151" s="49"/>
      <c r="Y151" s="49"/>
      <c r="Z151" s="49"/>
    </row>
    <row r="152">
      <c r="A152" s="49" t="str">
        <f>IFERROR(__xludf.DUMMYFUNCTION("""COMPUTED_VALUE"""),"Katana")</f>
        <v>Katana</v>
      </c>
      <c r="B152" s="49"/>
      <c r="C152" s="49" t="str">
        <f>IFERROR(__xludf.DUMMYFUNCTION("""COMPUTED_VALUE"""),"Sword")</f>
        <v>Sword</v>
      </c>
      <c r="D152" s="49" t="str">
        <f>IFERROR(__xludf.DUMMYFUNCTION("""COMPUTED_VALUE"""),"Hand")</f>
        <v>Hand</v>
      </c>
      <c r="E152" s="49">
        <f>IFERROR(__xludf.DUMMYFUNCTION("""COMPUTED_VALUE"""),10.0)</f>
        <v>10</v>
      </c>
      <c r="F152" s="49" t="str">
        <f>IFERROR(__xludf.DUMMYFUNCTION("""COMPUTED_VALUE"""),"DMG: +500 ++ +10% chance of the sword ability activating.")</f>
        <v>DMG: +500 ++ +10% chance of the sword ability activating.</v>
      </c>
      <c r="G152" s="49">
        <f>IFERROR(__xludf.DUMMYFUNCTION("""COMPUTED_VALUE"""),1000.0)</f>
        <v>1000</v>
      </c>
      <c r="H152" s="49"/>
      <c r="I152" s="49"/>
      <c r="J152" s="49"/>
      <c r="K152" s="49"/>
      <c r="L152" s="49"/>
      <c r="M152" s="49"/>
      <c r="N152" s="49"/>
      <c r="O152" s="49"/>
      <c r="P152" s="49"/>
      <c r="Q152" s="49"/>
      <c r="R152" s="49"/>
      <c r="S152" s="49"/>
      <c r="T152" s="49"/>
      <c r="U152" s="49"/>
      <c r="V152" s="49"/>
      <c r="W152" s="49"/>
      <c r="X152" s="49"/>
      <c r="Y152" s="49"/>
      <c r="Z152" s="49"/>
    </row>
    <row r="153">
      <c r="A153" s="49" t="str">
        <f>IFERROR(__xludf.DUMMYFUNCTION("""COMPUTED_VALUE"""),"King Of Mekanas Sword")</f>
        <v>King Of Mekanas Sword</v>
      </c>
      <c r="B153" s="49" t="str">
        <f>IFERROR(__xludf.DUMMYFUNCTION("""COMPUTED_VALUE"""),"Mob Exclusive")</f>
        <v>Mob Exclusive</v>
      </c>
      <c r="C153" s="49" t="str">
        <f>IFERROR(__xludf.DUMMYFUNCTION("""COMPUTED_VALUE"""),"Sword")</f>
        <v>Sword</v>
      </c>
      <c r="D153" s="49" t="str">
        <f>IFERROR(__xludf.DUMMYFUNCTION("""COMPUTED_VALUE"""),"Hand")</f>
        <v>Hand</v>
      </c>
      <c r="E153" s="49">
        <f>IFERROR(__xludf.DUMMYFUNCTION("""COMPUTED_VALUE"""),3000.0)</f>
        <v>3000</v>
      </c>
      <c r="F153" s="49" t="str">
        <f>IFERROR(__xludf.DUMMYFUNCTION("""COMPUTED_VALUE"""),"DMG: +50000, Fire DMG: +50000, Storm DMG: +50000 ++X8 additional Fire and Storm damage. ")</f>
        <v>DMG: +50000, Fire DMG: +50000, Storm DMG: +50000 ++X8 additional Fire and Storm damage. </v>
      </c>
      <c r="G153" s="49">
        <f>IFERROR(__xludf.DUMMYFUNCTION("""COMPUTED_VALUE"""),4.485E8)</f>
        <v>448500000</v>
      </c>
      <c r="H153" s="49"/>
      <c r="I153" s="49"/>
      <c r="J153" s="49"/>
      <c r="K153" s="49"/>
      <c r="L153" s="49"/>
      <c r="M153" s="49"/>
      <c r="N153" s="49"/>
      <c r="O153" s="49"/>
      <c r="P153" s="49"/>
      <c r="Q153" s="49"/>
      <c r="R153" s="49"/>
      <c r="S153" s="49"/>
      <c r="T153" s="49"/>
      <c r="U153" s="49"/>
      <c r="V153" s="49"/>
      <c r="W153" s="49"/>
      <c r="X153" s="49"/>
      <c r="Y153" s="49"/>
      <c r="Z153" s="49"/>
    </row>
    <row r="154">
      <c r="A154" s="49" t="str">
        <f>IFERROR(__xludf.DUMMYFUNCTION("""COMPUTED_VALUE"""),"King's Royal Sword")</f>
        <v>King's Royal Sword</v>
      </c>
      <c r="B154" s="49" t="str">
        <f>IFERROR(__xludf.DUMMYFUNCTION("""COMPUTED_VALUE"""),"Quest Item")</f>
        <v>Quest Item</v>
      </c>
      <c r="C154" s="49" t="str">
        <f>IFERROR(__xludf.DUMMYFUNCTION("""COMPUTED_VALUE"""),"Sword")</f>
        <v>Sword</v>
      </c>
      <c r="D154" s="49" t="str">
        <f>IFERROR(__xludf.DUMMYFUNCTION("""COMPUTED_VALUE"""),"Hand")</f>
        <v>Hand</v>
      </c>
      <c r="E154" s="49">
        <f>IFERROR(__xludf.DUMMYFUNCTION("""COMPUTED_VALUE"""),200.0)</f>
        <v>200</v>
      </c>
      <c r="F154" s="49"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49">
        <f>IFERROR(__xludf.DUMMYFUNCTION("""COMPUTED_VALUE"""),7.98E8)</f>
        <v>798000000</v>
      </c>
      <c r="H154" s="49"/>
      <c r="I154" s="49"/>
      <c r="J154" s="49"/>
      <c r="K154" s="49"/>
      <c r="L154" s="49"/>
      <c r="M154" s="49"/>
      <c r="N154" s="49"/>
      <c r="O154" s="49"/>
      <c r="P154" s="49"/>
      <c r="Q154" s="49"/>
      <c r="R154" s="49"/>
      <c r="S154" s="49"/>
      <c r="T154" s="49"/>
      <c r="U154" s="49"/>
      <c r="V154" s="49"/>
      <c r="W154" s="49"/>
      <c r="X154" s="49"/>
      <c r="Y154" s="49"/>
      <c r="Z154" s="49"/>
    </row>
    <row r="155">
      <c r="A155" s="49" t="str">
        <f>IFERROR(__xludf.DUMMYFUNCTION("""COMPUTED_VALUE"""),"Knife")</f>
        <v>Knife</v>
      </c>
      <c r="B155" s="49"/>
      <c r="C155" s="49" t="str">
        <f>IFERROR(__xludf.DUMMYFUNCTION("""COMPUTED_VALUE"""),"Knife")</f>
        <v>Knife</v>
      </c>
      <c r="D155" s="49" t="str">
        <f>IFERROR(__xludf.DUMMYFUNCTION("""COMPUTED_VALUE"""),"Hand")</f>
        <v>Hand</v>
      </c>
      <c r="E155" s="49">
        <f>IFERROR(__xludf.DUMMYFUNCTION("""COMPUTED_VALUE"""),20.0)</f>
        <v>20</v>
      </c>
      <c r="F155" s="49" t="str">
        <f>IFERROR(__xludf.DUMMYFUNCTION("""COMPUTED_VALUE"""),"DMG: +1000")</f>
        <v>DMG: +1000</v>
      </c>
      <c r="G155" s="49">
        <f>IFERROR(__xludf.DUMMYFUNCTION("""COMPUTED_VALUE"""),10000.0)</f>
        <v>10000</v>
      </c>
      <c r="H155" s="49"/>
      <c r="I155" s="49"/>
      <c r="J155" s="49"/>
      <c r="K155" s="49"/>
      <c r="L155" s="49"/>
      <c r="M155" s="49"/>
      <c r="N155" s="49"/>
      <c r="O155" s="49"/>
      <c r="P155" s="49"/>
      <c r="Q155" s="49"/>
      <c r="R155" s="49"/>
      <c r="S155" s="49"/>
      <c r="T155" s="49"/>
      <c r="U155" s="49"/>
      <c r="V155" s="49"/>
      <c r="W155" s="49"/>
      <c r="X155" s="49"/>
      <c r="Y155" s="49"/>
      <c r="Z155" s="49"/>
    </row>
    <row r="156">
      <c r="A156" s="49" t="str">
        <f>IFERROR(__xludf.DUMMYFUNCTION("""COMPUTED_VALUE"""),"Knife of Jinx")</f>
        <v>Knife of Jinx</v>
      </c>
      <c r="B156" s="49"/>
      <c r="C156" s="49" t="str">
        <f>IFERROR(__xludf.DUMMYFUNCTION("""COMPUTED_VALUE"""),"Knife")</f>
        <v>Knife</v>
      </c>
      <c r="D156" s="49" t="str">
        <f>IFERROR(__xludf.DUMMYFUNCTION("""COMPUTED_VALUE"""),"Hand")</f>
        <v>Hand</v>
      </c>
      <c r="E156" s="49">
        <f>IFERROR(__xludf.DUMMYFUNCTION("""COMPUTED_VALUE"""),1.0)</f>
        <v>1</v>
      </c>
      <c r="F156" s="49"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49">
        <f>IFERROR(__xludf.DUMMYFUNCTION("""COMPUTED_VALUE"""),0.0)</f>
        <v>0</v>
      </c>
      <c r="H156" s="49"/>
      <c r="I156" s="49"/>
      <c r="J156" s="49"/>
      <c r="K156" s="49"/>
      <c r="L156" s="49"/>
      <c r="M156" s="49"/>
      <c r="N156" s="49"/>
      <c r="O156" s="49"/>
      <c r="P156" s="49"/>
      <c r="Q156" s="49"/>
      <c r="R156" s="49"/>
      <c r="S156" s="49"/>
      <c r="T156" s="49"/>
      <c r="U156" s="49"/>
      <c r="V156" s="49"/>
      <c r="W156" s="49"/>
      <c r="X156" s="49"/>
      <c r="Y156" s="49"/>
      <c r="Z156" s="49"/>
    </row>
    <row r="157">
      <c r="A157" s="49" t="str">
        <f>IFERROR(__xludf.DUMMYFUNCTION("""COMPUTED_VALUE"""),"kraken's power ring")</f>
        <v>kraken's power ring</v>
      </c>
      <c r="B157" s="49"/>
      <c r="C157" s="49"/>
      <c r="D157" s="49" t="str">
        <f>IFERROR(__xludf.DUMMYFUNCTION("""COMPUTED_VALUE"""),"Ring")</f>
        <v>Ring</v>
      </c>
      <c r="E157" s="49">
        <f>IFERROR(__xludf.DUMMYFUNCTION("""COMPUTED_VALUE"""),1.0)</f>
        <v>1</v>
      </c>
      <c r="F157" s="49" t="str">
        <f>IFERROR(__xludf.DUMMYFUNCTION("""COMPUTED_VALUE""")," ++water based attacks double in damage. ++sp cost is halved for water spells only")</f>
        <v> ++water based attacks double in damage. ++sp cost is halved for water spells only</v>
      </c>
      <c r="G157" s="49">
        <f>IFERROR(__xludf.DUMMYFUNCTION("""COMPUTED_VALUE"""),0.0)</f>
        <v>0</v>
      </c>
      <c r="H157" s="49"/>
      <c r="I157" s="49"/>
      <c r="J157" s="49"/>
      <c r="K157" s="49"/>
      <c r="L157" s="49"/>
      <c r="M157" s="49"/>
      <c r="N157" s="49"/>
      <c r="O157" s="49"/>
      <c r="P157" s="49"/>
      <c r="Q157" s="49"/>
      <c r="R157" s="49"/>
      <c r="S157" s="49"/>
      <c r="T157" s="49"/>
      <c r="U157" s="49"/>
      <c r="V157" s="49"/>
      <c r="W157" s="49"/>
      <c r="X157" s="49"/>
      <c r="Y157" s="49"/>
      <c r="Z157" s="49"/>
    </row>
    <row r="158">
      <c r="A158" s="49" t="str">
        <f>IFERROR(__xludf.DUMMYFUNCTION("""COMPUTED_VALUE"""),"Krakens Power Ring")</f>
        <v>Krakens Power Ring</v>
      </c>
      <c r="B158" s="49"/>
      <c r="C158" s="49"/>
      <c r="D158" s="49" t="str">
        <f>IFERROR(__xludf.DUMMYFUNCTION("""COMPUTED_VALUE"""),"Ring")</f>
        <v>Ring</v>
      </c>
      <c r="E158" s="49">
        <f>IFERROR(__xludf.DUMMYFUNCTION("""COMPUTED_VALUE"""),1.0)</f>
        <v>1</v>
      </c>
      <c r="F158" s="49" t="str">
        <f>IFERROR(__xludf.DUMMYFUNCTION("""COMPUTED_VALUE""")," ++water based attacks deal x2 damage, ++sp is halved for water spells only. +-(one use per battle)")</f>
        <v> ++water based attacks deal x2 damage, ++sp is halved for water spells only. +-(one use per battle)</v>
      </c>
      <c r="G158" s="49">
        <f>IFERROR(__xludf.DUMMYFUNCTION("""COMPUTED_VALUE"""),0.0)</f>
        <v>0</v>
      </c>
      <c r="H158" s="49"/>
      <c r="I158" s="49"/>
      <c r="J158" s="49"/>
      <c r="K158" s="49"/>
      <c r="L158" s="49"/>
      <c r="M158" s="49"/>
      <c r="N158" s="49"/>
      <c r="O158" s="49"/>
      <c r="P158" s="49"/>
      <c r="Q158" s="49"/>
      <c r="R158" s="49"/>
      <c r="S158" s="49"/>
      <c r="T158" s="49"/>
      <c r="U158" s="49"/>
      <c r="V158" s="49"/>
      <c r="W158" s="49"/>
      <c r="X158" s="49"/>
      <c r="Y158" s="49"/>
      <c r="Z158" s="49"/>
    </row>
    <row r="159">
      <c r="A159" s="49" t="str">
        <f>IFERROR(__xludf.DUMMYFUNCTION("""COMPUTED_VALUE"""),"Lava Longsword")</f>
        <v>Lava Longsword</v>
      </c>
      <c r="B159" s="49"/>
      <c r="C159" s="49" t="str">
        <f>IFERROR(__xludf.DUMMYFUNCTION("""COMPUTED_VALUE"""),"Sword")</f>
        <v>Sword</v>
      </c>
      <c r="D159" s="49" t="str">
        <f>IFERROR(__xludf.DUMMYFUNCTION("""COMPUTED_VALUE"""),"Hand")</f>
        <v>Hand</v>
      </c>
      <c r="E159" s="49">
        <f>IFERROR(__xludf.DUMMYFUNCTION("""COMPUTED_VALUE"""),800.0)</f>
        <v>800</v>
      </c>
      <c r="F159" s="49" t="str">
        <f>IFERROR(__xludf.DUMMYFUNCTION("""COMPUTED_VALUE"""),"DMG: +20000, Fire DMG: +20000 ++Burn 10,000 for 3 rounds.")</f>
        <v>DMG: +20000, Fire DMG: +20000 ++Burn 10,000 for 3 rounds.</v>
      </c>
      <c r="G159" s="49">
        <f>IFERROR(__xludf.DUMMYFUNCTION("""COMPUTED_VALUE"""),3.16E7)</f>
        <v>31600000</v>
      </c>
      <c r="H159" s="49"/>
      <c r="I159" s="49"/>
      <c r="J159" s="49"/>
      <c r="K159" s="49"/>
      <c r="L159" s="49"/>
      <c r="M159" s="49"/>
      <c r="N159" s="49"/>
      <c r="O159" s="49"/>
      <c r="P159" s="49"/>
      <c r="Q159" s="49"/>
      <c r="R159" s="49"/>
      <c r="S159" s="49"/>
      <c r="T159" s="49"/>
      <c r="U159" s="49"/>
      <c r="V159" s="49"/>
      <c r="W159" s="49"/>
      <c r="X159" s="49"/>
      <c r="Y159" s="49"/>
      <c r="Z159" s="49"/>
    </row>
    <row r="160">
      <c r="A160" s="49" t="str">
        <f>IFERROR(__xludf.DUMMYFUNCTION("""COMPUTED_VALUE"""),"Lazer Infused Sword")</f>
        <v>Lazer Infused Sword</v>
      </c>
      <c r="B160" s="49"/>
      <c r="C160" s="49" t="str">
        <f>IFERROR(__xludf.DUMMYFUNCTION("""COMPUTED_VALUE"""),"Sword")</f>
        <v>Sword</v>
      </c>
      <c r="D160" s="49" t="str">
        <f>IFERROR(__xludf.DUMMYFUNCTION("""COMPUTED_VALUE"""),"Hand")</f>
        <v>Hand</v>
      </c>
      <c r="E160" s="49">
        <f>IFERROR(__xludf.DUMMYFUNCTION("""COMPUTED_VALUE"""),600.0)</f>
        <v>600</v>
      </c>
      <c r="F160" s="49" t="str">
        <f>IFERROR(__xludf.DUMMYFUNCTION("""COMPUTED_VALUE"""),"DMG: +10000, Fire DMG: +10000, Blood DMG: +10000 ++Ignores Defense. +-Cannot be duplicated.")</f>
        <v>DMG: +10000, Fire DMG: +10000, Blood DMG: +10000 ++Ignores Defense. +-Cannot be duplicated.</v>
      </c>
      <c r="G160" s="49">
        <f>IFERROR(__xludf.DUMMYFUNCTION("""COMPUTED_VALUE"""),1.77E7)</f>
        <v>17700000</v>
      </c>
      <c r="H160" s="49"/>
      <c r="I160" s="49"/>
      <c r="J160" s="49"/>
      <c r="K160" s="49"/>
      <c r="L160" s="49"/>
      <c r="M160" s="49"/>
      <c r="N160" s="49"/>
      <c r="O160" s="49"/>
      <c r="P160" s="49"/>
      <c r="Q160" s="49"/>
      <c r="R160" s="49"/>
      <c r="S160" s="49"/>
      <c r="T160" s="49"/>
      <c r="U160" s="49"/>
      <c r="V160" s="49"/>
      <c r="W160" s="49"/>
      <c r="X160" s="49"/>
      <c r="Y160" s="49"/>
      <c r="Z160" s="49"/>
    </row>
    <row r="161">
      <c r="A161" s="49" t="str">
        <f>IFERROR(__xludf.DUMMYFUNCTION("""COMPUTED_VALUE"""),"Legendary Sword of Heatmore")</f>
        <v>Legendary Sword of Heatmore</v>
      </c>
      <c r="B161" s="49"/>
      <c r="C161" s="49" t="str">
        <f>IFERROR(__xludf.DUMMYFUNCTION("""COMPUTED_VALUE"""),"Sword")</f>
        <v>Sword</v>
      </c>
      <c r="D161" s="49" t="str">
        <f>IFERROR(__xludf.DUMMYFUNCTION("""COMPUTED_VALUE"""),"Hand")</f>
        <v>Hand</v>
      </c>
      <c r="E161" s="49">
        <f>IFERROR(__xludf.DUMMYFUNCTION("""COMPUTED_VALUE"""),200.0)</f>
        <v>200</v>
      </c>
      <c r="F161" s="49"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49">
        <f>IFERROR(__xludf.DUMMYFUNCTION("""COMPUTED_VALUE"""),1.272E8)</f>
        <v>127200000</v>
      </c>
      <c r="H161" s="49"/>
      <c r="I161" s="49"/>
      <c r="J161" s="49"/>
      <c r="K161" s="49"/>
      <c r="L161" s="49"/>
      <c r="M161" s="49"/>
      <c r="N161" s="49"/>
      <c r="O161" s="49"/>
      <c r="P161" s="49"/>
      <c r="Q161" s="49"/>
      <c r="R161" s="49"/>
      <c r="S161" s="49"/>
      <c r="T161" s="49"/>
      <c r="U161" s="49"/>
      <c r="V161" s="49"/>
      <c r="W161" s="49"/>
      <c r="X161" s="49"/>
      <c r="Y161" s="49"/>
      <c r="Z161" s="49"/>
    </row>
    <row r="162">
      <c r="A162" s="49" t="str">
        <f>IFERROR(__xludf.DUMMYFUNCTION("""COMPUTED_VALUE"""),"Legendary Tree Sword")</f>
        <v>Legendary Tree Sword</v>
      </c>
      <c r="B162" s="49"/>
      <c r="C162" s="49" t="str">
        <f>IFERROR(__xludf.DUMMYFUNCTION("""COMPUTED_VALUE"""),"Sword")</f>
        <v>Sword</v>
      </c>
      <c r="D162" s="49" t="str">
        <f>IFERROR(__xludf.DUMMYFUNCTION("""COMPUTED_VALUE"""),"Hand")</f>
        <v>Hand</v>
      </c>
      <c r="E162" s="49">
        <f>IFERROR(__xludf.DUMMYFUNCTION("""COMPUTED_VALUE"""),200.0)</f>
        <v>200</v>
      </c>
      <c r="F162" s="49"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49">
        <f>IFERROR(__xludf.DUMMYFUNCTION("""COMPUTED_VALUE"""),4.485E8)</f>
        <v>448500000</v>
      </c>
      <c r="H162" s="49"/>
      <c r="I162" s="49"/>
      <c r="J162" s="49"/>
      <c r="K162" s="49"/>
      <c r="L162" s="49"/>
      <c r="M162" s="49"/>
      <c r="N162" s="49"/>
      <c r="O162" s="49"/>
      <c r="P162" s="49"/>
      <c r="Q162" s="49"/>
      <c r="R162" s="49"/>
      <c r="S162" s="49"/>
      <c r="T162" s="49"/>
      <c r="U162" s="49"/>
      <c r="V162" s="49"/>
      <c r="W162" s="49"/>
      <c r="X162" s="49"/>
      <c r="Y162" s="49"/>
      <c r="Z162" s="49"/>
    </row>
    <row r="163">
      <c r="A163" s="49" t="str">
        <f>IFERROR(__xludf.DUMMYFUNCTION("""COMPUTED_VALUE"""),"Leggings Of Tritonoch")</f>
        <v>Leggings Of Tritonoch</v>
      </c>
      <c r="B163" s="49"/>
      <c r="C163" s="49"/>
      <c r="D163" s="49" t="str">
        <f>IFERROR(__xludf.DUMMYFUNCTION("""COMPUTED_VALUE"""),"Legs")</f>
        <v>Legs</v>
      </c>
      <c r="E163" s="49">
        <f>IFERROR(__xludf.DUMMYFUNCTION("""COMPUTED_VALUE"""),400.0)</f>
        <v>400</v>
      </c>
      <c r="F163" s="49" t="str">
        <f>IFERROR(__xludf.DUMMYFUNCTION("""COMPUTED_VALUE"""),"DEF: +20000 ++Waves of Entitlement - x5 additional Water damage")</f>
        <v>DEF: +20000 ++Waves of Entitlement - x5 additional Water damage</v>
      </c>
      <c r="G163" s="49">
        <f>IFERROR(__xludf.DUMMYFUNCTION("""COMPUTED_VALUE"""),7800000.0)</f>
        <v>7800000</v>
      </c>
      <c r="H163" s="49"/>
      <c r="I163" s="49"/>
      <c r="J163" s="49"/>
      <c r="K163" s="49"/>
      <c r="L163" s="49"/>
      <c r="M163" s="49"/>
      <c r="N163" s="49"/>
      <c r="O163" s="49"/>
      <c r="P163" s="49"/>
      <c r="Q163" s="49"/>
      <c r="R163" s="49"/>
      <c r="S163" s="49"/>
      <c r="T163" s="49"/>
      <c r="U163" s="49"/>
      <c r="V163" s="49"/>
      <c r="W163" s="49"/>
      <c r="X163" s="49"/>
      <c r="Y163" s="49"/>
      <c r="Z163" s="49"/>
    </row>
    <row r="164">
      <c r="A164" s="49" t="str">
        <f>IFERROR(__xludf.DUMMYFUNCTION("""COMPUTED_VALUE"""),"Lightning Lance")</f>
        <v>Lightning Lance</v>
      </c>
      <c r="B164" s="49"/>
      <c r="C164" s="49" t="str">
        <f>IFERROR(__xludf.DUMMYFUNCTION("""COMPUTED_VALUE"""),"Spear")</f>
        <v>Spear</v>
      </c>
      <c r="D164" s="49" t="str">
        <f>IFERROR(__xludf.DUMMYFUNCTION("""COMPUTED_VALUE"""),"Hand")</f>
        <v>Hand</v>
      </c>
      <c r="E164" s="49">
        <f>IFERROR(__xludf.DUMMYFUNCTION("""COMPUTED_VALUE"""),500.0)</f>
        <v>500</v>
      </c>
      <c r="F164" s="49" t="str">
        <f>IFERROR(__xludf.DUMMYFUNCTION("""COMPUTED_VALUE"""),"DMG: +10000, Storm DMG: +15000 ++Stun 2")</f>
        <v>DMG: +10000, Storm DMG: +15000 ++Stun 2</v>
      </c>
      <c r="G164" s="49">
        <f>IFERROR(__xludf.DUMMYFUNCTION("""COMPUTED_VALUE"""),1.225E7)</f>
        <v>12250000</v>
      </c>
      <c r="H164" s="49"/>
      <c r="I164" s="49"/>
      <c r="J164" s="49"/>
      <c r="K164" s="49"/>
      <c r="L164" s="49"/>
      <c r="M164" s="49"/>
      <c r="N164" s="49"/>
      <c r="O164" s="49"/>
      <c r="P164" s="49"/>
      <c r="Q164" s="49"/>
      <c r="R164" s="49"/>
      <c r="S164" s="49"/>
      <c r="T164" s="49"/>
      <c r="U164" s="49"/>
      <c r="V164" s="49"/>
      <c r="W164" s="49"/>
      <c r="X164" s="49"/>
      <c r="Y164" s="49"/>
      <c r="Z164" s="49"/>
    </row>
    <row r="165">
      <c r="A165" s="49" t="str">
        <f>IFERROR(__xludf.DUMMYFUNCTION("""COMPUTED_VALUE"""),"Long Spear")</f>
        <v>Long Spear</v>
      </c>
      <c r="B165" s="49"/>
      <c r="C165" s="49" t="str">
        <f>IFERROR(__xludf.DUMMYFUNCTION("""COMPUTED_VALUE"""),"Spear")</f>
        <v>Spear</v>
      </c>
      <c r="D165" s="49" t="str">
        <f>IFERROR(__xludf.DUMMYFUNCTION("""COMPUTED_VALUE"""),"Hand")</f>
        <v>Hand</v>
      </c>
      <c r="E165" s="49">
        <f>IFERROR(__xludf.DUMMYFUNCTION("""COMPUTED_VALUE"""),10.0)</f>
        <v>10</v>
      </c>
      <c r="F165" s="49" t="str">
        <f>IFERROR(__xludf.DUMMYFUNCTION("""COMPUTED_VALUE"""),"DMG: +500 ++25% chance of instant death. ")</f>
        <v>DMG: +500 ++25% chance of instant death. </v>
      </c>
      <c r="G165" s="49">
        <f>IFERROR(__xludf.DUMMYFUNCTION("""COMPUTED_VALUE"""),1000.0)</f>
        <v>1000</v>
      </c>
      <c r="H165" s="49"/>
      <c r="I165" s="49"/>
      <c r="J165" s="49"/>
      <c r="K165" s="49"/>
      <c r="L165" s="49"/>
      <c r="M165" s="49"/>
      <c r="N165" s="49"/>
      <c r="O165" s="49"/>
      <c r="P165" s="49"/>
      <c r="Q165" s="49"/>
      <c r="R165" s="49"/>
      <c r="S165" s="49"/>
      <c r="T165" s="49"/>
      <c r="U165" s="49"/>
      <c r="V165" s="49"/>
      <c r="W165" s="49"/>
      <c r="X165" s="49"/>
      <c r="Y165" s="49"/>
      <c r="Z165" s="49"/>
    </row>
    <row r="166">
      <c r="A166" s="49" t="str">
        <f>IFERROR(__xludf.DUMMYFUNCTION("""COMPUTED_VALUE"""),"Lord Dreadfuls Sword")</f>
        <v>Lord Dreadfuls Sword</v>
      </c>
      <c r="B166" s="49"/>
      <c r="C166" s="49" t="str">
        <f>IFERROR(__xludf.DUMMYFUNCTION("""COMPUTED_VALUE"""),"Sword")</f>
        <v>Sword</v>
      </c>
      <c r="D166" s="49" t="str">
        <f>IFERROR(__xludf.DUMMYFUNCTION("""COMPUTED_VALUE"""),"Hand")</f>
        <v>Hand</v>
      </c>
      <c r="E166" s="49">
        <f>IFERROR(__xludf.DUMMYFUNCTION("""COMPUTED_VALUE"""),800.0)</f>
        <v>800</v>
      </c>
      <c r="F166" s="49" t="str">
        <f>IFERROR(__xludf.DUMMYFUNCTION("""COMPUTED_VALUE"""),"DMG: +20000, Dark DMG: +10000, Chaos DMG: +10000")</f>
        <v>DMG: +20000, Dark DMG: +10000, Chaos DMG: +10000</v>
      </c>
      <c r="G166" s="49">
        <f>IFERROR(__xludf.DUMMYFUNCTION("""COMPUTED_VALUE"""),3.16E7)</f>
        <v>31600000</v>
      </c>
      <c r="H166" s="49"/>
      <c r="I166" s="49"/>
      <c r="J166" s="49"/>
      <c r="K166" s="49"/>
      <c r="L166" s="49"/>
      <c r="M166" s="49"/>
      <c r="N166" s="49"/>
      <c r="O166" s="49"/>
      <c r="P166" s="49"/>
      <c r="Q166" s="49"/>
      <c r="R166" s="49"/>
      <c r="S166" s="49"/>
      <c r="T166" s="49"/>
      <c r="U166" s="49"/>
      <c r="V166" s="49"/>
      <c r="W166" s="49"/>
      <c r="X166" s="49"/>
      <c r="Y166" s="49"/>
      <c r="Z166" s="49"/>
    </row>
    <row r="167">
      <c r="A167" s="49" t="str">
        <f>IFERROR(__xludf.DUMMYFUNCTION("""COMPUTED_VALUE"""),"Magma Morningstar")</f>
        <v>Magma Morningstar</v>
      </c>
      <c r="B167" s="49"/>
      <c r="C167" s="49" t="str">
        <f>IFERROR(__xludf.DUMMYFUNCTION("""COMPUTED_VALUE"""),"Club")</f>
        <v>Club</v>
      </c>
      <c r="D167" s="49" t="str">
        <f>IFERROR(__xludf.DUMMYFUNCTION("""COMPUTED_VALUE"""),"Hand")</f>
        <v>Hand</v>
      </c>
      <c r="E167" s="49">
        <f>IFERROR(__xludf.DUMMYFUNCTION("""COMPUTED_VALUE"""),20.0)</f>
        <v>20</v>
      </c>
      <c r="F167" s="49" t="str">
        <f>IFERROR(__xludf.DUMMYFUNCTION("""COMPUTED_VALUE"""),"DMG: +500, Fire DMG: +400 ++Will return to you each round when thrown")</f>
        <v>DMG: +500, Fire DMG: +400 ++Will return to you each round when thrown</v>
      </c>
      <c r="G167" s="49">
        <f>IFERROR(__xludf.DUMMYFUNCTION("""COMPUTED_VALUE"""),1000.0)</f>
        <v>1000</v>
      </c>
      <c r="H167" s="49"/>
      <c r="I167" s="49"/>
      <c r="J167" s="49"/>
      <c r="K167" s="49"/>
      <c r="L167" s="49"/>
      <c r="M167" s="49"/>
      <c r="N167" s="49"/>
      <c r="O167" s="49"/>
      <c r="P167" s="49"/>
      <c r="Q167" s="49"/>
      <c r="R167" s="49"/>
      <c r="S167" s="49"/>
      <c r="T167" s="49"/>
      <c r="U167" s="49"/>
      <c r="V167" s="49"/>
      <c r="W167" s="49"/>
      <c r="X167" s="49"/>
      <c r="Y167" s="49"/>
      <c r="Z167" s="49"/>
    </row>
    <row r="168">
      <c r="A168" s="49" t="str">
        <f>IFERROR(__xludf.DUMMYFUNCTION("""COMPUTED_VALUE"""),"Magma Sword")</f>
        <v>Magma Sword</v>
      </c>
      <c r="B168" s="49" t="str">
        <f>IFERROR(__xludf.DUMMYFUNCTION("""COMPUTED_VALUE"""),"A sword that turned Forest View into Ash View.")</f>
        <v>A sword that turned Forest View into Ash View.</v>
      </c>
      <c r="C168" s="49" t="str">
        <f>IFERROR(__xludf.DUMMYFUNCTION("""COMPUTED_VALUE"""),"Sword")</f>
        <v>Sword</v>
      </c>
      <c r="D168" s="49" t="str">
        <f>IFERROR(__xludf.DUMMYFUNCTION("""COMPUTED_VALUE"""),"Hand")</f>
        <v>Hand</v>
      </c>
      <c r="E168" s="49">
        <f>IFERROR(__xludf.DUMMYFUNCTION("""COMPUTED_VALUE"""),200.0)</f>
        <v>200</v>
      </c>
      <c r="F168" s="49"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49">
        <f>IFERROR(__xludf.DUMMYFUNCTION("""COMPUTED_VALUE"""),4.485E8)</f>
        <v>448500000</v>
      </c>
      <c r="H168" s="49"/>
      <c r="I168" s="49"/>
      <c r="J168" s="49"/>
      <c r="K168" s="49"/>
      <c r="L168" s="49"/>
      <c r="M168" s="49"/>
      <c r="N168" s="49"/>
      <c r="O168" s="49"/>
      <c r="P168" s="49"/>
      <c r="Q168" s="49"/>
      <c r="R168" s="49"/>
      <c r="S168" s="49"/>
      <c r="T168" s="49"/>
      <c r="U168" s="49"/>
      <c r="V168" s="49"/>
      <c r="W168" s="49"/>
      <c r="X168" s="49"/>
      <c r="Y168" s="49"/>
      <c r="Z168" s="49"/>
    </row>
    <row r="169">
      <c r="A169" s="49" t="str">
        <f>IFERROR(__xludf.DUMMYFUNCTION("""COMPUTED_VALUE"""),"Masking Cloak")</f>
        <v>Masking Cloak</v>
      </c>
      <c r="B169" s="49"/>
      <c r="C169" s="49"/>
      <c r="D169" s="49" t="str">
        <f>IFERROR(__xludf.DUMMYFUNCTION("""COMPUTED_VALUE"""),"Torso")</f>
        <v>Torso</v>
      </c>
      <c r="E169" s="49">
        <f>IFERROR(__xludf.DUMMYFUNCTION("""COMPUTED_VALUE"""),1.0)</f>
        <v>1</v>
      </c>
      <c r="F169" s="49" t="str">
        <f>IFERROR(__xludf.DUMMYFUNCTION("""COMPUTED_VALUE""")," ++5 Evasion +-(Cannot be duplicated)")</f>
        <v> ++5 Evasion +-(Cannot be duplicated)</v>
      </c>
      <c r="G169" s="49">
        <f>IFERROR(__xludf.DUMMYFUNCTION("""COMPUTED_VALUE"""),0.0)</f>
        <v>0</v>
      </c>
      <c r="H169" s="49"/>
      <c r="I169" s="49"/>
      <c r="J169" s="49"/>
      <c r="K169" s="49"/>
      <c r="L169" s="49"/>
      <c r="M169" s="49"/>
      <c r="N169" s="49"/>
      <c r="O169" s="49"/>
      <c r="P169" s="49"/>
      <c r="Q169" s="49"/>
      <c r="R169" s="49"/>
      <c r="S169" s="49"/>
      <c r="T169" s="49"/>
      <c r="U169" s="49"/>
      <c r="V169" s="49"/>
      <c r="W169" s="49"/>
      <c r="X169" s="49"/>
      <c r="Y169" s="49"/>
      <c r="Z169" s="49"/>
    </row>
    <row r="170">
      <c r="A170" s="49" t="str">
        <f>IFERROR(__xludf.DUMMYFUNCTION("""COMPUTED_VALUE"""),"Mini Lucky Fish in a Bottle")</f>
        <v>Mini Lucky Fish in a Bottle</v>
      </c>
      <c r="B170" s="49"/>
      <c r="C170" s="49" t="str">
        <f>IFERROR(__xludf.DUMMYFUNCTION("""COMPUTED_VALUE"""),"Wand")</f>
        <v>Wand</v>
      </c>
      <c r="D170" s="49" t="str">
        <f>IFERROR(__xludf.DUMMYFUNCTION("""COMPUTED_VALUE"""),"Hand")</f>
        <v>Hand</v>
      </c>
      <c r="E170" s="49">
        <f>IFERROR(__xludf.DUMMYFUNCTION("""COMPUTED_VALUE"""),1.0)</f>
        <v>1</v>
      </c>
      <c r="F170" s="49" t="str">
        <f>IFERROR(__xludf.DUMMYFUNCTION("""COMPUTED_VALUE""")," ++Percentage rolls are now increased by 10% for caster that holds this item. +-Can only equip one")</f>
        <v> ++Percentage rolls are now increased by 10% for caster that holds this item. +-Can only equip one</v>
      </c>
      <c r="G170" s="49">
        <f>IFERROR(__xludf.DUMMYFUNCTION("""COMPUTED_VALUE"""),0.0)</f>
        <v>0</v>
      </c>
      <c r="H170" s="49"/>
      <c r="I170" s="49"/>
      <c r="J170" s="49"/>
      <c r="K170" s="49"/>
      <c r="L170" s="49"/>
      <c r="M170" s="49"/>
      <c r="N170" s="49"/>
      <c r="O170" s="49"/>
      <c r="P170" s="49"/>
      <c r="Q170" s="49"/>
      <c r="R170" s="49"/>
      <c r="S170" s="49"/>
      <c r="T170" s="49"/>
      <c r="U170" s="49"/>
      <c r="V170" s="49"/>
      <c r="W170" s="49"/>
      <c r="X170" s="49"/>
      <c r="Y170" s="49"/>
      <c r="Z170" s="49"/>
    </row>
    <row r="171">
      <c r="A171" s="49" t="str">
        <f>IFERROR(__xludf.DUMMYFUNCTION("""COMPUTED_VALUE"""),"Nature Faery Wand")</f>
        <v>Nature Faery Wand</v>
      </c>
      <c r="B171" s="49"/>
      <c r="C171" s="49" t="str">
        <f>IFERROR(__xludf.DUMMYFUNCTION("""COMPUTED_VALUE"""),"Wand")</f>
        <v>Wand</v>
      </c>
      <c r="D171" s="49" t="str">
        <f>IFERROR(__xludf.DUMMYFUNCTION("""COMPUTED_VALUE"""),"Hand")</f>
        <v>Hand</v>
      </c>
      <c r="E171" s="49">
        <f>IFERROR(__xludf.DUMMYFUNCTION("""COMPUTED_VALUE"""),1.0)</f>
        <v>1</v>
      </c>
      <c r="F171" s="49" t="str">
        <f>IFERROR(__xludf.DUMMYFUNCTION("""COMPUTED_VALUE""")," ++half the sp cost of nature spells")</f>
        <v> ++half the sp cost of nature spells</v>
      </c>
      <c r="G171" s="49">
        <f>IFERROR(__xludf.DUMMYFUNCTION("""COMPUTED_VALUE"""),0.0)</f>
        <v>0</v>
      </c>
      <c r="H171" s="49"/>
      <c r="I171" s="49"/>
      <c r="J171" s="49"/>
      <c r="K171" s="49"/>
      <c r="L171" s="49"/>
      <c r="M171" s="49"/>
      <c r="N171" s="49"/>
      <c r="O171" s="49"/>
      <c r="P171" s="49"/>
      <c r="Q171" s="49"/>
      <c r="R171" s="49"/>
      <c r="S171" s="49"/>
      <c r="T171" s="49"/>
      <c r="U171" s="49"/>
      <c r="V171" s="49"/>
      <c r="W171" s="49"/>
      <c r="X171" s="49"/>
      <c r="Y171" s="49"/>
      <c r="Z171" s="49"/>
    </row>
    <row r="172">
      <c r="A172" s="49" t="str">
        <f>IFERROR(__xludf.DUMMYFUNCTION("""COMPUTED_VALUE"""),"Nature's Sword")</f>
        <v>Nature's Sword</v>
      </c>
      <c r="B172" s="49"/>
      <c r="C172" s="49" t="str">
        <f>IFERROR(__xludf.DUMMYFUNCTION("""COMPUTED_VALUE"""),"Sword")</f>
        <v>Sword</v>
      </c>
      <c r="D172" s="49" t="str">
        <f>IFERROR(__xludf.DUMMYFUNCTION("""COMPUTED_VALUE"""),"Hand")</f>
        <v>Hand</v>
      </c>
      <c r="E172" s="49">
        <f>IFERROR(__xludf.DUMMYFUNCTION("""COMPUTED_VALUE"""),40.0)</f>
        <v>40</v>
      </c>
      <c r="F172" s="49" t="str">
        <f>IFERROR(__xludf.DUMMYFUNCTION("""COMPUTED_VALUE"""),"DMG: +800, Nature DMG: +800 ++Upon a successful hit, the next turn you will automatically use the spell Tree Stance.")</f>
        <v>DMG: +800, Nature DMG: +800 ++Upon a successful hit, the next turn you will automatically use the spell Tree Stance.</v>
      </c>
      <c r="G172" s="49">
        <f>IFERROR(__xludf.DUMMYFUNCTION("""COMPUTED_VALUE"""),30000.0)</f>
        <v>30000</v>
      </c>
      <c r="H172" s="49"/>
      <c r="I172" s="49"/>
      <c r="J172" s="49"/>
      <c r="K172" s="49"/>
      <c r="L172" s="49"/>
      <c r="M172" s="49"/>
      <c r="N172" s="49"/>
      <c r="O172" s="49"/>
      <c r="P172" s="49"/>
      <c r="Q172" s="49"/>
      <c r="R172" s="49"/>
      <c r="S172" s="49"/>
      <c r="T172" s="49"/>
      <c r="U172" s="49"/>
      <c r="V172" s="49"/>
      <c r="W172" s="49"/>
      <c r="X172" s="49"/>
      <c r="Y172" s="49"/>
      <c r="Z172" s="49"/>
    </row>
    <row r="173">
      <c r="A173" s="49" t="str">
        <f>IFERROR(__xludf.DUMMYFUNCTION("""COMPUTED_VALUE"""),"Necklace o' Lending")</f>
        <v>Necklace o' Lending</v>
      </c>
      <c r="B173" s="49"/>
      <c r="C173" s="49"/>
      <c r="D173" s="49" t="str">
        <f>IFERROR(__xludf.DUMMYFUNCTION("""COMPUTED_VALUE"""),"Neck")</f>
        <v>Neck</v>
      </c>
      <c r="E173" s="49">
        <f>IFERROR(__xludf.DUMMYFUNCTION("""COMPUTED_VALUE"""),1.0)</f>
        <v>1</v>
      </c>
      <c r="F173" s="49" t="str">
        <f>IFERROR(__xludf.DUMMYFUNCTION("""COMPUTED_VALUE""")," ++Decrease XHP and XSP from your character sheet and add that amount to another target.")</f>
        <v> ++Decrease XHP and XSP from your character sheet and add that amount to another target.</v>
      </c>
      <c r="G173" s="49">
        <f>IFERROR(__xludf.DUMMYFUNCTION("""COMPUTED_VALUE"""),0.0)</f>
        <v>0</v>
      </c>
      <c r="H173" s="49"/>
      <c r="I173" s="49"/>
      <c r="J173" s="49"/>
      <c r="K173" s="49"/>
      <c r="L173" s="49"/>
      <c r="M173" s="49"/>
      <c r="N173" s="49"/>
      <c r="O173" s="49"/>
      <c r="P173" s="49"/>
      <c r="Q173" s="49"/>
      <c r="R173" s="49"/>
      <c r="S173" s="49"/>
      <c r="T173" s="49"/>
      <c r="U173" s="49"/>
      <c r="V173" s="49"/>
      <c r="W173" s="49"/>
      <c r="X173" s="49"/>
      <c r="Y173" s="49"/>
      <c r="Z173" s="49"/>
    </row>
    <row r="174">
      <c r="A174" s="49" t="str">
        <f>IFERROR(__xludf.DUMMYFUNCTION("""COMPUTED_VALUE"""),"Necklace Of Ancient Mountains")</f>
        <v>Necklace Of Ancient Mountains</v>
      </c>
      <c r="B174" s="49"/>
      <c r="C174" s="49"/>
      <c r="D174" s="49" t="str">
        <f>IFERROR(__xludf.DUMMYFUNCTION("""COMPUTED_VALUE"""),"Neck")</f>
        <v>Neck</v>
      </c>
      <c r="E174" s="49">
        <f>IFERROR(__xludf.DUMMYFUNCTION("""COMPUTED_VALUE"""),1.0)</f>
        <v>1</v>
      </c>
      <c r="F174" s="49"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49">
        <f>IFERROR(__xludf.DUMMYFUNCTION("""COMPUTED_VALUE"""),0.0)</f>
        <v>0</v>
      </c>
      <c r="H174" s="49"/>
      <c r="I174" s="49"/>
      <c r="J174" s="49"/>
      <c r="K174" s="49"/>
      <c r="L174" s="49"/>
      <c r="M174" s="49"/>
      <c r="N174" s="49"/>
      <c r="O174" s="49"/>
      <c r="P174" s="49"/>
      <c r="Q174" s="49"/>
      <c r="R174" s="49"/>
      <c r="S174" s="49"/>
      <c r="T174" s="49"/>
      <c r="U174" s="49"/>
      <c r="V174" s="49"/>
      <c r="W174" s="49"/>
      <c r="X174" s="49"/>
      <c r="Y174" s="49"/>
      <c r="Z174" s="49"/>
    </row>
    <row r="175">
      <c r="A175" s="49" t="str">
        <f>IFERROR(__xludf.DUMMYFUNCTION("""COMPUTED_VALUE"""),"Necklace Of Heatmore")</f>
        <v>Necklace Of Heatmore</v>
      </c>
      <c r="B175" s="49"/>
      <c r="C175" s="49"/>
      <c r="D175" s="49" t="str">
        <f>IFERROR(__xludf.DUMMYFUNCTION("""COMPUTED_VALUE"""),"Neck")</f>
        <v>Neck</v>
      </c>
      <c r="E175" s="49">
        <f>IFERROR(__xludf.DUMMYFUNCTION("""COMPUTED_VALUE"""),1.0)</f>
        <v>1</v>
      </c>
      <c r="F175" s="49" t="str">
        <f>IFERROR(__xludf.DUMMYFUNCTION("""COMPUTED_VALUE""")," ++ +2 is added to your d20 roll.")</f>
        <v> ++ +2 is added to your d20 roll.</v>
      </c>
      <c r="G175" s="49">
        <f>IFERROR(__xludf.DUMMYFUNCTION("""COMPUTED_VALUE"""),0.0)</f>
        <v>0</v>
      </c>
      <c r="H175" s="49"/>
      <c r="I175" s="49"/>
      <c r="J175" s="49"/>
      <c r="K175" s="49"/>
      <c r="L175" s="49"/>
      <c r="M175" s="49"/>
      <c r="N175" s="49"/>
      <c r="O175" s="49"/>
      <c r="P175" s="49"/>
      <c r="Q175" s="49"/>
      <c r="R175" s="49"/>
      <c r="S175" s="49"/>
      <c r="T175" s="49"/>
      <c r="U175" s="49"/>
      <c r="V175" s="49"/>
      <c r="W175" s="49"/>
      <c r="X175" s="49"/>
      <c r="Y175" s="49"/>
      <c r="Z175" s="49"/>
    </row>
    <row r="176">
      <c r="A176" s="49" t="str">
        <f>IFERROR(__xludf.DUMMYFUNCTION("""COMPUTED_VALUE"""),"Necklace of Shards")</f>
        <v>Necklace of Shards</v>
      </c>
      <c r="B176" s="49"/>
      <c r="C176" s="49"/>
      <c r="D176" s="49" t="str">
        <f>IFERROR(__xludf.DUMMYFUNCTION("""COMPUTED_VALUE"""),"Neck")</f>
        <v>Neck</v>
      </c>
      <c r="E176" s="49">
        <f>IFERROR(__xludf.DUMMYFUNCTION("""COMPUTED_VALUE"""),1.0)</f>
        <v>1</v>
      </c>
      <c r="F176" s="49" t="str">
        <f>IFERROR(__xludf.DUMMYFUNCTION("""COMPUTED_VALUE""")," ++X6 Chaos and Dark Damage. +-Cannot be duplicated.")</f>
        <v> ++X6 Chaos and Dark Damage. +-Cannot be duplicated.</v>
      </c>
      <c r="G176" s="49">
        <f>IFERROR(__xludf.DUMMYFUNCTION("""COMPUTED_VALUE"""),0.0)</f>
        <v>0</v>
      </c>
      <c r="H176" s="49"/>
      <c r="I176" s="49"/>
      <c r="J176" s="49"/>
      <c r="K176" s="49"/>
      <c r="L176" s="49"/>
      <c r="M176" s="49"/>
      <c r="N176" s="49"/>
      <c r="O176" s="49"/>
      <c r="P176" s="49"/>
      <c r="Q176" s="49"/>
      <c r="R176" s="49"/>
      <c r="S176" s="49"/>
      <c r="T176" s="49"/>
      <c r="U176" s="49"/>
      <c r="V176" s="49"/>
      <c r="W176" s="49"/>
      <c r="X176" s="49"/>
      <c r="Y176" s="49"/>
      <c r="Z176" s="49"/>
    </row>
    <row r="177">
      <c r="A177" s="49" t="str">
        <f>IFERROR(__xludf.DUMMYFUNCTION("""COMPUTED_VALUE"""),"Necklace of The Lost Soul")</f>
        <v>Necklace of The Lost Soul</v>
      </c>
      <c r="B177" s="49"/>
      <c r="C177" s="49"/>
      <c r="D177" s="49" t="str">
        <f>IFERROR(__xludf.DUMMYFUNCTION("""COMPUTED_VALUE"""),"Neck")</f>
        <v>Neck</v>
      </c>
      <c r="E177" s="49">
        <f>IFERROR(__xludf.DUMMYFUNCTION("""COMPUTED_VALUE"""),1.0)</f>
        <v>1</v>
      </c>
      <c r="F177" s="49"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49">
        <f>IFERROR(__xludf.DUMMYFUNCTION("""COMPUTED_VALUE"""),0.0)</f>
        <v>0</v>
      </c>
      <c r="H177" s="49"/>
      <c r="I177" s="49"/>
      <c r="J177" s="49"/>
      <c r="K177" s="49"/>
      <c r="L177" s="49"/>
      <c r="M177" s="49"/>
      <c r="N177" s="49"/>
      <c r="O177" s="49"/>
      <c r="P177" s="49"/>
      <c r="Q177" s="49"/>
      <c r="R177" s="49"/>
      <c r="S177" s="49"/>
      <c r="T177" s="49"/>
      <c r="U177" s="49"/>
      <c r="V177" s="49"/>
      <c r="W177" s="49"/>
      <c r="X177" s="49"/>
      <c r="Y177" s="49"/>
      <c r="Z177" s="49"/>
    </row>
    <row r="178">
      <c r="A178" s="49" t="str">
        <f>IFERROR(__xludf.DUMMYFUNCTION("""COMPUTED_VALUE"""),"Necklace of the Pumpkin")</f>
        <v>Necklace of the Pumpkin</v>
      </c>
      <c r="B178" s="49"/>
      <c r="C178" s="49"/>
      <c r="D178" s="49" t="str">
        <f>IFERROR(__xludf.DUMMYFUNCTION("""COMPUTED_VALUE"""),"Neck")</f>
        <v>Neck</v>
      </c>
      <c r="E178" s="49">
        <f>IFERROR(__xludf.DUMMYFUNCTION("""COMPUTED_VALUE"""),1.0)</f>
        <v>1</v>
      </c>
      <c r="F178" s="49" t="str">
        <f>IFERROR(__xludf.DUMMYFUNCTION("""COMPUTED_VALUE""")," ++Gives Immunity to Fire, Dark, and Nature damage")</f>
        <v> ++Gives Immunity to Fire, Dark, and Nature damage</v>
      </c>
      <c r="G178" s="49">
        <f>IFERROR(__xludf.DUMMYFUNCTION("""COMPUTED_VALUE"""),0.0)</f>
        <v>0</v>
      </c>
      <c r="H178" s="49"/>
      <c r="I178" s="49"/>
      <c r="J178" s="49"/>
      <c r="K178" s="49"/>
      <c r="L178" s="49"/>
      <c r="M178" s="49"/>
      <c r="N178" s="49"/>
      <c r="O178" s="49"/>
      <c r="P178" s="49"/>
      <c r="Q178" s="49"/>
      <c r="R178" s="49"/>
      <c r="S178" s="49"/>
      <c r="T178" s="49"/>
      <c r="U178" s="49"/>
      <c r="V178" s="49"/>
      <c r="W178" s="49"/>
      <c r="X178" s="49"/>
      <c r="Y178" s="49"/>
      <c r="Z178" s="49"/>
    </row>
    <row r="179">
      <c r="A179" s="49" t="str">
        <f>IFERROR(__xludf.DUMMYFUNCTION("""COMPUTED_VALUE"""),"Necklace Of Tritonoch")</f>
        <v>Necklace Of Tritonoch</v>
      </c>
      <c r="B179" s="49"/>
      <c r="C179" s="49"/>
      <c r="D179" s="49" t="str">
        <f>IFERROR(__xludf.DUMMYFUNCTION("""COMPUTED_VALUE"""),"Neck")</f>
        <v>Neck</v>
      </c>
      <c r="E179" s="49">
        <f>IFERROR(__xludf.DUMMYFUNCTION("""COMPUTED_VALUE"""),1.0)</f>
        <v>1</v>
      </c>
      <c r="F179" s="49"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49">
        <f>IFERROR(__xludf.DUMMYFUNCTION("""COMPUTED_VALUE"""),0.0)</f>
        <v>0</v>
      </c>
      <c r="H179" s="49"/>
      <c r="I179" s="49"/>
      <c r="J179" s="49"/>
      <c r="K179" s="49"/>
      <c r="L179" s="49"/>
      <c r="M179" s="49"/>
      <c r="N179" s="49"/>
      <c r="O179" s="49"/>
      <c r="P179" s="49"/>
      <c r="Q179" s="49"/>
      <c r="R179" s="49"/>
      <c r="S179" s="49"/>
      <c r="T179" s="49"/>
      <c r="U179" s="49"/>
      <c r="V179" s="49"/>
      <c r="W179" s="49"/>
      <c r="X179" s="49"/>
      <c r="Y179" s="49"/>
      <c r="Z179" s="49"/>
    </row>
    <row r="180">
      <c r="A180" s="49" t="str">
        <f>IFERROR(__xludf.DUMMYFUNCTION("""COMPUTED_VALUE"""),"Necklace of Waking Waters")</f>
        <v>Necklace of Waking Waters</v>
      </c>
      <c r="B180" s="49"/>
      <c r="C180" s="49"/>
      <c r="D180" s="49" t="str">
        <f>IFERROR(__xludf.DUMMYFUNCTION("""COMPUTED_VALUE"""),"Neck")</f>
        <v>Neck</v>
      </c>
      <c r="E180" s="49">
        <f>IFERROR(__xludf.DUMMYFUNCTION("""COMPUTED_VALUE"""),1.0)</f>
        <v>1</v>
      </c>
      <c r="F180" s="49" t="str">
        <f>IFERROR(__xludf.DUMMYFUNCTION("""COMPUTED_VALUE""")," ++Immunity to sleep. ++X4 Water damage.")</f>
        <v> ++Immunity to sleep. ++X4 Water damage.</v>
      </c>
      <c r="G180" s="49">
        <f>IFERROR(__xludf.DUMMYFUNCTION("""COMPUTED_VALUE"""),0.0)</f>
        <v>0</v>
      </c>
      <c r="H180" s="49"/>
      <c r="I180" s="49"/>
      <c r="J180" s="49"/>
      <c r="K180" s="49"/>
      <c r="L180" s="49"/>
      <c r="M180" s="49"/>
      <c r="N180" s="49"/>
      <c r="O180" s="49"/>
      <c r="P180" s="49"/>
      <c r="Q180" s="49"/>
      <c r="R180" s="49"/>
      <c r="S180" s="49"/>
      <c r="T180" s="49"/>
      <c r="U180" s="49"/>
      <c r="V180" s="49"/>
      <c r="W180" s="49"/>
      <c r="X180" s="49"/>
      <c r="Y180" s="49"/>
      <c r="Z180" s="49"/>
    </row>
    <row r="181">
      <c r="A181" s="49" t="str">
        <f>IFERROR(__xludf.DUMMYFUNCTION("""COMPUTED_VALUE"""),"Necklace of Water Breathing")</f>
        <v>Necklace of Water Breathing</v>
      </c>
      <c r="B181" s="49"/>
      <c r="C181" s="49"/>
      <c r="D181" s="49" t="str">
        <f>IFERROR(__xludf.DUMMYFUNCTION("""COMPUTED_VALUE"""),"Neck")</f>
        <v>Neck</v>
      </c>
      <c r="E181" s="49">
        <f>IFERROR(__xludf.DUMMYFUNCTION("""COMPUTED_VALUE"""),1.0)</f>
        <v>1</v>
      </c>
      <c r="F181" s="49" t="str">
        <f>IFERROR(__xludf.DUMMYFUNCTION("""COMPUTED_VALUE""")," ++Allows you to breath underwater.")</f>
        <v> ++Allows you to breath underwater.</v>
      </c>
      <c r="G181" s="49">
        <f>IFERROR(__xludf.DUMMYFUNCTION("""COMPUTED_VALUE"""),0.0)</f>
        <v>0</v>
      </c>
      <c r="H181" s="49"/>
      <c r="I181" s="49"/>
      <c r="J181" s="49"/>
      <c r="K181" s="49"/>
      <c r="L181" s="49"/>
      <c r="M181" s="49"/>
      <c r="N181" s="49"/>
      <c r="O181" s="49"/>
      <c r="P181" s="49"/>
      <c r="Q181" s="49"/>
      <c r="R181" s="49"/>
      <c r="S181" s="49"/>
      <c r="T181" s="49"/>
      <c r="U181" s="49"/>
      <c r="V181" s="49"/>
      <c r="W181" s="49"/>
      <c r="X181" s="49"/>
      <c r="Y181" s="49"/>
      <c r="Z181" s="49"/>
    </row>
    <row r="182">
      <c r="A182" s="49" t="str">
        <f>IFERROR(__xludf.DUMMYFUNCTION("""COMPUTED_VALUE"""),"Obsidian Chestplate")</f>
        <v>Obsidian Chestplate</v>
      </c>
      <c r="B182" s="49" t="str">
        <f>IFERROR(__xludf.DUMMYFUNCTION("""COMPUTED_VALUE"""),"Quest Item")</f>
        <v>Quest Item</v>
      </c>
      <c r="C182" s="49"/>
      <c r="D182" s="49" t="str">
        <f>IFERROR(__xludf.DUMMYFUNCTION("""COMPUTED_VALUE"""),"Torso")</f>
        <v>Torso</v>
      </c>
      <c r="E182" s="49">
        <f>IFERROR(__xludf.DUMMYFUNCTION("""COMPUTED_VALUE"""),4000.0)</f>
        <v>4000</v>
      </c>
      <c r="F182" s="49" t="str">
        <f>IFERROR(__xludf.DUMMYFUNCTION("""COMPUTED_VALUE"""),"DEF: +100000, Fire DEF: +100000 ++Fire Immunity. +-Cannot be duplicated.")</f>
        <v>DEF: +100000, Fire DEF: +100000 ++Fire Immunity. +-Cannot be duplicated.</v>
      </c>
      <c r="G182" s="49">
        <f>IFERROR(__xludf.DUMMYFUNCTION("""COMPUTED_VALUE"""),7.98E8)</f>
        <v>798000000</v>
      </c>
      <c r="H182" s="49"/>
      <c r="I182" s="49"/>
      <c r="J182" s="49"/>
      <c r="K182" s="49"/>
      <c r="L182" s="49"/>
      <c r="M182" s="49"/>
      <c r="N182" s="49"/>
      <c r="O182" s="49"/>
      <c r="P182" s="49"/>
      <c r="Q182" s="49"/>
      <c r="R182" s="49"/>
      <c r="S182" s="49"/>
      <c r="T182" s="49"/>
      <c r="U182" s="49"/>
      <c r="V182" s="49"/>
      <c r="W182" s="49"/>
      <c r="X182" s="49"/>
      <c r="Y182" s="49"/>
      <c r="Z182" s="49"/>
    </row>
    <row r="183">
      <c r="A183" s="49" t="str">
        <f>IFERROR(__xludf.DUMMYFUNCTION("""COMPUTED_VALUE"""),"Ancient Oni Mask")</f>
        <v>Ancient Oni Mask</v>
      </c>
      <c r="B183" s="49" t="str">
        <f>IFERROR(__xludf.DUMMYFUNCTION("""COMPUTED_VALUE"""),"An ancient relic to Zhenmay")</f>
        <v>An ancient relic to Zhenmay</v>
      </c>
      <c r="C183" s="49"/>
      <c r="D183" s="49" t="str">
        <f>IFERROR(__xludf.DUMMYFUNCTION("""COMPUTED_VALUE"""),"Head")</f>
        <v>Head</v>
      </c>
      <c r="E183" s="49">
        <f>IFERROR(__xludf.DUMMYFUNCTION("""COMPUTED_VALUE"""),200.0)</f>
        <v>200</v>
      </c>
      <c r="F183" s="49"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49">
        <f>IFERROR(__xludf.DUMMYFUNCTION("""COMPUTED_VALUE"""),5.104E8)</f>
        <v>510400000</v>
      </c>
      <c r="H183" s="49"/>
      <c r="I183" s="49"/>
      <c r="J183" s="49"/>
      <c r="K183" s="49"/>
      <c r="L183" s="49"/>
      <c r="M183" s="49"/>
      <c r="N183" s="49"/>
      <c r="O183" s="49"/>
      <c r="P183" s="49"/>
      <c r="Q183" s="49"/>
      <c r="R183" s="49"/>
      <c r="S183" s="49"/>
      <c r="T183" s="49"/>
      <c r="U183" s="49"/>
      <c r="V183" s="49"/>
      <c r="W183" s="49"/>
      <c r="X183" s="49"/>
      <c r="Y183" s="49"/>
      <c r="Z183" s="49"/>
    </row>
    <row r="184">
      <c r="A184" s="49" t="str">
        <f>IFERROR(__xludf.DUMMYFUNCTION("""COMPUTED_VALUE"""),"Pauldrons of Waking Waters")</f>
        <v>Pauldrons of Waking Waters</v>
      </c>
      <c r="B184" s="49"/>
      <c r="C184" s="49"/>
      <c r="D184" s="49" t="str">
        <f>IFERROR(__xludf.DUMMYFUNCTION("""COMPUTED_VALUE"""),"Shoulders")</f>
        <v>Shoulders</v>
      </c>
      <c r="E184" s="49">
        <f>IFERROR(__xludf.DUMMYFUNCTION("""COMPUTED_VALUE"""),200.0)</f>
        <v>200</v>
      </c>
      <c r="F184" s="49" t="str">
        <f>IFERROR(__xludf.DUMMYFUNCTION("""COMPUTED_VALUE"""),"DEF: +5000, Water DEF: +5000 ++X4 additional water damage for self.")</f>
        <v>DEF: +5000, Water DEF: +5000 ++X4 additional water damage for self.</v>
      </c>
      <c r="G184" s="49">
        <f>IFERROR(__xludf.DUMMYFUNCTION("""COMPUTED_VALUE"""),1900000.0)</f>
        <v>1900000</v>
      </c>
      <c r="H184" s="49"/>
      <c r="I184" s="49"/>
      <c r="J184" s="49"/>
      <c r="K184" s="49"/>
      <c r="L184" s="49"/>
      <c r="M184" s="49"/>
      <c r="N184" s="49"/>
      <c r="O184" s="49"/>
      <c r="P184" s="49"/>
      <c r="Q184" s="49"/>
      <c r="R184" s="49"/>
      <c r="S184" s="49"/>
      <c r="T184" s="49"/>
      <c r="U184" s="49"/>
      <c r="V184" s="49"/>
      <c r="W184" s="49"/>
      <c r="X184" s="49"/>
      <c r="Y184" s="49"/>
      <c r="Z184" s="49"/>
    </row>
    <row r="185">
      <c r="A185" s="49" t="str">
        <f>IFERROR(__xludf.DUMMYFUNCTION("""COMPUTED_VALUE"""),"Pendent of the Sea Serpent")</f>
        <v>Pendent of the Sea Serpent</v>
      </c>
      <c r="B185" s="49"/>
      <c r="C185" s="49"/>
      <c r="D185" s="49" t="str">
        <f>IFERROR(__xludf.DUMMYFUNCTION("""COMPUTED_VALUE"""),"Neck")</f>
        <v>Neck</v>
      </c>
      <c r="E185" s="49">
        <f>IFERROR(__xludf.DUMMYFUNCTION("""COMPUTED_VALUE"""),1.0)</f>
        <v>1</v>
      </c>
      <c r="F185" s="49" t="str">
        <f>IFERROR(__xludf.DUMMYFUNCTION("""COMPUTED_VALUE""")," ++X2 Water Resistance.")</f>
        <v> ++X2 Water Resistance.</v>
      </c>
      <c r="G185" s="49">
        <f>IFERROR(__xludf.DUMMYFUNCTION("""COMPUTED_VALUE"""),0.0)</f>
        <v>0</v>
      </c>
      <c r="H185" s="49"/>
      <c r="I185" s="49"/>
      <c r="J185" s="49"/>
      <c r="K185" s="49"/>
      <c r="L185" s="49"/>
      <c r="M185" s="49"/>
      <c r="N185" s="49"/>
      <c r="O185" s="49"/>
      <c r="P185" s="49"/>
      <c r="Q185" s="49"/>
      <c r="R185" s="49"/>
      <c r="S185" s="49"/>
      <c r="T185" s="49"/>
      <c r="U185" s="49"/>
      <c r="V185" s="49"/>
      <c r="W185" s="49"/>
      <c r="X185" s="49"/>
      <c r="Y185" s="49"/>
      <c r="Z185" s="49"/>
    </row>
    <row r="186">
      <c r="A186" s="49" t="str">
        <f>IFERROR(__xludf.DUMMYFUNCTION("""COMPUTED_VALUE"""),"Pendent of Confusion")</f>
        <v>Pendent of Confusion</v>
      </c>
      <c r="B186" s="49"/>
      <c r="C186" s="49"/>
      <c r="D186" s="49" t="str">
        <f>IFERROR(__xludf.DUMMYFUNCTION("""COMPUTED_VALUE"""),"Neck")</f>
        <v>Neck</v>
      </c>
      <c r="E186" s="49">
        <f>IFERROR(__xludf.DUMMYFUNCTION("""COMPUTED_VALUE"""),1.0)</f>
        <v>1</v>
      </c>
      <c r="F186" s="49"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49">
        <f>IFERROR(__xludf.DUMMYFUNCTION("""COMPUTED_VALUE"""),0.0)</f>
        <v>0</v>
      </c>
      <c r="H186" s="49"/>
      <c r="I186" s="49"/>
      <c r="J186" s="49"/>
      <c r="K186" s="49"/>
      <c r="L186" s="49"/>
      <c r="M186" s="49"/>
      <c r="N186" s="49"/>
      <c r="O186" s="49"/>
      <c r="P186" s="49"/>
      <c r="Q186" s="49"/>
      <c r="R186" s="49"/>
      <c r="S186" s="49"/>
      <c r="T186" s="49"/>
      <c r="U186" s="49"/>
      <c r="V186" s="49"/>
      <c r="W186" s="49"/>
      <c r="X186" s="49"/>
      <c r="Y186" s="49"/>
      <c r="Z186" s="49"/>
    </row>
    <row r="187">
      <c r="A187" s="49" t="str">
        <f>IFERROR(__xludf.DUMMYFUNCTION("""COMPUTED_VALUE"""),"Pendent of Luck")</f>
        <v>Pendent of Luck</v>
      </c>
      <c r="B187" s="49"/>
      <c r="C187" s="49"/>
      <c r="D187" s="49" t="str">
        <f>IFERROR(__xludf.DUMMYFUNCTION("""COMPUTED_VALUE"""),"Neck")</f>
        <v>Neck</v>
      </c>
      <c r="E187" s="49">
        <f>IFERROR(__xludf.DUMMYFUNCTION("""COMPUTED_VALUE"""),1.0)</f>
        <v>1</v>
      </c>
      <c r="F187" s="49" t="str">
        <f>IFERROR(__xludf.DUMMYFUNCTION("""COMPUTED_VALUE""")," ++Plus 100 to each base Stat.")</f>
        <v> ++Plus 100 to each base Stat.</v>
      </c>
      <c r="G187" s="49">
        <f>IFERROR(__xludf.DUMMYFUNCTION("""COMPUTED_VALUE"""),0.0)</f>
        <v>0</v>
      </c>
      <c r="H187" s="49"/>
      <c r="I187" s="49"/>
      <c r="J187" s="49"/>
      <c r="K187" s="49"/>
      <c r="L187" s="49"/>
      <c r="M187" s="49"/>
      <c r="N187" s="49"/>
      <c r="O187" s="49"/>
      <c r="P187" s="49"/>
      <c r="Q187" s="49"/>
      <c r="R187" s="49"/>
      <c r="S187" s="49"/>
      <c r="T187" s="49"/>
      <c r="U187" s="49"/>
      <c r="V187" s="49"/>
      <c r="W187" s="49"/>
      <c r="X187" s="49"/>
      <c r="Y187" s="49"/>
      <c r="Z187" s="49"/>
    </row>
    <row r="188">
      <c r="A188" s="49" t="str">
        <f>IFERROR(__xludf.DUMMYFUNCTION("""COMPUTED_VALUE"""),"Pillow of Dreams")</f>
        <v>Pillow of Dreams</v>
      </c>
      <c r="B188" s="49"/>
      <c r="C188" s="49" t="str">
        <f>IFERROR(__xludf.DUMMYFUNCTION("""COMPUTED_VALUE"""),"Towershield")</f>
        <v>Towershield</v>
      </c>
      <c r="D188" s="49" t="str">
        <f>IFERROR(__xludf.DUMMYFUNCTION("""COMPUTED_VALUE"""),"Hand")</f>
        <v>Hand</v>
      </c>
      <c r="E188" s="49">
        <f>IFERROR(__xludf.DUMMYFUNCTION("""COMPUTED_VALUE"""),200.0)</f>
        <v>200</v>
      </c>
      <c r="F188" s="49"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49">
        <f>IFERROR(__xludf.DUMMYFUNCTION("""COMPUTED_VALUE"""),1.2475E9)</f>
        <v>1247500000</v>
      </c>
      <c r="H188" s="49"/>
      <c r="I188" s="49"/>
      <c r="J188" s="49"/>
      <c r="K188" s="49"/>
      <c r="L188" s="49"/>
      <c r="M188" s="49"/>
      <c r="N188" s="49"/>
      <c r="O188" s="49"/>
      <c r="P188" s="49"/>
      <c r="Q188" s="49"/>
      <c r="R188" s="49"/>
      <c r="S188" s="49"/>
      <c r="T188" s="49"/>
      <c r="U188" s="49"/>
      <c r="V188" s="49"/>
      <c r="W188" s="49"/>
      <c r="X188" s="49"/>
      <c r="Y188" s="49"/>
      <c r="Z188" s="49"/>
    </row>
    <row r="189">
      <c r="A189" s="49" t="str">
        <f>IFERROR(__xludf.DUMMYFUNCTION("""COMPUTED_VALUE"""),"Poison Vine Sword")</f>
        <v>Poison Vine Sword</v>
      </c>
      <c r="B189" s="49"/>
      <c r="C189" s="49" t="str">
        <f>IFERROR(__xludf.DUMMYFUNCTION("""COMPUTED_VALUE"""),"Sword")</f>
        <v>Sword</v>
      </c>
      <c r="D189" s="49" t="str">
        <f>IFERROR(__xludf.DUMMYFUNCTION("""COMPUTED_VALUE"""),"Hand")</f>
        <v>Hand</v>
      </c>
      <c r="E189" s="49">
        <f>IFERROR(__xludf.DUMMYFUNCTION("""COMPUTED_VALUE"""),2000.0)</f>
        <v>2000</v>
      </c>
      <c r="F189" s="49" t="str">
        <f>IFERROR(__xludf.DUMMYFUNCTION("""COMPUTED_VALUE"""),"DMG: +50000, Nature DMG: +50000 ++Poison 25,000")</f>
        <v>DMG: +50000, Nature DMG: +50000 ++Poison 25,000</v>
      </c>
      <c r="G189" s="49">
        <f>IFERROR(__xludf.DUMMYFUNCTION("""COMPUTED_VALUE"""),1.99E8)</f>
        <v>199000000</v>
      </c>
      <c r="H189" s="49"/>
      <c r="I189" s="49"/>
      <c r="J189" s="49"/>
      <c r="K189" s="49"/>
      <c r="L189" s="49"/>
      <c r="M189" s="49"/>
      <c r="N189" s="49"/>
      <c r="O189" s="49"/>
      <c r="P189" s="49"/>
      <c r="Q189" s="49"/>
      <c r="R189" s="49"/>
      <c r="S189" s="49"/>
      <c r="T189" s="49"/>
      <c r="U189" s="49"/>
      <c r="V189" s="49"/>
      <c r="W189" s="49"/>
      <c r="X189" s="49"/>
      <c r="Y189" s="49"/>
      <c r="Z189" s="49"/>
    </row>
    <row r="190">
      <c r="A190" s="49" t="str">
        <f>IFERROR(__xludf.DUMMYFUNCTION("""COMPUTED_VALUE"""),"Poseidon's Boots")</f>
        <v>Poseidon's Boots</v>
      </c>
      <c r="B190" s="49"/>
      <c r="C190" s="49"/>
      <c r="D190" s="49" t="str">
        <f>IFERROR(__xludf.DUMMYFUNCTION("""COMPUTED_VALUE"""),"Feet")</f>
        <v>Feet</v>
      </c>
      <c r="E190" s="49">
        <f>IFERROR(__xludf.DUMMYFUNCTION("""COMPUTED_VALUE"""),400.0)</f>
        <v>400</v>
      </c>
      <c r="F190" s="49" t="str">
        <f>IFERROR(__xludf.DUMMYFUNCTION("""COMPUTED_VALUE"""),"DEF: +10000, Water DEF: +10000 ++X8 additional water damage for self.")</f>
        <v>DEF: +10000, Water DEF: +10000 ++X8 additional water damage for self.</v>
      </c>
      <c r="G190" s="49">
        <f>IFERROR(__xludf.DUMMYFUNCTION("""COMPUTED_VALUE"""),7800000.0)</f>
        <v>7800000</v>
      </c>
      <c r="H190" s="49"/>
      <c r="I190" s="49"/>
      <c r="J190" s="49"/>
      <c r="K190" s="49"/>
      <c r="L190" s="49"/>
      <c r="M190" s="49"/>
      <c r="N190" s="49"/>
      <c r="O190" s="49"/>
      <c r="P190" s="49"/>
      <c r="Q190" s="49"/>
      <c r="R190" s="49"/>
      <c r="S190" s="49"/>
      <c r="T190" s="49"/>
      <c r="U190" s="49"/>
      <c r="V190" s="49"/>
      <c r="W190" s="49"/>
      <c r="X190" s="49"/>
      <c r="Y190" s="49"/>
      <c r="Z190" s="49"/>
    </row>
    <row r="191">
      <c r="A191" s="49" t="str">
        <f>IFERROR(__xludf.DUMMYFUNCTION("""COMPUTED_VALUE"""),"Poseidon's Chestplate")</f>
        <v>Poseidon's Chestplate</v>
      </c>
      <c r="B191" s="49"/>
      <c r="C191" s="49"/>
      <c r="D191" s="49" t="str">
        <f>IFERROR(__xludf.DUMMYFUNCTION("""COMPUTED_VALUE"""),"Torso")</f>
        <v>Torso</v>
      </c>
      <c r="E191" s="49">
        <f>IFERROR(__xludf.DUMMYFUNCTION("""COMPUTED_VALUE"""),800.0)</f>
        <v>800</v>
      </c>
      <c r="F191" s="49"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49">
        <f>IFERROR(__xludf.DUMMYFUNCTION("""COMPUTED_VALUE"""),3.16E7)</f>
        <v>31600000</v>
      </c>
      <c r="H191" s="49"/>
      <c r="I191" s="49"/>
      <c r="J191" s="49"/>
      <c r="K191" s="49"/>
      <c r="L191" s="49"/>
      <c r="M191" s="49"/>
      <c r="N191" s="49"/>
      <c r="O191" s="49"/>
      <c r="P191" s="49"/>
      <c r="Q191" s="49"/>
      <c r="R191" s="49"/>
      <c r="S191" s="49"/>
      <c r="T191" s="49"/>
      <c r="U191" s="49"/>
      <c r="V191" s="49"/>
      <c r="W191" s="49"/>
      <c r="X191" s="49"/>
      <c r="Y191" s="49"/>
      <c r="Z191" s="49"/>
    </row>
    <row r="192">
      <c r="A192" s="49" t="str">
        <f>IFERROR(__xludf.DUMMYFUNCTION("""COMPUTED_VALUE"""),"Poseidon's Greaves")</f>
        <v>Poseidon's Greaves</v>
      </c>
      <c r="B192" s="49"/>
      <c r="C192" s="49"/>
      <c r="D192" s="49" t="str">
        <f>IFERROR(__xludf.DUMMYFUNCTION("""COMPUTED_VALUE"""),"Legs")</f>
        <v>Legs</v>
      </c>
      <c r="E192" s="49">
        <f>IFERROR(__xludf.DUMMYFUNCTION("""COMPUTED_VALUE"""),400.0)</f>
        <v>400</v>
      </c>
      <c r="F192" s="49" t="str">
        <f>IFERROR(__xludf.DUMMYFUNCTION("""COMPUTED_VALUE"""),"DEF: +10000, Water DEF: +10000 ++X8 additional water damage for self.")</f>
        <v>DEF: +10000, Water DEF: +10000 ++X8 additional water damage for self.</v>
      </c>
      <c r="G192" s="49">
        <f>IFERROR(__xludf.DUMMYFUNCTION("""COMPUTED_VALUE"""),7800000.0)</f>
        <v>7800000</v>
      </c>
      <c r="H192" s="49"/>
      <c r="I192" s="49"/>
      <c r="J192" s="49"/>
      <c r="K192" s="49"/>
      <c r="L192" s="49"/>
      <c r="M192" s="49"/>
      <c r="N192" s="49"/>
      <c r="O192" s="49"/>
      <c r="P192" s="49"/>
      <c r="Q192" s="49"/>
      <c r="R192" s="49"/>
      <c r="S192" s="49"/>
      <c r="T192" s="49"/>
      <c r="U192" s="49"/>
      <c r="V192" s="49"/>
      <c r="W192" s="49"/>
      <c r="X192" s="49"/>
      <c r="Y192" s="49"/>
      <c r="Z192" s="49"/>
    </row>
    <row r="193">
      <c r="A193" s="49" t="str">
        <f>IFERROR(__xludf.DUMMYFUNCTION("""COMPUTED_VALUE"""),"Poseidon's Helmet")</f>
        <v>Poseidon's Helmet</v>
      </c>
      <c r="B193" s="49"/>
      <c r="C193" s="49"/>
      <c r="D193" s="49" t="str">
        <f>IFERROR(__xludf.DUMMYFUNCTION("""COMPUTED_VALUE"""),"Head")</f>
        <v>Head</v>
      </c>
      <c r="E193" s="49">
        <f>IFERROR(__xludf.DUMMYFUNCTION("""COMPUTED_VALUE"""),400.0)</f>
        <v>400</v>
      </c>
      <c r="F193" s="49" t="str">
        <f>IFERROR(__xludf.DUMMYFUNCTION("""COMPUTED_VALUE"""),"DEF: +10000, Water DEF: +10000 ++X8 additional water damage for self.")</f>
        <v>DEF: +10000, Water DEF: +10000 ++X8 additional water damage for self.</v>
      </c>
      <c r="G193" s="49">
        <f>IFERROR(__xludf.DUMMYFUNCTION("""COMPUTED_VALUE"""),7800000.0)</f>
        <v>7800000</v>
      </c>
      <c r="H193" s="49"/>
      <c r="I193" s="49"/>
      <c r="J193" s="49"/>
      <c r="K193" s="49"/>
      <c r="L193" s="49"/>
      <c r="M193" s="49"/>
      <c r="N193" s="49"/>
      <c r="O193" s="49"/>
      <c r="P193" s="49"/>
      <c r="Q193" s="49"/>
      <c r="R193" s="49"/>
      <c r="S193" s="49"/>
      <c r="T193" s="49"/>
      <c r="U193" s="49"/>
      <c r="V193" s="49"/>
      <c r="W193" s="49"/>
      <c r="X193" s="49"/>
      <c r="Y193" s="49"/>
      <c r="Z193" s="49"/>
    </row>
    <row r="194">
      <c r="A194" s="49" t="str">
        <f>IFERROR(__xludf.DUMMYFUNCTION("""COMPUTED_VALUE"""),"Poseidon's Pauldrons")</f>
        <v>Poseidon's Pauldrons</v>
      </c>
      <c r="B194" s="49"/>
      <c r="C194" s="49"/>
      <c r="D194" s="49" t="str">
        <f>IFERROR(__xludf.DUMMYFUNCTION("""COMPUTED_VALUE"""),"Shoulders")</f>
        <v>Shoulders</v>
      </c>
      <c r="E194" s="49">
        <f>IFERROR(__xludf.DUMMYFUNCTION("""COMPUTED_VALUE"""),400.0)</f>
        <v>400</v>
      </c>
      <c r="F194" s="49" t="str">
        <f>IFERROR(__xludf.DUMMYFUNCTION("""COMPUTED_VALUE"""),"DEF: +10000, Water DEF: +10000 ++X8 additional water damage for self.")</f>
        <v>DEF: +10000, Water DEF: +10000 ++X8 additional water damage for self.</v>
      </c>
      <c r="G194" s="49">
        <f>IFERROR(__xludf.DUMMYFUNCTION("""COMPUTED_VALUE"""),7800000.0)</f>
        <v>7800000</v>
      </c>
      <c r="H194" s="49"/>
      <c r="I194" s="49"/>
      <c r="J194" s="49"/>
      <c r="K194" s="49"/>
      <c r="L194" s="49"/>
      <c r="M194" s="49"/>
      <c r="N194" s="49"/>
      <c r="O194" s="49"/>
      <c r="P194" s="49"/>
      <c r="Q194" s="49"/>
      <c r="R194" s="49"/>
      <c r="S194" s="49"/>
      <c r="T194" s="49"/>
      <c r="U194" s="49"/>
      <c r="V194" s="49"/>
      <c r="W194" s="49"/>
      <c r="X194" s="49"/>
      <c r="Y194" s="49"/>
      <c r="Z194" s="49"/>
    </row>
    <row r="195">
      <c r="A195" s="49" t="str">
        <f>IFERROR(__xludf.DUMMYFUNCTION("""COMPUTED_VALUE"""),"Poseidon's Ring")</f>
        <v>Poseidon's Ring</v>
      </c>
      <c r="B195" s="49"/>
      <c r="C195" s="49"/>
      <c r="D195" s="49" t="str">
        <f>IFERROR(__xludf.DUMMYFUNCTION("""COMPUTED_VALUE"""),"Ring")</f>
        <v>Ring</v>
      </c>
      <c r="E195" s="49">
        <f>IFERROR(__xludf.DUMMYFUNCTION("""COMPUTED_VALUE"""),20.0)</f>
        <v>20</v>
      </c>
      <c r="F195" s="49" t="str">
        <f>IFERROR(__xludf.DUMMYFUNCTION("""COMPUTED_VALUE"""),"DEF: +1000 ++X8 additional water damage for self. ")</f>
        <v>DEF: +1000 ++X8 additional water damage for self. </v>
      </c>
      <c r="G195" s="49">
        <f>IFERROR(__xludf.DUMMYFUNCTION("""COMPUTED_VALUE"""),10000.0)</f>
        <v>10000</v>
      </c>
      <c r="H195" s="49"/>
      <c r="I195" s="49"/>
      <c r="J195" s="49"/>
      <c r="K195" s="49"/>
      <c r="L195" s="49"/>
      <c r="M195" s="49"/>
      <c r="N195" s="49"/>
      <c r="O195" s="49"/>
      <c r="P195" s="49"/>
      <c r="Q195" s="49"/>
      <c r="R195" s="49"/>
      <c r="S195" s="49"/>
      <c r="T195" s="49"/>
      <c r="U195" s="49"/>
      <c r="V195" s="49"/>
      <c r="W195" s="49"/>
      <c r="X195" s="49"/>
      <c r="Y195" s="49"/>
      <c r="Z195" s="49"/>
    </row>
    <row r="196">
      <c r="A196" s="49" t="str">
        <f>IFERROR(__xludf.DUMMYFUNCTION("""COMPUTED_VALUE"""),"Poseidon's Sword")</f>
        <v>Poseidon's Sword</v>
      </c>
      <c r="B196" s="49"/>
      <c r="C196" s="49" t="str">
        <f>IFERROR(__xludf.DUMMYFUNCTION("""COMPUTED_VALUE"""),"Sword")</f>
        <v>Sword</v>
      </c>
      <c r="D196" s="49" t="str">
        <f>IFERROR(__xludf.DUMMYFUNCTION("""COMPUTED_VALUE"""),"Hand")</f>
        <v>Hand</v>
      </c>
      <c r="E196" s="49">
        <f>IFERROR(__xludf.DUMMYFUNCTION("""COMPUTED_VALUE"""),200.0)</f>
        <v>200</v>
      </c>
      <c r="F196" s="49"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49">
        <f>IFERROR(__xludf.DUMMYFUNCTION("""COMPUTED_VALUE"""),1.99E8)</f>
        <v>199000000</v>
      </c>
      <c r="H196" s="49"/>
      <c r="I196" s="49"/>
      <c r="J196" s="49"/>
      <c r="K196" s="49"/>
      <c r="L196" s="49"/>
      <c r="M196" s="49"/>
      <c r="N196" s="49"/>
      <c r="O196" s="49"/>
      <c r="P196" s="49"/>
      <c r="Q196" s="49"/>
      <c r="R196" s="49"/>
      <c r="S196" s="49"/>
      <c r="T196" s="49"/>
      <c r="U196" s="49"/>
      <c r="V196" s="49"/>
      <c r="W196" s="49"/>
      <c r="X196" s="49"/>
      <c r="Y196" s="49"/>
      <c r="Z196" s="49"/>
    </row>
    <row r="197">
      <c r="A197" s="49" t="str">
        <f>IFERROR(__xludf.DUMMYFUNCTION("""COMPUTED_VALUE"""),"Poseidon's Trident")</f>
        <v>Poseidon's Trident</v>
      </c>
      <c r="B197" s="49"/>
      <c r="C197" s="49" t="str">
        <f>IFERROR(__xludf.DUMMYFUNCTION("""COMPUTED_VALUE"""),"Spear")</f>
        <v>Spear</v>
      </c>
      <c r="D197" s="49" t="str">
        <f>IFERROR(__xludf.DUMMYFUNCTION("""COMPUTED_VALUE"""),"Hand")</f>
        <v>Hand</v>
      </c>
      <c r="E197" s="49">
        <f>IFERROR(__xludf.DUMMYFUNCTION("""COMPUTED_VALUE"""),200.0)</f>
        <v>200</v>
      </c>
      <c r="F197" s="49"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49">
        <f>IFERROR(__xludf.DUMMYFUNCTION("""COMPUTED_VALUE"""),3.1125E8)</f>
        <v>311250000</v>
      </c>
      <c r="H197" s="49"/>
      <c r="I197" s="49"/>
      <c r="J197" s="49"/>
      <c r="K197" s="49"/>
      <c r="L197" s="49"/>
      <c r="M197" s="49"/>
      <c r="N197" s="49"/>
      <c r="O197" s="49"/>
      <c r="P197" s="49"/>
      <c r="Q197" s="49"/>
      <c r="R197" s="49"/>
      <c r="S197" s="49"/>
      <c r="T197" s="49"/>
      <c r="U197" s="49"/>
      <c r="V197" s="49"/>
      <c r="W197" s="49"/>
      <c r="X197" s="49"/>
      <c r="Y197" s="49"/>
      <c r="Z197" s="49"/>
    </row>
    <row r="198">
      <c r="A198" s="49" t="str">
        <f>IFERROR(__xludf.DUMMYFUNCTION("""COMPUTED_VALUE"""),"Poseidon's Vambraces")</f>
        <v>Poseidon's Vambraces</v>
      </c>
      <c r="B198" s="49"/>
      <c r="C198" s="49"/>
      <c r="D198" s="49" t="str">
        <f>IFERROR(__xludf.DUMMYFUNCTION("""COMPUTED_VALUE"""),"Arms")</f>
        <v>Arms</v>
      </c>
      <c r="E198" s="49">
        <f>IFERROR(__xludf.DUMMYFUNCTION("""COMPUTED_VALUE"""),400.0)</f>
        <v>400</v>
      </c>
      <c r="F198" s="49" t="str">
        <f>IFERROR(__xludf.DUMMYFUNCTION("""COMPUTED_VALUE"""),"DEF: +10000, Water DEF: +10000 ++X8 additional water damage for self.")</f>
        <v>DEF: +10000, Water DEF: +10000 ++X8 additional water damage for self.</v>
      </c>
      <c r="G198" s="49">
        <f>IFERROR(__xludf.DUMMYFUNCTION("""COMPUTED_VALUE"""),7800000.0)</f>
        <v>7800000</v>
      </c>
      <c r="H198" s="49"/>
      <c r="I198" s="49"/>
      <c r="J198" s="49"/>
      <c r="K198" s="49"/>
      <c r="L198" s="49"/>
      <c r="M198" s="49"/>
      <c r="N198" s="49"/>
      <c r="O198" s="49"/>
      <c r="P198" s="49"/>
      <c r="Q198" s="49"/>
      <c r="R198" s="49"/>
      <c r="S198" s="49"/>
      <c r="T198" s="49"/>
      <c r="U198" s="49"/>
      <c r="V198" s="49"/>
      <c r="W198" s="49"/>
      <c r="X198" s="49"/>
      <c r="Y198" s="49"/>
      <c r="Z198" s="49"/>
    </row>
    <row r="199">
      <c r="A199" s="49" t="str">
        <f>IFERROR(__xludf.DUMMYFUNCTION("""COMPUTED_VALUE"""),"Riftblade")</f>
        <v>Riftblade</v>
      </c>
      <c r="B199" s="49" t="str">
        <f>IFERROR(__xludf.DUMMYFUNCTION("""COMPUTED_VALUE"""),"An ancient blade from a forgotten time")</f>
        <v>An ancient blade from a forgotten time</v>
      </c>
      <c r="C199" s="49" t="str">
        <f>IFERROR(__xludf.DUMMYFUNCTION("""COMPUTED_VALUE"""),"Sword")</f>
        <v>Sword</v>
      </c>
      <c r="D199" s="49" t="str">
        <f>IFERROR(__xludf.DUMMYFUNCTION("""COMPUTED_VALUE"""),"Hand")</f>
        <v>Hand</v>
      </c>
      <c r="E199" s="49">
        <f>IFERROR(__xludf.DUMMYFUNCTION("""COMPUTED_VALUE"""),600.0)</f>
        <v>600</v>
      </c>
      <c r="F199" s="49" t="str">
        <f>IFERROR(__xludf.DUMMYFUNCTION("""COMPUTED_VALUE"""),"DMG: +10000, Chaos DMG: +10000, Nature DMG: +10000")</f>
        <v>DMG: +10000, Chaos DMG: +10000, Nature DMG: +10000</v>
      </c>
      <c r="G199" s="49">
        <f>IFERROR(__xludf.DUMMYFUNCTION("""COMPUTED_VALUE"""),1.77E7)</f>
        <v>17700000</v>
      </c>
      <c r="H199" s="49"/>
      <c r="I199" s="49"/>
      <c r="J199" s="49"/>
      <c r="K199" s="49"/>
      <c r="L199" s="49"/>
      <c r="M199" s="49"/>
      <c r="N199" s="49"/>
      <c r="O199" s="49"/>
      <c r="P199" s="49"/>
      <c r="Q199" s="49"/>
      <c r="R199" s="49"/>
      <c r="S199" s="49"/>
      <c r="T199" s="49"/>
      <c r="U199" s="49"/>
      <c r="V199" s="49"/>
      <c r="W199" s="49"/>
      <c r="X199" s="49"/>
      <c r="Y199" s="49"/>
      <c r="Z199" s="49"/>
    </row>
    <row r="200">
      <c r="A200" s="49" t="str">
        <f>IFERROR(__xludf.DUMMYFUNCTION("""COMPUTED_VALUE"""),"Ring o’ Luck and Nature")</f>
        <v>Ring o’ Luck and Nature</v>
      </c>
      <c r="B200" s="49"/>
      <c r="C200" s="49"/>
      <c r="D200" s="49" t="str">
        <f>IFERROR(__xludf.DUMMYFUNCTION("""COMPUTED_VALUE"""),"Ring")</f>
        <v>Ring</v>
      </c>
      <c r="E200" s="49">
        <f>IFERROR(__xludf.DUMMYFUNCTION("""COMPUTED_VALUE"""),1.0)</f>
        <v>1</v>
      </c>
      <c r="F200" s="49" t="str">
        <f>IFERROR(__xludf.DUMMYFUNCTION("""COMPUTED_VALUE""")," ++Immunity to nature damage, ++increases the roll of a d20 by 2. +-Can only equip one")</f>
        <v> ++Immunity to nature damage, ++increases the roll of a d20 by 2. +-Can only equip one</v>
      </c>
      <c r="G200" s="49">
        <f>IFERROR(__xludf.DUMMYFUNCTION("""COMPUTED_VALUE"""),0.0)</f>
        <v>0</v>
      </c>
      <c r="H200" s="49"/>
      <c r="I200" s="49"/>
      <c r="J200" s="49"/>
      <c r="K200" s="49"/>
      <c r="L200" s="49"/>
      <c r="M200" s="49"/>
      <c r="N200" s="49"/>
      <c r="O200" s="49"/>
      <c r="P200" s="49"/>
      <c r="Q200" s="49"/>
      <c r="R200" s="49"/>
      <c r="S200" s="49"/>
      <c r="T200" s="49"/>
      <c r="U200" s="49"/>
      <c r="V200" s="49"/>
      <c r="W200" s="49"/>
      <c r="X200" s="49"/>
      <c r="Y200" s="49"/>
      <c r="Z200" s="49"/>
    </row>
    <row r="201">
      <c r="A201" s="49" t="str">
        <f>IFERROR(__xludf.DUMMYFUNCTION("""COMPUTED_VALUE"""),"Ring of Darkness")</f>
        <v>Ring of Darkness</v>
      </c>
      <c r="B201" s="49"/>
      <c r="C201" s="49"/>
      <c r="D201" s="49" t="str">
        <f>IFERROR(__xludf.DUMMYFUNCTION("""COMPUTED_VALUE"""),"Ring")</f>
        <v>Ring</v>
      </c>
      <c r="E201" s="49">
        <f>IFERROR(__xludf.DUMMYFUNCTION("""COMPUTED_VALUE"""),1.0)</f>
        <v>1</v>
      </c>
      <c r="F201" s="49"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49">
        <f>IFERROR(__xludf.DUMMYFUNCTION("""COMPUTED_VALUE"""),0.0)</f>
        <v>0</v>
      </c>
      <c r="H201" s="49"/>
      <c r="I201" s="49"/>
      <c r="J201" s="49"/>
      <c r="K201" s="49"/>
      <c r="L201" s="49"/>
      <c r="M201" s="49"/>
      <c r="N201" s="49"/>
      <c r="O201" s="49"/>
      <c r="P201" s="49"/>
      <c r="Q201" s="49"/>
      <c r="R201" s="49"/>
      <c r="S201" s="49"/>
      <c r="T201" s="49"/>
      <c r="U201" s="49"/>
      <c r="V201" s="49"/>
      <c r="W201" s="49"/>
      <c r="X201" s="49"/>
      <c r="Y201" s="49"/>
      <c r="Z201" s="49"/>
    </row>
    <row r="202">
      <c r="A202" s="49" t="str">
        <f>IFERROR(__xludf.DUMMYFUNCTION("""COMPUTED_VALUE"""),"Ring of Death")</f>
        <v>Ring of Death</v>
      </c>
      <c r="B202" s="49"/>
      <c r="C202" s="49"/>
      <c r="D202" s="49" t="str">
        <f>IFERROR(__xludf.DUMMYFUNCTION("""COMPUTED_VALUE"""),"Ring")</f>
        <v>Ring</v>
      </c>
      <c r="E202" s="49">
        <f>IFERROR(__xludf.DUMMYFUNCTION("""COMPUTED_VALUE"""),1.0)</f>
        <v>1</v>
      </c>
      <c r="F202" s="49" t="str">
        <f>IFERROR(__xludf.DUMMYFUNCTION("""COMPUTED_VALUE""")," ++Causes instant death with a fail/succeed roll.")</f>
        <v> ++Causes instant death with a fail/succeed roll.</v>
      </c>
      <c r="G202" s="49">
        <f>IFERROR(__xludf.DUMMYFUNCTION("""COMPUTED_VALUE"""),0.0)</f>
        <v>0</v>
      </c>
      <c r="H202" s="49"/>
      <c r="I202" s="49"/>
      <c r="J202" s="49"/>
      <c r="K202" s="49"/>
      <c r="L202" s="49"/>
      <c r="M202" s="49"/>
      <c r="N202" s="49"/>
      <c r="O202" s="49"/>
      <c r="P202" s="49"/>
      <c r="Q202" s="49"/>
      <c r="R202" s="49"/>
      <c r="S202" s="49"/>
      <c r="T202" s="49"/>
      <c r="U202" s="49"/>
      <c r="V202" s="49"/>
      <c r="W202" s="49"/>
      <c r="X202" s="49"/>
      <c r="Y202" s="49"/>
      <c r="Z202" s="49"/>
    </row>
    <row r="203">
      <c r="A203" s="49" t="str">
        <f>IFERROR(__xludf.DUMMYFUNCTION("""COMPUTED_VALUE"""),"Ring Of Dwelling Waters")</f>
        <v>Ring Of Dwelling Waters</v>
      </c>
      <c r="B203" s="49"/>
      <c r="C203" s="49"/>
      <c r="D203" s="49" t="str">
        <f>IFERROR(__xludf.DUMMYFUNCTION("""COMPUTED_VALUE"""),"Ring")</f>
        <v>Ring</v>
      </c>
      <c r="E203" s="49">
        <f>IFERROR(__xludf.DUMMYFUNCTION("""COMPUTED_VALUE"""),1.0)</f>
        <v>1</v>
      </c>
      <c r="F203" s="49" t="str">
        <f>IFERROR(__xludf.DUMMYFUNCTION("""COMPUTED_VALUE"""),", Fire : +  ++X2 Water and Dark damage.")</f>
        <v>, Fire : +  ++X2 Water and Dark damage.</v>
      </c>
      <c r="G203" s="49">
        <f>IFERROR(__xludf.DUMMYFUNCTION("""COMPUTED_VALUE"""),0.0)</f>
        <v>0</v>
      </c>
      <c r="H203" s="49"/>
      <c r="I203" s="49"/>
      <c r="J203" s="49"/>
      <c r="K203" s="49"/>
      <c r="L203" s="49"/>
      <c r="M203" s="49"/>
      <c r="N203" s="49"/>
      <c r="O203" s="49"/>
      <c r="P203" s="49"/>
      <c r="Q203" s="49"/>
      <c r="R203" s="49"/>
      <c r="S203" s="49"/>
      <c r="T203" s="49"/>
      <c r="U203" s="49"/>
      <c r="V203" s="49"/>
      <c r="W203" s="49"/>
      <c r="X203" s="49"/>
      <c r="Y203" s="49"/>
      <c r="Z203" s="49"/>
    </row>
    <row r="204">
      <c r="A204" s="49" t="str">
        <f>IFERROR(__xludf.DUMMYFUNCTION("""COMPUTED_VALUE"""),"Ring of Endless Souls")</f>
        <v>Ring of Endless Souls</v>
      </c>
      <c r="B204" s="49"/>
      <c r="C204" s="49"/>
      <c r="D204" s="49" t="str">
        <f>IFERROR(__xludf.DUMMYFUNCTION("""COMPUTED_VALUE"""),"Ring")</f>
        <v>Ring</v>
      </c>
      <c r="E204" s="49">
        <f>IFERROR(__xludf.DUMMYFUNCTION("""COMPUTED_VALUE"""),1.0)</f>
        <v>1</v>
      </c>
      <c r="F204" s="49" t="str">
        <f>IFERROR(__xludf.DUMMYFUNCTION("""COMPUTED_VALUE""")," ++0 Def ++Soul Enchanted - Every time you enchant a soul into this item increase the Def of this item by 10. ")</f>
        <v> ++0 Def ++Soul Enchanted - Every time you enchant a soul into this item increase the Def of this item by 10. </v>
      </c>
      <c r="G204" s="49">
        <f>IFERROR(__xludf.DUMMYFUNCTION("""COMPUTED_VALUE"""),0.0)</f>
        <v>0</v>
      </c>
      <c r="H204" s="49"/>
      <c r="I204" s="49"/>
      <c r="J204" s="49"/>
      <c r="K204" s="49"/>
      <c r="L204" s="49"/>
      <c r="M204" s="49"/>
      <c r="N204" s="49"/>
      <c r="O204" s="49"/>
      <c r="P204" s="49"/>
      <c r="Q204" s="49"/>
      <c r="R204" s="49"/>
      <c r="S204" s="49"/>
      <c r="T204" s="49"/>
      <c r="U204" s="49"/>
      <c r="V204" s="49"/>
      <c r="W204" s="49"/>
      <c r="X204" s="49"/>
      <c r="Y204" s="49"/>
      <c r="Z204" s="49"/>
    </row>
    <row r="205">
      <c r="A205" s="49" t="str">
        <f>IFERROR(__xludf.DUMMYFUNCTION("""COMPUTED_VALUE"""),"Ring of Healing")</f>
        <v>Ring of Healing</v>
      </c>
      <c r="B205" s="49"/>
      <c r="C205" s="49"/>
      <c r="D205" s="49" t="str">
        <f>IFERROR(__xludf.DUMMYFUNCTION("""COMPUTED_VALUE"""),"Ring")</f>
        <v>Ring</v>
      </c>
      <c r="E205" s="49">
        <f>IFERROR(__xludf.DUMMYFUNCTION("""COMPUTED_VALUE"""),1.0)</f>
        <v>1</v>
      </c>
      <c r="F205" s="49" t="str">
        <f>IFERROR(__xludf.DUMMYFUNCTION("""COMPUTED_VALUE""")," ++500 hp per round.")</f>
        <v> ++500 hp per round.</v>
      </c>
      <c r="G205" s="49">
        <f>IFERROR(__xludf.DUMMYFUNCTION("""COMPUTED_VALUE"""),0.0)</f>
        <v>0</v>
      </c>
      <c r="H205" s="49"/>
      <c r="I205" s="49"/>
      <c r="J205" s="49"/>
      <c r="K205" s="49"/>
      <c r="L205" s="49"/>
      <c r="M205" s="49"/>
      <c r="N205" s="49"/>
      <c r="O205" s="49"/>
      <c r="P205" s="49"/>
      <c r="Q205" s="49"/>
      <c r="R205" s="49"/>
      <c r="S205" s="49"/>
      <c r="T205" s="49"/>
      <c r="U205" s="49"/>
      <c r="V205" s="49"/>
      <c r="W205" s="49"/>
      <c r="X205" s="49"/>
      <c r="Y205" s="49"/>
      <c r="Z205" s="49"/>
    </row>
    <row r="206">
      <c r="A206" s="49" t="str">
        <f>IFERROR(__xludf.DUMMYFUNCTION("""COMPUTED_VALUE"""),"Ring of Invulnerability ")</f>
        <v>Ring of Invulnerability </v>
      </c>
      <c r="B206" s="49"/>
      <c r="C206" s="49"/>
      <c r="D206" s="49" t="str">
        <f>IFERROR(__xludf.DUMMYFUNCTION("""COMPUTED_VALUE"""),"Ring")</f>
        <v>Ring</v>
      </c>
      <c r="E206" s="49">
        <f>IFERROR(__xludf.DUMMYFUNCTION("""COMPUTED_VALUE"""),1.0)</f>
        <v>1</v>
      </c>
      <c r="F206" s="49"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49">
        <f>IFERROR(__xludf.DUMMYFUNCTION("""COMPUTED_VALUE"""),0.0)</f>
        <v>0</v>
      </c>
      <c r="H206" s="49"/>
      <c r="I206" s="49"/>
      <c r="J206" s="49"/>
      <c r="K206" s="49"/>
      <c r="L206" s="49"/>
      <c r="M206" s="49"/>
      <c r="N206" s="49"/>
      <c r="O206" s="49"/>
      <c r="P206" s="49"/>
      <c r="Q206" s="49"/>
      <c r="R206" s="49"/>
      <c r="S206" s="49"/>
      <c r="T206" s="49"/>
      <c r="U206" s="49"/>
      <c r="V206" s="49"/>
      <c r="W206" s="49"/>
      <c r="X206" s="49"/>
      <c r="Y206" s="49"/>
      <c r="Z206" s="49"/>
    </row>
    <row r="207">
      <c r="A207" s="49" t="str">
        <f>IFERROR(__xludf.DUMMYFUNCTION("""COMPUTED_VALUE"""),"Ring of Pure Chaos")</f>
        <v>Ring of Pure Chaos</v>
      </c>
      <c r="B207" s="49"/>
      <c r="C207" s="49"/>
      <c r="D207" s="49" t="str">
        <f>IFERROR(__xludf.DUMMYFUNCTION("""COMPUTED_VALUE"""),"Ring")</f>
        <v>Ring</v>
      </c>
      <c r="E207" s="49">
        <f>IFERROR(__xludf.DUMMYFUNCTION("""COMPUTED_VALUE"""),1.0)</f>
        <v>1</v>
      </c>
      <c r="F207" s="49" t="str">
        <f>IFERROR(__xludf.DUMMYFUNCTION("""COMPUTED_VALUE""")," ++X2 Chaos damage, ++ +5 Charisma and Intimidation. +-Cannot be forged +-Cannot be duplicated +-Can only equip one")</f>
        <v> ++X2 Chaos damage, ++ +5 Charisma and Intimidation. +-Cannot be forged +-Cannot be duplicated +-Can only equip one</v>
      </c>
      <c r="G207" s="49">
        <f>IFERROR(__xludf.DUMMYFUNCTION("""COMPUTED_VALUE"""),0.0)</f>
        <v>0</v>
      </c>
      <c r="H207" s="49"/>
      <c r="I207" s="49"/>
      <c r="J207" s="49"/>
      <c r="K207" s="49"/>
      <c r="L207" s="49"/>
      <c r="M207" s="49"/>
      <c r="N207" s="49"/>
      <c r="O207" s="49"/>
      <c r="P207" s="49"/>
      <c r="Q207" s="49"/>
      <c r="R207" s="49"/>
      <c r="S207" s="49"/>
      <c r="T207" s="49"/>
      <c r="U207" s="49"/>
      <c r="V207" s="49"/>
      <c r="W207" s="49"/>
      <c r="X207" s="49"/>
      <c r="Y207" s="49"/>
      <c r="Z207" s="49"/>
    </row>
    <row r="208">
      <c r="A208" s="49" t="str">
        <f>IFERROR(__xludf.DUMMYFUNCTION("""COMPUTED_VALUE"""),"Ring of Pure Defense")</f>
        <v>Ring of Pure Defense</v>
      </c>
      <c r="B208" s="49"/>
      <c r="C208" s="49"/>
      <c r="D208" s="49" t="str">
        <f>IFERROR(__xludf.DUMMYFUNCTION("""COMPUTED_VALUE"""),"Ring")</f>
        <v>Ring</v>
      </c>
      <c r="E208" s="49">
        <f>IFERROR(__xludf.DUMMYFUNCTION("""COMPUTED_VALUE"""),1.0)</f>
        <v>1</v>
      </c>
      <c r="F208" s="49" t="str">
        <f>IFERROR(__xludf.DUMMYFUNCTION("""COMPUTED_VALUE""")," ++Half the damage taken from the next attack 100SP Will Succeed.")</f>
        <v> ++Half the damage taken from the next attack 100SP Will Succeed.</v>
      </c>
      <c r="G208" s="49">
        <f>IFERROR(__xludf.DUMMYFUNCTION("""COMPUTED_VALUE"""),0.0)</f>
        <v>0</v>
      </c>
      <c r="H208" s="49"/>
      <c r="I208" s="49"/>
      <c r="J208" s="49"/>
      <c r="K208" s="49"/>
      <c r="L208" s="49"/>
      <c r="M208" s="49"/>
      <c r="N208" s="49"/>
      <c r="O208" s="49"/>
      <c r="P208" s="49"/>
      <c r="Q208" s="49"/>
      <c r="R208" s="49"/>
      <c r="S208" s="49"/>
      <c r="T208" s="49"/>
      <c r="U208" s="49"/>
      <c r="V208" s="49"/>
      <c r="W208" s="49"/>
      <c r="X208" s="49"/>
      <c r="Y208" s="49"/>
      <c r="Z208" s="49"/>
    </row>
    <row r="209">
      <c r="A209" s="49" t="str">
        <f>IFERROR(__xludf.DUMMYFUNCTION("""COMPUTED_VALUE"""),"Ring of Reflect")</f>
        <v>Ring of Reflect</v>
      </c>
      <c r="B209" s="49"/>
      <c r="C209" s="49"/>
      <c r="D209" s="49" t="str">
        <f>IFERROR(__xludf.DUMMYFUNCTION("""COMPUTED_VALUE"""),"Ring")</f>
        <v>Ring</v>
      </c>
      <c r="E209" s="49">
        <f>IFERROR(__xludf.DUMMYFUNCTION("""COMPUTED_VALUE"""),1.0)</f>
        <v>1</v>
      </c>
      <c r="F209" s="49"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49">
        <f>IFERROR(__xludf.DUMMYFUNCTION("""COMPUTED_VALUE"""),0.0)</f>
        <v>0</v>
      </c>
      <c r="H209" s="49"/>
      <c r="I209" s="49"/>
      <c r="J209" s="49"/>
      <c r="K209" s="49"/>
      <c r="L209" s="49"/>
      <c r="M209" s="49"/>
      <c r="N209" s="49"/>
      <c r="O209" s="49"/>
      <c r="P209" s="49"/>
      <c r="Q209" s="49"/>
      <c r="R209" s="49"/>
      <c r="S209" s="49"/>
      <c r="T209" s="49"/>
      <c r="U209" s="49"/>
      <c r="V209" s="49"/>
      <c r="W209" s="49"/>
      <c r="X209" s="49"/>
      <c r="Y209" s="49"/>
      <c r="Z209" s="49"/>
    </row>
    <row r="210">
      <c r="A210" s="49" t="str">
        <f>IFERROR(__xludf.DUMMYFUNCTION("""COMPUTED_VALUE"""),"Ring of the Bonded Undead")</f>
        <v>Ring of the Bonded Undead</v>
      </c>
      <c r="B210" s="49"/>
      <c r="C210" s="49"/>
      <c r="D210" s="49" t="str">
        <f>IFERROR(__xludf.DUMMYFUNCTION("""COMPUTED_VALUE"""),"Ring")</f>
        <v>Ring</v>
      </c>
      <c r="E210" s="49">
        <f>IFERROR(__xludf.DUMMYFUNCTION("""COMPUTED_VALUE"""),1.0)</f>
        <v>1</v>
      </c>
      <c r="F210" s="49" t="str">
        <f>IFERROR(__xludf.DUMMYFUNCTION("""COMPUTED_VALUE""")," ++When you battle with any Undead target you can deal X2 more damage.")</f>
        <v> ++When you battle with any Undead target you can deal X2 more damage.</v>
      </c>
      <c r="G210" s="49">
        <f>IFERROR(__xludf.DUMMYFUNCTION("""COMPUTED_VALUE"""),0.0)</f>
        <v>0</v>
      </c>
      <c r="H210" s="49"/>
      <c r="I210" s="49"/>
      <c r="J210" s="49"/>
      <c r="K210" s="49"/>
      <c r="L210" s="49"/>
      <c r="M210" s="49"/>
      <c r="N210" s="49"/>
      <c r="O210" s="49"/>
      <c r="P210" s="49"/>
      <c r="Q210" s="49"/>
      <c r="R210" s="49"/>
      <c r="S210" s="49"/>
      <c r="T210" s="49"/>
      <c r="U210" s="49"/>
      <c r="V210" s="49"/>
      <c r="W210" s="49"/>
      <c r="X210" s="49"/>
      <c r="Y210" s="49"/>
      <c r="Z210" s="49"/>
    </row>
    <row r="211">
      <c r="A211" s="49" t="str">
        <f>IFERROR(__xludf.DUMMYFUNCTION("""COMPUTED_VALUE"""),"Ring of the Forgotten")</f>
        <v>Ring of the Forgotten</v>
      </c>
      <c r="B211" s="49"/>
      <c r="C211" s="49"/>
      <c r="D211" s="49" t="str">
        <f>IFERROR(__xludf.DUMMYFUNCTION("""COMPUTED_VALUE"""),"Ring")</f>
        <v>Ring</v>
      </c>
      <c r="E211" s="49">
        <f>IFERROR(__xludf.DUMMYFUNCTION("""COMPUTED_VALUE"""),1.0)</f>
        <v>1</v>
      </c>
      <c r="F211" s="49" t="str">
        <f>IFERROR(__xludf.DUMMYFUNCTION("""COMPUTED_VALUE""")," ++Make a fail/succeed roll to make a target forget they were fighting you. +-Cannot be duplicated")</f>
        <v> ++Make a fail/succeed roll to make a target forget they were fighting you. +-Cannot be duplicated</v>
      </c>
      <c r="G211" s="49">
        <f>IFERROR(__xludf.DUMMYFUNCTION("""COMPUTED_VALUE"""),0.0)</f>
        <v>0</v>
      </c>
      <c r="H211" s="49"/>
      <c r="I211" s="49"/>
      <c r="J211" s="49"/>
      <c r="K211" s="49"/>
      <c r="L211" s="49"/>
      <c r="M211" s="49"/>
      <c r="N211" s="49"/>
      <c r="O211" s="49"/>
      <c r="P211" s="49"/>
      <c r="Q211" s="49"/>
      <c r="R211" s="49"/>
      <c r="S211" s="49"/>
      <c r="T211" s="49"/>
      <c r="U211" s="49"/>
      <c r="V211" s="49"/>
      <c r="W211" s="49"/>
      <c r="X211" s="49"/>
      <c r="Y211" s="49"/>
      <c r="Z211" s="49"/>
    </row>
    <row r="212">
      <c r="A212" s="49" t="str">
        <f>IFERROR(__xludf.DUMMYFUNCTION("""COMPUTED_VALUE"""),"Ring Of Tritonoch")</f>
        <v>Ring Of Tritonoch</v>
      </c>
      <c r="B212" s="49"/>
      <c r="C212" s="49"/>
      <c r="D212" s="49" t="str">
        <f>IFERROR(__xludf.DUMMYFUNCTION("""COMPUTED_VALUE"""),"Ring")</f>
        <v>Ring</v>
      </c>
      <c r="E212" s="49">
        <f>IFERROR(__xludf.DUMMYFUNCTION("""COMPUTED_VALUE"""),1.0)</f>
        <v>1</v>
      </c>
      <c r="F212" s="49" t="str">
        <f>IFERROR(__xludf.DUMMYFUNCTION("""COMPUTED_VALUE""")," ++Waves of Entitlement - x5 additional Water damage")</f>
        <v> ++Waves of Entitlement - x5 additional Water damage</v>
      </c>
      <c r="G212" s="49">
        <f>IFERROR(__xludf.DUMMYFUNCTION("""COMPUTED_VALUE"""),0.0)</f>
        <v>0</v>
      </c>
      <c r="H212" s="49"/>
      <c r="I212" s="49"/>
      <c r="J212" s="49"/>
      <c r="K212" s="49"/>
      <c r="L212" s="49"/>
      <c r="M212" s="49"/>
      <c r="N212" s="49"/>
      <c r="O212" s="49"/>
      <c r="P212" s="49"/>
      <c r="Q212" s="49"/>
      <c r="R212" s="49"/>
      <c r="S212" s="49"/>
      <c r="T212" s="49"/>
      <c r="U212" s="49"/>
      <c r="V212" s="49"/>
      <c r="W212" s="49"/>
      <c r="X212" s="49"/>
      <c r="Y212" s="49"/>
      <c r="Z212" s="49"/>
    </row>
    <row r="213">
      <c r="A213" s="49" t="str">
        <f>IFERROR(__xludf.DUMMYFUNCTION("""COMPUTED_VALUE"""),"Ring of Waking Waters")</f>
        <v>Ring of Waking Waters</v>
      </c>
      <c r="B213" s="49"/>
      <c r="C213" s="49"/>
      <c r="D213" s="49" t="str">
        <f>IFERROR(__xludf.DUMMYFUNCTION("""COMPUTED_VALUE"""),"Ring")</f>
        <v>Ring</v>
      </c>
      <c r="E213" s="49">
        <f>IFERROR(__xludf.DUMMYFUNCTION("""COMPUTED_VALUE"""),100.0)</f>
        <v>100</v>
      </c>
      <c r="F213" s="49" t="str">
        <f>IFERROR(__xludf.DUMMYFUNCTION("""COMPUTED_VALUE"""),", Water DEF: +5000 ++X4 additional water damage for self.")</f>
        <v>, Water DEF: +5000 ++X4 additional water damage for self.</v>
      </c>
      <c r="G213" s="49">
        <f>IFERROR(__xludf.DUMMYFUNCTION("""COMPUTED_VALUE"""),450000.0)</f>
        <v>450000</v>
      </c>
      <c r="H213" s="49"/>
      <c r="I213" s="49"/>
      <c r="J213" s="49"/>
      <c r="K213" s="49"/>
      <c r="L213" s="49"/>
      <c r="M213" s="49"/>
      <c r="N213" s="49"/>
      <c r="O213" s="49"/>
      <c r="P213" s="49"/>
      <c r="Q213" s="49"/>
      <c r="R213" s="49"/>
      <c r="S213" s="49"/>
      <c r="T213" s="49"/>
      <c r="U213" s="49"/>
      <c r="V213" s="49"/>
      <c r="W213" s="49"/>
      <c r="X213" s="49"/>
      <c r="Y213" s="49"/>
      <c r="Z213" s="49"/>
    </row>
    <row r="214">
      <c r="A214" s="49" t="str">
        <f>IFERROR(__xludf.DUMMYFUNCTION("""COMPUTED_VALUE"""),"Robe of The Cultist")</f>
        <v>Robe of The Cultist</v>
      </c>
      <c r="B214" s="49"/>
      <c r="C214" s="49"/>
      <c r="D214" s="49" t="str">
        <f>IFERROR(__xludf.DUMMYFUNCTION("""COMPUTED_VALUE"""),"Torso")</f>
        <v>Torso</v>
      </c>
      <c r="E214" s="49">
        <f>IFERROR(__xludf.DUMMYFUNCTION("""COMPUTED_VALUE"""),80.0)</f>
        <v>80</v>
      </c>
      <c r="F214" s="49" t="str">
        <f>IFERROR(__xludf.DUMMYFUNCTION("""COMPUTED_VALUE"""),"DEF: +2000, Dark DEF: +2000 ++Instant Death Immunity. ++500HP +-Cannot be forged +-Cannot be duplicated")</f>
        <v>DEF: +2000, Dark DEF: +2000 ++Instant Death Immunity. ++500HP +-Cannot be forged +-Cannot be duplicated</v>
      </c>
      <c r="G214" s="49">
        <f>IFERROR(__xludf.DUMMYFUNCTION("""COMPUTED_VALUE"""),280000.0)</f>
        <v>280000</v>
      </c>
      <c r="H214" s="49"/>
      <c r="I214" s="49"/>
      <c r="J214" s="49"/>
      <c r="K214" s="49"/>
      <c r="L214" s="49"/>
      <c r="M214" s="49"/>
      <c r="N214" s="49"/>
      <c r="O214" s="49"/>
      <c r="P214" s="49"/>
      <c r="Q214" s="49"/>
      <c r="R214" s="49"/>
      <c r="S214" s="49"/>
      <c r="T214" s="49"/>
      <c r="U214" s="49"/>
      <c r="V214" s="49"/>
      <c r="W214" s="49"/>
      <c r="X214" s="49"/>
      <c r="Y214" s="49"/>
      <c r="Z214" s="49"/>
    </row>
    <row r="215">
      <c r="A215" s="49" t="str">
        <f>IFERROR(__xludf.DUMMYFUNCTION("""COMPUTED_VALUE"""),"Robe of Vanish")</f>
        <v>Robe of Vanish</v>
      </c>
      <c r="B215" s="49"/>
      <c r="C215" s="49"/>
      <c r="D215" s="49" t="str">
        <f>IFERROR(__xludf.DUMMYFUNCTION("""COMPUTED_VALUE"""),"Torso")</f>
        <v>Torso</v>
      </c>
      <c r="E215" s="49">
        <f>IFERROR(__xludf.DUMMYFUNCTION("""COMPUTED_VALUE"""),20.0)</f>
        <v>20</v>
      </c>
      <c r="F215" s="49" t="str">
        <f>IFERROR(__xludf.DUMMYFUNCTION("""COMPUTED_VALUE"""),"DEF: +900 ++Shadow Disappear - When Equipped you are invulnerable to all damage for the first round of battle. ")</f>
        <v>DEF: +900 ++Shadow Disappear - When Equipped you are invulnerable to all damage for the first round of battle. </v>
      </c>
      <c r="G215" s="49">
        <f>IFERROR(__xludf.DUMMYFUNCTION("""COMPUTED_VALUE"""),1000.0)</f>
        <v>1000</v>
      </c>
      <c r="H215" s="49"/>
      <c r="I215" s="49"/>
      <c r="J215" s="49"/>
      <c r="K215" s="49"/>
      <c r="L215" s="49"/>
      <c r="M215" s="49"/>
      <c r="N215" s="49"/>
      <c r="O215" s="49"/>
      <c r="P215" s="49"/>
      <c r="Q215" s="49"/>
      <c r="R215" s="49"/>
      <c r="S215" s="49"/>
      <c r="T215" s="49"/>
      <c r="U215" s="49"/>
      <c r="V215" s="49"/>
      <c r="W215" s="49"/>
      <c r="X215" s="49"/>
      <c r="Y215" s="49"/>
      <c r="Z215" s="49"/>
    </row>
    <row r="216">
      <c r="A216" s="49" t="str">
        <f>IFERROR(__xludf.DUMMYFUNCTION("""COMPUTED_VALUE"""),"Robes of a Peaceful Immortal")</f>
        <v>Robes of a Peaceful Immortal</v>
      </c>
      <c r="B216" s="49"/>
      <c r="C216" s="49"/>
      <c r="D216" s="49" t="str">
        <f>IFERROR(__xludf.DUMMYFUNCTION("""COMPUTED_VALUE"""),"Torso")</f>
        <v>Torso</v>
      </c>
      <c r="E216" s="49">
        <f>IFERROR(__xludf.DUMMYFUNCTION("""COMPUTED_VALUE"""),1.0)</f>
        <v>1</v>
      </c>
      <c r="F216" s="49" t="str">
        <f>IFERROR(__xludf.DUMMYFUNCTION("""COMPUTED_VALUE""")," ++Peaceful Blessing - Incapable of receiving or dealing damage. +-Cannot be duplicated.")</f>
        <v> ++Peaceful Blessing - Incapable of receiving or dealing damage. +-Cannot be duplicated.</v>
      </c>
      <c r="G216" s="49">
        <f>IFERROR(__xludf.DUMMYFUNCTION("""COMPUTED_VALUE"""),0.0)</f>
        <v>0</v>
      </c>
      <c r="H216" s="49"/>
      <c r="I216" s="49"/>
      <c r="J216" s="49"/>
      <c r="K216" s="49"/>
      <c r="L216" s="49"/>
      <c r="M216" s="49"/>
      <c r="N216" s="49"/>
      <c r="O216" s="49"/>
      <c r="P216" s="49"/>
      <c r="Q216" s="49"/>
      <c r="R216" s="49"/>
      <c r="S216" s="49"/>
      <c r="T216" s="49"/>
      <c r="U216" s="49"/>
      <c r="V216" s="49"/>
      <c r="W216" s="49"/>
      <c r="X216" s="49"/>
      <c r="Y216" s="49"/>
      <c r="Z216" s="49"/>
    </row>
    <row r="217">
      <c r="A217" s="49" t="str">
        <f>IFERROR(__xludf.DUMMYFUNCTION("""COMPUTED_VALUE"""),"Royal Amulet Of Heatmore")</f>
        <v>Royal Amulet Of Heatmore</v>
      </c>
      <c r="B217" s="49"/>
      <c r="C217" s="49"/>
      <c r="D217" s="49" t="str">
        <f>IFERROR(__xludf.DUMMYFUNCTION("""COMPUTED_VALUE"""),"Neck")</f>
        <v>Neck</v>
      </c>
      <c r="E217" s="49">
        <f>IFERROR(__xludf.DUMMYFUNCTION("""COMPUTED_VALUE"""),1.0)</f>
        <v>1</v>
      </c>
      <c r="F217" s="49" t="str">
        <f>IFERROR(__xludf.DUMMYFUNCTION("""COMPUTED_VALUE""")," ++ immune to fire dmg")</f>
        <v> ++ immune to fire dmg</v>
      </c>
      <c r="G217" s="49">
        <f>IFERROR(__xludf.DUMMYFUNCTION("""COMPUTED_VALUE"""),0.0)</f>
        <v>0</v>
      </c>
      <c r="H217" s="49"/>
      <c r="I217" s="49"/>
      <c r="J217" s="49"/>
      <c r="K217" s="49"/>
      <c r="L217" s="49"/>
      <c r="M217" s="49"/>
      <c r="N217" s="49"/>
      <c r="O217" s="49"/>
      <c r="P217" s="49"/>
      <c r="Q217" s="49"/>
      <c r="R217" s="49"/>
      <c r="S217" s="49"/>
      <c r="T217" s="49"/>
      <c r="U217" s="49"/>
      <c r="V217" s="49"/>
      <c r="W217" s="49"/>
      <c r="X217" s="49"/>
      <c r="Y217" s="49"/>
      <c r="Z217" s="49"/>
    </row>
    <row r="218">
      <c r="A218" s="49" t="str">
        <f>IFERROR(__xludf.DUMMYFUNCTION("""COMPUTED_VALUE"""),"Royal Guard Axe")</f>
        <v>Royal Guard Axe</v>
      </c>
      <c r="B218" s="49" t="str">
        <f>IFERROR(__xludf.DUMMYFUNCTION("""COMPUTED_VALUE"""),"Quest Item")</f>
        <v>Quest Item</v>
      </c>
      <c r="C218" s="49"/>
      <c r="D218" s="49" t="str">
        <f>IFERROR(__xludf.DUMMYFUNCTION("""COMPUTED_VALUE"""),"Hand")</f>
        <v>Hand</v>
      </c>
      <c r="E218" s="49">
        <f>IFERROR(__xludf.DUMMYFUNCTION("""COMPUTED_VALUE"""),200.0)</f>
        <v>200</v>
      </c>
      <c r="F218" s="49" t="str">
        <f>IFERROR(__xludf.DUMMYFUNCTION("""COMPUTED_VALUE"""),"DMG: +50000, Light DMG: +50000, Celestial DMG: +50000 ++X4 additional Weapon Damage. +-Cannot be duplicated.")</f>
        <v>DMG: +50000, Light DMG: +50000, Celestial DMG: +50000 ++X4 additional Weapon Damage. +-Cannot be duplicated.</v>
      </c>
      <c r="G218" s="49">
        <f>IFERROR(__xludf.DUMMYFUNCTION("""COMPUTED_VALUE"""),4.485E8)</f>
        <v>448500000</v>
      </c>
      <c r="H218" s="49"/>
      <c r="I218" s="49"/>
      <c r="J218" s="49"/>
      <c r="K218" s="49"/>
      <c r="L218" s="49"/>
      <c r="M218" s="49"/>
      <c r="N218" s="49"/>
      <c r="O218" s="49"/>
      <c r="P218" s="49"/>
      <c r="Q218" s="49"/>
      <c r="R218" s="49"/>
      <c r="S218" s="49"/>
      <c r="T218" s="49"/>
      <c r="U218" s="49"/>
      <c r="V218" s="49"/>
      <c r="W218" s="49"/>
      <c r="X218" s="49"/>
      <c r="Y218" s="49"/>
      <c r="Z218" s="49"/>
    </row>
    <row r="219">
      <c r="A219" s="49" t="str">
        <f>IFERROR(__xludf.DUMMYFUNCTION("""COMPUTED_VALUE"""),"Royal Guard Helmet")</f>
        <v>Royal Guard Helmet</v>
      </c>
      <c r="B219" s="49" t="str">
        <f>IFERROR(__xludf.DUMMYFUNCTION("""COMPUTED_VALUE"""),"Quest Item")</f>
        <v>Quest Item</v>
      </c>
      <c r="C219" s="49"/>
      <c r="D219" s="49" t="str">
        <f>IFERROR(__xludf.DUMMYFUNCTION("""COMPUTED_VALUE"""),"Head")</f>
        <v>Head</v>
      </c>
      <c r="E219" s="49">
        <f>IFERROR(__xludf.DUMMYFUNCTION("""COMPUTED_VALUE"""),200.0)</f>
        <v>200</v>
      </c>
      <c r="F219" s="49"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49">
        <f>IFERROR(__xludf.DUMMYFUNCTION("""COMPUTED_VALUE"""),4.485E8)</f>
        <v>448500000</v>
      </c>
      <c r="H219" s="49"/>
      <c r="I219" s="49"/>
      <c r="J219" s="49"/>
      <c r="K219" s="49"/>
      <c r="L219" s="49"/>
      <c r="M219" s="49"/>
      <c r="N219" s="49"/>
      <c r="O219" s="49"/>
      <c r="P219" s="49"/>
      <c r="Q219" s="49"/>
      <c r="R219" s="49"/>
      <c r="S219" s="49"/>
      <c r="T219" s="49"/>
      <c r="U219" s="49"/>
      <c r="V219" s="49"/>
      <c r="W219" s="49"/>
      <c r="X219" s="49"/>
      <c r="Y219" s="49"/>
      <c r="Z219" s="49"/>
    </row>
    <row r="220">
      <c r="A220" s="49" t="str">
        <f>IFERROR(__xludf.DUMMYFUNCTION("""COMPUTED_VALUE"""),"Royal Guard Chestplate")</f>
        <v>Royal Guard Chestplate</v>
      </c>
      <c r="B220" s="49" t="str">
        <f>IFERROR(__xludf.DUMMYFUNCTION("""COMPUTED_VALUE"""),"Quest Item")</f>
        <v>Quest Item</v>
      </c>
      <c r="C220" s="49"/>
      <c r="D220" s="49" t="str">
        <f>IFERROR(__xludf.DUMMYFUNCTION("""COMPUTED_VALUE"""),"Torso")</f>
        <v>Torso</v>
      </c>
      <c r="E220" s="49">
        <f>IFERROR(__xludf.DUMMYFUNCTION("""COMPUTED_VALUE"""),200.0)</f>
        <v>200</v>
      </c>
      <c r="F220" s="49"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49">
        <f>IFERROR(__xludf.DUMMYFUNCTION("""COMPUTED_VALUE"""),4.485E8)</f>
        <v>448500000</v>
      </c>
      <c r="H220" s="49"/>
      <c r="I220" s="49"/>
      <c r="J220" s="49"/>
      <c r="K220" s="49"/>
      <c r="L220" s="49"/>
      <c r="M220" s="49"/>
      <c r="N220" s="49"/>
      <c r="O220" s="49"/>
      <c r="P220" s="49"/>
      <c r="Q220" s="49"/>
      <c r="R220" s="49"/>
      <c r="S220" s="49"/>
      <c r="T220" s="49"/>
      <c r="U220" s="49"/>
      <c r="V220" s="49"/>
      <c r="W220" s="49"/>
      <c r="X220" s="49"/>
      <c r="Y220" s="49"/>
      <c r="Z220" s="49"/>
    </row>
    <row r="221">
      <c r="A221" s="49" t="str">
        <f>IFERROR(__xludf.DUMMYFUNCTION("""COMPUTED_VALUE"""),"Royal Guard Boots")</f>
        <v>Royal Guard Boots</v>
      </c>
      <c r="B221" s="49" t="str">
        <f>IFERROR(__xludf.DUMMYFUNCTION("""COMPUTED_VALUE"""),"Quest Item")</f>
        <v>Quest Item</v>
      </c>
      <c r="C221" s="49"/>
      <c r="D221" s="49" t="str">
        <f>IFERROR(__xludf.DUMMYFUNCTION("""COMPUTED_VALUE"""),"Feet")</f>
        <v>Feet</v>
      </c>
      <c r="E221" s="49">
        <f>IFERROR(__xludf.DUMMYFUNCTION("""COMPUTED_VALUE"""),200.0)</f>
        <v>200</v>
      </c>
      <c r="F221" s="49"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49">
        <f>IFERROR(__xludf.DUMMYFUNCTION("""COMPUTED_VALUE"""),4.485E8)</f>
        <v>448500000</v>
      </c>
      <c r="H221" s="49"/>
      <c r="I221" s="49"/>
      <c r="J221" s="49"/>
      <c r="K221" s="49"/>
      <c r="L221" s="49"/>
      <c r="M221" s="49"/>
      <c r="N221" s="49"/>
      <c r="O221" s="49"/>
      <c r="P221" s="49"/>
      <c r="Q221" s="49"/>
      <c r="R221" s="49"/>
      <c r="S221" s="49"/>
      <c r="T221" s="49"/>
      <c r="U221" s="49"/>
      <c r="V221" s="49"/>
      <c r="W221" s="49"/>
      <c r="X221" s="49"/>
      <c r="Y221" s="49"/>
      <c r="Z221" s="49"/>
    </row>
    <row r="222">
      <c r="A222" s="49" t="str">
        <f>IFERROR(__xludf.DUMMYFUNCTION("""COMPUTED_VALUE"""),"Royal Guard Greaves")</f>
        <v>Royal Guard Greaves</v>
      </c>
      <c r="B222" s="49" t="str">
        <f>IFERROR(__xludf.DUMMYFUNCTION("""COMPUTED_VALUE"""),"Quest Item")</f>
        <v>Quest Item</v>
      </c>
      <c r="C222" s="49"/>
      <c r="D222" s="49" t="str">
        <f>IFERROR(__xludf.DUMMYFUNCTION("""COMPUTED_VALUE"""),"Legs")</f>
        <v>Legs</v>
      </c>
      <c r="E222" s="49">
        <f>IFERROR(__xludf.DUMMYFUNCTION("""COMPUTED_VALUE"""),200.0)</f>
        <v>200</v>
      </c>
      <c r="F222" s="49"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49">
        <f>IFERROR(__xludf.DUMMYFUNCTION("""COMPUTED_VALUE"""),4.485E8)</f>
        <v>448500000</v>
      </c>
      <c r="H222" s="49"/>
      <c r="I222" s="49"/>
      <c r="J222" s="49"/>
      <c r="K222" s="49"/>
      <c r="L222" s="49"/>
      <c r="M222" s="49"/>
      <c r="N222" s="49"/>
      <c r="O222" s="49"/>
      <c r="P222" s="49"/>
      <c r="Q222" s="49"/>
      <c r="R222" s="49"/>
      <c r="S222" s="49"/>
      <c r="T222" s="49"/>
      <c r="U222" s="49"/>
      <c r="V222" s="49"/>
      <c r="W222" s="49"/>
      <c r="X222" s="49"/>
      <c r="Y222" s="49"/>
      <c r="Z222" s="49"/>
    </row>
    <row r="223">
      <c r="A223" s="49" t="str">
        <f>IFERROR(__xludf.DUMMYFUNCTION("""COMPUTED_VALUE"""),"Royal Keeper Shield")</f>
        <v>Royal Keeper Shield</v>
      </c>
      <c r="B223" s="49"/>
      <c r="C223" s="49" t="str">
        <f>IFERROR(__xludf.DUMMYFUNCTION("""COMPUTED_VALUE"""),"Towershield")</f>
        <v>Towershield</v>
      </c>
      <c r="D223" s="49" t="str">
        <f>IFERROR(__xludf.DUMMYFUNCTION("""COMPUTED_VALUE"""),"Hand")</f>
        <v>Hand</v>
      </c>
      <c r="E223" s="49">
        <f>IFERROR(__xludf.DUMMYFUNCTION("""COMPUTED_VALUE"""),20.0)</f>
        <v>20</v>
      </c>
      <c r="F223" s="49" t="str">
        <f>IFERROR(__xludf.DUMMYFUNCTION("""COMPUTED_VALUE"""),"DEF: +1000 ++Royal Block - Gan invulnerability to all damage for 3 rounds of battle. 5000SP Will Succeed.")</f>
        <v>DEF: +1000 ++Royal Block - Gan invulnerability to all damage for 3 rounds of battle. 5000SP Will Succeed.</v>
      </c>
      <c r="G223" s="49">
        <f>IFERROR(__xludf.DUMMYFUNCTION("""COMPUTED_VALUE"""),10000.0)</f>
        <v>10000</v>
      </c>
      <c r="H223" s="49"/>
      <c r="I223" s="49"/>
      <c r="J223" s="49"/>
      <c r="K223" s="49"/>
      <c r="L223" s="49"/>
      <c r="M223" s="49"/>
      <c r="N223" s="49"/>
      <c r="O223" s="49"/>
      <c r="P223" s="49"/>
      <c r="Q223" s="49"/>
      <c r="R223" s="49"/>
      <c r="S223" s="49"/>
      <c r="T223" s="49"/>
      <c r="U223" s="49"/>
      <c r="V223" s="49"/>
      <c r="W223" s="49"/>
      <c r="X223" s="49"/>
      <c r="Y223" s="49"/>
      <c r="Z223" s="49"/>
    </row>
    <row r="224">
      <c r="A224" s="49" t="str">
        <f>IFERROR(__xludf.DUMMYFUNCTION("""COMPUTED_VALUE"""),"Royal Keeper Spear")</f>
        <v>Royal Keeper Spear</v>
      </c>
      <c r="B224" s="49"/>
      <c r="C224" s="49" t="str">
        <f>IFERROR(__xludf.DUMMYFUNCTION("""COMPUTED_VALUE"""),"Spear")</f>
        <v>Spear</v>
      </c>
      <c r="D224" s="49" t="str">
        <f>IFERROR(__xludf.DUMMYFUNCTION("""COMPUTED_VALUE"""),"Hand")</f>
        <v>Hand</v>
      </c>
      <c r="E224" s="49">
        <f>IFERROR(__xludf.DUMMYFUNCTION("""COMPUTED_VALUE"""),400.0)</f>
        <v>400</v>
      </c>
      <c r="F224" s="49" t="str">
        <f>IFERROR(__xludf.DUMMYFUNCTION("""COMPUTED_VALUE"""),"DMG: +10000, Fire DMG: +10000 ++Royal Stance -  Shuttering 1 for the first round of battle.")</f>
        <v>DMG: +10000, Fire DMG: +10000 ++Royal Stance -  Shuttering 1 for the first round of battle.</v>
      </c>
      <c r="G224" s="49">
        <f>IFERROR(__xludf.DUMMYFUNCTION("""COMPUTED_VALUE"""),7800000.0)</f>
        <v>7800000</v>
      </c>
      <c r="H224" s="49"/>
      <c r="I224" s="49"/>
      <c r="J224" s="49"/>
      <c r="K224" s="49"/>
      <c r="L224" s="49"/>
      <c r="M224" s="49"/>
      <c r="N224" s="49"/>
      <c r="O224" s="49"/>
      <c r="P224" s="49"/>
      <c r="Q224" s="49"/>
      <c r="R224" s="49"/>
      <c r="S224" s="49"/>
      <c r="T224" s="49"/>
      <c r="U224" s="49"/>
      <c r="V224" s="49"/>
      <c r="W224" s="49"/>
      <c r="X224" s="49"/>
      <c r="Y224" s="49"/>
      <c r="Z224" s="49"/>
    </row>
    <row r="225">
      <c r="A225" s="49" t="str">
        <f>IFERROR(__xludf.DUMMYFUNCTION("""COMPUTED_VALUE"""),"Royal Sword of Chaotic Shadows")</f>
        <v>Royal Sword of Chaotic Shadows</v>
      </c>
      <c r="B225" s="49"/>
      <c r="C225" s="49" t="str">
        <f>IFERROR(__xludf.DUMMYFUNCTION("""COMPUTED_VALUE"""),"Sword")</f>
        <v>Sword</v>
      </c>
      <c r="D225" s="49" t="str">
        <f>IFERROR(__xludf.DUMMYFUNCTION("""COMPUTED_VALUE"""),"Hand")</f>
        <v>Hand</v>
      </c>
      <c r="E225" s="49">
        <f>IFERROR(__xludf.DUMMYFUNCTION("""COMPUTED_VALUE"""),900.0)</f>
        <v>900</v>
      </c>
      <c r="F225" s="49"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49">
        <f>IFERROR(__xludf.DUMMYFUNCTION("""COMPUTED_VALUE"""),4.005E7)</f>
        <v>40050000</v>
      </c>
      <c r="H225" s="49"/>
      <c r="I225" s="49"/>
      <c r="J225" s="49"/>
      <c r="K225" s="49"/>
      <c r="L225" s="49"/>
      <c r="M225" s="49"/>
      <c r="N225" s="49"/>
      <c r="O225" s="49"/>
      <c r="P225" s="49"/>
      <c r="Q225" s="49"/>
      <c r="R225" s="49"/>
      <c r="S225" s="49"/>
      <c r="T225" s="49"/>
      <c r="U225" s="49"/>
      <c r="V225" s="49"/>
      <c r="W225" s="49"/>
      <c r="X225" s="49"/>
      <c r="Y225" s="49"/>
      <c r="Z225" s="49"/>
    </row>
    <row r="226">
      <c r="A226" s="49" t="str">
        <f>IFERROR(__xludf.DUMMYFUNCTION("""COMPUTED_VALUE"""),"Rusty sword")</f>
        <v>Rusty sword</v>
      </c>
      <c r="B226" s="49"/>
      <c r="C226" s="49" t="str">
        <f>IFERROR(__xludf.DUMMYFUNCTION("""COMPUTED_VALUE"""),"Sword")</f>
        <v>Sword</v>
      </c>
      <c r="D226" s="49" t="str">
        <f>IFERROR(__xludf.DUMMYFUNCTION("""COMPUTED_VALUE"""),"Hand")</f>
        <v>Hand</v>
      </c>
      <c r="E226" s="49">
        <f>IFERROR(__xludf.DUMMYFUNCTION("""COMPUTED_VALUE"""),1.0)</f>
        <v>1</v>
      </c>
      <c r="F226" s="49" t="str">
        <f>IFERROR(__xludf.DUMMYFUNCTION("""COMPUTED_VALUE"""),"DMG: +60 ++25% chance to break with each use")</f>
        <v>DMG: +60 ++25% chance to break with each use</v>
      </c>
      <c r="G226" s="49">
        <f>IFERROR(__xludf.DUMMYFUNCTION("""COMPUTED_VALUE"""),0.0)</f>
        <v>0</v>
      </c>
      <c r="H226" s="49"/>
      <c r="I226" s="49"/>
      <c r="J226" s="49"/>
      <c r="K226" s="49"/>
      <c r="L226" s="49"/>
      <c r="M226" s="49"/>
      <c r="N226" s="49"/>
      <c r="O226" s="49"/>
      <c r="P226" s="49"/>
      <c r="Q226" s="49"/>
      <c r="R226" s="49"/>
      <c r="S226" s="49"/>
      <c r="T226" s="49"/>
      <c r="U226" s="49"/>
      <c r="V226" s="49"/>
      <c r="W226" s="49"/>
      <c r="X226" s="49"/>
      <c r="Y226" s="49"/>
      <c r="Z226" s="49"/>
    </row>
    <row r="227">
      <c r="A227" s="49" t="str">
        <f>IFERROR(__xludf.DUMMYFUNCTION("""COMPUTED_VALUE"""),"Saber Toothed Sword")</f>
        <v>Saber Toothed Sword</v>
      </c>
      <c r="B227" s="49" t="str">
        <f>IFERROR(__xludf.DUMMYFUNCTION("""COMPUTED_VALUE"""),"A sword crafted from the teeth of a saber toothed cat.")</f>
        <v>A sword crafted from the teeth of a saber toothed cat.</v>
      </c>
      <c r="C227" s="49" t="str">
        <f>IFERROR(__xludf.DUMMYFUNCTION("""COMPUTED_VALUE"""),"Sword")</f>
        <v>Sword</v>
      </c>
      <c r="D227" s="49" t="str">
        <f>IFERROR(__xludf.DUMMYFUNCTION("""COMPUTED_VALUE"""),"Hand")</f>
        <v>Hand</v>
      </c>
      <c r="E227" s="49">
        <f>IFERROR(__xludf.DUMMYFUNCTION("""COMPUTED_VALUE"""),2200.0)</f>
        <v>2200</v>
      </c>
      <c r="F227" s="49" t="str">
        <f>IFERROR(__xludf.DUMMYFUNCTION("""COMPUTED_VALUE"""),"DMG: +60000, Blood DMG: +50000 ++X2 additional blood damage.")</f>
        <v>DMG: +60000, Blood DMG: +50000 ++X2 additional blood damage.</v>
      </c>
      <c r="G227" s="49">
        <f>IFERROR(__xludf.DUMMYFUNCTION("""COMPUTED_VALUE"""),2.409E8)</f>
        <v>240900000</v>
      </c>
      <c r="H227" s="49"/>
      <c r="I227" s="49"/>
      <c r="J227" s="49"/>
      <c r="K227" s="49"/>
      <c r="L227" s="49"/>
      <c r="M227" s="49"/>
      <c r="N227" s="49"/>
      <c r="O227" s="49"/>
      <c r="P227" s="49"/>
      <c r="Q227" s="49"/>
      <c r="R227" s="49"/>
      <c r="S227" s="49"/>
      <c r="T227" s="49"/>
      <c r="U227" s="49"/>
      <c r="V227" s="49"/>
      <c r="W227" s="49"/>
      <c r="X227" s="49"/>
      <c r="Y227" s="49"/>
      <c r="Z227" s="49"/>
    </row>
    <row r="228">
      <c r="A228" s="49" t="str">
        <f>IFERROR(__xludf.DUMMYFUNCTION("""COMPUTED_VALUE"""),"Ancient Oni Chestplate")</f>
        <v>Ancient Oni Chestplate</v>
      </c>
      <c r="B228" s="49" t="str">
        <f>IFERROR(__xludf.DUMMYFUNCTION("""COMPUTED_VALUE"""),"An ancient relic to Zhenmay")</f>
        <v>An ancient relic to Zhenmay</v>
      </c>
      <c r="C228" s="49"/>
      <c r="D228" s="49" t="str">
        <f>IFERROR(__xludf.DUMMYFUNCTION("""COMPUTED_VALUE"""),"Torso")</f>
        <v>Torso</v>
      </c>
      <c r="E228" s="49">
        <f>IFERROR(__xludf.DUMMYFUNCTION("""COMPUTED_VALUE"""),200.0)</f>
        <v>200</v>
      </c>
      <c r="F228" s="49"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49">
        <f>IFERROR(__xludf.DUMMYFUNCTION("""COMPUTED_VALUE"""),5.104E8)</f>
        <v>510400000</v>
      </c>
      <c r="H228" s="49"/>
      <c r="I228" s="49"/>
      <c r="J228" s="49"/>
      <c r="K228" s="49"/>
      <c r="L228" s="49"/>
      <c r="M228" s="49"/>
      <c r="N228" s="49"/>
      <c r="O228" s="49"/>
      <c r="P228" s="49"/>
      <c r="Q228" s="49"/>
      <c r="R228" s="49"/>
      <c r="S228" s="49"/>
      <c r="T228" s="49"/>
      <c r="U228" s="49"/>
      <c r="V228" s="49"/>
      <c r="W228" s="49"/>
      <c r="X228" s="49"/>
      <c r="Y228" s="49"/>
      <c r="Z228" s="49"/>
    </row>
    <row r="229">
      <c r="A229" s="49" t="str">
        <f>IFERROR(__xludf.DUMMYFUNCTION("""COMPUTED_VALUE"""),"Scythe of Mischief ")</f>
        <v>Scythe of Mischief </v>
      </c>
      <c r="B229" s="49"/>
      <c r="C229" s="49" t="str">
        <f>IFERROR(__xludf.DUMMYFUNCTION("""COMPUTED_VALUE"""),"Scythe")</f>
        <v>Scythe</v>
      </c>
      <c r="D229" s="49" t="str">
        <f>IFERROR(__xludf.DUMMYFUNCTION("""COMPUTED_VALUE"""),"Hand")</f>
        <v>Hand</v>
      </c>
      <c r="E229" s="49">
        <f>IFERROR(__xludf.DUMMYFUNCTION("""COMPUTED_VALUE"""),200.0)</f>
        <v>200</v>
      </c>
      <c r="F229" s="49"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49">
        <f>IFERROR(__xludf.DUMMYFUNCTION("""COMPUTED_VALUE"""),5.995E7)</f>
        <v>59950000</v>
      </c>
      <c r="H229" s="49"/>
      <c r="I229" s="49"/>
      <c r="J229" s="49"/>
      <c r="K229" s="49"/>
      <c r="L229" s="49"/>
      <c r="M229" s="49"/>
      <c r="N229" s="49"/>
      <c r="O229" s="49"/>
      <c r="P229" s="49"/>
      <c r="Q229" s="49"/>
      <c r="R229" s="49"/>
      <c r="S229" s="49"/>
      <c r="T229" s="49"/>
      <c r="U229" s="49"/>
      <c r="V229" s="49"/>
      <c r="W229" s="49"/>
      <c r="X229" s="49"/>
      <c r="Y229" s="49"/>
      <c r="Z229" s="49"/>
    </row>
    <row r="230">
      <c r="A230" s="49" t="str">
        <f>IFERROR(__xludf.DUMMYFUNCTION("""COMPUTED_VALUE"""),"Sea Serpent Boots")</f>
        <v>Sea Serpent Boots</v>
      </c>
      <c r="B230" s="49"/>
      <c r="C230" s="49"/>
      <c r="D230" s="49" t="str">
        <f>IFERROR(__xludf.DUMMYFUNCTION("""COMPUTED_VALUE"""),"Feet")</f>
        <v>Feet</v>
      </c>
      <c r="E230" s="49">
        <f>IFERROR(__xludf.DUMMYFUNCTION("""COMPUTED_VALUE"""),100.0)</f>
        <v>100</v>
      </c>
      <c r="F230" s="49" t="str">
        <f>IFERROR(__xludf.DUMMYFUNCTION("""COMPUTED_VALUE"""),"DEF: +2500, Water DEF: +2500 ++X2 additional water damage for self.")</f>
        <v>DEF: +2500, Water DEF: +2500 ++X2 additional water damage for self.</v>
      </c>
      <c r="G230" s="49">
        <f>IFERROR(__xludf.DUMMYFUNCTION("""COMPUTED_VALUE"""),450000.0)</f>
        <v>450000</v>
      </c>
      <c r="H230" s="49"/>
      <c r="I230" s="49"/>
      <c r="J230" s="49"/>
      <c r="K230" s="49"/>
      <c r="L230" s="49"/>
      <c r="M230" s="49"/>
      <c r="N230" s="49"/>
      <c r="O230" s="49"/>
      <c r="P230" s="49"/>
      <c r="Q230" s="49"/>
      <c r="R230" s="49"/>
      <c r="S230" s="49"/>
      <c r="T230" s="49"/>
      <c r="U230" s="49"/>
      <c r="V230" s="49"/>
      <c r="W230" s="49"/>
      <c r="X230" s="49"/>
      <c r="Y230" s="49"/>
      <c r="Z230" s="49"/>
    </row>
    <row r="231">
      <c r="A231" s="49" t="str">
        <f>IFERROR(__xludf.DUMMYFUNCTION("""COMPUTED_VALUE"""),"Sea Serpent Pauldrons")</f>
        <v>Sea Serpent Pauldrons</v>
      </c>
      <c r="B231" s="49"/>
      <c r="C231" s="49"/>
      <c r="D231" s="49" t="str">
        <f>IFERROR(__xludf.DUMMYFUNCTION("""COMPUTED_VALUE"""),"Shoulders")</f>
        <v>Shoulders</v>
      </c>
      <c r="E231" s="49">
        <f>IFERROR(__xludf.DUMMYFUNCTION("""COMPUTED_VALUE"""),100.0)</f>
        <v>100</v>
      </c>
      <c r="F231" s="49" t="str">
        <f>IFERROR(__xludf.DUMMYFUNCTION("""COMPUTED_VALUE"""),"DEF: +2500, Water DEF: +2500 ++X2 additional water damage for self.")</f>
        <v>DEF: +2500, Water DEF: +2500 ++X2 additional water damage for self.</v>
      </c>
      <c r="G231" s="49">
        <f>IFERROR(__xludf.DUMMYFUNCTION("""COMPUTED_VALUE"""),450000.0)</f>
        <v>450000</v>
      </c>
      <c r="H231" s="49"/>
      <c r="I231" s="49"/>
      <c r="J231" s="49"/>
      <c r="K231" s="49"/>
      <c r="L231" s="49"/>
      <c r="M231" s="49"/>
      <c r="N231" s="49"/>
      <c r="O231" s="49"/>
      <c r="P231" s="49"/>
      <c r="Q231" s="49"/>
      <c r="R231" s="49"/>
      <c r="S231" s="49"/>
      <c r="T231" s="49"/>
      <c r="U231" s="49"/>
      <c r="V231" s="49"/>
      <c r="W231" s="49"/>
      <c r="X231" s="49"/>
      <c r="Y231" s="49"/>
      <c r="Z231" s="49"/>
    </row>
    <row r="232">
      <c r="A232" s="49" t="str">
        <f>IFERROR(__xludf.DUMMYFUNCTION("""COMPUTED_VALUE"""),"Sea Serpent Vambrace")</f>
        <v>Sea Serpent Vambrace</v>
      </c>
      <c r="B232" s="49"/>
      <c r="C232" s="49"/>
      <c r="D232" s="49" t="str">
        <f>IFERROR(__xludf.DUMMYFUNCTION("""COMPUTED_VALUE"""),"Arms")</f>
        <v>Arms</v>
      </c>
      <c r="E232" s="49">
        <f>IFERROR(__xludf.DUMMYFUNCTION("""COMPUTED_VALUE"""),100.0)</f>
        <v>100</v>
      </c>
      <c r="F232" s="49" t="str">
        <f>IFERROR(__xludf.DUMMYFUNCTION("""COMPUTED_VALUE"""),"DEF: +2500, Water DEF: +2500 ++X2 additional water damage for self.")</f>
        <v>DEF: +2500, Water DEF: +2500 ++X2 additional water damage for self.</v>
      </c>
      <c r="G232" s="49">
        <f>IFERROR(__xludf.DUMMYFUNCTION("""COMPUTED_VALUE"""),450000.0)</f>
        <v>450000</v>
      </c>
      <c r="H232" s="49"/>
      <c r="I232" s="49"/>
      <c r="J232" s="49"/>
      <c r="K232" s="49"/>
      <c r="L232" s="49"/>
      <c r="M232" s="49"/>
      <c r="N232" s="49"/>
      <c r="O232" s="49"/>
      <c r="P232" s="49"/>
      <c r="Q232" s="49"/>
      <c r="R232" s="49"/>
      <c r="S232" s="49"/>
      <c r="T232" s="49"/>
      <c r="U232" s="49"/>
      <c r="V232" s="49"/>
      <c r="W232" s="49"/>
      <c r="X232" s="49"/>
      <c r="Y232" s="49"/>
      <c r="Z232" s="49"/>
    </row>
    <row r="233">
      <c r="A233" s="49" t="str">
        <f>IFERROR(__xludf.DUMMYFUNCTION("""COMPUTED_VALUE"""),"Sea Serpents Mythical Chestplate")</f>
        <v>Sea Serpents Mythical Chestplate</v>
      </c>
      <c r="B233" s="49"/>
      <c r="C233" s="49"/>
      <c r="D233" s="49" t="str">
        <f>IFERROR(__xludf.DUMMYFUNCTION("""COMPUTED_VALUE"""),"Torso")</f>
        <v>Torso</v>
      </c>
      <c r="E233" s="49">
        <f>IFERROR(__xludf.DUMMYFUNCTION("""COMPUTED_VALUE"""),200.0)</f>
        <v>200</v>
      </c>
      <c r="F233" s="49"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49">
        <f>IFERROR(__xludf.DUMMYFUNCTION("""COMPUTED_VALUE"""),1900000.0)</f>
        <v>1900000</v>
      </c>
      <c r="H233" s="49"/>
      <c r="I233" s="49"/>
      <c r="J233" s="49"/>
      <c r="K233" s="49"/>
      <c r="L233" s="49"/>
      <c r="M233" s="49"/>
      <c r="N233" s="49"/>
      <c r="O233" s="49"/>
      <c r="P233" s="49"/>
      <c r="Q233" s="49"/>
      <c r="R233" s="49"/>
      <c r="S233" s="49"/>
      <c r="T233" s="49"/>
      <c r="U233" s="49"/>
      <c r="V233" s="49"/>
      <c r="W233" s="49"/>
      <c r="X233" s="49"/>
      <c r="Y233" s="49"/>
      <c r="Z233" s="49"/>
    </row>
    <row r="234">
      <c r="A234" s="49" t="str">
        <f>IFERROR(__xludf.DUMMYFUNCTION("""COMPUTED_VALUE"""),"Shadow Flute")</f>
        <v>Shadow Flute</v>
      </c>
      <c r="B234" s="49"/>
      <c r="C234" s="49"/>
      <c r="D234" s="49" t="str">
        <f>IFERROR(__xludf.DUMMYFUNCTION("""COMPUTED_VALUE"""),"Hand")</f>
        <v>Hand</v>
      </c>
      <c r="E234" s="49">
        <f>IFERROR(__xludf.DUMMYFUNCTION("""COMPUTED_VALUE"""),1.0)</f>
        <v>1</v>
      </c>
      <c r="F234" s="49" t="str">
        <f>IFERROR(__xludf.DUMMYFUNCTION("""COMPUTED_VALUE""")," ++Can summon a chaotic shadow gnome to battle.")</f>
        <v> ++Can summon a chaotic shadow gnome to battle.</v>
      </c>
      <c r="G234" s="49">
        <f>IFERROR(__xludf.DUMMYFUNCTION("""COMPUTED_VALUE"""),0.0)</f>
        <v>0</v>
      </c>
      <c r="H234" s="49"/>
      <c r="I234" s="49"/>
      <c r="J234" s="49"/>
      <c r="K234" s="49"/>
      <c r="L234" s="49"/>
      <c r="M234" s="49"/>
      <c r="N234" s="49"/>
      <c r="O234" s="49"/>
      <c r="P234" s="49"/>
      <c r="Q234" s="49"/>
      <c r="R234" s="49"/>
      <c r="S234" s="49"/>
      <c r="T234" s="49"/>
      <c r="U234" s="49"/>
      <c r="V234" s="49"/>
      <c r="W234" s="49"/>
      <c r="X234" s="49"/>
      <c r="Y234" s="49"/>
      <c r="Z234" s="49"/>
    </row>
    <row r="235">
      <c r="A235" s="49" t="str">
        <f>IFERROR(__xludf.DUMMYFUNCTION("""COMPUTED_VALUE"""),"Shadow Kings Sword")</f>
        <v>Shadow Kings Sword</v>
      </c>
      <c r="B235" s="49"/>
      <c r="C235" s="49" t="str">
        <f>IFERROR(__xludf.DUMMYFUNCTION("""COMPUTED_VALUE"""),"Sword")</f>
        <v>Sword</v>
      </c>
      <c r="D235" s="49" t="str">
        <f>IFERROR(__xludf.DUMMYFUNCTION("""COMPUTED_VALUE"""),"Hand")</f>
        <v>Hand</v>
      </c>
      <c r="E235" s="49">
        <f>IFERROR(__xludf.DUMMYFUNCTION("""COMPUTED_VALUE"""),400.0)</f>
        <v>400</v>
      </c>
      <c r="F235" s="49" t="str">
        <f>IFERROR(__xludf.DUMMYFUNCTION("""COMPUTED_VALUE"""),"DMG: +10000, Dark DMG: +5000, Chaos DMG: +5000")</f>
        <v>DMG: +10000, Dark DMG: +5000, Chaos DMG: +5000</v>
      </c>
      <c r="G235" s="49">
        <f>IFERROR(__xludf.DUMMYFUNCTION("""COMPUTED_VALUE"""),7800000.0)</f>
        <v>7800000</v>
      </c>
      <c r="H235" s="49"/>
      <c r="I235" s="49"/>
      <c r="J235" s="49"/>
      <c r="K235" s="49"/>
      <c r="L235" s="49"/>
      <c r="M235" s="49"/>
      <c r="N235" s="49"/>
      <c r="O235" s="49"/>
      <c r="P235" s="49"/>
      <c r="Q235" s="49"/>
      <c r="R235" s="49"/>
      <c r="S235" s="49"/>
      <c r="T235" s="49"/>
      <c r="U235" s="49"/>
      <c r="V235" s="49"/>
      <c r="W235" s="49"/>
      <c r="X235" s="49"/>
      <c r="Y235" s="49"/>
      <c r="Z235" s="49"/>
    </row>
    <row r="236">
      <c r="A236" s="49" t="str">
        <f>IFERROR(__xludf.DUMMYFUNCTION("""COMPUTED_VALUE"""),"Shield of Guarding Smite")</f>
        <v>Shield of Guarding Smite</v>
      </c>
      <c r="B236" s="49"/>
      <c r="C236" s="49" t="str">
        <f>IFERROR(__xludf.DUMMYFUNCTION("""COMPUTED_VALUE"""),"Towershield")</f>
        <v>Towershield</v>
      </c>
      <c r="D236" s="49" t="str">
        <f>IFERROR(__xludf.DUMMYFUNCTION("""COMPUTED_VALUE"""),"Hand")</f>
        <v>Hand</v>
      </c>
      <c r="E236" s="49">
        <f>IFERROR(__xludf.DUMMYFUNCTION("""COMPUTED_VALUE"""),2000.0)</f>
        <v>2000</v>
      </c>
      <c r="F236" s="49" t="str">
        <f>IFERROR(__xludf.DUMMYFUNCTION("""COMPUTED_VALUE"""),"DEF: +100000 ++75% chance to melt an enemies weapon that dealt damage to you. +-Cannot be duplicated")</f>
        <v>DEF: +100000 ++75% chance to melt an enemies weapon that dealt damage to you. +-Cannot be duplicated</v>
      </c>
      <c r="G236" s="49">
        <f>IFERROR(__xludf.DUMMYFUNCTION("""COMPUTED_VALUE"""),1.99E8)</f>
        <v>199000000</v>
      </c>
      <c r="H236" s="49"/>
      <c r="I236" s="49"/>
      <c r="J236" s="49"/>
      <c r="K236" s="49"/>
      <c r="L236" s="49"/>
      <c r="M236" s="49"/>
      <c r="N236" s="49"/>
      <c r="O236" s="49"/>
      <c r="P236" s="49"/>
      <c r="Q236" s="49"/>
      <c r="R236" s="49"/>
      <c r="S236" s="49"/>
      <c r="T236" s="49"/>
      <c r="U236" s="49"/>
      <c r="V236" s="49"/>
      <c r="W236" s="49"/>
      <c r="X236" s="49"/>
      <c r="Y236" s="49"/>
      <c r="Z236" s="49"/>
    </row>
    <row r="237">
      <c r="A237" s="49" t="str">
        <f>IFERROR(__xludf.DUMMYFUNCTION("""COMPUTED_VALUE"""),"Shield of Targeting")</f>
        <v>Shield of Targeting</v>
      </c>
      <c r="B237" s="49"/>
      <c r="C237" s="49" t="str">
        <f>IFERROR(__xludf.DUMMYFUNCTION("""COMPUTED_VALUE"""),"Buckler")</f>
        <v>Buckler</v>
      </c>
      <c r="D237" s="49" t="str">
        <f>IFERROR(__xludf.DUMMYFUNCTION("""COMPUTED_VALUE"""),"Hand")</f>
        <v>Hand</v>
      </c>
      <c r="E237" s="49">
        <f>IFERROR(__xludf.DUMMYFUNCTION("""COMPUTED_VALUE"""),20.0)</f>
        <v>20</v>
      </c>
      <c r="F237" s="49"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49">
        <f>IFERROR(__xludf.DUMMYFUNCTION("""COMPUTED_VALUE"""),10000.0)</f>
        <v>10000</v>
      </c>
      <c r="H237" s="49"/>
      <c r="I237" s="49"/>
      <c r="J237" s="49"/>
      <c r="K237" s="49"/>
      <c r="L237" s="49"/>
      <c r="M237" s="49"/>
      <c r="N237" s="49"/>
      <c r="O237" s="49"/>
      <c r="P237" s="49"/>
      <c r="Q237" s="49"/>
      <c r="R237" s="49"/>
      <c r="S237" s="49"/>
      <c r="T237" s="49"/>
      <c r="U237" s="49"/>
      <c r="V237" s="49"/>
      <c r="W237" s="49"/>
      <c r="X237" s="49"/>
      <c r="Y237" s="49"/>
      <c r="Z237" s="49"/>
    </row>
    <row r="238">
      <c r="A238" s="49" t="str">
        <f>IFERROR(__xludf.DUMMYFUNCTION("""COMPUTED_VALUE"""),"Shining Katana")</f>
        <v>Shining Katana</v>
      </c>
      <c r="B238" s="49"/>
      <c r="C238" s="49"/>
      <c r="D238" s="49" t="str">
        <f>IFERROR(__xludf.DUMMYFUNCTION("""COMPUTED_VALUE"""),"Hand")</f>
        <v>Hand</v>
      </c>
      <c r="E238" s="49">
        <f>IFERROR(__xludf.DUMMYFUNCTION("""COMPUTED_VALUE"""),200.0)</f>
        <v>200</v>
      </c>
      <c r="F238" s="49" t="str">
        <f>IFERROR(__xludf.DUMMYFUNCTION("""COMPUTED_VALUE"""),"DMG: +10000 ++++500 bleeding damage p/r.")</f>
        <v>DMG: +10000 ++++500 bleeding damage p/r.</v>
      </c>
      <c r="G238" s="49">
        <f>IFERROR(__xludf.DUMMYFUNCTION("""COMPUTED_VALUE"""),1900000.0)</f>
        <v>1900000</v>
      </c>
      <c r="H238" s="49"/>
      <c r="I238" s="49"/>
      <c r="J238" s="49"/>
      <c r="K238" s="49"/>
      <c r="L238" s="49"/>
      <c r="M238" s="49"/>
      <c r="N238" s="49"/>
      <c r="O238" s="49"/>
      <c r="P238" s="49"/>
      <c r="Q238" s="49"/>
      <c r="R238" s="49"/>
      <c r="S238" s="49"/>
      <c r="T238" s="49"/>
      <c r="U238" s="49"/>
      <c r="V238" s="49"/>
      <c r="W238" s="49"/>
      <c r="X238" s="49"/>
      <c r="Y238" s="49"/>
      <c r="Z238" s="49"/>
    </row>
    <row r="239">
      <c r="A239" s="49" t="str">
        <f>IFERROR(__xludf.DUMMYFUNCTION("""COMPUTED_VALUE"""),"Shoes of Metal Harmony's")</f>
        <v>Shoes of Metal Harmony's</v>
      </c>
      <c r="B239" s="49"/>
      <c r="C239" s="49"/>
      <c r="D239" s="49" t="str">
        <f>IFERROR(__xludf.DUMMYFUNCTION("""COMPUTED_VALUE"""),"Feet")</f>
        <v>Feet</v>
      </c>
      <c r="E239" s="49">
        <f>IFERROR(__xludf.DUMMYFUNCTION("""COMPUTED_VALUE"""),200.0)</f>
        <v>200</v>
      </c>
      <c r="F239" s="49" t="str">
        <f>IFERROR(__xludf.DUMMYFUNCTION("""COMPUTED_VALUE"""),"DEF: +10000 ++When dealing damage with an instrument you will regain hp equal to the damage you caused.")</f>
        <v>DEF: +10000 ++When dealing damage with an instrument you will regain hp equal to the damage you caused.</v>
      </c>
      <c r="G239" s="49">
        <f>IFERROR(__xludf.DUMMYFUNCTION("""COMPUTED_VALUE"""),1900000.0)</f>
        <v>1900000</v>
      </c>
      <c r="H239" s="49"/>
      <c r="I239" s="49"/>
      <c r="J239" s="49"/>
      <c r="K239" s="49"/>
      <c r="L239" s="49"/>
      <c r="M239" s="49"/>
      <c r="N239" s="49"/>
      <c r="O239" s="49"/>
      <c r="P239" s="49"/>
      <c r="Q239" s="49"/>
      <c r="R239" s="49"/>
      <c r="S239" s="49"/>
      <c r="T239" s="49"/>
      <c r="U239" s="49"/>
      <c r="V239" s="49"/>
      <c r="W239" s="49"/>
      <c r="X239" s="49"/>
      <c r="Y239" s="49"/>
      <c r="Z239" s="49"/>
    </row>
    <row r="240">
      <c r="A240" s="49" t="str">
        <f>IFERROR(__xludf.DUMMYFUNCTION("""COMPUTED_VALUE"""),"Shoes of Water Walking")</f>
        <v>Shoes of Water Walking</v>
      </c>
      <c r="B240" s="49"/>
      <c r="C240" s="49"/>
      <c r="D240" s="49" t="str">
        <f>IFERROR(__xludf.DUMMYFUNCTION("""COMPUTED_VALUE"""),"Feet")</f>
        <v>Feet</v>
      </c>
      <c r="E240" s="49">
        <f>IFERROR(__xludf.DUMMYFUNCTION("""COMPUTED_VALUE"""),200.0)</f>
        <v>200</v>
      </c>
      <c r="F240" s="49"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49">
        <f>IFERROR(__xludf.DUMMYFUNCTION("""COMPUTED_VALUE"""),1900000.0)</f>
        <v>1900000</v>
      </c>
      <c r="H240" s="49"/>
      <c r="I240" s="49"/>
      <c r="J240" s="49"/>
      <c r="K240" s="49"/>
      <c r="L240" s="49"/>
      <c r="M240" s="49"/>
      <c r="N240" s="49"/>
      <c r="O240" s="49"/>
      <c r="P240" s="49"/>
      <c r="Q240" s="49"/>
      <c r="R240" s="49"/>
      <c r="S240" s="49"/>
      <c r="T240" s="49"/>
      <c r="U240" s="49"/>
      <c r="V240" s="49"/>
      <c r="W240" s="49"/>
      <c r="X240" s="49"/>
      <c r="Y240" s="49"/>
      <c r="Z240" s="49"/>
    </row>
    <row r="241">
      <c r="A241" s="49" t="str">
        <f>IFERROR(__xludf.DUMMYFUNCTION("""COMPUTED_VALUE"""),"Short Spear")</f>
        <v>Short Spear</v>
      </c>
      <c r="B241" s="49"/>
      <c r="C241" s="49" t="str">
        <f>IFERROR(__xludf.DUMMYFUNCTION("""COMPUTED_VALUE"""),"Spear")</f>
        <v>Spear</v>
      </c>
      <c r="D241" s="49" t="str">
        <f>IFERROR(__xludf.DUMMYFUNCTION("""COMPUTED_VALUE"""),"Hand")</f>
        <v>Hand</v>
      </c>
      <c r="E241" s="49">
        <f>IFERROR(__xludf.DUMMYFUNCTION("""COMPUTED_VALUE"""),1.0)</f>
        <v>1</v>
      </c>
      <c r="F241" s="49" t="str">
        <f>IFERROR(__xludf.DUMMYFUNCTION("""COMPUTED_VALUE"""),"DMG: +250")</f>
        <v>DMG: +250</v>
      </c>
      <c r="G241" s="49">
        <f>IFERROR(__xludf.DUMMYFUNCTION("""COMPUTED_VALUE"""),0.0)</f>
        <v>0</v>
      </c>
      <c r="H241" s="49"/>
      <c r="I241" s="49"/>
      <c r="J241" s="49"/>
      <c r="K241" s="49"/>
      <c r="L241" s="49"/>
      <c r="M241" s="49"/>
      <c r="N241" s="49"/>
      <c r="O241" s="49"/>
      <c r="P241" s="49"/>
      <c r="Q241" s="49"/>
      <c r="R241" s="49"/>
      <c r="S241" s="49"/>
      <c r="T241" s="49"/>
      <c r="U241" s="49"/>
      <c r="V241" s="49"/>
      <c r="W241" s="49"/>
      <c r="X241" s="49"/>
      <c r="Y241" s="49"/>
      <c r="Z241" s="49"/>
    </row>
    <row r="242">
      <c r="A242" s="49" t="str">
        <f>IFERROR(__xludf.DUMMYFUNCTION("""COMPUTED_VALUE"""),"Shuriken")</f>
        <v>Shuriken</v>
      </c>
      <c r="B242" s="49"/>
      <c r="C242" s="49" t="str">
        <f>IFERROR(__xludf.DUMMYFUNCTION("""COMPUTED_VALUE"""),"Boomerang")</f>
        <v>Boomerang</v>
      </c>
      <c r="D242" s="49" t="str">
        <f>IFERROR(__xludf.DUMMYFUNCTION("""COMPUTED_VALUE"""),"Hand")</f>
        <v>Hand</v>
      </c>
      <c r="E242" s="49">
        <f>IFERROR(__xludf.DUMMYFUNCTION("""COMPUTED_VALUE"""),200.0)</f>
        <v>200</v>
      </c>
      <c r="F242" s="49" t="str">
        <f>IFERROR(__xludf.DUMMYFUNCTION("""COMPUTED_VALUE"""),"DMG: +5000, Blood DMG: +5000 ++Will return to you when thrown.")</f>
        <v>DMG: +5000, Blood DMG: +5000 ++Will return to you when thrown.</v>
      </c>
      <c r="G242" s="49">
        <f>IFERROR(__xludf.DUMMYFUNCTION("""COMPUTED_VALUE"""),1900000.0)</f>
        <v>1900000</v>
      </c>
      <c r="H242" s="49"/>
      <c r="I242" s="49"/>
      <c r="J242" s="49"/>
      <c r="K242" s="49"/>
      <c r="L242" s="49"/>
      <c r="M242" s="49"/>
      <c r="N242" s="49"/>
      <c r="O242" s="49"/>
      <c r="P242" s="49"/>
      <c r="Q242" s="49"/>
      <c r="R242" s="49"/>
      <c r="S242" s="49"/>
      <c r="T242" s="49"/>
      <c r="U242" s="49"/>
      <c r="V242" s="49"/>
      <c r="W242" s="49"/>
      <c r="X242" s="49"/>
      <c r="Y242" s="49"/>
      <c r="Z242" s="49"/>
    </row>
    <row r="243">
      <c r="A243" s="49" t="str">
        <f>IFERROR(__xludf.DUMMYFUNCTION("""COMPUTED_VALUE"""),"Shuttering Cloak")</f>
        <v>Shuttering Cloak</v>
      </c>
      <c r="B243" s="49"/>
      <c r="C243" s="49"/>
      <c r="D243" s="49" t="str">
        <f>IFERROR(__xludf.DUMMYFUNCTION("""COMPUTED_VALUE"""),"Torso")</f>
        <v>Torso</v>
      </c>
      <c r="E243" s="49">
        <f>IFERROR(__xludf.DUMMYFUNCTION("""COMPUTED_VALUE"""),1.0)</f>
        <v>1</v>
      </c>
      <c r="F243" s="49" t="str">
        <f>IFERROR(__xludf.DUMMYFUNCTION("""COMPUTED_VALUE""")," ++Plus 10 Evasion and Mobility, +-You Cannot be unaffected by spells or attacks. +-Can only equip one")</f>
        <v> ++Plus 10 Evasion and Mobility, +-You Cannot be unaffected by spells or attacks. +-Can only equip one</v>
      </c>
      <c r="G243" s="49">
        <f>IFERROR(__xludf.DUMMYFUNCTION("""COMPUTED_VALUE"""),0.0)</f>
        <v>0</v>
      </c>
      <c r="H243" s="49"/>
      <c r="I243" s="49"/>
      <c r="J243" s="49"/>
      <c r="K243" s="49"/>
      <c r="L243" s="49"/>
      <c r="M243" s="49"/>
      <c r="N243" s="49"/>
      <c r="O243" s="49"/>
      <c r="P243" s="49"/>
      <c r="Q243" s="49"/>
      <c r="R243" s="49"/>
      <c r="S243" s="49"/>
      <c r="T243" s="49"/>
      <c r="U243" s="49"/>
      <c r="V243" s="49"/>
      <c r="W243" s="49"/>
      <c r="X243" s="49"/>
      <c r="Y243" s="49"/>
      <c r="Z243" s="49"/>
    </row>
    <row r="244">
      <c r="A244" s="49" t="str">
        <f>IFERROR(__xludf.DUMMYFUNCTION("""COMPUTED_VALUE"""),"Silver Armor")</f>
        <v>Silver Armor</v>
      </c>
      <c r="B244" s="49"/>
      <c r="C244" s="49"/>
      <c r="D244" s="49" t="str">
        <f>IFERROR(__xludf.DUMMYFUNCTION("""COMPUTED_VALUE"""),"Torso")</f>
        <v>Torso</v>
      </c>
      <c r="E244" s="49">
        <f>IFERROR(__xludf.DUMMYFUNCTION("""COMPUTED_VALUE"""),1.0)</f>
        <v>1</v>
      </c>
      <c r="F244" s="49" t="str">
        <f>IFERROR(__xludf.DUMMYFUNCTION("""COMPUTED_VALUE"""),"DEF: +30")</f>
        <v>DEF: +30</v>
      </c>
      <c r="G244" s="49">
        <f>IFERROR(__xludf.DUMMYFUNCTION("""COMPUTED_VALUE"""),0.0)</f>
        <v>0</v>
      </c>
      <c r="H244" s="49"/>
      <c r="I244" s="49"/>
      <c r="J244" s="49"/>
      <c r="K244" s="49"/>
      <c r="L244" s="49"/>
      <c r="M244" s="49"/>
      <c r="N244" s="49"/>
      <c r="O244" s="49"/>
      <c r="P244" s="49"/>
      <c r="Q244" s="49"/>
      <c r="R244" s="49"/>
      <c r="S244" s="49"/>
      <c r="T244" s="49"/>
      <c r="U244" s="49"/>
      <c r="V244" s="49"/>
      <c r="W244" s="49"/>
      <c r="X244" s="49"/>
      <c r="Y244" s="49"/>
      <c r="Z244" s="49"/>
    </row>
    <row r="245">
      <c r="A245" s="49" t="str">
        <f>IFERROR(__xludf.DUMMYFUNCTION("""COMPUTED_VALUE"""),"Silver Katana")</f>
        <v>Silver Katana</v>
      </c>
      <c r="B245" s="49"/>
      <c r="C245" s="49" t="str">
        <f>IFERROR(__xludf.DUMMYFUNCTION("""COMPUTED_VALUE"""),"Sword")</f>
        <v>Sword</v>
      </c>
      <c r="D245" s="49" t="str">
        <f>IFERROR(__xludf.DUMMYFUNCTION("""COMPUTED_VALUE"""),"Hand")</f>
        <v>Hand</v>
      </c>
      <c r="E245" s="49">
        <f>IFERROR(__xludf.DUMMYFUNCTION("""COMPUTED_VALUE"""),200.0)</f>
        <v>200</v>
      </c>
      <c r="F245" s="49" t="str">
        <f>IFERROR(__xludf.DUMMYFUNCTION("""COMPUTED_VALUE"""),"DMG: +10000 ++Causes Blindness 3")</f>
        <v>DMG: +10000 ++Causes Blindness 3</v>
      </c>
      <c r="G245" s="49">
        <f>IFERROR(__xludf.DUMMYFUNCTION("""COMPUTED_VALUE"""),1900000.0)</f>
        <v>1900000</v>
      </c>
      <c r="H245" s="49"/>
      <c r="I245" s="49"/>
      <c r="J245" s="49"/>
      <c r="K245" s="49"/>
      <c r="L245" s="49"/>
      <c r="M245" s="49"/>
      <c r="N245" s="49"/>
      <c r="O245" s="49"/>
      <c r="P245" s="49"/>
      <c r="Q245" s="49"/>
      <c r="R245" s="49"/>
      <c r="S245" s="49"/>
      <c r="T245" s="49"/>
      <c r="U245" s="49"/>
      <c r="V245" s="49"/>
      <c r="W245" s="49"/>
      <c r="X245" s="49"/>
      <c r="Y245" s="49"/>
      <c r="Z245" s="49"/>
    </row>
    <row r="246">
      <c r="A246" s="49" t="str">
        <f>IFERROR(__xludf.DUMMYFUNCTION("""COMPUTED_VALUE"""),"Silver Knife")</f>
        <v>Silver Knife</v>
      </c>
      <c r="B246" s="49"/>
      <c r="C246" s="49" t="str">
        <f>IFERROR(__xludf.DUMMYFUNCTION("""COMPUTED_VALUE"""),"Knife")</f>
        <v>Knife</v>
      </c>
      <c r="D246" s="49" t="str">
        <f>IFERROR(__xludf.DUMMYFUNCTION("""COMPUTED_VALUE"""),"Hand")</f>
        <v>Hand</v>
      </c>
      <c r="E246" s="49">
        <f>IFERROR(__xludf.DUMMYFUNCTION("""COMPUTED_VALUE"""),200.0)</f>
        <v>200</v>
      </c>
      <c r="F246" s="49" t="str">
        <f>IFERROR(__xludf.DUMMYFUNCTION("""COMPUTED_VALUE"""),"DMG: +10000")</f>
        <v>DMG: +10000</v>
      </c>
      <c r="G246" s="49">
        <f>IFERROR(__xludf.DUMMYFUNCTION("""COMPUTED_VALUE"""),1900000.0)</f>
        <v>1900000</v>
      </c>
      <c r="H246" s="49"/>
      <c r="I246" s="49"/>
      <c r="J246" s="49"/>
      <c r="K246" s="49"/>
      <c r="L246" s="49"/>
      <c r="M246" s="49"/>
      <c r="N246" s="49"/>
      <c r="O246" s="49"/>
      <c r="P246" s="49"/>
      <c r="Q246" s="49"/>
      <c r="R246" s="49"/>
      <c r="S246" s="49"/>
      <c r="T246" s="49"/>
      <c r="U246" s="49"/>
      <c r="V246" s="49"/>
      <c r="W246" s="49"/>
      <c r="X246" s="49"/>
      <c r="Y246" s="49"/>
      <c r="Z246" s="49"/>
    </row>
    <row r="247">
      <c r="A247" s="49" t="str">
        <f>IFERROR(__xludf.DUMMYFUNCTION("""COMPUTED_VALUE"""),"Skull Cleaver")</f>
        <v>Skull Cleaver</v>
      </c>
      <c r="B247" s="49"/>
      <c r="C247" s="49" t="str">
        <f>IFERROR(__xludf.DUMMYFUNCTION("""COMPUTED_VALUE"""),"Sword")</f>
        <v>Sword</v>
      </c>
      <c r="D247" s="49" t="str">
        <f>IFERROR(__xludf.DUMMYFUNCTION("""COMPUTED_VALUE"""),"Hand")</f>
        <v>Hand</v>
      </c>
      <c r="E247" s="49">
        <f>IFERROR(__xludf.DUMMYFUNCTION("""COMPUTED_VALUE"""),1000.0)</f>
        <v>1000</v>
      </c>
      <c r="F247" s="49" t="str">
        <f>IFERROR(__xludf.DUMMYFUNCTION("""COMPUTED_VALUE"""),"DMG: +30000, Dark DMG: +20000 ++75% Chance of instant death.")</f>
        <v>DMG: +30000, Dark DMG: +20000 ++75% Chance of instant death.</v>
      </c>
      <c r="G247" s="49">
        <f>IFERROR(__xludf.DUMMYFUNCTION("""COMPUTED_VALUE"""),4.95E7)</f>
        <v>49500000</v>
      </c>
      <c r="H247" s="49"/>
      <c r="I247" s="49"/>
      <c r="J247" s="49"/>
      <c r="K247" s="49"/>
      <c r="L247" s="49"/>
      <c r="M247" s="49"/>
      <c r="N247" s="49"/>
      <c r="O247" s="49"/>
      <c r="P247" s="49"/>
      <c r="Q247" s="49"/>
      <c r="R247" s="49"/>
      <c r="S247" s="49"/>
      <c r="T247" s="49"/>
      <c r="U247" s="49"/>
      <c r="V247" s="49"/>
      <c r="W247" s="49"/>
      <c r="X247" s="49"/>
      <c r="Y247" s="49"/>
      <c r="Z247" s="49"/>
    </row>
    <row r="248">
      <c r="A248" s="49" t="str">
        <f>IFERROR(__xludf.DUMMYFUNCTION("""COMPUTED_VALUE"""),"Skull of the many Kings")</f>
        <v>Skull of the many Kings</v>
      </c>
      <c r="B248" s="49"/>
      <c r="C248" s="49"/>
      <c r="D248" s="49" t="str">
        <f>IFERROR(__xludf.DUMMYFUNCTION("""COMPUTED_VALUE"""),"Head")</f>
        <v>Head</v>
      </c>
      <c r="E248" s="49">
        <f>IFERROR(__xludf.DUMMYFUNCTION("""COMPUTED_VALUE"""),1.0)</f>
        <v>1</v>
      </c>
      <c r="F248" s="49" t="str">
        <f>IFERROR(__xludf.DUMMYFUNCTION("""COMPUTED_VALUE"""),"DEF: +300 ++Immunity to all dark damage")</f>
        <v>DEF: +300 ++Immunity to all dark damage</v>
      </c>
      <c r="G248" s="49">
        <f>IFERROR(__xludf.DUMMYFUNCTION("""COMPUTED_VALUE"""),0.0)</f>
        <v>0</v>
      </c>
      <c r="H248" s="49"/>
      <c r="I248" s="49"/>
      <c r="J248" s="49"/>
      <c r="K248" s="49"/>
      <c r="L248" s="49"/>
      <c r="M248" s="49"/>
      <c r="N248" s="49"/>
      <c r="O248" s="49"/>
      <c r="P248" s="49"/>
      <c r="Q248" s="49"/>
      <c r="R248" s="49"/>
      <c r="S248" s="49"/>
      <c r="T248" s="49"/>
      <c r="U248" s="49"/>
      <c r="V248" s="49"/>
      <c r="W248" s="49"/>
      <c r="X248" s="49"/>
      <c r="Y248" s="49"/>
      <c r="Z248" s="49"/>
    </row>
    <row r="249">
      <c r="A249" s="49" t="str">
        <f>IFERROR(__xludf.DUMMYFUNCTION("""COMPUTED_VALUE"""),"Skull Ring")</f>
        <v>Skull Ring</v>
      </c>
      <c r="B249" s="49"/>
      <c r="C249" s="49"/>
      <c r="D249" s="49" t="str">
        <f>IFERROR(__xludf.DUMMYFUNCTION("""COMPUTED_VALUE"""),"Ring")</f>
        <v>Ring</v>
      </c>
      <c r="E249" s="49">
        <f>IFERROR(__xludf.DUMMYFUNCTION("""COMPUTED_VALUE"""),1.0)</f>
        <v>1</v>
      </c>
      <c r="F249" s="49" t="str">
        <f>IFERROR(__xludf.DUMMYFUNCTION("""COMPUTED_VALUE""")," ++Increase damage of all dark spells and weapons by X2")</f>
        <v> ++Increase damage of all dark spells and weapons by X2</v>
      </c>
      <c r="G249" s="49">
        <f>IFERROR(__xludf.DUMMYFUNCTION("""COMPUTED_VALUE"""),0.0)</f>
        <v>0</v>
      </c>
      <c r="H249" s="49"/>
      <c r="I249" s="49"/>
      <c r="J249" s="49"/>
      <c r="K249" s="49"/>
      <c r="L249" s="49"/>
      <c r="M249" s="49"/>
      <c r="N249" s="49"/>
      <c r="O249" s="49"/>
      <c r="P249" s="49"/>
      <c r="Q249" s="49"/>
      <c r="R249" s="49"/>
      <c r="S249" s="49"/>
      <c r="T249" s="49"/>
      <c r="U249" s="49"/>
      <c r="V249" s="49"/>
      <c r="W249" s="49"/>
      <c r="X249" s="49"/>
      <c r="Y249" s="49"/>
      <c r="Z249" s="49"/>
    </row>
    <row r="250">
      <c r="A250" s="49" t="str">
        <f>IFERROR(__xludf.DUMMYFUNCTION("""COMPUTED_VALUE"""),"Spear")</f>
        <v>Spear</v>
      </c>
      <c r="B250" s="49"/>
      <c r="C250" s="49" t="str">
        <f>IFERROR(__xludf.DUMMYFUNCTION("""COMPUTED_VALUE"""),"Spear")</f>
        <v>Spear</v>
      </c>
      <c r="D250" s="49" t="str">
        <f>IFERROR(__xludf.DUMMYFUNCTION("""COMPUTED_VALUE"""),"Hand")</f>
        <v>Hand</v>
      </c>
      <c r="E250" s="49">
        <f>IFERROR(__xludf.DUMMYFUNCTION("""COMPUTED_VALUE"""),1.0)</f>
        <v>1</v>
      </c>
      <c r="F250" s="49" t="str">
        <f>IFERROR(__xludf.DUMMYFUNCTION("""COMPUTED_VALUE"""),"DMG: +100")</f>
        <v>DMG: +100</v>
      </c>
      <c r="G250" s="49">
        <f>IFERROR(__xludf.DUMMYFUNCTION("""COMPUTED_VALUE"""),0.0)</f>
        <v>0</v>
      </c>
      <c r="H250" s="49"/>
      <c r="I250" s="49"/>
      <c r="J250" s="49"/>
      <c r="K250" s="49"/>
      <c r="L250" s="49"/>
      <c r="M250" s="49"/>
      <c r="N250" s="49"/>
      <c r="O250" s="49"/>
      <c r="P250" s="49"/>
      <c r="Q250" s="49"/>
      <c r="R250" s="49"/>
      <c r="S250" s="49"/>
      <c r="T250" s="49"/>
      <c r="U250" s="49"/>
      <c r="V250" s="49"/>
      <c r="W250" s="49"/>
      <c r="X250" s="49"/>
      <c r="Y250" s="49"/>
      <c r="Z250" s="49"/>
    </row>
    <row r="251">
      <c r="A251" s="49" t="str">
        <f>IFERROR(__xludf.DUMMYFUNCTION("""COMPUTED_VALUE"""),"Spear Of Assal ")</f>
        <v>Spear Of Assal </v>
      </c>
      <c r="B251" s="49"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49" t="str">
        <f>IFERROR(__xludf.DUMMYFUNCTION("""COMPUTED_VALUE"""),"Spear")</f>
        <v>Spear</v>
      </c>
      <c r="D251" s="49" t="str">
        <f>IFERROR(__xludf.DUMMYFUNCTION("""COMPUTED_VALUE"""),"Hand")</f>
        <v>Hand</v>
      </c>
      <c r="E251" s="49">
        <f>IFERROR(__xludf.DUMMYFUNCTION("""COMPUTED_VALUE"""),200.0)</f>
        <v>200</v>
      </c>
      <c r="F251" s="49"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49">
        <f>IFERROR(__xludf.DUMMYFUNCTION("""COMPUTED_VALUE"""),4.485E8)</f>
        <v>448500000</v>
      </c>
      <c r="H251" s="49"/>
      <c r="I251" s="49"/>
      <c r="J251" s="49"/>
      <c r="K251" s="49"/>
      <c r="L251" s="49"/>
      <c r="M251" s="49"/>
      <c r="N251" s="49"/>
      <c r="O251" s="49"/>
      <c r="P251" s="49"/>
      <c r="Q251" s="49"/>
      <c r="R251" s="49"/>
      <c r="S251" s="49"/>
      <c r="T251" s="49"/>
      <c r="U251" s="49"/>
      <c r="V251" s="49"/>
      <c r="W251" s="49"/>
      <c r="X251" s="49"/>
      <c r="Y251" s="49"/>
      <c r="Z251" s="49"/>
    </row>
    <row r="252">
      <c r="A252" s="49" t="str">
        <f>IFERROR(__xludf.DUMMYFUNCTION("""COMPUTED_VALUE"""),"Spiked Armor")</f>
        <v>Spiked Armor</v>
      </c>
      <c r="B252" s="49"/>
      <c r="C252" s="49"/>
      <c r="D252" s="49" t="str">
        <f>IFERROR(__xludf.DUMMYFUNCTION("""COMPUTED_VALUE"""),"Torso")</f>
        <v>Torso</v>
      </c>
      <c r="E252" s="49">
        <f>IFERROR(__xludf.DUMMYFUNCTION("""COMPUTED_VALUE"""),1.0)</f>
        <v>1</v>
      </c>
      <c r="F252" s="49" t="str">
        <f>IFERROR(__xludf.DUMMYFUNCTION("""COMPUTED_VALUE"""),"DEF: +100 ++Used for both offense and defense. ++Enemies take half the damage they caused, when they attack you.")</f>
        <v>DEF: +100 ++Used for both offense and defense. ++Enemies take half the damage they caused, when they attack you.</v>
      </c>
      <c r="G252" s="49">
        <f>IFERROR(__xludf.DUMMYFUNCTION("""COMPUTED_VALUE"""),0.0)</f>
        <v>0</v>
      </c>
      <c r="H252" s="49"/>
      <c r="I252" s="49"/>
      <c r="J252" s="49"/>
      <c r="K252" s="49"/>
      <c r="L252" s="49"/>
      <c r="M252" s="49"/>
      <c r="N252" s="49"/>
      <c r="O252" s="49"/>
      <c r="P252" s="49"/>
      <c r="Q252" s="49"/>
      <c r="R252" s="49"/>
      <c r="S252" s="49"/>
      <c r="T252" s="49"/>
      <c r="U252" s="49"/>
      <c r="V252" s="49"/>
      <c r="W252" s="49"/>
      <c r="X252" s="49"/>
      <c r="Y252" s="49"/>
      <c r="Z252" s="49"/>
    </row>
    <row r="253">
      <c r="A253" s="49" t="str">
        <f>IFERROR(__xludf.DUMMYFUNCTION("""COMPUTED_VALUE"""),"Spiny Shield")</f>
        <v>Spiny Shield</v>
      </c>
      <c r="B253" s="49"/>
      <c r="C253" s="49" t="str">
        <f>IFERROR(__xludf.DUMMYFUNCTION("""COMPUTED_VALUE"""),"Buckler")</f>
        <v>Buckler</v>
      </c>
      <c r="D253" s="49" t="str">
        <f>IFERROR(__xludf.DUMMYFUNCTION("""COMPUTED_VALUE"""),"Hand")</f>
        <v>Hand</v>
      </c>
      <c r="E253" s="49">
        <f>IFERROR(__xludf.DUMMYFUNCTION("""COMPUTED_VALUE"""),1.0)</f>
        <v>1</v>
      </c>
      <c r="F253" s="49" t="str">
        <f>IFERROR(__xludf.DUMMYFUNCTION("""COMPUTED_VALUE"""),"DEF: +170")</f>
        <v>DEF: +170</v>
      </c>
      <c r="G253" s="49">
        <f>IFERROR(__xludf.DUMMYFUNCTION("""COMPUTED_VALUE"""),0.0)</f>
        <v>0</v>
      </c>
      <c r="H253" s="49"/>
      <c r="I253" s="49"/>
      <c r="J253" s="49"/>
      <c r="K253" s="49"/>
      <c r="L253" s="49"/>
      <c r="M253" s="49"/>
      <c r="N253" s="49"/>
      <c r="O253" s="49"/>
      <c r="P253" s="49"/>
      <c r="Q253" s="49"/>
      <c r="R253" s="49"/>
      <c r="S253" s="49"/>
      <c r="T253" s="49"/>
      <c r="U253" s="49"/>
      <c r="V253" s="49"/>
      <c r="W253" s="49"/>
      <c r="X253" s="49"/>
      <c r="Y253" s="49"/>
      <c r="Z253" s="49"/>
    </row>
    <row r="254">
      <c r="A254" s="49" t="str">
        <f>IFERROR(__xludf.DUMMYFUNCTION("""COMPUTED_VALUE"""),"Spooky Branch Ring")</f>
        <v>Spooky Branch Ring</v>
      </c>
      <c r="B254" s="49" t="str">
        <f>IFERROR(__xludf.DUMMYFUNCTION("""COMPUTED_VALUE"""),"Halloween Exclusive")</f>
        <v>Halloween Exclusive</v>
      </c>
      <c r="C254" s="49"/>
      <c r="D254" s="49" t="str">
        <f>IFERROR(__xludf.DUMMYFUNCTION("""COMPUTED_VALUE"""),"Ring")</f>
        <v>Ring</v>
      </c>
      <c r="E254" s="49">
        <f>IFERROR(__xludf.DUMMYFUNCTION("""COMPUTED_VALUE"""),1.0)</f>
        <v>1</v>
      </c>
      <c r="F254" s="49" t="str">
        <f>IFERROR(__xludf.DUMMYFUNCTION("""COMPUTED_VALUE""")," ++Increase fire and dark damage by X2.")</f>
        <v> ++Increase fire and dark damage by X2.</v>
      </c>
      <c r="G254" s="49">
        <f>IFERROR(__xludf.DUMMYFUNCTION("""COMPUTED_VALUE"""),0.0)</f>
        <v>0</v>
      </c>
      <c r="H254" s="49"/>
      <c r="I254" s="49"/>
      <c r="J254" s="49"/>
      <c r="K254" s="49"/>
      <c r="L254" s="49"/>
      <c r="M254" s="49"/>
      <c r="N254" s="49"/>
      <c r="O254" s="49"/>
      <c r="P254" s="49"/>
      <c r="Q254" s="49"/>
      <c r="R254" s="49"/>
      <c r="S254" s="49"/>
      <c r="T254" s="49"/>
      <c r="U254" s="49"/>
      <c r="V254" s="49"/>
      <c r="W254" s="49"/>
      <c r="X254" s="49"/>
      <c r="Y254" s="49"/>
      <c r="Z254" s="49"/>
    </row>
    <row r="255">
      <c r="A255" s="49" t="str">
        <f>IFERROR(__xludf.DUMMYFUNCTION("""COMPUTED_VALUE"""),"Staff of Chaotic Shadows")</f>
        <v>Staff of Chaotic Shadows</v>
      </c>
      <c r="B255" s="49"/>
      <c r="C255" s="49" t="str">
        <f>IFERROR(__xludf.DUMMYFUNCTION("""COMPUTED_VALUE"""),"Staff")</f>
        <v>Staff</v>
      </c>
      <c r="D255" s="49" t="str">
        <f>IFERROR(__xludf.DUMMYFUNCTION("""COMPUTED_VALUE"""),"Hand")</f>
        <v>Hand</v>
      </c>
      <c r="E255" s="49">
        <f>IFERROR(__xludf.DUMMYFUNCTION("""COMPUTED_VALUE"""),1200.0)</f>
        <v>1200</v>
      </c>
      <c r="F255" s="49" t="str">
        <f>IFERROR(__xludf.DUMMYFUNCTION("""COMPUTED_VALUE"""),", Fire DMG: +20000, Dark DMG: +20000, Chaos DMG: +20000 ++damages all enemies. +-Cannot be forged.")</f>
        <v>, Fire DMG: +20000, Dark DMG: +20000, Chaos DMG: +20000 ++damages all enemies. +-Cannot be forged.</v>
      </c>
      <c r="G255" s="49">
        <f>IFERROR(__xludf.DUMMYFUNCTION("""COMPUTED_VALUE"""),7.14E7)</f>
        <v>71400000</v>
      </c>
      <c r="H255" s="49"/>
      <c r="I255" s="49"/>
      <c r="J255" s="49"/>
      <c r="K255" s="49"/>
      <c r="L255" s="49"/>
      <c r="M255" s="49"/>
      <c r="N255" s="49"/>
      <c r="O255" s="49"/>
      <c r="P255" s="49"/>
      <c r="Q255" s="49"/>
      <c r="R255" s="49"/>
      <c r="S255" s="49"/>
      <c r="T255" s="49"/>
      <c r="U255" s="49"/>
      <c r="V255" s="49"/>
      <c r="W255" s="49"/>
      <c r="X255" s="49"/>
      <c r="Y255" s="49"/>
      <c r="Z255" s="49"/>
    </row>
    <row r="256">
      <c r="A256" s="49" t="str">
        <f>IFERROR(__xludf.DUMMYFUNCTION("""COMPUTED_VALUE"""),"Staff of Crystals")</f>
        <v>Staff of Crystals</v>
      </c>
      <c r="B256" s="49"/>
      <c r="C256" s="49" t="str">
        <f>IFERROR(__xludf.DUMMYFUNCTION("""COMPUTED_VALUE"""),"Staff")</f>
        <v>Staff</v>
      </c>
      <c r="D256" s="49" t="str">
        <f>IFERROR(__xludf.DUMMYFUNCTION("""COMPUTED_VALUE"""),"Hand")</f>
        <v>Hand</v>
      </c>
      <c r="E256" s="49">
        <f>IFERROR(__xludf.DUMMYFUNCTION("""COMPUTED_VALUE"""),400.0)</f>
        <v>400</v>
      </c>
      <c r="F256" s="49"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49">
        <f>IFERROR(__xludf.DUMMYFUNCTION("""COMPUTED_VALUE"""),7800000.0)</f>
        <v>7800000</v>
      </c>
      <c r="H256" s="49"/>
      <c r="I256" s="49"/>
      <c r="J256" s="49"/>
      <c r="K256" s="49"/>
      <c r="L256" s="49"/>
      <c r="M256" s="49"/>
      <c r="N256" s="49"/>
      <c r="O256" s="49"/>
      <c r="P256" s="49"/>
      <c r="Q256" s="49"/>
      <c r="R256" s="49"/>
      <c r="S256" s="49"/>
      <c r="T256" s="49"/>
      <c r="U256" s="49"/>
      <c r="V256" s="49"/>
      <c r="W256" s="49"/>
      <c r="X256" s="49"/>
      <c r="Y256" s="49"/>
      <c r="Z256" s="49"/>
    </row>
    <row r="257">
      <c r="A257" s="49" t="str">
        <f>IFERROR(__xludf.DUMMYFUNCTION("""COMPUTED_VALUE"""),"Staff Of Heatmore")</f>
        <v>Staff Of Heatmore</v>
      </c>
      <c r="B257" s="49"/>
      <c r="C257" s="49" t="str">
        <f>IFERROR(__xludf.DUMMYFUNCTION("""COMPUTED_VALUE"""),"Staff")</f>
        <v>Staff</v>
      </c>
      <c r="D257" s="49" t="str">
        <f>IFERROR(__xludf.DUMMYFUNCTION("""COMPUTED_VALUE"""),"Hand")</f>
        <v>Hand</v>
      </c>
      <c r="E257" s="49">
        <f>IFERROR(__xludf.DUMMYFUNCTION("""COMPUTED_VALUE"""),1.0)</f>
        <v>1</v>
      </c>
      <c r="F257" s="49" t="str">
        <f>IFERROR(__xludf.DUMMYFUNCTION("""COMPUTED_VALUE""")," ++20,000 fire damage to all enemies, cannot avoid. 10,000sp")</f>
        <v> ++20,000 fire damage to all enemies, cannot avoid. 10,000sp</v>
      </c>
      <c r="G257" s="49">
        <f>IFERROR(__xludf.DUMMYFUNCTION("""COMPUTED_VALUE"""),0.0)</f>
        <v>0</v>
      </c>
      <c r="H257" s="49"/>
      <c r="I257" s="49"/>
      <c r="J257" s="49"/>
      <c r="K257" s="49"/>
      <c r="L257" s="49"/>
      <c r="M257" s="49"/>
      <c r="N257" s="49"/>
      <c r="O257" s="49"/>
      <c r="P257" s="49"/>
      <c r="Q257" s="49"/>
      <c r="R257" s="49"/>
      <c r="S257" s="49"/>
      <c r="T257" s="49"/>
      <c r="U257" s="49"/>
      <c r="V257" s="49"/>
      <c r="W257" s="49"/>
      <c r="X257" s="49"/>
      <c r="Y257" s="49"/>
      <c r="Z257" s="49"/>
    </row>
    <row r="258">
      <c r="A258" s="49" t="str">
        <f>IFERROR(__xludf.DUMMYFUNCTION("""COMPUTED_VALUE"""),"Staff of Shadows")</f>
        <v>Staff of Shadows</v>
      </c>
      <c r="B258" s="49"/>
      <c r="C258" s="49" t="str">
        <f>IFERROR(__xludf.DUMMYFUNCTION("""COMPUTED_VALUE"""),"Staff")</f>
        <v>Staff</v>
      </c>
      <c r="D258" s="49" t="str">
        <f>IFERROR(__xludf.DUMMYFUNCTION("""COMPUTED_VALUE"""),"Hand")</f>
        <v>Hand</v>
      </c>
      <c r="E258" s="49">
        <f>IFERROR(__xludf.DUMMYFUNCTION("""COMPUTED_VALUE"""),1.0)</f>
        <v>1</v>
      </c>
      <c r="F258" s="49" t="str">
        <f>IFERROR(__xludf.DUMMYFUNCTION("""COMPUTED_VALUE""")," ++You are invisible and silent so long as you don't attack. You cannot be attacked while invisible. 200SP")</f>
        <v> ++You are invisible and silent so long as you don't attack. You cannot be attacked while invisible. 200SP</v>
      </c>
      <c r="G258" s="49">
        <f>IFERROR(__xludf.DUMMYFUNCTION("""COMPUTED_VALUE"""),0.0)</f>
        <v>0</v>
      </c>
      <c r="H258" s="49"/>
      <c r="I258" s="49"/>
      <c r="J258" s="49"/>
      <c r="K258" s="49"/>
      <c r="L258" s="49"/>
      <c r="M258" s="49"/>
      <c r="N258" s="49"/>
      <c r="O258" s="49"/>
      <c r="P258" s="49"/>
      <c r="Q258" s="49"/>
      <c r="R258" s="49"/>
      <c r="S258" s="49"/>
      <c r="T258" s="49"/>
      <c r="U258" s="49"/>
      <c r="V258" s="49"/>
      <c r="W258" s="49"/>
      <c r="X258" s="49"/>
      <c r="Y258" s="49"/>
      <c r="Z258" s="49"/>
    </row>
    <row r="259">
      <c r="A259" s="49" t="str">
        <f>IFERROR(__xludf.DUMMYFUNCTION("""COMPUTED_VALUE"""),"Staff Of Suffering")</f>
        <v>Staff Of Suffering</v>
      </c>
      <c r="B259" s="49"/>
      <c r="C259" s="49" t="str">
        <f>IFERROR(__xludf.DUMMYFUNCTION("""COMPUTED_VALUE"""),"Staff")</f>
        <v>Staff</v>
      </c>
      <c r="D259" s="49" t="str">
        <f>IFERROR(__xludf.DUMMYFUNCTION("""COMPUTED_VALUE"""),"Hand")</f>
        <v>Hand</v>
      </c>
      <c r="E259" s="49">
        <f>IFERROR(__xludf.DUMMYFUNCTION("""COMPUTED_VALUE"""),1.0)</f>
        <v>1</v>
      </c>
      <c r="F259" s="49" t="str">
        <f>IFERROR(__xludf.DUMMYFUNCTION("""COMPUTED_VALUE""")," ++Casts a chaotic aura around 1 target dealing 1000 unblockable damage to them each time they cast a spell.")</f>
        <v> ++Casts a chaotic aura around 1 target dealing 1000 unblockable damage to them each time they cast a spell.</v>
      </c>
      <c r="G259" s="49">
        <f>IFERROR(__xludf.DUMMYFUNCTION("""COMPUTED_VALUE"""),0.0)</f>
        <v>0</v>
      </c>
      <c r="H259" s="49"/>
      <c r="I259" s="49"/>
      <c r="J259" s="49"/>
      <c r="K259" s="49"/>
      <c r="L259" s="49"/>
      <c r="M259" s="49"/>
      <c r="N259" s="49"/>
      <c r="O259" s="49"/>
      <c r="P259" s="49"/>
      <c r="Q259" s="49"/>
      <c r="R259" s="49"/>
      <c r="S259" s="49"/>
      <c r="T259" s="49"/>
      <c r="U259" s="49"/>
      <c r="V259" s="49"/>
      <c r="W259" s="49"/>
      <c r="X259" s="49"/>
      <c r="Y259" s="49"/>
      <c r="Z259" s="49"/>
    </row>
    <row r="260">
      <c r="A260" s="49" t="str">
        <f>IFERROR(__xludf.DUMMYFUNCTION("""COMPUTED_VALUE"""),"Staff of Targeting")</f>
        <v>Staff of Targeting</v>
      </c>
      <c r="B260" s="49"/>
      <c r="C260" s="49" t="str">
        <f>IFERROR(__xludf.DUMMYFUNCTION("""COMPUTED_VALUE"""),"Staff")</f>
        <v>Staff</v>
      </c>
      <c r="D260" s="49" t="str">
        <f>IFERROR(__xludf.DUMMYFUNCTION("""COMPUTED_VALUE"""),"Hand")</f>
        <v>Hand</v>
      </c>
      <c r="E260" s="49">
        <f>IFERROR(__xludf.DUMMYFUNCTION("""COMPUTED_VALUE"""),1.0)</f>
        <v>1</v>
      </c>
      <c r="F260" s="49"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49">
        <f>IFERROR(__xludf.DUMMYFUNCTION("""COMPUTED_VALUE"""),0.0)</f>
        <v>0</v>
      </c>
      <c r="H260" s="49"/>
      <c r="I260" s="49"/>
      <c r="J260" s="49"/>
      <c r="K260" s="49"/>
      <c r="L260" s="49"/>
      <c r="M260" s="49"/>
      <c r="N260" s="49"/>
      <c r="O260" s="49"/>
      <c r="P260" s="49"/>
      <c r="Q260" s="49"/>
      <c r="R260" s="49"/>
      <c r="S260" s="49"/>
      <c r="T260" s="49"/>
      <c r="U260" s="49"/>
      <c r="V260" s="49"/>
      <c r="W260" s="49"/>
      <c r="X260" s="49"/>
      <c r="Y260" s="49"/>
      <c r="Z260" s="49"/>
    </row>
    <row r="261">
      <c r="A261" s="49" t="str">
        <f>IFERROR(__xludf.DUMMYFUNCTION("""COMPUTED_VALUE"""),"Staff of Waves")</f>
        <v>Staff of Waves</v>
      </c>
      <c r="B261" s="49"/>
      <c r="C261" s="49" t="str">
        <f>IFERROR(__xludf.DUMMYFUNCTION("""COMPUTED_VALUE"""),"Staff")</f>
        <v>Staff</v>
      </c>
      <c r="D261" s="49" t="str">
        <f>IFERROR(__xludf.DUMMYFUNCTION("""COMPUTED_VALUE"""),"Hand")</f>
        <v>Hand</v>
      </c>
      <c r="E261" s="49">
        <f>IFERROR(__xludf.DUMMYFUNCTION("""COMPUTED_VALUE"""),1.0)</f>
        <v>1</v>
      </c>
      <c r="F261" s="49" t="str">
        <f>IFERROR(__xludf.DUMMYFUNCTION("""COMPUTED_VALUE""")," ++Casts the Spell Tsunami as if you would know it.")</f>
        <v> ++Casts the Spell Tsunami as if you would know it.</v>
      </c>
      <c r="G261" s="49">
        <f>IFERROR(__xludf.DUMMYFUNCTION("""COMPUTED_VALUE"""),0.0)</f>
        <v>0</v>
      </c>
      <c r="H261" s="49"/>
      <c r="I261" s="49"/>
      <c r="J261" s="49"/>
      <c r="K261" s="49"/>
      <c r="L261" s="49"/>
      <c r="M261" s="49"/>
      <c r="N261" s="49"/>
      <c r="O261" s="49"/>
      <c r="P261" s="49"/>
      <c r="Q261" s="49"/>
      <c r="R261" s="49"/>
      <c r="S261" s="49"/>
      <c r="T261" s="49"/>
      <c r="U261" s="49"/>
      <c r="V261" s="49"/>
      <c r="W261" s="49"/>
      <c r="X261" s="49"/>
      <c r="Y261" s="49"/>
      <c r="Z261" s="49"/>
    </row>
    <row r="262">
      <c r="A262" s="49" t="str">
        <f>IFERROR(__xludf.DUMMYFUNCTION("""COMPUTED_VALUE"""),"Guard Helmet")</f>
        <v>Guard Helmet</v>
      </c>
      <c r="B262" s="49" t="str">
        <f>IFERROR(__xludf.DUMMYFUNCTION("""COMPUTED_VALUE"""),"Quest Item")</f>
        <v>Quest Item</v>
      </c>
      <c r="C262" s="49"/>
      <c r="D262" s="49" t="str">
        <f>IFERROR(__xludf.DUMMYFUNCTION("""COMPUTED_VALUE"""),"Head")</f>
        <v>Head</v>
      </c>
      <c r="E262" s="49">
        <f>IFERROR(__xludf.DUMMYFUNCTION("""COMPUTED_VALUE"""),200.0)</f>
        <v>200</v>
      </c>
      <c r="F262" s="49" t="str">
        <f>IFERROR(__xludf.DUMMYFUNCTION("""COMPUTED_VALUE"""),"DEF: +25000, Light DEF: +25000, Celestial DEF: +25000")</f>
        <v>DEF: +25000, Light DEF: +25000, Celestial DEF: +25000</v>
      </c>
      <c r="G262" s="49">
        <f>IFERROR(__xludf.DUMMYFUNCTION("""COMPUTED_VALUE"""),1.1175E8)</f>
        <v>111750000</v>
      </c>
      <c r="H262" s="49"/>
      <c r="I262" s="49"/>
      <c r="J262" s="49"/>
      <c r="K262" s="49"/>
      <c r="L262" s="49"/>
      <c r="M262" s="49"/>
      <c r="N262" s="49"/>
      <c r="O262" s="49"/>
      <c r="P262" s="49"/>
      <c r="Q262" s="49"/>
      <c r="R262" s="49"/>
      <c r="S262" s="49"/>
      <c r="T262" s="49"/>
      <c r="U262" s="49"/>
      <c r="V262" s="49"/>
      <c r="W262" s="49"/>
      <c r="X262" s="49"/>
      <c r="Y262" s="49"/>
      <c r="Z262" s="49"/>
    </row>
    <row r="263">
      <c r="A263" s="49" t="str">
        <f>IFERROR(__xludf.DUMMYFUNCTION("""COMPUTED_VALUE"""),"Guard Shield")</f>
        <v>Guard Shield</v>
      </c>
      <c r="B263" s="49" t="str">
        <f>IFERROR(__xludf.DUMMYFUNCTION("""COMPUTED_VALUE"""),"Quest Item")</f>
        <v>Quest Item</v>
      </c>
      <c r="C263" s="49" t="str">
        <f>IFERROR(__xludf.DUMMYFUNCTION("""COMPUTED_VALUE"""),"Towershield")</f>
        <v>Towershield</v>
      </c>
      <c r="D263" s="49" t="str">
        <f>IFERROR(__xludf.DUMMYFUNCTION("""COMPUTED_VALUE"""),"Hand")</f>
        <v>Hand</v>
      </c>
      <c r="E263" s="49">
        <f>IFERROR(__xludf.DUMMYFUNCTION("""COMPUTED_VALUE"""),200.0)</f>
        <v>200</v>
      </c>
      <c r="F263" s="49" t="str">
        <f>IFERROR(__xludf.DUMMYFUNCTION("""COMPUTED_VALUE"""),"DEF: +25000, Light DEF: +25000, Celestial DEF: +25000")</f>
        <v>DEF: +25000, Light DEF: +25000, Celestial DEF: +25000</v>
      </c>
      <c r="G263" s="49">
        <f>IFERROR(__xludf.DUMMYFUNCTION("""COMPUTED_VALUE"""),1.1175E8)</f>
        <v>111750000</v>
      </c>
      <c r="H263" s="49"/>
      <c r="I263" s="49"/>
      <c r="J263" s="49"/>
      <c r="K263" s="49"/>
      <c r="L263" s="49"/>
      <c r="M263" s="49"/>
      <c r="N263" s="49"/>
      <c r="O263" s="49"/>
      <c r="P263" s="49"/>
      <c r="Q263" s="49"/>
      <c r="R263" s="49"/>
      <c r="S263" s="49"/>
      <c r="T263" s="49"/>
      <c r="U263" s="49"/>
      <c r="V263" s="49"/>
      <c r="W263" s="49"/>
      <c r="X263" s="49"/>
      <c r="Y263" s="49"/>
      <c r="Z263" s="49"/>
    </row>
    <row r="264">
      <c r="A264" s="49" t="str">
        <f>IFERROR(__xludf.DUMMYFUNCTION("""COMPUTED_VALUE"""),"Guard Sword")</f>
        <v>Guard Sword</v>
      </c>
      <c r="B264" s="49" t="str">
        <f>IFERROR(__xludf.DUMMYFUNCTION("""COMPUTED_VALUE"""),"Quest Item")</f>
        <v>Quest Item</v>
      </c>
      <c r="C264" s="49" t="str">
        <f>IFERROR(__xludf.DUMMYFUNCTION("""COMPUTED_VALUE"""),"Sword")</f>
        <v>Sword</v>
      </c>
      <c r="D264" s="49" t="str">
        <f>IFERROR(__xludf.DUMMYFUNCTION("""COMPUTED_VALUE"""),"Hand")</f>
        <v>Hand</v>
      </c>
      <c r="E264" s="49">
        <f>IFERROR(__xludf.DUMMYFUNCTION("""COMPUTED_VALUE"""),200.0)</f>
        <v>200</v>
      </c>
      <c r="F264" s="49" t="str">
        <f>IFERROR(__xludf.DUMMYFUNCTION("""COMPUTED_VALUE"""),"DMG: +25000, Light DMG: +25000, Celestial DMG: +25000")</f>
        <v>DMG: +25000, Light DMG: +25000, Celestial DMG: +25000</v>
      </c>
      <c r="G264" s="49">
        <f>IFERROR(__xludf.DUMMYFUNCTION("""COMPUTED_VALUE"""),1.1175E8)</f>
        <v>111750000</v>
      </c>
      <c r="H264" s="49"/>
      <c r="I264" s="49"/>
      <c r="J264" s="49"/>
      <c r="K264" s="49"/>
      <c r="L264" s="49"/>
      <c r="M264" s="49"/>
      <c r="N264" s="49"/>
      <c r="O264" s="49"/>
      <c r="P264" s="49"/>
      <c r="Q264" s="49"/>
      <c r="R264" s="49"/>
      <c r="S264" s="49"/>
      <c r="T264" s="49"/>
      <c r="U264" s="49"/>
      <c r="V264" s="49"/>
      <c r="W264" s="49"/>
      <c r="X264" s="49"/>
      <c r="Y264" s="49"/>
      <c r="Z264" s="49"/>
    </row>
    <row r="265">
      <c r="A265" s="49" t="str">
        <f>IFERROR(__xludf.DUMMYFUNCTION("""COMPUTED_VALUE"""),"Steel Armor")</f>
        <v>Steel Armor</v>
      </c>
      <c r="B265" s="49"/>
      <c r="C265" s="49"/>
      <c r="D265" s="49" t="str">
        <f>IFERROR(__xludf.DUMMYFUNCTION("""COMPUTED_VALUE"""),"Torso")</f>
        <v>Torso</v>
      </c>
      <c r="E265" s="49">
        <f>IFERROR(__xludf.DUMMYFUNCTION("""COMPUTED_VALUE"""),1.0)</f>
        <v>1</v>
      </c>
      <c r="F265" s="49" t="str">
        <f>IFERROR(__xludf.DUMMYFUNCTION("""COMPUTED_VALUE"""),"DEF: +20")</f>
        <v>DEF: +20</v>
      </c>
      <c r="G265" s="49">
        <f>IFERROR(__xludf.DUMMYFUNCTION("""COMPUTED_VALUE"""),0.0)</f>
        <v>0</v>
      </c>
      <c r="H265" s="49"/>
      <c r="I265" s="49"/>
      <c r="J265" s="49"/>
      <c r="K265" s="49"/>
      <c r="L265" s="49"/>
      <c r="M265" s="49"/>
      <c r="N265" s="49"/>
      <c r="O265" s="49"/>
      <c r="P265" s="49"/>
      <c r="Q265" s="49"/>
      <c r="R265" s="49"/>
      <c r="S265" s="49"/>
      <c r="T265" s="49"/>
      <c r="U265" s="49"/>
      <c r="V265" s="49"/>
      <c r="W265" s="49"/>
      <c r="X265" s="49"/>
      <c r="Y265" s="49"/>
      <c r="Z265" s="49"/>
    </row>
    <row r="266">
      <c r="A266" s="49" t="str">
        <f>IFERROR(__xludf.DUMMYFUNCTION("""COMPUTED_VALUE"""),"Steel Broadsword")</f>
        <v>Steel Broadsword</v>
      </c>
      <c r="B266" s="49"/>
      <c r="C266" s="49" t="str">
        <f>IFERROR(__xludf.DUMMYFUNCTION("""COMPUTED_VALUE"""),"Sword")</f>
        <v>Sword</v>
      </c>
      <c r="D266" s="49" t="str">
        <f>IFERROR(__xludf.DUMMYFUNCTION("""COMPUTED_VALUE"""),"Hand")</f>
        <v>Hand</v>
      </c>
      <c r="E266" s="49">
        <f>IFERROR(__xludf.DUMMYFUNCTION("""COMPUTED_VALUE"""),40.0)</f>
        <v>40</v>
      </c>
      <c r="F266" s="49" t="str">
        <f>IFERROR(__xludf.DUMMYFUNCTION("""COMPUTED_VALUE"""),"DMG: +2000")</f>
        <v>DMG: +2000</v>
      </c>
      <c r="G266" s="49">
        <f>IFERROR(__xludf.DUMMYFUNCTION("""COMPUTED_VALUE"""),60000.0)</f>
        <v>60000</v>
      </c>
      <c r="H266" s="49"/>
      <c r="I266" s="49"/>
      <c r="J266" s="49"/>
      <c r="K266" s="49"/>
      <c r="L266" s="49"/>
      <c r="M266" s="49"/>
      <c r="N266" s="49"/>
      <c r="O266" s="49"/>
      <c r="P266" s="49"/>
      <c r="Q266" s="49"/>
      <c r="R266" s="49"/>
      <c r="S266" s="49"/>
      <c r="T266" s="49"/>
      <c r="U266" s="49"/>
      <c r="V266" s="49"/>
      <c r="W266" s="49"/>
      <c r="X266" s="49"/>
      <c r="Y266" s="49"/>
      <c r="Z266" s="49"/>
    </row>
    <row r="267">
      <c r="A267" s="49" t="str">
        <f>IFERROR(__xludf.DUMMYFUNCTION("""COMPUTED_VALUE"""),"Steel Sword")</f>
        <v>Steel Sword</v>
      </c>
      <c r="B267" s="49"/>
      <c r="C267" s="49" t="str">
        <f>IFERROR(__xludf.DUMMYFUNCTION("""COMPUTED_VALUE"""),"Sword")</f>
        <v>Sword</v>
      </c>
      <c r="D267" s="49" t="str">
        <f>IFERROR(__xludf.DUMMYFUNCTION("""COMPUTED_VALUE"""),"Hand")</f>
        <v>Hand</v>
      </c>
      <c r="E267" s="49">
        <f>IFERROR(__xludf.DUMMYFUNCTION("""COMPUTED_VALUE"""),10.0)</f>
        <v>10</v>
      </c>
      <c r="F267" s="49" t="str">
        <f>IFERROR(__xludf.DUMMYFUNCTION("""COMPUTED_VALUE"""),"DMG: +500")</f>
        <v>DMG: +500</v>
      </c>
      <c r="G267" s="49">
        <f>IFERROR(__xludf.DUMMYFUNCTION("""COMPUTED_VALUE"""),1000.0)</f>
        <v>1000</v>
      </c>
      <c r="H267" s="49"/>
      <c r="I267" s="49"/>
      <c r="J267" s="49"/>
      <c r="K267" s="49"/>
      <c r="L267" s="49"/>
      <c r="M267" s="49"/>
      <c r="N267" s="49"/>
      <c r="O267" s="49"/>
      <c r="P267" s="49"/>
      <c r="Q267" s="49"/>
      <c r="R267" s="49"/>
      <c r="S267" s="49"/>
      <c r="T267" s="49"/>
      <c r="U267" s="49"/>
      <c r="V267" s="49"/>
      <c r="W267" s="49"/>
      <c r="X267" s="49"/>
      <c r="Y267" s="49"/>
      <c r="Z267" s="49"/>
    </row>
    <row r="268">
      <c r="A268" s="49" t="str">
        <f>IFERROR(__xludf.DUMMYFUNCTION("""COMPUTED_VALUE"""),"Stick of Mystery ")</f>
        <v>Stick of Mystery </v>
      </c>
      <c r="B268" s="49" t="str">
        <f>IFERROR(__xludf.DUMMYFUNCTION("""COMPUTED_VALUE"""),"Those who doubt the stick's power will suffer the stick's wrath")</f>
        <v>Those who doubt the stick's power will suffer the stick's wrath</v>
      </c>
      <c r="C268" s="49" t="str">
        <f>IFERROR(__xludf.DUMMYFUNCTION("""COMPUTED_VALUE"""),"Wand")</f>
        <v>Wand</v>
      </c>
      <c r="D268" s="49" t="str">
        <f>IFERROR(__xludf.DUMMYFUNCTION("""COMPUTED_VALUE"""),"Hand")</f>
        <v>Hand</v>
      </c>
      <c r="E268" s="49">
        <f>IFERROR(__xludf.DUMMYFUNCTION("""COMPUTED_VALUE"""),1.0)</f>
        <v>1</v>
      </c>
      <c r="F268" s="49" t="str">
        <f>IFERROR(__xludf.DUMMYFUNCTION("""COMPUTED_VALUE""")," ++roll a d20 to see what it does :)")</f>
        <v> ++roll a d20 to see what it does :)</v>
      </c>
      <c r="G268" s="49">
        <f>IFERROR(__xludf.DUMMYFUNCTION("""COMPUTED_VALUE"""),0.0)</f>
        <v>0</v>
      </c>
      <c r="H268" s="49"/>
      <c r="I268" s="49"/>
      <c r="J268" s="49"/>
      <c r="K268" s="49"/>
      <c r="L268" s="49"/>
      <c r="M268" s="49"/>
      <c r="N268" s="49"/>
      <c r="O268" s="49"/>
      <c r="P268" s="49"/>
      <c r="Q268" s="49"/>
      <c r="R268" s="49"/>
      <c r="S268" s="49"/>
      <c r="T268" s="49"/>
      <c r="U268" s="49"/>
      <c r="V268" s="49"/>
      <c r="W268" s="49"/>
      <c r="X268" s="49"/>
      <c r="Y268" s="49"/>
      <c r="Z268" s="49"/>
    </row>
    <row r="269">
      <c r="A269" s="49" t="str">
        <f>IFERROR(__xludf.DUMMYFUNCTION("""COMPUTED_VALUE"""),"Stone Arming Sword")</f>
        <v>Stone Arming Sword</v>
      </c>
      <c r="B269" s="49"/>
      <c r="C269" s="49" t="str">
        <f>IFERROR(__xludf.DUMMYFUNCTION("""COMPUTED_VALUE"""),"Sword")</f>
        <v>Sword</v>
      </c>
      <c r="D269" s="49" t="str">
        <f>IFERROR(__xludf.DUMMYFUNCTION("""COMPUTED_VALUE"""),"Hand")</f>
        <v>Hand</v>
      </c>
      <c r="E269" s="49">
        <f>IFERROR(__xludf.DUMMYFUNCTION("""COMPUTED_VALUE"""),20.0)</f>
        <v>20</v>
      </c>
      <c r="F269" s="49" t="str">
        <f>IFERROR(__xludf.DUMMYFUNCTION("""COMPUTED_VALUE"""),"DMG: +500, Dark DMG: +200")</f>
        <v>DMG: +500, Dark DMG: +200</v>
      </c>
      <c r="G269" s="49">
        <f>IFERROR(__xludf.DUMMYFUNCTION("""COMPUTED_VALUE"""),1000.0)</f>
        <v>1000</v>
      </c>
      <c r="H269" s="49"/>
      <c r="I269" s="49"/>
      <c r="J269" s="49"/>
      <c r="K269" s="49"/>
      <c r="L269" s="49"/>
      <c r="M269" s="49"/>
      <c r="N269" s="49"/>
      <c r="O269" s="49"/>
      <c r="P269" s="49"/>
      <c r="Q269" s="49"/>
      <c r="R269" s="49"/>
      <c r="S269" s="49"/>
      <c r="T269" s="49"/>
      <c r="U269" s="49"/>
      <c r="V269" s="49"/>
      <c r="W269" s="49"/>
      <c r="X269" s="49"/>
      <c r="Y269" s="49"/>
      <c r="Z269" s="49"/>
    </row>
    <row r="270">
      <c r="A270" s="49" t="str">
        <f>IFERROR(__xludf.DUMMYFUNCTION("""COMPUTED_VALUE"""),"Stone Sledgehammer")</f>
        <v>Stone Sledgehammer</v>
      </c>
      <c r="B270" s="49"/>
      <c r="C270" s="49" t="str">
        <f>IFERROR(__xludf.DUMMYFUNCTION("""COMPUTED_VALUE"""),"Club")</f>
        <v>Club</v>
      </c>
      <c r="D270" s="49" t="str">
        <f>IFERROR(__xludf.DUMMYFUNCTION("""COMPUTED_VALUE"""),"Hand")</f>
        <v>Hand</v>
      </c>
      <c r="E270" s="49">
        <f>IFERROR(__xludf.DUMMYFUNCTION("""COMPUTED_VALUE"""),20.0)</f>
        <v>20</v>
      </c>
      <c r="F270" s="49" t="str">
        <f>IFERROR(__xludf.DUMMYFUNCTION("""COMPUTED_VALUE"""),"DMG: +400, Earth DMG: +200")</f>
        <v>DMG: +400, Earth DMG: +200</v>
      </c>
      <c r="G270" s="49">
        <f>IFERROR(__xludf.DUMMYFUNCTION("""COMPUTED_VALUE"""),1000.0)</f>
        <v>1000</v>
      </c>
      <c r="H270" s="49"/>
      <c r="I270" s="49"/>
      <c r="J270" s="49"/>
      <c r="K270" s="49"/>
      <c r="L270" s="49"/>
      <c r="M270" s="49"/>
      <c r="N270" s="49"/>
      <c r="O270" s="49"/>
      <c r="P270" s="49"/>
      <c r="Q270" s="49"/>
      <c r="R270" s="49"/>
      <c r="S270" s="49"/>
      <c r="T270" s="49"/>
      <c r="U270" s="49"/>
      <c r="V270" s="49"/>
      <c r="W270" s="49"/>
      <c r="X270" s="49"/>
      <c r="Y270" s="49"/>
      <c r="Z270" s="49"/>
    </row>
    <row r="271">
      <c r="A271" s="49" t="str">
        <f>IFERROR(__xludf.DUMMYFUNCTION("""COMPUTED_VALUE"""),"Stone Small Shield")</f>
        <v>Stone Small Shield</v>
      </c>
      <c r="B271" s="49"/>
      <c r="C271" s="49" t="str">
        <f>IFERROR(__xludf.DUMMYFUNCTION("""COMPUTED_VALUE"""),"Buckler")</f>
        <v>Buckler</v>
      </c>
      <c r="D271" s="49" t="str">
        <f>IFERROR(__xludf.DUMMYFUNCTION("""COMPUTED_VALUE"""),"Hand")</f>
        <v>Hand</v>
      </c>
      <c r="E271" s="49">
        <f>IFERROR(__xludf.DUMMYFUNCTION("""COMPUTED_VALUE"""),1.0)</f>
        <v>1</v>
      </c>
      <c r="F271" s="49" t="str">
        <f>IFERROR(__xludf.DUMMYFUNCTION("""COMPUTED_VALUE"""),"DEF: +100")</f>
        <v>DEF: +100</v>
      </c>
      <c r="G271" s="49">
        <f>IFERROR(__xludf.DUMMYFUNCTION("""COMPUTED_VALUE"""),0.0)</f>
        <v>0</v>
      </c>
      <c r="H271" s="49"/>
      <c r="I271" s="49"/>
      <c r="J271" s="49"/>
      <c r="K271" s="49"/>
      <c r="L271" s="49"/>
      <c r="M271" s="49"/>
      <c r="N271" s="49"/>
      <c r="O271" s="49"/>
      <c r="P271" s="49"/>
      <c r="Q271" s="49"/>
      <c r="R271" s="49"/>
      <c r="S271" s="49"/>
      <c r="T271" s="49"/>
      <c r="U271" s="49"/>
      <c r="V271" s="49"/>
      <c r="W271" s="49"/>
      <c r="X271" s="49"/>
      <c r="Y271" s="49"/>
      <c r="Z271" s="49"/>
    </row>
    <row r="272">
      <c r="A272" s="49" t="str">
        <f>IFERROR(__xludf.DUMMYFUNCTION("""COMPUTED_VALUE"""),"Stonewall Shield")</f>
        <v>Stonewall Shield</v>
      </c>
      <c r="B272" s="49"/>
      <c r="C272" s="49" t="str">
        <f>IFERROR(__xludf.DUMMYFUNCTION("""COMPUTED_VALUE"""),"Towershield")</f>
        <v>Towershield</v>
      </c>
      <c r="D272" s="49" t="str">
        <f>IFERROR(__xludf.DUMMYFUNCTION("""COMPUTED_VALUE"""),"Hand")</f>
        <v>Hand</v>
      </c>
      <c r="E272" s="49">
        <f>IFERROR(__xludf.DUMMYFUNCTION("""COMPUTED_VALUE"""),10.0)</f>
        <v>10</v>
      </c>
      <c r="F272" s="49" t="str">
        <f>IFERROR(__xludf.DUMMYFUNCTION("""COMPUTED_VALUE"""),"DEF: +500 ++Immunity to earth")</f>
        <v>DEF: +500 ++Immunity to earth</v>
      </c>
      <c r="G272" s="49">
        <f>IFERROR(__xludf.DUMMYFUNCTION("""COMPUTED_VALUE"""),1000.0)</f>
        <v>1000</v>
      </c>
      <c r="H272" s="49"/>
      <c r="I272" s="49"/>
      <c r="J272" s="49"/>
      <c r="K272" s="49"/>
      <c r="L272" s="49"/>
      <c r="M272" s="49"/>
      <c r="N272" s="49"/>
      <c r="O272" s="49"/>
      <c r="P272" s="49"/>
      <c r="Q272" s="49"/>
      <c r="R272" s="49"/>
      <c r="S272" s="49"/>
      <c r="T272" s="49"/>
      <c r="U272" s="49"/>
      <c r="V272" s="49"/>
      <c r="W272" s="49"/>
      <c r="X272" s="49"/>
      <c r="Y272" s="49"/>
      <c r="Z272" s="49"/>
    </row>
    <row r="273">
      <c r="A273" s="49" t="str">
        <f>IFERROR(__xludf.DUMMYFUNCTION("""COMPUTED_VALUE"""),"Sturdy Wooden Shield")</f>
        <v>Sturdy Wooden Shield</v>
      </c>
      <c r="B273" s="49" t="str">
        <f>IFERROR(__xludf.DUMMYFUNCTION("""COMPUTED_VALUE"""),"A wooden shield")</f>
        <v>A wooden shield</v>
      </c>
      <c r="C273" s="49" t="str">
        <f>IFERROR(__xludf.DUMMYFUNCTION("""COMPUTED_VALUE"""),"Towershield")</f>
        <v>Towershield</v>
      </c>
      <c r="D273" s="49" t="str">
        <f>IFERROR(__xludf.DUMMYFUNCTION("""COMPUTED_VALUE"""),"Hand")</f>
        <v>Hand</v>
      </c>
      <c r="E273" s="49">
        <f>IFERROR(__xludf.DUMMYFUNCTION("""COMPUTED_VALUE"""),1.0)</f>
        <v>1</v>
      </c>
      <c r="F273" s="49" t="str">
        <f>IFERROR(__xludf.DUMMYFUNCTION("""COMPUTED_VALUE"""),"DEF: +50")</f>
        <v>DEF: +50</v>
      </c>
      <c r="G273" s="49">
        <f>IFERROR(__xludf.DUMMYFUNCTION("""COMPUTED_VALUE"""),0.0)</f>
        <v>0</v>
      </c>
      <c r="H273" s="49"/>
      <c r="I273" s="49"/>
      <c r="J273" s="49"/>
      <c r="K273" s="49"/>
      <c r="L273" s="49"/>
      <c r="M273" s="49"/>
      <c r="N273" s="49"/>
      <c r="O273" s="49"/>
      <c r="P273" s="49"/>
      <c r="Q273" s="49"/>
      <c r="R273" s="49"/>
      <c r="S273" s="49"/>
      <c r="T273" s="49"/>
      <c r="U273" s="49"/>
      <c r="V273" s="49"/>
      <c r="W273" s="49"/>
      <c r="X273" s="49"/>
      <c r="Y273" s="49"/>
      <c r="Z273" s="49"/>
    </row>
    <row r="274">
      <c r="A274" s="49" t="str">
        <f>IFERROR(__xludf.DUMMYFUNCTION("""COMPUTED_VALUE"""),"Swampville Dagger")</f>
        <v>Swampville Dagger</v>
      </c>
      <c r="B274" s="49"/>
      <c r="C274" s="49" t="str">
        <f>IFERROR(__xludf.DUMMYFUNCTION("""COMPUTED_VALUE"""),"Knife")</f>
        <v>Knife</v>
      </c>
      <c r="D274" s="49" t="str">
        <f>IFERROR(__xludf.DUMMYFUNCTION("""COMPUTED_VALUE"""),"Hand")</f>
        <v>Hand</v>
      </c>
      <c r="E274" s="49">
        <f>IFERROR(__xludf.DUMMYFUNCTION("""COMPUTED_VALUE"""),400.0)</f>
        <v>400</v>
      </c>
      <c r="F274" s="49" t="str">
        <f>IFERROR(__xludf.DUMMYFUNCTION("""COMPUTED_VALUE"""),"DMG: +10000, Nature DMG: +10000 ++Poison 5000 for 3 rounds.")</f>
        <v>DMG: +10000, Nature DMG: +10000 ++Poison 5000 for 3 rounds.</v>
      </c>
      <c r="G274" s="49">
        <f>IFERROR(__xludf.DUMMYFUNCTION("""COMPUTED_VALUE"""),7800000.0)</f>
        <v>7800000</v>
      </c>
      <c r="H274" s="49"/>
      <c r="I274" s="49"/>
      <c r="J274" s="49"/>
      <c r="K274" s="49"/>
      <c r="L274" s="49"/>
      <c r="M274" s="49"/>
      <c r="N274" s="49"/>
      <c r="O274" s="49"/>
      <c r="P274" s="49"/>
      <c r="Q274" s="49"/>
      <c r="R274" s="49"/>
      <c r="S274" s="49"/>
      <c r="T274" s="49"/>
      <c r="U274" s="49"/>
      <c r="V274" s="49"/>
      <c r="W274" s="49"/>
      <c r="X274" s="49"/>
      <c r="Y274" s="49"/>
      <c r="Z274" s="49"/>
    </row>
    <row r="275">
      <c r="A275" s="49" t="str">
        <f>IFERROR(__xludf.DUMMYFUNCTION("""COMPUTED_VALUE"""),"Sword of Bad Luck")</f>
        <v>Sword of Bad Luck</v>
      </c>
      <c r="B275" s="49"/>
      <c r="C275" s="49" t="str">
        <f>IFERROR(__xludf.DUMMYFUNCTION("""COMPUTED_VALUE"""),"Sword")</f>
        <v>Sword</v>
      </c>
      <c r="D275" s="49" t="str">
        <f>IFERROR(__xludf.DUMMYFUNCTION("""COMPUTED_VALUE"""),"Hand")</f>
        <v>Hand</v>
      </c>
      <c r="E275" s="49">
        <f>IFERROR(__xludf.DUMMYFUNCTION("""COMPUTED_VALUE"""),600.0)</f>
        <v>600</v>
      </c>
      <c r="F275" s="49" t="str">
        <f>IFERROR(__xludf.DUMMYFUNCTION("""COMPUTED_VALUE"""),"DMG: +30000 ++GSteal - Steal X amount of gilders equal to the amount of damage caused with this weapon.")</f>
        <v>DMG: +30000 ++GSteal - Steal X amount of gilders equal to the amount of damage caused with this weapon.</v>
      </c>
      <c r="G275" s="49">
        <f>IFERROR(__xludf.DUMMYFUNCTION("""COMPUTED_VALUE"""),1.77E7)</f>
        <v>17700000</v>
      </c>
      <c r="H275" s="49"/>
      <c r="I275" s="49"/>
      <c r="J275" s="49"/>
      <c r="K275" s="49"/>
      <c r="L275" s="49"/>
      <c r="M275" s="49"/>
      <c r="N275" s="49"/>
      <c r="O275" s="49"/>
      <c r="P275" s="49"/>
      <c r="Q275" s="49"/>
      <c r="R275" s="49"/>
      <c r="S275" s="49"/>
      <c r="T275" s="49"/>
      <c r="U275" s="49"/>
      <c r="V275" s="49"/>
      <c r="W275" s="49"/>
      <c r="X275" s="49"/>
      <c r="Y275" s="49"/>
      <c r="Z275" s="49"/>
    </row>
    <row r="276">
      <c r="A276" s="49" t="str">
        <f>IFERROR(__xludf.DUMMYFUNCTION("""COMPUTED_VALUE"""),"Sword of Chaotic Shadows")</f>
        <v>Sword of Chaotic Shadows</v>
      </c>
      <c r="B276" s="49"/>
      <c r="C276" s="49" t="str">
        <f>IFERROR(__xludf.DUMMYFUNCTION("""COMPUTED_VALUE"""),"Sword")</f>
        <v>Sword</v>
      </c>
      <c r="D276" s="49" t="str">
        <f>IFERROR(__xludf.DUMMYFUNCTION("""COMPUTED_VALUE"""),"Hand")</f>
        <v>Hand</v>
      </c>
      <c r="E276" s="49">
        <f>IFERROR(__xludf.DUMMYFUNCTION("""COMPUTED_VALUE"""),600.0)</f>
        <v>600</v>
      </c>
      <c r="F276" s="49" t="str">
        <f>IFERROR(__xludf.DUMMYFUNCTION("""COMPUTED_VALUE"""),"DMG: +10000, Dark DMG: +10000, Chaos DMG: +10000")</f>
        <v>DMG: +10000, Dark DMG: +10000, Chaos DMG: +10000</v>
      </c>
      <c r="G276" s="49">
        <f>IFERROR(__xludf.DUMMYFUNCTION("""COMPUTED_VALUE"""),1.77E7)</f>
        <v>17700000</v>
      </c>
      <c r="H276" s="49"/>
      <c r="I276" s="49"/>
      <c r="J276" s="49"/>
      <c r="K276" s="49"/>
      <c r="L276" s="49"/>
      <c r="M276" s="49"/>
      <c r="N276" s="49"/>
      <c r="O276" s="49"/>
      <c r="P276" s="49"/>
      <c r="Q276" s="49"/>
      <c r="R276" s="49"/>
      <c r="S276" s="49"/>
      <c r="T276" s="49"/>
      <c r="U276" s="49"/>
      <c r="V276" s="49"/>
      <c r="W276" s="49"/>
      <c r="X276" s="49"/>
      <c r="Y276" s="49"/>
      <c r="Z276" s="49"/>
    </row>
    <row r="277">
      <c r="A277" s="49" t="str">
        <f>IFERROR(__xludf.DUMMYFUNCTION("""COMPUTED_VALUE"""),"Sword Of Darkness")</f>
        <v>Sword Of Darkness</v>
      </c>
      <c r="B277" s="49"/>
      <c r="C277" s="49" t="str">
        <f>IFERROR(__xludf.DUMMYFUNCTION("""COMPUTED_VALUE"""),"Sword")</f>
        <v>Sword</v>
      </c>
      <c r="D277" s="49" t="str">
        <f>IFERROR(__xludf.DUMMYFUNCTION("""COMPUTED_VALUE"""),"Hand")</f>
        <v>Hand</v>
      </c>
      <c r="E277" s="49">
        <f>IFERROR(__xludf.DUMMYFUNCTION("""COMPUTED_VALUE"""),20.0)</f>
        <v>20</v>
      </c>
      <c r="F277" s="49" t="str">
        <f>IFERROR(__xludf.DUMMYFUNCTION("""COMPUTED_VALUE"""),"DMG: +500, Dark DMG: +200")</f>
        <v>DMG: +500, Dark DMG: +200</v>
      </c>
      <c r="G277" s="49">
        <f>IFERROR(__xludf.DUMMYFUNCTION("""COMPUTED_VALUE"""),1000.0)</f>
        <v>1000</v>
      </c>
      <c r="H277" s="49"/>
      <c r="I277" s="49"/>
      <c r="J277" s="49"/>
      <c r="K277" s="49"/>
      <c r="L277" s="49"/>
      <c r="M277" s="49"/>
      <c r="N277" s="49"/>
      <c r="O277" s="49"/>
      <c r="P277" s="49"/>
      <c r="Q277" s="49"/>
      <c r="R277" s="49"/>
      <c r="S277" s="49"/>
      <c r="T277" s="49"/>
      <c r="U277" s="49"/>
      <c r="V277" s="49"/>
      <c r="W277" s="49"/>
      <c r="X277" s="49"/>
      <c r="Y277" s="49"/>
      <c r="Z277" s="49"/>
    </row>
    <row r="278">
      <c r="A278" s="49" t="str">
        <f>IFERROR(__xludf.DUMMYFUNCTION("""COMPUTED_VALUE"""),"Sword of Disorder")</f>
        <v>Sword of Disorder</v>
      </c>
      <c r="B278" s="49"/>
      <c r="C278" s="49" t="str">
        <f>IFERROR(__xludf.DUMMYFUNCTION("""COMPUTED_VALUE"""),"Sword")</f>
        <v>Sword</v>
      </c>
      <c r="D278" s="49" t="str">
        <f>IFERROR(__xludf.DUMMYFUNCTION("""COMPUTED_VALUE"""),"Hand")</f>
        <v>Hand</v>
      </c>
      <c r="E278" s="49">
        <f>IFERROR(__xludf.DUMMYFUNCTION("""COMPUTED_VALUE"""),1.0)</f>
        <v>1</v>
      </c>
      <c r="F278" s="49"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49">
        <f>IFERROR(__xludf.DUMMYFUNCTION("""COMPUTED_VALUE"""),0.0)</f>
        <v>0</v>
      </c>
      <c r="H278" s="49"/>
      <c r="I278" s="49"/>
      <c r="J278" s="49"/>
      <c r="K278" s="49"/>
      <c r="L278" s="49"/>
      <c r="M278" s="49"/>
      <c r="N278" s="49"/>
      <c r="O278" s="49"/>
      <c r="P278" s="49"/>
      <c r="Q278" s="49"/>
      <c r="R278" s="49"/>
      <c r="S278" s="49"/>
      <c r="T278" s="49"/>
      <c r="U278" s="49"/>
      <c r="V278" s="49"/>
      <c r="W278" s="49"/>
      <c r="X278" s="49"/>
      <c r="Y278" s="49"/>
      <c r="Z278" s="49"/>
    </row>
    <row r="279">
      <c r="A279" s="49" t="str">
        <f>IFERROR(__xludf.DUMMYFUNCTION("""COMPUTED_VALUE"""),"Sword Of Divine Flames")</f>
        <v>Sword Of Divine Flames</v>
      </c>
      <c r="B279" s="49"/>
      <c r="C279" s="49" t="str">
        <f>IFERROR(__xludf.DUMMYFUNCTION("""COMPUTED_VALUE"""),"Sword")</f>
        <v>Sword</v>
      </c>
      <c r="D279" s="49" t="str">
        <f>IFERROR(__xludf.DUMMYFUNCTION("""COMPUTED_VALUE"""),"Hand")</f>
        <v>Hand</v>
      </c>
      <c r="E279" s="49">
        <f>IFERROR(__xludf.DUMMYFUNCTION("""COMPUTED_VALUE"""),300.0)</f>
        <v>300</v>
      </c>
      <c r="F279" s="49"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49">
        <f>IFERROR(__xludf.DUMMYFUNCTION("""COMPUTED_VALUE"""),4350000.0)</f>
        <v>4350000</v>
      </c>
      <c r="H279" s="49"/>
      <c r="I279" s="49"/>
      <c r="J279" s="49"/>
      <c r="K279" s="49"/>
      <c r="L279" s="49"/>
      <c r="M279" s="49"/>
      <c r="N279" s="49"/>
      <c r="O279" s="49"/>
      <c r="P279" s="49"/>
      <c r="Q279" s="49"/>
      <c r="R279" s="49"/>
      <c r="S279" s="49"/>
      <c r="T279" s="49"/>
      <c r="U279" s="49"/>
      <c r="V279" s="49"/>
      <c r="W279" s="49"/>
      <c r="X279" s="49"/>
      <c r="Y279" s="49"/>
      <c r="Z279" s="49"/>
    </row>
    <row r="280">
      <c r="A280" s="49" t="str">
        <f>IFERROR(__xludf.DUMMYFUNCTION("""COMPUTED_VALUE"""),"Sword of Eternal darkness")</f>
        <v>Sword of Eternal darkness</v>
      </c>
      <c r="B280" s="49"/>
      <c r="C280" s="49" t="str">
        <f>IFERROR(__xludf.DUMMYFUNCTION("""COMPUTED_VALUE"""),"Sword")</f>
        <v>Sword</v>
      </c>
      <c r="D280" s="49" t="str">
        <f>IFERROR(__xludf.DUMMYFUNCTION("""COMPUTED_VALUE"""),"Hand")</f>
        <v>Hand</v>
      </c>
      <c r="E280" s="49">
        <f>IFERROR(__xludf.DUMMYFUNCTION("""COMPUTED_VALUE"""),30.0)</f>
        <v>30</v>
      </c>
      <c r="F280" s="49" t="str">
        <f>IFERROR(__xludf.DUMMYFUNCTION("""COMPUTED_VALUE"""),"DMG: +500, Dark DMG: +600")</f>
        <v>DMG: +500, Dark DMG: +600</v>
      </c>
      <c r="G280" s="49">
        <f>IFERROR(__xludf.DUMMYFUNCTION("""COMPUTED_VALUE"""),10000.0)</f>
        <v>10000</v>
      </c>
      <c r="H280" s="49"/>
      <c r="I280" s="49"/>
      <c r="J280" s="49"/>
      <c r="K280" s="49"/>
      <c r="L280" s="49"/>
      <c r="M280" s="49"/>
      <c r="N280" s="49"/>
      <c r="O280" s="49"/>
      <c r="P280" s="49"/>
      <c r="Q280" s="49"/>
      <c r="R280" s="49"/>
      <c r="S280" s="49"/>
      <c r="T280" s="49"/>
      <c r="U280" s="49"/>
      <c r="V280" s="49"/>
      <c r="W280" s="49"/>
      <c r="X280" s="49"/>
      <c r="Y280" s="49"/>
      <c r="Z280" s="49"/>
    </row>
    <row r="281">
      <c r="A281" s="49" t="str">
        <f>IFERROR(__xludf.DUMMYFUNCTION("""COMPUTED_VALUE"""),"Hela's Death Scythe")</f>
        <v>Hela's Death Scythe</v>
      </c>
      <c r="B281" s="49"/>
      <c r="C281" s="49" t="str">
        <f>IFERROR(__xludf.DUMMYFUNCTION("""COMPUTED_VALUE"""),"Scythe")</f>
        <v>Scythe</v>
      </c>
      <c r="D281" s="49" t="str">
        <f>IFERROR(__xludf.DUMMYFUNCTION("""COMPUTED_VALUE"""),"Hand")</f>
        <v>Hand</v>
      </c>
      <c r="E281" s="49">
        <f>IFERROR(__xludf.DUMMYFUNCTION("""COMPUTED_VALUE"""),1.0)</f>
        <v>1</v>
      </c>
      <c r="F281" s="49"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49">
        <f>IFERROR(__xludf.DUMMYFUNCTION("""COMPUTED_VALUE"""),0.0)</f>
        <v>0</v>
      </c>
      <c r="H281" s="49"/>
      <c r="I281" s="49"/>
      <c r="J281" s="49"/>
      <c r="K281" s="49"/>
      <c r="L281" s="49"/>
      <c r="M281" s="49"/>
      <c r="N281" s="49"/>
      <c r="O281" s="49"/>
      <c r="P281" s="49"/>
      <c r="Q281" s="49"/>
      <c r="R281" s="49"/>
      <c r="S281" s="49"/>
      <c r="T281" s="49"/>
      <c r="U281" s="49"/>
      <c r="V281" s="49"/>
      <c r="W281" s="49"/>
      <c r="X281" s="49"/>
      <c r="Y281" s="49"/>
      <c r="Z281" s="49"/>
    </row>
    <row r="282">
      <c r="A282" s="49" t="str">
        <f>IFERROR(__xludf.DUMMYFUNCTION("""COMPUTED_VALUE"""),"Sword of Nature’s Love")</f>
        <v>Sword of Nature’s Love</v>
      </c>
      <c r="B282" s="49"/>
      <c r="C282" s="49" t="str">
        <f>IFERROR(__xludf.DUMMYFUNCTION("""COMPUTED_VALUE"""),"Sword")</f>
        <v>Sword</v>
      </c>
      <c r="D282" s="49" t="str">
        <f>IFERROR(__xludf.DUMMYFUNCTION("""COMPUTED_VALUE"""),"Hand")</f>
        <v>Hand</v>
      </c>
      <c r="E282" s="49">
        <f>IFERROR(__xludf.DUMMYFUNCTION("""COMPUTED_VALUE"""),160.0)</f>
        <v>160</v>
      </c>
      <c r="F282" s="49"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49">
        <f>IFERROR(__xludf.DUMMYFUNCTION("""COMPUTED_VALUE"""),1200000.0)</f>
        <v>1200000</v>
      </c>
      <c r="H282" s="49"/>
      <c r="I282" s="49"/>
      <c r="J282" s="49"/>
      <c r="K282" s="49"/>
      <c r="L282" s="49"/>
      <c r="M282" s="49"/>
      <c r="N282" s="49"/>
      <c r="O282" s="49"/>
      <c r="P282" s="49"/>
      <c r="Q282" s="49"/>
      <c r="R282" s="49"/>
      <c r="S282" s="49"/>
      <c r="T282" s="49"/>
      <c r="U282" s="49"/>
      <c r="V282" s="49"/>
      <c r="W282" s="49"/>
      <c r="X282" s="49"/>
      <c r="Y282" s="49"/>
      <c r="Z282" s="49"/>
    </row>
    <row r="283">
      <c r="A283" s="49" t="str">
        <f>IFERROR(__xludf.DUMMYFUNCTION("""COMPUTED_VALUE"""),"Sword of Shadows")</f>
        <v>Sword of Shadows</v>
      </c>
      <c r="B283" s="49"/>
      <c r="C283" s="49" t="str">
        <f>IFERROR(__xludf.DUMMYFUNCTION("""COMPUTED_VALUE"""),"Sword")</f>
        <v>Sword</v>
      </c>
      <c r="D283" s="49" t="str">
        <f>IFERROR(__xludf.DUMMYFUNCTION("""COMPUTED_VALUE"""),"Hand")</f>
        <v>Hand</v>
      </c>
      <c r="E283" s="49">
        <f>IFERROR(__xludf.DUMMYFUNCTION("""COMPUTED_VALUE"""),30.0)</f>
        <v>30</v>
      </c>
      <c r="F283" s="49" t="str">
        <f>IFERROR(__xludf.DUMMYFUNCTION("""COMPUTED_VALUE"""),"DMG: +1000, Dark DMG: +500")</f>
        <v>DMG: +1000, Dark DMG: +500</v>
      </c>
      <c r="G283" s="49">
        <f>IFERROR(__xludf.DUMMYFUNCTION("""COMPUTED_VALUE"""),30000.0)</f>
        <v>30000</v>
      </c>
      <c r="H283" s="49"/>
      <c r="I283" s="49"/>
      <c r="J283" s="49"/>
      <c r="K283" s="49"/>
      <c r="L283" s="49"/>
      <c r="M283" s="49"/>
      <c r="N283" s="49"/>
      <c r="O283" s="49"/>
      <c r="P283" s="49"/>
      <c r="Q283" s="49"/>
      <c r="R283" s="49"/>
      <c r="S283" s="49"/>
      <c r="T283" s="49"/>
      <c r="U283" s="49"/>
      <c r="V283" s="49"/>
      <c r="W283" s="49"/>
      <c r="X283" s="49"/>
      <c r="Y283" s="49"/>
      <c r="Z283" s="49"/>
    </row>
    <row r="284">
      <c r="A284" s="49" t="str">
        <f>IFERROR(__xludf.DUMMYFUNCTION("""COMPUTED_VALUE"""),"Sword of Steel")</f>
        <v>Sword of Steel</v>
      </c>
      <c r="B284" s="49"/>
      <c r="C284" s="49" t="str">
        <f>IFERROR(__xludf.DUMMYFUNCTION("""COMPUTED_VALUE"""),"Sword")</f>
        <v>Sword</v>
      </c>
      <c r="D284" s="49" t="str">
        <f>IFERROR(__xludf.DUMMYFUNCTION("""COMPUTED_VALUE"""),"Hand")</f>
        <v>Hand</v>
      </c>
      <c r="E284" s="49">
        <f>IFERROR(__xludf.DUMMYFUNCTION("""COMPUTED_VALUE"""),1.0)</f>
        <v>1</v>
      </c>
      <c r="F284" s="49" t="str">
        <f>IFERROR(__xludf.DUMMYFUNCTION("""COMPUTED_VALUE"""),"DMG: +300")</f>
        <v>DMG: +300</v>
      </c>
      <c r="G284" s="49">
        <f>IFERROR(__xludf.DUMMYFUNCTION("""COMPUTED_VALUE"""),0.0)</f>
        <v>0</v>
      </c>
      <c r="H284" s="49"/>
      <c r="I284" s="49"/>
      <c r="J284" s="49"/>
      <c r="K284" s="49"/>
      <c r="L284" s="49"/>
      <c r="M284" s="49"/>
      <c r="N284" s="49"/>
      <c r="O284" s="49"/>
      <c r="P284" s="49"/>
      <c r="Q284" s="49"/>
      <c r="R284" s="49"/>
      <c r="S284" s="49"/>
      <c r="T284" s="49"/>
      <c r="U284" s="49"/>
      <c r="V284" s="49"/>
      <c r="W284" s="49"/>
      <c r="X284" s="49"/>
      <c r="Y284" s="49"/>
      <c r="Z284" s="49"/>
    </row>
    <row r="285">
      <c r="A285" s="49" t="str">
        <f>IFERROR(__xludf.DUMMYFUNCTION("""COMPUTED_VALUE"""),"Sword of The Abyss")</f>
        <v>Sword of The Abyss</v>
      </c>
      <c r="B285" s="49"/>
      <c r="C285" s="49" t="str">
        <f>IFERROR(__xludf.DUMMYFUNCTION("""COMPUTED_VALUE"""),"Sword")</f>
        <v>Sword</v>
      </c>
      <c r="D285" s="49" t="str">
        <f>IFERROR(__xludf.DUMMYFUNCTION("""COMPUTED_VALUE"""),"Hand")</f>
        <v>Hand</v>
      </c>
      <c r="E285" s="49">
        <f>IFERROR(__xludf.DUMMYFUNCTION("""COMPUTED_VALUE"""),260.0)</f>
        <v>260</v>
      </c>
      <c r="F285" s="49" t="str">
        <f>IFERROR(__xludf.DUMMYFUNCTION("""COMPUTED_VALUE"""),"DMG: +8000, Dark DMG: +5000 ++Abyss Embodiment - dark damage is increased by X2 for the user.")</f>
        <v>DMG: +8000, Dark DMG: +5000 ++Abyss Embodiment - dark damage is increased by X2 for the user.</v>
      </c>
      <c r="G285" s="49">
        <f>IFERROR(__xludf.DUMMYFUNCTION("""COMPUTED_VALUE"""),3250000.0)</f>
        <v>3250000</v>
      </c>
      <c r="H285" s="49"/>
      <c r="I285" s="49"/>
      <c r="J285" s="49"/>
      <c r="K285" s="49"/>
      <c r="L285" s="49"/>
      <c r="M285" s="49"/>
      <c r="N285" s="49"/>
      <c r="O285" s="49"/>
      <c r="P285" s="49"/>
      <c r="Q285" s="49"/>
      <c r="R285" s="49"/>
      <c r="S285" s="49"/>
      <c r="T285" s="49"/>
      <c r="U285" s="49"/>
      <c r="V285" s="49"/>
      <c r="W285" s="49"/>
      <c r="X285" s="49"/>
      <c r="Y285" s="49"/>
      <c r="Z285" s="49"/>
    </row>
    <row r="286">
      <c r="A286" s="49" t="str">
        <f>IFERROR(__xludf.DUMMYFUNCTION("""COMPUTED_VALUE"""),"Sword of The Ancient Fire Serpent")</f>
        <v>Sword of The Ancient Fire Serpent</v>
      </c>
      <c r="B286" s="49"/>
      <c r="C286" s="49" t="str">
        <f>IFERROR(__xludf.DUMMYFUNCTION("""COMPUTED_VALUE"""),"Sword")</f>
        <v>Sword</v>
      </c>
      <c r="D286" s="49" t="str">
        <f>IFERROR(__xludf.DUMMYFUNCTION("""COMPUTED_VALUE"""),"Hand")</f>
        <v>Hand</v>
      </c>
      <c r="E286" s="49">
        <f>IFERROR(__xludf.DUMMYFUNCTION("""COMPUTED_VALUE"""),2000.0)</f>
        <v>2000</v>
      </c>
      <c r="F286" s="49"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49">
        <f>IFERROR(__xludf.DUMMYFUNCTION("""COMPUTED_VALUE"""),1.99E8)</f>
        <v>199000000</v>
      </c>
      <c r="H286" s="49"/>
      <c r="I286" s="49"/>
      <c r="J286" s="49"/>
      <c r="K286" s="49"/>
      <c r="L286" s="49"/>
      <c r="M286" s="49"/>
      <c r="N286" s="49"/>
      <c r="O286" s="49"/>
      <c r="P286" s="49"/>
      <c r="Q286" s="49"/>
      <c r="R286" s="49"/>
      <c r="S286" s="49"/>
      <c r="T286" s="49"/>
      <c r="U286" s="49"/>
      <c r="V286" s="49"/>
      <c r="W286" s="49"/>
      <c r="X286" s="49"/>
      <c r="Y286" s="49"/>
      <c r="Z286" s="49"/>
    </row>
    <row r="287">
      <c r="A287" s="49" t="str">
        <f>IFERROR(__xludf.DUMMYFUNCTION("""COMPUTED_VALUE"""),"Sword of The Burning Forest")</f>
        <v>Sword of The Burning Forest</v>
      </c>
      <c r="B287" s="49" t="str">
        <f>IFERROR(__xludf.DUMMYFUNCTION("""COMPUTED_VALUE"""),"A sword forged by mekana to obliterate natural environments.")</f>
        <v>A sword forged by mekana to obliterate natural environments.</v>
      </c>
      <c r="C287" s="49" t="str">
        <f>IFERROR(__xludf.DUMMYFUNCTION("""COMPUTED_VALUE"""),"Sword")</f>
        <v>Sword</v>
      </c>
      <c r="D287" s="49" t="str">
        <f>IFERROR(__xludf.DUMMYFUNCTION("""COMPUTED_VALUE"""),"Hand")</f>
        <v>Hand</v>
      </c>
      <c r="E287" s="49">
        <f>IFERROR(__xludf.DUMMYFUNCTION("""COMPUTED_VALUE"""),600.0)</f>
        <v>600</v>
      </c>
      <c r="F287" s="49" t="str">
        <f>IFERROR(__xludf.DUMMYFUNCTION("""COMPUTED_VALUE"""),"DMG: +20000, Fire DMG: +10000 ++Forest Fire- Burn 10,000, x4 fire damage while in a natural environment.")</f>
        <v>DMG: +20000, Fire DMG: +10000 ++Forest Fire- Burn 10,000, x4 fire damage while in a natural environment.</v>
      </c>
      <c r="G287" s="49">
        <f>IFERROR(__xludf.DUMMYFUNCTION("""COMPUTED_VALUE"""),1.77E7)</f>
        <v>17700000</v>
      </c>
      <c r="H287" s="49"/>
      <c r="I287" s="49"/>
      <c r="J287" s="49"/>
      <c r="K287" s="49"/>
      <c r="L287" s="49"/>
      <c r="M287" s="49"/>
      <c r="N287" s="49"/>
      <c r="O287" s="49"/>
      <c r="P287" s="49"/>
      <c r="Q287" s="49"/>
      <c r="R287" s="49"/>
      <c r="S287" s="49"/>
      <c r="T287" s="49"/>
      <c r="U287" s="49"/>
      <c r="V287" s="49"/>
      <c r="W287" s="49"/>
      <c r="X287" s="49"/>
      <c r="Y287" s="49"/>
      <c r="Z287" s="49"/>
    </row>
    <row r="288">
      <c r="A288" s="49" t="str">
        <f>IFERROR(__xludf.DUMMYFUNCTION("""COMPUTED_VALUE"""),"Sword of The Crystal Chosen")</f>
        <v>Sword of The Crystal Chosen</v>
      </c>
      <c r="B288" s="49"/>
      <c r="C288" s="49" t="str">
        <f>IFERROR(__xludf.DUMMYFUNCTION("""COMPUTED_VALUE"""),"Sword")</f>
        <v>Sword</v>
      </c>
      <c r="D288" s="49" t="str">
        <f>IFERROR(__xludf.DUMMYFUNCTION("""COMPUTED_VALUE"""),"Hand")</f>
        <v>Hand</v>
      </c>
      <c r="E288" s="49">
        <f>IFERROR(__xludf.DUMMYFUNCTION("""COMPUTED_VALUE"""),400.0)</f>
        <v>400</v>
      </c>
      <c r="F288" s="49"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49">
        <f>IFERROR(__xludf.DUMMYFUNCTION("""COMPUTED_VALUE"""),7800000.0)</f>
        <v>7800000</v>
      </c>
      <c r="H288" s="49"/>
      <c r="I288" s="49"/>
      <c r="J288" s="49"/>
      <c r="K288" s="49"/>
      <c r="L288" s="49"/>
      <c r="M288" s="49"/>
      <c r="N288" s="49"/>
      <c r="O288" s="49"/>
      <c r="P288" s="49"/>
      <c r="Q288" s="49"/>
      <c r="R288" s="49"/>
      <c r="S288" s="49"/>
      <c r="T288" s="49"/>
      <c r="U288" s="49"/>
      <c r="V288" s="49"/>
      <c r="W288" s="49"/>
      <c r="X288" s="49"/>
      <c r="Y288" s="49"/>
      <c r="Z288" s="49"/>
    </row>
    <row r="289">
      <c r="A289" s="49" t="str">
        <f>IFERROR(__xludf.DUMMYFUNCTION("""COMPUTED_VALUE"""),"Sword Of The Cursed Naga")</f>
        <v>Sword Of The Cursed Naga</v>
      </c>
      <c r="B289" s="49"/>
      <c r="C289" s="49" t="str">
        <f>IFERROR(__xludf.DUMMYFUNCTION("""COMPUTED_VALUE"""),"Sword")</f>
        <v>Sword</v>
      </c>
      <c r="D289" s="49" t="str">
        <f>IFERROR(__xludf.DUMMYFUNCTION("""COMPUTED_VALUE"""),"Hand")</f>
        <v>Hand</v>
      </c>
      <c r="E289" s="49">
        <f>IFERROR(__xludf.DUMMYFUNCTION("""COMPUTED_VALUE"""),200.0)</f>
        <v>200</v>
      </c>
      <c r="F289" s="49"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49">
        <f>IFERROR(__xludf.DUMMYFUNCTION("""COMPUTED_VALUE"""),2.868E8)</f>
        <v>286800000</v>
      </c>
      <c r="H289" s="49"/>
      <c r="I289" s="49"/>
      <c r="J289" s="49"/>
      <c r="K289" s="49"/>
      <c r="L289" s="49"/>
      <c r="M289" s="49"/>
      <c r="N289" s="49"/>
      <c r="O289" s="49"/>
      <c r="P289" s="49"/>
      <c r="Q289" s="49"/>
      <c r="R289" s="49"/>
      <c r="S289" s="49"/>
      <c r="T289" s="49"/>
      <c r="U289" s="49"/>
      <c r="V289" s="49"/>
      <c r="W289" s="49"/>
      <c r="X289" s="49"/>
      <c r="Y289" s="49"/>
      <c r="Z289" s="49"/>
    </row>
    <row r="290">
      <c r="A290" s="49" t="str">
        <f>IFERROR(__xludf.DUMMYFUNCTION("""COMPUTED_VALUE"""),"Sword Of The Dragons Blood")</f>
        <v>Sword Of The Dragons Blood</v>
      </c>
      <c r="B290" s="49"/>
      <c r="C290" s="49" t="str">
        <f>IFERROR(__xludf.DUMMYFUNCTION("""COMPUTED_VALUE"""),"Sword")</f>
        <v>Sword</v>
      </c>
      <c r="D290" s="49" t="str">
        <f>IFERROR(__xludf.DUMMYFUNCTION("""COMPUTED_VALUE"""),"Hand")</f>
        <v>Hand</v>
      </c>
      <c r="E290" s="49">
        <f>IFERROR(__xludf.DUMMYFUNCTION("""COMPUTED_VALUE"""),1500.0)</f>
        <v>1500</v>
      </c>
      <c r="F290" s="49" t="str">
        <f>IFERROR(__xludf.DUMMYFUNCTION("""COMPUTED_VALUE"""),"DMG: +50000, Blood DMG: +25000 ++Burning Blood: Upon a successful hit; 5000 bleed and burn until the enemy dies.")</f>
        <v>DMG: +50000, Blood DMG: +25000 ++Burning Blood: Upon a successful hit; 5000 bleed and burn until the enemy dies.</v>
      </c>
      <c r="G290" s="49">
        <f>IFERROR(__xludf.DUMMYFUNCTION("""COMPUTED_VALUE"""),1.1175E8)</f>
        <v>111750000</v>
      </c>
      <c r="H290" s="49"/>
      <c r="I290" s="49"/>
      <c r="J290" s="49"/>
      <c r="K290" s="49"/>
      <c r="L290" s="49"/>
      <c r="M290" s="49"/>
      <c r="N290" s="49"/>
      <c r="O290" s="49"/>
      <c r="P290" s="49"/>
      <c r="Q290" s="49"/>
      <c r="R290" s="49"/>
      <c r="S290" s="49"/>
      <c r="T290" s="49"/>
      <c r="U290" s="49"/>
      <c r="V290" s="49"/>
      <c r="W290" s="49"/>
      <c r="X290" s="49"/>
      <c r="Y290" s="49"/>
      <c r="Z290" s="49"/>
    </row>
    <row r="291">
      <c r="A291" s="49" t="str">
        <f>IFERROR(__xludf.DUMMYFUNCTION("""COMPUTED_VALUE"""),"Sword of The Haunted Mansion")</f>
        <v>Sword of The Haunted Mansion</v>
      </c>
      <c r="B291" s="49" t="str">
        <f>IFERROR(__xludf.DUMMYFUNCTION("""COMPUTED_VALUE"""),"Halloween exclusive")</f>
        <v>Halloween exclusive</v>
      </c>
      <c r="C291" s="49" t="str">
        <f>IFERROR(__xludf.DUMMYFUNCTION("""COMPUTED_VALUE"""),"Sword")</f>
        <v>Sword</v>
      </c>
      <c r="D291" s="49" t="str">
        <f>IFERROR(__xludf.DUMMYFUNCTION("""COMPUTED_VALUE"""),"Hand")</f>
        <v>Hand</v>
      </c>
      <c r="E291" s="49">
        <f>IFERROR(__xludf.DUMMYFUNCTION("""COMPUTED_VALUE"""),200.0)</f>
        <v>200</v>
      </c>
      <c r="F291" s="49"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49">
        <f>IFERROR(__xludf.DUMMYFUNCTION("""COMPUTED_VALUE"""),1.99E8)</f>
        <v>199000000</v>
      </c>
      <c r="H291" s="49"/>
      <c r="I291" s="49"/>
      <c r="J291" s="49"/>
      <c r="K291" s="49"/>
      <c r="L291" s="49"/>
      <c r="M291" s="49"/>
      <c r="N291" s="49"/>
      <c r="O291" s="49"/>
      <c r="P291" s="49"/>
      <c r="Q291" s="49"/>
      <c r="R291" s="49"/>
      <c r="S291" s="49"/>
      <c r="T291" s="49"/>
      <c r="U291" s="49"/>
      <c r="V291" s="49"/>
      <c r="W291" s="49"/>
      <c r="X291" s="49"/>
      <c r="Y291" s="49"/>
      <c r="Z291" s="49"/>
    </row>
    <row r="292">
      <c r="A292" s="49" t="str">
        <f>IFERROR(__xludf.DUMMYFUNCTION("""COMPUTED_VALUE"""),"Sword Of The Honorable Samurai")</f>
        <v>Sword Of The Honorable Samurai</v>
      </c>
      <c r="B292" s="49"/>
      <c r="C292" s="49" t="str">
        <f>IFERROR(__xludf.DUMMYFUNCTION("""COMPUTED_VALUE"""),"Sword")</f>
        <v>Sword</v>
      </c>
      <c r="D292" s="49" t="str">
        <f>IFERROR(__xludf.DUMMYFUNCTION("""COMPUTED_VALUE"""),"Hand")</f>
        <v>Hand</v>
      </c>
      <c r="E292" s="49">
        <f>IFERROR(__xludf.DUMMYFUNCTION("""COMPUTED_VALUE"""),400.0)</f>
        <v>400</v>
      </c>
      <c r="F292" s="49" t="str">
        <f>IFERROR(__xludf.DUMMYFUNCTION("""COMPUTED_VALUE"""),"DMG: +10000, Light DMG: +5000, Order DMG: +5000")</f>
        <v>DMG: +10000, Light DMG: +5000, Order DMG: +5000</v>
      </c>
      <c r="G292" s="49">
        <f>IFERROR(__xludf.DUMMYFUNCTION("""COMPUTED_VALUE"""),7800000.0)</f>
        <v>7800000</v>
      </c>
      <c r="H292" s="49"/>
      <c r="I292" s="49"/>
      <c r="J292" s="49"/>
      <c r="K292" s="49"/>
      <c r="L292" s="49"/>
      <c r="M292" s="49"/>
      <c r="N292" s="49"/>
      <c r="O292" s="49"/>
      <c r="P292" s="49"/>
      <c r="Q292" s="49"/>
      <c r="R292" s="49"/>
      <c r="S292" s="49"/>
      <c r="T292" s="49"/>
      <c r="U292" s="49"/>
      <c r="V292" s="49"/>
      <c r="W292" s="49"/>
      <c r="X292" s="49"/>
      <c r="Y292" s="49"/>
      <c r="Z292" s="49"/>
    </row>
    <row r="293">
      <c r="A293" s="49" t="str">
        <f>IFERROR(__xludf.DUMMYFUNCTION("""COMPUTED_VALUE"""),"Sword of The Crystal King")</f>
        <v>Sword of The Crystal King</v>
      </c>
      <c r="B293" s="49"/>
      <c r="C293" s="49" t="str">
        <f>IFERROR(__xludf.DUMMYFUNCTION("""COMPUTED_VALUE"""),"Sword")</f>
        <v>Sword</v>
      </c>
      <c r="D293" s="49" t="str">
        <f>IFERROR(__xludf.DUMMYFUNCTION("""COMPUTED_VALUE"""),"Hand")</f>
        <v>Hand</v>
      </c>
      <c r="E293" s="49">
        <f>IFERROR(__xludf.DUMMYFUNCTION("""COMPUTED_VALUE"""),200.0)</f>
        <v>200</v>
      </c>
      <c r="F293" s="49"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49">
        <f>IFERROR(__xludf.DUMMYFUNCTION("""COMPUTED_VALUE"""),4.95E7)</f>
        <v>49500000</v>
      </c>
      <c r="H293" s="49"/>
      <c r="I293" s="49"/>
      <c r="J293" s="49"/>
      <c r="K293" s="49"/>
      <c r="L293" s="49"/>
      <c r="M293" s="49"/>
      <c r="N293" s="49"/>
      <c r="O293" s="49"/>
      <c r="P293" s="49"/>
      <c r="Q293" s="49"/>
      <c r="R293" s="49"/>
      <c r="S293" s="49"/>
      <c r="T293" s="49"/>
      <c r="U293" s="49"/>
      <c r="V293" s="49"/>
      <c r="W293" s="49"/>
      <c r="X293" s="49"/>
      <c r="Y293" s="49"/>
      <c r="Z293" s="49"/>
    </row>
    <row r="294">
      <c r="A294" s="49" t="str">
        <f>IFERROR(__xludf.DUMMYFUNCTION("""COMPUTED_VALUE"""),"Sword of The Many Heroes")</f>
        <v>Sword of The Many Heroes</v>
      </c>
      <c r="B294" s="49"/>
      <c r="C294" s="49" t="str">
        <f>IFERROR(__xludf.DUMMYFUNCTION("""COMPUTED_VALUE"""),"Sword")</f>
        <v>Sword</v>
      </c>
      <c r="D294" s="49" t="str">
        <f>IFERROR(__xludf.DUMMYFUNCTION("""COMPUTED_VALUE"""),"Hand")</f>
        <v>Hand</v>
      </c>
      <c r="E294" s="49">
        <f>IFERROR(__xludf.DUMMYFUNCTION("""COMPUTED_VALUE"""),200.0)</f>
        <v>200</v>
      </c>
      <c r="F294" s="49"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49">
        <f>IFERROR(__xludf.DUMMYFUNCTION("""COMPUTED_VALUE"""),7.194E9)</f>
        <v>7194000000</v>
      </c>
      <c r="H294" s="49"/>
      <c r="I294" s="49"/>
      <c r="J294" s="49"/>
      <c r="K294" s="49"/>
      <c r="L294" s="49"/>
      <c r="M294" s="49"/>
      <c r="N294" s="49"/>
      <c r="O294" s="49"/>
      <c r="P294" s="49"/>
      <c r="Q294" s="49"/>
      <c r="R294" s="49"/>
      <c r="S294" s="49"/>
      <c r="T294" s="49"/>
      <c r="U294" s="49"/>
      <c r="V294" s="49"/>
      <c r="W294" s="49"/>
      <c r="X294" s="49"/>
      <c r="Y294" s="49"/>
      <c r="Z294" s="49"/>
    </row>
    <row r="295">
      <c r="A295" s="49" t="str">
        <f>IFERROR(__xludf.DUMMYFUNCTION("""COMPUTED_VALUE"""),"Sword Of The Reaper")</f>
        <v>Sword Of The Reaper</v>
      </c>
      <c r="B295" s="49"/>
      <c r="C295" s="49" t="str">
        <f>IFERROR(__xludf.DUMMYFUNCTION("""COMPUTED_VALUE"""),"Sword")</f>
        <v>Sword</v>
      </c>
      <c r="D295" s="49" t="str">
        <f>IFERROR(__xludf.DUMMYFUNCTION("""COMPUTED_VALUE"""),"Hand")</f>
        <v>Hand</v>
      </c>
      <c r="E295" s="49">
        <f>IFERROR(__xludf.DUMMYFUNCTION("""COMPUTED_VALUE"""),200.0)</f>
        <v>200</v>
      </c>
      <c r="F295" s="49"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49">
        <f>IFERROR(__xludf.DUMMYFUNCTION("""COMPUTED_VALUE"""),660000.0)</f>
        <v>660000</v>
      </c>
      <c r="H295" s="49"/>
      <c r="I295" s="49"/>
      <c r="J295" s="49"/>
      <c r="K295" s="49"/>
      <c r="L295" s="49"/>
      <c r="M295" s="49"/>
      <c r="N295" s="49"/>
      <c r="O295" s="49"/>
      <c r="P295" s="49"/>
      <c r="Q295" s="49"/>
      <c r="R295" s="49"/>
      <c r="S295" s="49"/>
      <c r="T295" s="49"/>
      <c r="U295" s="49"/>
      <c r="V295" s="49"/>
      <c r="W295" s="49"/>
      <c r="X295" s="49"/>
      <c r="Y295" s="49"/>
      <c r="Z295" s="49"/>
    </row>
    <row r="296">
      <c r="A296" s="49" t="str">
        <f>IFERROR(__xludf.DUMMYFUNCTION("""COMPUTED_VALUE"""),"Sword of The Sea Serpent")</f>
        <v>Sword of The Sea Serpent</v>
      </c>
      <c r="B296" s="49"/>
      <c r="C296" s="49" t="str">
        <f>IFERROR(__xludf.DUMMYFUNCTION("""COMPUTED_VALUE"""),"Sword")</f>
        <v>Sword</v>
      </c>
      <c r="D296" s="49" t="str">
        <f>IFERROR(__xludf.DUMMYFUNCTION("""COMPUTED_VALUE"""),"Hand")</f>
        <v>Hand</v>
      </c>
      <c r="E296" s="49">
        <f>IFERROR(__xludf.DUMMYFUNCTION("""COMPUTED_VALUE"""),400.0)</f>
        <v>400</v>
      </c>
      <c r="F296" s="49"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49">
        <f>IFERROR(__xludf.DUMMYFUNCTION("""COMPUTED_VALUE"""),7800000.0)</f>
        <v>7800000</v>
      </c>
      <c r="H296" s="49"/>
      <c r="I296" s="49"/>
      <c r="J296" s="49"/>
      <c r="K296" s="49"/>
      <c r="L296" s="49"/>
      <c r="M296" s="49"/>
      <c r="N296" s="49"/>
      <c r="O296" s="49"/>
      <c r="P296" s="49"/>
      <c r="Q296" s="49"/>
      <c r="R296" s="49"/>
      <c r="S296" s="49"/>
      <c r="T296" s="49"/>
      <c r="U296" s="49"/>
      <c r="V296" s="49"/>
      <c r="W296" s="49"/>
      <c r="X296" s="49"/>
      <c r="Y296" s="49"/>
      <c r="Z296" s="49"/>
    </row>
    <row r="297">
      <c r="A297" s="49" t="str">
        <f>IFERROR(__xludf.DUMMYFUNCTION("""COMPUTED_VALUE"""),"Sword of the Vampire’s Lust")</f>
        <v>Sword of the Vampire’s Lust</v>
      </c>
      <c r="B297" s="49"/>
      <c r="C297" s="49" t="str">
        <f>IFERROR(__xludf.DUMMYFUNCTION("""COMPUTED_VALUE"""),"Sword")</f>
        <v>Sword</v>
      </c>
      <c r="D297" s="49" t="str">
        <f>IFERROR(__xludf.DUMMYFUNCTION("""COMPUTED_VALUE"""),"Hand")</f>
        <v>Hand</v>
      </c>
      <c r="E297" s="49">
        <f>IFERROR(__xludf.DUMMYFUNCTION("""COMPUTED_VALUE"""),800.0)</f>
        <v>800</v>
      </c>
      <c r="F297" s="49"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49">
        <f>IFERROR(__xludf.DUMMYFUNCTION("""COMPUTED_VALUE"""),3.16E7)</f>
        <v>31600000</v>
      </c>
      <c r="H297" s="49"/>
      <c r="I297" s="49"/>
      <c r="J297" s="49"/>
      <c r="K297" s="49"/>
      <c r="L297" s="49"/>
      <c r="M297" s="49"/>
      <c r="N297" s="49"/>
      <c r="O297" s="49"/>
      <c r="P297" s="49"/>
      <c r="Q297" s="49"/>
      <c r="R297" s="49"/>
      <c r="S297" s="49"/>
      <c r="T297" s="49"/>
      <c r="U297" s="49"/>
      <c r="V297" s="49"/>
      <c r="W297" s="49"/>
      <c r="X297" s="49"/>
      <c r="Y297" s="49"/>
      <c r="Z297" s="49"/>
    </row>
    <row r="298">
      <c r="A298" s="49" t="str">
        <f>IFERROR(__xludf.DUMMYFUNCTION("""COMPUTED_VALUE"""),"Sword of The Waking Waters")</f>
        <v>Sword of The Waking Waters</v>
      </c>
      <c r="B298" s="49"/>
      <c r="C298" s="49" t="str">
        <f>IFERROR(__xludf.DUMMYFUNCTION("""COMPUTED_VALUE"""),"Sword")</f>
        <v>Sword</v>
      </c>
      <c r="D298" s="49" t="str">
        <f>IFERROR(__xludf.DUMMYFUNCTION("""COMPUTED_VALUE"""),"Hand")</f>
        <v>Hand</v>
      </c>
      <c r="E298" s="49">
        <f>IFERROR(__xludf.DUMMYFUNCTION("""COMPUTED_VALUE"""),800.0)</f>
        <v>800</v>
      </c>
      <c r="F298" s="49"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49">
        <f>IFERROR(__xludf.DUMMYFUNCTION("""COMPUTED_VALUE"""),3.16E7)</f>
        <v>31600000</v>
      </c>
      <c r="H298" s="49"/>
      <c r="I298" s="49"/>
      <c r="J298" s="49"/>
      <c r="K298" s="49"/>
      <c r="L298" s="49"/>
      <c r="M298" s="49"/>
      <c r="N298" s="49"/>
      <c r="O298" s="49"/>
      <c r="P298" s="49"/>
      <c r="Q298" s="49"/>
      <c r="R298" s="49"/>
      <c r="S298" s="49"/>
      <c r="T298" s="49"/>
      <c r="U298" s="49"/>
      <c r="V298" s="49"/>
      <c r="W298" s="49"/>
      <c r="X298" s="49"/>
      <c r="Y298" s="49"/>
      <c r="Z298" s="49"/>
    </row>
    <row r="299">
      <c r="A299" s="49" t="str">
        <f>IFERROR(__xludf.DUMMYFUNCTION("""COMPUTED_VALUE"""),"Sword of the Wicked")</f>
        <v>Sword of the Wicked</v>
      </c>
      <c r="B299" s="49"/>
      <c r="C299" s="49" t="str">
        <f>IFERROR(__xludf.DUMMYFUNCTION("""COMPUTED_VALUE"""),"Sword")</f>
        <v>Sword</v>
      </c>
      <c r="D299" s="49" t="str">
        <f>IFERROR(__xludf.DUMMYFUNCTION("""COMPUTED_VALUE"""),"Hand")</f>
        <v>Hand</v>
      </c>
      <c r="E299" s="49">
        <f>IFERROR(__xludf.DUMMYFUNCTION("""COMPUTED_VALUE"""),50.0)</f>
        <v>50</v>
      </c>
      <c r="F299" s="49" t="str">
        <f>IFERROR(__xludf.DUMMYFUNCTION("""COMPUTED_VALUE"""),"DMG: +700, Dark DMG: +900, Chaos DMG: +900")</f>
        <v>DMG: +700, Dark DMG: +900, Chaos DMG: +900</v>
      </c>
      <c r="G299" s="49">
        <f>IFERROR(__xludf.DUMMYFUNCTION("""COMPUTED_VALUE"""),100000.0)</f>
        <v>100000</v>
      </c>
      <c r="H299" s="49"/>
      <c r="I299" s="49"/>
      <c r="J299" s="49"/>
      <c r="K299" s="49"/>
      <c r="L299" s="49"/>
      <c r="M299" s="49"/>
      <c r="N299" s="49"/>
      <c r="O299" s="49"/>
      <c r="P299" s="49"/>
      <c r="Q299" s="49"/>
      <c r="R299" s="49"/>
      <c r="S299" s="49"/>
      <c r="T299" s="49"/>
      <c r="U299" s="49"/>
      <c r="V299" s="49"/>
      <c r="W299" s="49"/>
      <c r="X299" s="49"/>
      <c r="Y299" s="49"/>
      <c r="Z299" s="49"/>
    </row>
    <row r="300">
      <c r="A300" s="49" t="str">
        <f>IFERROR(__xludf.DUMMYFUNCTION("""COMPUTED_VALUE"""),"Sword Of Tritonoch")</f>
        <v>Sword Of Tritonoch</v>
      </c>
      <c r="B300" s="49"/>
      <c r="C300" s="49" t="str">
        <f>IFERROR(__xludf.DUMMYFUNCTION("""COMPUTED_VALUE"""),"Sword")</f>
        <v>Sword</v>
      </c>
      <c r="D300" s="49" t="str">
        <f>IFERROR(__xludf.DUMMYFUNCTION("""COMPUTED_VALUE"""),"Hand")</f>
        <v>Hand</v>
      </c>
      <c r="E300" s="49">
        <f>IFERROR(__xludf.DUMMYFUNCTION("""COMPUTED_VALUE"""),800.0)</f>
        <v>800</v>
      </c>
      <c r="F300" s="49"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49">
        <f>IFERROR(__xludf.DUMMYFUNCTION("""COMPUTED_VALUE"""),3.16E7)</f>
        <v>31600000</v>
      </c>
      <c r="H300" s="49"/>
      <c r="I300" s="49"/>
      <c r="J300" s="49"/>
      <c r="K300" s="49"/>
      <c r="L300" s="49"/>
      <c r="M300" s="49"/>
      <c r="N300" s="49"/>
      <c r="O300" s="49"/>
      <c r="P300" s="49"/>
      <c r="Q300" s="49"/>
      <c r="R300" s="49"/>
      <c r="S300" s="49"/>
      <c r="T300" s="49"/>
      <c r="U300" s="49"/>
      <c r="V300" s="49"/>
      <c r="W300" s="49"/>
      <c r="X300" s="49"/>
      <c r="Y300" s="49"/>
      <c r="Z300" s="49"/>
    </row>
    <row r="301">
      <c r="A301" s="49" t="str">
        <f>IFERROR(__xludf.DUMMYFUNCTION("""COMPUTED_VALUE"""),"Tentacle")</f>
        <v>Tentacle</v>
      </c>
      <c r="B301" s="49"/>
      <c r="C301" s="49" t="str">
        <f>IFERROR(__xludf.DUMMYFUNCTION("""COMPUTED_VALUE"""),"Claw")</f>
        <v>Claw</v>
      </c>
      <c r="D301" s="49" t="str">
        <f>IFERROR(__xludf.DUMMYFUNCTION("""COMPUTED_VALUE"""),"Hand")</f>
        <v>Hand</v>
      </c>
      <c r="E301" s="49">
        <f>IFERROR(__xludf.DUMMYFUNCTION("""COMPUTED_VALUE"""),30.0)</f>
        <v>30</v>
      </c>
      <c r="F301" s="49" t="str">
        <f>IFERROR(__xludf.DUMMYFUNCTION("""COMPUTED_VALUE"""),"DMG: +1000, Water DMG: +500 ++10% chance to remove target from battle")</f>
        <v>DMG: +1000, Water DMG: +500 ++10% chance to remove target from battle</v>
      </c>
      <c r="G301" s="49">
        <f>IFERROR(__xludf.DUMMYFUNCTION("""COMPUTED_VALUE"""),30000.0)</f>
        <v>30000</v>
      </c>
      <c r="H301" s="49"/>
      <c r="I301" s="49"/>
      <c r="J301" s="49"/>
      <c r="K301" s="49"/>
      <c r="L301" s="49"/>
      <c r="M301" s="49"/>
      <c r="N301" s="49"/>
      <c r="O301" s="49"/>
      <c r="P301" s="49"/>
      <c r="Q301" s="49"/>
      <c r="R301" s="49"/>
      <c r="S301" s="49"/>
      <c r="T301" s="49"/>
      <c r="U301" s="49"/>
      <c r="V301" s="49"/>
      <c r="W301" s="49"/>
      <c r="X301" s="49"/>
      <c r="Y301" s="49"/>
      <c r="Z301" s="49"/>
    </row>
    <row r="302">
      <c r="A302" s="49" t="str">
        <f>IFERROR(__xludf.DUMMYFUNCTION("""COMPUTED_VALUE"""),"The Black Hook")</f>
        <v>The Black Hook</v>
      </c>
      <c r="B302" s="49"/>
      <c r="C302" s="49" t="str">
        <f>IFERROR(__xludf.DUMMYFUNCTION("""COMPUTED_VALUE"""),"Claw")</f>
        <v>Claw</v>
      </c>
      <c r="D302" s="49" t="str">
        <f>IFERROR(__xludf.DUMMYFUNCTION("""COMPUTED_VALUE"""),"Hand")</f>
        <v>Hand</v>
      </c>
      <c r="E302" s="49">
        <f>IFERROR(__xludf.DUMMYFUNCTION("""COMPUTED_VALUE"""),2500.0)</f>
        <v>2500</v>
      </c>
      <c r="F302" s="49"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49">
        <f>IFERROR(__xludf.DUMMYFUNCTION("""COMPUTED_VALUE"""),3.1125E8)</f>
        <v>311250000</v>
      </c>
      <c r="H302" s="49"/>
      <c r="I302" s="49"/>
      <c r="J302" s="49"/>
      <c r="K302" s="49"/>
      <c r="L302" s="49"/>
      <c r="M302" s="49"/>
      <c r="N302" s="49"/>
      <c r="O302" s="49"/>
      <c r="P302" s="49"/>
      <c r="Q302" s="49"/>
      <c r="R302" s="49"/>
      <c r="S302" s="49"/>
      <c r="T302" s="49"/>
      <c r="U302" s="49"/>
      <c r="V302" s="49"/>
      <c r="W302" s="49"/>
      <c r="X302" s="49"/>
      <c r="Y302" s="49"/>
      <c r="Z302" s="49"/>
    </row>
    <row r="303">
      <c r="A303" s="49" t="str">
        <f>IFERROR(__xludf.DUMMYFUNCTION("""COMPUTED_VALUE"""),"The Blade of the Chosen")</f>
        <v>The Blade of the Chosen</v>
      </c>
      <c r="B303" s="49"/>
      <c r="C303" s="49" t="str">
        <f>IFERROR(__xludf.DUMMYFUNCTION("""COMPUTED_VALUE"""),"Sword")</f>
        <v>Sword</v>
      </c>
      <c r="D303" s="49" t="str">
        <f>IFERROR(__xludf.DUMMYFUNCTION("""COMPUTED_VALUE"""),"Hand")</f>
        <v>Hand</v>
      </c>
      <c r="E303" s="49">
        <f>IFERROR(__xludf.DUMMYFUNCTION("""COMPUTED_VALUE"""),1000.0)</f>
        <v>1000</v>
      </c>
      <c r="F303" s="49"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49">
        <f>IFERROR(__xludf.DUMMYFUNCTION("""COMPUTED_VALUE"""),4.95E7)</f>
        <v>49500000</v>
      </c>
      <c r="H303" s="49"/>
      <c r="I303" s="49"/>
      <c r="J303" s="49"/>
      <c r="K303" s="49"/>
      <c r="L303" s="49"/>
      <c r="M303" s="49"/>
      <c r="N303" s="49"/>
      <c r="O303" s="49"/>
      <c r="P303" s="49"/>
      <c r="Q303" s="49"/>
      <c r="R303" s="49"/>
      <c r="S303" s="49"/>
      <c r="T303" s="49"/>
      <c r="U303" s="49"/>
      <c r="V303" s="49"/>
      <c r="W303" s="49"/>
      <c r="X303" s="49"/>
      <c r="Y303" s="49"/>
      <c r="Z303" s="49"/>
    </row>
    <row r="304">
      <c r="A304" s="49" t="str">
        <f>IFERROR(__xludf.DUMMYFUNCTION("""COMPUTED_VALUE"""),"The Bow of the Fallen Hero")</f>
        <v>The Bow of the Fallen Hero</v>
      </c>
      <c r="B304" s="49"/>
      <c r="C304" s="49" t="str">
        <f>IFERROR(__xludf.DUMMYFUNCTION("""COMPUTED_VALUE"""),"Bow")</f>
        <v>Bow</v>
      </c>
      <c r="D304" s="49" t="str">
        <f>IFERROR(__xludf.DUMMYFUNCTION("""COMPUTED_VALUE"""),"Hand")</f>
        <v>Hand</v>
      </c>
      <c r="E304" s="49">
        <f>IFERROR(__xludf.DUMMYFUNCTION("""COMPUTED_VALUE"""),100.0)</f>
        <v>100</v>
      </c>
      <c r="F304" s="49" t="str">
        <f>IFERROR(__xludf.DUMMYFUNCTION("""COMPUTED_VALUE"""),"DMG: +5000 ++Dashing Arrows - You can use up to 6 arrows when attacking with this bow. ")</f>
        <v>DMG: +5000 ++Dashing Arrows - You can use up to 6 arrows when attacking with this bow. </v>
      </c>
      <c r="G304" s="49">
        <f>IFERROR(__xludf.DUMMYFUNCTION("""COMPUTED_VALUE"""),450000.0)</f>
        <v>450000</v>
      </c>
      <c r="H304" s="49"/>
      <c r="I304" s="49"/>
      <c r="J304" s="49"/>
      <c r="K304" s="49"/>
      <c r="L304" s="49"/>
      <c r="M304" s="49"/>
      <c r="N304" s="49"/>
      <c r="O304" s="49"/>
      <c r="P304" s="49"/>
      <c r="Q304" s="49"/>
      <c r="R304" s="49"/>
      <c r="S304" s="49"/>
      <c r="T304" s="49"/>
      <c r="U304" s="49"/>
      <c r="V304" s="49"/>
      <c r="W304" s="49"/>
      <c r="X304" s="49"/>
      <c r="Y304" s="49"/>
      <c r="Z304" s="49"/>
    </row>
    <row r="305">
      <c r="A305" s="49" t="str">
        <f>IFERROR(__xludf.DUMMYFUNCTION("""COMPUTED_VALUE"""),"The Bow of the Haunted")</f>
        <v>The Bow of the Haunted</v>
      </c>
      <c r="B305" s="49" t="str">
        <f>IFERROR(__xludf.DUMMYFUNCTION("""COMPUTED_VALUE"""),"Halloween exclusive")</f>
        <v>Halloween exclusive</v>
      </c>
      <c r="C305" s="49" t="str">
        <f>IFERROR(__xludf.DUMMYFUNCTION("""COMPUTED_VALUE"""),"Bow")</f>
        <v>Bow</v>
      </c>
      <c r="D305" s="49" t="str">
        <f>IFERROR(__xludf.DUMMYFUNCTION("""COMPUTED_VALUE"""),"Hand")</f>
        <v>Hand</v>
      </c>
      <c r="E305" s="49">
        <f>IFERROR(__xludf.DUMMYFUNCTION("""COMPUTED_VALUE"""),620.0)</f>
        <v>620</v>
      </c>
      <c r="F305" s="49"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49">
        <f>IFERROR(__xludf.DUMMYFUNCTION("""COMPUTED_VALUE"""),1.891E7)</f>
        <v>18910000</v>
      </c>
      <c r="H305" s="49"/>
      <c r="I305" s="49"/>
      <c r="J305" s="49"/>
      <c r="K305" s="49"/>
      <c r="L305" s="49"/>
      <c r="M305" s="49"/>
      <c r="N305" s="49"/>
      <c r="O305" s="49"/>
      <c r="P305" s="49"/>
      <c r="Q305" s="49"/>
      <c r="R305" s="49"/>
      <c r="S305" s="49"/>
      <c r="T305" s="49"/>
      <c r="U305" s="49"/>
      <c r="V305" s="49"/>
      <c r="W305" s="49"/>
      <c r="X305" s="49"/>
      <c r="Y305" s="49"/>
      <c r="Z305" s="49"/>
    </row>
    <row r="306">
      <c r="A306" s="49" t="str">
        <f>IFERROR(__xludf.DUMMYFUNCTION("""COMPUTED_VALUE"""),"The Bow of the Pandarian")</f>
        <v>The Bow of the Pandarian</v>
      </c>
      <c r="B306" s="49"/>
      <c r="C306" s="49" t="str">
        <f>IFERROR(__xludf.DUMMYFUNCTION("""COMPUTED_VALUE"""),"Bow")</f>
        <v>Bow</v>
      </c>
      <c r="D306" s="49" t="str">
        <f>IFERROR(__xludf.DUMMYFUNCTION("""COMPUTED_VALUE"""),"Hand")</f>
        <v>Hand</v>
      </c>
      <c r="E306" s="49">
        <f>IFERROR(__xludf.DUMMYFUNCTION("""COMPUTED_VALUE"""),40.0)</f>
        <v>40</v>
      </c>
      <c r="F306" s="49"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49">
        <f>IFERROR(__xludf.DUMMYFUNCTION("""COMPUTED_VALUE"""),60000.0)</f>
        <v>60000</v>
      </c>
      <c r="H306" s="49"/>
      <c r="I306" s="49"/>
      <c r="J306" s="49"/>
      <c r="K306" s="49"/>
      <c r="L306" s="49"/>
      <c r="M306" s="49"/>
      <c r="N306" s="49"/>
      <c r="O306" s="49"/>
      <c r="P306" s="49"/>
      <c r="Q306" s="49"/>
      <c r="R306" s="49"/>
      <c r="S306" s="49"/>
      <c r="T306" s="49"/>
      <c r="U306" s="49"/>
      <c r="V306" s="49"/>
      <c r="W306" s="49"/>
      <c r="X306" s="49"/>
      <c r="Y306" s="49"/>
      <c r="Z306" s="49"/>
    </row>
    <row r="307">
      <c r="A307" s="49" t="str">
        <f>IFERROR(__xludf.DUMMYFUNCTION("""COMPUTED_VALUE"""),"The Buster")</f>
        <v>The Buster</v>
      </c>
      <c r="B307" s="49"/>
      <c r="C307" s="49" t="str">
        <f>IFERROR(__xludf.DUMMYFUNCTION("""COMPUTED_VALUE"""),"Sword")</f>
        <v>Sword</v>
      </c>
      <c r="D307" s="49" t="str">
        <f>IFERROR(__xludf.DUMMYFUNCTION("""COMPUTED_VALUE"""),"Hand")</f>
        <v>Hand</v>
      </c>
      <c r="E307" s="49">
        <f>IFERROR(__xludf.DUMMYFUNCTION("""COMPUTED_VALUE"""),400.0)</f>
        <v>400</v>
      </c>
      <c r="F307" s="49" t="str">
        <f>IFERROR(__xludf.DUMMYFUNCTION("""COMPUTED_VALUE"""),"DMG: +20000")</f>
        <v>DMG: +20000</v>
      </c>
      <c r="G307" s="49">
        <f>IFERROR(__xludf.DUMMYFUNCTION("""COMPUTED_VALUE"""),7800000.0)</f>
        <v>7800000</v>
      </c>
      <c r="H307" s="49"/>
      <c r="I307" s="49"/>
      <c r="J307" s="49"/>
      <c r="K307" s="49"/>
      <c r="L307" s="49"/>
      <c r="M307" s="49"/>
      <c r="N307" s="49"/>
      <c r="O307" s="49"/>
      <c r="P307" s="49"/>
      <c r="Q307" s="49"/>
      <c r="R307" s="49"/>
      <c r="S307" s="49"/>
      <c r="T307" s="49"/>
      <c r="U307" s="49"/>
      <c r="V307" s="49"/>
      <c r="W307" s="49"/>
      <c r="X307" s="49"/>
      <c r="Y307" s="49"/>
      <c r="Z307" s="49"/>
    </row>
    <row r="308">
      <c r="A308" s="49" t="str">
        <f>IFERROR(__xludf.DUMMYFUNCTION("""COMPUTED_VALUE"""),"The Dawn Splitter")</f>
        <v>The Dawn Splitter</v>
      </c>
      <c r="B308" s="49"/>
      <c r="C308" s="49" t="str">
        <f>IFERROR(__xludf.DUMMYFUNCTION("""COMPUTED_VALUE"""),"Sword")</f>
        <v>Sword</v>
      </c>
      <c r="D308" s="49" t="str">
        <f>IFERROR(__xludf.DUMMYFUNCTION("""COMPUTED_VALUE"""),"Hand")</f>
        <v>Hand</v>
      </c>
      <c r="E308" s="49">
        <f>IFERROR(__xludf.DUMMYFUNCTION("""COMPUTED_VALUE"""),200.0)</f>
        <v>200</v>
      </c>
      <c r="F308" s="49" t="str">
        <f>IFERROR(__xludf.DUMMYFUNCTION("""COMPUTED_VALUE"""),"DMG: +50000, Fire DMG: +50000, Dark DMG: +50000, Celestial DMG: +50000 ++50% Chance to put the target to sleep.")</f>
        <v>DMG: +50000, Fire DMG: +50000, Dark DMG: +50000, Celestial DMG: +50000 ++50% Chance to put the target to sleep.</v>
      </c>
      <c r="G308" s="49">
        <f>IFERROR(__xludf.DUMMYFUNCTION("""COMPUTED_VALUE"""),7.98E8)</f>
        <v>798000000</v>
      </c>
      <c r="H308" s="49"/>
      <c r="I308" s="49"/>
      <c r="J308" s="49"/>
      <c r="K308" s="49"/>
      <c r="L308" s="49"/>
      <c r="M308" s="49"/>
      <c r="N308" s="49"/>
      <c r="O308" s="49"/>
      <c r="P308" s="49"/>
      <c r="Q308" s="49"/>
      <c r="R308" s="49"/>
      <c r="S308" s="49"/>
      <c r="T308" s="49"/>
      <c r="U308" s="49"/>
      <c r="V308" s="49"/>
      <c r="W308" s="49"/>
      <c r="X308" s="49"/>
      <c r="Y308" s="49"/>
      <c r="Z308" s="49"/>
    </row>
    <row r="309">
      <c r="A309" s="49" t="str">
        <f>IFERROR(__xludf.DUMMYFUNCTION("""COMPUTED_VALUE"""),"The Dragon King's Crown")</f>
        <v>The Dragon King's Crown</v>
      </c>
      <c r="B309" s="49"/>
      <c r="C309" s="49"/>
      <c r="D309" s="49" t="str">
        <f>IFERROR(__xludf.DUMMYFUNCTION("""COMPUTED_VALUE"""),"Head")</f>
        <v>Head</v>
      </c>
      <c r="E309" s="49">
        <f>IFERROR(__xludf.DUMMYFUNCTION("""COMPUTED_VALUE"""),400.0)</f>
        <v>400</v>
      </c>
      <c r="F309" s="49" t="str">
        <f>IFERROR(__xludf.DUMMYFUNCTION("""COMPUTED_VALUE"""),"DEF: +20000 ++Immunity to damage from Natural Attacks...")</f>
        <v>DEF: +20000 ++Immunity to damage from Natural Attacks...</v>
      </c>
      <c r="G309" s="49">
        <f>IFERROR(__xludf.DUMMYFUNCTION("""COMPUTED_VALUE"""),7800000.0)</f>
        <v>7800000</v>
      </c>
      <c r="H309" s="49"/>
      <c r="I309" s="49"/>
      <c r="J309" s="49"/>
      <c r="K309" s="49"/>
      <c r="L309" s="49"/>
      <c r="M309" s="49"/>
      <c r="N309" s="49"/>
      <c r="O309" s="49"/>
      <c r="P309" s="49"/>
      <c r="Q309" s="49"/>
      <c r="R309" s="49"/>
      <c r="S309" s="49"/>
      <c r="T309" s="49"/>
      <c r="U309" s="49"/>
      <c r="V309" s="49"/>
      <c r="W309" s="49"/>
      <c r="X309" s="49"/>
      <c r="Y309" s="49"/>
      <c r="Z309" s="49"/>
    </row>
    <row r="310">
      <c r="A310" s="49" t="str">
        <f>IFERROR(__xludf.DUMMYFUNCTION("""COMPUTED_VALUE"""),"The Guardian Of Death's Sword")</f>
        <v>The Guardian Of Death's Sword</v>
      </c>
      <c r="B310" s="49"/>
      <c r="C310" s="49" t="str">
        <f>IFERROR(__xludf.DUMMYFUNCTION("""COMPUTED_VALUE"""),"Sword")</f>
        <v>Sword</v>
      </c>
      <c r="D310" s="49" t="str">
        <f>IFERROR(__xludf.DUMMYFUNCTION("""COMPUTED_VALUE"""),"Hand")</f>
        <v>Hand</v>
      </c>
      <c r="E310" s="49">
        <f>IFERROR(__xludf.DUMMYFUNCTION("""COMPUTED_VALUE"""),600.0)</f>
        <v>600</v>
      </c>
      <c r="F310" s="49" t="str">
        <f>IFERROR(__xludf.DUMMYFUNCTION("""COMPUTED_VALUE"""),"DMG: +15000, Dark DMG: +5000, Spirit DMG: +5000, Chaos DMG: +5000")</f>
        <v>DMG: +15000, Dark DMG: +5000, Spirit DMG: +5000, Chaos DMG: +5000</v>
      </c>
      <c r="G310" s="49">
        <f>IFERROR(__xludf.DUMMYFUNCTION("""COMPUTED_VALUE"""),1.77E7)</f>
        <v>17700000</v>
      </c>
      <c r="H310" s="49"/>
      <c r="I310" s="49"/>
      <c r="J310" s="49"/>
      <c r="K310" s="49"/>
      <c r="L310" s="49"/>
      <c r="M310" s="49"/>
      <c r="N310" s="49"/>
      <c r="O310" s="49"/>
      <c r="P310" s="49"/>
      <c r="Q310" s="49"/>
      <c r="R310" s="49"/>
      <c r="S310" s="49"/>
      <c r="T310" s="49"/>
      <c r="U310" s="49"/>
      <c r="V310" s="49"/>
      <c r="W310" s="49"/>
      <c r="X310" s="49"/>
      <c r="Y310" s="49"/>
      <c r="Z310" s="49"/>
    </row>
    <row r="311">
      <c r="A311" s="49" t="str">
        <f>IFERROR(__xludf.DUMMYFUNCTION("""COMPUTED_VALUE"""),"The Helm of Foul Night")</f>
        <v>The Helm of Foul Night</v>
      </c>
      <c r="B311" s="49"/>
      <c r="C311" s="49"/>
      <c r="D311" s="49" t="str">
        <f>IFERROR(__xludf.DUMMYFUNCTION("""COMPUTED_VALUE"""),"Head")</f>
        <v>Head</v>
      </c>
      <c r="E311" s="49">
        <f>IFERROR(__xludf.DUMMYFUNCTION("""COMPUTED_VALUE"""),200.0)</f>
        <v>200</v>
      </c>
      <c r="F311" s="49" t="str">
        <f>IFERROR(__xludf.DUMMYFUNCTION("""COMPUTED_VALUE"""),"DEF: +5000, Nature DEF: +5000 (Foul Night Set) ++X2 Nature and Poison damage. ++Poison Immunity. ")</f>
        <v>DEF: +5000, Nature DEF: +5000 (Foul Night Set) ++X2 Nature and Poison damage. ++Poison Immunity. </v>
      </c>
      <c r="G311" s="49">
        <f>IFERROR(__xludf.DUMMYFUNCTION("""COMPUTED_VALUE"""),1900000.0)</f>
        <v>1900000</v>
      </c>
      <c r="H311" s="49"/>
      <c r="I311" s="49"/>
      <c r="J311" s="49"/>
      <c r="K311" s="49"/>
      <c r="L311" s="49"/>
      <c r="M311" s="49"/>
      <c r="N311" s="49"/>
      <c r="O311" s="49"/>
      <c r="P311" s="49"/>
      <c r="Q311" s="49"/>
      <c r="R311" s="49"/>
      <c r="S311" s="49"/>
      <c r="T311" s="49"/>
      <c r="U311" s="49"/>
      <c r="V311" s="49"/>
      <c r="W311" s="49"/>
      <c r="X311" s="49"/>
      <c r="Y311" s="49"/>
      <c r="Z311" s="49"/>
    </row>
    <row r="312">
      <c r="A312" s="49" t="str">
        <f>IFERROR(__xludf.DUMMYFUNCTION("""COMPUTED_VALUE"""),"The Invisible Spear")</f>
        <v>The Invisible Spear</v>
      </c>
      <c r="B312" s="49"/>
      <c r="C312" s="49" t="str">
        <f>IFERROR(__xludf.DUMMYFUNCTION("""COMPUTED_VALUE"""),"Spear")</f>
        <v>Spear</v>
      </c>
      <c r="D312" s="49" t="str">
        <f>IFERROR(__xludf.DUMMYFUNCTION("""COMPUTED_VALUE"""),"Hand")</f>
        <v>Hand</v>
      </c>
      <c r="E312" s="49">
        <f>IFERROR(__xludf.DUMMYFUNCTION("""COMPUTED_VALUE"""),1.0)</f>
        <v>1</v>
      </c>
      <c r="F312" s="49" t="str">
        <f>IFERROR(__xludf.DUMMYFUNCTION("""COMPUTED_VALUE"""),"DMG: +200 ++ignores evasion")</f>
        <v>DMG: +200 ++ignores evasion</v>
      </c>
      <c r="G312" s="49">
        <f>IFERROR(__xludf.DUMMYFUNCTION("""COMPUTED_VALUE"""),0.0)</f>
        <v>0</v>
      </c>
      <c r="H312" s="49"/>
      <c r="I312" s="49"/>
      <c r="J312" s="49"/>
      <c r="K312" s="49"/>
      <c r="L312" s="49"/>
      <c r="M312" s="49"/>
      <c r="N312" s="49"/>
      <c r="O312" s="49"/>
      <c r="P312" s="49"/>
      <c r="Q312" s="49"/>
      <c r="R312" s="49"/>
      <c r="S312" s="49"/>
      <c r="T312" s="49"/>
      <c r="U312" s="49"/>
      <c r="V312" s="49"/>
      <c r="W312" s="49"/>
      <c r="X312" s="49"/>
      <c r="Y312" s="49"/>
      <c r="Z312" s="49"/>
    </row>
    <row r="313">
      <c r="A313" s="49" t="str">
        <f>IFERROR(__xludf.DUMMYFUNCTION("""COMPUTED_VALUE"""),"The Mysterious Mirror")</f>
        <v>The Mysterious Mirror</v>
      </c>
      <c r="B313" s="49"/>
      <c r="C313" s="49" t="str">
        <f>IFERROR(__xludf.DUMMYFUNCTION("""COMPUTED_VALUE"""),"Towershield")</f>
        <v>Towershield</v>
      </c>
      <c r="D313" s="49" t="str">
        <f>IFERROR(__xludf.DUMMYFUNCTION("""COMPUTED_VALUE"""),"Hand")</f>
        <v>Hand</v>
      </c>
      <c r="E313" s="49">
        <f>IFERROR(__xludf.DUMMYFUNCTION("""COMPUTED_VALUE"""),1.0)</f>
        <v>1</v>
      </c>
      <c r="F313" s="49"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49">
        <f>IFERROR(__xludf.DUMMYFUNCTION("""COMPUTED_VALUE"""),0.0)</f>
        <v>0</v>
      </c>
      <c r="H313" s="49"/>
      <c r="I313" s="49"/>
      <c r="J313" s="49"/>
      <c r="K313" s="49"/>
      <c r="L313" s="49"/>
      <c r="M313" s="49"/>
      <c r="N313" s="49"/>
      <c r="O313" s="49"/>
      <c r="P313" s="49"/>
      <c r="Q313" s="49"/>
      <c r="R313" s="49"/>
      <c r="S313" s="49"/>
      <c r="T313" s="49"/>
      <c r="U313" s="49"/>
      <c r="V313" s="49"/>
      <c r="W313" s="49"/>
      <c r="X313" s="49"/>
      <c r="Y313" s="49"/>
      <c r="Z313" s="49"/>
    </row>
    <row r="314">
      <c r="A314" s="49" t="str">
        <f>IFERROR(__xludf.DUMMYFUNCTION("""COMPUTED_VALUE"""),"The Puppet Masters Amulet")</f>
        <v>The Puppet Masters Amulet</v>
      </c>
      <c r="B314" s="49"/>
      <c r="C314" s="49"/>
      <c r="D314" s="49" t="str">
        <f>IFERROR(__xludf.DUMMYFUNCTION("""COMPUTED_VALUE"""),"Neck")</f>
        <v>Neck</v>
      </c>
      <c r="E314" s="49">
        <f>IFERROR(__xludf.DUMMYFUNCTION("""COMPUTED_VALUE"""),1.0)</f>
        <v>1</v>
      </c>
      <c r="F314" s="49" t="str">
        <f>IFERROR(__xludf.DUMMYFUNCTION("""COMPUTED_VALUE""")," ++Immune to possession.  +-Cannot be duplicated.")</f>
        <v> ++Immune to possession.  +-Cannot be duplicated.</v>
      </c>
      <c r="G314" s="49">
        <f>IFERROR(__xludf.DUMMYFUNCTION("""COMPUTED_VALUE"""),0.0)</f>
        <v>0</v>
      </c>
      <c r="H314" s="49"/>
      <c r="I314" s="49"/>
      <c r="J314" s="49"/>
      <c r="K314" s="49"/>
      <c r="L314" s="49"/>
      <c r="M314" s="49"/>
      <c r="N314" s="49"/>
      <c r="O314" s="49"/>
      <c r="P314" s="49"/>
      <c r="Q314" s="49"/>
      <c r="R314" s="49"/>
      <c r="S314" s="49"/>
      <c r="T314" s="49"/>
      <c r="U314" s="49"/>
      <c r="V314" s="49"/>
      <c r="W314" s="49"/>
      <c r="X314" s="49"/>
      <c r="Y314" s="49"/>
      <c r="Z314" s="49"/>
    </row>
    <row r="315">
      <c r="A315" s="49" t="str">
        <f>IFERROR(__xludf.DUMMYFUNCTION("""COMPUTED_VALUE"""),"The Puppet Masters Cloak")</f>
        <v>The Puppet Masters Cloak</v>
      </c>
      <c r="B315" s="49"/>
      <c r="C315" s="49"/>
      <c r="D315" s="49" t="str">
        <f>IFERROR(__xludf.DUMMYFUNCTION("""COMPUTED_VALUE"""),"Torso")</f>
        <v>Torso</v>
      </c>
      <c r="E315" s="49">
        <f>IFERROR(__xludf.DUMMYFUNCTION("""COMPUTED_VALUE"""),1.0)</f>
        <v>1</v>
      </c>
      <c r="F315" s="49" t="str">
        <f>IFERROR(__xludf.DUMMYFUNCTION("""COMPUTED_VALUE""")," ++User and allies gain immunity to chaos and dark damage while in the party. +-Cannot be duplicated")</f>
        <v> ++User and allies gain immunity to chaos and dark damage while in the party. +-Cannot be duplicated</v>
      </c>
      <c r="G315" s="49">
        <f>IFERROR(__xludf.DUMMYFUNCTION("""COMPUTED_VALUE"""),0.0)</f>
        <v>0</v>
      </c>
      <c r="H315" s="49"/>
      <c r="I315" s="49"/>
      <c r="J315" s="49"/>
      <c r="K315" s="49"/>
      <c r="L315" s="49"/>
      <c r="M315" s="49"/>
      <c r="N315" s="49"/>
      <c r="O315" s="49"/>
      <c r="P315" s="49"/>
      <c r="Q315" s="49"/>
      <c r="R315" s="49"/>
      <c r="S315" s="49"/>
      <c r="T315" s="49"/>
      <c r="U315" s="49"/>
      <c r="V315" s="49"/>
      <c r="W315" s="49"/>
      <c r="X315" s="49"/>
      <c r="Y315" s="49"/>
      <c r="Z315" s="49"/>
    </row>
    <row r="316">
      <c r="A316" s="49" t="str">
        <f>IFERROR(__xludf.DUMMYFUNCTION("""COMPUTED_VALUE"""),"The Puppet Masters Ring")</f>
        <v>The Puppet Masters Ring</v>
      </c>
      <c r="B316" s="49"/>
      <c r="C316" s="49"/>
      <c r="D316" s="49" t="str">
        <f>IFERROR(__xludf.DUMMYFUNCTION("""COMPUTED_VALUE"""),"Ring")</f>
        <v>Ring</v>
      </c>
      <c r="E316" s="49">
        <f>IFERROR(__xludf.DUMMYFUNCTION("""COMPUTED_VALUE"""),1.0)</f>
        <v>1</v>
      </c>
      <c r="F316" s="49"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49">
        <f>IFERROR(__xludf.DUMMYFUNCTION("""COMPUTED_VALUE"""),0.0)</f>
        <v>0</v>
      </c>
      <c r="H316" s="49"/>
      <c r="I316" s="49"/>
      <c r="J316" s="49"/>
      <c r="K316" s="49"/>
      <c r="L316" s="49"/>
      <c r="M316" s="49"/>
      <c r="N316" s="49"/>
      <c r="O316" s="49"/>
      <c r="P316" s="49"/>
      <c r="Q316" s="49"/>
      <c r="R316" s="49"/>
      <c r="S316" s="49"/>
      <c r="T316" s="49"/>
      <c r="U316" s="49"/>
      <c r="V316" s="49"/>
      <c r="W316" s="49"/>
      <c r="X316" s="49"/>
      <c r="Y316" s="49"/>
      <c r="Z316" s="49"/>
    </row>
    <row r="317">
      <c r="A317" s="49" t="str">
        <f>IFERROR(__xludf.DUMMYFUNCTION("""COMPUTED_VALUE"""),"The Red Sword")</f>
        <v>The Red Sword</v>
      </c>
      <c r="B317" s="49" t="str">
        <f>IFERROR(__xludf.DUMMYFUNCTION("""COMPUTED_VALUE"""),"A Sword that was made of Vampire’s Blood")</f>
        <v>A Sword that was made of Vampire’s Blood</v>
      </c>
      <c r="C317" s="49" t="str">
        <f>IFERROR(__xludf.DUMMYFUNCTION("""COMPUTED_VALUE"""),"Sword")</f>
        <v>Sword</v>
      </c>
      <c r="D317" s="49" t="str">
        <f>IFERROR(__xludf.DUMMYFUNCTION("""COMPUTED_VALUE"""),"Hand")</f>
        <v>Hand</v>
      </c>
      <c r="E317" s="49">
        <f>IFERROR(__xludf.DUMMYFUNCTION("""COMPUTED_VALUE"""),1.0)</f>
        <v>1</v>
      </c>
      <c r="F317" s="49" t="str">
        <f>IFERROR(__xludf.DUMMYFUNCTION("""COMPUTED_VALUE"""),"DMG: +300")</f>
        <v>DMG: +300</v>
      </c>
      <c r="G317" s="49">
        <f>IFERROR(__xludf.DUMMYFUNCTION("""COMPUTED_VALUE"""),0.0)</f>
        <v>0</v>
      </c>
      <c r="H317" s="49"/>
      <c r="I317" s="49"/>
      <c r="J317" s="49"/>
      <c r="K317" s="49"/>
      <c r="L317" s="49"/>
      <c r="M317" s="49"/>
      <c r="N317" s="49"/>
      <c r="O317" s="49"/>
      <c r="P317" s="49"/>
      <c r="Q317" s="49"/>
      <c r="R317" s="49"/>
      <c r="S317" s="49"/>
      <c r="T317" s="49"/>
      <c r="U317" s="49"/>
      <c r="V317" s="49"/>
      <c r="W317" s="49"/>
      <c r="X317" s="49"/>
      <c r="Y317" s="49"/>
      <c r="Z317" s="49"/>
    </row>
    <row r="318">
      <c r="A318" s="49" t="str">
        <f>IFERROR(__xludf.DUMMYFUNCTION("""COMPUTED_VALUE"""),"The Servants Sword")</f>
        <v>The Servants Sword</v>
      </c>
      <c r="B318" s="49"/>
      <c r="C318" s="49" t="str">
        <f>IFERROR(__xludf.DUMMYFUNCTION("""COMPUTED_VALUE"""),"Sword")</f>
        <v>Sword</v>
      </c>
      <c r="D318" s="49" t="str">
        <f>IFERROR(__xludf.DUMMYFUNCTION("""COMPUTED_VALUE"""),"Hand")</f>
        <v>Hand</v>
      </c>
      <c r="E318" s="49">
        <f>IFERROR(__xludf.DUMMYFUNCTION("""COMPUTED_VALUE"""),600.0)</f>
        <v>600</v>
      </c>
      <c r="F318" s="49" t="str">
        <f>IFERROR(__xludf.DUMMYFUNCTION("""COMPUTED_VALUE"""),"DMG: +20000, Chaos DMG: +10000")</f>
        <v>DMG: +20000, Chaos DMG: +10000</v>
      </c>
      <c r="G318" s="49">
        <f>IFERROR(__xludf.DUMMYFUNCTION("""COMPUTED_VALUE"""),1.77E7)</f>
        <v>17700000</v>
      </c>
      <c r="H318" s="49"/>
      <c r="I318" s="49"/>
      <c r="J318" s="49"/>
      <c r="K318" s="49"/>
      <c r="L318" s="49"/>
      <c r="M318" s="49"/>
      <c r="N318" s="49"/>
      <c r="O318" s="49"/>
      <c r="P318" s="49"/>
      <c r="Q318" s="49"/>
      <c r="R318" s="49"/>
      <c r="S318" s="49"/>
      <c r="T318" s="49"/>
      <c r="U318" s="49"/>
      <c r="V318" s="49"/>
      <c r="W318" s="49"/>
      <c r="X318" s="49"/>
      <c r="Y318" s="49"/>
      <c r="Z318" s="49"/>
    </row>
    <row r="319">
      <c r="A319" s="49" t="str">
        <f>IFERROR(__xludf.DUMMYFUNCTION("""COMPUTED_VALUE"""),"The Shield of Foul Night")</f>
        <v>The Shield of Foul Night</v>
      </c>
      <c r="B319" s="49"/>
      <c r="C319" s="49" t="str">
        <f>IFERROR(__xludf.DUMMYFUNCTION("""COMPUTED_VALUE"""),"Buckler")</f>
        <v>Buckler</v>
      </c>
      <c r="D319" s="49" t="str">
        <f>IFERROR(__xludf.DUMMYFUNCTION("""COMPUTED_VALUE"""),"Hand")</f>
        <v>Hand</v>
      </c>
      <c r="E319" s="49">
        <f>IFERROR(__xludf.DUMMYFUNCTION("""COMPUTED_VALUE"""),200.0)</f>
        <v>200</v>
      </c>
      <c r="F319" s="49" t="str">
        <f>IFERROR(__xludf.DUMMYFUNCTION("""COMPUTED_VALUE"""),"DEF: +5000, Nature DEF: +5000 (Foul Night Set) ++Nature Immunity, Poison Immunity")</f>
        <v>DEF: +5000, Nature DEF: +5000 (Foul Night Set) ++Nature Immunity, Poison Immunity</v>
      </c>
      <c r="G319" s="49">
        <f>IFERROR(__xludf.DUMMYFUNCTION("""COMPUTED_VALUE"""),1900000.0)</f>
        <v>1900000</v>
      </c>
      <c r="H319" s="49"/>
      <c r="I319" s="49"/>
      <c r="J319" s="49"/>
      <c r="K319" s="49"/>
      <c r="L319" s="49"/>
      <c r="M319" s="49"/>
      <c r="N319" s="49"/>
      <c r="O319" s="49"/>
      <c r="P319" s="49"/>
      <c r="Q319" s="49"/>
      <c r="R319" s="49"/>
      <c r="S319" s="49"/>
      <c r="T319" s="49"/>
      <c r="U319" s="49"/>
      <c r="V319" s="49"/>
      <c r="W319" s="49"/>
      <c r="X319" s="49"/>
      <c r="Y319" s="49"/>
      <c r="Z319" s="49"/>
    </row>
    <row r="320">
      <c r="A320" s="49" t="str">
        <f>IFERROR(__xludf.DUMMYFUNCTION("""COMPUTED_VALUE"""),"The Staff of  Haunted Bones")</f>
        <v>The Staff of  Haunted Bones</v>
      </c>
      <c r="B320" s="49" t="str">
        <f>IFERROR(__xludf.DUMMYFUNCTION("""COMPUTED_VALUE"""),"Halloween exclusive")</f>
        <v>Halloween exclusive</v>
      </c>
      <c r="C320" s="49" t="str">
        <f>IFERROR(__xludf.DUMMYFUNCTION("""COMPUTED_VALUE"""),"Staff")</f>
        <v>Staff</v>
      </c>
      <c r="D320" s="49" t="str">
        <f>IFERROR(__xludf.DUMMYFUNCTION("""COMPUTED_VALUE"""),"Hand")</f>
        <v>Hand</v>
      </c>
      <c r="E320" s="49">
        <f>IFERROR(__xludf.DUMMYFUNCTION("""COMPUTED_VALUE"""),1.0)</f>
        <v>1</v>
      </c>
      <c r="F320" s="49" t="str">
        <f>IFERROR(__xludf.DUMMYFUNCTION("""COMPUTED_VALUE""")," X2 additional Dark, Chaos, and Spirit damage.")</f>
        <v> X2 additional Dark, Chaos, and Spirit damage.</v>
      </c>
      <c r="G320" s="49">
        <f>IFERROR(__xludf.DUMMYFUNCTION("""COMPUTED_VALUE"""),0.0)</f>
        <v>0</v>
      </c>
      <c r="H320" s="49"/>
      <c r="I320" s="49"/>
      <c r="J320" s="49"/>
      <c r="K320" s="49"/>
      <c r="L320" s="49"/>
      <c r="M320" s="49"/>
      <c r="N320" s="49"/>
      <c r="O320" s="49"/>
      <c r="P320" s="49"/>
      <c r="Q320" s="49"/>
      <c r="R320" s="49"/>
      <c r="S320" s="49"/>
      <c r="T320" s="49"/>
      <c r="U320" s="49"/>
      <c r="V320" s="49"/>
      <c r="W320" s="49"/>
      <c r="X320" s="49"/>
      <c r="Y320" s="49"/>
      <c r="Z320" s="49"/>
    </row>
    <row r="321">
      <c r="A321" s="49" t="str">
        <f>IFERROR(__xludf.DUMMYFUNCTION("""COMPUTED_VALUE"""),"The Staff of the Aquas")</f>
        <v>The Staff of the Aquas</v>
      </c>
      <c r="B321" s="49"/>
      <c r="C321" s="49" t="str">
        <f>IFERROR(__xludf.DUMMYFUNCTION("""COMPUTED_VALUE"""),"Staff")</f>
        <v>Staff</v>
      </c>
      <c r="D321" s="49" t="str">
        <f>IFERROR(__xludf.DUMMYFUNCTION("""COMPUTED_VALUE"""),"Hand")</f>
        <v>Hand</v>
      </c>
      <c r="E321" s="49">
        <f>IFERROR(__xludf.DUMMYFUNCTION("""COMPUTED_VALUE"""),1.0)</f>
        <v>1</v>
      </c>
      <c r="F321" s="49" t="str">
        <f>IFERROR(__xludf.DUMMYFUNCTION("""COMPUTED_VALUE""")," ++All Water Spells Deal x3 damage and cost half sp to use.")</f>
        <v> ++All Water Spells Deal x3 damage and cost half sp to use.</v>
      </c>
      <c r="G321" s="49">
        <f>IFERROR(__xludf.DUMMYFUNCTION("""COMPUTED_VALUE"""),0.0)</f>
        <v>0</v>
      </c>
      <c r="H321" s="49"/>
      <c r="I321" s="49"/>
      <c r="J321" s="49"/>
      <c r="K321" s="49"/>
      <c r="L321" s="49"/>
      <c r="M321" s="49"/>
      <c r="N321" s="49"/>
      <c r="O321" s="49"/>
      <c r="P321" s="49"/>
      <c r="Q321" s="49"/>
      <c r="R321" s="49"/>
      <c r="S321" s="49"/>
      <c r="T321" s="49"/>
      <c r="U321" s="49"/>
      <c r="V321" s="49"/>
      <c r="W321" s="49"/>
      <c r="X321" s="49"/>
      <c r="Y321" s="49"/>
      <c r="Z321" s="49"/>
    </row>
    <row r="322">
      <c r="A322" s="49" t="str">
        <f>IFERROR(__xludf.DUMMYFUNCTION("""COMPUTED_VALUE"""),"The Staff of The Pumpkin’s Curse")</f>
        <v>The Staff of The Pumpkin’s Curse</v>
      </c>
      <c r="B322" s="49"/>
      <c r="C322" s="49" t="str">
        <f>IFERROR(__xludf.DUMMYFUNCTION("""COMPUTED_VALUE"""),"Staff")</f>
        <v>Staff</v>
      </c>
      <c r="D322" s="49" t="str">
        <f>IFERROR(__xludf.DUMMYFUNCTION("""COMPUTED_VALUE"""),"Hand")</f>
        <v>Hand</v>
      </c>
      <c r="E322" s="49">
        <f>IFERROR(__xludf.DUMMYFUNCTION("""COMPUTED_VALUE"""),1.0)</f>
        <v>1</v>
      </c>
      <c r="F322" s="49" t="str">
        <f>IFERROR(__xludf.DUMMYFUNCTION("""COMPUTED_VALUE""")," ++ Select a target, Any Fire Nature and Dark damage the target deals halved, Fail/Succeed.")</f>
        <v> ++ Select a target, Any Fire Nature and Dark damage the target deals halved, Fail/Succeed.</v>
      </c>
      <c r="G322" s="49">
        <f>IFERROR(__xludf.DUMMYFUNCTION("""COMPUTED_VALUE"""),0.0)</f>
        <v>0</v>
      </c>
      <c r="H322" s="49"/>
      <c r="I322" s="49"/>
      <c r="J322" s="49"/>
      <c r="K322" s="49"/>
      <c r="L322" s="49"/>
      <c r="M322" s="49"/>
      <c r="N322" s="49"/>
      <c r="O322" s="49"/>
      <c r="P322" s="49"/>
      <c r="Q322" s="49"/>
      <c r="R322" s="49"/>
      <c r="S322" s="49"/>
      <c r="T322" s="49"/>
      <c r="U322" s="49"/>
      <c r="V322" s="49"/>
      <c r="W322" s="49"/>
      <c r="X322" s="49"/>
      <c r="Y322" s="49"/>
      <c r="Z322" s="49"/>
    </row>
    <row r="323">
      <c r="A323" s="49" t="str">
        <f>IFERROR(__xludf.DUMMYFUNCTION("""COMPUTED_VALUE"""),"The Stick of the Panda")</f>
        <v>The Stick of the Panda</v>
      </c>
      <c r="B323" s="49"/>
      <c r="C323" s="49" t="str">
        <f>IFERROR(__xludf.DUMMYFUNCTION("""COMPUTED_VALUE"""),"Club")</f>
        <v>Club</v>
      </c>
      <c r="D323" s="49" t="str">
        <f>IFERROR(__xludf.DUMMYFUNCTION("""COMPUTED_VALUE"""),"Hand")</f>
        <v>Hand</v>
      </c>
      <c r="E323" s="49">
        <f>IFERROR(__xludf.DUMMYFUNCTION("""COMPUTED_VALUE"""),400.0)</f>
        <v>400</v>
      </c>
      <c r="F323" s="49"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49">
        <f>IFERROR(__xludf.DUMMYFUNCTION("""COMPUTED_VALUE"""),7800000.0)</f>
        <v>7800000</v>
      </c>
      <c r="H323" s="49"/>
      <c r="I323" s="49"/>
      <c r="J323" s="49"/>
      <c r="K323" s="49"/>
      <c r="L323" s="49"/>
      <c r="M323" s="49"/>
      <c r="N323" s="49"/>
      <c r="O323" s="49"/>
      <c r="P323" s="49"/>
      <c r="Q323" s="49"/>
      <c r="R323" s="49"/>
      <c r="S323" s="49"/>
      <c r="T323" s="49"/>
      <c r="U323" s="49"/>
      <c r="V323" s="49"/>
      <c r="W323" s="49"/>
      <c r="X323" s="49"/>
      <c r="Y323" s="49"/>
      <c r="Z323" s="49"/>
    </row>
    <row r="324">
      <c r="A324" s="49" t="str">
        <f>IFERROR(__xludf.DUMMYFUNCTION("""COMPUTED_VALUE"""),"The Sword Of Death")</f>
        <v>The Sword Of Death</v>
      </c>
      <c r="B324" s="49"/>
      <c r="C324" s="49" t="str">
        <f>IFERROR(__xludf.DUMMYFUNCTION("""COMPUTED_VALUE"""),"Sword")</f>
        <v>Sword</v>
      </c>
      <c r="D324" s="49" t="str">
        <f>IFERROR(__xludf.DUMMYFUNCTION("""COMPUTED_VALUE"""),"Hand")</f>
        <v>Hand</v>
      </c>
      <c r="E324" s="49">
        <f>IFERROR(__xludf.DUMMYFUNCTION("""COMPUTED_VALUE"""),1.0)</f>
        <v>1</v>
      </c>
      <c r="F324" s="49" t="str">
        <f>IFERROR(__xludf.DUMMYFUNCTION("""COMPUTED_VALUE"""),"DMG: +250")</f>
        <v>DMG: +250</v>
      </c>
      <c r="G324" s="49">
        <f>IFERROR(__xludf.DUMMYFUNCTION("""COMPUTED_VALUE"""),0.0)</f>
        <v>0</v>
      </c>
      <c r="H324" s="49"/>
      <c r="I324" s="49"/>
      <c r="J324" s="49"/>
      <c r="K324" s="49"/>
      <c r="L324" s="49"/>
      <c r="M324" s="49"/>
      <c r="N324" s="49"/>
      <c r="O324" s="49"/>
      <c r="P324" s="49"/>
      <c r="Q324" s="49"/>
      <c r="R324" s="49"/>
      <c r="S324" s="49"/>
      <c r="T324" s="49"/>
      <c r="U324" s="49"/>
      <c r="V324" s="49"/>
      <c r="W324" s="49"/>
      <c r="X324" s="49"/>
      <c r="Y324" s="49"/>
      <c r="Z324" s="49"/>
    </row>
    <row r="325">
      <c r="A325" s="49" t="str">
        <f>IFERROR(__xludf.DUMMYFUNCTION("""COMPUTED_VALUE"""),"The Sword Of Easter's Gathering (Exclusive)")</f>
        <v>The Sword Of Easter's Gathering (Exclusive)</v>
      </c>
      <c r="B325" s="49"/>
      <c r="C325" s="49" t="str">
        <f>IFERROR(__xludf.DUMMYFUNCTION("""COMPUTED_VALUE"""),"Sword")</f>
        <v>Sword</v>
      </c>
      <c r="D325" s="49" t="str">
        <f>IFERROR(__xludf.DUMMYFUNCTION("""COMPUTED_VALUE"""),"Hand")</f>
        <v>Hand</v>
      </c>
      <c r="E325" s="49">
        <f>IFERROR(__xludf.DUMMYFUNCTION("""COMPUTED_VALUE"""),200.0)</f>
        <v>200</v>
      </c>
      <c r="F325" s="49"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49">
        <f>IFERROR(__xludf.DUMMYFUNCTION("""COMPUTED_VALUE"""),7800000.0)</f>
        <v>7800000</v>
      </c>
      <c r="H325" s="49"/>
      <c r="I325" s="49"/>
      <c r="J325" s="49"/>
      <c r="K325" s="49"/>
      <c r="L325" s="49"/>
      <c r="M325" s="49"/>
      <c r="N325" s="49"/>
      <c r="O325" s="49"/>
      <c r="P325" s="49"/>
      <c r="Q325" s="49"/>
      <c r="R325" s="49"/>
      <c r="S325" s="49"/>
      <c r="T325" s="49"/>
      <c r="U325" s="49"/>
      <c r="V325" s="49"/>
      <c r="W325" s="49"/>
      <c r="X325" s="49"/>
      <c r="Y325" s="49"/>
      <c r="Z325" s="49"/>
    </row>
    <row r="326">
      <c r="A326" s="49" t="str">
        <f>IFERROR(__xludf.DUMMYFUNCTION("""COMPUTED_VALUE"""),"The Sword of Manannán (Exclusive)")</f>
        <v>The Sword of Manannán (Exclusive)</v>
      </c>
      <c r="B326" s="49" t="str">
        <f>IFERROR(__xludf.DUMMYFUNCTION("""COMPUTED_VALUE"""),"Lugh's Sword he wielded in battle")</f>
        <v>Lugh's Sword he wielded in battle</v>
      </c>
      <c r="C326" s="49" t="str">
        <f>IFERROR(__xludf.DUMMYFUNCTION("""COMPUTED_VALUE"""),"Sword")</f>
        <v>Sword</v>
      </c>
      <c r="D326" s="49" t="str">
        <f>IFERROR(__xludf.DUMMYFUNCTION("""COMPUTED_VALUE"""),"Hand")</f>
        <v>Hand</v>
      </c>
      <c r="E326" s="49">
        <f>IFERROR(__xludf.DUMMYFUNCTION("""COMPUTED_VALUE"""),200.0)</f>
        <v>200</v>
      </c>
      <c r="F326" s="49" t="str">
        <f>IFERROR(__xludf.DUMMYFUNCTION("""COMPUTED_VALUE"""),"DMG: +75000, Celestial DMG: +75000 ++Intimidation and Charisma stat is double while equipped")</f>
        <v>DMG: +75000, Celestial DMG: +75000 ++Intimidation and Charisma stat is double while equipped</v>
      </c>
      <c r="G326" s="49">
        <f>IFERROR(__xludf.DUMMYFUNCTION("""COMPUTED_VALUE"""),4.485E8)</f>
        <v>448500000</v>
      </c>
      <c r="H326" s="49"/>
      <c r="I326" s="49"/>
      <c r="J326" s="49"/>
      <c r="K326" s="49"/>
      <c r="L326" s="49"/>
      <c r="M326" s="49"/>
      <c r="N326" s="49"/>
      <c r="O326" s="49"/>
      <c r="P326" s="49"/>
      <c r="Q326" s="49"/>
      <c r="R326" s="49"/>
      <c r="S326" s="49"/>
      <c r="T326" s="49"/>
      <c r="U326" s="49"/>
      <c r="V326" s="49"/>
      <c r="W326" s="49"/>
      <c r="X326" s="49"/>
      <c r="Y326" s="49"/>
      <c r="Z326" s="49"/>
    </row>
    <row r="327">
      <c r="A327" s="49" t="str">
        <f>IFERROR(__xludf.DUMMYFUNCTION("""COMPUTED_VALUE"""),"The Waking Ash of the Serpent’s Pendent")</f>
        <v>The Waking Ash of the Serpent’s Pendent</v>
      </c>
      <c r="B327" s="49"/>
      <c r="C327" s="49"/>
      <c r="D327" s="49" t="str">
        <f>IFERROR(__xludf.DUMMYFUNCTION("""COMPUTED_VALUE"""),"Neck")</f>
        <v>Neck</v>
      </c>
      <c r="E327" s="49">
        <f>IFERROR(__xludf.DUMMYFUNCTION("""COMPUTED_VALUE"""),1.0)</f>
        <v>1</v>
      </c>
      <c r="F327" s="49"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49">
        <f>IFERROR(__xludf.DUMMYFUNCTION("""COMPUTED_VALUE"""),0.0)</f>
        <v>0</v>
      </c>
      <c r="H327" s="49"/>
      <c r="I327" s="49"/>
      <c r="J327" s="49"/>
      <c r="K327" s="49"/>
      <c r="L327" s="49"/>
      <c r="M327" s="49"/>
      <c r="N327" s="49"/>
      <c r="O327" s="49"/>
      <c r="P327" s="49"/>
      <c r="Q327" s="49"/>
      <c r="R327" s="49"/>
      <c r="S327" s="49"/>
      <c r="T327" s="49"/>
      <c r="U327" s="49"/>
      <c r="V327" s="49"/>
      <c r="W327" s="49"/>
      <c r="X327" s="49"/>
      <c r="Y327" s="49"/>
      <c r="Z327" s="49"/>
    </row>
    <row r="328">
      <c r="A328" s="49" t="str">
        <f>IFERROR(__xludf.DUMMYFUNCTION("""COMPUTED_VALUE"""),"The Wand of Aquatic Beasts")</f>
        <v>The Wand of Aquatic Beasts</v>
      </c>
      <c r="B328" s="49"/>
      <c r="C328" s="49" t="str">
        <f>IFERROR(__xludf.DUMMYFUNCTION("""COMPUTED_VALUE"""),"Wand")</f>
        <v>Wand</v>
      </c>
      <c r="D328" s="49" t="str">
        <f>IFERROR(__xludf.DUMMYFUNCTION("""COMPUTED_VALUE"""),"Hand")</f>
        <v>Hand</v>
      </c>
      <c r="E328" s="49">
        <f>IFERROR(__xludf.DUMMYFUNCTION("""COMPUTED_VALUE"""),1.0)</f>
        <v>1</v>
      </c>
      <c r="F328" s="49" t="str">
        <f>IFERROR(__xludf.DUMMYFUNCTION("""COMPUTED_VALUE""")," ++All water and storm spells are decreased by half sp.")</f>
        <v> ++All water and storm spells are decreased by half sp.</v>
      </c>
      <c r="G328" s="49">
        <f>IFERROR(__xludf.DUMMYFUNCTION("""COMPUTED_VALUE"""),0.0)</f>
        <v>0</v>
      </c>
      <c r="H328" s="49"/>
      <c r="I328" s="49"/>
      <c r="J328" s="49"/>
      <c r="K328" s="49"/>
      <c r="L328" s="49"/>
      <c r="M328" s="49"/>
      <c r="N328" s="49"/>
      <c r="O328" s="49"/>
      <c r="P328" s="49"/>
      <c r="Q328" s="49"/>
      <c r="R328" s="49"/>
      <c r="S328" s="49"/>
      <c r="T328" s="49"/>
      <c r="U328" s="49"/>
      <c r="V328" s="49"/>
      <c r="W328" s="49"/>
      <c r="X328" s="49"/>
      <c r="Y328" s="49"/>
      <c r="Z328" s="49"/>
    </row>
    <row r="329">
      <c r="A329" s="49" t="str">
        <f>IFERROR(__xludf.DUMMYFUNCTION("""COMPUTED_VALUE"""),"Titanic Two Hander")</f>
        <v>Titanic Two Hander</v>
      </c>
      <c r="B329" s="49"/>
      <c r="C329" s="49" t="str">
        <f>IFERROR(__xludf.DUMMYFUNCTION("""COMPUTED_VALUE"""),"Sword")</f>
        <v>Sword</v>
      </c>
      <c r="D329" s="49" t="str">
        <f>IFERROR(__xludf.DUMMYFUNCTION("""COMPUTED_VALUE"""),"Hand")</f>
        <v>Hand</v>
      </c>
      <c r="E329" s="49">
        <f>IFERROR(__xludf.DUMMYFUNCTION("""COMPUTED_VALUE"""),200.0)</f>
        <v>200</v>
      </c>
      <c r="F329" s="49" t="str">
        <f>IFERROR(__xludf.DUMMYFUNCTION("""COMPUTED_VALUE"""),"DMG: +10000")</f>
        <v>DMG: +10000</v>
      </c>
      <c r="G329" s="49">
        <f>IFERROR(__xludf.DUMMYFUNCTION("""COMPUTED_VALUE"""),1900000.0)</f>
        <v>1900000</v>
      </c>
      <c r="H329" s="49"/>
      <c r="I329" s="49"/>
      <c r="J329" s="49"/>
      <c r="K329" s="49"/>
      <c r="L329" s="49"/>
      <c r="M329" s="49"/>
      <c r="N329" s="49"/>
      <c r="O329" s="49"/>
      <c r="P329" s="49"/>
      <c r="Q329" s="49"/>
      <c r="R329" s="49"/>
      <c r="S329" s="49"/>
      <c r="T329" s="49"/>
      <c r="U329" s="49"/>
      <c r="V329" s="49"/>
      <c r="W329" s="49"/>
      <c r="X329" s="49"/>
      <c r="Y329" s="49"/>
      <c r="Z329" s="49"/>
    </row>
    <row r="330">
      <c r="A330" s="49" t="str">
        <f>IFERROR(__xludf.DUMMYFUNCTION("""COMPUTED_VALUE"""),"Top Hat")</f>
        <v>Top Hat</v>
      </c>
      <c r="B330" s="49" t="str">
        <f>IFERROR(__xludf.DUMMYFUNCTION("""COMPUTED_VALUE"""),"nothing like good ol abraham")</f>
        <v>nothing like good ol abraham</v>
      </c>
      <c r="C330" s="49"/>
      <c r="D330" s="49" t="str">
        <f>IFERROR(__xludf.DUMMYFUNCTION("""COMPUTED_VALUE"""),"Head")</f>
        <v>Head</v>
      </c>
      <c r="E330" s="49">
        <f>IFERROR(__xludf.DUMMYFUNCTION("""COMPUTED_VALUE"""),1.0)</f>
        <v>1</v>
      </c>
      <c r="F330" s="49" t="str">
        <f>IFERROR(__xludf.DUMMYFUNCTION("""COMPUTED_VALUE"""),"DEF: +1")</f>
        <v>DEF: +1</v>
      </c>
      <c r="G330" s="49">
        <f>IFERROR(__xludf.DUMMYFUNCTION("""COMPUTED_VALUE"""),0.0)</f>
        <v>0</v>
      </c>
      <c r="H330" s="49"/>
      <c r="I330" s="49"/>
      <c r="J330" s="49"/>
      <c r="K330" s="49"/>
      <c r="L330" s="49"/>
      <c r="M330" s="49"/>
      <c r="N330" s="49"/>
      <c r="O330" s="49"/>
      <c r="P330" s="49"/>
      <c r="Q330" s="49"/>
      <c r="R330" s="49"/>
      <c r="S330" s="49"/>
      <c r="T330" s="49"/>
      <c r="U330" s="49"/>
      <c r="V330" s="49"/>
      <c r="W330" s="49"/>
      <c r="X330" s="49"/>
      <c r="Y330" s="49"/>
      <c r="Z330" s="49"/>
    </row>
    <row r="331">
      <c r="A331" s="49" t="str">
        <f>IFERROR(__xludf.DUMMYFUNCTION("""COMPUTED_VALUE"""),"Trident")</f>
        <v>Trident</v>
      </c>
      <c r="B331" s="49"/>
      <c r="C331" s="49" t="str">
        <f>IFERROR(__xludf.DUMMYFUNCTION("""COMPUTED_VALUE"""),"Spear")</f>
        <v>Spear</v>
      </c>
      <c r="D331" s="49" t="str">
        <f>IFERROR(__xludf.DUMMYFUNCTION("""COMPUTED_VALUE"""),"Hand")</f>
        <v>Hand</v>
      </c>
      <c r="E331" s="49">
        <f>IFERROR(__xludf.DUMMYFUNCTION("""COMPUTED_VALUE"""),20.0)</f>
        <v>20</v>
      </c>
      <c r="F331" s="49" t="str">
        <f>IFERROR(__xludf.DUMMYFUNCTION("""COMPUTED_VALUE"""),"DMG: +600")</f>
        <v>DMG: +600</v>
      </c>
      <c r="G331" s="49">
        <f>IFERROR(__xludf.DUMMYFUNCTION("""COMPUTED_VALUE"""),1000.0)</f>
        <v>1000</v>
      </c>
      <c r="H331" s="49"/>
      <c r="I331" s="49"/>
      <c r="J331" s="49"/>
      <c r="K331" s="49"/>
      <c r="L331" s="49"/>
      <c r="M331" s="49"/>
      <c r="N331" s="49"/>
      <c r="O331" s="49"/>
      <c r="P331" s="49"/>
      <c r="Q331" s="49"/>
      <c r="R331" s="49"/>
      <c r="S331" s="49"/>
      <c r="T331" s="49"/>
      <c r="U331" s="49"/>
      <c r="V331" s="49"/>
      <c r="W331" s="49"/>
      <c r="X331" s="49"/>
      <c r="Y331" s="49"/>
      <c r="Z331" s="49"/>
    </row>
    <row r="332">
      <c r="A332" s="49" t="str">
        <f>IFERROR(__xludf.DUMMYFUNCTION("""COMPUTED_VALUE"""),"Tundra Staff")</f>
        <v>Tundra Staff</v>
      </c>
      <c r="B332" s="49"/>
      <c r="C332" s="49" t="str">
        <f>IFERROR(__xludf.DUMMYFUNCTION("""COMPUTED_VALUE"""),"Staff")</f>
        <v>Staff</v>
      </c>
      <c r="D332" s="49" t="str">
        <f>IFERROR(__xludf.DUMMYFUNCTION("""COMPUTED_VALUE"""),"Hand")</f>
        <v>Hand</v>
      </c>
      <c r="E332" s="49">
        <f>IFERROR(__xludf.DUMMYFUNCTION("""COMPUTED_VALUE"""),200.0)</f>
        <v>200</v>
      </c>
      <c r="F332" s="49" t="str">
        <f>IFERROR(__xludf.DUMMYFUNCTION("""COMPUTED_VALUE"""),", Earth : +10000 ++X2 Earth damage. +-Cannot be duplicated")</f>
        <v>, Earth : +10000 ++X2 Earth damage. +-Cannot be duplicated</v>
      </c>
      <c r="G332" s="49">
        <f>IFERROR(__xludf.DUMMYFUNCTION("""COMPUTED_VALUE"""),1900000.0)</f>
        <v>1900000</v>
      </c>
      <c r="H332" s="49"/>
      <c r="I332" s="49"/>
      <c r="J332" s="49"/>
      <c r="K332" s="49"/>
      <c r="L332" s="49"/>
      <c r="M332" s="49"/>
      <c r="N332" s="49"/>
      <c r="O332" s="49"/>
      <c r="P332" s="49"/>
      <c r="Q332" s="49"/>
      <c r="R332" s="49"/>
      <c r="S332" s="49"/>
      <c r="T332" s="49"/>
      <c r="U332" s="49"/>
      <c r="V332" s="49"/>
      <c r="W332" s="49"/>
      <c r="X332" s="49"/>
      <c r="Y332" s="49"/>
      <c r="Z332" s="49"/>
    </row>
    <row r="333">
      <c r="A333" s="49" t="str">
        <f>IFERROR(__xludf.DUMMYFUNCTION("""COMPUTED_VALUE"""),"Twilight Bow")</f>
        <v>Twilight Bow</v>
      </c>
      <c r="B333" s="49"/>
      <c r="C333" s="49" t="str">
        <f>IFERROR(__xludf.DUMMYFUNCTION("""COMPUTED_VALUE"""),"Bow")</f>
        <v>Bow</v>
      </c>
      <c r="D333" s="49" t="str">
        <f>IFERROR(__xludf.DUMMYFUNCTION("""COMPUTED_VALUE"""),"Hand")</f>
        <v>Hand</v>
      </c>
      <c r="E333" s="49">
        <f>IFERROR(__xludf.DUMMYFUNCTION("""COMPUTED_VALUE"""),400.0)</f>
        <v>400</v>
      </c>
      <c r="F333" s="49" t="str">
        <f>IFERROR(__xludf.DUMMYFUNCTION("""COMPUTED_VALUE"""),"DMG: +10000, Twilight DMG: +10000")</f>
        <v>DMG: +10000, Twilight DMG: +10000</v>
      </c>
      <c r="G333" s="49">
        <f>IFERROR(__xludf.DUMMYFUNCTION("""COMPUTED_VALUE"""),7800000.0)</f>
        <v>7800000</v>
      </c>
      <c r="H333" s="49"/>
      <c r="I333" s="49"/>
      <c r="J333" s="49"/>
      <c r="K333" s="49"/>
      <c r="L333" s="49"/>
      <c r="M333" s="49"/>
      <c r="N333" s="49"/>
      <c r="O333" s="49"/>
      <c r="P333" s="49"/>
      <c r="Q333" s="49"/>
      <c r="R333" s="49"/>
      <c r="S333" s="49"/>
      <c r="T333" s="49"/>
      <c r="U333" s="49"/>
      <c r="V333" s="49"/>
      <c r="W333" s="49"/>
      <c r="X333" s="49"/>
      <c r="Y333" s="49"/>
      <c r="Z333" s="49"/>
    </row>
    <row r="334">
      <c r="A334" s="49" t="str">
        <f>IFERROR(__xludf.DUMMYFUNCTION("""COMPUTED_VALUE"""),"Twilight Crystal Sword of Evil's Bane")</f>
        <v>Twilight Crystal Sword of Evil's Bane</v>
      </c>
      <c r="B334" s="49" t="str">
        <f>IFERROR(__xludf.DUMMYFUNCTION("""COMPUTED_VALUE"""),"Halloween Event Exclusive Item")</f>
        <v>Halloween Event Exclusive Item</v>
      </c>
      <c r="C334" s="49" t="str">
        <f>IFERROR(__xludf.DUMMYFUNCTION("""COMPUTED_VALUE"""),"Sword")</f>
        <v>Sword</v>
      </c>
      <c r="D334" s="49" t="str">
        <f>IFERROR(__xludf.DUMMYFUNCTION("""COMPUTED_VALUE"""),"Hand")</f>
        <v>Hand</v>
      </c>
      <c r="E334" s="49">
        <f>IFERROR(__xludf.DUMMYFUNCTION("""COMPUTED_VALUE"""),200.0)</f>
        <v>200</v>
      </c>
      <c r="F334" s="49"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49">
        <f>IFERROR(__xludf.DUMMYFUNCTION("""COMPUTED_VALUE"""),4.95E7)</f>
        <v>49500000</v>
      </c>
      <c r="H334" s="49"/>
      <c r="I334" s="49"/>
      <c r="J334" s="49"/>
      <c r="K334" s="49"/>
      <c r="L334" s="49"/>
      <c r="M334" s="49"/>
      <c r="N334" s="49"/>
      <c r="O334" s="49"/>
      <c r="P334" s="49"/>
      <c r="Q334" s="49"/>
      <c r="R334" s="49"/>
      <c r="S334" s="49"/>
      <c r="T334" s="49"/>
      <c r="U334" s="49"/>
      <c r="V334" s="49"/>
      <c r="W334" s="49"/>
      <c r="X334" s="49"/>
      <c r="Y334" s="49"/>
      <c r="Z334" s="49"/>
    </row>
    <row r="335">
      <c r="A335" s="49" t="str">
        <f>IFERROR(__xludf.DUMMYFUNCTION("""COMPUTED_VALUE"""),"Twilight Sword")</f>
        <v>Twilight Sword</v>
      </c>
      <c r="B335" s="49"/>
      <c r="C335" s="49" t="str">
        <f>IFERROR(__xludf.DUMMYFUNCTION("""COMPUTED_VALUE"""),"Sword")</f>
        <v>Sword</v>
      </c>
      <c r="D335" s="49" t="str">
        <f>IFERROR(__xludf.DUMMYFUNCTION("""COMPUTED_VALUE"""),"Hand")</f>
        <v>Hand</v>
      </c>
      <c r="E335" s="49">
        <f>IFERROR(__xludf.DUMMYFUNCTION("""COMPUTED_VALUE"""),20.0)</f>
        <v>20</v>
      </c>
      <c r="F335" s="49" t="str">
        <f>IFERROR(__xludf.DUMMYFUNCTION("""COMPUTED_VALUE"""),"DMG: +500, Twilight DMG: +200")</f>
        <v>DMG: +500, Twilight DMG: +200</v>
      </c>
      <c r="G335" s="49">
        <f>IFERROR(__xludf.DUMMYFUNCTION("""COMPUTED_VALUE"""),1000.0)</f>
        <v>1000</v>
      </c>
      <c r="H335" s="49"/>
      <c r="I335" s="49"/>
      <c r="J335" s="49"/>
      <c r="K335" s="49"/>
      <c r="L335" s="49"/>
      <c r="M335" s="49"/>
      <c r="N335" s="49"/>
      <c r="O335" s="49"/>
      <c r="P335" s="49"/>
      <c r="Q335" s="49"/>
      <c r="R335" s="49"/>
      <c r="S335" s="49"/>
      <c r="T335" s="49"/>
      <c r="U335" s="49"/>
      <c r="V335" s="49"/>
      <c r="W335" s="49"/>
      <c r="X335" s="49"/>
      <c r="Y335" s="49"/>
      <c r="Z335" s="49"/>
    </row>
    <row r="336">
      <c r="A336" s="49" t="str">
        <f>IFERROR(__xludf.DUMMYFUNCTION("""COMPUTED_VALUE"""),"Unknown Amulet")</f>
        <v>Unknown Amulet</v>
      </c>
      <c r="B336" s="49"/>
      <c r="C336" s="49"/>
      <c r="D336" s="49" t="str">
        <f>IFERROR(__xludf.DUMMYFUNCTION("""COMPUTED_VALUE"""),"Neck")</f>
        <v>Neck</v>
      </c>
      <c r="E336" s="49">
        <f>IFERROR(__xludf.DUMMYFUNCTION("""COMPUTED_VALUE"""),1.0)</f>
        <v>1</v>
      </c>
      <c r="F336" s="49"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49">
        <f>IFERROR(__xludf.DUMMYFUNCTION("""COMPUTED_VALUE"""),0.0)</f>
        <v>0</v>
      </c>
      <c r="H336" s="49"/>
      <c r="I336" s="49"/>
      <c r="J336" s="49"/>
      <c r="K336" s="49"/>
      <c r="L336" s="49"/>
      <c r="M336" s="49"/>
      <c r="N336" s="49"/>
      <c r="O336" s="49"/>
      <c r="P336" s="49"/>
      <c r="Q336" s="49"/>
      <c r="R336" s="49"/>
      <c r="S336" s="49"/>
      <c r="T336" s="49"/>
      <c r="U336" s="49"/>
      <c r="V336" s="49"/>
      <c r="W336" s="49"/>
      <c r="X336" s="49"/>
      <c r="Y336" s="49"/>
      <c r="Z336" s="49"/>
    </row>
    <row r="337">
      <c r="A337" s="49" t="str">
        <f>IFERROR(__xludf.DUMMYFUNCTION("""COMPUTED_VALUE"""),"Vambraces of Waking Waters")</f>
        <v>Vambraces of Waking Waters</v>
      </c>
      <c r="B337" s="49"/>
      <c r="C337" s="49"/>
      <c r="D337" s="49" t="str">
        <f>IFERROR(__xludf.DUMMYFUNCTION("""COMPUTED_VALUE"""),"Arms")</f>
        <v>Arms</v>
      </c>
      <c r="E337" s="49">
        <f>IFERROR(__xludf.DUMMYFUNCTION("""COMPUTED_VALUE"""),200.0)</f>
        <v>200</v>
      </c>
      <c r="F337" s="49" t="str">
        <f>IFERROR(__xludf.DUMMYFUNCTION("""COMPUTED_VALUE"""),"DEF: +5000, Water DEF: +5000 ++X4 additional Water damage.")</f>
        <v>DEF: +5000, Water DEF: +5000 ++X4 additional Water damage.</v>
      </c>
      <c r="G337" s="49">
        <f>IFERROR(__xludf.DUMMYFUNCTION("""COMPUTED_VALUE"""),1900000.0)</f>
        <v>1900000</v>
      </c>
      <c r="H337" s="49"/>
      <c r="I337" s="49"/>
      <c r="J337" s="49"/>
      <c r="K337" s="49"/>
      <c r="L337" s="49"/>
      <c r="M337" s="49"/>
      <c r="N337" s="49"/>
      <c r="O337" s="49"/>
      <c r="P337" s="49"/>
      <c r="Q337" s="49"/>
      <c r="R337" s="49"/>
      <c r="S337" s="49"/>
      <c r="T337" s="49"/>
      <c r="U337" s="49"/>
      <c r="V337" s="49"/>
      <c r="W337" s="49"/>
      <c r="X337" s="49"/>
      <c r="Y337" s="49"/>
      <c r="Z337" s="49"/>
    </row>
    <row r="338">
      <c r="A338" s="49" t="str">
        <f>IFERROR(__xludf.DUMMYFUNCTION("""COMPUTED_VALUE"""),"Viking Helm")</f>
        <v>Viking Helm</v>
      </c>
      <c r="B338" s="49"/>
      <c r="C338" s="49"/>
      <c r="D338" s="49" t="str">
        <f>IFERROR(__xludf.DUMMYFUNCTION("""COMPUTED_VALUE"""),"Head")</f>
        <v>Head</v>
      </c>
      <c r="E338" s="49">
        <f>IFERROR(__xludf.DUMMYFUNCTION("""COMPUTED_VALUE"""),1.0)</f>
        <v>1</v>
      </c>
      <c r="F338" s="49" t="str">
        <f>IFERROR(__xludf.DUMMYFUNCTION("""COMPUTED_VALUE"""),"DEF: +200 (Viking Set)")</f>
        <v>DEF: +200 (Viking Set)</v>
      </c>
      <c r="G338" s="49">
        <f>IFERROR(__xludf.DUMMYFUNCTION("""COMPUTED_VALUE"""),0.0)</f>
        <v>0</v>
      </c>
      <c r="H338" s="49"/>
      <c r="I338" s="49"/>
      <c r="J338" s="49"/>
      <c r="K338" s="49"/>
      <c r="L338" s="49"/>
      <c r="M338" s="49"/>
      <c r="N338" s="49"/>
      <c r="O338" s="49"/>
      <c r="P338" s="49"/>
      <c r="Q338" s="49"/>
      <c r="R338" s="49"/>
      <c r="S338" s="49"/>
      <c r="T338" s="49"/>
      <c r="U338" s="49"/>
      <c r="V338" s="49"/>
      <c r="W338" s="49"/>
      <c r="X338" s="49"/>
      <c r="Y338" s="49"/>
      <c r="Z338" s="49"/>
    </row>
    <row r="339">
      <c r="A339" s="49" t="str">
        <f>IFERROR(__xludf.DUMMYFUNCTION("""COMPUTED_VALUE"""),"Void sword")</f>
        <v>Void sword</v>
      </c>
      <c r="B339" s="49"/>
      <c r="C339" s="49" t="str">
        <f>IFERROR(__xludf.DUMMYFUNCTION("""COMPUTED_VALUE"""),"Sword")</f>
        <v>Sword</v>
      </c>
      <c r="D339" s="49" t="str">
        <f>IFERROR(__xludf.DUMMYFUNCTION("""COMPUTED_VALUE"""),"Hand")</f>
        <v>Hand</v>
      </c>
      <c r="E339" s="49">
        <f>IFERROR(__xludf.DUMMYFUNCTION("""COMPUTED_VALUE"""),200.0)</f>
        <v>200</v>
      </c>
      <c r="F339" s="49"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49">
        <f>IFERROR(__xludf.DUMMYFUNCTION("""COMPUTED_VALUE"""),0.0)</f>
        <v>0</v>
      </c>
      <c r="H339" s="49"/>
      <c r="I339" s="49"/>
      <c r="J339" s="49"/>
      <c r="K339" s="49"/>
      <c r="L339" s="49"/>
      <c r="M339" s="49"/>
      <c r="N339" s="49"/>
      <c r="O339" s="49"/>
      <c r="P339" s="49"/>
      <c r="Q339" s="49"/>
      <c r="R339" s="49"/>
      <c r="S339" s="49"/>
      <c r="T339" s="49"/>
      <c r="U339" s="49"/>
      <c r="V339" s="49"/>
      <c r="W339" s="49"/>
      <c r="X339" s="49"/>
      <c r="Y339" s="49"/>
      <c r="Z339" s="49"/>
    </row>
    <row r="340">
      <c r="A340" s="49" t="str">
        <f>IFERROR(__xludf.DUMMYFUNCTION("""COMPUTED_VALUE"""),"Volcanic Sword of Destruction")</f>
        <v>Volcanic Sword of Destruction</v>
      </c>
      <c r="B340" s="49"/>
      <c r="C340" s="49" t="str">
        <f>IFERROR(__xludf.DUMMYFUNCTION("""COMPUTED_VALUE"""),"Sword")</f>
        <v>Sword</v>
      </c>
      <c r="D340" s="49" t="str">
        <f>IFERROR(__xludf.DUMMYFUNCTION("""COMPUTED_VALUE"""),"Hand")</f>
        <v>Hand</v>
      </c>
      <c r="E340" s="49">
        <f>IFERROR(__xludf.DUMMYFUNCTION("""COMPUTED_VALUE"""),200.0)</f>
        <v>200</v>
      </c>
      <c r="F340" s="49"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49">
        <f>IFERROR(__xludf.DUMMYFUNCTION("""COMPUTED_VALUE"""),4.995E9)</f>
        <v>4995000000</v>
      </c>
      <c r="H340" s="49"/>
      <c r="I340" s="49"/>
      <c r="J340" s="49"/>
      <c r="K340" s="49"/>
      <c r="L340" s="49"/>
      <c r="M340" s="49"/>
      <c r="N340" s="49"/>
      <c r="O340" s="49"/>
      <c r="P340" s="49"/>
      <c r="Q340" s="49"/>
      <c r="R340" s="49"/>
      <c r="S340" s="49"/>
      <c r="T340" s="49"/>
      <c r="U340" s="49"/>
      <c r="V340" s="49"/>
      <c r="W340" s="49"/>
      <c r="X340" s="49"/>
      <c r="Y340" s="49"/>
      <c r="Z340" s="49"/>
    </row>
    <row r="341">
      <c r="A341" s="49" t="str">
        <f>IFERROR(__xludf.DUMMYFUNCTION("""COMPUTED_VALUE"""),"Wand of Grey")</f>
        <v>Wand of Grey</v>
      </c>
      <c r="B341" s="49"/>
      <c r="C341" s="49" t="str">
        <f>IFERROR(__xludf.DUMMYFUNCTION("""COMPUTED_VALUE"""),"Wand")</f>
        <v>Wand</v>
      </c>
      <c r="D341" s="49" t="str">
        <f>IFERROR(__xludf.DUMMYFUNCTION("""COMPUTED_VALUE"""),"Hand")</f>
        <v>Hand</v>
      </c>
      <c r="E341" s="49">
        <f>IFERROR(__xludf.DUMMYFUNCTION("""COMPUTED_VALUE"""),1.0)</f>
        <v>1</v>
      </c>
      <c r="F341" s="49" t="str">
        <f>IFERROR(__xludf.DUMMYFUNCTION("""COMPUTED_VALUE""")," ++X2 more damage to all spells. +-Cannot be duplicated.")</f>
        <v> ++X2 more damage to all spells. +-Cannot be duplicated.</v>
      </c>
      <c r="G341" s="49">
        <f>IFERROR(__xludf.DUMMYFUNCTION("""COMPUTED_VALUE"""),0.0)</f>
        <v>0</v>
      </c>
      <c r="H341" s="49"/>
      <c r="I341" s="49"/>
      <c r="J341" s="49"/>
      <c r="K341" s="49"/>
      <c r="L341" s="49"/>
      <c r="M341" s="49"/>
      <c r="N341" s="49"/>
      <c r="O341" s="49"/>
      <c r="P341" s="49"/>
      <c r="Q341" s="49"/>
      <c r="R341" s="49"/>
      <c r="S341" s="49"/>
      <c r="T341" s="49"/>
      <c r="U341" s="49"/>
      <c r="V341" s="49"/>
      <c r="W341" s="49"/>
      <c r="X341" s="49"/>
      <c r="Y341" s="49"/>
      <c r="Z341" s="49"/>
    </row>
    <row r="342">
      <c r="A342" s="49" t="str">
        <f>IFERROR(__xludf.DUMMYFUNCTION("""COMPUTED_VALUE"""),"Wand of Multi-Color")</f>
        <v>Wand of Multi-Color</v>
      </c>
      <c r="B342" s="49"/>
      <c r="C342" s="49" t="str">
        <f>IFERROR(__xludf.DUMMYFUNCTION("""COMPUTED_VALUE"""),"Wand")</f>
        <v>Wand</v>
      </c>
      <c r="D342" s="49" t="str">
        <f>IFERROR(__xludf.DUMMYFUNCTION("""COMPUTED_VALUE"""),"Hand")</f>
        <v>Hand</v>
      </c>
      <c r="E342" s="49">
        <f>IFERROR(__xludf.DUMMYFUNCTION("""COMPUTED_VALUE"""),1.0)</f>
        <v>1</v>
      </c>
      <c r="F342" s="49" t="str">
        <f>IFERROR(__xludf.DUMMYFUNCTION("""COMPUTED_VALUE""")," ++All types of spells are reduced by half sp. +-Cannot be duplicated. +-Can only equip one")</f>
        <v> ++All types of spells are reduced by half sp. +-Cannot be duplicated. +-Can only equip one</v>
      </c>
      <c r="G342" s="49">
        <f>IFERROR(__xludf.DUMMYFUNCTION("""COMPUTED_VALUE"""),0.0)</f>
        <v>0</v>
      </c>
      <c r="H342" s="49"/>
      <c r="I342" s="49"/>
      <c r="J342" s="49"/>
      <c r="K342" s="49"/>
      <c r="L342" s="49"/>
      <c r="M342" s="49"/>
      <c r="N342" s="49"/>
      <c r="O342" s="49"/>
      <c r="P342" s="49"/>
      <c r="Q342" s="49"/>
      <c r="R342" s="49"/>
      <c r="S342" s="49"/>
      <c r="T342" s="49"/>
      <c r="U342" s="49"/>
      <c r="V342" s="49"/>
      <c r="W342" s="49"/>
      <c r="X342" s="49"/>
      <c r="Y342" s="49"/>
      <c r="Z342" s="49"/>
    </row>
    <row r="343">
      <c r="A343" s="49" t="str">
        <f>IFERROR(__xludf.DUMMYFUNCTION("""COMPUTED_VALUE"""),"Warlock’s Armored Chestplate")</f>
        <v>Warlock’s Armored Chestplate</v>
      </c>
      <c r="B343" s="49"/>
      <c r="C343" s="49"/>
      <c r="D343" s="49" t="str">
        <f>IFERROR(__xludf.DUMMYFUNCTION("""COMPUTED_VALUE"""),"Torso")</f>
        <v>Torso</v>
      </c>
      <c r="E343" s="49">
        <f>IFERROR(__xludf.DUMMYFUNCTION("""COMPUTED_VALUE"""),100.0)</f>
        <v>100</v>
      </c>
      <c r="F343" s="49"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49">
        <f>IFERROR(__xludf.DUMMYFUNCTION("""COMPUTED_VALUE"""),450000.0)</f>
        <v>450000</v>
      </c>
      <c r="H343" s="49"/>
      <c r="I343" s="49"/>
      <c r="J343" s="49"/>
      <c r="K343" s="49"/>
      <c r="L343" s="49"/>
      <c r="M343" s="49"/>
      <c r="N343" s="49"/>
      <c r="O343" s="49"/>
      <c r="P343" s="49"/>
      <c r="Q343" s="49"/>
      <c r="R343" s="49"/>
      <c r="S343" s="49"/>
      <c r="T343" s="49"/>
      <c r="U343" s="49"/>
      <c r="V343" s="49"/>
      <c r="W343" s="49"/>
      <c r="X343" s="49"/>
      <c r="Y343" s="49"/>
      <c r="Z343" s="49"/>
    </row>
    <row r="344">
      <c r="A344" s="49" t="str">
        <f>IFERROR(__xludf.DUMMYFUNCTION("""COMPUTED_VALUE"""),"Water Warhammer")</f>
        <v>Water Warhammer</v>
      </c>
      <c r="B344" s="49"/>
      <c r="C344" s="49" t="str">
        <f>IFERROR(__xludf.DUMMYFUNCTION("""COMPUTED_VALUE"""),"Club")</f>
        <v>Club</v>
      </c>
      <c r="D344" s="49" t="str">
        <f>IFERROR(__xludf.DUMMYFUNCTION("""COMPUTED_VALUE"""),"Hand")</f>
        <v>Hand</v>
      </c>
      <c r="E344" s="49">
        <f>IFERROR(__xludf.DUMMYFUNCTION("""COMPUTED_VALUE"""),200.0)</f>
        <v>200</v>
      </c>
      <c r="F344" s="49" t="str">
        <f>IFERROR(__xludf.DUMMYFUNCTION("""COMPUTED_VALUE"""),"DMG: +5000, Water DMG: +5000")</f>
        <v>DMG: +5000, Water DMG: +5000</v>
      </c>
      <c r="G344" s="49">
        <f>IFERROR(__xludf.DUMMYFUNCTION("""COMPUTED_VALUE"""),1900000.0)</f>
        <v>1900000</v>
      </c>
      <c r="H344" s="49"/>
      <c r="I344" s="49"/>
      <c r="J344" s="49"/>
      <c r="K344" s="49"/>
      <c r="L344" s="49"/>
      <c r="M344" s="49"/>
      <c r="N344" s="49"/>
      <c r="O344" s="49"/>
      <c r="P344" s="49"/>
      <c r="Q344" s="49"/>
      <c r="R344" s="49"/>
      <c r="S344" s="49"/>
      <c r="T344" s="49"/>
      <c r="U344" s="49"/>
      <c r="V344" s="49"/>
      <c r="W344" s="49"/>
      <c r="X344" s="49"/>
      <c r="Y344" s="49"/>
      <c r="Z344" s="49"/>
    </row>
    <row r="345">
      <c r="A345" s="49" t="str">
        <f>IFERROR(__xludf.DUMMYFUNCTION("""COMPUTED_VALUE"""),"Weaponized Bamboo Hat")</f>
        <v>Weaponized Bamboo Hat</v>
      </c>
      <c r="B345" s="49"/>
      <c r="C345" s="49" t="str">
        <f>IFERROR(__xludf.DUMMYFUNCTION("""COMPUTED_VALUE"""),"Knife")</f>
        <v>Knife</v>
      </c>
      <c r="D345" s="49" t="str">
        <f>IFERROR(__xludf.DUMMYFUNCTION("""COMPUTED_VALUE"""),"Head")</f>
        <v>Head</v>
      </c>
      <c r="E345" s="49">
        <f>IFERROR(__xludf.DUMMYFUNCTION("""COMPUTED_VALUE"""),40.0)</f>
        <v>40</v>
      </c>
      <c r="F345" s="49" t="str">
        <f>IFERROR(__xludf.DUMMYFUNCTION("""COMPUTED_VALUE"""),"DEF: +1000, Nature DEF: +1000 ++10,000 damage when thrown, this item will return to you after thrown.")</f>
        <v>DEF: +1000, Nature DEF: +1000 ++10,000 damage when thrown, this item will return to you after thrown.</v>
      </c>
      <c r="G345" s="49">
        <f>IFERROR(__xludf.DUMMYFUNCTION("""COMPUTED_VALUE"""),60000.0)</f>
        <v>60000</v>
      </c>
      <c r="H345" s="49"/>
      <c r="I345" s="49"/>
      <c r="J345" s="49"/>
      <c r="K345" s="49"/>
      <c r="L345" s="49"/>
      <c r="M345" s="49"/>
      <c r="N345" s="49"/>
      <c r="O345" s="49"/>
      <c r="P345" s="49"/>
      <c r="Q345" s="49"/>
      <c r="R345" s="49"/>
      <c r="S345" s="49"/>
      <c r="T345" s="49"/>
      <c r="U345" s="49"/>
      <c r="V345" s="49"/>
      <c r="W345" s="49"/>
      <c r="X345" s="49"/>
      <c r="Y345" s="49"/>
      <c r="Z345" s="49"/>
    </row>
    <row r="346">
      <c r="A346" s="49" t="str">
        <f>IFERROR(__xludf.DUMMYFUNCTION("""COMPUTED_VALUE"""),"Wig of Temper Fire")</f>
        <v>Wig of Temper Fire</v>
      </c>
      <c r="B346" s="49"/>
      <c r="C346" s="49"/>
      <c r="D346" s="49" t="str">
        <f>IFERROR(__xludf.DUMMYFUNCTION("""COMPUTED_VALUE"""),"Head")</f>
        <v>Head</v>
      </c>
      <c r="E346" s="49">
        <f>IFERROR(__xludf.DUMMYFUNCTION("""COMPUTED_VALUE"""),1.0)</f>
        <v>1</v>
      </c>
      <c r="F346" s="49" t="str">
        <f>IFERROR(__xludf.DUMMYFUNCTION("""COMPUTED_VALUE""")," ++reduces any fire damage to 1 +-Cannot be duplicated")</f>
        <v> ++reduces any fire damage to 1 +-Cannot be duplicated</v>
      </c>
      <c r="G346" s="49">
        <f>IFERROR(__xludf.DUMMYFUNCTION("""COMPUTED_VALUE"""),0.0)</f>
        <v>0</v>
      </c>
      <c r="H346" s="49"/>
      <c r="I346" s="49"/>
      <c r="J346" s="49"/>
      <c r="K346" s="49"/>
      <c r="L346" s="49"/>
      <c r="M346" s="49"/>
      <c r="N346" s="49"/>
      <c r="O346" s="49"/>
      <c r="P346" s="49"/>
      <c r="Q346" s="49"/>
      <c r="R346" s="49"/>
      <c r="S346" s="49"/>
      <c r="T346" s="49"/>
      <c r="U346" s="49"/>
      <c r="V346" s="49"/>
      <c r="W346" s="49"/>
      <c r="X346" s="49"/>
      <c r="Y346" s="49"/>
      <c r="Z346" s="49"/>
    </row>
    <row r="347">
      <c r="A347" s="49" t="str">
        <f>IFERROR(__xludf.DUMMYFUNCTION("""COMPUTED_VALUE"""),"Woodsman’s Hacker")</f>
        <v>Woodsman’s Hacker</v>
      </c>
      <c r="B347" s="49"/>
      <c r="C347" s="49" t="str">
        <f>IFERROR(__xludf.DUMMYFUNCTION("""COMPUTED_VALUE"""),"Axe")</f>
        <v>Axe</v>
      </c>
      <c r="D347" s="49" t="str">
        <f>IFERROR(__xludf.DUMMYFUNCTION("""COMPUTED_VALUE"""),"Hand")</f>
        <v>Hand</v>
      </c>
      <c r="E347" s="49">
        <f>IFERROR(__xludf.DUMMYFUNCTION("""COMPUTED_VALUE"""),10.0)</f>
        <v>10</v>
      </c>
      <c r="F347" s="49" t="str">
        <f>IFERROR(__xludf.DUMMYFUNCTION("""COMPUTED_VALUE"""),"DMG: +500")</f>
        <v>DMG: +500</v>
      </c>
      <c r="G347" s="49">
        <f>IFERROR(__xludf.DUMMYFUNCTION("""COMPUTED_VALUE"""),1000.0)</f>
        <v>1000</v>
      </c>
      <c r="H347" s="49"/>
      <c r="I347" s="49"/>
      <c r="J347" s="49"/>
      <c r="K347" s="49"/>
      <c r="L347" s="49"/>
      <c r="M347" s="49"/>
      <c r="N347" s="49"/>
      <c r="O347" s="49"/>
      <c r="P347" s="49"/>
      <c r="Q347" s="49"/>
      <c r="R347" s="49"/>
      <c r="S347" s="49"/>
      <c r="T347" s="49"/>
      <c r="U347" s="49"/>
      <c r="V347" s="49"/>
      <c r="W347" s="49"/>
      <c r="X347" s="49"/>
      <c r="Y347" s="49"/>
      <c r="Z347" s="49"/>
    </row>
    <row r="348">
      <c r="A348" s="49" t="str">
        <f>IFERROR(__xludf.DUMMYFUNCTION("""COMPUTED_VALUE"""),"World Tree Sword")</f>
        <v>World Tree Sword</v>
      </c>
      <c r="B348" s="49"/>
      <c r="C348" s="49"/>
      <c r="D348" s="49" t="str">
        <f>IFERROR(__xludf.DUMMYFUNCTION("""COMPUTED_VALUE"""),"Hand")</f>
        <v>Hand</v>
      </c>
      <c r="E348" s="49">
        <f>IFERROR(__xludf.DUMMYFUNCTION("""COMPUTED_VALUE"""),200.0)</f>
        <v>200</v>
      </c>
      <c r="F348" s="49"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49">
        <f>IFERROR(__xludf.DUMMYFUNCTION("""COMPUTED_VALUE"""),3.196E9)</f>
        <v>3196000000</v>
      </c>
      <c r="H348" s="49"/>
      <c r="I348" s="49"/>
      <c r="J348" s="49"/>
      <c r="K348" s="49"/>
      <c r="L348" s="49"/>
      <c r="M348" s="49"/>
      <c r="N348" s="49"/>
      <c r="O348" s="49"/>
      <c r="P348" s="49"/>
      <c r="Q348" s="49"/>
      <c r="R348" s="49"/>
      <c r="S348" s="49"/>
      <c r="T348" s="49"/>
      <c r="U348" s="49"/>
      <c r="V348" s="49"/>
      <c r="W348" s="49"/>
      <c r="X348" s="49"/>
      <c r="Y348" s="49"/>
      <c r="Z348" s="49"/>
    </row>
    <row r="349">
      <c r="A349" s="49" t="str">
        <f>IFERROR(__xludf.DUMMYFUNCTION("""COMPUTED_VALUE"""),"Tear of the Dragon Pendant")</f>
        <v>Tear of the Dragon Pendant</v>
      </c>
      <c r="B349" s="49"/>
      <c r="C349" s="49"/>
      <c r="D349" s="49" t="str">
        <f>IFERROR(__xludf.DUMMYFUNCTION("""COMPUTED_VALUE"""),"Neck")</f>
        <v>Neck</v>
      </c>
      <c r="E349" s="49">
        <f>IFERROR(__xludf.DUMMYFUNCTION("""COMPUTED_VALUE"""),1.0)</f>
        <v>1</v>
      </c>
      <c r="F349" s="49" t="str">
        <f>IFERROR(__xludf.DUMMYFUNCTION("""COMPUTED_VALUE""")," ++Plus 5 or Minus 5 on your attack and percentage rolls, Users choice. +-Cannot be duplicated.")</f>
        <v> ++Plus 5 or Minus 5 on your attack and percentage rolls, Users choice. +-Cannot be duplicated.</v>
      </c>
      <c r="G349" s="49">
        <f>IFERROR(__xludf.DUMMYFUNCTION("""COMPUTED_VALUE"""),0.0)</f>
        <v>0</v>
      </c>
      <c r="H349" s="49"/>
      <c r="I349" s="49"/>
      <c r="J349" s="49"/>
      <c r="K349" s="49"/>
      <c r="L349" s="49"/>
      <c r="M349" s="49"/>
      <c r="N349" s="49"/>
      <c r="O349" s="49"/>
      <c r="P349" s="49"/>
      <c r="Q349" s="49"/>
      <c r="R349" s="49"/>
      <c r="S349" s="49"/>
      <c r="T349" s="49"/>
      <c r="U349" s="49"/>
      <c r="V349" s="49"/>
      <c r="W349" s="49"/>
      <c r="X349" s="49"/>
      <c r="Y349" s="49"/>
      <c r="Z349" s="49"/>
    </row>
    <row r="350">
      <c r="A350" s="49" t="str">
        <f>IFERROR(__xludf.DUMMYFUNCTION("""COMPUTED_VALUE"""),"Luck of the Dragon Pendant")</f>
        <v>Luck of the Dragon Pendant</v>
      </c>
      <c r="B350" s="49"/>
      <c r="C350" s="49"/>
      <c r="D350" s="49" t="str">
        <f>IFERROR(__xludf.DUMMYFUNCTION("""COMPUTED_VALUE"""),"Neck")</f>
        <v>Neck</v>
      </c>
      <c r="E350" s="49">
        <f>IFERROR(__xludf.DUMMYFUNCTION("""COMPUTED_VALUE"""),1.0)</f>
        <v>1</v>
      </c>
      <c r="F350" s="49" t="str">
        <f>IFERROR(__xludf.DUMMYFUNCTION("""COMPUTED_VALUE""")," ++Plus 5 or Minus 5 on your Loot and Fail/Succeed rolls, Users choice. +-Cannot be duplicated.")</f>
        <v> ++Plus 5 or Minus 5 on your Loot and Fail/Succeed rolls, Users choice. +-Cannot be duplicated.</v>
      </c>
      <c r="G350" s="49">
        <f>IFERROR(__xludf.DUMMYFUNCTION("""COMPUTED_VALUE"""),0.0)</f>
        <v>0</v>
      </c>
      <c r="H350" s="49"/>
      <c r="I350" s="49"/>
      <c r="J350" s="49"/>
      <c r="K350" s="49"/>
      <c r="L350" s="49"/>
      <c r="M350" s="49"/>
      <c r="N350" s="49"/>
      <c r="O350" s="49"/>
      <c r="P350" s="49"/>
      <c r="Q350" s="49"/>
      <c r="R350" s="49"/>
      <c r="S350" s="49"/>
      <c r="T350" s="49"/>
      <c r="U350" s="49"/>
      <c r="V350" s="49"/>
      <c r="W350" s="49"/>
      <c r="X350" s="49"/>
      <c r="Y350" s="49"/>
      <c r="Z350" s="49"/>
    </row>
    <row r="351">
      <c r="A351" s="49" t="str">
        <f>IFERROR(__xludf.DUMMYFUNCTION("""COMPUTED_VALUE"""),"Scale of the Dragon Pendant")</f>
        <v>Scale of the Dragon Pendant</v>
      </c>
      <c r="B351" s="49"/>
      <c r="C351" s="49"/>
      <c r="D351" s="49" t="str">
        <f>IFERROR(__xludf.DUMMYFUNCTION("""COMPUTED_VALUE"""),"Neck")</f>
        <v>Neck</v>
      </c>
      <c r="E351" s="49">
        <f>IFERROR(__xludf.DUMMYFUNCTION("""COMPUTED_VALUE"""),1.0)</f>
        <v>1</v>
      </c>
      <c r="F351" s="49" t="str">
        <f>IFERROR(__xludf.DUMMYFUNCTION("""COMPUTED_VALUE""")," ++Allows you to use a companions SP as your own if the companion is a dragon. +-Cannot be duplicated.")</f>
        <v> ++Allows you to use a companions SP as your own if the companion is a dragon. +-Cannot be duplicated.</v>
      </c>
      <c r="G351" s="49">
        <f>IFERROR(__xludf.DUMMYFUNCTION("""COMPUTED_VALUE"""),0.0)</f>
        <v>0</v>
      </c>
      <c r="H351" s="49"/>
      <c r="I351" s="49"/>
      <c r="J351" s="49"/>
      <c r="K351" s="49"/>
      <c r="L351" s="49"/>
      <c r="M351" s="49"/>
      <c r="N351" s="49"/>
      <c r="O351" s="49"/>
      <c r="P351" s="49"/>
      <c r="Q351" s="49"/>
      <c r="R351" s="49"/>
      <c r="S351" s="49"/>
      <c r="T351" s="49"/>
      <c r="U351" s="49"/>
      <c r="V351" s="49"/>
      <c r="W351" s="49"/>
      <c r="X351" s="49"/>
      <c r="Y351" s="49"/>
      <c r="Z351" s="49"/>
    </row>
    <row r="352">
      <c r="A352" s="49" t="str">
        <f>IFERROR(__xludf.DUMMYFUNCTION("""COMPUTED_VALUE"""),"Guard Pauldrons")</f>
        <v>Guard Pauldrons</v>
      </c>
      <c r="B352" s="49" t="str">
        <f>IFERROR(__xludf.DUMMYFUNCTION("""COMPUTED_VALUE"""),"Quest Item")</f>
        <v>Quest Item</v>
      </c>
      <c r="C352" s="49"/>
      <c r="D352" s="49" t="str">
        <f>IFERROR(__xludf.DUMMYFUNCTION("""COMPUTED_VALUE"""),"Shoulders")</f>
        <v>Shoulders</v>
      </c>
      <c r="E352" s="49">
        <f>IFERROR(__xludf.DUMMYFUNCTION("""COMPUTED_VALUE"""),200.0)</f>
        <v>200</v>
      </c>
      <c r="F352" s="49" t="str">
        <f>IFERROR(__xludf.DUMMYFUNCTION("""COMPUTED_VALUE"""),"DEF: +25000, Light DEF: +25000, Celestial DEF: +25000 +-Cannot be duplicated")</f>
        <v>DEF: +25000, Light DEF: +25000, Celestial DEF: +25000 +-Cannot be duplicated</v>
      </c>
      <c r="G352" s="49">
        <f>IFERROR(__xludf.DUMMYFUNCTION("""COMPUTED_VALUE"""),1.1175E8)</f>
        <v>111750000</v>
      </c>
      <c r="H352" s="49"/>
      <c r="I352" s="49"/>
      <c r="J352" s="49"/>
      <c r="K352" s="49"/>
      <c r="L352" s="49"/>
      <c r="M352" s="49"/>
      <c r="N352" s="49"/>
      <c r="O352" s="49"/>
      <c r="P352" s="49"/>
      <c r="Q352" s="49"/>
      <c r="R352" s="49"/>
      <c r="S352" s="49"/>
      <c r="T352" s="49"/>
      <c r="U352" s="49"/>
      <c r="V352" s="49"/>
      <c r="W352" s="49"/>
      <c r="X352" s="49"/>
      <c r="Y352" s="49"/>
      <c r="Z352" s="49"/>
    </row>
    <row r="353">
      <c r="A353" s="49" t="str">
        <f>IFERROR(__xludf.DUMMYFUNCTION("""COMPUTED_VALUE"""),"Guard Vambraces")</f>
        <v>Guard Vambraces</v>
      </c>
      <c r="B353" s="49" t="str">
        <f>IFERROR(__xludf.DUMMYFUNCTION("""COMPUTED_VALUE"""),"Quest Item")</f>
        <v>Quest Item</v>
      </c>
      <c r="C353" s="49"/>
      <c r="D353" s="49" t="str">
        <f>IFERROR(__xludf.DUMMYFUNCTION("""COMPUTED_VALUE"""),"Arms")</f>
        <v>Arms</v>
      </c>
      <c r="E353" s="49">
        <f>IFERROR(__xludf.DUMMYFUNCTION("""COMPUTED_VALUE"""),200.0)</f>
        <v>200</v>
      </c>
      <c r="F353" s="49" t="str">
        <f>IFERROR(__xludf.DUMMYFUNCTION("""COMPUTED_VALUE"""),"DEF: +25000, Light DEF: +25000, Celestial DEF: +25000 +-Cannot be duplicated")</f>
        <v>DEF: +25000, Light DEF: +25000, Celestial DEF: +25000 +-Cannot be duplicated</v>
      </c>
      <c r="G353" s="49">
        <f>IFERROR(__xludf.DUMMYFUNCTION("""COMPUTED_VALUE"""),1.1175E8)</f>
        <v>111750000</v>
      </c>
      <c r="H353" s="49"/>
      <c r="I353" s="49"/>
      <c r="J353" s="49"/>
      <c r="K353" s="49"/>
      <c r="L353" s="49"/>
      <c r="M353" s="49"/>
      <c r="N353" s="49"/>
      <c r="O353" s="49"/>
      <c r="P353" s="49"/>
      <c r="Q353" s="49"/>
      <c r="R353" s="49"/>
      <c r="S353" s="49"/>
      <c r="T353" s="49"/>
      <c r="U353" s="49"/>
      <c r="V353" s="49"/>
      <c r="W353" s="49"/>
      <c r="X353" s="49"/>
      <c r="Y353" s="49"/>
      <c r="Z353" s="49"/>
    </row>
    <row r="354">
      <c r="A354" s="49" t="str">
        <f>IFERROR(__xludf.DUMMYFUNCTION("""COMPUTED_VALUE"""),"Royal Guard Pauldrons")</f>
        <v>Royal Guard Pauldrons</v>
      </c>
      <c r="B354" s="49" t="str">
        <f>IFERROR(__xludf.DUMMYFUNCTION("""COMPUTED_VALUE"""),"Quest Item")</f>
        <v>Quest Item</v>
      </c>
      <c r="C354" s="49"/>
      <c r="D354" s="49" t="str">
        <f>IFERROR(__xludf.DUMMYFUNCTION("""COMPUTED_VALUE"""),"Shoulders")</f>
        <v>Shoulders</v>
      </c>
      <c r="E354" s="49">
        <f>IFERROR(__xludf.DUMMYFUNCTION("""COMPUTED_VALUE"""),200.0)</f>
        <v>200</v>
      </c>
      <c r="F354" s="49" t="str">
        <f>IFERROR(__xludf.DUMMYFUNCTION("""COMPUTED_VALUE"""),"DEF: +50000, Light DEF: +50000, Celestial DEF: +50000 +-Cannot be duplicated")</f>
        <v>DEF: +50000, Light DEF: +50000, Celestial DEF: +50000 +-Cannot be duplicated</v>
      </c>
      <c r="G354" s="49">
        <f>IFERROR(__xludf.DUMMYFUNCTION("""COMPUTED_VALUE"""),4.485E8)</f>
        <v>448500000</v>
      </c>
      <c r="H354" s="49"/>
      <c r="I354" s="49"/>
      <c r="J354" s="49"/>
      <c r="K354" s="49"/>
      <c r="L354" s="49"/>
      <c r="M354" s="49"/>
      <c r="N354" s="49"/>
      <c r="O354" s="49"/>
      <c r="P354" s="49"/>
      <c r="Q354" s="49"/>
      <c r="R354" s="49"/>
      <c r="S354" s="49"/>
      <c r="T354" s="49"/>
      <c r="U354" s="49"/>
      <c r="V354" s="49"/>
      <c r="W354" s="49"/>
      <c r="X354" s="49"/>
      <c r="Y354" s="49"/>
      <c r="Z354" s="49"/>
    </row>
    <row r="355">
      <c r="A355" s="49" t="str">
        <f>IFERROR(__xludf.DUMMYFUNCTION("""COMPUTED_VALUE"""),"Royal Guard Vambraces")</f>
        <v>Royal Guard Vambraces</v>
      </c>
      <c r="B355" s="49" t="str">
        <f>IFERROR(__xludf.DUMMYFUNCTION("""COMPUTED_VALUE"""),"Quest Item")</f>
        <v>Quest Item</v>
      </c>
      <c r="C355" s="49"/>
      <c r="D355" s="49" t="str">
        <f>IFERROR(__xludf.DUMMYFUNCTION("""COMPUTED_VALUE"""),"Arms")</f>
        <v>Arms</v>
      </c>
      <c r="E355" s="49">
        <f>IFERROR(__xludf.DUMMYFUNCTION("""COMPUTED_VALUE"""),200.0)</f>
        <v>200</v>
      </c>
      <c r="F355" s="49" t="str">
        <f>IFERROR(__xludf.DUMMYFUNCTION("""COMPUTED_VALUE"""),"DEF: +50000, Light DEF: +50000, Celestial DEF: +50000 +-Cannot be duplicated")</f>
        <v>DEF: +50000, Light DEF: +50000, Celestial DEF: +50000 +-Cannot be duplicated</v>
      </c>
      <c r="G355" s="49">
        <f>IFERROR(__xludf.DUMMYFUNCTION("""COMPUTED_VALUE"""),4.485E8)</f>
        <v>448500000</v>
      </c>
      <c r="H355" s="49"/>
      <c r="I355" s="49"/>
      <c r="J355" s="49"/>
      <c r="K355" s="49"/>
      <c r="L355" s="49"/>
      <c r="M355" s="49"/>
      <c r="N355" s="49"/>
      <c r="O355" s="49"/>
      <c r="P355" s="49"/>
      <c r="Q355" s="49"/>
      <c r="R355" s="49"/>
      <c r="S355" s="49"/>
      <c r="T355" s="49"/>
      <c r="U355" s="49"/>
      <c r="V355" s="49"/>
      <c r="W355" s="49"/>
      <c r="X355" s="49"/>
      <c r="Y355" s="49"/>
      <c r="Z355" s="49"/>
    </row>
    <row r="356">
      <c r="A356" s="49" t="str">
        <f>IFERROR(__xludf.DUMMYFUNCTION("""COMPUTED_VALUE"""),"Celestian Royal Pauldrons")</f>
        <v>Celestian Royal Pauldrons</v>
      </c>
      <c r="B356" s="49" t="str">
        <f>IFERROR(__xludf.DUMMYFUNCTION("""COMPUTED_VALUE"""),"Quest Item")</f>
        <v>Quest Item</v>
      </c>
      <c r="C356" s="49"/>
      <c r="D356" s="49" t="str">
        <f>IFERROR(__xludf.DUMMYFUNCTION("""COMPUTED_VALUE"""),"Shoulders")</f>
        <v>Shoulders</v>
      </c>
      <c r="E356" s="49">
        <f>IFERROR(__xludf.DUMMYFUNCTION("""COMPUTED_VALUE"""),200.0)</f>
        <v>200</v>
      </c>
      <c r="F356" s="49" t="str">
        <f>IFERROR(__xludf.DUMMYFUNCTION("""COMPUTED_VALUE"""),"DEF: +100000, Light DEF: +100000, Dark DEF: +100000, Celestial DEF: +100000 ++X2 Celestial Damage. +-Cannot be duplicated.")</f>
        <v>DEF: +100000, Light DEF: +100000, Dark DEF: +100000, Celestial DEF: +100000 ++X2 Celestial Damage. +-Cannot be duplicated.</v>
      </c>
      <c r="G356" s="49">
        <f>IFERROR(__xludf.DUMMYFUNCTION("""COMPUTED_VALUE"""),3.196E9)</f>
        <v>3196000000</v>
      </c>
      <c r="H356" s="49"/>
      <c r="I356" s="49"/>
      <c r="J356" s="49"/>
      <c r="K356" s="49"/>
      <c r="L356" s="49"/>
      <c r="M356" s="49"/>
      <c r="N356" s="49"/>
      <c r="O356" s="49"/>
      <c r="P356" s="49"/>
      <c r="Q356" s="49"/>
      <c r="R356" s="49"/>
      <c r="S356" s="49"/>
      <c r="T356" s="49"/>
      <c r="U356" s="49"/>
      <c r="V356" s="49"/>
      <c r="W356" s="49"/>
      <c r="X356" s="49"/>
      <c r="Y356" s="49"/>
      <c r="Z356" s="49"/>
    </row>
    <row r="357">
      <c r="A357" s="49" t="str">
        <f>IFERROR(__xludf.DUMMYFUNCTION("""COMPUTED_VALUE"""),"Celestian Royal Vambraces")</f>
        <v>Celestian Royal Vambraces</v>
      </c>
      <c r="B357" s="49" t="str">
        <f>IFERROR(__xludf.DUMMYFUNCTION("""COMPUTED_VALUE"""),"Quest Item")</f>
        <v>Quest Item</v>
      </c>
      <c r="C357" s="49"/>
      <c r="D357" s="49" t="str">
        <f>IFERROR(__xludf.DUMMYFUNCTION("""COMPUTED_VALUE"""),"Arms")</f>
        <v>Arms</v>
      </c>
      <c r="E357" s="49">
        <f>IFERROR(__xludf.DUMMYFUNCTION("""COMPUTED_VALUE"""),200.0)</f>
        <v>200</v>
      </c>
      <c r="F357" s="49" t="str">
        <f>IFERROR(__xludf.DUMMYFUNCTION("""COMPUTED_VALUE"""),"DEF: +100000, Light DEF: +100000, Dark DEF: +100000, Celestial DEF: +100000 ++X2 Celestial Damage. +-Cannot be duplicated.")</f>
        <v>DEF: +100000, Light DEF: +100000, Dark DEF: +100000, Celestial DEF: +100000 ++X2 Celestial Damage. +-Cannot be duplicated.</v>
      </c>
      <c r="G357" s="49">
        <f>IFERROR(__xludf.DUMMYFUNCTION("""COMPUTED_VALUE"""),3.196E9)</f>
        <v>3196000000</v>
      </c>
      <c r="H357" s="49"/>
      <c r="I357" s="49"/>
      <c r="J357" s="49"/>
      <c r="K357" s="49"/>
      <c r="L357" s="49"/>
      <c r="M357" s="49"/>
      <c r="N357" s="49"/>
      <c r="O357" s="49"/>
      <c r="P357" s="49"/>
      <c r="Q357" s="49"/>
      <c r="R357" s="49"/>
      <c r="S357" s="49"/>
      <c r="T357" s="49"/>
      <c r="U357" s="49"/>
      <c r="V357" s="49"/>
      <c r="W357" s="49"/>
      <c r="X357" s="49"/>
      <c r="Y357" s="49"/>
      <c r="Z357" s="49"/>
    </row>
    <row r="358">
      <c r="A358" s="49" t="str">
        <f>IFERROR(__xludf.DUMMYFUNCTION("""COMPUTED_VALUE"""),"Royal Guard Shield")</f>
        <v>Royal Guard Shield</v>
      </c>
      <c r="B358" s="49" t="str">
        <f>IFERROR(__xludf.DUMMYFUNCTION("""COMPUTED_VALUE"""),"Quest Item")</f>
        <v>Quest Item</v>
      </c>
      <c r="C358" s="49" t="str">
        <f>IFERROR(__xludf.DUMMYFUNCTION("""COMPUTED_VALUE"""),"Towershield")</f>
        <v>Towershield</v>
      </c>
      <c r="D358" s="49" t="str">
        <f>IFERROR(__xludf.DUMMYFUNCTION("""COMPUTED_VALUE"""),"Hand")</f>
        <v>Hand</v>
      </c>
      <c r="E358" s="49">
        <f>IFERROR(__xludf.DUMMYFUNCTION("""COMPUTED_VALUE"""),200.0)</f>
        <v>200</v>
      </c>
      <c r="F358" s="49" t="str">
        <f>IFERROR(__xludf.DUMMYFUNCTION("""COMPUTED_VALUE"""),"DEF: +50000, Light DEF: +50000, Dark DEF: +50000, Celestial DEF: +50000 ++X2 Celestial Defense. +-Cannot be duplicated.")</f>
        <v>DEF: +50000, Light DEF: +50000, Dark DEF: +50000, Celestial DEF: +50000 ++X2 Celestial Defense. +-Cannot be duplicated.</v>
      </c>
      <c r="G358" s="49">
        <f>IFERROR(__xludf.DUMMYFUNCTION("""COMPUTED_VALUE"""),7.98E8)</f>
        <v>798000000</v>
      </c>
      <c r="H358" s="49"/>
      <c r="I358" s="49"/>
      <c r="J358" s="49"/>
      <c r="K358" s="49"/>
      <c r="L358" s="49"/>
      <c r="M358" s="49"/>
      <c r="N358" s="49"/>
      <c r="O358" s="49"/>
      <c r="P358" s="49"/>
      <c r="Q358" s="49"/>
      <c r="R358" s="49"/>
      <c r="S358" s="49"/>
      <c r="T358" s="49"/>
      <c r="U358" s="49"/>
      <c r="V358" s="49"/>
      <c r="W358" s="49"/>
      <c r="X358" s="49"/>
      <c r="Y358" s="49"/>
      <c r="Z358" s="49"/>
    </row>
    <row r="359">
      <c r="A359" s="49" t="str">
        <f>IFERROR(__xludf.DUMMYFUNCTION("""COMPUTED_VALUE"""),"Guard Leggings")</f>
        <v>Guard Leggings</v>
      </c>
      <c r="B359" s="49" t="str">
        <f>IFERROR(__xludf.DUMMYFUNCTION("""COMPUTED_VALUE"""),"Quest Item")</f>
        <v>Quest Item</v>
      </c>
      <c r="C359" s="49"/>
      <c r="D359" s="49" t="str">
        <f>IFERROR(__xludf.DUMMYFUNCTION("""COMPUTED_VALUE"""),"Legs")</f>
        <v>Legs</v>
      </c>
      <c r="E359" s="49">
        <f>IFERROR(__xludf.DUMMYFUNCTION("""COMPUTED_VALUE"""),200.0)</f>
        <v>200</v>
      </c>
      <c r="F359" s="49" t="str">
        <f>IFERROR(__xludf.DUMMYFUNCTION("""COMPUTED_VALUE"""),"DEF: +25000, Light DEF: +25000, Celestial DEF: +25000 +-Cannot be duplicated")</f>
        <v>DEF: +25000, Light DEF: +25000, Celestial DEF: +25000 +-Cannot be duplicated</v>
      </c>
      <c r="G359" s="49">
        <f>IFERROR(__xludf.DUMMYFUNCTION("""COMPUTED_VALUE"""),1.1175E8)</f>
        <v>111750000</v>
      </c>
      <c r="H359" s="49"/>
      <c r="I359" s="49"/>
      <c r="J359" s="49"/>
      <c r="K359" s="49"/>
      <c r="L359" s="49"/>
      <c r="M359" s="49"/>
      <c r="N359" s="49"/>
      <c r="O359" s="49"/>
      <c r="P359" s="49"/>
      <c r="Q359" s="49"/>
      <c r="R359" s="49"/>
      <c r="S359" s="49"/>
      <c r="T359" s="49"/>
      <c r="U359" s="49"/>
      <c r="V359" s="49"/>
      <c r="W359" s="49"/>
      <c r="X359" s="49"/>
      <c r="Y359" s="49"/>
      <c r="Z359" s="49"/>
    </row>
    <row r="360">
      <c r="A360" s="49" t="str">
        <f>IFERROR(__xludf.DUMMYFUNCTION("""COMPUTED_VALUE"""),"Guard Boots")</f>
        <v>Guard Boots</v>
      </c>
      <c r="B360" s="49" t="str">
        <f>IFERROR(__xludf.DUMMYFUNCTION("""COMPUTED_VALUE"""),"Quest Item")</f>
        <v>Quest Item</v>
      </c>
      <c r="C360" s="49"/>
      <c r="D360" s="49" t="str">
        <f>IFERROR(__xludf.DUMMYFUNCTION("""COMPUTED_VALUE"""),"Feet")</f>
        <v>Feet</v>
      </c>
      <c r="E360" s="49">
        <f>IFERROR(__xludf.DUMMYFUNCTION("""COMPUTED_VALUE"""),200.0)</f>
        <v>200</v>
      </c>
      <c r="F360" s="49" t="str">
        <f>IFERROR(__xludf.DUMMYFUNCTION("""COMPUTED_VALUE"""),"DEF: +25000, Light DEF: +25000, Celestial DEF: +25000 +-Cannot be duplicated")</f>
        <v>DEF: +25000, Light DEF: +25000, Celestial DEF: +25000 +-Cannot be duplicated</v>
      </c>
      <c r="G360" s="49">
        <f>IFERROR(__xludf.DUMMYFUNCTION("""COMPUTED_VALUE"""),1.1175E8)</f>
        <v>111750000</v>
      </c>
      <c r="H360" s="49"/>
      <c r="I360" s="49"/>
      <c r="J360" s="49"/>
      <c r="K360" s="49"/>
      <c r="L360" s="49"/>
      <c r="M360" s="49"/>
      <c r="N360" s="49"/>
      <c r="O360" s="49"/>
      <c r="P360" s="49"/>
      <c r="Q360" s="49"/>
      <c r="R360" s="49"/>
      <c r="S360" s="49"/>
      <c r="T360" s="49"/>
      <c r="U360" s="49"/>
      <c r="V360" s="49"/>
      <c r="W360" s="49"/>
      <c r="X360" s="49"/>
      <c r="Y360" s="49"/>
      <c r="Z360" s="49"/>
    </row>
    <row r="361">
      <c r="A361" s="49" t="str">
        <f>IFERROR(__xludf.DUMMYFUNCTION("""COMPUTED_VALUE"""),"Celestian Royal Boots")</f>
        <v>Celestian Royal Boots</v>
      </c>
      <c r="B361" s="49" t="str">
        <f>IFERROR(__xludf.DUMMYFUNCTION("""COMPUTED_VALUE"""),"Quest Item")</f>
        <v>Quest Item</v>
      </c>
      <c r="C361" s="49"/>
      <c r="D361" s="49" t="str">
        <f>IFERROR(__xludf.DUMMYFUNCTION("""COMPUTED_VALUE"""),"Feet")</f>
        <v>Feet</v>
      </c>
      <c r="E361" s="49">
        <f>IFERROR(__xludf.DUMMYFUNCTION("""COMPUTED_VALUE"""),200.0)</f>
        <v>200</v>
      </c>
      <c r="F361" s="49" t="str">
        <f>IFERROR(__xludf.DUMMYFUNCTION("""COMPUTED_VALUE"""),"DEF: +100000, Light DEF: +100000, Dark DEF: +100000, Celestial DEF: +100000 ++X6 Celestial Damage. +-Cannot be duplicated.")</f>
        <v>DEF: +100000, Light DEF: +100000, Dark DEF: +100000, Celestial DEF: +100000 ++X6 Celestial Damage. +-Cannot be duplicated.</v>
      </c>
      <c r="G361" s="49">
        <f>IFERROR(__xludf.DUMMYFUNCTION("""COMPUTED_VALUE"""),3.196E9)</f>
        <v>3196000000</v>
      </c>
      <c r="H361" s="49"/>
      <c r="I361" s="49"/>
      <c r="J361" s="49"/>
      <c r="K361" s="49"/>
      <c r="L361" s="49"/>
      <c r="M361" s="49"/>
      <c r="N361" s="49"/>
      <c r="O361" s="49"/>
      <c r="P361" s="49"/>
      <c r="Q361" s="49"/>
      <c r="R361" s="49"/>
      <c r="S361" s="49"/>
      <c r="T361" s="49"/>
      <c r="U361" s="49"/>
      <c r="V361" s="49"/>
      <c r="W361" s="49"/>
      <c r="X361" s="49"/>
      <c r="Y361" s="49"/>
      <c r="Z361" s="49"/>
    </row>
    <row r="362">
      <c r="A362" s="49" t="str">
        <f>IFERROR(__xludf.DUMMYFUNCTION("""COMPUTED_VALUE"""),"Celestian Royal Leggings")</f>
        <v>Celestian Royal Leggings</v>
      </c>
      <c r="B362" s="49" t="str">
        <f>IFERROR(__xludf.DUMMYFUNCTION("""COMPUTED_VALUE"""),"Quest Item")</f>
        <v>Quest Item</v>
      </c>
      <c r="C362" s="49"/>
      <c r="D362" s="49" t="str">
        <f>IFERROR(__xludf.DUMMYFUNCTION("""COMPUTED_VALUE"""),"Legs")</f>
        <v>Legs</v>
      </c>
      <c r="E362" s="49">
        <f>IFERROR(__xludf.DUMMYFUNCTION("""COMPUTED_VALUE"""),200.0)</f>
        <v>200</v>
      </c>
      <c r="F362" s="49" t="str">
        <f>IFERROR(__xludf.DUMMYFUNCTION("""COMPUTED_VALUE"""),"DEF: +100000, Light DEF: +100000, Dark DEF: +100000, Celestial DEF: +100000 ++X6 Celestial Damage. +-Cannot be duplicated.")</f>
        <v>DEF: +100000, Light DEF: +100000, Dark DEF: +100000, Celestial DEF: +100000 ++X6 Celestial Damage. +-Cannot be duplicated.</v>
      </c>
      <c r="G362" s="49">
        <f>IFERROR(__xludf.DUMMYFUNCTION("""COMPUTED_VALUE"""),3.196E9)</f>
        <v>3196000000</v>
      </c>
      <c r="H362" s="49"/>
      <c r="I362" s="49"/>
      <c r="J362" s="49"/>
      <c r="K362" s="49"/>
      <c r="L362" s="49"/>
      <c r="M362" s="49"/>
      <c r="N362" s="49"/>
      <c r="O362" s="49"/>
      <c r="P362" s="49"/>
      <c r="Q362" s="49"/>
      <c r="R362" s="49"/>
      <c r="S362" s="49"/>
      <c r="T362" s="49"/>
      <c r="U362" s="49"/>
      <c r="V362" s="49"/>
      <c r="W362" s="49"/>
      <c r="X362" s="49"/>
      <c r="Y362" s="49"/>
      <c r="Z362" s="49"/>
    </row>
    <row r="363">
      <c r="A363" s="49" t="str">
        <f>IFERROR(__xludf.DUMMYFUNCTION("""COMPUTED_VALUE"""),"Celestian Royal Helmet")</f>
        <v>Celestian Royal Helmet</v>
      </c>
      <c r="B363" s="49" t="str">
        <f>IFERROR(__xludf.DUMMYFUNCTION("""COMPUTED_VALUE"""),"Quest Item")</f>
        <v>Quest Item</v>
      </c>
      <c r="C363" s="49"/>
      <c r="D363" s="49" t="str">
        <f>IFERROR(__xludf.DUMMYFUNCTION("""COMPUTED_VALUE"""),"Head")</f>
        <v>Head</v>
      </c>
      <c r="E363" s="49">
        <f>IFERROR(__xludf.DUMMYFUNCTION("""COMPUTED_VALUE"""),200.0)</f>
        <v>200</v>
      </c>
      <c r="F363" s="49" t="str">
        <f>IFERROR(__xludf.DUMMYFUNCTION("""COMPUTED_VALUE"""),"DEF: +100000, Light DEF: +100000, Dark DEF: +100000, Celestial DEF: +100000 ++X6 Celestial Damage. +-Cannot be duplicated.")</f>
        <v>DEF: +100000, Light DEF: +100000, Dark DEF: +100000, Celestial DEF: +100000 ++X6 Celestial Damage. +-Cannot be duplicated.</v>
      </c>
      <c r="G363" s="49">
        <f>IFERROR(__xludf.DUMMYFUNCTION("""COMPUTED_VALUE"""),3.196E9)</f>
        <v>3196000000</v>
      </c>
      <c r="H363" s="49"/>
      <c r="I363" s="49"/>
      <c r="J363" s="49"/>
      <c r="K363" s="49"/>
      <c r="L363" s="49"/>
      <c r="M363" s="49"/>
      <c r="N363" s="49"/>
      <c r="O363" s="49"/>
      <c r="P363" s="49"/>
      <c r="Q363" s="49"/>
      <c r="R363" s="49"/>
      <c r="S363" s="49"/>
      <c r="T363" s="49"/>
      <c r="U363" s="49"/>
      <c r="V363" s="49"/>
      <c r="W363" s="49"/>
      <c r="X363" s="49"/>
      <c r="Y363" s="49"/>
      <c r="Z363" s="49"/>
    </row>
    <row r="364">
      <c r="A364" s="49" t="str">
        <f>IFERROR(__xludf.DUMMYFUNCTION("""COMPUTED_VALUE"""),"Celestian Royal Chestplate")</f>
        <v>Celestian Royal Chestplate</v>
      </c>
      <c r="B364" s="49" t="str">
        <f>IFERROR(__xludf.DUMMYFUNCTION("""COMPUTED_VALUE"""),"Quest Item")</f>
        <v>Quest Item</v>
      </c>
      <c r="C364" s="49"/>
      <c r="D364" s="49" t="str">
        <f>IFERROR(__xludf.DUMMYFUNCTION("""COMPUTED_VALUE"""),"Torso")</f>
        <v>Torso</v>
      </c>
      <c r="E364" s="49">
        <f>IFERROR(__xludf.DUMMYFUNCTION("""COMPUTED_VALUE"""),200.0)</f>
        <v>200</v>
      </c>
      <c r="F364" s="49" t="str">
        <f>IFERROR(__xludf.DUMMYFUNCTION("""COMPUTED_VALUE"""),"DEF: +100000, Light DEF: +100000, Dark DEF: +100000, Celestial DEF: +100000 ++X6 Celestial Damage. +-Cannot be duplicated.")</f>
        <v>DEF: +100000, Light DEF: +100000, Dark DEF: +100000, Celestial DEF: +100000 ++X6 Celestial Damage. +-Cannot be duplicated.</v>
      </c>
      <c r="G364" s="49">
        <f>IFERROR(__xludf.DUMMYFUNCTION("""COMPUTED_VALUE"""),3.196E9)</f>
        <v>3196000000</v>
      </c>
      <c r="H364" s="49"/>
      <c r="I364" s="49"/>
      <c r="J364" s="49"/>
      <c r="K364" s="49"/>
      <c r="L364" s="49"/>
      <c r="M364" s="49"/>
      <c r="N364" s="49"/>
      <c r="O364" s="49"/>
      <c r="P364" s="49"/>
      <c r="Q364" s="49"/>
      <c r="R364" s="49"/>
      <c r="S364" s="49"/>
      <c r="T364" s="49"/>
      <c r="U364" s="49"/>
      <c r="V364" s="49"/>
      <c r="W364" s="49"/>
      <c r="X364" s="49"/>
      <c r="Y364" s="49"/>
      <c r="Z364" s="49"/>
    </row>
    <row r="365">
      <c r="A365" s="49" t="str">
        <f>IFERROR(__xludf.DUMMYFUNCTION("""COMPUTED_VALUE"""),"Guard Chestplate")</f>
        <v>Guard Chestplate</v>
      </c>
      <c r="B365" s="49" t="str">
        <f>IFERROR(__xludf.DUMMYFUNCTION("""COMPUTED_VALUE"""),"Quest Item")</f>
        <v>Quest Item</v>
      </c>
      <c r="C365" s="49"/>
      <c r="D365" s="49" t="str">
        <f>IFERROR(__xludf.DUMMYFUNCTION("""COMPUTED_VALUE"""),"Torso")</f>
        <v>Torso</v>
      </c>
      <c r="E365" s="49">
        <f>IFERROR(__xludf.DUMMYFUNCTION("""COMPUTED_VALUE"""),200.0)</f>
        <v>200</v>
      </c>
      <c r="F365" s="49" t="str">
        <f>IFERROR(__xludf.DUMMYFUNCTION("""COMPUTED_VALUE"""),"DEF: +25000, Light DEF: +25000, Celestial DEF: +25000 +-Cannot be duplicated.")</f>
        <v>DEF: +25000, Light DEF: +25000, Celestial DEF: +25000 +-Cannot be duplicated.</v>
      </c>
      <c r="G365" s="49">
        <f>IFERROR(__xludf.DUMMYFUNCTION("""COMPUTED_VALUE"""),1.1175E8)</f>
        <v>111750000</v>
      </c>
      <c r="H365" s="49"/>
      <c r="I365" s="49"/>
      <c r="J365" s="49"/>
      <c r="K365" s="49"/>
      <c r="L365" s="49"/>
      <c r="M365" s="49"/>
      <c r="N365" s="49"/>
      <c r="O365" s="49"/>
      <c r="P365" s="49"/>
      <c r="Q365" s="49"/>
      <c r="R365" s="49"/>
      <c r="S365" s="49"/>
      <c r="T365" s="49"/>
      <c r="U365" s="49"/>
      <c r="V365" s="49"/>
      <c r="W365" s="49"/>
      <c r="X365" s="49"/>
      <c r="Y365" s="49"/>
      <c r="Z365" s="49"/>
    </row>
    <row r="366">
      <c r="A366" s="49" t="str">
        <f>IFERROR(__xludf.DUMMYFUNCTION("""COMPUTED_VALUE"""),"Revolver")</f>
        <v>Revolver</v>
      </c>
      <c r="B366" s="49"/>
      <c r="C366" s="49" t="str">
        <f>IFERROR(__xludf.DUMMYFUNCTION("""COMPUTED_VALUE"""),"Firearm")</f>
        <v>Firearm</v>
      </c>
      <c r="D366" s="49" t="str">
        <f>IFERROR(__xludf.DUMMYFUNCTION("""COMPUTED_VALUE"""),"Hand")</f>
        <v>Hand</v>
      </c>
      <c r="E366" s="49">
        <f>IFERROR(__xludf.DUMMYFUNCTION("""COMPUTED_VALUE"""),200.0)</f>
        <v>200</v>
      </c>
      <c r="F366" s="49" t="str">
        <f>IFERROR(__xludf.DUMMYFUNCTION("""COMPUTED_VALUE"""),"DMG: +5000, Blood DMG: +5000")</f>
        <v>DMG: +5000, Blood DMG: +5000</v>
      </c>
      <c r="G366" s="49">
        <f>IFERROR(__xludf.DUMMYFUNCTION("""COMPUTED_VALUE"""),1900000.0)</f>
        <v>1900000</v>
      </c>
      <c r="H366" s="49"/>
      <c r="I366" s="49"/>
      <c r="J366" s="49"/>
      <c r="K366" s="49"/>
      <c r="L366" s="49"/>
      <c r="M366" s="49"/>
      <c r="N366" s="49"/>
      <c r="O366" s="49"/>
      <c r="P366" s="49"/>
      <c r="Q366" s="49"/>
      <c r="R366" s="49"/>
      <c r="S366" s="49"/>
      <c r="T366" s="49"/>
      <c r="U366" s="49"/>
      <c r="V366" s="49"/>
      <c r="W366" s="49"/>
      <c r="X366" s="49"/>
      <c r="Y366" s="49"/>
      <c r="Z366" s="49"/>
    </row>
    <row r="367">
      <c r="A367" s="49" t="str">
        <f>IFERROR(__xludf.DUMMYFUNCTION("""COMPUTED_VALUE"""),"Musket")</f>
        <v>Musket</v>
      </c>
      <c r="B367" s="49"/>
      <c r="C367" s="49" t="str">
        <f>IFERROR(__xludf.DUMMYFUNCTION("""COMPUTED_VALUE"""),"Firearm")</f>
        <v>Firearm</v>
      </c>
      <c r="D367" s="49" t="str">
        <f>IFERROR(__xludf.DUMMYFUNCTION("""COMPUTED_VALUE"""),"Hand")</f>
        <v>Hand</v>
      </c>
      <c r="E367" s="49">
        <f>IFERROR(__xludf.DUMMYFUNCTION("""COMPUTED_VALUE"""),400.0)</f>
        <v>400</v>
      </c>
      <c r="F367" s="49" t="str">
        <f>IFERROR(__xludf.DUMMYFUNCTION("""COMPUTED_VALUE"""),"DMG: +10000, Blood DMG: +10000")</f>
        <v>DMG: +10000, Blood DMG: +10000</v>
      </c>
      <c r="G367" s="49">
        <f>IFERROR(__xludf.DUMMYFUNCTION("""COMPUTED_VALUE"""),7800000.0)</f>
        <v>7800000</v>
      </c>
      <c r="H367" s="49"/>
      <c r="I367" s="49"/>
      <c r="J367" s="49"/>
      <c r="K367" s="49"/>
      <c r="L367" s="49"/>
      <c r="M367" s="49"/>
      <c r="N367" s="49"/>
      <c r="O367" s="49"/>
      <c r="P367" s="49"/>
      <c r="Q367" s="49"/>
      <c r="R367" s="49"/>
      <c r="S367" s="49"/>
      <c r="T367" s="49"/>
      <c r="U367" s="49"/>
      <c r="V367" s="49"/>
      <c r="W367" s="49"/>
      <c r="X367" s="49"/>
      <c r="Y367" s="49"/>
      <c r="Z367" s="49"/>
    </row>
    <row r="368">
      <c r="A368" s="49" t="str">
        <f>IFERROR(__xludf.DUMMYFUNCTION("""COMPUTED_VALUE"""),"Lazer Infused Railgun")</f>
        <v>Lazer Infused Railgun</v>
      </c>
      <c r="B368" s="49"/>
      <c r="C368" s="49" t="str">
        <f>IFERROR(__xludf.DUMMYFUNCTION("""COMPUTED_VALUE"""),"Firearm")</f>
        <v>Firearm</v>
      </c>
      <c r="D368" s="49" t="str">
        <f>IFERROR(__xludf.DUMMYFUNCTION("""COMPUTED_VALUE"""),"Hand")</f>
        <v>Hand</v>
      </c>
      <c r="E368" s="49">
        <f>IFERROR(__xludf.DUMMYFUNCTION("""COMPUTED_VALUE"""),1600.0)</f>
        <v>1600</v>
      </c>
      <c r="F368" s="49"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49">
        <f>IFERROR(__xludf.DUMMYFUNCTION("""COMPUTED_VALUE"""),1.272E8)</f>
        <v>127200000</v>
      </c>
      <c r="H368" s="49"/>
      <c r="I368" s="49"/>
      <c r="J368" s="49"/>
      <c r="K368" s="49"/>
      <c r="L368" s="49"/>
      <c r="M368" s="49"/>
      <c r="N368" s="49"/>
      <c r="O368" s="49"/>
      <c r="P368" s="49"/>
      <c r="Q368" s="49"/>
      <c r="R368" s="49"/>
      <c r="S368" s="49"/>
      <c r="T368" s="49"/>
      <c r="U368" s="49"/>
      <c r="V368" s="49"/>
      <c r="W368" s="49"/>
      <c r="X368" s="49"/>
      <c r="Y368" s="49"/>
      <c r="Z368" s="49"/>
    </row>
    <row r="369">
      <c r="A369" s="49" t="str">
        <f>IFERROR(__xludf.DUMMYFUNCTION("""COMPUTED_VALUE"""),"Minigun")</f>
        <v>Minigun</v>
      </c>
      <c r="B369" s="49"/>
      <c r="C369" s="49" t="str">
        <f>IFERROR(__xludf.DUMMYFUNCTION("""COMPUTED_VALUE"""),"Firearm")</f>
        <v>Firearm</v>
      </c>
      <c r="D369" s="49" t="str">
        <f>IFERROR(__xludf.DUMMYFUNCTION("""COMPUTED_VALUE"""),"Hand")</f>
        <v>Hand</v>
      </c>
      <c r="E369" s="49">
        <f>IFERROR(__xludf.DUMMYFUNCTION("""COMPUTED_VALUE"""),1200.0)</f>
        <v>1200</v>
      </c>
      <c r="F369" s="49"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49">
        <f>IFERROR(__xludf.DUMMYFUNCTION("""COMPUTED_VALUE"""),7.14E7)</f>
        <v>71400000</v>
      </c>
      <c r="H369" s="49"/>
      <c r="I369" s="49"/>
      <c r="J369" s="49"/>
      <c r="K369" s="49"/>
      <c r="L369" s="49"/>
      <c r="M369" s="49"/>
      <c r="N369" s="49"/>
      <c r="O369" s="49"/>
      <c r="P369" s="49"/>
      <c r="Q369" s="49"/>
      <c r="R369" s="49"/>
      <c r="S369" s="49"/>
      <c r="T369" s="49"/>
      <c r="U369" s="49"/>
      <c r="V369" s="49"/>
      <c r="W369" s="49"/>
      <c r="X369" s="49"/>
      <c r="Y369" s="49"/>
      <c r="Z369" s="49"/>
    </row>
    <row r="370">
      <c r="A370" s="49" t="str">
        <f>IFERROR(__xludf.DUMMYFUNCTION("""COMPUTED_VALUE"""),"Seahorse’s Ring")</f>
        <v>Seahorse’s Ring</v>
      </c>
      <c r="B370" s="49"/>
      <c r="C370" s="49"/>
      <c r="D370" s="49" t="str">
        <f>IFERROR(__xludf.DUMMYFUNCTION("""COMPUTED_VALUE"""),"Ring")</f>
        <v>Ring</v>
      </c>
      <c r="E370" s="49">
        <f>IFERROR(__xludf.DUMMYFUNCTION("""COMPUTED_VALUE"""),20.0)</f>
        <v>20</v>
      </c>
      <c r="F370" s="49"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49">
        <f>IFERROR(__xludf.DUMMYFUNCTION("""COMPUTED_VALUE"""),10000.0)</f>
        <v>10000</v>
      </c>
      <c r="H370" s="49"/>
      <c r="I370" s="49"/>
      <c r="J370" s="49"/>
      <c r="K370" s="49"/>
      <c r="L370" s="49"/>
      <c r="M370" s="49"/>
      <c r="N370" s="49"/>
      <c r="O370" s="49"/>
      <c r="P370" s="49"/>
      <c r="Q370" s="49"/>
      <c r="R370" s="49"/>
      <c r="S370" s="49"/>
      <c r="T370" s="49"/>
      <c r="U370" s="49"/>
      <c r="V370" s="49"/>
      <c r="W370" s="49"/>
      <c r="X370" s="49"/>
      <c r="Y370" s="49"/>
      <c r="Z370" s="49"/>
    </row>
    <row r="371">
      <c r="A371" s="49" t="str">
        <f>IFERROR(__xludf.DUMMYFUNCTION("""COMPUTED_VALUE"""),"Bamboo Vambraces")</f>
        <v>Bamboo Vambraces</v>
      </c>
      <c r="B371" s="49"/>
      <c r="C371" s="49"/>
      <c r="D371" s="49" t="str">
        <f>IFERROR(__xludf.DUMMYFUNCTION("""COMPUTED_VALUE"""),"Arms")</f>
        <v>Arms</v>
      </c>
      <c r="E371" s="49">
        <f>IFERROR(__xludf.DUMMYFUNCTION("""COMPUTED_VALUE"""),40.0)</f>
        <v>40</v>
      </c>
      <c r="F371" s="49" t="str">
        <f>IFERROR(__xludf.DUMMYFUNCTION("""COMPUTED_VALUE"""),"DEF: +1000, Nature DEF: +1000")</f>
        <v>DEF: +1000, Nature DEF: +1000</v>
      </c>
      <c r="G371" s="49">
        <f>IFERROR(__xludf.DUMMYFUNCTION("""COMPUTED_VALUE"""),60000.0)</f>
        <v>60000</v>
      </c>
      <c r="H371" s="49"/>
      <c r="I371" s="49"/>
      <c r="J371" s="49"/>
      <c r="K371" s="49"/>
      <c r="L371" s="49"/>
      <c r="M371" s="49"/>
      <c r="N371" s="49"/>
      <c r="O371" s="49"/>
      <c r="P371" s="49"/>
      <c r="Q371" s="49"/>
      <c r="R371" s="49"/>
      <c r="S371" s="49"/>
      <c r="T371" s="49"/>
      <c r="U371" s="49"/>
      <c r="V371" s="49"/>
      <c r="W371" s="49"/>
      <c r="X371" s="49"/>
      <c r="Y371" s="49"/>
      <c r="Z371" s="49"/>
    </row>
    <row r="372">
      <c r="A372" s="49" t="str">
        <f>IFERROR(__xludf.DUMMYFUNCTION("""COMPUTED_VALUE"""),"Bamboo Pauldrons")</f>
        <v>Bamboo Pauldrons</v>
      </c>
      <c r="B372" s="49"/>
      <c r="C372" s="49"/>
      <c r="D372" s="49" t="str">
        <f>IFERROR(__xludf.DUMMYFUNCTION("""COMPUTED_VALUE"""),"Shoulders")</f>
        <v>Shoulders</v>
      </c>
      <c r="E372" s="49">
        <f>IFERROR(__xludf.DUMMYFUNCTION("""COMPUTED_VALUE"""),40.0)</f>
        <v>40</v>
      </c>
      <c r="F372" s="49" t="str">
        <f>IFERROR(__xludf.DUMMYFUNCTION("""COMPUTED_VALUE"""),"DEF: +1000, Nature DEF: +1000")</f>
        <v>DEF: +1000, Nature DEF: +1000</v>
      </c>
      <c r="G372" s="49">
        <f>IFERROR(__xludf.DUMMYFUNCTION("""COMPUTED_VALUE"""),60000.0)</f>
        <v>60000</v>
      </c>
      <c r="H372" s="49"/>
      <c r="I372" s="49"/>
      <c r="J372" s="49"/>
      <c r="K372" s="49"/>
      <c r="L372" s="49"/>
      <c r="M372" s="49"/>
      <c r="N372" s="49"/>
      <c r="O372" s="49"/>
      <c r="P372" s="49"/>
      <c r="Q372" s="49"/>
      <c r="R372" s="49"/>
      <c r="S372" s="49"/>
      <c r="T372" s="49"/>
      <c r="U372" s="49"/>
      <c r="V372" s="49"/>
      <c r="W372" s="49"/>
      <c r="X372" s="49"/>
      <c r="Y372" s="49"/>
      <c r="Z372" s="49"/>
    </row>
    <row r="373">
      <c r="A373" s="49" t="str">
        <f>IFERROR(__xludf.DUMMYFUNCTION("""COMPUTED_VALUE"""),"Bamboo Chestplate")</f>
        <v>Bamboo Chestplate</v>
      </c>
      <c r="B373" s="49"/>
      <c r="C373" s="49"/>
      <c r="D373" s="49" t="str">
        <f>IFERROR(__xludf.DUMMYFUNCTION("""COMPUTED_VALUE"""),"Torso")</f>
        <v>Torso</v>
      </c>
      <c r="E373" s="49">
        <f>IFERROR(__xludf.DUMMYFUNCTION("""COMPUTED_VALUE"""),40.0)</f>
        <v>40</v>
      </c>
      <c r="F373" s="49" t="str">
        <f>IFERROR(__xludf.DUMMYFUNCTION("""COMPUTED_VALUE"""),"DEF: +1000, Nature DEF: +1000")</f>
        <v>DEF: +1000, Nature DEF: +1000</v>
      </c>
      <c r="G373" s="49">
        <f>IFERROR(__xludf.DUMMYFUNCTION("""COMPUTED_VALUE"""),60000.0)</f>
        <v>60000</v>
      </c>
      <c r="H373" s="49"/>
      <c r="I373" s="49"/>
      <c r="J373" s="49"/>
      <c r="K373" s="49"/>
      <c r="L373" s="49"/>
      <c r="M373" s="49"/>
      <c r="N373" s="49"/>
      <c r="O373" s="49"/>
      <c r="P373" s="49"/>
      <c r="Q373" s="49"/>
      <c r="R373" s="49"/>
      <c r="S373" s="49"/>
      <c r="T373" s="49"/>
      <c r="U373" s="49"/>
      <c r="V373" s="49"/>
      <c r="W373" s="49"/>
      <c r="X373" s="49"/>
      <c r="Y373" s="49"/>
      <c r="Z373" s="49"/>
    </row>
    <row r="374">
      <c r="A374" s="49" t="str">
        <f>IFERROR(__xludf.DUMMYFUNCTION("""COMPUTED_VALUE"""),"Bamboo Greaves")</f>
        <v>Bamboo Greaves</v>
      </c>
      <c r="B374" s="49"/>
      <c r="C374" s="49"/>
      <c r="D374" s="49" t="str">
        <f>IFERROR(__xludf.DUMMYFUNCTION("""COMPUTED_VALUE"""),"Legs")</f>
        <v>Legs</v>
      </c>
      <c r="E374" s="49">
        <f>IFERROR(__xludf.DUMMYFUNCTION("""COMPUTED_VALUE"""),40.0)</f>
        <v>40</v>
      </c>
      <c r="F374" s="49" t="str">
        <f>IFERROR(__xludf.DUMMYFUNCTION("""COMPUTED_VALUE"""),"DEF: +1000, Nature DEF: +1000")</f>
        <v>DEF: +1000, Nature DEF: +1000</v>
      </c>
      <c r="G374" s="49">
        <f>IFERROR(__xludf.DUMMYFUNCTION("""COMPUTED_VALUE"""),60000.0)</f>
        <v>60000</v>
      </c>
      <c r="H374" s="49"/>
      <c r="I374" s="49"/>
      <c r="J374" s="49"/>
      <c r="K374" s="49"/>
      <c r="L374" s="49"/>
      <c r="M374" s="49"/>
      <c r="N374" s="49"/>
      <c r="O374" s="49"/>
      <c r="P374" s="49"/>
      <c r="Q374" s="49"/>
      <c r="R374" s="49"/>
      <c r="S374" s="49"/>
      <c r="T374" s="49"/>
      <c r="U374" s="49"/>
      <c r="V374" s="49"/>
      <c r="W374" s="49"/>
      <c r="X374" s="49"/>
      <c r="Y374" s="49"/>
      <c r="Z374" s="49"/>
    </row>
    <row r="375">
      <c r="A375" s="49" t="str">
        <f>IFERROR(__xludf.DUMMYFUNCTION("""COMPUTED_VALUE"""),"Strengthened Bamboo Sword")</f>
        <v>Strengthened Bamboo Sword</v>
      </c>
      <c r="B375" s="49"/>
      <c r="C375" s="49" t="str">
        <f>IFERROR(__xludf.DUMMYFUNCTION("""COMPUTED_VALUE"""),"Sword")</f>
        <v>Sword</v>
      </c>
      <c r="D375" s="49" t="str">
        <f>IFERROR(__xludf.DUMMYFUNCTION("""COMPUTED_VALUE"""),"Hand")</f>
        <v>Hand</v>
      </c>
      <c r="E375" s="49">
        <f>IFERROR(__xludf.DUMMYFUNCTION("""COMPUTED_VALUE"""),40.0)</f>
        <v>40</v>
      </c>
      <c r="F375" s="49" t="str">
        <f>IFERROR(__xludf.DUMMYFUNCTION("""COMPUTED_VALUE"""),"DMG: +1000, Nature DMG: +1000 ++X4 damage for this weapon if the battle is in a Forest or Jungle.")</f>
        <v>DMG: +1000, Nature DMG: +1000 ++X4 damage for this weapon if the battle is in a Forest or Jungle.</v>
      </c>
      <c r="G375" s="49">
        <f>IFERROR(__xludf.DUMMYFUNCTION("""COMPUTED_VALUE"""),60000.0)</f>
        <v>60000</v>
      </c>
      <c r="H375" s="49"/>
      <c r="I375" s="49"/>
      <c r="J375" s="49"/>
      <c r="K375" s="49"/>
      <c r="L375" s="49"/>
      <c r="M375" s="49"/>
      <c r="N375" s="49"/>
      <c r="O375" s="49"/>
      <c r="P375" s="49"/>
      <c r="Q375" s="49"/>
      <c r="R375" s="49"/>
      <c r="S375" s="49"/>
      <c r="T375" s="49"/>
      <c r="U375" s="49"/>
      <c r="V375" s="49"/>
      <c r="W375" s="49"/>
      <c r="X375" s="49"/>
      <c r="Y375" s="49"/>
      <c r="Z375" s="49"/>
    </row>
    <row r="376">
      <c r="A376" s="49" t="str">
        <f>IFERROR(__xludf.DUMMYFUNCTION("""COMPUTED_VALUE"""),"Bamboo Sandals")</f>
        <v>Bamboo Sandals</v>
      </c>
      <c r="B376" s="49"/>
      <c r="C376" s="49"/>
      <c r="D376" s="49" t="str">
        <f>IFERROR(__xludf.DUMMYFUNCTION("""COMPUTED_VALUE"""),"Feet")</f>
        <v>Feet</v>
      </c>
      <c r="E376" s="49">
        <f>IFERROR(__xludf.DUMMYFUNCTION("""COMPUTED_VALUE"""),40.0)</f>
        <v>40</v>
      </c>
      <c r="F376" s="49" t="str">
        <f>IFERROR(__xludf.DUMMYFUNCTION("""COMPUTED_VALUE"""),"DEF: +1000, Nature DEF: +1000")</f>
        <v>DEF: +1000, Nature DEF: +1000</v>
      </c>
      <c r="G376" s="49">
        <f>IFERROR(__xludf.DUMMYFUNCTION("""COMPUTED_VALUE"""),60000.0)</f>
        <v>60000</v>
      </c>
      <c r="H376" s="49"/>
      <c r="I376" s="49"/>
      <c r="J376" s="49"/>
      <c r="K376" s="49"/>
      <c r="L376" s="49"/>
      <c r="M376" s="49"/>
      <c r="N376" s="49"/>
      <c r="O376" s="49"/>
      <c r="P376" s="49"/>
      <c r="Q376" s="49"/>
      <c r="R376" s="49"/>
      <c r="S376" s="49"/>
      <c r="T376" s="49"/>
      <c r="U376" s="49"/>
      <c r="V376" s="49"/>
      <c r="W376" s="49"/>
      <c r="X376" s="49"/>
      <c r="Y376" s="49"/>
      <c r="Z376" s="49"/>
    </row>
    <row r="377">
      <c r="A377" s="49" t="str">
        <f>IFERROR(__xludf.DUMMYFUNCTION("""COMPUTED_VALUE"""),"Greaves of Foul Night")</f>
        <v>Greaves of Foul Night</v>
      </c>
      <c r="B377" s="49"/>
      <c r="C377" s="49"/>
      <c r="D377" s="49" t="str">
        <f>IFERROR(__xludf.DUMMYFUNCTION("""COMPUTED_VALUE"""),"Legs")</f>
        <v>Legs</v>
      </c>
      <c r="E377" s="49">
        <f>IFERROR(__xludf.DUMMYFUNCTION("""COMPUTED_VALUE"""),200.0)</f>
        <v>200</v>
      </c>
      <c r="F377" s="49" t="str">
        <f>IFERROR(__xludf.DUMMYFUNCTION("""COMPUTED_VALUE"""),"DEF: +5000, Nature DEF: +5000 (Foul Night Set) ++X2 Nature and Poison damage, Poison Immunity.")</f>
        <v>DEF: +5000, Nature DEF: +5000 (Foul Night Set) ++X2 Nature and Poison damage, Poison Immunity.</v>
      </c>
      <c r="G377" s="49">
        <f>IFERROR(__xludf.DUMMYFUNCTION("""COMPUTED_VALUE"""),1900000.0)</f>
        <v>1900000</v>
      </c>
      <c r="H377" s="49"/>
      <c r="I377" s="49"/>
      <c r="J377" s="49"/>
      <c r="K377" s="49"/>
      <c r="L377" s="49"/>
      <c r="M377" s="49"/>
      <c r="N377" s="49"/>
      <c r="O377" s="49"/>
      <c r="P377" s="49"/>
      <c r="Q377" s="49"/>
      <c r="R377" s="49"/>
      <c r="S377" s="49"/>
      <c r="T377" s="49"/>
      <c r="U377" s="49"/>
      <c r="V377" s="49"/>
      <c r="W377" s="49"/>
      <c r="X377" s="49"/>
      <c r="Y377" s="49"/>
      <c r="Z377" s="49"/>
    </row>
    <row r="378">
      <c r="A378" s="49" t="str">
        <f>IFERROR(__xludf.DUMMYFUNCTION("""COMPUTED_VALUE"""),"Vambraces of Foul Night")</f>
        <v>Vambraces of Foul Night</v>
      </c>
      <c r="B378" s="49"/>
      <c r="C378" s="49"/>
      <c r="D378" s="49" t="str">
        <f>IFERROR(__xludf.DUMMYFUNCTION("""COMPUTED_VALUE"""),"Arms")</f>
        <v>Arms</v>
      </c>
      <c r="E378" s="49">
        <f>IFERROR(__xludf.DUMMYFUNCTION("""COMPUTED_VALUE"""),200.0)</f>
        <v>200</v>
      </c>
      <c r="F378" s="49" t="str">
        <f>IFERROR(__xludf.DUMMYFUNCTION("""COMPUTED_VALUE"""),"DEF: +5000, Dark DEF: +5000 (Foul Night Set) ++X2 Dark and Poison damage, Poison Immunity.")</f>
        <v>DEF: +5000, Dark DEF: +5000 (Foul Night Set) ++X2 Dark and Poison damage, Poison Immunity.</v>
      </c>
      <c r="G378" s="49">
        <f>IFERROR(__xludf.DUMMYFUNCTION("""COMPUTED_VALUE"""),1900000.0)</f>
        <v>1900000</v>
      </c>
      <c r="H378" s="49"/>
      <c r="I378" s="49"/>
      <c r="J378" s="49"/>
      <c r="K378" s="49"/>
      <c r="L378" s="49"/>
      <c r="M378" s="49"/>
      <c r="N378" s="49"/>
      <c r="O378" s="49"/>
      <c r="P378" s="49"/>
      <c r="Q378" s="49"/>
      <c r="R378" s="49"/>
      <c r="S378" s="49"/>
      <c r="T378" s="49"/>
      <c r="U378" s="49"/>
      <c r="V378" s="49"/>
      <c r="W378" s="49"/>
      <c r="X378" s="49"/>
      <c r="Y378" s="49"/>
      <c r="Z378" s="49"/>
    </row>
    <row r="379">
      <c r="A379" s="49" t="str">
        <f>IFERROR(__xludf.DUMMYFUNCTION("""COMPUTED_VALUE"""),"Boots of Foul Night")</f>
        <v>Boots of Foul Night</v>
      </c>
      <c r="B379" s="49"/>
      <c r="C379" s="49"/>
      <c r="D379" s="49" t="str">
        <f>IFERROR(__xludf.DUMMYFUNCTION("""COMPUTED_VALUE"""),"Feet")</f>
        <v>Feet</v>
      </c>
      <c r="E379" s="49">
        <f>IFERROR(__xludf.DUMMYFUNCTION("""COMPUTED_VALUE"""),200.0)</f>
        <v>200</v>
      </c>
      <c r="F379" s="49" t="str">
        <f>IFERROR(__xludf.DUMMYFUNCTION("""COMPUTED_VALUE"""),"DEF: +5000, Dark DEF: +5000 (Foul Night Set) ++X2 Dark and Poison damage, Poison Immunity.")</f>
        <v>DEF: +5000, Dark DEF: +5000 (Foul Night Set) ++X2 Dark and Poison damage, Poison Immunity.</v>
      </c>
      <c r="G379" s="49">
        <f>IFERROR(__xludf.DUMMYFUNCTION("""COMPUTED_VALUE"""),1900000.0)</f>
        <v>1900000</v>
      </c>
      <c r="H379" s="49"/>
      <c r="I379" s="49"/>
      <c r="J379" s="49"/>
      <c r="K379" s="49"/>
      <c r="L379" s="49"/>
      <c r="M379" s="49"/>
      <c r="N379" s="49"/>
      <c r="O379" s="49"/>
      <c r="P379" s="49"/>
      <c r="Q379" s="49"/>
      <c r="R379" s="49"/>
      <c r="S379" s="49"/>
      <c r="T379" s="49"/>
      <c r="U379" s="49"/>
      <c r="V379" s="49"/>
      <c r="W379" s="49"/>
      <c r="X379" s="49"/>
      <c r="Y379" s="49"/>
      <c r="Z379" s="49"/>
    </row>
    <row r="380">
      <c r="A380" s="49" t="str">
        <f>IFERROR(__xludf.DUMMYFUNCTION("""COMPUTED_VALUE"""),"Pauldrons of Foul Night")</f>
        <v>Pauldrons of Foul Night</v>
      </c>
      <c r="B380" s="49"/>
      <c r="C380" s="49"/>
      <c r="D380" s="49" t="str">
        <f>IFERROR(__xludf.DUMMYFUNCTION("""COMPUTED_VALUE"""),"Shoulders")</f>
        <v>Shoulders</v>
      </c>
      <c r="E380" s="49">
        <f>IFERROR(__xludf.DUMMYFUNCTION("""COMPUTED_VALUE"""),200.0)</f>
        <v>200</v>
      </c>
      <c r="F380" s="49" t="str">
        <f>IFERROR(__xludf.DUMMYFUNCTION("""COMPUTED_VALUE"""),"DEF: +5000, Dark DEF: +5000 (Foul Night Set) ++X2 Dark and Poison damage, Poison Immunity.")</f>
        <v>DEF: +5000, Dark DEF: +5000 (Foul Night Set) ++X2 Dark and Poison damage, Poison Immunity.</v>
      </c>
      <c r="G380" s="49">
        <f>IFERROR(__xludf.DUMMYFUNCTION("""COMPUTED_VALUE"""),1900000.0)</f>
        <v>1900000</v>
      </c>
      <c r="H380" s="49"/>
      <c r="I380" s="49"/>
      <c r="J380" s="49"/>
      <c r="K380" s="49"/>
      <c r="L380" s="49"/>
      <c r="M380" s="49"/>
      <c r="N380" s="49"/>
      <c r="O380" s="49"/>
      <c r="P380" s="49"/>
      <c r="Q380" s="49"/>
      <c r="R380" s="49"/>
      <c r="S380" s="49"/>
      <c r="T380" s="49"/>
      <c r="U380" s="49"/>
      <c r="V380" s="49"/>
      <c r="W380" s="49"/>
      <c r="X380" s="49"/>
      <c r="Y380" s="49"/>
      <c r="Z380" s="49"/>
    </row>
    <row r="381">
      <c r="A381" s="49" t="str">
        <f>IFERROR(__xludf.DUMMYFUNCTION("""COMPUTED_VALUE"""),"Crystal Forged Pauldrons")</f>
        <v>Crystal Forged Pauldrons</v>
      </c>
      <c r="B381" s="49"/>
      <c r="C381" s="49"/>
      <c r="D381" s="49" t="str">
        <f>IFERROR(__xludf.DUMMYFUNCTION("""COMPUTED_VALUE"""),"Shoulders")</f>
        <v>Shoulders</v>
      </c>
      <c r="E381" s="49">
        <f>IFERROR(__xludf.DUMMYFUNCTION("""COMPUTED_VALUE"""),200.0)</f>
        <v>200</v>
      </c>
      <c r="F381" s="49"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49">
        <f>IFERROR(__xludf.DUMMYFUNCTION("""COMPUTED_VALUE"""),1900000.0)</f>
        <v>1900000</v>
      </c>
      <c r="H381" s="49"/>
      <c r="I381" s="49"/>
      <c r="J381" s="49"/>
      <c r="K381" s="49"/>
      <c r="L381" s="49"/>
      <c r="M381" s="49"/>
      <c r="N381" s="49"/>
      <c r="O381" s="49"/>
      <c r="P381" s="49"/>
      <c r="Q381" s="49"/>
      <c r="R381" s="49"/>
      <c r="S381" s="49"/>
      <c r="T381" s="49"/>
      <c r="U381" s="49"/>
      <c r="V381" s="49"/>
      <c r="W381" s="49"/>
      <c r="X381" s="49"/>
      <c r="Y381" s="49"/>
      <c r="Z381" s="49"/>
    </row>
    <row r="382">
      <c r="A382" s="49" t="str">
        <f>IFERROR(__xludf.DUMMYFUNCTION("""COMPUTED_VALUE"""),"Crystal Forged Greaves")</f>
        <v>Crystal Forged Greaves</v>
      </c>
      <c r="B382" s="49"/>
      <c r="C382" s="49"/>
      <c r="D382" s="49" t="str">
        <f>IFERROR(__xludf.DUMMYFUNCTION("""COMPUTED_VALUE"""),"Legs")</f>
        <v>Legs</v>
      </c>
      <c r="E382" s="49">
        <f>IFERROR(__xludf.DUMMYFUNCTION("""COMPUTED_VALUE"""),200.0)</f>
        <v>200</v>
      </c>
      <c r="F382" s="49"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49">
        <f>IFERROR(__xludf.DUMMYFUNCTION("""COMPUTED_VALUE"""),1900000.0)</f>
        <v>1900000</v>
      </c>
      <c r="H382" s="49"/>
      <c r="I382" s="49"/>
      <c r="J382" s="49"/>
      <c r="K382" s="49"/>
      <c r="L382" s="49"/>
      <c r="M382" s="49"/>
      <c r="N382" s="49"/>
      <c r="O382" s="49"/>
      <c r="P382" s="49"/>
      <c r="Q382" s="49"/>
      <c r="R382" s="49"/>
      <c r="S382" s="49"/>
      <c r="T382" s="49"/>
      <c r="U382" s="49"/>
      <c r="V382" s="49"/>
      <c r="W382" s="49"/>
      <c r="X382" s="49"/>
      <c r="Y382" s="49"/>
      <c r="Z382" s="49"/>
    </row>
    <row r="383">
      <c r="A383" s="49" t="str">
        <f>IFERROR(__xludf.DUMMYFUNCTION("""COMPUTED_VALUE"""),"Crystal Forged Boots")</f>
        <v>Crystal Forged Boots</v>
      </c>
      <c r="B383" s="49"/>
      <c r="C383" s="49"/>
      <c r="D383" s="49" t="str">
        <f>IFERROR(__xludf.DUMMYFUNCTION("""COMPUTED_VALUE"""),"Feet")</f>
        <v>Feet</v>
      </c>
      <c r="E383" s="49">
        <f>IFERROR(__xludf.DUMMYFUNCTION("""COMPUTED_VALUE"""),200.0)</f>
        <v>200</v>
      </c>
      <c r="F383" s="49"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49">
        <f>IFERROR(__xludf.DUMMYFUNCTION("""COMPUTED_VALUE"""),1900000.0)</f>
        <v>1900000</v>
      </c>
      <c r="H383" s="49"/>
      <c r="I383" s="49"/>
      <c r="J383" s="49"/>
      <c r="K383" s="49"/>
      <c r="L383" s="49"/>
      <c r="M383" s="49"/>
      <c r="N383" s="49"/>
      <c r="O383" s="49"/>
      <c r="P383" s="49"/>
      <c r="Q383" s="49"/>
      <c r="R383" s="49"/>
      <c r="S383" s="49"/>
      <c r="T383" s="49"/>
      <c r="U383" s="49"/>
      <c r="V383" s="49"/>
      <c r="W383" s="49"/>
      <c r="X383" s="49"/>
      <c r="Y383" s="49"/>
      <c r="Z383" s="49"/>
    </row>
    <row r="384">
      <c r="A384" s="49" t="str">
        <f>IFERROR(__xludf.DUMMYFUNCTION("""COMPUTED_VALUE"""),"Crystal Forged Vambraces")</f>
        <v>Crystal Forged Vambraces</v>
      </c>
      <c r="B384" s="49"/>
      <c r="C384" s="49"/>
      <c r="D384" s="49" t="str">
        <f>IFERROR(__xludf.DUMMYFUNCTION("""COMPUTED_VALUE"""),"Arms")</f>
        <v>Arms</v>
      </c>
      <c r="E384" s="49">
        <f>IFERROR(__xludf.DUMMYFUNCTION("""COMPUTED_VALUE"""),200.0)</f>
        <v>200</v>
      </c>
      <c r="F384" s="49"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49">
        <f>IFERROR(__xludf.DUMMYFUNCTION("""COMPUTED_VALUE"""),1900000.0)</f>
        <v>1900000</v>
      </c>
      <c r="H384" s="49"/>
      <c r="I384" s="49"/>
      <c r="J384" s="49"/>
      <c r="K384" s="49"/>
      <c r="L384" s="49"/>
      <c r="M384" s="49"/>
      <c r="N384" s="49"/>
      <c r="O384" s="49"/>
      <c r="P384" s="49"/>
      <c r="Q384" s="49"/>
      <c r="R384" s="49"/>
      <c r="S384" s="49"/>
      <c r="T384" s="49"/>
      <c r="U384" s="49"/>
      <c r="V384" s="49"/>
      <c r="W384" s="49"/>
      <c r="X384" s="49"/>
      <c r="Y384" s="49"/>
      <c r="Z384" s="49"/>
    </row>
    <row r="385">
      <c r="A385" s="49" t="str">
        <f>IFERROR(__xludf.DUMMYFUNCTION("""COMPUTED_VALUE"""),"Fiddle")</f>
        <v>Fiddle</v>
      </c>
      <c r="B385" s="49"/>
      <c r="C385" s="49" t="str">
        <f>IFERROR(__xludf.DUMMYFUNCTION("""COMPUTED_VALUE"""),"Instrument")</f>
        <v>Instrument</v>
      </c>
      <c r="D385" s="49" t="str">
        <f>IFERROR(__xludf.DUMMYFUNCTION("""COMPUTED_VALUE"""),"Hand")</f>
        <v>Hand</v>
      </c>
      <c r="E385" s="49">
        <f>IFERROR(__xludf.DUMMYFUNCTION("""COMPUTED_VALUE"""),40.0)</f>
        <v>40</v>
      </c>
      <c r="F385" s="49" t="str">
        <f>IFERROR(__xludf.DUMMYFUNCTION("""COMPUTED_VALUE"""),"DMG: +2000")</f>
        <v>DMG: +2000</v>
      </c>
      <c r="G385" s="49">
        <f>IFERROR(__xludf.DUMMYFUNCTION("""COMPUTED_VALUE"""),60000.0)</f>
        <v>60000</v>
      </c>
      <c r="H385" s="49"/>
      <c r="I385" s="49"/>
      <c r="J385" s="49"/>
      <c r="K385" s="49"/>
      <c r="L385" s="49"/>
      <c r="M385" s="49"/>
      <c r="N385" s="49"/>
      <c r="O385" s="49"/>
      <c r="P385" s="49"/>
      <c r="Q385" s="49"/>
      <c r="R385" s="49"/>
      <c r="S385" s="49"/>
      <c r="T385" s="49"/>
      <c r="U385" s="49"/>
      <c r="V385" s="49"/>
      <c r="W385" s="49"/>
      <c r="X385" s="49"/>
      <c r="Y385" s="49"/>
      <c r="Z385" s="49"/>
    </row>
    <row r="386">
      <c r="A386" s="49" t="str">
        <f>IFERROR(__xludf.DUMMYFUNCTION("""COMPUTED_VALUE"""),"WyvernTail Blade")</f>
        <v>WyvernTail Blade</v>
      </c>
      <c r="B386" s="49"/>
      <c r="C386" s="49" t="str">
        <f>IFERROR(__xludf.DUMMYFUNCTION("""COMPUTED_VALUE"""),"Sword")</f>
        <v>Sword</v>
      </c>
      <c r="D386" s="49" t="str">
        <f>IFERROR(__xludf.DUMMYFUNCTION("""COMPUTED_VALUE"""),"Hand")</f>
        <v>Hand</v>
      </c>
      <c r="E386" s="49">
        <f>IFERROR(__xludf.DUMMYFUNCTION("""COMPUTED_VALUE"""),200.0)</f>
        <v>200</v>
      </c>
      <c r="F386" s="49" t="str">
        <f>IFERROR(__xludf.DUMMYFUNCTION("""COMPUTED_VALUE"""),"DMG: +5000, Water DMG: +5000 (Wyverntail Set) ++50% Chance to freeze the target being attacked by this weapon.")</f>
        <v>DMG: +5000, Water DMG: +5000 (Wyverntail Set) ++50% Chance to freeze the target being attacked by this weapon.</v>
      </c>
      <c r="G386" s="49">
        <f>IFERROR(__xludf.DUMMYFUNCTION("""COMPUTED_VALUE"""),1900000.0)</f>
        <v>1900000</v>
      </c>
      <c r="H386" s="49"/>
      <c r="I386" s="49"/>
      <c r="J386" s="49"/>
      <c r="K386" s="49"/>
      <c r="L386" s="49"/>
      <c r="M386" s="49"/>
      <c r="N386" s="49"/>
      <c r="O386" s="49"/>
      <c r="P386" s="49"/>
      <c r="Q386" s="49"/>
      <c r="R386" s="49"/>
      <c r="S386" s="49"/>
      <c r="T386" s="49"/>
      <c r="U386" s="49"/>
      <c r="V386" s="49"/>
      <c r="W386" s="49"/>
      <c r="X386" s="49"/>
      <c r="Y386" s="49"/>
      <c r="Z386" s="49"/>
    </row>
    <row r="387">
      <c r="A387" s="49" t="str">
        <f>IFERROR(__xludf.DUMMYFUNCTION("""COMPUTED_VALUE"""),"WyvernTail Helm")</f>
        <v>WyvernTail Helm</v>
      </c>
      <c r="B387" s="49"/>
      <c r="C387" s="49"/>
      <c r="D387" s="49" t="str">
        <f>IFERROR(__xludf.DUMMYFUNCTION("""COMPUTED_VALUE"""),"Head")</f>
        <v>Head</v>
      </c>
      <c r="E387" s="49">
        <f>IFERROR(__xludf.DUMMYFUNCTION("""COMPUTED_VALUE"""),200.0)</f>
        <v>200</v>
      </c>
      <c r="F387" s="49" t="str">
        <f>IFERROR(__xludf.DUMMYFUNCTION("""COMPUTED_VALUE"""),"DEF: +10000 (Wyverntail Set) ++Freeze Immunity")</f>
        <v>DEF: +10000 (Wyverntail Set) ++Freeze Immunity</v>
      </c>
      <c r="G387" s="49">
        <f>IFERROR(__xludf.DUMMYFUNCTION("""COMPUTED_VALUE"""),1900000.0)</f>
        <v>1900000</v>
      </c>
      <c r="H387" s="49"/>
      <c r="I387" s="49"/>
      <c r="J387" s="49"/>
      <c r="K387" s="49"/>
      <c r="L387" s="49"/>
      <c r="M387" s="49"/>
      <c r="N387" s="49"/>
      <c r="O387" s="49"/>
      <c r="P387" s="49"/>
      <c r="Q387" s="49"/>
      <c r="R387" s="49"/>
      <c r="S387" s="49"/>
      <c r="T387" s="49"/>
      <c r="U387" s="49"/>
      <c r="V387" s="49"/>
      <c r="W387" s="49"/>
      <c r="X387" s="49"/>
      <c r="Y387" s="49"/>
      <c r="Z387" s="49"/>
    </row>
    <row r="388">
      <c r="A388" s="49" t="str">
        <f>IFERROR(__xludf.DUMMYFUNCTION("""COMPUTED_VALUE"""),"WyvernTail Pauldrons")</f>
        <v>WyvernTail Pauldrons</v>
      </c>
      <c r="B388" s="49"/>
      <c r="C388" s="49"/>
      <c r="D388" s="49" t="str">
        <f>IFERROR(__xludf.DUMMYFUNCTION("""COMPUTED_VALUE"""),"Shoulders")</f>
        <v>Shoulders</v>
      </c>
      <c r="E388" s="49">
        <f>IFERROR(__xludf.DUMMYFUNCTION("""COMPUTED_VALUE"""),200.0)</f>
        <v>200</v>
      </c>
      <c r="F388" s="49" t="str">
        <f>IFERROR(__xludf.DUMMYFUNCTION("""COMPUTED_VALUE"""),"DEF: +10000 (Wyverntail Set) ++Freeze Immunity")</f>
        <v>DEF: +10000 (Wyverntail Set) ++Freeze Immunity</v>
      </c>
      <c r="G388" s="49">
        <f>IFERROR(__xludf.DUMMYFUNCTION("""COMPUTED_VALUE"""),1900000.0)</f>
        <v>1900000</v>
      </c>
      <c r="H388" s="49"/>
      <c r="I388" s="49"/>
      <c r="J388" s="49"/>
      <c r="K388" s="49"/>
      <c r="L388" s="49"/>
      <c r="M388" s="49"/>
      <c r="N388" s="49"/>
      <c r="O388" s="49"/>
      <c r="P388" s="49"/>
      <c r="Q388" s="49"/>
      <c r="R388" s="49"/>
      <c r="S388" s="49"/>
      <c r="T388" s="49"/>
      <c r="U388" s="49"/>
      <c r="V388" s="49"/>
      <c r="W388" s="49"/>
      <c r="X388" s="49"/>
      <c r="Y388" s="49"/>
      <c r="Z388" s="49"/>
    </row>
    <row r="389">
      <c r="A389" s="49" t="str">
        <f>IFERROR(__xludf.DUMMYFUNCTION("""COMPUTED_VALUE"""),"WyvernTail Chestplate")</f>
        <v>WyvernTail Chestplate</v>
      </c>
      <c r="B389" s="49"/>
      <c r="C389" s="49"/>
      <c r="D389" s="49" t="str">
        <f>IFERROR(__xludf.DUMMYFUNCTION("""COMPUTED_VALUE"""),"Torso")</f>
        <v>Torso</v>
      </c>
      <c r="E389" s="49">
        <f>IFERROR(__xludf.DUMMYFUNCTION("""COMPUTED_VALUE"""),200.0)</f>
        <v>200</v>
      </c>
      <c r="F389" s="49" t="str">
        <f>IFERROR(__xludf.DUMMYFUNCTION("""COMPUTED_VALUE"""),"DEF: +10000 (Wyverntail Set) ++Freeze Immunity")</f>
        <v>DEF: +10000 (Wyverntail Set) ++Freeze Immunity</v>
      </c>
      <c r="G389" s="49">
        <f>IFERROR(__xludf.DUMMYFUNCTION("""COMPUTED_VALUE"""),1900000.0)</f>
        <v>1900000</v>
      </c>
      <c r="H389" s="49"/>
      <c r="I389" s="49"/>
      <c r="J389" s="49"/>
      <c r="K389" s="49"/>
      <c r="L389" s="49"/>
      <c r="M389" s="49"/>
      <c r="N389" s="49"/>
      <c r="O389" s="49"/>
      <c r="P389" s="49"/>
      <c r="Q389" s="49"/>
      <c r="R389" s="49"/>
      <c r="S389" s="49"/>
      <c r="T389" s="49"/>
      <c r="U389" s="49"/>
      <c r="V389" s="49"/>
      <c r="W389" s="49"/>
      <c r="X389" s="49"/>
      <c r="Y389" s="49"/>
      <c r="Z389" s="49"/>
    </row>
    <row r="390">
      <c r="A390" s="49" t="str">
        <f>IFERROR(__xludf.DUMMYFUNCTION("""COMPUTED_VALUE"""),"WyvernTail Vambraces")</f>
        <v>WyvernTail Vambraces</v>
      </c>
      <c r="B390" s="49"/>
      <c r="C390" s="49"/>
      <c r="D390" s="49" t="str">
        <f>IFERROR(__xludf.DUMMYFUNCTION("""COMPUTED_VALUE"""),"Arms")</f>
        <v>Arms</v>
      </c>
      <c r="E390" s="49">
        <f>IFERROR(__xludf.DUMMYFUNCTION("""COMPUTED_VALUE"""),200.0)</f>
        <v>200</v>
      </c>
      <c r="F390" s="49" t="str">
        <f>IFERROR(__xludf.DUMMYFUNCTION("""COMPUTED_VALUE"""),"DEF: +10000 (Wyverntail Set) ++Freeze Immunity")</f>
        <v>DEF: +10000 (Wyverntail Set) ++Freeze Immunity</v>
      </c>
      <c r="G390" s="49">
        <f>IFERROR(__xludf.DUMMYFUNCTION("""COMPUTED_VALUE"""),1900000.0)</f>
        <v>1900000</v>
      </c>
      <c r="H390" s="49"/>
      <c r="I390" s="49"/>
      <c r="J390" s="49"/>
      <c r="K390" s="49"/>
      <c r="L390" s="49"/>
      <c r="M390" s="49"/>
      <c r="N390" s="49"/>
      <c r="O390" s="49"/>
      <c r="P390" s="49"/>
      <c r="Q390" s="49"/>
      <c r="R390" s="49"/>
      <c r="S390" s="49"/>
      <c r="T390" s="49"/>
      <c r="U390" s="49"/>
      <c r="V390" s="49"/>
      <c r="W390" s="49"/>
      <c r="X390" s="49"/>
      <c r="Y390" s="49"/>
      <c r="Z390" s="49"/>
    </row>
    <row r="391">
      <c r="A391" s="49" t="str">
        <f>IFERROR(__xludf.DUMMYFUNCTION("""COMPUTED_VALUE"""),"WyvernTail Greaves")</f>
        <v>WyvernTail Greaves</v>
      </c>
      <c r="B391" s="49"/>
      <c r="C391" s="49"/>
      <c r="D391" s="49" t="str">
        <f>IFERROR(__xludf.DUMMYFUNCTION("""COMPUTED_VALUE"""),"Legs")</f>
        <v>Legs</v>
      </c>
      <c r="E391" s="49">
        <f>IFERROR(__xludf.DUMMYFUNCTION("""COMPUTED_VALUE"""),200.0)</f>
        <v>200</v>
      </c>
      <c r="F391" s="49" t="str">
        <f>IFERROR(__xludf.DUMMYFUNCTION("""COMPUTED_VALUE"""),"DEF: +10000 (Wyverntail Set) ++Freeze Immunity")</f>
        <v>DEF: +10000 (Wyverntail Set) ++Freeze Immunity</v>
      </c>
      <c r="G391" s="49">
        <f>IFERROR(__xludf.DUMMYFUNCTION("""COMPUTED_VALUE"""),1900000.0)</f>
        <v>1900000</v>
      </c>
      <c r="H391" s="49"/>
      <c r="I391" s="49"/>
      <c r="J391" s="49"/>
      <c r="K391" s="49"/>
      <c r="L391" s="49"/>
      <c r="M391" s="49"/>
      <c r="N391" s="49"/>
      <c r="O391" s="49"/>
      <c r="P391" s="49"/>
      <c r="Q391" s="49"/>
      <c r="R391" s="49"/>
      <c r="S391" s="49"/>
      <c r="T391" s="49"/>
      <c r="U391" s="49"/>
      <c r="V391" s="49"/>
      <c r="W391" s="49"/>
      <c r="X391" s="49"/>
      <c r="Y391" s="49"/>
      <c r="Z391" s="49"/>
    </row>
    <row r="392">
      <c r="A392" s="49" t="str">
        <f>IFERROR(__xludf.DUMMYFUNCTION("""COMPUTED_VALUE"""),"WyvernTail Boots")</f>
        <v>WyvernTail Boots</v>
      </c>
      <c r="B392" s="49"/>
      <c r="C392" s="49"/>
      <c r="D392" s="49" t="str">
        <f>IFERROR(__xludf.DUMMYFUNCTION("""COMPUTED_VALUE"""),"Feet")</f>
        <v>Feet</v>
      </c>
      <c r="E392" s="49">
        <f>IFERROR(__xludf.DUMMYFUNCTION("""COMPUTED_VALUE"""),200.0)</f>
        <v>200</v>
      </c>
      <c r="F392" s="49" t="str">
        <f>IFERROR(__xludf.DUMMYFUNCTION("""COMPUTED_VALUE"""),"DEF: +10000 (Wyverntail Set) ++Freeze Immunity")</f>
        <v>DEF: +10000 (Wyverntail Set) ++Freeze Immunity</v>
      </c>
      <c r="G392" s="49">
        <f>IFERROR(__xludf.DUMMYFUNCTION("""COMPUTED_VALUE"""),1900000.0)</f>
        <v>1900000</v>
      </c>
      <c r="H392" s="49"/>
      <c r="I392" s="49"/>
      <c r="J392" s="49"/>
      <c r="K392" s="49"/>
      <c r="L392" s="49"/>
      <c r="M392" s="49"/>
      <c r="N392" s="49"/>
      <c r="O392" s="49"/>
      <c r="P392" s="49"/>
      <c r="Q392" s="49"/>
      <c r="R392" s="49"/>
      <c r="S392" s="49"/>
      <c r="T392" s="49"/>
      <c r="U392" s="49"/>
      <c r="V392" s="49"/>
      <c r="W392" s="49"/>
      <c r="X392" s="49"/>
      <c r="Y392" s="49"/>
      <c r="Z392" s="49"/>
    </row>
    <row r="393">
      <c r="A393" s="49" t="str">
        <f>IFERROR(__xludf.DUMMYFUNCTION("""COMPUTED_VALUE"""),"WyvernTail Pendent")</f>
        <v>WyvernTail Pendent</v>
      </c>
      <c r="B393" s="49"/>
      <c r="C393" s="49"/>
      <c r="D393" s="49" t="str">
        <f>IFERROR(__xludf.DUMMYFUNCTION("""COMPUTED_VALUE"""),"Neck")</f>
        <v>Neck</v>
      </c>
      <c r="E393" s="49">
        <f>IFERROR(__xludf.DUMMYFUNCTION("""COMPUTED_VALUE"""),1.0)</f>
        <v>1</v>
      </c>
      <c r="F393" s="49" t="str">
        <f>IFERROR(__xludf.DUMMYFUNCTION("""COMPUTED_VALUE""")," (Wyverntail Set) ++When you are attacked, the enemy that attacked you has a 25% Chance to Freeze.")</f>
        <v> (Wyverntail Set) ++When you are attacked, the enemy that attacked you has a 25% Chance to Freeze.</v>
      </c>
      <c r="G393" s="49">
        <f>IFERROR(__xludf.DUMMYFUNCTION("""COMPUTED_VALUE"""),0.0)</f>
        <v>0</v>
      </c>
      <c r="H393" s="49"/>
      <c r="I393" s="49"/>
      <c r="J393" s="49"/>
      <c r="K393" s="49"/>
      <c r="L393" s="49"/>
      <c r="M393" s="49"/>
      <c r="N393" s="49"/>
      <c r="O393" s="49"/>
      <c r="P393" s="49"/>
      <c r="Q393" s="49"/>
      <c r="R393" s="49"/>
      <c r="S393" s="49"/>
      <c r="T393" s="49"/>
      <c r="U393" s="49"/>
      <c r="V393" s="49"/>
      <c r="W393" s="49"/>
      <c r="X393" s="49"/>
      <c r="Y393" s="49"/>
      <c r="Z393" s="49"/>
    </row>
    <row r="394">
      <c r="A394" s="49" t="str">
        <f>IFERROR(__xludf.DUMMYFUNCTION("""COMPUTED_VALUE"""),"WyvernTail Ring")</f>
        <v>WyvernTail Ring</v>
      </c>
      <c r="B394" s="49"/>
      <c r="C394" s="49"/>
      <c r="D394" s="49" t="str">
        <f>IFERROR(__xludf.DUMMYFUNCTION("""COMPUTED_VALUE"""),"Ring")</f>
        <v>Ring</v>
      </c>
      <c r="E394" s="49">
        <f>IFERROR(__xludf.DUMMYFUNCTION("""COMPUTED_VALUE"""),1.0)</f>
        <v>1</v>
      </c>
      <c r="F394" s="49" t="str">
        <f>IFERROR(__xludf.DUMMYFUNCTION("""COMPUTED_VALUE""")," (Wyverntail Set) ++When you are attacked, the enemy that attacked you has a 25% Chance to Freeze. ")</f>
        <v> (Wyverntail Set) ++When you are attacked, the enemy that attacked you has a 25% Chance to Freeze. </v>
      </c>
      <c r="G394" s="49">
        <f>IFERROR(__xludf.DUMMYFUNCTION("""COMPUTED_VALUE"""),0.0)</f>
        <v>0</v>
      </c>
      <c r="H394" s="49"/>
      <c r="I394" s="49"/>
      <c r="J394" s="49"/>
      <c r="K394" s="49"/>
      <c r="L394" s="49"/>
      <c r="M394" s="49"/>
      <c r="N394" s="49"/>
      <c r="O394" s="49"/>
      <c r="P394" s="49"/>
      <c r="Q394" s="49"/>
      <c r="R394" s="49"/>
      <c r="S394" s="49"/>
      <c r="T394" s="49"/>
      <c r="U394" s="49"/>
      <c r="V394" s="49"/>
      <c r="W394" s="49"/>
      <c r="X394" s="49"/>
      <c r="Y394" s="49"/>
      <c r="Z394" s="49"/>
    </row>
    <row r="395">
      <c r="A395" s="49" t="str">
        <f>IFERROR(__xludf.DUMMYFUNCTION("""COMPUTED_VALUE"""),"Sweltering Blade")</f>
        <v>Sweltering Blade</v>
      </c>
      <c r="B395" s="49"/>
      <c r="C395" s="49" t="str">
        <f>IFERROR(__xludf.DUMMYFUNCTION("""COMPUTED_VALUE"""),"Sword")</f>
        <v>Sword</v>
      </c>
      <c r="D395" s="49" t="str">
        <f>IFERROR(__xludf.DUMMYFUNCTION("""COMPUTED_VALUE"""),"Hand")</f>
        <v>Hand</v>
      </c>
      <c r="E395" s="49">
        <f>IFERROR(__xludf.DUMMYFUNCTION("""COMPUTED_VALUE"""),400.0)</f>
        <v>400</v>
      </c>
      <c r="F395" s="49" t="str">
        <f>IFERROR(__xludf.DUMMYFUNCTION("""COMPUTED_VALUE"""),"DMG: +5000, Fire DMG: +5000, Water DMG: +5000, Nature DMG: +5000 (Sweltering Set) ++X2 Nature, Water, and Fire Damage.")</f>
        <v>DMG: +5000, Fire DMG: +5000, Water DMG: +5000, Nature DMG: +5000 (Sweltering Set) ++X2 Nature, Water, and Fire Damage.</v>
      </c>
      <c r="G395" s="49">
        <f>IFERROR(__xludf.DUMMYFUNCTION("""COMPUTED_VALUE"""),7800000.0)</f>
        <v>7800000</v>
      </c>
      <c r="H395" s="49"/>
      <c r="I395" s="49"/>
      <c r="J395" s="49"/>
      <c r="K395" s="49"/>
      <c r="L395" s="49"/>
      <c r="M395" s="49"/>
      <c r="N395" s="49"/>
      <c r="O395" s="49"/>
      <c r="P395" s="49"/>
      <c r="Q395" s="49"/>
      <c r="R395" s="49"/>
      <c r="S395" s="49"/>
      <c r="T395" s="49"/>
      <c r="U395" s="49"/>
      <c r="V395" s="49"/>
      <c r="W395" s="49"/>
      <c r="X395" s="49"/>
      <c r="Y395" s="49"/>
      <c r="Z395" s="49"/>
    </row>
    <row r="396">
      <c r="A396" s="49" t="str">
        <f>IFERROR(__xludf.DUMMYFUNCTION("""COMPUTED_VALUE"""),"Sweltering Helm")</f>
        <v>Sweltering Helm</v>
      </c>
      <c r="B396" s="49"/>
      <c r="C396" s="49"/>
      <c r="D396" s="49" t="str">
        <f>IFERROR(__xludf.DUMMYFUNCTION("""COMPUTED_VALUE"""),"Head")</f>
        <v>Head</v>
      </c>
      <c r="E396" s="49">
        <f>IFERROR(__xludf.DUMMYFUNCTION("""COMPUTED_VALUE"""),400.0)</f>
        <v>400</v>
      </c>
      <c r="F396" s="49" t="str">
        <f>IFERROR(__xludf.DUMMYFUNCTION("""COMPUTED_VALUE"""),"DEF: +5000, Fire DEF: +5000, Water DEF: +5000, Nature DEF: +5000 (Sweltering Set) ++X2 Nature, Water, and Fire Damage.")</f>
        <v>DEF: +5000, Fire DEF: +5000, Water DEF: +5000, Nature DEF: +5000 (Sweltering Set) ++X2 Nature, Water, and Fire Damage.</v>
      </c>
      <c r="G396" s="49">
        <f>IFERROR(__xludf.DUMMYFUNCTION("""COMPUTED_VALUE"""),7800000.0)</f>
        <v>7800000</v>
      </c>
      <c r="H396" s="49"/>
      <c r="I396" s="49"/>
      <c r="J396" s="49"/>
      <c r="K396" s="49"/>
      <c r="L396" s="49"/>
      <c r="M396" s="49"/>
      <c r="N396" s="49"/>
      <c r="O396" s="49"/>
      <c r="P396" s="49"/>
      <c r="Q396" s="49"/>
      <c r="R396" s="49"/>
      <c r="S396" s="49"/>
      <c r="T396" s="49"/>
      <c r="U396" s="49"/>
      <c r="V396" s="49"/>
      <c r="W396" s="49"/>
      <c r="X396" s="49"/>
      <c r="Y396" s="49"/>
      <c r="Z396" s="49"/>
    </row>
    <row r="397">
      <c r="A397" s="49" t="str">
        <f>IFERROR(__xludf.DUMMYFUNCTION("""COMPUTED_VALUE"""),"Sweltering Pauldrons")</f>
        <v>Sweltering Pauldrons</v>
      </c>
      <c r="B397" s="49"/>
      <c r="C397" s="49"/>
      <c r="D397" s="49" t="str">
        <f>IFERROR(__xludf.DUMMYFUNCTION("""COMPUTED_VALUE"""),"Shoulders")</f>
        <v>Shoulders</v>
      </c>
      <c r="E397" s="49">
        <f>IFERROR(__xludf.DUMMYFUNCTION("""COMPUTED_VALUE"""),400.0)</f>
        <v>400</v>
      </c>
      <c r="F397" s="49" t="str">
        <f>IFERROR(__xludf.DUMMYFUNCTION("""COMPUTED_VALUE"""),"DEF: +5000, Fire DEF: +5000, Water DEF: +5000, Nature DEF: +5000 (Sweltering Set) ++X2 Nature, Water, and Fire Damage.")</f>
        <v>DEF: +5000, Fire DEF: +5000, Water DEF: +5000, Nature DEF: +5000 (Sweltering Set) ++X2 Nature, Water, and Fire Damage.</v>
      </c>
      <c r="G397" s="49">
        <f>IFERROR(__xludf.DUMMYFUNCTION("""COMPUTED_VALUE"""),7800000.0)</f>
        <v>7800000</v>
      </c>
      <c r="H397" s="49"/>
      <c r="I397" s="49"/>
      <c r="J397" s="49"/>
      <c r="K397" s="49"/>
      <c r="L397" s="49"/>
      <c r="M397" s="49"/>
      <c r="N397" s="49"/>
      <c r="O397" s="49"/>
      <c r="P397" s="49"/>
      <c r="Q397" s="49"/>
      <c r="R397" s="49"/>
      <c r="S397" s="49"/>
      <c r="T397" s="49"/>
      <c r="U397" s="49"/>
      <c r="V397" s="49"/>
      <c r="W397" s="49"/>
      <c r="X397" s="49"/>
      <c r="Y397" s="49"/>
      <c r="Z397" s="49"/>
    </row>
    <row r="398">
      <c r="A398" s="49" t="str">
        <f>IFERROR(__xludf.DUMMYFUNCTION("""COMPUTED_VALUE"""),"Sweltering Chestplate")</f>
        <v>Sweltering Chestplate</v>
      </c>
      <c r="B398" s="49"/>
      <c r="C398" s="49"/>
      <c r="D398" s="49" t="str">
        <f>IFERROR(__xludf.DUMMYFUNCTION("""COMPUTED_VALUE"""),"Torso")</f>
        <v>Torso</v>
      </c>
      <c r="E398" s="49">
        <f>IFERROR(__xludf.DUMMYFUNCTION("""COMPUTED_VALUE"""),400.0)</f>
        <v>400</v>
      </c>
      <c r="F398" s="49" t="str">
        <f>IFERROR(__xludf.DUMMYFUNCTION("""COMPUTED_VALUE"""),"DEF: +5000, Fire DEF: +5000, Water DEF: +5000, Nature DEF: +5000 (Sweltering Set) ++X2 Nature, Water, and Fire Damage.")</f>
        <v>DEF: +5000, Fire DEF: +5000, Water DEF: +5000, Nature DEF: +5000 (Sweltering Set) ++X2 Nature, Water, and Fire Damage.</v>
      </c>
      <c r="G398" s="49">
        <f>IFERROR(__xludf.DUMMYFUNCTION("""COMPUTED_VALUE"""),7800000.0)</f>
        <v>7800000</v>
      </c>
      <c r="H398" s="49"/>
      <c r="I398" s="49"/>
      <c r="J398" s="49"/>
      <c r="K398" s="49"/>
      <c r="L398" s="49"/>
      <c r="M398" s="49"/>
      <c r="N398" s="49"/>
      <c r="O398" s="49"/>
      <c r="P398" s="49"/>
      <c r="Q398" s="49"/>
      <c r="R398" s="49"/>
      <c r="S398" s="49"/>
      <c r="T398" s="49"/>
      <c r="U398" s="49"/>
      <c r="V398" s="49"/>
      <c r="W398" s="49"/>
      <c r="X398" s="49"/>
      <c r="Y398" s="49"/>
      <c r="Z398" s="49"/>
    </row>
    <row r="399">
      <c r="A399" s="49" t="str">
        <f>IFERROR(__xludf.DUMMYFUNCTION("""COMPUTED_VALUE"""),"Sweltering Vambraces")</f>
        <v>Sweltering Vambraces</v>
      </c>
      <c r="B399" s="49"/>
      <c r="C399" s="49"/>
      <c r="D399" s="49" t="str">
        <f>IFERROR(__xludf.DUMMYFUNCTION("""COMPUTED_VALUE"""),"Arms")</f>
        <v>Arms</v>
      </c>
      <c r="E399" s="49">
        <f>IFERROR(__xludf.DUMMYFUNCTION("""COMPUTED_VALUE"""),400.0)</f>
        <v>400</v>
      </c>
      <c r="F399" s="49" t="str">
        <f>IFERROR(__xludf.DUMMYFUNCTION("""COMPUTED_VALUE"""),"DEF: +5000, Fire DEF: +5000, Water DEF: +5000, Nature DEF: +5000 (Sweltering Set) ++X2 Nature, Water, and Fire Damage.")</f>
        <v>DEF: +5000, Fire DEF: +5000, Water DEF: +5000, Nature DEF: +5000 (Sweltering Set) ++X2 Nature, Water, and Fire Damage.</v>
      </c>
      <c r="G399" s="49">
        <f>IFERROR(__xludf.DUMMYFUNCTION("""COMPUTED_VALUE"""),7800000.0)</f>
        <v>7800000</v>
      </c>
      <c r="H399" s="49"/>
      <c r="I399" s="49"/>
      <c r="J399" s="49"/>
      <c r="K399" s="49"/>
      <c r="L399" s="49"/>
      <c r="M399" s="49"/>
      <c r="N399" s="49"/>
      <c r="O399" s="49"/>
      <c r="P399" s="49"/>
      <c r="Q399" s="49"/>
      <c r="R399" s="49"/>
      <c r="S399" s="49"/>
      <c r="T399" s="49"/>
      <c r="U399" s="49"/>
      <c r="V399" s="49"/>
      <c r="W399" s="49"/>
      <c r="X399" s="49"/>
      <c r="Y399" s="49"/>
      <c r="Z399" s="49"/>
    </row>
    <row r="400">
      <c r="A400" s="49" t="str">
        <f>IFERROR(__xludf.DUMMYFUNCTION("""COMPUTED_VALUE"""),"Sweltering Greaves")</f>
        <v>Sweltering Greaves</v>
      </c>
      <c r="B400" s="49"/>
      <c r="C400" s="49"/>
      <c r="D400" s="49" t="str">
        <f>IFERROR(__xludf.DUMMYFUNCTION("""COMPUTED_VALUE"""),"Legs")</f>
        <v>Legs</v>
      </c>
      <c r="E400" s="49">
        <f>IFERROR(__xludf.DUMMYFUNCTION("""COMPUTED_VALUE"""),400.0)</f>
        <v>400</v>
      </c>
      <c r="F400" s="49" t="str">
        <f>IFERROR(__xludf.DUMMYFUNCTION("""COMPUTED_VALUE"""),"DEF: +5000, Fire DEF: +5000, Water DEF: +5000, Nature DEF: +5000 (Sweltering Set) ++X2 Nature, Water, and Fire Damage.")</f>
        <v>DEF: +5000, Fire DEF: +5000, Water DEF: +5000, Nature DEF: +5000 (Sweltering Set) ++X2 Nature, Water, and Fire Damage.</v>
      </c>
      <c r="G400" s="49">
        <f>IFERROR(__xludf.DUMMYFUNCTION("""COMPUTED_VALUE"""),7800000.0)</f>
        <v>7800000</v>
      </c>
      <c r="H400" s="49"/>
      <c r="I400" s="49"/>
      <c r="J400" s="49"/>
      <c r="K400" s="49"/>
      <c r="L400" s="49"/>
      <c r="M400" s="49"/>
      <c r="N400" s="49"/>
      <c r="O400" s="49"/>
      <c r="P400" s="49"/>
      <c r="Q400" s="49"/>
      <c r="R400" s="49"/>
      <c r="S400" s="49"/>
      <c r="T400" s="49"/>
      <c r="U400" s="49"/>
      <c r="V400" s="49"/>
      <c r="W400" s="49"/>
      <c r="X400" s="49"/>
      <c r="Y400" s="49"/>
      <c r="Z400" s="49"/>
    </row>
    <row r="401">
      <c r="A401" s="49" t="str">
        <f>IFERROR(__xludf.DUMMYFUNCTION("""COMPUTED_VALUE"""),"Sweltering Boots")</f>
        <v>Sweltering Boots</v>
      </c>
      <c r="B401" s="49"/>
      <c r="C401" s="49"/>
      <c r="D401" s="49" t="str">
        <f>IFERROR(__xludf.DUMMYFUNCTION("""COMPUTED_VALUE"""),"Feet")</f>
        <v>Feet</v>
      </c>
      <c r="E401" s="49">
        <f>IFERROR(__xludf.DUMMYFUNCTION("""COMPUTED_VALUE"""),400.0)</f>
        <v>400</v>
      </c>
      <c r="F401" s="49" t="str">
        <f>IFERROR(__xludf.DUMMYFUNCTION("""COMPUTED_VALUE"""),"DEF: +5000, Fire DEF: +5000, Water DEF: +5000, Nature DEF: +5000 (Sweltering Set) ++X2 Nature, Water, and Fire Damage.")</f>
        <v>DEF: +5000, Fire DEF: +5000, Water DEF: +5000, Nature DEF: +5000 (Sweltering Set) ++X2 Nature, Water, and Fire Damage.</v>
      </c>
      <c r="G401" s="49">
        <f>IFERROR(__xludf.DUMMYFUNCTION("""COMPUTED_VALUE"""),7800000.0)</f>
        <v>7800000</v>
      </c>
      <c r="H401" s="49"/>
      <c r="I401" s="49"/>
      <c r="J401" s="49"/>
      <c r="K401" s="49"/>
      <c r="L401" s="49"/>
      <c r="M401" s="49"/>
      <c r="N401" s="49"/>
      <c r="O401" s="49"/>
      <c r="P401" s="49"/>
      <c r="Q401" s="49"/>
      <c r="R401" s="49"/>
      <c r="S401" s="49"/>
      <c r="T401" s="49"/>
      <c r="U401" s="49"/>
      <c r="V401" s="49"/>
      <c r="W401" s="49"/>
      <c r="X401" s="49"/>
      <c r="Y401" s="49"/>
      <c r="Z401" s="49"/>
    </row>
    <row r="402">
      <c r="A402" s="49" t="str">
        <f>IFERROR(__xludf.DUMMYFUNCTION("""COMPUTED_VALUE"""),"Sweltering Pendent")</f>
        <v>Sweltering Pendent</v>
      </c>
      <c r="B402" s="49"/>
      <c r="C402" s="49"/>
      <c r="D402" s="49" t="str">
        <f>IFERROR(__xludf.DUMMYFUNCTION("""COMPUTED_VALUE"""),"Neck")</f>
        <v>Neck</v>
      </c>
      <c r="E402" s="49">
        <f>IFERROR(__xludf.DUMMYFUNCTION("""COMPUTED_VALUE"""),1.0)</f>
        <v>1</v>
      </c>
      <c r="F402" s="49" t="str">
        <f>IFERROR(__xludf.DUMMYFUNCTION("""COMPUTED_VALUE""")," (Sweltering Set) ++Fire, Nature, and Water immunity.")</f>
        <v> (Sweltering Set) ++Fire, Nature, and Water immunity.</v>
      </c>
      <c r="G402" s="49">
        <f>IFERROR(__xludf.DUMMYFUNCTION("""COMPUTED_VALUE"""),0.0)</f>
        <v>0</v>
      </c>
      <c r="H402" s="49"/>
      <c r="I402" s="49"/>
      <c r="J402" s="49"/>
      <c r="K402" s="49"/>
      <c r="L402" s="49"/>
      <c r="M402" s="49"/>
      <c r="N402" s="49"/>
      <c r="O402" s="49"/>
      <c r="P402" s="49"/>
      <c r="Q402" s="49"/>
      <c r="R402" s="49"/>
      <c r="S402" s="49"/>
      <c r="T402" s="49"/>
      <c r="U402" s="49"/>
      <c r="V402" s="49"/>
      <c r="W402" s="49"/>
      <c r="X402" s="49"/>
      <c r="Y402" s="49"/>
      <c r="Z402" s="49"/>
    </row>
    <row r="403">
      <c r="A403" s="49" t="str">
        <f>IFERROR(__xludf.DUMMYFUNCTION("""COMPUTED_VALUE"""),"Sweltering Ring")</f>
        <v>Sweltering Ring</v>
      </c>
      <c r="B403" s="49"/>
      <c r="C403" s="49"/>
      <c r="D403" s="49" t="str">
        <f>IFERROR(__xludf.DUMMYFUNCTION("""COMPUTED_VALUE"""),"Ring")</f>
        <v>Ring</v>
      </c>
      <c r="E403" s="49">
        <f>IFERROR(__xludf.DUMMYFUNCTION("""COMPUTED_VALUE"""),1.0)</f>
        <v>1</v>
      </c>
      <c r="F403" s="49" t="str">
        <f>IFERROR(__xludf.DUMMYFUNCTION("""COMPUTED_VALUE""")," (Sweltering Set) ++Fire, Nature, and Water immunity.")</f>
        <v> (Sweltering Set) ++Fire, Nature, and Water immunity.</v>
      </c>
      <c r="G403" s="49">
        <f>IFERROR(__xludf.DUMMYFUNCTION("""COMPUTED_VALUE"""),0.0)</f>
        <v>0</v>
      </c>
      <c r="H403" s="49"/>
      <c r="I403" s="49"/>
      <c r="J403" s="49"/>
      <c r="K403" s="49"/>
      <c r="L403" s="49"/>
      <c r="M403" s="49"/>
      <c r="N403" s="49"/>
      <c r="O403" s="49"/>
      <c r="P403" s="49"/>
      <c r="Q403" s="49"/>
      <c r="R403" s="49"/>
      <c r="S403" s="49"/>
      <c r="T403" s="49"/>
      <c r="U403" s="49"/>
      <c r="V403" s="49"/>
      <c r="W403" s="49"/>
      <c r="X403" s="49"/>
      <c r="Y403" s="49"/>
      <c r="Z403" s="49"/>
    </row>
    <row r="404">
      <c r="A404" s="49" t="str">
        <f>IFERROR(__xludf.DUMMYFUNCTION("""COMPUTED_VALUE"""),"Reinforced Tortoise Shell")</f>
        <v>Reinforced Tortoise Shell</v>
      </c>
      <c r="B404" s="49"/>
      <c r="C404" s="49"/>
      <c r="D404" s="49" t="str">
        <f>IFERROR(__xludf.DUMMYFUNCTION("""COMPUTED_VALUE"""),"Torso")</f>
        <v>Torso</v>
      </c>
      <c r="E404" s="49">
        <f>IFERROR(__xludf.DUMMYFUNCTION("""COMPUTED_VALUE"""),400.0)</f>
        <v>400</v>
      </c>
      <c r="F404" s="49" t="str">
        <f>IFERROR(__xludf.DUMMYFUNCTION("""COMPUTED_VALUE"""),"DEF: +10000, Water DEF: +5000, Light DEF: +5000 ++X2 Defense for the wearer. +-Cannot be Duplicated.")</f>
        <v>DEF: +10000, Water DEF: +5000, Light DEF: +5000 ++X2 Defense for the wearer. +-Cannot be Duplicated.</v>
      </c>
      <c r="G404" s="49">
        <f>IFERROR(__xludf.DUMMYFUNCTION("""COMPUTED_VALUE"""),7800000.0)</f>
        <v>7800000</v>
      </c>
      <c r="H404" s="49"/>
      <c r="I404" s="49"/>
      <c r="J404" s="49"/>
      <c r="K404" s="49"/>
      <c r="L404" s="49"/>
      <c r="M404" s="49"/>
      <c r="N404" s="49"/>
      <c r="O404" s="49"/>
      <c r="P404" s="49"/>
      <c r="Q404" s="49"/>
      <c r="R404" s="49"/>
      <c r="S404" s="49"/>
      <c r="T404" s="49"/>
      <c r="U404" s="49"/>
      <c r="V404" s="49"/>
      <c r="W404" s="49"/>
      <c r="X404" s="49"/>
      <c r="Y404" s="49"/>
      <c r="Z404" s="49"/>
    </row>
    <row r="405">
      <c r="A405" s="49" t="str">
        <f>IFERROR(__xludf.DUMMYFUNCTION("""COMPUTED_VALUE"""),"Tortoise Shell Shield")</f>
        <v>Tortoise Shell Shield</v>
      </c>
      <c r="B405" s="49"/>
      <c r="C405" s="49" t="str">
        <f>IFERROR(__xludf.DUMMYFUNCTION("""COMPUTED_VALUE"""),"Towershield")</f>
        <v>Towershield</v>
      </c>
      <c r="D405" s="49" t="str">
        <f>IFERROR(__xludf.DUMMYFUNCTION("""COMPUTED_VALUE"""),"Hand")</f>
        <v>Hand</v>
      </c>
      <c r="E405" s="49">
        <f>IFERROR(__xludf.DUMMYFUNCTION("""COMPUTED_VALUE"""),400.0)</f>
        <v>400</v>
      </c>
      <c r="F405" s="49" t="str">
        <f>IFERROR(__xludf.DUMMYFUNCTION("""COMPUTED_VALUE"""),"DEF: +20000 ++X2 Defense for the wearer. +-Cannot be Duplicated.")</f>
        <v>DEF: +20000 ++X2 Defense for the wearer. +-Cannot be Duplicated.</v>
      </c>
      <c r="G405" s="49">
        <f>IFERROR(__xludf.DUMMYFUNCTION("""COMPUTED_VALUE"""),7800000.0)</f>
        <v>7800000</v>
      </c>
      <c r="H405" s="49"/>
      <c r="I405" s="49"/>
      <c r="J405" s="49"/>
      <c r="K405" s="49"/>
      <c r="L405" s="49"/>
      <c r="M405" s="49"/>
      <c r="N405" s="49"/>
      <c r="O405" s="49"/>
      <c r="P405" s="49"/>
      <c r="Q405" s="49"/>
      <c r="R405" s="49"/>
      <c r="S405" s="49"/>
      <c r="T405" s="49"/>
      <c r="U405" s="49"/>
      <c r="V405" s="49"/>
      <c r="W405" s="49"/>
      <c r="X405" s="49"/>
      <c r="Y405" s="49"/>
      <c r="Z405" s="49"/>
    </row>
    <row r="406">
      <c r="A406" s="49" t="str">
        <f>IFERROR(__xludf.DUMMYFUNCTION("""COMPUTED_VALUE"""),"Stone of the Summit")</f>
        <v>Stone of the Summit</v>
      </c>
      <c r="B406" s="49"/>
      <c r="C406" s="49"/>
      <c r="D406" s="49" t="str">
        <f>IFERROR(__xludf.DUMMYFUNCTION("""COMPUTED_VALUE"""),"Hand")</f>
        <v>Hand</v>
      </c>
      <c r="E406" s="49">
        <f>IFERROR(__xludf.DUMMYFUNCTION("""COMPUTED_VALUE"""),1.0)</f>
        <v>1</v>
      </c>
      <c r="F406" s="49" t="str">
        <f>IFERROR(__xludf.DUMMYFUNCTION("""COMPUTED_VALUE""")," ++X2 additional damage towards weapons for the user.")</f>
        <v> ++X2 additional damage towards weapons for the user.</v>
      </c>
      <c r="G406" s="49">
        <f>IFERROR(__xludf.DUMMYFUNCTION("""COMPUTED_VALUE"""),0.0)</f>
        <v>0</v>
      </c>
      <c r="H406" s="49"/>
      <c r="I406" s="49"/>
      <c r="J406" s="49"/>
      <c r="K406" s="49"/>
      <c r="L406" s="49"/>
      <c r="M406" s="49"/>
      <c r="N406" s="49"/>
      <c r="O406" s="49"/>
      <c r="P406" s="49"/>
      <c r="Q406" s="49"/>
      <c r="R406" s="49"/>
      <c r="S406" s="49"/>
      <c r="T406" s="49"/>
      <c r="U406" s="49"/>
      <c r="V406" s="49"/>
      <c r="W406" s="49"/>
      <c r="X406" s="49"/>
      <c r="Y406" s="49"/>
      <c r="Z406" s="49"/>
    </row>
    <row r="407">
      <c r="A407" s="49" t="str">
        <f>IFERROR(__xludf.DUMMYFUNCTION("""COMPUTED_VALUE"""),"Deep Blue Pearl")</f>
        <v>Deep Blue Pearl</v>
      </c>
      <c r="B407" s="49" t="str">
        <f>IFERROR(__xludf.DUMMYFUNCTION("""COMPUTED_VALUE"""),"A rare pearl found deep within the ocean of Dragonscale Island.")</f>
        <v>A rare pearl found deep within the ocean of Dragonscale Island.</v>
      </c>
      <c r="C407" s="49"/>
      <c r="D407" s="49" t="str">
        <f>IFERROR(__xludf.DUMMYFUNCTION("""COMPUTED_VALUE"""),"Hand")</f>
        <v>Hand</v>
      </c>
      <c r="E407" s="49">
        <f>IFERROR(__xludf.DUMMYFUNCTION("""COMPUTED_VALUE"""),200.0)</f>
        <v>200</v>
      </c>
      <c r="F407" s="49" t="str">
        <f>IFERROR(__xludf.DUMMYFUNCTION("""COMPUTED_VALUE"""),"DEF: +10000 ++Water Immunity. ++Water damage dealt by you gives you sp back equal half the damage caused.")</f>
        <v>DEF: +10000 ++Water Immunity. ++Water damage dealt by you gives you sp back equal half the damage caused.</v>
      </c>
      <c r="G407" s="49">
        <f>IFERROR(__xludf.DUMMYFUNCTION("""COMPUTED_VALUE"""),1900000.0)</f>
        <v>1900000</v>
      </c>
      <c r="H407" s="49"/>
      <c r="I407" s="49"/>
      <c r="J407" s="49"/>
      <c r="K407" s="49"/>
      <c r="L407" s="49"/>
      <c r="M407" s="49"/>
      <c r="N407" s="49"/>
      <c r="O407" s="49"/>
      <c r="P407" s="49"/>
      <c r="Q407" s="49"/>
      <c r="R407" s="49"/>
      <c r="S407" s="49"/>
      <c r="T407" s="49"/>
      <c r="U407" s="49"/>
      <c r="V407" s="49"/>
      <c r="W407" s="49"/>
      <c r="X407" s="49"/>
      <c r="Y407" s="49"/>
      <c r="Z407" s="49"/>
    </row>
    <row r="408">
      <c r="A408" s="49" t="str">
        <f>IFERROR(__xludf.DUMMYFUNCTION("""COMPUTED_VALUE"""),"Tempests Lightning Rod")</f>
        <v>Tempests Lightning Rod</v>
      </c>
      <c r="B408" s="49"/>
      <c r="C408" s="49" t="str">
        <f>IFERROR(__xludf.DUMMYFUNCTION("""COMPUTED_VALUE"""),"Spear")</f>
        <v>Spear</v>
      </c>
      <c r="D408" s="49" t="str">
        <f>IFERROR(__xludf.DUMMYFUNCTION("""COMPUTED_VALUE"""),"Hand")</f>
        <v>Hand</v>
      </c>
      <c r="E408" s="49">
        <f>IFERROR(__xludf.DUMMYFUNCTION("""COMPUTED_VALUE"""),600.0)</f>
        <v>600</v>
      </c>
      <c r="F408" s="49"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49">
        <f>IFERROR(__xludf.DUMMYFUNCTION("""COMPUTED_VALUE"""),1.77E7)</f>
        <v>17700000</v>
      </c>
      <c r="H408" s="49"/>
      <c r="I408" s="49"/>
      <c r="J408" s="49"/>
      <c r="K408" s="49"/>
      <c r="L408" s="49"/>
      <c r="M408" s="49"/>
      <c r="N408" s="49"/>
      <c r="O408" s="49"/>
      <c r="P408" s="49"/>
      <c r="Q408" s="49"/>
      <c r="R408" s="49"/>
      <c r="S408" s="49"/>
      <c r="T408" s="49"/>
      <c r="U408" s="49"/>
      <c r="V408" s="49"/>
      <c r="W408" s="49"/>
      <c r="X408" s="49"/>
      <c r="Y408" s="49"/>
      <c r="Z408" s="49"/>
    </row>
    <row r="409">
      <c r="A409" s="49" t="str">
        <f>IFERROR(__xludf.DUMMYFUNCTION("""COMPUTED_VALUE"""),"Sword of Mystic Vagility")</f>
        <v>Sword of Mystic Vagility</v>
      </c>
      <c r="B409" s="49"/>
      <c r="C409" s="49" t="str">
        <f>IFERROR(__xludf.DUMMYFUNCTION("""COMPUTED_VALUE"""),"Sword")</f>
        <v>Sword</v>
      </c>
      <c r="D409" s="49" t="str">
        <f>IFERROR(__xludf.DUMMYFUNCTION("""COMPUTED_VALUE"""),"Hand")</f>
        <v>Hand</v>
      </c>
      <c r="E409" s="49">
        <f>IFERROR(__xludf.DUMMYFUNCTION("""COMPUTED_VALUE"""),200.0)</f>
        <v>200</v>
      </c>
      <c r="F409" s="49" t="str">
        <f>IFERROR(__xludf.DUMMYFUNCTION("""COMPUTED_VALUE"""),"DMG: +50000, Celestial DMG: +50000 ++5 to d20 rolls, ++2 Evasion, ++2 Mobility. +-Cannot be duplicated.")</f>
        <v>DMG: +50000, Celestial DMG: +50000 ++5 to d20 rolls, ++2 Evasion, ++2 Mobility. +-Cannot be duplicated.</v>
      </c>
      <c r="G409" s="49">
        <f>IFERROR(__xludf.DUMMYFUNCTION("""COMPUTED_VALUE"""),1.99E8)</f>
        <v>199000000</v>
      </c>
      <c r="H409" s="49"/>
      <c r="I409" s="49"/>
      <c r="J409" s="49"/>
      <c r="K409" s="49"/>
      <c r="L409" s="49"/>
      <c r="M409" s="49"/>
      <c r="N409" s="49"/>
      <c r="O409" s="49"/>
      <c r="P409" s="49"/>
      <c r="Q409" s="49"/>
      <c r="R409" s="49"/>
      <c r="S409" s="49"/>
      <c r="T409" s="49"/>
      <c r="U409" s="49"/>
      <c r="V409" s="49"/>
      <c r="W409" s="49"/>
      <c r="X409" s="49"/>
      <c r="Y409" s="49"/>
      <c r="Z409" s="49"/>
    </row>
    <row r="410">
      <c r="A410" s="49" t="str">
        <f>IFERROR(__xludf.DUMMYFUNCTION("""COMPUTED_VALUE"""),".50 Caliber Machine Gun (car)")</f>
        <v>.50 Caliber Machine Gun (car)</v>
      </c>
      <c r="B410" s="49"/>
      <c r="C410" s="49" t="str">
        <f>IFERROR(__xludf.DUMMYFUNCTION("""COMPUTED_VALUE"""),"Firearm")</f>
        <v>Firearm</v>
      </c>
      <c r="D410" s="49" t="str">
        <f>IFERROR(__xludf.DUMMYFUNCTION("""COMPUTED_VALUE"""),"CarGun")</f>
        <v>CarGun</v>
      </c>
      <c r="E410" s="49">
        <f>IFERROR(__xludf.DUMMYFUNCTION("""COMPUTED_VALUE"""),400.0)</f>
        <v>400</v>
      </c>
      <c r="F410" s="49"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49">
        <f>IFERROR(__xludf.DUMMYFUNCTION("""COMPUTED_VALUE"""),7800000.0)</f>
        <v>7800000</v>
      </c>
      <c r="H410" s="49"/>
      <c r="I410" s="49"/>
      <c r="J410" s="49"/>
      <c r="K410" s="49"/>
      <c r="L410" s="49"/>
      <c r="M410" s="49"/>
      <c r="N410" s="49"/>
      <c r="O410" s="49"/>
      <c r="P410" s="49"/>
      <c r="Q410" s="49"/>
      <c r="R410" s="49"/>
      <c r="S410" s="49"/>
      <c r="T410" s="49"/>
      <c r="U410" s="49"/>
      <c r="V410" s="49"/>
      <c r="W410" s="49"/>
      <c r="X410" s="49"/>
      <c r="Y410" s="49"/>
      <c r="Z410" s="49"/>
    </row>
    <row r="411">
      <c r="A411" s="49" t="str">
        <f>IFERROR(__xludf.DUMMYFUNCTION("""COMPUTED_VALUE"""),"Auto Turret")</f>
        <v>Auto Turret</v>
      </c>
      <c r="B411" s="49"/>
      <c r="C411" s="49" t="str">
        <f>IFERROR(__xludf.DUMMYFUNCTION("""COMPUTED_VALUE"""),"Firearm")</f>
        <v>Firearm</v>
      </c>
      <c r="D411" s="49" t="str">
        <f>IFERROR(__xludf.DUMMYFUNCTION("""COMPUTED_VALUE"""),"CarGun")</f>
        <v>CarGun</v>
      </c>
      <c r="E411" s="49">
        <f>IFERROR(__xludf.DUMMYFUNCTION("""COMPUTED_VALUE"""),800.0)</f>
        <v>800</v>
      </c>
      <c r="F411" s="49"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49">
        <f>IFERROR(__xludf.DUMMYFUNCTION("""COMPUTED_VALUE"""),3.16E7)</f>
        <v>31600000</v>
      </c>
      <c r="H411" s="49"/>
      <c r="I411" s="49"/>
      <c r="J411" s="49"/>
      <c r="K411" s="49"/>
      <c r="L411" s="49"/>
      <c r="M411" s="49"/>
      <c r="N411" s="49"/>
      <c r="O411" s="49"/>
      <c r="P411" s="49"/>
      <c r="Q411" s="49"/>
      <c r="R411" s="49"/>
      <c r="S411" s="49"/>
      <c r="T411" s="49"/>
      <c r="U411" s="49"/>
      <c r="V411" s="49"/>
      <c r="W411" s="49"/>
      <c r="X411" s="49"/>
      <c r="Y411" s="49"/>
      <c r="Z411" s="49"/>
    </row>
    <row r="412">
      <c r="A412" s="49" t="str">
        <f>IFERROR(__xludf.DUMMYFUNCTION("""COMPUTED_VALUE"""),"Lazer Infused Cannon")</f>
        <v>Lazer Infused Cannon</v>
      </c>
      <c r="B412" s="49"/>
      <c r="C412" s="49" t="str">
        <f>IFERROR(__xludf.DUMMYFUNCTION("""COMPUTED_VALUE"""),"Firearm")</f>
        <v>Firearm</v>
      </c>
      <c r="D412" s="49" t="str">
        <f>IFERROR(__xludf.DUMMYFUNCTION("""COMPUTED_VALUE"""),"BoatGun")</f>
        <v>BoatGun</v>
      </c>
      <c r="E412" s="49">
        <f>IFERROR(__xludf.DUMMYFUNCTION("""COMPUTED_VALUE"""),5000.0)</f>
        <v>5000</v>
      </c>
      <c r="F412" s="49" t="str">
        <f>IFERROR(__xludf.DUMMYFUNCTION("""COMPUTED_VALUE"""),", Fire DMG: +250000 ++Does not use Ammunition. ++Cannot avoid, ++Damages all enemies.")</f>
        <v>, Fire DMG: +250000 ++Does not use Ammunition. ++Cannot avoid, ++Damages all enemies.</v>
      </c>
      <c r="G412" s="49">
        <f>IFERROR(__xludf.DUMMYFUNCTION("""COMPUTED_VALUE"""),1.2475E9)</f>
        <v>1247500000</v>
      </c>
      <c r="H412" s="49"/>
      <c r="I412" s="49"/>
      <c r="J412" s="49"/>
      <c r="K412" s="49"/>
      <c r="L412" s="49"/>
      <c r="M412" s="49"/>
      <c r="N412" s="49"/>
      <c r="O412" s="49"/>
      <c r="P412" s="49"/>
      <c r="Q412" s="49"/>
      <c r="R412" s="49"/>
      <c r="S412" s="49"/>
      <c r="T412" s="49"/>
      <c r="U412" s="49"/>
      <c r="V412" s="49"/>
      <c r="W412" s="49"/>
      <c r="X412" s="49"/>
      <c r="Y412" s="49"/>
      <c r="Z412" s="49"/>
    </row>
    <row r="413">
      <c r="A413" s="49" t="str">
        <f>IFERROR(__xludf.DUMMYFUNCTION("""COMPUTED_VALUE"""),"Roof Mounted Turret")</f>
        <v>Roof Mounted Turret</v>
      </c>
      <c r="B413" s="49"/>
      <c r="C413" s="49" t="str">
        <f>IFERROR(__xludf.DUMMYFUNCTION("""COMPUTED_VALUE"""),"Firearm")</f>
        <v>Firearm</v>
      </c>
      <c r="D413" s="49" t="str">
        <f>IFERROR(__xludf.DUMMYFUNCTION("""COMPUTED_VALUE"""),"CarGun")</f>
        <v>CarGun</v>
      </c>
      <c r="E413" s="49">
        <f>IFERROR(__xludf.DUMMYFUNCTION("""COMPUTED_VALUE"""),500.0)</f>
        <v>500</v>
      </c>
      <c r="F413" s="49"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49">
        <f>IFERROR(__xludf.DUMMYFUNCTION("""COMPUTED_VALUE"""),1.225E7)</f>
        <v>12250000</v>
      </c>
      <c r="H413" s="49"/>
      <c r="I413" s="49"/>
      <c r="J413" s="49"/>
      <c r="K413" s="49"/>
      <c r="L413" s="49"/>
      <c r="M413" s="49"/>
      <c r="N413" s="49"/>
      <c r="O413" s="49"/>
      <c r="P413" s="49"/>
      <c r="Q413" s="49"/>
      <c r="R413" s="49"/>
      <c r="S413" s="49"/>
      <c r="T413" s="49"/>
      <c r="U413" s="49"/>
      <c r="V413" s="49"/>
      <c r="W413" s="49"/>
      <c r="X413" s="49"/>
      <c r="Y413" s="49"/>
      <c r="Z413" s="49"/>
    </row>
    <row r="414">
      <c r="A414" s="49" t="str">
        <f>IFERROR(__xludf.DUMMYFUNCTION("""COMPUTED_VALUE"""),".50 Caliber Machine Gun (boat)")</f>
        <v>.50 Caliber Machine Gun (boat)</v>
      </c>
      <c r="B414" s="49"/>
      <c r="C414" s="49" t="str">
        <f>IFERROR(__xludf.DUMMYFUNCTION("""COMPUTED_VALUE"""),"Firearm")</f>
        <v>Firearm</v>
      </c>
      <c r="D414" s="49" t="str">
        <f>IFERROR(__xludf.DUMMYFUNCTION("""COMPUTED_VALUE"""),"BoatGun")</f>
        <v>BoatGun</v>
      </c>
      <c r="E414" s="49">
        <f>IFERROR(__xludf.DUMMYFUNCTION("""COMPUTED_VALUE"""),500.0)</f>
        <v>500</v>
      </c>
      <c r="F414" s="49" t="str">
        <f>IFERROR(__xludf.DUMMYFUNCTION("""COMPUTED_VALUE"""),"DMG: +25000 ++Roll a d500 to see how many bullets are used when you attack with this weapon. +-Uses bullets")</f>
        <v>DMG: +25000 ++Roll a d500 to see how many bullets are used when you attack with this weapon. +-Uses bullets</v>
      </c>
      <c r="G414" s="49">
        <f>IFERROR(__xludf.DUMMYFUNCTION("""COMPUTED_VALUE"""),1.225E7)</f>
        <v>12250000</v>
      </c>
      <c r="H414" s="49"/>
      <c r="I414" s="49"/>
      <c r="J414" s="49"/>
      <c r="K414" s="49"/>
      <c r="L414" s="49"/>
      <c r="M414" s="49"/>
      <c r="N414" s="49"/>
      <c r="O414" s="49"/>
      <c r="P414" s="49"/>
      <c r="Q414" s="49"/>
      <c r="R414" s="49"/>
      <c r="S414" s="49"/>
      <c r="T414" s="49"/>
      <c r="U414" s="49"/>
      <c r="V414" s="49"/>
      <c r="W414" s="49"/>
      <c r="X414" s="49"/>
      <c r="Y414" s="49"/>
      <c r="Z414" s="49"/>
    </row>
    <row r="415">
      <c r="A415" s="49" t="str">
        <f>IFERROR(__xludf.DUMMYFUNCTION("""COMPUTED_VALUE"""),"Missile Turret (car)")</f>
        <v>Missile Turret (car)</v>
      </c>
      <c r="B415" s="49"/>
      <c r="C415" s="49" t="str">
        <f>IFERROR(__xludf.DUMMYFUNCTION("""COMPUTED_VALUE"""),"Firearm")</f>
        <v>Firearm</v>
      </c>
      <c r="D415" s="49" t="str">
        <f>IFERROR(__xludf.DUMMYFUNCTION("""COMPUTED_VALUE"""),"CarGun")</f>
        <v>CarGun</v>
      </c>
      <c r="E415" s="49">
        <f>IFERROR(__xludf.DUMMYFUNCTION("""COMPUTED_VALUE"""),2000.0)</f>
        <v>2000</v>
      </c>
      <c r="F415" s="49" t="str">
        <f>IFERROR(__xludf.DUMMYFUNCTION("""COMPUTED_VALUE"""),"DMG: +50000, Fire DMG: +50000 ++Damages all enemies. +-Uses Missiles.")</f>
        <v>DMG: +50000, Fire DMG: +50000 ++Damages all enemies. +-Uses Missiles.</v>
      </c>
      <c r="G415" s="49">
        <f>IFERROR(__xludf.DUMMYFUNCTION("""COMPUTED_VALUE"""),1.99E8)</f>
        <v>199000000</v>
      </c>
      <c r="H415" s="49"/>
      <c r="I415" s="49"/>
      <c r="J415" s="49"/>
      <c r="K415" s="49"/>
      <c r="L415" s="49"/>
      <c r="M415" s="49"/>
      <c r="N415" s="49"/>
      <c r="O415" s="49"/>
      <c r="P415" s="49"/>
      <c r="Q415" s="49"/>
      <c r="R415" s="49"/>
      <c r="S415" s="49"/>
      <c r="T415" s="49"/>
      <c r="U415" s="49"/>
      <c r="V415" s="49"/>
      <c r="W415" s="49"/>
      <c r="X415" s="49"/>
      <c r="Y415" s="49"/>
      <c r="Z415" s="49"/>
    </row>
    <row r="416">
      <c r="A416" s="49" t="str">
        <f>IFERROR(__xludf.DUMMYFUNCTION("""COMPUTED_VALUE"""),"Missile Turret (boat)")</f>
        <v>Missile Turret (boat)</v>
      </c>
      <c r="B416" s="49"/>
      <c r="C416" s="49" t="str">
        <f>IFERROR(__xludf.DUMMYFUNCTION("""COMPUTED_VALUE"""),"Firearm")</f>
        <v>Firearm</v>
      </c>
      <c r="D416" s="49" t="str">
        <f>IFERROR(__xludf.DUMMYFUNCTION("""COMPUTED_VALUE"""),"BoatGun")</f>
        <v>BoatGun</v>
      </c>
      <c r="E416" s="49">
        <f>IFERROR(__xludf.DUMMYFUNCTION("""COMPUTED_VALUE"""),2000.0)</f>
        <v>2000</v>
      </c>
      <c r="F416" s="49" t="str">
        <f>IFERROR(__xludf.DUMMYFUNCTION("""COMPUTED_VALUE"""),"DMG: +50000, Fire DMG: +50000 ++Damages all enemies. +-Uses Missiles.")</f>
        <v>DMG: +50000, Fire DMG: +50000 ++Damages all enemies. +-Uses Missiles.</v>
      </c>
      <c r="G416" s="49">
        <f>IFERROR(__xludf.DUMMYFUNCTION("""COMPUTED_VALUE"""),1.99E8)</f>
        <v>199000000</v>
      </c>
      <c r="H416" s="49"/>
      <c r="I416" s="49"/>
      <c r="J416" s="49"/>
      <c r="K416" s="49"/>
      <c r="L416" s="49"/>
      <c r="M416" s="49"/>
      <c r="N416" s="49"/>
      <c r="O416" s="49"/>
      <c r="P416" s="49"/>
      <c r="Q416" s="49"/>
      <c r="R416" s="49"/>
      <c r="S416" s="49"/>
      <c r="T416" s="49"/>
      <c r="U416" s="49"/>
      <c r="V416" s="49"/>
      <c r="W416" s="49"/>
      <c r="X416" s="49"/>
      <c r="Y416" s="49"/>
      <c r="Z416" s="49"/>
    </row>
    <row r="417">
      <c r="A417" s="49" t="str">
        <f>IFERROR(__xludf.DUMMYFUNCTION("""COMPUTED_VALUE"""),"Royal Sword of Dragonia")</f>
        <v>Royal Sword of Dragonia</v>
      </c>
      <c r="B417" s="49"/>
      <c r="C417" s="49" t="str">
        <f>IFERROR(__xludf.DUMMYFUNCTION("""COMPUTED_VALUE"""),"Sword")</f>
        <v>Sword</v>
      </c>
      <c r="D417" s="49" t="str">
        <f>IFERROR(__xludf.DUMMYFUNCTION("""COMPUTED_VALUE"""),"Hand")</f>
        <v>Hand</v>
      </c>
      <c r="E417" s="49">
        <f>IFERROR(__xludf.DUMMYFUNCTION("""COMPUTED_VALUE"""),200.0)</f>
        <v>200</v>
      </c>
      <c r="F417" s="49"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49">
        <f>IFERROR(__xludf.DUMMYFUNCTION("""COMPUTED_VALUE"""),7.98E8)</f>
        <v>798000000</v>
      </c>
      <c r="H417" s="49"/>
      <c r="I417" s="49"/>
      <c r="J417" s="49"/>
      <c r="K417" s="49"/>
      <c r="L417" s="49"/>
      <c r="M417" s="49"/>
      <c r="N417" s="49"/>
      <c r="O417" s="49"/>
      <c r="P417" s="49"/>
      <c r="Q417" s="49"/>
      <c r="R417" s="49"/>
      <c r="S417" s="49"/>
      <c r="T417" s="49"/>
      <c r="U417" s="49"/>
      <c r="V417" s="49"/>
      <c r="W417" s="49"/>
      <c r="X417" s="49"/>
      <c r="Y417" s="49"/>
      <c r="Z417" s="49"/>
    </row>
    <row r="418">
      <c r="A418" s="49" t="str">
        <f>IFERROR(__xludf.DUMMYFUNCTION("""COMPUTED_VALUE"""),"Dragonian Helm")</f>
        <v>Dragonian Helm</v>
      </c>
      <c r="B418" s="49"/>
      <c r="C418" s="49" t="str">
        <f>IFERROR(__xludf.DUMMYFUNCTION("""COMPUTED_VALUE"""),"Sword")</f>
        <v>Sword</v>
      </c>
      <c r="D418" s="49" t="str">
        <f>IFERROR(__xludf.DUMMYFUNCTION("""COMPUTED_VALUE"""),"Head")</f>
        <v>Head</v>
      </c>
      <c r="E418" s="49">
        <f>IFERROR(__xludf.DUMMYFUNCTION("""COMPUTED_VALUE"""),200.0)</f>
        <v>200</v>
      </c>
      <c r="F418" s="49"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49">
        <f>IFERROR(__xludf.DUMMYFUNCTION("""COMPUTED_VALUE"""),7.98E8)</f>
        <v>798000000</v>
      </c>
      <c r="H418" s="49"/>
      <c r="I418" s="49"/>
      <c r="J418" s="49"/>
      <c r="K418" s="49"/>
      <c r="L418" s="49"/>
      <c r="M418" s="49"/>
      <c r="N418" s="49"/>
      <c r="O418" s="49"/>
      <c r="P418" s="49"/>
      <c r="Q418" s="49"/>
      <c r="R418" s="49"/>
      <c r="S418" s="49"/>
      <c r="T418" s="49"/>
      <c r="U418" s="49"/>
      <c r="V418" s="49"/>
      <c r="W418" s="49"/>
      <c r="X418" s="49"/>
      <c r="Y418" s="49"/>
      <c r="Z418" s="49"/>
    </row>
    <row r="419">
      <c r="A419" s="49" t="str">
        <f>IFERROR(__xludf.DUMMYFUNCTION("""COMPUTED_VALUE"""),"Dragonian Pauldrons")</f>
        <v>Dragonian Pauldrons</v>
      </c>
      <c r="B419" s="49"/>
      <c r="C419" s="49"/>
      <c r="D419" s="49" t="str">
        <f>IFERROR(__xludf.DUMMYFUNCTION("""COMPUTED_VALUE"""),"Shoulders")</f>
        <v>Shoulders</v>
      </c>
      <c r="E419" s="49">
        <f>IFERROR(__xludf.DUMMYFUNCTION("""COMPUTED_VALUE"""),200.0)</f>
        <v>200</v>
      </c>
      <c r="F419" s="49"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49">
        <f>IFERROR(__xludf.DUMMYFUNCTION("""COMPUTED_VALUE"""),7.98E8)</f>
        <v>798000000</v>
      </c>
      <c r="H419" s="49"/>
      <c r="I419" s="49"/>
      <c r="J419" s="49"/>
      <c r="K419" s="49"/>
      <c r="L419" s="49"/>
      <c r="M419" s="49"/>
      <c r="N419" s="49"/>
      <c r="O419" s="49"/>
      <c r="P419" s="49"/>
      <c r="Q419" s="49"/>
      <c r="R419" s="49"/>
      <c r="S419" s="49"/>
      <c r="T419" s="49"/>
      <c r="U419" s="49"/>
      <c r="V419" s="49"/>
      <c r="W419" s="49"/>
      <c r="X419" s="49"/>
      <c r="Y419" s="49"/>
      <c r="Z419" s="49"/>
    </row>
    <row r="420">
      <c r="A420" s="49" t="str">
        <f>IFERROR(__xludf.DUMMYFUNCTION("""COMPUTED_VALUE"""),"Dragonian Chestplate")</f>
        <v>Dragonian Chestplate</v>
      </c>
      <c r="B420" s="49"/>
      <c r="C420" s="49"/>
      <c r="D420" s="49" t="str">
        <f>IFERROR(__xludf.DUMMYFUNCTION("""COMPUTED_VALUE"""),"Torso")</f>
        <v>Torso</v>
      </c>
      <c r="E420" s="49">
        <f>IFERROR(__xludf.DUMMYFUNCTION("""COMPUTED_VALUE"""),200.0)</f>
        <v>200</v>
      </c>
      <c r="F420" s="49"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49">
        <f>IFERROR(__xludf.DUMMYFUNCTION("""COMPUTED_VALUE"""),7.98E8)</f>
        <v>798000000</v>
      </c>
      <c r="H420" s="49"/>
      <c r="I420" s="49"/>
      <c r="J420" s="49"/>
      <c r="K420" s="49"/>
      <c r="L420" s="49"/>
      <c r="M420" s="49"/>
      <c r="N420" s="49"/>
      <c r="O420" s="49"/>
      <c r="P420" s="49"/>
      <c r="Q420" s="49"/>
      <c r="R420" s="49"/>
      <c r="S420" s="49"/>
      <c r="T420" s="49"/>
      <c r="U420" s="49"/>
      <c r="V420" s="49"/>
      <c r="W420" s="49"/>
      <c r="X420" s="49"/>
      <c r="Y420" s="49"/>
      <c r="Z420" s="49"/>
    </row>
    <row r="421">
      <c r="A421" s="49" t="str">
        <f>IFERROR(__xludf.DUMMYFUNCTION("""COMPUTED_VALUE"""),"Dragonian Vambraces")</f>
        <v>Dragonian Vambraces</v>
      </c>
      <c r="B421" s="49"/>
      <c r="C421" s="49"/>
      <c r="D421" s="49" t="str">
        <f>IFERROR(__xludf.DUMMYFUNCTION("""COMPUTED_VALUE"""),"Arms")</f>
        <v>Arms</v>
      </c>
      <c r="E421" s="49">
        <f>IFERROR(__xludf.DUMMYFUNCTION("""COMPUTED_VALUE"""),200.0)</f>
        <v>200</v>
      </c>
      <c r="F421" s="49"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49">
        <f>IFERROR(__xludf.DUMMYFUNCTION("""COMPUTED_VALUE"""),7.98E8)</f>
        <v>798000000</v>
      </c>
      <c r="H421" s="49"/>
      <c r="I421" s="49"/>
      <c r="J421" s="49"/>
      <c r="K421" s="49"/>
      <c r="L421" s="49"/>
      <c r="M421" s="49"/>
      <c r="N421" s="49"/>
      <c r="O421" s="49"/>
      <c r="P421" s="49"/>
      <c r="Q421" s="49"/>
      <c r="R421" s="49"/>
      <c r="S421" s="49"/>
      <c r="T421" s="49"/>
      <c r="U421" s="49"/>
      <c r="V421" s="49"/>
      <c r="W421" s="49"/>
      <c r="X421" s="49"/>
      <c r="Y421" s="49"/>
      <c r="Z421" s="49"/>
    </row>
    <row r="422">
      <c r="A422" s="49" t="str">
        <f>IFERROR(__xludf.DUMMYFUNCTION("""COMPUTED_VALUE"""),"Dragonian Greaves")</f>
        <v>Dragonian Greaves</v>
      </c>
      <c r="B422" s="49"/>
      <c r="C422" s="49"/>
      <c r="D422" s="49" t="str">
        <f>IFERROR(__xludf.DUMMYFUNCTION("""COMPUTED_VALUE"""),"Legs")</f>
        <v>Legs</v>
      </c>
      <c r="E422" s="49">
        <f>IFERROR(__xludf.DUMMYFUNCTION("""COMPUTED_VALUE"""),200.0)</f>
        <v>200</v>
      </c>
      <c r="F422" s="49"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49">
        <f>IFERROR(__xludf.DUMMYFUNCTION("""COMPUTED_VALUE"""),7.98E8)</f>
        <v>798000000</v>
      </c>
      <c r="H422" s="49"/>
      <c r="I422" s="49"/>
      <c r="J422" s="49"/>
      <c r="K422" s="49"/>
      <c r="L422" s="49"/>
      <c r="M422" s="49"/>
      <c r="N422" s="49"/>
      <c r="O422" s="49"/>
      <c r="P422" s="49"/>
      <c r="Q422" s="49"/>
      <c r="R422" s="49"/>
      <c r="S422" s="49"/>
      <c r="T422" s="49"/>
      <c r="U422" s="49"/>
      <c r="V422" s="49"/>
      <c r="W422" s="49"/>
      <c r="X422" s="49"/>
      <c r="Y422" s="49"/>
      <c r="Z422" s="49"/>
    </row>
    <row r="423">
      <c r="A423" s="49" t="str">
        <f>IFERROR(__xludf.DUMMYFUNCTION("""COMPUTED_VALUE"""),"Dragonian Boots")</f>
        <v>Dragonian Boots</v>
      </c>
      <c r="B423" s="49"/>
      <c r="C423" s="49"/>
      <c r="D423" s="49" t="str">
        <f>IFERROR(__xludf.DUMMYFUNCTION("""COMPUTED_VALUE"""),"Feet")</f>
        <v>Feet</v>
      </c>
      <c r="E423" s="49">
        <f>IFERROR(__xludf.DUMMYFUNCTION("""COMPUTED_VALUE"""),200.0)</f>
        <v>200</v>
      </c>
      <c r="F423" s="49"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49">
        <f>IFERROR(__xludf.DUMMYFUNCTION("""COMPUTED_VALUE"""),7.98E8)</f>
        <v>798000000</v>
      </c>
      <c r="H423" s="49"/>
      <c r="I423" s="49"/>
      <c r="J423" s="49"/>
      <c r="K423" s="49"/>
      <c r="L423" s="49"/>
      <c r="M423" s="49"/>
      <c r="N423" s="49"/>
      <c r="O423" s="49"/>
      <c r="P423" s="49"/>
      <c r="Q423" s="49"/>
      <c r="R423" s="49"/>
      <c r="S423" s="49"/>
      <c r="T423" s="49"/>
      <c r="U423" s="49"/>
      <c r="V423" s="49"/>
      <c r="W423" s="49"/>
      <c r="X423" s="49"/>
      <c r="Y423" s="49"/>
      <c r="Z423" s="49"/>
    </row>
    <row r="424">
      <c r="A424" s="49" t="str">
        <f>IFERROR(__xludf.DUMMYFUNCTION("""COMPUTED_VALUE"""),"Dragonian Pendent")</f>
        <v>Dragonian Pendent</v>
      </c>
      <c r="B424" s="49"/>
      <c r="C424" s="49"/>
      <c r="D424" s="49" t="str">
        <f>IFERROR(__xludf.DUMMYFUNCTION("""COMPUTED_VALUE"""),"Neck")</f>
        <v>Neck</v>
      </c>
      <c r="E424" s="49">
        <f>IFERROR(__xludf.DUMMYFUNCTION("""COMPUTED_VALUE"""),200.0)</f>
        <v>200</v>
      </c>
      <c r="F424" s="49"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49">
        <f>IFERROR(__xludf.DUMMYFUNCTION("""COMPUTED_VALUE"""),4350000.0)</f>
        <v>4350000</v>
      </c>
      <c r="H424" s="49"/>
      <c r="I424" s="49"/>
      <c r="J424" s="49"/>
      <c r="K424" s="49"/>
      <c r="L424" s="49"/>
      <c r="M424" s="49"/>
      <c r="N424" s="49"/>
      <c r="O424" s="49"/>
      <c r="P424" s="49"/>
      <c r="Q424" s="49"/>
      <c r="R424" s="49"/>
      <c r="S424" s="49"/>
      <c r="T424" s="49"/>
      <c r="U424" s="49"/>
      <c r="V424" s="49"/>
      <c r="W424" s="49"/>
      <c r="X424" s="49"/>
      <c r="Y424" s="49"/>
      <c r="Z424" s="49"/>
    </row>
    <row r="425">
      <c r="A425" s="49" t="str">
        <f>IFERROR(__xludf.DUMMYFUNCTION("""COMPUTED_VALUE"""),"Dragonian Ring")</f>
        <v>Dragonian Ring</v>
      </c>
      <c r="B425" s="49"/>
      <c r="C425" s="49"/>
      <c r="D425" s="49" t="str">
        <f>IFERROR(__xludf.DUMMYFUNCTION("""COMPUTED_VALUE"""),"Ring")</f>
        <v>Ring</v>
      </c>
      <c r="E425" s="49">
        <f>IFERROR(__xludf.DUMMYFUNCTION("""COMPUTED_VALUE"""),200.0)</f>
        <v>200</v>
      </c>
      <c r="F425" s="49"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49">
        <f>IFERROR(__xludf.DUMMYFUNCTION("""COMPUTED_VALUE"""),4350000.0)</f>
        <v>4350000</v>
      </c>
      <c r="H425" s="49"/>
      <c r="I425" s="49"/>
      <c r="J425" s="49"/>
      <c r="K425" s="49"/>
      <c r="L425" s="49"/>
      <c r="M425" s="49"/>
      <c r="N425" s="49"/>
      <c r="O425" s="49"/>
      <c r="P425" s="49"/>
      <c r="Q425" s="49"/>
      <c r="R425" s="49"/>
      <c r="S425" s="49"/>
      <c r="T425" s="49"/>
      <c r="U425" s="49"/>
      <c r="V425" s="49"/>
      <c r="W425" s="49"/>
      <c r="X425" s="49"/>
      <c r="Y425" s="49"/>
      <c r="Z425" s="49"/>
    </row>
    <row r="426">
      <c r="A426" s="49" t="str">
        <f>IFERROR(__xludf.DUMMYFUNCTION("""COMPUTED_VALUE"""),"Fishing Pole of Luck and Power")</f>
        <v>Fishing Pole of Luck and Power</v>
      </c>
      <c r="B426" s="49"/>
      <c r="C426" s="49" t="str">
        <f>IFERROR(__xludf.DUMMYFUNCTION("""COMPUTED_VALUE"""),"Club")</f>
        <v>Club</v>
      </c>
      <c r="D426" s="49" t="str">
        <f>IFERROR(__xludf.DUMMYFUNCTION("""COMPUTED_VALUE"""),"Hand")</f>
        <v>Hand</v>
      </c>
      <c r="E426" s="49">
        <f>IFERROR(__xludf.DUMMYFUNCTION("""COMPUTED_VALUE"""),1600.0)</f>
        <v>1600</v>
      </c>
      <c r="F426" s="49"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49">
        <f>IFERROR(__xludf.DUMMYFUNCTION("""COMPUTED_VALUE"""),1.272E8)</f>
        <v>127200000</v>
      </c>
      <c r="H426" s="49"/>
      <c r="I426" s="49"/>
      <c r="J426" s="49"/>
      <c r="K426" s="49"/>
      <c r="L426" s="49"/>
      <c r="M426" s="49"/>
      <c r="N426" s="49"/>
      <c r="O426" s="49"/>
      <c r="P426" s="49"/>
      <c r="Q426" s="49"/>
      <c r="R426" s="49"/>
      <c r="S426" s="49"/>
      <c r="T426" s="49"/>
      <c r="U426" s="49"/>
      <c r="V426" s="49"/>
      <c r="W426" s="49"/>
      <c r="X426" s="49"/>
      <c r="Y426" s="49"/>
      <c r="Z426" s="49"/>
    </row>
    <row r="427">
      <c r="A427" s="49" t="str">
        <f>IFERROR(__xludf.DUMMYFUNCTION("""COMPUTED_VALUE"""),"Ancient Oni Pauldrons")</f>
        <v>Ancient Oni Pauldrons</v>
      </c>
      <c r="B427" s="49" t="str">
        <f>IFERROR(__xludf.DUMMYFUNCTION("""COMPUTED_VALUE"""),"An ancient relic to Zhenmay")</f>
        <v>An ancient relic to Zhenmay</v>
      </c>
      <c r="C427" s="49"/>
      <c r="D427" s="49" t="str">
        <f>IFERROR(__xludf.DUMMYFUNCTION("""COMPUTED_VALUE"""),"Shoulders")</f>
        <v>Shoulders</v>
      </c>
      <c r="E427" s="49">
        <f>IFERROR(__xludf.DUMMYFUNCTION("""COMPUTED_VALUE"""),200.0)</f>
        <v>200</v>
      </c>
      <c r="F427" s="49"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49">
        <f>IFERROR(__xludf.DUMMYFUNCTION("""COMPUTED_VALUE"""),5.104E8)</f>
        <v>510400000</v>
      </c>
      <c r="H427" s="49"/>
      <c r="I427" s="49"/>
      <c r="J427" s="49"/>
      <c r="K427" s="49"/>
      <c r="L427" s="49"/>
      <c r="M427" s="49"/>
      <c r="N427" s="49"/>
      <c r="O427" s="49"/>
      <c r="P427" s="49"/>
      <c r="Q427" s="49"/>
      <c r="R427" s="49"/>
      <c r="S427" s="49"/>
      <c r="T427" s="49"/>
      <c r="U427" s="49"/>
      <c r="V427" s="49"/>
      <c r="W427" s="49"/>
      <c r="X427" s="49"/>
      <c r="Y427" s="49"/>
      <c r="Z427" s="49"/>
    </row>
    <row r="428">
      <c r="A428" s="49" t="str">
        <f>IFERROR(__xludf.DUMMYFUNCTION("""COMPUTED_VALUE"""),"Ancient Oni Vambraces")</f>
        <v>Ancient Oni Vambraces</v>
      </c>
      <c r="B428" s="49" t="str">
        <f>IFERROR(__xludf.DUMMYFUNCTION("""COMPUTED_VALUE"""),"An ancient relic to Zhenmay")</f>
        <v>An ancient relic to Zhenmay</v>
      </c>
      <c r="C428" s="49"/>
      <c r="D428" s="49" t="str">
        <f>IFERROR(__xludf.DUMMYFUNCTION("""COMPUTED_VALUE"""),"Arms")</f>
        <v>Arms</v>
      </c>
      <c r="E428" s="49">
        <f>IFERROR(__xludf.DUMMYFUNCTION("""COMPUTED_VALUE"""),200.0)</f>
        <v>200</v>
      </c>
      <c r="F428" s="49"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49">
        <f>IFERROR(__xludf.DUMMYFUNCTION("""COMPUTED_VALUE"""),5.104E8)</f>
        <v>510400000</v>
      </c>
      <c r="H428" s="49"/>
      <c r="I428" s="49"/>
      <c r="J428" s="49"/>
      <c r="K428" s="49"/>
      <c r="L428" s="49"/>
      <c r="M428" s="49"/>
      <c r="N428" s="49"/>
      <c r="O428" s="49"/>
      <c r="P428" s="49"/>
      <c r="Q428" s="49"/>
      <c r="R428" s="49"/>
      <c r="S428" s="49"/>
      <c r="T428" s="49"/>
      <c r="U428" s="49"/>
      <c r="V428" s="49"/>
      <c r="W428" s="49"/>
      <c r="X428" s="49"/>
      <c r="Y428" s="49"/>
      <c r="Z428" s="49"/>
    </row>
    <row r="429">
      <c r="A429" s="49" t="str">
        <f>IFERROR(__xludf.DUMMYFUNCTION("""COMPUTED_VALUE"""),"Ancient Oni Greaves")</f>
        <v>Ancient Oni Greaves</v>
      </c>
      <c r="B429" s="49" t="str">
        <f>IFERROR(__xludf.DUMMYFUNCTION("""COMPUTED_VALUE"""),"An ancient relic to Zhenmay")</f>
        <v>An ancient relic to Zhenmay</v>
      </c>
      <c r="C429" s="49"/>
      <c r="D429" s="49" t="str">
        <f>IFERROR(__xludf.DUMMYFUNCTION("""COMPUTED_VALUE"""),"Legs")</f>
        <v>Legs</v>
      </c>
      <c r="E429" s="49">
        <f>IFERROR(__xludf.DUMMYFUNCTION("""COMPUTED_VALUE"""),200.0)</f>
        <v>200</v>
      </c>
      <c r="F429" s="49"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49">
        <f>IFERROR(__xludf.DUMMYFUNCTION("""COMPUTED_VALUE"""),5.104E8)</f>
        <v>510400000</v>
      </c>
      <c r="H429" s="49"/>
      <c r="I429" s="49"/>
      <c r="J429" s="49"/>
      <c r="K429" s="49"/>
      <c r="L429" s="49"/>
      <c r="M429" s="49"/>
      <c r="N429" s="49"/>
      <c r="O429" s="49"/>
      <c r="P429" s="49"/>
      <c r="Q429" s="49"/>
      <c r="R429" s="49"/>
      <c r="S429" s="49"/>
      <c r="T429" s="49"/>
      <c r="U429" s="49"/>
      <c r="V429" s="49"/>
      <c r="W429" s="49"/>
      <c r="X429" s="49"/>
      <c r="Y429" s="49"/>
      <c r="Z429" s="49"/>
    </row>
    <row r="430">
      <c r="A430" s="49" t="str">
        <f>IFERROR(__xludf.DUMMYFUNCTION("""COMPUTED_VALUE"""),"Ancient Oni Boots")</f>
        <v>Ancient Oni Boots</v>
      </c>
      <c r="B430" s="49" t="str">
        <f>IFERROR(__xludf.DUMMYFUNCTION("""COMPUTED_VALUE"""),"An ancient relic to Zhenmay")</f>
        <v>An ancient relic to Zhenmay</v>
      </c>
      <c r="C430" s="49"/>
      <c r="D430" s="49" t="str">
        <f>IFERROR(__xludf.DUMMYFUNCTION("""COMPUTED_VALUE"""),"Feet")</f>
        <v>Feet</v>
      </c>
      <c r="E430" s="49">
        <f>IFERROR(__xludf.DUMMYFUNCTION("""COMPUTED_VALUE"""),200.0)</f>
        <v>200</v>
      </c>
      <c r="F430" s="49"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49">
        <f>IFERROR(__xludf.DUMMYFUNCTION("""COMPUTED_VALUE"""),5.104E8)</f>
        <v>510400000</v>
      </c>
      <c r="H430" s="49"/>
      <c r="I430" s="49"/>
      <c r="J430" s="49"/>
      <c r="K430" s="49"/>
      <c r="L430" s="49"/>
      <c r="M430" s="49"/>
      <c r="N430" s="49"/>
      <c r="O430" s="49"/>
      <c r="P430" s="49"/>
      <c r="Q430" s="49"/>
      <c r="R430" s="49"/>
      <c r="S430" s="49"/>
      <c r="T430" s="49"/>
      <c r="U430" s="49"/>
      <c r="V430" s="49"/>
      <c r="W430" s="49"/>
      <c r="X430" s="49"/>
      <c r="Y430" s="49"/>
      <c r="Z430" s="49"/>
    </row>
    <row r="431">
      <c r="A431" s="49" t="str">
        <f>IFERROR(__xludf.DUMMYFUNCTION("""COMPUTED_VALUE"""),"Ancient Oni Katana")</f>
        <v>Ancient Oni Katana</v>
      </c>
      <c r="B431" s="49" t="str">
        <f>IFERROR(__xludf.DUMMYFUNCTION("""COMPUTED_VALUE"""),"An ancient relic to Zhenmay")</f>
        <v>An ancient relic to Zhenmay</v>
      </c>
      <c r="C431" s="49" t="str">
        <f>IFERROR(__xludf.DUMMYFUNCTION("""COMPUTED_VALUE"""),"Sword")</f>
        <v>Sword</v>
      </c>
      <c r="D431" s="49" t="str">
        <f>IFERROR(__xludf.DUMMYFUNCTION("""COMPUTED_VALUE"""),"Hand")</f>
        <v>Hand</v>
      </c>
      <c r="E431" s="49">
        <f>IFERROR(__xludf.DUMMYFUNCTION("""COMPUTED_VALUE"""),200.0)</f>
        <v>200</v>
      </c>
      <c r="F431" s="49"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49">
        <f>IFERROR(__xludf.DUMMYFUNCTION("""COMPUTED_VALUE"""),5.104E8)</f>
        <v>510400000</v>
      </c>
      <c r="H431" s="49"/>
      <c r="I431" s="49"/>
      <c r="J431" s="49"/>
      <c r="K431" s="49"/>
      <c r="L431" s="49"/>
      <c r="M431" s="49"/>
      <c r="N431" s="49"/>
      <c r="O431" s="49"/>
      <c r="P431" s="49"/>
      <c r="Q431" s="49"/>
      <c r="R431" s="49"/>
      <c r="S431" s="49"/>
      <c r="T431" s="49"/>
      <c r="U431" s="49"/>
      <c r="V431" s="49"/>
      <c r="W431" s="49"/>
      <c r="X431" s="49"/>
      <c r="Y431" s="49"/>
      <c r="Z431" s="49"/>
    </row>
    <row r="432">
      <c r="A432" s="49" t="str">
        <f>IFERROR(__xludf.DUMMYFUNCTION("""COMPUTED_VALUE"""),"The Grand Staff of Evil Flames")</f>
        <v>The Grand Staff of Evil Flames</v>
      </c>
      <c r="B432" s="49"/>
      <c r="C432" s="49" t="str">
        <f>IFERROR(__xludf.DUMMYFUNCTION("""COMPUTED_VALUE"""),"Staff")</f>
        <v>Staff</v>
      </c>
      <c r="D432" s="49" t="str">
        <f>IFERROR(__xludf.DUMMYFUNCTION("""COMPUTED_VALUE"""),"Hand")</f>
        <v>Hand</v>
      </c>
      <c r="E432" s="49">
        <f>IFERROR(__xludf.DUMMYFUNCTION("""COMPUTED_VALUE"""),1200.0)</f>
        <v>1200</v>
      </c>
      <c r="F432" s="49"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49">
        <f>IFERROR(__xludf.DUMMYFUNCTION("""COMPUTED_VALUE"""),7.14E7)</f>
        <v>71400000</v>
      </c>
      <c r="H432" s="49"/>
      <c r="I432" s="49"/>
      <c r="J432" s="49"/>
      <c r="K432" s="49"/>
      <c r="L432" s="49"/>
      <c r="M432" s="49"/>
      <c r="N432" s="49"/>
      <c r="O432" s="49"/>
      <c r="P432" s="49"/>
      <c r="Q432" s="49"/>
      <c r="R432" s="49"/>
      <c r="S432" s="49"/>
      <c r="T432" s="49"/>
      <c r="U432" s="49"/>
      <c r="V432" s="49"/>
      <c r="W432" s="49"/>
      <c r="X432" s="49"/>
      <c r="Y432" s="49"/>
      <c r="Z432" s="49"/>
    </row>
    <row r="433">
      <c r="A433" s="49" t="str">
        <f>IFERROR(__xludf.DUMMYFUNCTION("""COMPUTED_VALUE"""),"Soul Sword of The Endless Realm")</f>
        <v>Soul Sword of The Endless Realm</v>
      </c>
      <c r="B433" s="49"/>
      <c r="C433" s="49" t="str">
        <f>IFERROR(__xludf.DUMMYFUNCTION("""COMPUTED_VALUE"""),"Sword")</f>
        <v>Sword</v>
      </c>
      <c r="D433" s="49" t="str">
        <f>IFERROR(__xludf.DUMMYFUNCTION("""COMPUTED_VALUE"""),"Hand")</f>
        <v>Hand</v>
      </c>
      <c r="E433" s="49">
        <f>IFERROR(__xludf.DUMMYFUNCTION("""COMPUTED_VALUE"""),200.0)</f>
        <v>200</v>
      </c>
      <c r="F433" s="49"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49">
        <f>IFERROR(__xludf.DUMMYFUNCTION("""COMPUTED_VALUE"""),4.0455E9)</f>
        <v>4045500000</v>
      </c>
      <c r="H433" s="49"/>
      <c r="I433" s="49"/>
      <c r="J433" s="49"/>
      <c r="K433" s="49"/>
      <c r="L433" s="49"/>
      <c r="M433" s="49"/>
      <c r="N433" s="49"/>
      <c r="O433" s="49"/>
      <c r="P433" s="49"/>
      <c r="Q433" s="49"/>
      <c r="R433" s="49"/>
      <c r="S433" s="49"/>
      <c r="T433" s="49"/>
      <c r="U433" s="49"/>
      <c r="V433" s="49"/>
      <c r="W433" s="49"/>
      <c r="X433" s="49"/>
      <c r="Y433" s="49"/>
      <c r="Z433" s="49"/>
    </row>
    <row r="434">
      <c r="A434" s="49" t="str">
        <f>IFERROR(__xludf.DUMMYFUNCTION("""COMPUTED_VALUE"""),"Rat King's Crown")</f>
        <v>Rat King's Crown</v>
      </c>
      <c r="B434" s="49"/>
      <c r="C434" s="49"/>
      <c r="D434" s="49" t="str">
        <f>IFERROR(__xludf.DUMMYFUNCTION("""COMPUTED_VALUE"""),"Head")</f>
        <v>Head</v>
      </c>
      <c r="E434" s="49">
        <f>IFERROR(__xludf.DUMMYFUNCTION("""COMPUTED_VALUE"""),1000.0)</f>
        <v>1000</v>
      </c>
      <c r="F434" s="49"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49">
        <f>IFERROR(__xludf.DUMMYFUNCTION("""COMPUTED_VALUE"""),4.95E7)</f>
        <v>49500000</v>
      </c>
      <c r="H434" s="49"/>
      <c r="I434" s="49"/>
      <c r="J434" s="49"/>
      <c r="K434" s="49"/>
      <c r="L434" s="49"/>
      <c r="M434" s="49"/>
      <c r="N434" s="49"/>
      <c r="O434" s="49"/>
      <c r="P434" s="49"/>
      <c r="Q434" s="49"/>
      <c r="R434" s="49"/>
      <c r="S434" s="49"/>
      <c r="T434" s="49"/>
      <c r="U434" s="49"/>
      <c r="V434" s="49"/>
      <c r="W434" s="49"/>
      <c r="X434" s="49"/>
      <c r="Y434" s="49"/>
      <c r="Z434" s="49"/>
    </row>
    <row r="435">
      <c r="A435" s="49" t="str">
        <f>IFERROR(__xludf.DUMMYFUNCTION("""COMPUTED_VALUE"""),"Vermouth's Crown of Tides")</f>
        <v>Vermouth's Crown of Tides</v>
      </c>
      <c r="B435" s="49"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49"/>
      <c r="D435" s="49" t="str">
        <f>IFERROR(__xludf.DUMMYFUNCTION("""COMPUTED_VALUE"""),"Head")</f>
        <v>Head</v>
      </c>
      <c r="E435" s="49">
        <f>IFERROR(__xludf.DUMMYFUNCTION("""COMPUTED_VALUE"""),700.0)</f>
        <v>700</v>
      </c>
      <c r="F435" s="49" t="str">
        <f>IFERROR(__xludf.DUMMYFUNCTION("""COMPUTED_VALUE"""),"DEF: +25000, Water DEF: +10000 ++Immunity to Water damage. ++X2 Additional Water damage for the user.")</f>
        <v>DEF: +25000, Water DEF: +10000 ++Immunity to Water damage. ++X2 Additional Water damage for the user.</v>
      </c>
      <c r="G435" s="49">
        <f>IFERROR(__xludf.DUMMYFUNCTION("""COMPUTED_VALUE"""),2.415E7)</f>
        <v>24150000</v>
      </c>
      <c r="H435" s="49"/>
      <c r="I435" s="49"/>
      <c r="J435" s="49"/>
      <c r="K435" s="49"/>
      <c r="L435" s="49"/>
      <c r="M435" s="49"/>
      <c r="N435" s="49"/>
      <c r="O435" s="49"/>
      <c r="P435" s="49"/>
      <c r="Q435" s="49"/>
      <c r="R435" s="49"/>
      <c r="S435" s="49"/>
      <c r="T435" s="49"/>
      <c r="U435" s="49"/>
      <c r="V435" s="49"/>
      <c r="W435" s="49"/>
      <c r="X435" s="49"/>
      <c r="Y435" s="49"/>
      <c r="Z435" s="49"/>
    </row>
    <row r="436">
      <c r="A436" s="49" t="str">
        <f>IFERROR(__xludf.DUMMYFUNCTION("""COMPUTED_VALUE"""),"ChronoMech Enigma")</f>
        <v>ChronoMech Enigma</v>
      </c>
      <c r="B436" s="49" t="str">
        <f>IFERROR(__xludf.DUMMYFUNCTION("""COMPUTED_VALUE"""),"A clockwork device that grants unique abilities.")</f>
        <v>A clockwork device that grants unique abilities.</v>
      </c>
      <c r="C436" s="49"/>
      <c r="D436" s="49" t="str">
        <f>IFERROR(__xludf.DUMMYFUNCTION("""COMPUTED_VALUE"""),"Hand")</f>
        <v>Hand</v>
      </c>
      <c r="E436" s="49">
        <f>IFERROR(__xludf.DUMMYFUNCTION("""COMPUTED_VALUE"""),200.0)</f>
        <v>200</v>
      </c>
      <c r="F436" s="49"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49">
        <f>IFERROR(__xludf.DUMMYFUNCTION("""COMPUTED_VALUE"""),1900000.0)</f>
        <v>1900000</v>
      </c>
      <c r="H436" s="49"/>
      <c r="I436" s="49"/>
      <c r="J436" s="49"/>
      <c r="K436" s="49"/>
      <c r="L436" s="49"/>
      <c r="M436" s="49"/>
      <c r="N436" s="49"/>
      <c r="O436" s="49"/>
      <c r="P436" s="49"/>
      <c r="Q436" s="49"/>
      <c r="R436" s="49"/>
      <c r="S436" s="49"/>
      <c r="T436" s="49"/>
      <c r="U436" s="49"/>
      <c r="V436" s="49"/>
      <c r="W436" s="49"/>
      <c r="X436" s="49"/>
      <c r="Y436" s="49"/>
      <c r="Z436" s="49"/>
    </row>
    <row r="437">
      <c r="A437" s="49" t="str">
        <f>IFERROR(__xludf.DUMMYFUNCTION("""COMPUTED_VALUE"""),"Royal Sword of The Halloween Kingdom")</f>
        <v>Royal Sword of The Halloween Kingdom</v>
      </c>
      <c r="B437" s="49" t="str">
        <f>IFERROR(__xludf.DUMMYFUNCTION("""COMPUTED_VALUE"""),"Halloween Exclusive")</f>
        <v>Halloween Exclusive</v>
      </c>
      <c r="C437" s="49" t="str">
        <f>IFERROR(__xludf.DUMMYFUNCTION("""COMPUTED_VALUE"""),"Sword")</f>
        <v>Sword</v>
      </c>
      <c r="D437" s="49" t="str">
        <f>IFERROR(__xludf.DUMMYFUNCTION("""COMPUTED_VALUE"""),"Hand")</f>
        <v>Hand</v>
      </c>
      <c r="E437" s="49">
        <f>IFERROR(__xludf.DUMMYFUNCTION("""COMPUTED_VALUE"""),200.0)</f>
        <v>200</v>
      </c>
      <c r="F437" s="49"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49">
        <f>IFERROR(__xludf.DUMMYFUNCTION("""COMPUTED_VALUE"""),1.0557E9)</f>
        <v>1055700000</v>
      </c>
      <c r="H437" s="49"/>
      <c r="I437" s="49"/>
      <c r="J437" s="49"/>
      <c r="K437" s="49"/>
      <c r="L437" s="49"/>
      <c r="M437" s="49"/>
      <c r="N437" s="49"/>
      <c r="O437" s="49"/>
      <c r="P437" s="49"/>
      <c r="Q437" s="49"/>
      <c r="R437" s="49"/>
      <c r="S437" s="49"/>
      <c r="T437" s="49"/>
      <c r="U437" s="49"/>
      <c r="V437" s="49"/>
      <c r="W437" s="49"/>
      <c r="X437" s="49"/>
      <c r="Y437" s="49"/>
      <c r="Z437" s="49"/>
    </row>
    <row r="438">
      <c r="A438" s="49" t="str">
        <f>IFERROR(__xludf.DUMMYFUNCTION("""COMPUTED_VALUE"""),"Royal Shield of The Halloween Kingdom")</f>
        <v>Royal Shield of The Halloween Kingdom</v>
      </c>
      <c r="B438" s="49" t="str">
        <f>IFERROR(__xludf.DUMMYFUNCTION("""COMPUTED_VALUE"""),"Halloween Exclusive")</f>
        <v>Halloween Exclusive</v>
      </c>
      <c r="C438" s="49" t="str">
        <f>IFERROR(__xludf.DUMMYFUNCTION("""COMPUTED_VALUE"""),"Towershield")</f>
        <v>Towershield</v>
      </c>
      <c r="D438" s="49" t="str">
        <f>IFERROR(__xludf.DUMMYFUNCTION("""COMPUTED_VALUE"""),"Hand")</f>
        <v>Hand</v>
      </c>
      <c r="E438" s="49">
        <f>IFERROR(__xludf.DUMMYFUNCTION("""COMPUTED_VALUE"""),200.0)</f>
        <v>200</v>
      </c>
      <c r="F438" s="49"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49">
        <f>IFERROR(__xludf.DUMMYFUNCTION("""COMPUTED_VALUE"""),1.0557E9)</f>
        <v>1055700000</v>
      </c>
      <c r="H438" s="49"/>
      <c r="I438" s="49"/>
      <c r="J438" s="49"/>
      <c r="K438" s="49"/>
      <c r="L438" s="49"/>
      <c r="M438" s="49"/>
      <c r="N438" s="49"/>
      <c r="O438" s="49"/>
      <c r="P438" s="49"/>
      <c r="Q438" s="49"/>
      <c r="R438" s="49"/>
      <c r="S438" s="49"/>
      <c r="T438" s="49"/>
      <c r="U438" s="49"/>
      <c r="V438" s="49"/>
      <c r="W438" s="49"/>
      <c r="X438" s="49"/>
      <c r="Y438" s="49"/>
      <c r="Z438" s="49"/>
    </row>
    <row r="439">
      <c r="A439" s="49" t="str">
        <f>IFERROR(__xludf.DUMMYFUNCTION("""COMPUTED_VALUE"""),"Sacred Flaming Pearl")</f>
        <v>Sacred Flaming Pearl</v>
      </c>
      <c r="B439" s="49" t="str">
        <f>IFERROR(__xludf.DUMMYFUNCTION("""COMPUTED_VALUE"""),"Quest item.")</f>
        <v>Quest item.</v>
      </c>
      <c r="C439" s="49"/>
      <c r="D439" s="49" t="str">
        <f>IFERROR(__xludf.DUMMYFUNCTION("""COMPUTED_VALUE"""),"Hand")</f>
        <v>Hand</v>
      </c>
      <c r="E439" s="49">
        <f>IFERROR(__xludf.DUMMYFUNCTION("""COMPUTED_VALUE"""),1.0)</f>
        <v>1</v>
      </c>
      <c r="F439" s="49" t="str">
        <f>IFERROR(__xludf.DUMMYFUNCTION("""COMPUTED_VALUE""")," ++X4 additional fire damage for the user. +-Cannot be duplicated.")</f>
        <v> ++X4 additional fire damage for the user. +-Cannot be duplicated.</v>
      </c>
      <c r="G439" s="49">
        <f>IFERROR(__xludf.DUMMYFUNCTION("""COMPUTED_VALUE"""),0.0)</f>
        <v>0</v>
      </c>
      <c r="H439" s="49"/>
      <c r="I439" s="49"/>
      <c r="J439" s="49"/>
      <c r="K439" s="49"/>
      <c r="L439" s="49"/>
      <c r="M439" s="49"/>
      <c r="N439" s="49"/>
      <c r="O439" s="49"/>
      <c r="P439" s="49"/>
      <c r="Q439" s="49"/>
      <c r="R439" s="49"/>
      <c r="S439" s="49"/>
      <c r="T439" s="49"/>
      <c r="U439" s="49"/>
      <c r="V439" s="49"/>
      <c r="W439" s="49"/>
      <c r="X439" s="49"/>
      <c r="Y439" s="49"/>
      <c r="Z439" s="49"/>
    </row>
    <row r="440">
      <c r="A440" s="49" t="str">
        <f>IFERROR(__xludf.DUMMYFUNCTION("""COMPUTED_VALUE"""),"DragonScale Royal Helm")</f>
        <v>DragonScale Royal Helm</v>
      </c>
      <c r="B440" s="49"/>
      <c r="C440" s="49"/>
      <c r="D440" s="49" t="str">
        <f>IFERROR(__xludf.DUMMYFUNCTION("""COMPUTED_VALUE"""),"Head")</f>
        <v>Head</v>
      </c>
      <c r="E440" s="49">
        <f>IFERROR(__xludf.DUMMYFUNCTION("""COMPUTED_VALUE"""),200.0)</f>
        <v>200</v>
      </c>
      <c r="F440" s="49"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49">
        <f>IFERROR(__xludf.DUMMYFUNCTION("""COMPUTED_VALUE"""),9.73E7)</f>
        <v>97300000</v>
      </c>
      <c r="H440" s="49"/>
      <c r="I440" s="49"/>
      <c r="J440" s="49"/>
      <c r="K440" s="49"/>
      <c r="L440" s="49"/>
      <c r="M440" s="49"/>
      <c r="N440" s="49"/>
      <c r="O440" s="49"/>
      <c r="P440" s="49"/>
      <c r="Q440" s="49"/>
      <c r="R440" s="49"/>
      <c r="S440" s="49"/>
      <c r="T440" s="49"/>
      <c r="U440" s="49"/>
      <c r="V440" s="49"/>
      <c r="W440" s="49"/>
      <c r="X440" s="49"/>
      <c r="Y440" s="49"/>
      <c r="Z440" s="49"/>
    </row>
    <row r="441">
      <c r="A441" s="49" t="str">
        <f>IFERROR(__xludf.DUMMYFUNCTION("""COMPUTED_VALUE"""),"DragonScale Royal Chestplate")</f>
        <v>DragonScale Royal Chestplate</v>
      </c>
      <c r="B441" s="49"/>
      <c r="C441" s="49"/>
      <c r="D441" s="49" t="str">
        <f>IFERROR(__xludf.DUMMYFUNCTION("""COMPUTED_VALUE"""),"Torso")</f>
        <v>Torso</v>
      </c>
      <c r="E441" s="49">
        <f>IFERROR(__xludf.DUMMYFUNCTION("""COMPUTED_VALUE"""),200.0)</f>
        <v>200</v>
      </c>
      <c r="F441" s="49"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49">
        <f>IFERROR(__xludf.DUMMYFUNCTION("""COMPUTED_VALUE"""),5.995E7)</f>
        <v>59950000</v>
      </c>
      <c r="H441" s="49"/>
      <c r="I441" s="49"/>
      <c r="J441" s="49"/>
      <c r="K441" s="49"/>
      <c r="L441" s="49"/>
      <c r="M441" s="49"/>
      <c r="N441" s="49"/>
      <c r="O441" s="49"/>
      <c r="P441" s="49"/>
      <c r="Q441" s="49"/>
      <c r="R441" s="49"/>
      <c r="S441" s="49"/>
      <c r="T441" s="49"/>
      <c r="U441" s="49"/>
      <c r="V441" s="49"/>
      <c r="W441" s="49"/>
      <c r="X441" s="49"/>
      <c r="Y441" s="49"/>
      <c r="Z441" s="49"/>
    </row>
    <row r="442">
      <c r="A442" s="49" t="str">
        <f>IFERROR(__xludf.DUMMYFUNCTION("""COMPUTED_VALUE"""),"DragonScale Royal Vambraces")</f>
        <v>DragonScale Royal Vambraces</v>
      </c>
      <c r="B442" s="49"/>
      <c r="C442" s="49"/>
      <c r="D442" s="49" t="str">
        <f>IFERROR(__xludf.DUMMYFUNCTION("""COMPUTED_VALUE"""),"Arms")</f>
        <v>Arms</v>
      </c>
      <c r="E442" s="49">
        <f>IFERROR(__xludf.DUMMYFUNCTION("""COMPUTED_VALUE"""),200.0)</f>
        <v>200</v>
      </c>
      <c r="F442" s="49"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49">
        <f>IFERROR(__xludf.DUMMYFUNCTION("""COMPUTED_VALUE"""),3.16E7)</f>
        <v>31600000</v>
      </c>
      <c r="H442" s="49"/>
      <c r="I442" s="49"/>
      <c r="J442" s="49"/>
      <c r="K442" s="49"/>
      <c r="L442" s="49"/>
      <c r="M442" s="49"/>
      <c r="N442" s="49"/>
      <c r="O442" s="49"/>
      <c r="P442" s="49"/>
      <c r="Q442" s="49"/>
      <c r="R442" s="49"/>
      <c r="S442" s="49"/>
      <c r="T442" s="49"/>
      <c r="U442" s="49"/>
      <c r="V442" s="49"/>
      <c r="W442" s="49"/>
      <c r="X442" s="49"/>
      <c r="Y442" s="49"/>
      <c r="Z442" s="49"/>
    </row>
    <row r="443">
      <c r="A443" s="49" t="str">
        <f>IFERROR(__xludf.DUMMYFUNCTION("""COMPUTED_VALUE"""),"DragonScale Royal Greaves")</f>
        <v>DragonScale Royal Greaves</v>
      </c>
      <c r="B443" s="49"/>
      <c r="C443" s="49"/>
      <c r="D443" s="49" t="str">
        <f>IFERROR(__xludf.DUMMYFUNCTION("""COMPUTED_VALUE"""),"Legs")</f>
        <v>Legs</v>
      </c>
      <c r="E443" s="49">
        <f>IFERROR(__xludf.DUMMYFUNCTION("""COMPUTED_VALUE"""),200.0)</f>
        <v>200</v>
      </c>
      <c r="F443" s="49"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49">
        <f>IFERROR(__xludf.DUMMYFUNCTION("""COMPUTED_VALUE"""),3.16E7)</f>
        <v>31600000</v>
      </c>
      <c r="H443" s="49"/>
      <c r="I443" s="49"/>
      <c r="J443" s="49"/>
      <c r="K443" s="49"/>
      <c r="L443" s="49"/>
      <c r="M443" s="49"/>
      <c r="N443" s="49"/>
      <c r="O443" s="49"/>
      <c r="P443" s="49"/>
      <c r="Q443" s="49"/>
      <c r="R443" s="49"/>
      <c r="S443" s="49"/>
      <c r="T443" s="49"/>
      <c r="U443" s="49"/>
      <c r="V443" s="49"/>
      <c r="W443" s="49"/>
      <c r="X443" s="49"/>
      <c r="Y443" s="49"/>
      <c r="Z443" s="49"/>
    </row>
    <row r="444">
      <c r="A444" s="49" t="str">
        <f>IFERROR(__xludf.DUMMYFUNCTION("""COMPUTED_VALUE"""),"DragonScale Royal Shield")</f>
        <v>DragonScale Royal Shield</v>
      </c>
      <c r="B444" s="49"/>
      <c r="C444" s="49" t="str">
        <f>IFERROR(__xludf.DUMMYFUNCTION("""COMPUTED_VALUE"""),"Towershield")</f>
        <v>Towershield</v>
      </c>
      <c r="D444" s="49" t="str">
        <f>IFERROR(__xludf.DUMMYFUNCTION("""COMPUTED_VALUE"""),"Hand")</f>
        <v>Hand</v>
      </c>
      <c r="E444" s="49">
        <f>IFERROR(__xludf.DUMMYFUNCTION("""COMPUTED_VALUE"""),200.0)</f>
        <v>200</v>
      </c>
      <c r="F444" s="49"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49">
        <f>IFERROR(__xludf.DUMMYFUNCTION("""COMPUTED_VALUE"""),2.1945E8)</f>
        <v>219450000</v>
      </c>
      <c r="H444" s="49"/>
      <c r="I444" s="49"/>
      <c r="J444" s="49"/>
      <c r="K444" s="49"/>
      <c r="L444" s="49"/>
      <c r="M444" s="49"/>
      <c r="N444" s="49"/>
      <c r="O444" s="49"/>
      <c r="P444" s="49"/>
      <c r="Q444" s="49"/>
      <c r="R444" s="49"/>
      <c r="S444" s="49"/>
      <c r="T444" s="49"/>
      <c r="U444" s="49"/>
      <c r="V444" s="49"/>
      <c r="W444" s="49"/>
      <c r="X444" s="49"/>
      <c r="Y444" s="49"/>
      <c r="Z444" s="49"/>
    </row>
    <row r="445">
      <c r="A445" s="49" t="str">
        <f>IFERROR(__xludf.DUMMYFUNCTION("""COMPUTED_VALUE"""),"DragonScale Royal Boots")</f>
        <v>DragonScale Royal Boots</v>
      </c>
      <c r="B445" s="49"/>
      <c r="C445" s="49"/>
      <c r="D445" s="49" t="str">
        <f>IFERROR(__xludf.DUMMYFUNCTION("""COMPUTED_VALUE"""),"Feet")</f>
        <v>Feet</v>
      </c>
      <c r="E445" s="49">
        <f>IFERROR(__xludf.DUMMYFUNCTION("""COMPUTED_VALUE"""),200.0)</f>
        <v>200</v>
      </c>
      <c r="F445" s="49"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49">
        <f>IFERROR(__xludf.DUMMYFUNCTION("""COMPUTED_VALUE"""),5.356E7)</f>
        <v>53560000</v>
      </c>
      <c r="H445" s="49"/>
      <c r="I445" s="49"/>
      <c r="J445" s="49"/>
      <c r="K445" s="49"/>
      <c r="L445" s="49"/>
      <c r="M445" s="49"/>
      <c r="N445" s="49"/>
      <c r="O445" s="49"/>
      <c r="P445" s="49"/>
      <c r="Q445" s="49"/>
      <c r="R445" s="49"/>
      <c r="S445" s="49"/>
      <c r="T445" s="49"/>
      <c r="U445" s="49"/>
      <c r="V445" s="49"/>
      <c r="W445" s="49"/>
      <c r="X445" s="49"/>
      <c r="Y445" s="49"/>
      <c r="Z445" s="49"/>
    </row>
    <row r="446">
      <c r="A446" s="49" t="str">
        <f>IFERROR(__xludf.DUMMYFUNCTION("""COMPUTED_VALUE"""),"DragonScale Royal Pauldrons")</f>
        <v>DragonScale Royal Pauldrons</v>
      </c>
      <c r="B446" s="49"/>
      <c r="C446" s="49"/>
      <c r="D446" s="49" t="str">
        <f>IFERROR(__xludf.DUMMYFUNCTION("""COMPUTED_VALUE"""),"Shoulders")</f>
        <v>Shoulders</v>
      </c>
      <c r="E446" s="49">
        <f>IFERROR(__xludf.DUMMYFUNCTION("""COMPUTED_VALUE"""),200.0)</f>
        <v>200</v>
      </c>
      <c r="F446" s="49"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49">
        <f>IFERROR(__xludf.DUMMYFUNCTION("""COMPUTED_VALUE"""),4.95E7)</f>
        <v>49500000</v>
      </c>
      <c r="H446" s="49"/>
      <c r="I446" s="49"/>
      <c r="J446" s="49"/>
      <c r="K446" s="49"/>
      <c r="L446" s="49"/>
      <c r="M446" s="49"/>
      <c r="N446" s="49"/>
      <c r="O446" s="49"/>
      <c r="P446" s="49"/>
      <c r="Q446" s="49"/>
      <c r="R446" s="49"/>
      <c r="S446" s="49"/>
      <c r="T446" s="49"/>
      <c r="U446" s="49"/>
      <c r="V446" s="49"/>
      <c r="W446" s="49"/>
      <c r="X446" s="49"/>
      <c r="Y446" s="49"/>
      <c r="Z446" s="49"/>
    </row>
    <row r="447">
      <c r="A447" s="49" t="str">
        <f>IFERROR(__xludf.DUMMYFUNCTION("""COMPUTED_VALUE"""),"BLADE! OF! JUSTICE!!!!")</f>
        <v>BLADE! OF! JUSTICE!!!!</v>
      </c>
      <c r="B447" s="49"/>
      <c r="C447" s="49" t="str">
        <f>IFERROR(__xludf.DUMMYFUNCTION("""COMPUTED_VALUE"""),"Sword")</f>
        <v>Sword</v>
      </c>
      <c r="D447" s="49" t="str">
        <f>IFERROR(__xludf.DUMMYFUNCTION("""COMPUTED_VALUE"""),"Hand")</f>
        <v>Hand</v>
      </c>
      <c r="E447" s="49">
        <f>IFERROR(__xludf.DUMMYFUNCTION("""COMPUTED_VALUE"""),200.0)</f>
        <v>200</v>
      </c>
      <c r="F447" s="49"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49">
        <f>IFERROR(__xludf.DUMMYFUNCTION("""COMPUTED_VALUE"""),3.367E8)</f>
        <v>336700000</v>
      </c>
      <c r="H447" s="49"/>
      <c r="I447" s="49"/>
      <c r="J447" s="49"/>
      <c r="K447" s="49"/>
      <c r="L447" s="49"/>
      <c r="M447" s="49"/>
      <c r="N447" s="49"/>
      <c r="O447" s="49"/>
      <c r="P447" s="49"/>
      <c r="Q447" s="49"/>
      <c r="R447" s="49"/>
      <c r="S447" s="49"/>
      <c r="T447" s="49"/>
      <c r="U447" s="49"/>
      <c r="V447" s="49"/>
      <c r="W447" s="49"/>
      <c r="X447" s="49"/>
      <c r="Y447" s="49"/>
      <c r="Z447" s="49"/>
    </row>
    <row r="448">
      <c r="A448" s="49" t="str">
        <f>IFERROR(__xludf.DUMMYFUNCTION("""COMPUTED_VALUE"""),"Abstara Royal Helm")</f>
        <v>Abstara Royal Helm</v>
      </c>
      <c r="B448" s="49"/>
      <c r="C448" s="49"/>
      <c r="D448" s="49" t="str">
        <f>IFERROR(__xludf.DUMMYFUNCTION("""COMPUTED_VALUE"""),"Head")</f>
        <v>Head</v>
      </c>
      <c r="E448" s="49">
        <f>IFERROR(__xludf.DUMMYFUNCTION("""COMPUTED_VALUE"""),200.0)</f>
        <v>200</v>
      </c>
      <c r="F448" s="49"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49">
        <f>IFERROR(__xludf.DUMMYFUNCTION("""COMPUTED_VALUE"""),1.99E8)</f>
        <v>199000000</v>
      </c>
      <c r="H448" s="49"/>
      <c r="I448" s="49"/>
      <c r="J448" s="49"/>
      <c r="K448" s="49"/>
      <c r="L448" s="49"/>
      <c r="M448" s="49"/>
      <c r="N448" s="49"/>
      <c r="O448" s="49"/>
      <c r="P448" s="49"/>
      <c r="Q448" s="49"/>
      <c r="R448" s="49"/>
      <c r="S448" s="49"/>
      <c r="T448" s="49"/>
      <c r="U448" s="49"/>
      <c r="V448" s="49"/>
      <c r="W448" s="49"/>
      <c r="X448" s="49"/>
      <c r="Y448" s="49"/>
      <c r="Z448" s="49"/>
    </row>
    <row r="449">
      <c r="A449" s="49" t="str">
        <f>IFERROR(__xludf.DUMMYFUNCTION("""COMPUTED_VALUE"""),"Abstara Royal Chestplate")</f>
        <v>Abstara Royal Chestplate</v>
      </c>
      <c r="B449" s="49"/>
      <c r="C449" s="49"/>
      <c r="D449" s="49" t="str">
        <f>IFERROR(__xludf.DUMMYFUNCTION("""COMPUTED_VALUE"""),"Torso")</f>
        <v>Torso</v>
      </c>
      <c r="E449" s="49">
        <f>IFERROR(__xludf.DUMMYFUNCTION("""COMPUTED_VALUE"""),200.0)</f>
        <v>200</v>
      </c>
      <c r="F449" s="49"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49">
        <f>IFERROR(__xludf.DUMMYFUNCTION("""COMPUTED_VALUE"""),1.99E8)</f>
        <v>199000000</v>
      </c>
      <c r="H449" s="49"/>
      <c r="I449" s="49"/>
      <c r="J449" s="49"/>
      <c r="K449" s="49"/>
      <c r="L449" s="49"/>
      <c r="M449" s="49"/>
      <c r="N449" s="49"/>
      <c r="O449" s="49"/>
      <c r="P449" s="49"/>
      <c r="Q449" s="49"/>
      <c r="R449" s="49"/>
      <c r="S449" s="49"/>
      <c r="T449" s="49"/>
      <c r="U449" s="49"/>
      <c r="V449" s="49"/>
      <c r="W449" s="49"/>
      <c r="X449" s="49"/>
      <c r="Y449" s="49"/>
      <c r="Z449" s="49"/>
    </row>
    <row r="450">
      <c r="A450" s="49" t="str">
        <f>IFERROR(__xludf.DUMMYFUNCTION("""COMPUTED_VALUE"""),"Abstara Royal Vambraces")</f>
        <v>Abstara Royal Vambraces</v>
      </c>
      <c r="B450" s="49"/>
      <c r="C450" s="49"/>
      <c r="D450" s="49" t="str">
        <f>IFERROR(__xludf.DUMMYFUNCTION("""COMPUTED_VALUE"""),"Arms")</f>
        <v>Arms</v>
      </c>
      <c r="E450" s="49">
        <f>IFERROR(__xludf.DUMMYFUNCTION("""COMPUTED_VALUE"""),200.0)</f>
        <v>200</v>
      </c>
      <c r="F450" s="49"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49">
        <f>IFERROR(__xludf.DUMMYFUNCTION("""COMPUTED_VALUE"""),1.99E8)</f>
        <v>199000000</v>
      </c>
      <c r="H450" s="49"/>
      <c r="I450" s="49"/>
      <c r="J450" s="49"/>
      <c r="K450" s="49"/>
      <c r="L450" s="49"/>
      <c r="M450" s="49"/>
      <c r="N450" s="49"/>
      <c r="O450" s="49"/>
      <c r="P450" s="49"/>
      <c r="Q450" s="49"/>
      <c r="R450" s="49"/>
      <c r="S450" s="49"/>
      <c r="T450" s="49"/>
      <c r="U450" s="49"/>
      <c r="V450" s="49"/>
      <c r="W450" s="49"/>
      <c r="X450" s="49"/>
      <c r="Y450" s="49"/>
      <c r="Z450" s="49"/>
    </row>
    <row r="451">
      <c r="A451" s="49" t="str">
        <f>IFERROR(__xludf.DUMMYFUNCTION("""COMPUTED_VALUE"""),"Abstara Royal Greaves")</f>
        <v>Abstara Royal Greaves</v>
      </c>
      <c r="B451" s="49"/>
      <c r="C451" s="49"/>
      <c r="D451" s="49" t="str">
        <f>IFERROR(__xludf.DUMMYFUNCTION("""COMPUTED_VALUE"""),"Legs")</f>
        <v>Legs</v>
      </c>
      <c r="E451" s="49">
        <f>IFERROR(__xludf.DUMMYFUNCTION("""COMPUTED_VALUE"""),200.0)</f>
        <v>200</v>
      </c>
      <c r="F451" s="49"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49">
        <f>IFERROR(__xludf.DUMMYFUNCTION("""COMPUTED_VALUE"""),1.99E8)</f>
        <v>199000000</v>
      </c>
      <c r="H451" s="49"/>
      <c r="I451" s="49"/>
      <c r="J451" s="49"/>
      <c r="K451" s="49"/>
      <c r="L451" s="49"/>
      <c r="M451" s="49"/>
      <c r="N451" s="49"/>
      <c r="O451" s="49"/>
      <c r="P451" s="49"/>
      <c r="Q451" s="49"/>
      <c r="R451" s="49"/>
      <c r="S451" s="49"/>
      <c r="T451" s="49"/>
      <c r="U451" s="49"/>
      <c r="V451" s="49"/>
      <c r="W451" s="49"/>
      <c r="X451" s="49"/>
      <c r="Y451" s="49"/>
      <c r="Z451" s="49"/>
    </row>
    <row r="452">
      <c r="A452" s="49" t="str">
        <f>IFERROR(__xludf.DUMMYFUNCTION("""COMPUTED_VALUE"""),"Abstara Royal Shield")</f>
        <v>Abstara Royal Shield</v>
      </c>
      <c r="B452" s="49"/>
      <c r="C452" s="49" t="str">
        <f>IFERROR(__xludf.DUMMYFUNCTION("""COMPUTED_VALUE"""),"Towershield")</f>
        <v>Towershield</v>
      </c>
      <c r="D452" s="49" t="str">
        <f>IFERROR(__xludf.DUMMYFUNCTION("""COMPUTED_VALUE"""),"Hand")</f>
        <v>Hand</v>
      </c>
      <c r="E452" s="49">
        <f>IFERROR(__xludf.DUMMYFUNCTION("""COMPUTED_VALUE"""),200.0)</f>
        <v>200</v>
      </c>
      <c r="F452" s="49"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49">
        <f>IFERROR(__xludf.DUMMYFUNCTION("""COMPUTED_VALUE"""),1.99E8)</f>
        <v>199000000</v>
      </c>
      <c r="H452" s="49"/>
      <c r="I452" s="49"/>
      <c r="J452" s="49"/>
      <c r="K452" s="49"/>
      <c r="L452" s="49"/>
      <c r="M452" s="49"/>
      <c r="N452" s="49"/>
      <c r="O452" s="49"/>
      <c r="P452" s="49"/>
      <c r="Q452" s="49"/>
      <c r="R452" s="49"/>
      <c r="S452" s="49"/>
      <c r="T452" s="49"/>
      <c r="U452" s="49"/>
      <c r="V452" s="49"/>
      <c r="W452" s="49"/>
      <c r="X452" s="49"/>
      <c r="Y452" s="49"/>
      <c r="Z452" s="49"/>
    </row>
    <row r="453">
      <c r="A453" s="49" t="str">
        <f>IFERROR(__xludf.DUMMYFUNCTION("""COMPUTED_VALUE"""),"Abstara Royal Boots")</f>
        <v>Abstara Royal Boots</v>
      </c>
      <c r="B453" s="49"/>
      <c r="C453" s="49"/>
      <c r="D453" s="49" t="str">
        <f>IFERROR(__xludf.DUMMYFUNCTION("""COMPUTED_VALUE"""),"Feet")</f>
        <v>Feet</v>
      </c>
      <c r="E453" s="49">
        <f>IFERROR(__xludf.DUMMYFUNCTION("""COMPUTED_VALUE"""),200.0)</f>
        <v>200</v>
      </c>
      <c r="F453" s="49"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49">
        <f>IFERROR(__xludf.DUMMYFUNCTION("""COMPUTED_VALUE"""),1.99E8)</f>
        <v>199000000</v>
      </c>
      <c r="H453" s="49"/>
      <c r="I453" s="49"/>
      <c r="J453" s="49"/>
      <c r="K453" s="49"/>
      <c r="L453" s="49"/>
      <c r="M453" s="49"/>
      <c r="N453" s="49"/>
      <c r="O453" s="49"/>
      <c r="P453" s="49"/>
      <c r="Q453" s="49"/>
      <c r="R453" s="49"/>
      <c r="S453" s="49"/>
      <c r="T453" s="49"/>
      <c r="U453" s="49"/>
      <c r="V453" s="49"/>
      <c r="W453" s="49"/>
      <c r="X453" s="49"/>
      <c r="Y453" s="49"/>
      <c r="Z453" s="49"/>
    </row>
    <row r="454">
      <c r="A454" s="49" t="str">
        <f>IFERROR(__xludf.DUMMYFUNCTION("""COMPUTED_VALUE"""),"Abstara Royal Pauldrons")</f>
        <v>Abstara Royal Pauldrons</v>
      </c>
      <c r="B454" s="49"/>
      <c r="C454" s="49"/>
      <c r="D454" s="49" t="str">
        <f>IFERROR(__xludf.DUMMYFUNCTION("""COMPUTED_VALUE"""),"Shoulders")</f>
        <v>Shoulders</v>
      </c>
      <c r="E454" s="49">
        <f>IFERROR(__xludf.DUMMYFUNCTION("""COMPUTED_VALUE"""),200.0)</f>
        <v>200</v>
      </c>
      <c r="F454" s="49"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49">
        <f>IFERROR(__xludf.DUMMYFUNCTION("""COMPUTED_VALUE"""),1.99E8)</f>
        <v>199000000</v>
      </c>
      <c r="H454" s="49"/>
      <c r="I454" s="49"/>
      <c r="J454" s="49"/>
      <c r="K454" s="49"/>
      <c r="L454" s="49"/>
      <c r="M454" s="49"/>
      <c r="N454" s="49"/>
      <c r="O454" s="49"/>
      <c r="P454" s="49"/>
      <c r="Q454" s="49"/>
      <c r="R454" s="49"/>
      <c r="S454" s="49"/>
      <c r="T454" s="49"/>
      <c r="U454" s="49"/>
      <c r="V454" s="49"/>
      <c r="W454" s="49"/>
      <c r="X454" s="49"/>
      <c r="Y454" s="49"/>
      <c r="Z454" s="49"/>
    </row>
    <row r="455">
      <c r="A455" s="49" t="str">
        <f>IFERROR(__xludf.DUMMYFUNCTION("""COMPUTED_VALUE"""),"Feathered Hat of Roguish ""Justice""")</f>
        <v>Feathered Hat of Roguish "Justice"</v>
      </c>
      <c r="B455" s="49" t="str">
        <f>IFERROR(__xludf.DUMMYFUNCTION("""COMPUTED_VALUE"""),"Quest Item")</f>
        <v>Quest Item</v>
      </c>
      <c r="C455" s="49"/>
      <c r="D455" s="49" t="str">
        <f>IFERROR(__xludf.DUMMYFUNCTION("""COMPUTED_VALUE"""),"Head")</f>
        <v>Head</v>
      </c>
      <c r="E455" s="49">
        <f>IFERROR(__xludf.DUMMYFUNCTION("""COMPUTED_VALUE"""),200.0)</f>
        <v>200</v>
      </c>
      <c r="F455" s="49"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49">
        <f>IFERROR(__xludf.DUMMYFUNCTION("""COMPUTED_VALUE"""),3.16E7)</f>
        <v>31600000</v>
      </c>
      <c r="H455" s="49"/>
      <c r="I455" s="49"/>
      <c r="J455" s="49"/>
      <c r="K455" s="49"/>
      <c r="L455" s="49"/>
      <c r="M455" s="49"/>
      <c r="N455" s="49"/>
      <c r="O455" s="49"/>
      <c r="P455" s="49"/>
      <c r="Q455" s="49"/>
      <c r="R455" s="49"/>
      <c r="S455" s="49"/>
      <c r="T455" s="49"/>
      <c r="U455" s="49"/>
      <c r="V455" s="49"/>
      <c r="W455" s="49"/>
      <c r="X455" s="49"/>
      <c r="Y455" s="49"/>
      <c r="Z455" s="49"/>
    </row>
    <row r="456">
      <c r="A456" s="49" t="str">
        <f>IFERROR(__xludf.DUMMYFUNCTION("""COMPUTED_VALUE"""),"Cape of Misdeed")</f>
        <v>Cape of Misdeed</v>
      </c>
      <c r="B456" s="49" t="str">
        <f>IFERROR(__xludf.DUMMYFUNCTION("""COMPUTED_VALUE"""),"Quest Item")</f>
        <v>Quest Item</v>
      </c>
      <c r="C456" s="49"/>
      <c r="D456" s="49" t="str">
        <f>IFERROR(__xludf.DUMMYFUNCTION("""COMPUTED_VALUE"""),"Shoulders")</f>
        <v>Shoulders</v>
      </c>
      <c r="E456" s="49">
        <f>IFERROR(__xludf.DUMMYFUNCTION("""COMPUTED_VALUE"""),200.0)</f>
        <v>200</v>
      </c>
      <c r="F456" s="49"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49">
        <f>IFERROR(__xludf.DUMMYFUNCTION("""COMPUTED_VALUE"""),9460000.0)</f>
        <v>9460000</v>
      </c>
      <c r="H456" s="49"/>
      <c r="I456" s="49"/>
      <c r="J456" s="49"/>
      <c r="K456" s="49"/>
      <c r="L456" s="49"/>
      <c r="M456" s="49"/>
      <c r="N456" s="49"/>
      <c r="O456" s="49"/>
      <c r="P456" s="49"/>
      <c r="Q456" s="49"/>
      <c r="R456" s="49"/>
      <c r="S456" s="49"/>
      <c r="T456" s="49"/>
      <c r="U456" s="49"/>
      <c r="V456" s="49"/>
      <c r="W456" s="49"/>
      <c r="X456" s="49"/>
      <c r="Y456" s="49"/>
      <c r="Z456" s="49"/>
    </row>
    <row r="457">
      <c r="A457" s="49" t="str">
        <f>IFERROR(__xludf.DUMMYFUNCTION("""COMPUTED_VALUE"""),"Doublet of Debauchery")</f>
        <v>Doublet of Debauchery</v>
      </c>
      <c r="B457" s="49" t="str">
        <f>IFERROR(__xludf.DUMMYFUNCTION("""COMPUTED_VALUE"""),"Quest Item")</f>
        <v>Quest Item</v>
      </c>
      <c r="C457" s="49"/>
      <c r="D457" s="49" t="str">
        <f>IFERROR(__xludf.DUMMYFUNCTION("""COMPUTED_VALUE"""),"Torso")</f>
        <v>Torso</v>
      </c>
      <c r="E457" s="49">
        <f>IFERROR(__xludf.DUMMYFUNCTION("""COMPUTED_VALUE"""),200.0)</f>
        <v>200</v>
      </c>
      <c r="F457" s="49"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49">
        <f>IFERROR(__xludf.DUMMYFUNCTION("""COMPUTED_VALUE"""),9.73E7)</f>
        <v>97300000</v>
      </c>
      <c r="H457" s="49"/>
      <c r="I457" s="49"/>
      <c r="J457" s="49"/>
      <c r="K457" s="49"/>
      <c r="L457" s="49"/>
      <c r="M457" s="49"/>
      <c r="N457" s="49"/>
      <c r="O457" s="49"/>
      <c r="P457" s="49"/>
      <c r="Q457" s="49"/>
      <c r="R457" s="49"/>
      <c r="S457" s="49"/>
      <c r="T457" s="49"/>
      <c r="U457" s="49"/>
      <c r="V457" s="49"/>
      <c r="W457" s="49"/>
      <c r="X457" s="49"/>
      <c r="Y457" s="49"/>
      <c r="Z457" s="49"/>
    </row>
    <row r="458">
      <c r="A458" s="49" t="str">
        <f>IFERROR(__xludf.DUMMYFUNCTION("""COMPUTED_VALUE"""),"Leather Boots of Softstep")</f>
        <v>Leather Boots of Softstep</v>
      </c>
      <c r="B458" s="49" t="str">
        <f>IFERROR(__xludf.DUMMYFUNCTION("""COMPUTED_VALUE"""),"Quest Item")</f>
        <v>Quest Item</v>
      </c>
      <c r="C458" s="49"/>
      <c r="D458" s="49" t="str">
        <f>IFERROR(__xludf.DUMMYFUNCTION("""COMPUTED_VALUE"""),"Feet")</f>
        <v>Feet</v>
      </c>
      <c r="E458" s="49">
        <f>IFERROR(__xludf.DUMMYFUNCTION("""COMPUTED_VALUE"""),200.0)</f>
        <v>200</v>
      </c>
      <c r="F458" s="49"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49">
        <f>IFERROR(__xludf.DUMMYFUNCTION("""COMPUTED_VALUE"""),3.16E7)</f>
        <v>31600000</v>
      </c>
      <c r="H458" s="49"/>
      <c r="I458" s="49"/>
      <c r="J458" s="49"/>
      <c r="K458" s="49"/>
      <c r="L458" s="49"/>
      <c r="M458" s="49"/>
      <c r="N458" s="49"/>
      <c r="O458" s="49"/>
      <c r="P458" s="49"/>
      <c r="Q458" s="49"/>
      <c r="R458" s="49"/>
      <c r="S458" s="49"/>
      <c r="T458" s="49"/>
      <c r="U458" s="49"/>
      <c r="V458" s="49"/>
      <c r="W458" s="49"/>
      <c r="X458" s="49"/>
      <c r="Y458" s="49"/>
      <c r="Z458" s="49"/>
    </row>
    <row r="459">
      <c r="A459" s="49" t="str">
        <f>IFERROR(__xludf.DUMMYFUNCTION("""COMPUTED_VALUE"""),"Tights of Fabulous Thievery")</f>
        <v>Tights of Fabulous Thievery</v>
      </c>
      <c r="B459" s="49" t="str">
        <f>IFERROR(__xludf.DUMMYFUNCTION("""COMPUTED_VALUE"""),"Quest Item")</f>
        <v>Quest Item</v>
      </c>
      <c r="C459" s="49"/>
      <c r="D459" s="49" t="str">
        <f>IFERROR(__xludf.DUMMYFUNCTION("""COMPUTED_VALUE"""),"Legs")</f>
        <v>Legs</v>
      </c>
      <c r="E459" s="49">
        <f>IFERROR(__xludf.DUMMYFUNCTION("""COMPUTED_VALUE"""),200.0)</f>
        <v>200</v>
      </c>
      <c r="F459" s="49"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49">
        <f>IFERROR(__xludf.DUMMYFUNCTION("""COMPUTED_VALUE"""),3.16E7)</f>
        <v>31600000</v>
      </c>
      <c r="H459" s="49"/>
      <c r="I459" s="49"/>
      <c r="J459" s="49"/>
      <c r="K459" s="49"/>
      <c r="L459" s="49"/>
      <c r="M459" s="49"/>
      <c r="N459" s="49"/>
      <c r="O459" s="49"/>
      <c r="P459" s="49"/>
      <c r="Q459" s="49"/>
      <c r="R459" s="49"/>
      <c r="S459" s="49"/>
      <c r="T459" s="49"/>
      <c r="U459" s="49"/>
      <c r="V459" s="49"/>
      <c r="W459" s="49"/>
      <c r="X459" s="49"/>
      <c r="Y459" s="49"/>
      <c r="Z459" s="49"/>
    </row>
    <row r="460">
      <c r="A460" s="49" t="str">
        <f>IFERROR(__xludf.DUMMYFUNCTION("""COMPUTED_VALUE"""),"Fingerless Glove of Anonymity")</f>
        <v>Fingerless Glove of Anonymity</v>
      </c>
      <c r="B460" s="49" t="str">
        <f>IFERROR(__xludf.DUMMYFUNCTION("""COMPUTED_VALUE"""),"Quest Item")</f>
        <v>Quest Item</v>
      </c>
      <c r="C460" s="49" t="str">
        <f>IFERROR(__xludf.DUMMYFUNCTION("""COMPUTED_VALUE"""),"Claw")</f>
        <v>Claw</v>
      </c>
      <c r="D460" s="49" t="str">
        <f>IFERROR(__xludf.DUMMYFUNCTION("""COMPUTED_VALUE"""),"Hand")</f>
        <v>Hand</v>
      </c>
      <c r="E460" s="49">
        <f>IFERROR(__xludf.DUMMYFUNCTION("""COMPUTED_VALUE"""),200.0)</f>
        <v>200</v>
      </c>
      <c r="F460" s="49"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49">
        <f>IFERROR(__xludf.DUMMYFUNCTION("""COMPUTED_VALUE"""),3.16E7)</f>
        <v>31600000</v>
      </c>
      <c r="H460" s="49"/>
      <c r="I460" s="49"/>
      <c r="J460" s="49"/>
      <c r="K460" s="49"/>
      <c r="L460" s="49"/>
      <c r="M460" s="49"/>
      <c r="N460" s="49"/>
      <c r="O460" s="49"/>
      <c r="P460" s="49"/>
      <c r="Q460" s="49"/>
      <c r="R460" s="49"/>
      <c r="S460" s="49"/>
      <c r="T460" s="49"/>
      <c r="U460" s="49"/>
      <c r="V460" s="49"/>
      <c r="W460" s="49"/>
      <c r="X460" s="49"/>
      <c r="Y460" s="49"/>
      <c r="Z460" s="49"/>
    </row>
    <row r="461">
      <c r="A461" s="49" t="str">
        <f>IFERROR(__xludf.DUMMYFUNCTION("""COMPUTED_VALUE"""),"Bracers of Dastardly Deflection")</f>
        <v>Bracers of Dastardly Deflection</v>
      </c>
      <c r="B461" s="49" t="str">
        <f>IFERROR(__xludf.DUMMYFUNCTION("""COMPUTED_VALUE"""),"Quest Item")</f>
        <v>Quest Item</v>
      </c>
      <c r="C461" s="49"/>
      <c r="D461" s="49" t="str">
        <f>IFERROR(__xludf.DUMMYFUNCTION("""COMPUTED_VALUE"""),"Arms")</f>
        <v>Arms</v>
      </c>
      <c r="E461" s="49">
        <f>IFERROR(__xludf.DUMMYFUNCTION("""COMPUTED_VALUE"""),200.0)</f>
        <v>200</v>
      </c>
      <c r="F461" s="49"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49">
        <f>IFERROR(__xludf.DUMMYFUNCTION("""COMPUTED_VALUE"""),3.16E7)</f>
        <v>31600000</v>
      </c>
      <c r="H461" s="49"/>
      <c r="I461" s="49"/>
      <c r="J461" s="49"/>
      <c r="K461" s="49"/>
      <c r="L461" s="49"/>
      <c r="M461" s="49"/>
      <c r="N461" s="49"/>
      <c r="O461" s="49"/>
      <c r="P461" s="49"/>
      <c r="Q461" s="49"/>
      <c r="R461" s="49"/>
      <c r="S461" s="49"/>
      <c r="T461" s="49"/>
      <c r="U461" s="49"/>
      <c r="V461" s="49"/>
      <c r="W461" s="49"/>
      <c r="X461" s="49"/>
      <c r="Y461" s="49"/>
      <c r="Z461" s="49"/>
    </row>
    <row r="462">
      <c r="A462" s="49" t="str">
        <f>IFERROR(__xludf.DUMMYFUNCTION("""COMPUTED_VALUE"""),"Amulet of the Goddess of Theft")</f>
        <v>Amulet of the Goddess of Theft</v>
      </c>
      <c r="B462" s="49" t="str">
        <f>IFERROR(__xludf.DUMMYFUNCTION("""COMPUTED_VALUE"""),"Quest Item")</f>
        <v>Quest Item</v>
      </c>
      <c r="C462" s="49"/>
      <c r="D462" s="49" t="str">
        <f>IFERROR(__xludf.DUMMYFUNCTION("""COMPUTED_VALUE"""),"Neck")</f>
        <v>Neck</v>
      </c>
      <c r="E462" s="49">
        <f>IFERROR(__xludf.DUMMYFUNCTION("""COMPUTED_VALUE"""),1.0)</f>
        <v>1</v>
      </c>
      <c r="F462" s="49"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49">
        <f>IFERROR(__xludf.DUMMYFUNCTION("""COMPUTED_VALUE"""),0.0)</f>
        <v>0</v>
      </c>
      <c r="H462" s="49"/>
      <c r="I462" s="49"/>
      <c r="J462" s="49"/>
      <c r="K462" s="49"/>
      <c r="L462" s="49"/>
      <c r="M462" s="49"/>
      <c r="N462" s="49"/>
      <c r="O462" s="49"/>
      <c r="P462" s="49"/>
      <c r="Q462" s="49"/>
      <c r="R462" s="49"/>
      <c r="S462" s="49"/>
      <c r="T462" s="49"/>
      <c r="U462" s="49"/>
      <c r="V462" s="49"/>
      <c r="W462" s="49"/>
      <c r="X462" s="49"/>
      <c r="Y462" s="49"/>
      <c r="Z462" s="49"/>
    </row>
    <row r="463">
      <c r="A463" s="49" t="str">
        <f>IFERROR(__xludf.DUMMYFUNCTION("""COMPUTED_VALUE"""),"Flute of The Majestic Forest")</f>
        <v>Flute of The Majestic Forest</v>
      </c>
      <c r="B463" s="49"/>
      <c r="C463" s="49" t="str">
        <f>IFERROR(__xludf.DUMMYFUNCTION("""COMPUTED_VALUE"""),"Instrument")</f>
        <v>Instrument</v>
      </c>
      <c r="D463" s="49" t="str">
        <f>IFERROR(__xludf.DUMMYFUNCTION("""COMPUTED_VALUE"""),"Hand")</f>
        <v>Hand</v>
      </c>
      <c r="E463" s="49">
        <f>IFERROR(__xludf.DUMMYFUNCTION("""COMPUTED_VALUE"""),300.0)</f>
        <v>300</v>
      </c>
      <c r="F463" s="49"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49">
        <f>IFERROR(__xludf.DUMMYFUNCTION("""COMPUTED_VALUE"""),4350000.0)</f>
        <v>4350000</v>
      </c>
      <c r="H463" s="49"/>
      <c r="I463" s="49"/>
      <c r="J463" s="49"/>
      <c r="K463" s="49"/>
      <c r="L463" s="49"/>
      <c r="M463" s="49"/>
      <c r="N463" s="49"/>
      <c r="O463" s="49"/>
      <c r="P463" s="49"/>
      <c r="Q463" s="49"/>
      <c r="R463" s="49"/>
      <c r="S463" s="49"/>
      <c r="T463" s="49"/>
      <c r="U463" s="49"/>
      <c r="V463" s="49"/>
      <c r="W463" s="49"/>
      <c r="X463" s="49"/>
      <c r="Y463" s="49"/>
      <c r="Z463" s="49"/>
    </row>
    <row r="464">
      <c r="A464" s="49" t="str">
        <f>IFERROR(__xludf.DUMMYFUNCTION("""COMPUTED_VALUE"""),"Heatmore Tribal Drums")</f>
        <v>Heatmore Tribal Drums</v>
      </c>
      <c r="B464" s="49"/>
      <c r="C464" s="49" t="str">
        <f>IFERROR(__xludf.DUMMYFUNCTION("""COMPUTED_VALUE"""),"Instrument")</f>
        <v>Instrument</v>
      </c>
      <c r="D464" s="49" t="str">
        <f>IFERROR(__xludf.DUMMYFUNCTION("""COMPUTED_VALUE"""),"Hand")</f>
        <v>Hand</v>
      </c>
      <c r="E464" s="49">
        <f>IFERROR(__xludf.DUMMYFUNCTION("""COMPUTED_VALUE"""),600.0)</f>
        <v>600</v>
      </c>
      <c r="F464" s="49"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49">
        <f>IFERROR(__xludf.DUMMYFUNCTION("""COMPUTED_VALUE"""),1.77E7)</f>
        <v>17700000</v>
      </c>
      <c r="H464" s="49"/>
      <c r="I464" s="49"/>
      <c r="J464" s="49"/>
      <c r="K464" s="49"/>
      <c r="L464" s="49"/>
      <c r="M464" s="49"/>
      <c r="N464" s="49"/>
      <c r="O464" s="49"/>
      <c r="P464" s="49"/>
      <c r="Q464" s="49"/>
      <c r="R464" s="49"/>
      <c r="S464" s="49"/>
      <c r="T464" s="49"/>
      <c r="U464" s="49"/>
      <c r="V464" s="49"/>
      <c r="W464" s="49"/>
      <c r="X464" s="49"/>
      <c r="Y464" s="49"/>
      <c r="Z464" s="49"/>
    </row>
    <row r="465">
      <c r="A465" s="49" t="str">
        <f>IFERROR(__xludf.DUMMYFUNCTION("""COMPUTED_VALUE"""),"Heatmore Tribal Maracas")</f>
        <v>Heatmore Tribal Maracas</v>
      </c>
      <c r="B465" s="49"/>
      <c r="C465" s="49" t="str">
        <f>IFERROR(__xludf.DUMMYFUNCTION("""COMPUTED_VALUE"""),"Instrument")</f>
        <v>Instrument</v>
      </c>
      <c r="D465" s="49" t="str">
        <f>IFERROR(__xludf.DUMMYFUNCTION("""COMPUTED_VALUE"""),"Hand")</f>
        <v>Hand</v>
      </c>
      <c r="E465" s="49">
        <f>IFERROR(__xludf.DUMMYFUNCTION("""COMPUTED_VALUE"""),900.0)</f>
        <v>900</v>
      </c>
      <c r="F465" s="49"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49">
        <f>IFERROR(__xludf.DUMMYFUNCTION("""COMPUTED_VALUE"""),4.005E7)</f>
        <v>40050000</v>
      </c>
      <c r="H465" s="49"/>
      <c r="I465" s="49"/>
      <c r="J465" s="49"/>
      <c r="K465" s="49"/>
      <c r="L465" s="49"/>
      <c r="M465" s="49"/>
      <c r="N465" s="49"/>
      <c r="O465" s="49"/>
      <c r="P465" s="49"/>
      <c r="Q465" s="49"/>
      <c r="R465" s="49"/>
      <c r="S465" s="49"/>
      <c r="T465" s="49"/>
      <c r="U465" s="49"/>
      <c r="V465" s="49"/>
      <c r="W465" s="49"/>
      <c r="X465" s="49"/>
      <c r="Y465" s="49"/>
      <c r="Z465" s="49"/>
    </row>
    <row r="466">
      <c r="A466" s="49" t="str">
        <f>IFERROR(__xludf.DUMMYFUNCTION("""COMPUTED_VALUE"""),"Mask of Creeping Darkness")</f>
        <v>Mask of Creeping Darkness</v>
      </c>
      <c r="B466" s="49" t="str">
        <f>IFERROR(__xludf.DUMMYFUNCTION("""COMPUTED_VALUE"""),"Quest Item")</f>
        <v>Quest Item</v>
      </c>
      <c r="C466" s="49"/>
      <c r="D466" s="49" t="str">
        <f>IFERROR(__xludf.DUMMYFUNCTION("""COMPUTED_VALUE"""),"Head")</f>
        <v>Head</v>
      </c>
      <c r="E466" s="49">
        <f>IFERROR(__xludf.DUMMYFUNCTION("""COMPUTED_VALUE"""),200.0)</f>
        <v>200</v>
      </c>
      <c r="F466" s="49"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49">
        <f>IFERROR(__xludf.DUMMYFUNCTION("""COMPUTED_VALUE"""),1.7955E8)</f>
        <v>179550000</v>
      </c>
      <c r="H466" s="49"/>
      <c r="I466" s="49"/>
      <c r="J466" s="49"/>
      <c r="K466" s="49"/>
      <c r="L466" s="49"/>
      <c r="M466" s="49"/>
      <c r="N466" s="49"/>
      <c r="O466" s="49"/>
      <c r="P466" s="49"/>
      <c r="Q466" s="49"/>
      <c r="R466" s="49"/>
      <c r="S466" s="49"/>
      <c r="T466" s="49"/>
      <c r="U466" s="49"/>
      <c r="V466" s="49"/>
      <c r="W466" s="49"/>
      <c r="X466" s="49"/>
      <c r="Y466" s="49"/>
      <c r="Z466" s="49"/>
    </row>
    <row r="467">
      <c r="A467" s="49" t="str">
        <f>IFERROR(__xludf.DUMMYFUNCTION("""COMPUTED_VALUE"""),"Chest of Evershifting Darkness")</f>
        <v>Chest of Evershifting Darkness</v>
      </c>
      <c r="B467" s="49" t="str">
        <f>IFERROR(__xludf.DUMMYFUNCTION("""COMPUTED_VALUE"""),"Quest Item")</f>
        <v>Quest Item</v>
      </c>
      <c r="C467" s="49"/>
      <c r="D467" s="49" t="str">
        <f>IFERROR(__xludf.DUMMYFUNCTION("""COMPUTED_VALUE"""),"Torso")</f>
        <v>Torso</v>
      </c>
      <c r="E467" s="49">
        <f>IFERROR(__xludf.DUMMYFUNCTION("""COMPUTED_VALUE"""),200.0)</f>
        <v>200</v>
      </c>
      <c r="F467" s="49"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49">
        <f>IFERROR(__xludf.DUMMYFUNCTION("""COMPUTED_VALUE"""),2.1945E8)</f>
        <v>219450000</v>
      </c>
      <c r="H467" s="49"/>
      <c r="I467" s="49"/>
      <c r="J467" s="49"/>
      <c r="K467" s="49"/>
      <c r="L467" s="49"/>
      <c r="M467" s="49"/>
      <c r="N467" s="49"/>
      <c r="O467" s="49"/>
      <c r="P467" s="49"/>
      <c r="Q467" s="49"/>
      <c r="R467" s="49"/>
      <c r="S467" s="49"/>
      <c r="T467" s="49"/>
      <c r="U467" s="49"/>
      <c r="V467" s="49"/>
      <c r="W467" s="49"/>
      <c r="X467" s="49"/>
      <c r="Y467" s="49"/>
      <c r="Z467" s="49"/>
    </row>
    <row r="468">
      <c r="A468" s="49" t="str">
        <f>IFERROR(__xludf.DUMMYFUNCTION("""COMPUTED_VALUE"""),"Leather Boots of EDGINESS")</f>
        <v>Leather Boots of EDGINESS</v>
      </c>
      <c r="B468" s="49" t="str">
        <f>IFERROR(__xludf.DUMMYFUNCTION("""COMPUTED_VALUE"""),"Quest Item")</f>
        <v>Quest Item</v>
      </c>
      <c r="C468" s="49"/>
      <c r="D468" s="49" t="str">
        <f>IFERROR(__xludf.DUMMYFUNCTION("""COMPUTED_VALUE"""),"Feet")</f>
        <v>Feet</v>
      </c>
      <c r="E468" s="49">
        <f>IFERROR(__xludf.DUMMYFUNCTION("""COMPUTED_VALUE"""),200.0)</f>
        <v>200</v>
      </c>
      <c r="F468" s="49"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49">
        <f>IFERROR(__xludf.DUMMYFUNCTION("""COMPUTED_VALUE"""),1.7955E8)</f>
        <v>179550000</v>
      </c>
      <c r="H468" s="49"/>
      <c r="I468" s="49"/>
      <c r="J468" s="49"/>
      <c r="K468" s="49"/>
      <c r="L468" s="49"/>
      <c r="M468" s="49"/>
      <c r="N468" s="49"/>
      <c r="O468" s="49"/>
      <c r="P468" s="49"/>
      <c r="Q468" s="49"/>
      <c r="R468" s="49"/>
      <c r="S468" s="49"/>
      <c r="T468" s="49"/>
      <c r="U468" s="49"/>
      <c r="V468" s="49"/>
      <c r="W468" s="49"/>
      <c r="X468" s="49"/>
      <c r="Y468" s="49"/>
      <c r="Z468" s="49"/>
    </row>
    <row r="469">
      <c r="A469" s="49" t="str">
        <f>IFERROR(__xludf.DUMMYFUNCTION("""COMPUTED_VALUE"""),"Silken Gloves of Dexterity")</f>
        <v>Silken Gloves of Dexterity</v>
      </c>
      <c r="B469" s="49" t="str">
        <f>IFERROR(__xludf.DUMMYFUNCTION("""COMPUTED_VALUE"""),"Quest Item")</f>
        <v>Quest Item</v>
      </c>
      <c r="C469" s="49"/>
      <c r="D469" s="49" t="str">
        <f>IFERROR(__xludf.DUMMYFUNCTION("""COMPUTED_VALUE"""),"Arms")</f>
        <v>Arms</v>
      </c>
      <c r="E469" s="49">
        <f>IFERROR(__xludf.DUMMYFUNCTION("""COMPUTED_VALUE"""),200.0)</f>
        <v>200</v>
      </c>
      <c r="F469" s="49"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49">
        <f>IFERROR(__xludf.DUMMYFUNCTION("""COMPUTED_VALUE"""),1.7955E8)</f>
        <v>179550000</v>
      </c>
      <c r="H469" s="49"/>
      <c r="I469" s="49"/>
      <c r="J469" s="49"/>
      <c r="K469" s="49"/>
      <c r="L469" s="49"/>
      <c r="M469" s="49"/>
      <c r="N469" s="49"/>
      <c r="O469" s="49"/>
      <c r="P469" s="49"/>
      <c r="Q469" s="49"/>
      <c r="R469" s="49"/>
      <c r="S469" s="49"/>
      <c r="T469" s="49"/>
      <c r="U469" s="49"/>
      <c r="V469" s="49"/>
      <c r="W469" s="49"/>
      <c r="X469" s="49"/>
      <c r="Y469" s="49"/>
      <c r="Z469" s="49"/>
    </row>
    <row r="470">
      <c r="A470" s="49" t="str">
        <f>IFERROR(__xludf.DUMMYFUNCTION("""COMPUTED_VALUE"""),"Leggings of Swift Death")</f>
        <v>Leggings of Swift Death</v>
      </c>
      <c r="B470" s="49" t="str">
        <f>IFERROR(__xludf.DUMMYFUNCTION("""COMPUTED_VALUE"""),"Quest Item")</f>
        <v>Quest Item</v>
      </c>
      <c r="C470" s="49"/>
      <c r="D470" s="49" t="str">
        <f>IFERROR(__xludf.DUMMYFUNCTION("""COMPUTED_VALUE"""),"Legs")</f>
        <v>Legs</v>
      </c>
      <c r="E470" s="49">
        <f>IFERROR(__xludf.DUMMYFUNCTION("""COMPUTED_VALUE"""),200.0)</f>
        <v>200</v>
      </c>
      <c r="F470" s="49"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49">
        <f>IFERROR(__xludf.DUMMYFUNCTION("""COMPUTED_VALUE"""),1.7955E8)</f>
        <v>179550000</v>
      </c>
      <c r="H470" s="49"/>
      <c r="I470" s="49"/>
      <c r="J470" s="49"/>
      <c r="K470" s="49"/>
      <c r="L470" s="49"/>
      <c r="M470" s="49"/>
      <c r="N470" s="49"/>
      <c r="O470" s="49"/>
      <c r="P470" s="49"/>
      <c r="Q470" s="49"/>
      <c r="R470" s="49"/>
      <c r="S470" s="49"/>
      <c r="T470" s="49"/>
      <c r="U470" s="49"/>
      <c r="V470" s="49"/>
      <c r="W470" s="49"/>
      <c r="X470" s="49"/>
      <c r="Y470" s="49"/>
      <c r="Z470" s="49"/>
    </row>
    <row r="471">
      <c r="A471" s="49" t="str">
        <f>IFERROR(__xludf.DUMMYFUNCTION("""COMPUTED_VALUE"""),"Cape of Illusion")</f>
        <v>Cape of Illusion</v>
      </c>
      <c r="B471" s="49" t="str">
        <f>IFERROR(__xludf.DUMMYFUNCTION("""COMPUTED_VALUE"""),"Quest Item")</f>
        <v>Quest Item</v>
      </c>
      <c r="C471" s="49"/>
      <c r="D471" s="49" t="str">
        <f>IFERROR(__xludf.DUMMYFUNCTION("""COMPUTED_VALUE"""),"Shoulders")</f>
        <v>Shoulders</v>
      </c>
      <c r="E471" s="49">
        <f>IFERROR(__xludf.DUMMYFUNCTION("""COMPUTED_VALUE"""),200.0)</f>
        <v>200</v>
      </c>
      <c r="F471" s="49"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49">
        <f>IFERROR(__xludf.DUMMYFUNCTION("""COMPUTED_VALUE"""),1.7955E8)</f>
        <v>179550000</v>
      </c>
      <c r="H471" s="49"/>
      <c r="I471" s="49"/>
      <c r="J471" s="49"/>
      <c r="K471" s="49"/>
      <c r="L471" s="49"/>
      <c r="M471" s="49"/>
      <c r="N471" s="49"/>
      <c r="O471" s="49"/>
      <c r="P471" s="49"/>
      <c r="Q471" s="49"/>
      <c r="R471" s="49"/>
      <c r="S471" s="49"/>
      <c r="T471" s="49"/>
      <c r="U471" s="49"/>
      <c r="V471" s="49"/>
      <c r="W471" s="49"/>
      <c r="X471" s="49"/>
      <c r="Y471" s="49"/>
      <c r="Z471" s="49"/>
    </row>
    <row r="472">
      <c r="A472" s="49" t="str">
        <f>IFERROR(__xludf.DUMMYFUNCTION("""COMPUTED_VALUE"""),"Assassin's Kiss")</f>
        <v>Assassin's Kiss</v>
      </c>
      <c r="B472" s="49" t="str">
        <f>IFERROR(__xludf.DUMMYFUNCTION("""COMPUTED_VALUE"""),"Quest Item")</f>
        <v>Quest Item</v>
      </c>
      <c r="C472" s="49" t="str">
        <f>IFERROR(__xludf.DUMMYFUNCTION("""COMPUTED_VALUE"""),"Knife")</f>
        <v>Knife</v>
      </c>
      <c r="D472" s="49" t="str">
        <f>IFERROR(__xludf.DUMMYFUNCTION("""COMPUTED_VALUE"""),"Hand")</f>
        <v>Hand</v>
      </c>
      <c r="E472" s="49">
        <f>IFERROR(__xludf.DUMMYFUNCTION("""COMPUTED_VALUE"""),200.0)</f>
        <v>200</v>
      </c>
      <c r="F472" s="49"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49">
        <f>IFERROR(__xludf.DUMMYFUNCTION("""COMPUTED_VALUE"""),2.409E8)</f>
        <v>240900000</v>
      </c>
      <c r="H472" s="49"/>
      <c r="I472" s="49"/>
      <c r="J472" s="49"/>
      <c r="K472" s="49"/>
      <c r="L472" s="49"/>
      <c r="M472" s="49"/>
      <c r="N472" s="49"/>
      <c r="O472" s="49"/>
      <c r="P472" s="49"/>
      <c r="Q472" s="49"/>
      <c r="R472" s="49"/>
      <c r="S472" s="49"/>
      <c r="T472" s="49"/>
      <c r="U472" s="49"/>
      <c r="V472" s="49"/>
      <c r="W472" s="49"/>
      <c r="X472" s="49"/>
      <c r="Y472" s="49"/>
      <c r="Z472" s="49"/>
    </row>
    <row r="473">
      <c r="A473" s="49" t="str">
        <f>IFERROR(__xludf.DUMMYFUNCTION("""COMPUTED_VALUE"""),"Night's Edge")</f>
        <v>Night's Edge</v>
      </c>
      <c r="B473" s="49" t="str">
        <f>IFERROR(__xludf.DUMMYFUNCTION("""COMPUTED_VALUE"""),"Quest Item")</f>
        <v>Quest Item</v>
      </c>
      <c r="C473" s="49" t="str">
        <f>IFERROR(__xludf.DUMMYFUNCTION("""COMPUTED_VALUE"""),"Knife")</f>
        <v>Knife</v>
      </c>
      <c r="D473" s="49" t="str">
        <f>IFERROR(__xludf.DUMMYFUNCTION("""COMPUTED_VALUE"""),"Hand")</f>
        <v>Hand</v>
      </c>
      <c r="E473" s="49">
        <f>IFERROR(__xludf.DUMMYFUNCTION("""COMPUTED_VALUE"""),200.0)</f>
        <v>200</v>
      </c>
      <c r="F473" s="49"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49">
        <f>IFERROR(__xludf.DUMMYFUNCTION("""COMPUTED_VALUE"""),2.409E8)</f>
        <v>240900000</v>
      </c>
      <c r="H473" s="49"/>
      <c r="I473" s="49"/>
      <c r="J473" s="49"/>
      <c r="K473" s="49"/>
      <c r="L473" s="49"/>
      <c r="M473" s="49"/>
      <c r="N473" s="49"/>
      <c r="O473" s="49"/>
      <c r="P473" s="49"/>
      <c r="Q473" s="49"/>
      <c r="R473" s="49"/>
      <c r="S473" s="49"/>
      <c r="T473" s="49"/>
      <c r="U473" s="49"/>
      <c r="V473" s="49"/>
      <c r="W473" s="49"/>
      <c r="X473" s="49"/>
      <c r="Y473" s="49"/>
      <c r="Z473" s="49"/>
    </row>
    <row r="474">
      <c r="A474" s="49" t="str">
        <f>IFERROR(__xludf.DUMMYFUNCTION("""COMPUTED_VALUE"""),"Ancient Draconian Deity Necklace")</f>
        <v>Ancient Draconian Deity Necklace</v>
      </c>
      <c r="B474" s="49"/>
      <c r="C474" s="49"/>
      <c r="D474" s="49" t="str">
        <f>IFERROR(__xludf.DUMMYFUNCTION("""COMPUTED_VALUE"""),"Neck")</f>
        <v>Neck</v>
      </c>
      <c r="E474" s="49">
        <f>IFERROR(__xludf.DUMMYFUNCTION("""COMPUTED_VALUE"""),1.0)</f>
        <v>1</v>
      </c>
      <c r="F474" s="49" t="str">
        <f>IFERROR(__xludf.DUMMYFUNCTION("""COMPUTED_VALUE""")," ++5 to all d20 rolls, +-Cannot be duplicated.")</f>
        <v> ++5 to all d20 rolls, +-Cannot be duplicated.</v>
      </c>
      <c r="G474" s="49">
        <f>IFERROR(__xludf.DUMMYFUNCTION("""COMPUTED_VALUE"""),0.0)</f>
        <v>0</v>
      </c>
      <c r="H474" s="49"/>
      <c r="I474" s="49"/>
      <c r="J474" s="49"/>
      <c r="K474" s="49"/>
      <c r="L474" s="49"/>
      <c r="M474" s="49"/>
      <c r="N474" s="49"/>
      <c r="O474" s="49"/>
      <c r="P474" s="49"/>
      <c r="Q474" s="49"/>
      <c r="R474" s="49"/>
      <c r="S474" s="49"/>
      <c r="T474" s="49"/>
      <c r="U474" s="49"/>
      <c r="V474" s="49"/>
      <c r="W474" s="49"/>
      <c r="X474" s="49"/>
      <c r="Y474" s="49"/>
      <c r="Z474" s="49"/>
    </row>
    <row r="475">
      <c r="A475" s="49" t="str">
        <f>IFERROR(__xludf.DUMMYFUNCTION("""COMPUTED_VALUE"""),"Gungnir")</f>
        <v>Gungnir</v>
      </c>
      <c r="B475" s="49"/>
      <c r="C475" s="49" t="str">
        <f>IFERROR(__xludf.DUMMYFUNCTION("""COMPUTED_VALUE"""),"Spear")</f>
        <v>Spear</v>
      </c>
      <c r="D475" s="49" t="str">
        <f>IFERROR(__xludf.DUMMYFUNCTION("""COMPUTED_VALUE"""),"Hand")</f>
        <v>Hand</v>
      </c>
      <c r="E475" s="49">
        <f>IFERROR(__xludf.DUMMYFUNCTION("""COMPUTED_VALUE"""),1.0)</f>
        <v>1</v>
      </c>
      <c r="F475" s="49"/>
      <c r="G475" s="49">
        <f>IFERROR(__xludf.DUMMYFUNCTION("""COMPUTED_VALUE"""),0.0)</f>
        <v>0</v>
      </c>
      <c r="H475" s="49"/>
      <c r="I475" s="49"/>
      <c r="J475" s="49"/>
      <c r="K475" s="49"/>
      <c r="L475" s="49"/>
      <c r="M475" s="49"/>
      <c r="N475" s="49"/>
      <c r="O475" s="49"/>
      <c r="P475" s="49"/>
      <c r="Q475" s="49"/>
      <c r="R475" s="49"/>
      <c r="S475" s="49"/>
      <c r="T475" s="49"/>
      <c r="U475" s="49"/>
      <c r="V475" s="49"/>
      <c r="W475" s="49"/>
      <c r="X475" s="49"/>
      <c r="Y475" s="49"/>
      <c r="Z475" s="49"/>
    </row>
    <row r="476">
      <c r="A476" s="49" t="str">
        <f>IFERROR(__xludf.DUMMYFUNCTION("""COMPUTED_VALUE"""),"Gaia's Rock Hammer")</f>
        <v>Gaia's Rock Hammer</v>
      </c>
      <c r="B476" s="49" t="str">
        <f>IFERROR(__xludf.DUMMYFUNCTION("""COMPUTED_VALUE"""),"Quest Item")</f>
        <v>Quest Item</v>
      </c>
      <c r="C476" s="49" t="str">
        <f>IFERROR(__xludf.DUMMYFUNCTION("""COMPUTED_VALUE"""),"Club")</f>
        <v>Club</v>
      </c>
      <c r="D476" s="49" t="str">
        <f>IFERROR(__xludf.DUMMYFUNCTION("""COMPUTED_VALUE"""),"Hand")</f>
        <v>Hand</v>
      </c>
      <c r="E476" s="49">
        <f>IFERROR(__xludf.DUMMYFUNCTION("""COMPUTED_VALUE"""),200.0)</f>
        <v>200</v>
      </c>
      <c r="F476" s="49"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49">
        <f>IFERROR(__xludf.DUMMYFUNCTION("""COMPUTED_VALUE"""),5.4285E8)</f>
        <v>542850000</v>
      </c>
      <c r="H476" s="49"/>
      <c r="I476" s="49"/>
      <c r="J476" s="49"/>
      <c r="K476" s="49"/>
      <c r="L476" s="49"/>
      <c r="M476" s="49"/>
      <c r="N476" s="49"/>
      <c r="O476" s="49"/>
      <c r="P476" s="49"/>
      <c r="Q476" s="49"/>
      <c r="R476" s="49"/>
      <c r="S476" s="49"/>
      <c r="T476" s="49"/>
      <c r="U476" s="49"/>
      <c r="V476" s="49"/>
      <c r="W476" s="49"/>
      <c r="X476" s="49"/>
      <c r="Y476" s="49"/>
      <c r="Z476" s="49"/>
    </row>
    <row r="477">
      <c r="A477" s="49" t="str">
        <f>IFERROR(__xludf.DUMMYFUNCTION("""COMPUTED_VALUE"""),"Bahamut's Claw")</f>
        <v>Bahamut's Claw</v>
      </c>
      <c r="B477" s="49" t="str">
        <f>IFERROR(__xludf.DUMMYFUNCTION("""COMPUTED_VALUE"""),"Mob Exclusive")</f>
        <v>Mob Exclusive</v>
      </c>
      <c r="C477" s="49" t="str">
        <f>IFERROR(__xludf.DUMMYFUNCTION("""COMPUTED_VALUE"""),"Claw")</f>
        <v>Claw</v>
      </c>
      <c r="D477" s="49" t="str">
        <f>IFERROR(__xludf.DUMMYFUNCTION("""COMPUTED_VALUE"""),"Hand")</f>
        <v>Hand</v>
      </c>
      <c r="E477" s="49">
        <f>IFERROR(__xludf.DUMMYFUNCTION("""COMPUTED_VALUE"""),200.0)</f>
        <v>200</v>
      </c>
      <c r="F477" s="49"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49">
        <f>IFERROR(__xludf.DUMMYFUNCTION("""COMPUTED_VALUE"""),1.12425E10)</f>
        <v>11242500000</v>
      </c>
      <c r="H477" s="49"/>
      <c r="I477" s="49"/>
      <c r="J477" s="49"/>
      <c r="K477" s="49"/>
      <c r="L477" s="49"/>
      <c r="M477" s="49"/>
      <c r="N477" s="49"/>
      <c r="O477" s="49"/>
      <c r="P477" s="49"/>
      <c r="Q477" s="49"/>
      <c r="R477" s="49"/>
      <c r="S477" s="49"/>
      <c r="T477" s="49"/>
      <c r="U477" s="49"/>
      <c r="V477" s="49"/>
      <c r="W477" s="49"/>
      <c r="X477" s="49"/>
      <c r="Y477" s="49"/>
      <c r="Z477" s="49"/>
    </row>
    <row r="478">
      <c r="A478" s="49" t="str">
        <f>IFERROR(__xludf.DUMMYFUNCTION("""COMPUTED_VALUE"""),"Chronos' Staff of Time")</f>
        <v>Chronos' Staff of Time</v>
      </c>
      <c r="B478" s="49"/>
      <c r="C478" s="49" t="str">
        <f>IFERROR(__xludf.DUMMYFUNCTION("""COMPUTED_VALUE"""),"Staff")</f>
        <v>Staff</v>
      </c>
      <c r="D478" s="49" t="str">
        <f>IFERROR(__xludf.DUMMYFUNCTION("""COMPUTED_VALUE"""),"Hand")</f>
        <v>Hand</v>
      </c>
      <c r="E478" s="49">
        <f>IFERROR(__xludf.DUMMYFUNCTION("""COMPUTED_VALUE"""),1.0)</f>
        <v>1</v>
      </c>
      <c r="F478" s="49"/>
      <c r="G478" s="49">
        <f>IFERROR(__xludf.DUMMYFUNCTION("""COMPUTED_VALUE"""),0.0)</f>
        <v>0</v>
      </c>
      <c r="H478" s="49"/>
      <c r="I478" s="49"/>
      <c r="J478" s="49"/>
      <c r="K478" s="49"/>
      <c r="L478" s="49"/>
      <c r="M478" s="49"/>
      <c r="N478" s="49"/>
      <c r="O478" s="49"/>
      <c r="P478" s="49"/>
      <c r="Q478" s="49"/>
      <c r="R478" s="49"/>
      <c r="S478" s="49"/>
      <c r="T478" s="49"/>
      <c r="U478" s="49"/>
      <c r="V478" s="49"/>
      <c r="W478" s="49"/>
      <c r="X478" s="49"/>
      <c r="Y478" s="49"/>
      <c r="Z478" s="49"/>
    </row>
    <row r="479">
      <c r="A479" s="49" t="str">
        <f>IFERROR(__xludf.DUMMYFUNCTION("""COMPUTED_VALUE"""),"Scimitar")</f>
        <v>Scimitar</v>
      </c>
      <c r="B479" s="49"/>
      <c r="C479" s="49" t="str">
        <f>IFERROR(__xludf.DUMMYFUNCTION("""COMPUTED_VALUE"""),"Sword")</f>
        <v>Sword</v>
      </c>
      <c r="D479" s="49" t="str">
        <f>IFERROR(__xludf.DUMMYFUNCTION("""COMPUTED_VALUE"""),"Hand")</f>
        <v>Hand</v>
      </c>
      <c r="E479" s="49">
        <f>IFERROR(__xludf.DUMMYFUNCTION("""COMPUTED_VALUE"""),300.0)</f>
        <v>300</v>
      </c>
      <c r="F479" s="49" t="str">
        <f>IFERROR(__xludf.DUMMYFUNCTION("""COMPUTED_VALUE"""),"DMG: +10000, Fire DMG: +5000")</f>
        <v>DMG: +10000, Fire DMG: +5000</v>
      </c>
      <c r="G479" s="49">
        <f>IFERROR(__xludf.DUMMYFUNCTION("""COMPUTED_VALUE"""),4350000.0)</f>
        <v>4350000</v>
      </c>
      <c r="H479" s="49"/>
      <c r="I479" s="49"/>
      <c r="J479" s="49"/>
      <c r="K479" s="49"/>
      <c r="L479" s="49"/>
      <c r="M479" s="49"/>
      <c r="N479" s="49"/>
      <c r="O479" s="49"/>
      <c r="P479" s="49"/>
      <c r="Q479" s="49"/>
      <c r="R479" s="49"/>
      <c r="S479" s="49"/>
      <c r="T479" s="49"/>
      <c r="U479" s="49"/>
      <c r="V479" s="49"/>
      <c r="W479" s="49"/>
      <c r="X479" s="49"/>
      <c r="Y479" s="49"/>
      <c r="Z479" s="49"/>
    </row>
    <row r="480">
      <c r="A480" s="49" t="str">
        <f>IFERROR(__xludf.DUMMYFUNCTION("""COMPUTED_VALUE"""),"Gaia's Helmet of Earthen Fortitude")</f>
        <v>Gaia's Helmet of Earthen Fortitude</v>
      </c>
      <c r="B480" s="49" t="str">
        <f>IFERROR(__xludf.DUMMYFUNCTION("""COMPUTED_VALUE"""),"Mob Exclusive")</f>
        <v>Mob Exclusive</v>
      </c>
      <c r="C480" s="49"/>
      <c r="D480" s="49" t="str">
        <f>IFERROR(__xludf.DUMMYFUNCTION("""COMPUTED_VALUE"""),"Head")</f>
        <v>Head</v>
      </c>
      <c r="E480" s="49">
        <f>IFERROR(__xludf.DUMMYFUNCTION("""COMPUTED_VALUE"""),200.0)</f>
        <v>200</v>
      </c>
      <c r="F480" s="49"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49">
        <f>IFERROR(__xludf.DUMMYFUNCTION("""COMPUTED_VALUE"""),3.6315E8)</f>
        <v>363150000</v>
      </c>
      <c r="H480" s="49"/>
      <c r="I480" s="49"/>
      <c r="J480" s="49"/>
      <c r="K480" s="49"/>
      <c r="L480" s="49"/>
      <c r="M480" s="49"/>
      <c r="N480" s="49"/>
      <c r="O480" s="49"/>
      <c r="P480" s="49"/>
      <c r="Q480" s="49"/>
      <c r="R480" s="49"/>
      <c r="S480" s="49"/>
      <c r="T480" s="49"/>
      <c r="U480" s="49"/>
      <c r="V480" s="49"/>
      <c r="W480" s="49"/>
      <c r="X480" s="49"/>
      <c r="Y480" s="49"/>
      <c r="Z480" s="49"/>
    </row>
    <row r="481">
      <c r="A481" s="49" t="str">
        <f>IFERROR(__xludf.DUMMYFUNCTION("""COMPUTED_VALUE"""),"Gaia's Pendant")</f>
        <v>Gaia's Pendant</v>
      </c>
      <c r="B481" s="49" t="str">
        <f>IFERROR(__xludf.DUMMYFUNCTION("""COMPUTED_VALUE"""),"Mob Exclusive")</f>
        <v>Mob Exclusive</v>
      </c>
      <c r="C481" s="49"/>
      <c r="D481" s="49" t="str">
        <f>IFERROR(__xludf.DUMMYFUNCTION("""COMPUTED_VALUE"""),"Neck")</f>
        <v>Neck</v>
      </c>
      <c r="E481" s="49">
        <f>IFERROR(__xludf.DUMMYFUNCTION("""COMPUTED_VALUE"""),1.0)</f>
        <v>1</v>
      </c>
      <c r="F481" s="49" t="str">
        <f>IFERROR(__xludf.DUMMYFUNCTION("""COMPUTED_VALUE""")," ++Revives entire party upon death of the wearer. +-one use per battle")</f>
        <v> ++Revives entire party upon death of the wearer. +-one use per battle</v>
      </c>
      <c r="G481" s="49">
        <f>IFERROR(__xludf.DUMMYFUNCTION("""COMPUTED_VALUE"""),0.0)</f>
        <v>0</v>
      </c>
      <c r="H481" s="49"/>
      <c r="I481" s="49"/>
      <c r="J481" s="49"/>
      <c r="K481" s="49"/>
      <c r="L481" s="49"/>
      <c r="M481" s="49"/>
      <c r="N481" s="49"/>
      <c r="O481" s="49"/>
      <c r="P481" s="49"/>
      <c r="Q481" s="49"/>
      <c r="R481" s="49"/>
      <c r="S481" s="49"/>
      <c r="T481" s="49"/>
      <c r="U481" s="49"/>
      <c r="V481" s="49"/>
      <c r="W481" s="49"/>
      <c r="X481" s="49"/>
      <c r="Y481" s="49"/>
      <c r="Z481" s="49"/>
    </row>
    <row r="482">
      <c r="A482" s="49" t="str">
        <f>IFERROR(__xludf.DUMMYFUNCTION("""COMPUTED_VALUE"""),"Gaia's Sandals of Earthen Fortitude")</f>
        <v>Gaia's Sandals of Earthen Fortitude</v>
      </c>
      <c r="B482" s="49" t="str">
        <f>IFERROR(__xludf.DUMMYFUNCTION("""COMPUTED_VALUE"""),"Mob Exclusive")</f>
        <v>Mob Exclusive</v>
      </c>
      <c r="C482" s="49"/>
      <c r="D482" s="49" t="str">
        <f>IFERROR(__xludf.DUMMYFUNCTION("""COMPUTED_VALUE"""),"Feet")</f>
        <v>Feet</v>
      </c>
      <c r="E482" s="49">
        <f>IFERROR(__xludf.DUMMYFUNCTION("""COMPUTED_VALUE"""),200.0)</f>
        <v>200</v>
      </c>
      <c r="F482" s="49" t="str">
        <f>IFERROR(__xludf.DUMMYFUNCTION("""COMPUTED_VALUE"""),"DEF: +50000, Fire DEF: +35000, Celestial DEF: +50000 ++X2 Earth Damage for self. ++X2 Defense for self")</f>
        <v>DEF: +50000, Fire DEF: +35000, Celestial DEF: +50000 ++X2 Earth Damage for self. ++X2 Defense for self</v>
      </c>
      <c r="G482" s="49">
        <f>IFERROR(__xludf.DUMMYFUNCTION("""COMPUTED_VALUE"""),3.6315E8)</f>
        <v>363150000</v>
      </c>
      <c r="H482" s="49"/>
      <c r="I482" s="49"/>
      <c r="J482" s="49"/>
      <c r="K482" s="49"/>
      <c r="L482" s="49"/>
      <c r="M482" s="49"/>
      <c r="N482" s="49"/>
      <c r="O482" s="49"/>
      <c r="P482" s="49"/>
      <c r="Q482" s="49"/>
      <c r="R482" s="49"/>
      <c r="S482" s="49"/>
      <c r="T482" s="49"/>
      <c r="U482" s="49"/>
      <c r="V482" s="49"/>
      <c r="W482" s="49"/>
      <c r="X482" s="49"/>
      <c r="Y482" s="49"/>
      <c r="Z482" s="49"/>
    </row>
    <row r="483">
      <c r="A483" s="49" t="str">
        <f>IFERROR(__xludf.DUMMYFUNCTION("""COMPUTED_VALUE"""),"Gaia's Gloves")</f>
        <v>Gaia's Gloves</v>
      </c>
      <c r="B483" s="49" t="str">
        <f>IFERROR(__xludf.DUMMYFUNCTION("""COMPUTED_VALUE"""),"Mob Exclusive")</f>
        <v>Mob Exclusive</v>
      </c>
      <c r="C483" s="49"/>
      <c r="D483" s="49" t="str">
        <f>IFERROR(__xludf.DUMMYFUNCTION("""COMPUTED_VALUE"""),"Arms")</f>
        <v>Arms</v>
      </c>
      <c r="E483" s="49">
        <f>IFERROR(__xludf.DUMMYFUNCTION("""COMPUTED_VALUE"""),200.0)</f>
        <v>200</v>
      </c>
      <c r="F483" s="49" t="str">
        <f>IFERROR(__xludf.DUMMYFUNCTION("""COMPUTED_VALUE"""),"DEF: +50000, Fire DEF: +35000, Celestial DEF: +50000 ++X2 Earth Damage for self. ++X2 Defense for self")</f>
        <v>DEF: +50000, Fire DEF: +35000, Celestial DEF: +50000 ++X2 Earth Damage for self. ++X2 Defense for self</v>
      </c>
      <c r="G483" s="49">
        <f>IFERROR(__xludf.DUMMYFUNCTION("""COMPUTED_VALUE"""),3.6315E8)</f>
        <v>363150000</v>
      </c>
      <c r="H483" s="49"/>
      <c r="I483" s="49"/>
      <c r="J483" s="49"/>
      <c r="K483" s="49"/>
      <c r="L483" s="49"/>
      <c r="M483" s="49"/>
      <c r="N483" s="49"/>
      <c r="O483" s="49"/>
      <c r="P483" s="49"/>
      <c r="Q483" s="49"/>
      <c r="R483" s="49"/>
      <c r="S483" s="49"/>
      <c r="T483" s="49"/>
      <c r="U483" s="49"/>
      <c r="V483" s="49"/>
      <c r="W483" s="49"/>
      <c r="X483" s="49"/>
      <c r="Y483" s="49"/>
      <c r="Z483" s="49"/>
    </row>
    <row r="484">
      <c r="A484" s="49" t="str">
        <f>IFERROR(__xludf.DUMMYFUNCTION("""COMPUTED_VALUE"""),"Gaia's Gaiters")</f>
        <v>Gaia's Gaiters</v>
      </c>
      <c r="B484" s="49" t="str">
        <f>IFERROR(__xludf.DUMMYFUNCTION("""COMPUTED_VALUE"""),"Mob Exclusive")</f>
        <v>Mob Exclusive</v>
      </c>
      <c r="C484" s="49"/>
      <c r="D484" s="49" t="str">
        <f>IFERROR(__xludf.DUMMYFUNCTION("""COMPUTED_VALUE"""),"Legs")</f>
        <v>Legs</v>
      </c>
      <c r="E484" s="49">
        <f>IFERROR(__xludf.DUMMYFUNCTION("""COMPUTED_VALUE"""),200.0)</f>
        <v>200</v>
      </c>
      <c r="F484" s="49" t="str">
        <f>IFERROR(__xludf.DUMMYFUNCTION("""COMPUTED_VALUE"""),"DEF: +50000, Fire DEF: +35000, Celestial DEF: +50000 ++X2 Earth Damage for self. ++X2 Defense for self")</f>
        <v>DEF: +50000, Fire DEF: +35000, Celestial DEF: +50000 ++X2 Earth Damage for self. ++X2 Defense for self</v>
      </c>
      <c r="G484" s="49">
        <f>IFERROR(__xludf.DUMMYFUNCTION("""COMPUTED_VALUE"""),3.6315E8)</f>
        <v>363150000</v>
      </c>
      <c r="H484" s="49"/>
      <c r="I484" s="49"/>
      <c r="J484" s="49"/>
      <c r="K484" s="49"/>
      <c r="L484" s="49"/>
      <c r="M484" s="49"/>
      <c r="N484" s="49"/>
      <c r="O484" s="49"/>
      <c r="P484" s="49"/>
      <c r="Q484" s="49"/>
      <c r="R484" s="49"/>
      <c r="S484" s="49"/>
      <c r="T484" s="49"/>
      <c r="U484" s="49"/>
      <c r="V484" s="49"/>
      <c r="W484" s="49"/>
      <c r="X484" s="49"/>
      <c r="Y484" s="49"/>
      <c r="Z484" s="49"/>
    </row>
    <row r="485">
      <c r="A485" s="49" t="str">
        <f>IFERROR(__xludf.DUMMYFUNCTION("""COMPUTED_VALUE"""),"Gaia's Pauldrons")</f>
        <v>Gaia's Pauldrons</v>
      </c>
      <c r="B485" s="49" t="str">
        <f>IFERROR(__xludf.DUMMYFUNCTION("""COMPUTED_VALUE"""),"Mob Exclusive")</f>
        <v>Mob Exclusive</v>
      </c>
      <c r="C485" s="49"/>
      <c r="D485" s="49" t="str">
        <f>IFERROR(__xludf.DUMMYFUNCTION("""COMPUTED_VALUE"""),"Shoulders")</f>
        <v>Shoulders</v>
      </c>
      <c r="E485" s="49">
        <f>IFERROR(__xludf.DUMMYFUNCTION("""COMPUTED_VALUE"""),200.0)</f>
        <v>200</v>
      </c>
      <c r="F485" s="49" t="str">
        <f>IFERROR(__xludf.DUMMYFUNCTION("""COMPUTED_VALUE"""),"DEF: +50000, Fire DEF: +35000, Celestial DEF: +50000 ++X2 Earth Damage for self. ++X2 Defense for self")</f>
        <v>DEF: +50000, Fire DEF: +35000, Celestial DEF: +50000 ++X2 Earth Damage for self. ++X2 Defense for self</v>
      </c>
      <c r="G485" s="49">
        <f>IFERROR(__xludf.DUMMYFUNCTION("""COMPUTED_VALUE"""),3.6315E8)</f>
        <v>363150000</v>
      </c>
      <c r="H485" s="49"/>
      <c r="I485" s="49"/>
      <c r="J485" s="49"/>
      <c r="K485" s="49"/>
      <c r="L485" s="49"/>
      <c r="M485" s="49"/>
      <c r="N485" s="49"/>
      <c r="O485" s="49"/>
      <c r="P485" s="49"/>
      <c r="Q485" s="49"/>
      <c r="R485" s="49"/>
      <c r="S485" s="49"/>
      <c r="T485" s="49"/>
      <c r="U485" s="49"/>
      <c r="V485" s="49"/>
      <c r="W485" s="49"/>
      <c r="X485" s="49"/>
      <c r="Y485" s="49"/>
      <c r="Z485" s="49"/>
    </row>
    <row r="486">
      <c r="A486" s="49" t="str">
        <f>IFERROR(__xludf.DUMMYFUNCTION("""COMPUTED_VALUE"""),"Gaia's Chestpiece")</f>
        <v>Gaia's Chestpiece</v>
      </c>
      <c r="B486" s="49" t="str">
        <f>IFERROR(__xludf.DUMMYFUNCTION("""COMPUTED_VALUE"""),"Mob Exclusive")</f>
        <v>Mob Exclusive</v>
      </c>
      <c r="C486" s="49"/>
      <c r="D486" s="49" t="str">
        <f>IFERROR(__xludf.DUMMYFUNCTION("""COMPUTED_VALUE"""),"Torso")</f>
        <v>Torso</v>
      </c>
      <c r="E486" s="49">
        <f>IFERROR(__xludf.DUMMYFUNCTION("""COMPUTED_VALUE"""),200.0)</f>
        <v>200</v>
      </c>
      <c r="F486" s="49" t="str">
        <f>IFERROR(__xludf.DUMMYFUNCTION("""COMPUTED_VALUE"""),"DEF: +100000, Fire DEF: +70000, Celestial DEF: +100000 ++X2 Earth Damage for self. ++X2 Defense for self")</f>
        <v>DEF: +100000, Fire DEF: +70000, Celestial DEF: +100000 ++X2 Earth Damage for self. ++X2 Defense for self</v>
      </c>
      <c r="G486" s="49">
        <f>IFERROR(__xludf.DUMMYFUNCTION("""COMPUTED_VALUE"""),1.4553E9)</f>
        <v>1455300000</v>
      </c>
      <c r="H486" s="49"/>
      <c r="I486" s="49"/>
      <c r="J486" s="49"/>
      <c r="K486" s="49"/>
      <c r="L486" s="49"/>
      <c r="M486" s="49"/>
      <c r="N486" s="49"/>
      <c r="O486" s="49"/>
      <c r="P486" s="49"/>
      <c r="Q486" s="49"/>
      <c r="R486" s="49"/>
      <c r="S486" s="49"/>
      <c r="T486" s="49"/>
      <c r="U486" s="49"/>
      <c r="V486" s="49"/>
      <c r="W486" s="49"/>
      <c r="X486" s="49"/>
      <c r="Y486" s="49"/>
      <c r="Z486" s="49"/>
    </row>
    <row r="487">
      <c r="A487" s="49" t="str">
        <f>IFERROR(__xludf.DUMMYFUNCTION("""COMPUTED_VALUE"""),"Gaia's Ring")</f>
        <v>Gaia's Ring</v>
      </c>
      <c r="B487" s="49" t="str">
        <f>IFERROR(__xludf.DUMMYFUNCTION("""COMPUTED_VALUE"""),"Mob Exclusive")</f>
        <v>Mob Exclusive</v>
      </c>
      <c r="C487" s="49"/>
      <c r="D487" s="49" t="str">
        <f>IFERROR(__xludf.DUMMYFUNCTION("""COMPUTED_VALUE"""),"Ring")</f>
        <v>Ring</v>
      </c>
      <c r="E487" s="49">
        <f>IFERROR(__xludf.DUMMYFUNCTION("""COMPUTED_VALUE"""),1.0)</f>
        <v>1</v>
      </c>
      <c r="F487" s="49" t="str">
        <f>IFERROR(__xludf.DUMMYFUNCTION("""COMPUTED_VALUE""")," ++X4 defense for self and allies, 50 sp")</f>
        <v> ++X4 defense for self and allies, 50 sp</v>
      </c>
      <c r="G487" s="49">
        <f>IFERROR(__xludf.DUMMYFUNCTION("""COMPUTED_VALUE"""),0.0)</f>
        <v>0</v>
      </c>
      <c r="H487" s="49"/>
      <c r="I487" s="49"/>
      <c r="J487" s="49"/>
      <c r="K487" s="49"/>
      <c r="L487" s="49"/>
      <c r="M487" s="49"/>
      <c r="N487" s="49"/>
      <c r="O487" s="49"/>
      <c r="P487" s="49"/>
      <c r="Q487" s="49"/>
      <c r="R487" s="49"/>
      <c r="S487" s="49"/>
      <c r="T487" s="49"/>
      <c r="U487" s="49"/>
      <c r="V487" s="49"/>
      <c r="W487" s="49"/>
      <c r="X487" s="49"/>
      <c r="Y487" s="49"/>
      <c r="Z487" s="49"/>
    </row>
    <row r="488">
      <c r="A488" s="49" t="str">
        <f>IFERROR(__xludf.DUMMYFUNCTION("""COMPUTED_VALUE"""),"Paladin of Gaia's Bucket helm of Tenacity")</f>
        <v>Paladin of Gaia's Bucket helm of Tenacity</v>
      </c>
      <c r="B488" s="49" t="str">
        <f>IFERROR(__xludf.DUMMYFUNCTION("""COMPUTED_VALUE"""),"Quest Item")</f>
        <v>Quest Item</v>
      </c>
      <c r="C488" s="49"/>
      <c r="D488" s="49" t="str">
        <f>IFERROR(__xludf.DUMMYFUNCTION("""COMPUTED_VALUE"""),"Head")</f>
        <v>Head</v>
      </c>
      <c r="E488" s="49">
        <f>IFERROR(__xludf.DUMMYFUNCTION("""COMPUTED_VALUE"""),200.0)</f>
        <v>200</v>
      </c>
      <c r="F488" s="49"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49">
        <f>IFERROR(__xludf.DUMMYFUNCTION("""COMPUTED_VALUE"""),1.272E8)</f>
        <v>127200000</v>
      </c>
      <c r="H488" s="49"/>
      <c r="I488" s="49"/>
      <c r="J488" s="49"/>
      <c r="K488" s="49"/>
      <c r="L488" s="49"/>
      <c r="M488" s="49"/>
      <c r="N488" s="49"/>
      <c r="O488" s="49"/>
      <c r="P488" s="49"/>
      <c r="Q488" s="49"/>
      <c r="R488" s="49"/>
      <c r="S488" s="49"/>
      <c r="T488" s="49"/>
      <c r="U488" s="49"/>
      <c r="V488" s="49"/>
      <c r="W488" s="49"/>
      <c r="X488" s="49"/>
      <c r="Y488" s="49"/>
      <c r="Z488" s="49"/>
    </row>
    <row r="489">
      <c r="A489" s="49" t="str">
        <f>IFERROR(__xludf.DUMMYFUNCTION("""COMPUTED_VALUE"""),"Paladin of Gaia's Stone Pauldrons")</f>
        <v>Paladin of Gaia's Stone Pauldrons</v>
      </c>
      <c r="B489" s="49" t="str">
        <f>IFERROR(__xludf.DUMMYFUNCTION("""COMPUTED_VALUE"""),"Quest Item")</f>
        <v>Quest Item</v>
      </c>
      <c r="C489" s="49"/>
      <c r="D489" s="49" t="str">
        <f>IFERROR(__xludf.DUMMYFUNCTION("""COMPUTED_VALUE"""),"Shoulders")</f>
        <v>Shoulders</v>
      </c>
      <c r="E489" s="49">
        <f>IFERROR(__xludf.DUMMYFUNCTION("""COMPUTED_VALUE"""),200.0)</f>
        <v>200</v>
      </c>
      <c r="F489" s="49"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49">
        <f>IFERROR(__xludf.DUMMYFUNCTION("""COMPUTED_VALUE"""),1.272E8)</f>
        <v>127200000</v>
      </c>
      <c r="H489" s="49"/>
      <c r="I489" s="49"/>
      <c r="J489" s="49"/>
      <c r="K489" s="49"/>
      <c r="L489" s="49"/>
      <c r="M489" s="49"/>
      <c r="N489" s="49"/>
      <c r="O489" s="49"/>
      <c r="P489" s="49"/>
      <c r="Q489" s="49"/>
      <c r="R489" s="49"/>
      <c r="S489" s="49"/>
      <c r="T489" s="49"/>
      <c r="U489" s="49"/>
      <c r="V489" s="49"/>
      <c r="W489" s="49"/>
      <c r="X489" s="49"/>
      <c r="Y489" s="49"/>
      <c r="Z489" s="49"/>
    </row>
    <row r="490">
      <c r="A490" s="49" t="str">
        <f>IFERROR(__xludf.DUMMYFUNCTION("""COMPUTED_VALUE"""),"Paladin of Gaia's Emblazoned Chestpiece")</f>
        <v>Paladin of Gaia's Emblazoned Chestpiece</v>
      </c>
      <c r="B490" s="49" t="str">
        <f>IFERROR(__xludf.DUMMYFUNCTION("""COMPUTED_VALUE"""),"Quest Item")</f>
        <v>Quest Item</v>
      </c>
      <c r="C490" s="49"/>
      <c r="D490" s="49" t="str">
        <f>IFERROR(__xludf.DUMMYFUNCTION("""COMPUTED_VALUE"""),"Torso")</f>
        <v>Torso</v>
      </c>
      <c r="E490" s="49">
        <f>IFERROR(__xludf.DUMMYFUNCTION("""COMPUTED_VALUE"""),200.0)</f>
        <v>200</v>
      </c>
      <c r="F490" s="49"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49">
        <f>IFERROR(__xludf.DUMMYFUNCTION("""COMPUTED_VALUE"""),7.201E8)</f>
        <v>720100000</v>
      </c>
      <c r="H490" s="49"/>
      <c r="I490" s="49"/>
      <c r="J490" s="49"/>
      <c r="K490" s="49"/>
      <c r="L490" s="49"/>
      <c r="M490" s="49"/>
      <c r="N490" s="49"/>
      <c r="O490" s="49"/>
      <c r="P490" s="49"/>
      <c r="Q490" s="49"/>
      <c r="R490" s="49"/>
      <c r="S490" s="49"/>
      <c r="T490" s="49"/>
      <c r="U490" s="49"/>
      <c r="V490" s="49"/>
      <c r="W490" s="49"/>
      <c r="X490" s="49"/>
      <c r="Y490" s="49"/>
      <c r="Z490" s="49"/>
    </row>
    <row r="491">
      <c r="A491" s="49" t="str">
        <f>IFERROR(__xludf.DUMMYFUNCTION("""COMPUTED_VALUE"""),"Paladin of Gaia's Vambraces")</f>
        <v>Paladin of Gaia's Vambraces</v>
      </c>
      <c r="B491" s="49" t="str">
        <f>IFERROR(__xludf.DUMMYFUNCTION("""COMPUTED_VALUE"""),"Quest Item")</f>
        <v>Quest Item</v>
      </c>
      <c r="C491" s="49"/>
      <c r="D491" s="49" t="str">
        <f>IFERROR(__xludf.DUMMYFUNCTION("""COMPUTED_VALUE"""),"Arms")</f>
        <v>Arms</v>
      </c>
      <c r="E491" s="49">
        <f>IFERROR(__xludf.DUMMYFUNCTION("""COMPUTED_VALUE"""),200.0)</f>
        <v>200</v>
      </c>
      <c r="F491" s="49"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49">
        <f>IFERROR(__xludf.DUMMYFUNCTION("""COMPUTED_VALUE"""),1.272E8)</f>
        <v>127200000</v>
      </c>
      <c r="H491" s="49"/>
      <c r="I491" s="49"/>
      <c r="J491" s="49"/>
      <c r="K491" s="49"/>
      <c r="L491" s="49"/>
      <c r="M491" s="49"/>
      <c r="N491" s="49"/>
      <c r="O491" s="49"/>
      <c r="P491" s="49"/>
      <c r="Q491" s="49"/>
      <c r="R491" s="49"/>
      <c r="S491" s="49"/>
      <c r="T491" s="49"/>
      <c r="U491" s="49"/>
      <c r="V491" s="49"/>
      <c r="W491" s="49"/>
      <c r="X491" s="49"/>
      <c r="Y491" s="49"/>
      <c r="Z491" s="49"/>
    </row>
    <row r="492">
      <c r="A492" s="49" t="str">
        <f>IFERROR(__xludf.DUMMYFUNCTION("""COMPUTED_VALUE"""),"Paladin of Gaia's Plate Chausses")</f>
        <v>Paladin of Gaia's Plate Chausses</v>
      </c>
      <c r="B492" s="49" t="str">
        <f>IFERROR(__xludf.DUMMYFUNCTION("""COMPUTED_VALUE"""),"Quest Item")</f>
        <v>Quest Item</v>
      </c>
      <c r="C492" s="49"/>
      <c r="D492" s="49" t="str">
        <f>IFERROR(__xludf.DUMMYFUNCTION("""COMPUTED_VALUE"""),"Legs")</f>
        <v>Legs</v>
      </c>
      <c r="E492" s="49">
        <f>IFERROR(__xludf.DUMMYFUNCTION("""COMPUTED_VALUE"""),200.0)</f>
        <v>200</v>
      </c>
      <c r="F492" s="49"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49">
        <f>IFERROR(__xludf.DUMMYFUNCTION("""COMPUTED_VALUE"""),1.272E8)</f>
        <v>127200000</v>
      </c>
      <c r="H492" s="49"/>
      <c r="I492" s="49"/>
      <c r="J492" s="49"/>
      <c r="K492" s="49"/>
      <c r="L492" s="49"/>
      <c r="M492" s="49"/>
      <c r="N492" s="49"/>
      <c r="O492" s="49"/>
      <c r="P492" s="49"/>
      <c r="Q492" s="49"/>
      <c r="R492" s="49"/>
      <c r="S492" s="49"/>
      <c r="T492" s="49"/>
      <c r="U492" s="49"/>
      <c r="V492" s="49"/>
      <c r="W492" s="49"/>
      <c r="X492" s="49"/>
      <c r="Y492" s="49"/>
      <c r="Z492" s="49"/>
    </row>
    <row r="493">
      <c r="A493" s="49" t="str">
        <f>IFERROR(__xludf.DUMMYFUNCTION("""COMPUTED_VALUE"""),"Paladin of Gaia's Sabatons")</f>
        <v>Paladin of Gaia's Sabatons</v>
      </c>
      <c r="B493" s="49" t="str">
        <f>IFERROR(__xludf.DUMMYFUNCTION("""COMPUTED_VALUE"""),"Quest Item")</f>
        <v>Quest Item</v>
      </c>
      <c r="C493" s="49"/>
      <c r="D493" s="49" t="str">
        <f>IFERROR(__xludf.DUMMYFUNCTION("""COMPUTED_VALUE"""),"Feet")</f>
        <v>Feet</v>
      </c>
      <c r="E493" s="49">
        <f>IFERROR(__xludf.DUMMYFUNCTION("""COMPUTED_VALUE"""),200.0)</f>
        <v>200</v>
      </c>
      <c r="F493" s="49"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49">
        <f>IFERROR(__xludf.DUMMYFUNCTION("""COMPUTED_VALUE"""),1.272E8)</f>
        <v>127200000</v>
      </c>
      <c r="H493" s="49"/>
      <c r="I493" s="49"/>
      <c r="J493" s="49"/>
      <c r="K493" s="49"/>
      <c r="L493" s="49"/>
      <c r="M493" s="49"/>
      <c r="N493" s="49"/>
      <c r="O493" s="49"/>
      <c r="P493" s="49"/>
      <c r="Q493" s="49"/>
      <c r="R493" s="49"/>
      <c r="S493" s="49"/>
      <c r="T493" s="49"/>
      <c r="U493" s="49"/>
      <c r="V493" s="49"/>
      <c r="W493" s="49"/>
      <c r="X493" s="49"/>
      <c r="Y493" s="49"/>
      <c r="Z493" s="49"/>
    </row>
    <row r="494">
      <c r="A494" s="49" t="str">
        <f>IFERROR(__xludf.DUMMYFUNCTION("""COMPUTED_VALUE"""),"Paladin of Gaia's Ruby Ring")</f>
        <v>Paladin of Gaia's Ruby Ring</v>
      </c>
      <c r="B494" s="49" t="str">
        <f>IFERROR(__xludf.DUMMYFUNCTION("""COMPUTED_VALUE"""),"Quest Item")</f>
        <v>Quest Item</v>
      </c>
      <c r="C494" s="49"/>
      <c r="D494" s="49" t="str">
        <f>IFERROR(__xludf.DUMMYFUNCTION("""COMPUTED_VALUE"""),"Ring")</f>
        <v>Ring</v>
      </c>
      <c r="E494" s="49">
        <f>IFERROR(__xludf.DUMMYFUNCTION("""COMPUTED_VALUE"""),1.0)</f>
        <v>1</v>
      </c>
      <c r="F494" s="49"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49">
        <f>IFERROR(__xludf.DUMMYFUNCTION("""COMPUTED_VALUE"""),0.0)</f>
        <v>0</v>
      </c>
      <c r="H494" s="49"/>
      <c r="I494" s="49"/>
      <c r="J494" s="49"/>
      <c r="K494" s="49"/>
      <c r="L494" s="49"/>
      <c r="M494" s="49"/>
      <c r="N494" s="49"/>
      <c r="O494" s="49"/>
      <c r="P494" s="49"/>
      <c r="Q494" s="49"/>
      <c r="R494" s="49"/>
      <c r="S494" s="49"/>
      <c r="T494" s="49"/>
      <c r="U494" s="49"/>
      <c r="V494" s="49"/>
      <c r="W494" s="49"/>
      <c r="X494" s="49"/>
      <c r="Y494" s="49"/>
      <c r="Z494" s="49"/>
    </row>
    <row r="495">
      <c r="A495" s="49" t="str">
        <f>IFERROR(__xludf.DUMMYFUNCTION("""COMPUTED_VALUE"""),"Paladin of Gaia's Emerald Pendant")</f>
        <v>Paladin of Gaia's Emerald Pendant</v>
      </c>
      <c r="B495" s="49" t="str">
        <f>IFERROR(__xludf.DUMMYFUNCTION("""COMPUTED_VALUE"""),"Quest Item")</f>
        <v>Quest Item</v>
      </c>
      <c r="C495" s="49"/>
      <c r="D495" s="49" t="str">
        <f>IFERROR(__xludf.DUMMYFUNCTION("""COMPUTED_VALUE"""),"Neck")</f>
        <v>Neck</v>
      </c>
      <c r="E495" s="49">
        <f>IFERROR(__xludf.DUMMYFUNCTION("""COMPUTED_VALUE"""),1.0)</f>
        <v>1</v>
      </c>
      <c r="F495" s="49"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49">
        <f>IFERROR(__xludf.DUMMYFUNCTION("""COMPUTED_VALUE"""),0.0)</f>
        <v>0</v>
      </c>
      <c r="H495" s="49"/>
      <c r="I495" s="49"/>
      <c r="J495" s="49"/>
      <c r="K495" s="49"/>
      <c r="L495" s="49"/>
      <c r="M495" s="49"/>
      <c r="N495" s="49"/>
      <c r="O495" s="49"/>
      <c r="P495" s="49"/>
      <c r="Q495" s="49"/>
      <c r="R495" s="49"/>
      <c r="S495" s="49"/>
      <c r="T495" s="49"/>
      <c r="U495" s="49"/>
      <c r="V495" s="49"/>
      <c r="W495" s="49"/>
      <c r="X495" s="49"/>
      <c r="Y495" s="49"/>
      <c r="Z495" s="49"/>
    </row>
    <row r="496">
      <c r="A496" s="49" t="str">
        <f>IFERROR(__xludf.DUMMYFUNCTION("""COMPUTED_VALUE"""),"The Blacksmith's Forged Battleaxe ")</f>
        <v>The Blacksmith's Forged Battleaxe </v>
      </c>
      <c r="B496" s="49" t="str">
        <f>IFERROR(__xludf.DUMMYFUNCTION("""COMPUTED_VALUE"""),"Mob Exclusive")</f>
        <v>Mob Exclusive</v>
      </c>
      <c r="C496" s="49" t="str">
        <f>IFERROR(__xludf.DUMMYFUNCTION("""COMPUTED_VALUE"""),"Axe")</f>
        <v>Axe</v>
      </c>
      <c r="D496" s="49" t="str">
        <f>IFERROR(__xludf.DUMMYFUNCTION("""COMPUTED_VALUE"""),"Hand")</f>
        <v>Hand</v>
      </c>
      <c r="E496" s="49">
        <f>IFERROR(__xludf.DUMMYFUNCTION("""COMPUTED_VALUE"""),200.0)</f>
        <v>200</v>
      </c>
      <c r="F496" s="49"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49">
        <f>IFERROR(__xludf.DUMMYFUNCTION("""COMPUTED_VALUE"""),1.2475E9)</f>
        <v>1247500000</v>
      </c>
      <c r="H496" s="49"/>
      <c r="I496" s="49"/>
      <c r="J496" s="49"/>
      <c r="K496" s="49"/>
      <c r="L496" s="49"/>
      <c r="M496" s="49"/>
      <c r="N496" s="49"/>
      <c r="O496" s="49"/>
      <c r="P496" s="49"/>
      <c r="Q496" s="49"/>
      <c r="R496" s="49"/>
      <c r="S496" s="49"/>
      <c r="T496" s="49"/>
      <c r="U496" s="49"/>
      <c r="V496" s="49"/>
      <c r="W496" s="49"/>
      <c r="X496" s="49"/>
      <c r="Y496" s="49"/>
      <c r="Z496" s="49"/>
    </row>
    <row r="497">
      <c r="A497" s="49" t="str">
        <f>IFERROR(__xludf.DUMMYFUNCTION("""COMPUTED_VALUE"""),"The Blacksmith's Forged Sword")</f>
        <v>The Blacksmith's Forged Sword</v>
      </c>
      <c r="B497" s="49" t="str">
        <f>IFERROR(__xludf.DUMMYFUNCTION("""COMPUTED_VALUE"""),"Mob Exclusive")</f>
        <v>Mob Exclusive</v>
      </c>
      <c r="C497" s="49" t="str">
        <f>IFERROR(__xludf.DUMMYFUNCTION("""COMPUTED_VALUE"""),"Sword")</f>
        <v>Sword</v>
      </c>
      <c r="D497" s="49" t="str">
        <f>IFERROR(__xludf.DUMMYFUNCTION("""COMPUTED_VALUE"""),"Hand")</f>
        <v>Hand</v>
      </c>
      <c r="E497" s="49">
        <f>IFERROR(__xludf.DUMMYFUNCTION("""COMPUTED_VALUE"""),200.0)</f>
        <v>200</v>
      </c>
      <c r="F497" s="49"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49">
        <f>IFERROR(__xludf.DUMMYFUNCTION("""COMPUTED_VALUE"""),1.2475E9)</f>
        <v>1247500000</v>
      </c>
      <c r="H497" s="49"/>
      <c r="I497" s="49"/>
      <c r="J497" s="49"/>
      <c r="K497" s="49"/>
      <c r="L497" s="49"/>
      <c r="M497" s="49"/>
      <c r="N497" s="49"/>
      <c r="O497" s="49"/>
      <c r="P497" s="49"/>
      <c r="Q497" s="49"/>
      <c r="R497" s="49"/>
      <c r="S497" s="49"/>
      <c r="T497" s="49"/>
      <c r="U497" s="49"/>
      <c r="V497" s="49"/>
      <c r="W497" s="49"/>
      <c r="X497" s="49"/>
      <c r="Y497" s="49"/>
      <c r="Z497" s="49"/>
    </row>
    <row r="498">
      <c r="A498" s="49" t="str">
        <f>IFERROR(__xludf.DUMMYFUNCTION("""COMPUTED_VALUE"""),"The Blacksmith's Forged Helmet")</f>
        <v>The Blacksmith's Forged Helmet</v>
      </c>
      <c r="B498" s="49" t="str">
        <f>IFERROR(__xludf.DUMMYFUNCTION("""COMPUTED_VALUE"""),"Mob Exclusive")</f>
        <v>Mob Exclusive</v>
      </c>
      <c r="C498" s="49"/>
      <c r="D498" s="49" t="str">
        <f>IFERROR(__xludf.DUMMYFUNCTION("""COMPUTED_VALUE"""),"Head")</f>
        <v>Head</v>
      </c>
      <c r="E498" s="49">
        <f>IFERROR(__xludf.DUMMYFUNCTION("""COMPUTED_VALUE"""),4000.0)</f>
        <v>4000</v>
      </c>
      <c r="F498" s="49"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49">
        <f>IFERROR(__xludf.DUMMYFUNCTION("""COMPUTED_VALUE"""),7.98E8)</f>
        <v>798000000</v>
      </c>
      <c r="H498" s="49"/>
      <c r="I498" s="49"/>
      <c r="J498" s="49"/>
      <c r="K498" s="49"/>
      <c r="L498" s="49"/>
      <c r="M498" s="49"/>
      <c r="N498" s="49"/>
      <c r="O498" s="49"/>
      <c r="P498" s="49"/>
      <c r="Q498" s="49"/>
      <c r="R498" s="49"/>
      <c r="S498" s="49"/>
      <c r="T498" s="49"/>
      <c r="U498" s="49"/>
      <c r="V498" s="49"/>
      <c r="W498" s="49"/>
      <c r="X498" s="49"/>
      <c r="Y498" s="49"/>
      <c r="Z498" s="49"/>
    </row>
    <row r="499">
      <c r="A499" s="49" t="str">
        <f>IFERROR(__xludf.DUMMYFUNCTION("""COMPUTED_VALUE"""),"The Blacksmith's Forged Pauldrons")</f>
        <v>The Blacksmith's Forged Pauldrons</v>
      </c>
      <c r="B499" s="49" t="str">
        <f>IFERROR(__xludf.DUMMYFUNCTION("""COMPUTED_VALUE"""),"Mob Exclusive")</f>
        <v>Mob Exclusive</v>
      </c>
      <c r="C499" s="49"/>
      <c r="D499" s="49" t="str">
        <f>IFERROR(__xludf.DUMMYFUNCTION("""COMPUTED_VALUE"""),"Shoulders")</f>
        <v>Shoulders</v>
      </c>
      <c r="E499" s="49">
        <f>IFERROR(__xludf.DUMMYFUNCTION("""COMPUTED_VALUE"""),4000.0)</f>
        <v>4000</v>
      </c>
      <c r="F499" s="49"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49">
        <f>IFERROR(__xludf.DUMMYFUNCTION("""COMPUTED_VALUE"""),7.98E8)</f>
        <v>798000000</v>
      </c>
      <c r="H499" s="49"/>
      <c r="I499" s="49"/>
      <c r="J499" s="49"/>
      <c r="K499" s="49"/>
      <c r="L499" s="49"/>
      <c r="M499" s="49"/>
      <c r="N499" s="49"/>
      <c r="O499" s="49"/>
      <c r="P499" s="49"/>
      <c r="Q499" s="49"/>
      <c r="R499" s="49"/>
      <c r="S499" s="49"/>
      <c r="T499" s="49"/>
      <c r="U499" s="49"/>
      <c r="V499" s="49"/>
      <c r="W499" s="49"/>
      <c r="X499" s="49"/>
      <c r="Y499" s="49"/>
      <c r="Z499" s="49"/>
    </row>
    <row r="500">
      <c r="A500" s="49" t="str">
        <f>IFERROR(__xludf.DUMMYFUNCTION("""COMPUTED_VALUE"""),"The Blacksmith's Forged Vambraces")</f>
        <v>The Blacksmith's Forged Vambraces</v>
      </c>
      <c r="B500" s="49" t="str">
        <f>IFERROR(__xludf.DUMMYFUNCTION("""COMPUTED_VALUE"""),"Mob Exclusive")</f>
        <v>Mob Exclusive</v>
      </c>
      <c r="C500" s="49"/>
      <c r="D500" s="49" t="str">
        <f>IFERROR(__xludf.DUMMYFUNCTION("""COMPUTED_VALUE"""),"Arms")</f>
        <v>Arms</v>
      </c>
      <c r="E500" s="49">
        <f>IFERROR(__xludf.DUMMYFUNCTION("""COMPUTED_VALUE"""),4000.0)</f>
        <v>4000</v>
      </c>
      <c r="F500" s="49"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49">
        <f>IFERROR(__xludf.DUMMYFUNCTION("""COMPUTED_VALUE"""),7.98E8)</f>
        <v>798000000</v>
      </c>
      <c r="H500" s="49"/>
      <c r="I500" s="49"/>
      <c r="J500" s="49"/>
      <c r="K500" s="49"/>
      <c r="L500" s="49"/>
      <c r="M500" s="49"/>
      <c r="N500" s="49"/>
      <c r="O500" s="49"/>
      <c r="P500" s="49"/>
      <c r="Q500" s="49"/>
      <c r="R500" s="49"/>
      <c r="S500" s="49"/>
      <c r="T500" s="49"/>
      <c r="U500" s="49"/>
      <c r="V500" s="49"/>
      <c r="W500" s="49"/>
      <c r="X500" s="49"/>
      <c r="Y500" s="49"/>
      <c r="Z500" s="49"/>
    </row>
    <row r="501">
      <c r="A501" s="49" t="str">
        <f>IFERROR(__xludf.DUMMYFUNCTION("""COMPUTED_VALUE"""),"The Blacksmith's Forged Greaves")</f>
        <v>The Blacksmith's Forged Greaves</v>
      </c>
      <c r="B501" s="49" t="str">
        <f>IFERROR(__xludf.DUMMYFUNCTION("""COMPUTED_VALUE"""),"Mob Exclusive")</f>
        <v>Mob Exclusive</v>
      </c>
      <c r="C501" s="49"/>
      <c r="D501" s="49" t="str">
        <f>IFERROR(__xludf.DUMMYFUNCTION("""COMPUTED_VALUE"""),"Legs")</f>
        <v>Legs</v>
      </c>
      <c r="E501" s="49">
        <f>IFERROR(__xludf.DUMMYFUNCTION("""COMPUTED_VALUE"""),4000.0)</f>
        <v>4000</v>
      </c>
      <c r="F501" s="49"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49">
        <f>IFERROR(__xludf.DUMMYFUNCTION("""COMPUTED_VALUE"""),7.98E8)</f>
        <v>798000000</v>
      </c>
      <c r="H501" s="49"/>
      <c r="I501" s="49"/>
      <c r="J501" s="49"/>
      <c r="K501" s="49"/>
      <c r="L501" s="49"/>
      <c r="M501" s="49"/>
      <c r="N501" s="49"/>
      <c r="O501" s="49"/>
      <c r="P501" s="49"/>
      <c r="Q501" s="49"/>
      <c r="R501" s="49"/>
      <c r="S501" s="49"/>
      <c r="T501" s="49"/>
      <c r="U501" s="49"/>
      <c r="V501" s="49"/>
      <c r="W501" s="49"/>
      <c r="X501" s="49"/>
      <c r="Y501" s="49"/>
      <c r="Z501" s="49"/>
    </row>
    <row r="502">
      <c r="A502" s="49" t="str">
        <f>IFERROR(__xludf.DUMMYFUNCTION("""COMPUTED_VALUE"""),"The Blacksmith's Forged Sabatons")</f>
        <v>The Blacksmith's Forged Sabatons</v>
      </c>
      <c r="B502" s="49" t="str">
        <f>IFERROR(__xludf.DUMMYFUNCTION("""COMPUTED_VALUE"""),"Mob Exclusive")</f>
        <v>Mob Exclusive</v>
      </c>
      <c r="C502" s="49"/>
      <c r="D502" s="49" t="str">
        <f>IFERROR(__xludf.DUMMYFUNCTION("""COMPUTED_VALUE"""),"Feet")</f>
        <v>Feet</v>
      </c>
      <c r="E502" s="49">
        <f>IFERROR(__xludf.DUMMYFUNCTION("""COMPUTED_VALUE"""),4000.0)</f>
        <v>4000</v>
      </c>
      <c r="F502" s="49"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49">
        <f>IFERROR(__xludf.DUMMYFUNCTION("""COMPUTED_VALUE"""),7.98E8)</f>
        <v>798000000</v>
      </c>
      <c r="H502" s="49"/>
      <c r="I502" s="49"/>
      <c r="J502" s="49"/>
      <c r="K502" s="49"/>
      <c r="L502" s="49"/>
      <c r="M502" s="49"/>
      <c r="N502" s="49"/>
      <c r="O502" s="49"/>
      <c r="P502" s="49"/>
      <c r="Q502" s="49"/>
      <c r="R502" s="49"/>
      <c r="S502" s="49"/>
      <c r="T502" s="49"/>
      <c r="U502" s="49"/>
      <c r="V502" s="49"/>
      <c r="W502" s="49"/>
      <c r="X502" s="49"/>
      <c r="Y502" s="49"/>
      <c r="Z502" s="49"/>
    </row>
    <row r="503">
      <c r="A503" s="49" t="str">
        <f>IFERROR(__xludf.DUMMYFUNCTION("""COMPUTED_VALUE"""),"The Blacksmith's Forged Cuirasses")</f>
        <v>The Blacksmith's Forged Cuirasses</v>
      </c>
      <c r="B503" s="49" t="str">
        <f>IFERROR(__xludf.DUMMYFUNCTION("""COMPUTED_VALUE"""),"Mob Exclusive")</f>
        <v>Mob Exclusive</v>
      </c>
      <c r="C503" s="49"/>
      <c r="D503" s="49" t="str">
        <f>IFERROR(__xludf.DUMMYFUNCTION("""COMPUTED_VALUE"""),"Torso")</f>
        <v>Torso</v>
      </c>
      <c r="E503" s="49">
        <f>IFERROR(__xludf.DUMMYFUNCTION("""COMPUTED_VALUE"""),4000.0)</f>
        <v>4000</v>
      </c>
      <c r="F503" s="49"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49">
        <f>IFERROR(__xludf.DUMMYFUNCTION("""COMPUTED_VALUE"""),7.98E8)</f>
        <v>798000000</v>
      </c>
      <c r="H503" s="49"/>
      <c r="I503" s="49"/>
      <c r="J503" s="49"/>
      <c r="K503" s="49"/>
      <c r="L503" s="49"/>
      <c r="M503" s="49"/>
      <c r="N503" s="49"/>
      <c r="O503" s="49"/>
      <c r="P503" s="49"/>
      <c r="Q503" s="49"/>
      <c r="R503" s="49"/>
      <c r="S503" s="49"/>
      <c r="T503" s="49"/>
      <c r="U503" s="49"/>
      <c r="V503" s="49"/>
      <c r="W503" s="49"/>
      <c r="X503" s="49"/>
      <c r="Y503" s="49"/>
      <c r="Z503" s="49"/>
    </row>
    <row r="504">
      <c r="A504" s="49" t="str">
        <f>IFERROR(__xludf.DUMMYFUNCTION("""COMPUTED_VALUE"""),"The Blacksmith's Forged Ring")</f>
        <v>The Blacksmith's Forged Ring</v>
      </c>
      <c r="B504" s="49" t="str">
        <f>IFERROR(__xludf.DUMMYFUNCTION("""COMPUTED_VALUE"""),"Mob Exclusive")</f>
        <v>Mob Exclusive</v>
      </c>
      <c r="C504" s="49"/>
      <c r="D504" s="49" t="str">
        <f>IFERROR(__xludf.DUMMYFUNCTION("""COMPUTED_VALUE"""),"Ring")</f>
        <v>Ring</v>
      </c>
      <c r="E504" s="49">
        <f>IFERROR(__xludf.DUMMYFUNCTION("""COMPUTED_VALUE"""),1.0)</f>
        <v>1</v>
      </c>
      <c r="F504" s="49"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49">
        <f>IFERROR(__xludf.DUMMYFUNCTION("""COMPUTED_VALUE"""),0.0)</f>
        <v>0</v>
      </c>
      <c r="H504" s="49"/>
      <c r="I504" s="49"/>
      <c r="J504" s="49"/>
      <c r="K504" s="49"/>
      <c r="L504" s="49"/>
      <c r="M504" s="49"/>
      <c r="N504" s="49"/>
      <c r="O504" s="49"/>
      <c r="P504" s="49"/>
      <c r="Q504" s="49"/>
      <c r="R504" s="49"/>
      <c r="S504" s="49"/>
      <c r="T504" s="49"/>
      <c r="U504" s="49"/>
      <c r="V504" s="49"/>
      <c r="W504" s="49"/>
      <c r="X504" s="49"/>
      <c r="Y504" s="49"/>
      <c r="Z504" s="49"/>
    </row>
    <row r="505">
      <c r="A505" s="49" t="str">
        <f>IFERROR(__xludf.DUMMYFUNCTION("""COMPUTED_VALUE"""),"The Blacksmith's Forged Pendant")</f>
        <v>The Blacksmith's Forged Pendant</v>
      </c>
      <c r="B505" s="49" t="str">
        <f>IFERROR(__xludf.DUMMYFUNCTION("""COMPUTED_VALUE"""),"Mob Exclusive")</f>
        <v>Mob Exclusive</v>
      </c>
      <c r="C505" s="49"/>
      <c r="D505" s="49" t="str">
        <f>IFERROR(__xludf.DUMMYFUNCTION("""COMPUTED_VALUE"""),"Neck")</f>
        <v>Neck</v>
      </c>
      <c r="E505" s="49">
        <f>IFERROR(__xludf.DUMMYFUNCTION("""COMPUTED_VALUE"""),1.0)</f>
        <v>1</v>
      </c>
      <c r="F505" s="49"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49">
        <f>IFERROR(__xludf.DUMMYFUNCTION("""COMPUTED_VALUE"""),0.0)</f>
        <v>0</v>
      </c>
      <c r="H505" s="49"/>
      <c r="I505" s="49"/>
      <c r="J505" s="49"/>
      <c r="K505" s="49"/>
      <c r="L505" s="49"/>
      <c r="M505" s="49"/>
      <c r="N505" s="49"/>
      <c r="O505" s="49"/>
      <c r="P505" s="49"/>
      <c r="Q505" s="49"/>
      <c r="R505" s="49"/>
      <c r="S505" s="49"/>
      <c r="T505" s="49"/>
      <c r="U505" s="49"/>
      <c r="V505" s="49"/>
      <c r="W505" s="49"/>
      <c r="X505" s="49"/>
      <c r="Y505" s="49"/>
      <c r="Z505" s="49"/>
    </row>
    <row r="506">
      <c r="A506" s="49" t="str">
        <f>IFERROR(__xludf.DUMMYFUNCTION("""COMPUTED_VALUE"""),"The Blacksmith's Ring of Green Hatred")</f>
        <v>The Blacksmith's Ring of Green Hatred</v>
      </c>
      <c r="B506" s="49" t="str">
        <f>IFERROR(__xludf.DUMMYFUNCTION("""COMPUTED_VALUE"""),"Mob Exclusive")</f>
        <v>Mob Exclusive</v>
      </c>
      <c r="C506" s="49"/>
      <c r="D506" s="49" t="str">
        <f>IFERROR(__xludf.DUMMYFUNCTION("""COMPUTED_VALUE"""),"Ring")</f>
        <v>Ring</v>
      </c>
      <c r="E506" s="49">
        <f>IFERROR(__xludf.DUMMYFUNCTION("""COMPUTED_VALUE"""),1.0)</f>
        <v>1</v>
      </c>
      <c r="F506" s="49" t="str">
        <f>IFERROR(__xludf.DUMMYFUNCTION("""COMPUTED_VALUE""")," (Hephaestus' Set) ++All attacks deal X10 damage against any enemies with the starting town of Forest View.")</f>
        <v> (Hephaestus' Set) ++All attacks deal X10 damage against any enemies with the starting town of Forest View.</v>
      </c>
      <c r="G506" s="49">
        <f>IFERROR(__xludf.DUMMYFUNCTION("""COMPUTED_VALUE"""),0.0)</f>
        <v>0</v>
      </c>
      <c r="H506" s="49"/>
      <c r="I506" s="49"/>
      <c r="J506" s="49"/>
      <c r="K506" s="49"/>
      <c r="L506" s="49"/>
      <c r="M506" s="49"/>
      <c r="N506" s="49"/>
      <c r="O506" s="49"/>
      <c r="P506" s="49"/>
      <c r="Q506" s="49"/>
      <c r="R506" s="49"/>
      <c r="S506" s="49"/>
      <c r="T506" s="49"/>
      <c r="U506" s="49"/>
      <c r="V506" s="49"/>
      <c r="W506" s="49"/>
      <c r="X506" s="49"/>
      <c r="Y506" s="49"/>
      <c r="Z506" s="49"/>
    </row>
    <row r="507">
      <c r="A507" s="49" t="str">
        <f>IFERROR(__xludf.DUMMYFUNCTION("""COMPUTED_VALUE"""),"Ring o' Strength and Fire")</f>
        <v>Ring o' Strength and Fire</v>
      </c>
      <c r="B507" s="49"/>
      <c r="C507" s="49"/>
      <c r="D507" s="49" t="str">
        <f>IFERROR(__xludf.DUMMYFUNCTION("""COMPUTED_VALUE"""),"Ring")</f>
        <v>Ring</v>
      </c>
      <c r="E507" s="49">
        <f>IFERROR(__xludf.DUMMYFUNCTION("""COMPUTED_VALUE"""),1.0)</f>
        <v>1</v>
      </c>
      <c r="F507" s="49" t="str">
        <f>IFERROR(__xludf.DUMMYFUNCTION("""COMPUTED_VALUE""")," ++Grants immunity to fire. ++Grants X2 damage. +-Can only equip one +-Cannot be duplicated")</f>
        <v> ++Grants immunity to fire. ++Grants X2 damage. +-Can only equip one +-Cannot be duplicated</v>
      </c>
      <c r="G507" s="49">
        <f>IFERROR(__xludf.DUMMYFUNCTION("""COMPUTED_VALUE"""),0.0)</f>
        <v>0</v>
      </c>
      <c r="H507" s="49"/>
      <c r="I507" s="49"/>
      <c r="J507" s="49"/>
      <c r="K507" s="49"/>
      <c r="L507" s="49"/>
      <c r="M507" s="49"/>
      <c r="N507" s="49"/>
      <c r="O507" s="49"/>
      <c r="P507" s="49"/>
      <c r="Q507" s="49"/>
      <c r="R507" s="49"/>
      <c r="S507" s="49"/>
      <c r="T507" s="49"/>
      <c r="U507" s="49"/>
      <c r="V507" s="49"/>
      <c r="W507" s="49"/>
      <c r="X507" s="49"/>
      <c r="Y507" s="49"/>
      <c r="Z507" s="49"/>
    </row>
    <row r="508">
      <c r="A508" s="49" t="str">
        <f>IFERROR(__xludf.DUMMYFUNCTION("""COMPUTED_VALUE"""),"Ring o' Fortitude and Earth")</f>
        <v>Ring o' Fortitude and Earth</v>
      </c>
      <c r="B508" s="49"/>
      <c r="C508" s="49"/>
      <c r="D508" s="49" t="str">
        <f>IFERROR(__xludf.DUMMYFUNCTION("""COMPUTED_VALUE"""),"Ring")</f>
        <v>Ring</v>
      </c>
      <c r="E508" s="49">
        <f>IFERROR(__xludf.DUMMYFUNCTION("""COMPUTED_VALUE"""),1.0)</f>
        <v>1</v>
      </c>
      <c r="F508" s="49" t="str">
        <f>IFERROR(__xludf.DUMMYFUNCTION("""COMPUTED_VALUE""")," ++Grants immunity to Earth. ++Grants X2 Defense. +-Can only equip one +-Cannot be duplicated")</f>
        <v> ++Grants immunity to Earth. ++Grants X2 Defense. +-Can only equip one +-Cannot be duplicated</v>
      </c>
      <c r="G508" s="49">
        <f>IFERROR(__xludf.DUMMYFUNCTION("""COMPUTED_VALUE"""),0.0)</f>
        <v>0</v>
      </c>
      <c r="H508" s="49"/>
      <c r="I508" s="49"/>
      <c r="J508" s="49"/>
      <c r="K508" s="49"/>
      <c r="L508" s="49"/>
      <c r="M508" s="49"/>
      <c r="N508" s="49"/>
      <c r="O508" s="49"/>
      <c r="P508" s="49"/>
      <c r="Q508" s="49"/>
      <c r="R508" s="49"/>
      <c r="S508" s="49"/>
      <c r="T508" s="49"/>
      <c r="U508" s="49"/>
      <c r="V508" s="49"/>
      <c r="W508" s="49"/>
      <c r="X508" s="49"/>
      <c r="Y508" s="49"/>
      <c r="Z508" s="49"/>
    </row>
    <row r="509">
      <c r="A509" s="49" t="str">
        <f>IFERROR(__xludf.DUMMYFUNCTION("""COMPUTED_VALUE"""),"Ring o' Agility and Water")</f>
        <v>Ring o' Agility and Water</v>
      </c>
      <c r="B509" s="49"/>
      <c r="C509" s="49"/>
      <c r="D509" s="49" t="str">
        <f>IFERROR(__xludf.DUMMYFUNCTION("""COMPUTED_VALUE"""),"Ring")</f>
        <v>Ring</v>
      </c>
      <c r="E509" s="49">
        <f>IFERROR(__xludf.DUMMYFUNCTION("""COMPUTED_VALUE"""),1.0)</f>
        <v>1</v>
      </c>
      <c r="F509" s="49" t="str">
        <f>IFERROR(__xludf.DUMMYFUNCTION("""COMPUTED_VALUE""")," ++Grants Immunity to Water. ++Grants +5 to evasion. +-Can only equip one +-Cannot be duplicated")</f>
        <v> ++Grants Immunity to Water. ++Grants +5 to evasion. +-Can only equip one +-Cannot be duplicated</v>
      </c>
      <c r="G509" s="49">
        <f>IFERROR(__xludf.DUMMYFUNCTION("""COMPUTED_VALUE"""),0.0)</f>
        <v>0</v>
      </c>
      <c r="H509" s="49"/>
      <c r="I509" s="49"/>
      <c r="J509" s="49"/>
      <c r="K509" s="49"/>
      <c r="L509" s="49"/>
      <c r="M509" s="49"/>
      <c r="N509" s="49"/>
      <c r="O509" s="49"/>
      <c r="P509" s="49"/>
      <c r="Q509" s="49"/>
      <c r="R509" s="49"/>
      <c r="S509" s="49"/>
      <c r="T509" s="49"/>
      <c r="U509" s="49"/>
      <c r="V509" s="49"/>
      <c r="W509" s="49"/>
      <c r="X509" s="49"/>
      <c r="Y509" s="49"/>
      <c r="Z509" s="49"/>
    </row>
    <row r="510">
      <c r="A510" s="49" t="str">
        <f>IFERROR(__xludf.DUMMYFUNCTION("""COMPUTED_VALUE"""),"Ring o' Power and Delta")</f>
        <v>Ring o' Power and Delta</v>
      </c>
      <c r="B510" s="49"/>
      <c r="C510" s="49"/>
      <c r="D510" s="49" t="str">
        <f>IFERROR(__xludf.DUMMYFUNCTION("""COMPUTED_VALUE"""),"Ring")</f>
        <v>Ring</v>
      </c>
      <c r="E510" s="49">
        <f>IFERROR(__xludf.DUMMYFUNCTION("""COMPUTED_VALUE"""),1.0)</f>
        <v>1</v>
      </c>
      <c r="F510" s="49" t="str">
        <f>IFERROR(__xludf.DUMMYFUNCTION("""COMPUTED_VALUE""")," ++Grants X4 Delta damage. ++Take Half delta damage. +-Can only equip one +-Cannot be duplicated")</f>
        <v> ++Grants X4 Delta damage. ++Take Half delta damage. +-Can only equip one +-Cannot be duplicated</v>
      </c>
      <c r="G510" s="49">
        <f>IFERROR(__xludf.DUMMYFUNCTION("""COMPUTED_VALUE"""),0.0)</f>
        <v>0</v>
      </c>
      <c r="H510" s="49"/>
      <c r="I510" s="49"/>
      <c r="J510" s="49"/>
      <c r="K510" s="49"/>
      <c r="L510" s="49"/>
      <c r="M510" s="49"/>
      <c r="N510" s="49"/>
      <c r="O510" s="49"/>
      <c r="P510" s="49"/>
      <c r="Q510" s="49"/>
      <c r="R510" s="49"/>
      <c r="S510" s="49"/>
      <c r="T510" s="49"/>
      <c r="U510" s="49"/>
      <c r="V510" s="49"/>
      <c r="W510" s="49"/>
      <c r="X510" s="49"/>
      <c r="Y510" s="49"/>
      <c r="Z510" s="49"/>
    </row>
    <row r="511">
      <c r="A511" s="49" t="str">
        <f>IFERROR(__xludf.DUMMYFUNCTION("""COMPUTED_VALUE"""),"Ring o' Courage and Order")</f>
        <v>Ring o' Courage and Order</v>
      </c>
      <c r="B511" s="49"/>
      <c r="C511" s="49"/>
      <c r="D511" s="49" t="str">
        <f>IFERROR(__xludf.DUMMYFUNCTION("""COMPUTED_VALUE"""),"Ring")</f>
        <v>Ring</v>
      </c>
      <c r="E511" s="49">
        <f>IFERROR(__xludf.DUMMYFUNCTION("""COMPUTED_VALUE"""),1.0)</f>
        <v>1</v>
      </c>
      <c r="F511" s="49" t="str">
        <f>IFERROR(__xludf.DUMMYFUNCTION("""COMPUTED_VALUE""")," ++Grants Immunity to Order. ++Enemies halve their rolls when fleeing. +-Can only equip one +-Cannot be duplicated")</f>
        <v> ++Grants Immunity to Order. ++Enemies halve their rolls when fleeing. +-Can only equip one +-Cannot be duplicated</v>
      </c>
      <c r="G511" s="49">
        <f>IFERROR(__xludf.DUMMYFUNCTION("""COMPUTED_VALUE"""),0.0)</f>
        <v>0</v>
      </c>
      <c r="H511" s="49"/>
      <c r="I511" s="49"/>
      <c r="J511" s="49"/>
      <c r="K511" s="49"/>
      <c r="L511" s="49"/>
      <c r="M511" s="49"/>
      <c r="N511" s="49"/>
      <c r="O511" s="49"/>
      <c r="P511" s="49"/>
      <c r="Q511" s="49"/>
      <c r="R511" s="49"/>
      <c r="S511" s="49"/>
      <c r="T511" s="49"/>
      <c r="U511" s="49"/>
      <c r="V511" s="49"/>
      <c r="W511" s="49"/>
      <c r="X511" s="49"/>
      <c r="Y511" s="49"/>
      <c r="Z511" s="49"/>
    </row>
    <row r="512">
      <c r="A512" s="49" t="str">
        <f>IFERROR(__xludf.DUMMYFUNCTION("""COMPUTED_VALUE"""),"Ring o' Resilience and Physicality")</f>
        <v>Ring o' Resilience and Physicality</v>
      </c>
      <c r="B512" s="49"/>
      <c r="C512" s="49"/>
      <c r="D512" s="49" t="str">
        <f>IFERROR(__xludf.DUMMYFUNCTION("""COMPUTED_VALUE"""),"Ring")</f>
        <v>Ring</v>
      </c>
      <c r="E512" s="49">
        <f>IFERROR(__xludf.DUMMYFUNCTION("""COMPUTED_VALUE"""),1.0)</f>
        <v>1</v>
      </c>
      <c r="F512" s="49" t="str">
        <f>IFERROR(__xludf.DUMMYFUNCTION("""COMPUTED_VALUE""")," ++Grants Immunity to Natural attacks. ++Grants +5 Mobility. +-Can only equip one +-Cannot be duplicated")</f>
        <v> ++Grants Immunity to Natural attacks. ++Grants +5 Mobility. +-Can only equip one +-Cannot be duplicated</v>
      </c>
      <c r="G512" s="49">
        <f>IFERROR(__xludf.DUMMYFUNCTION("""COMPUTED_VALUE"""),0.0)</f>
        <v>0</v>
      </c>
      <c r="H512" s="49"/>
      <c r="I512" s="49"/>
      <c r="J512" s="49"/>
      <c r="K512" s="49"/>
      <c r="L512" s="49"/>
      <c r="M512" s="49"/>
      <c r="N512" s="49"/>
      <c r="O512" s="49"/>
      <c r="P512" s="49"/>
      <c r="Q512" s="49"/>
      <c r="R512" s="49"/>
      <c r="S512" s="49"/>
      <c r="T512" s="49"/>
      <c r="U512" s="49"/>
      <c r="V512" s="49"/>
      <c r="W512" s="49"/>
      <c r="X512" s="49"/>
      <c r="Y512" s="49"/>
      <c r="Z512" s="49"/>
    </row>
    <row r="513">
      <c r="A513" s="49" t="str">
        <f>IFERROR(__xludf.DUMMYFUNCTION("""COMPUTED_VALUE"""),"Ring o' Insanity and Chaos")</f>
        <v>Ring o' Insanity and Chaos</v>
      </c>
      <c r="B513" s="49"/>
      <c r="C513" s="49"/>
      <c r="D513" s="49" t="str">
        <f>IFERROR(__xludf.DUMMYFUNCTION("""COMPUTED_VALUE"""),"Ring")</f>
        <v>Ring</v>
      </c>
      <c r="E513" s="49">
        <f>IFERROR(__xludf.DUMMYFUNCTION("""COMPUTED_VALUE"""),1.0)</f>
        <v>1</v>
      </c>
      <c r="F513" s="49" t="str">
        <f>IFERROR(__xludf.DUMMYFUNCTION("""COMPUTED_VALUE""")," ++Grants Immunity to Chaos. +5 to Intimidation. +-Can only equip one +-Cannot be duplicated")</f>
        <v> ++Grants Immunity to Chaos. +5 to Intimidation. +-Can only equip one +-Cannot be duplicated</v>
      </c>
      <c r="G513" s="49">
        <f>IFERROR(__xludf.DUMMYFUNCTION("""COMPUTED_VALUE"""),0.0)</f>
        <v>0</v>
      </c>
      <c r="H513" s="49"/>
      <c r="I513" s="49"/>
      <c r="J513" s="49"/>
      <c r="K513" s="49"/>
      <c r="L513" s="49"/>
      <c r="M513" s="49"/>
      <c r="N513" s="49"/>
      <c r="O513" s="49"/>
      <c r="P513" s="49"/>
      <c r="Q513" s="49"/>
      <c r="R513" s="49"/>
      <c r="S513" s="49"/>
      <c r="T513" s="49"/>
      <c r="U513" s="49"/>
      <c r="V513" s="49"/>
      <c r="W513" s="49"/>
      <c r="X513" s="49"/>
      <c r="Y513" s="49"/>
      <c r="Z513" s="49"/>
    </row>
    <row r="514">
      <c r="A514" s="49" t="str">
        <f>IFERROR(__xludf.DUMMYFUNCTION("""COMPUTED_VALUE"""),"Ring o' Debonair and Light")</f>
        <v>Ring o' Debonair and Light</v>
      </c>
      <c r="B514" s="49"/>
      <c r="C514" s="49"/>
      <c r="D514" s="49" t="str">
        <f>IFERROR(__xludf.DUMMYFUNCTION("""COMPUTED_VALUE"""),"Ring")</f>
        <v>Ring</v>
      </c>
      <c r="E514" s="49">
        <f>IFERROR(__xludf.DUMMYFUNCTION("""COMPUTED_VALUE"""),1.0)</f>
        <v>1</v>
      </c>
      <c r="F514" s="49" t="str">
        <f>IFERROR(__xludf.DUMMYFUNCTION("""COMPUTED_VALUE""")," ++Grants Immunity to Light. +5 to Charisma. +-Can only equip one +-Cannot be duplicated")</f>
        <v> ++Grants Immunity to Light. +5 to Charisma. +-Can only equip one +-Cannot be duplicated</v>
      </c>
      <c r="G514" s="49">
        <f>IFERROR(__xludf.DUMMYFUNCTION("""COMPUTED_VALUE"""),0.0)</f>
        <v>0</v>
      </c>
      <c r="H514" s="49"/>
      <c r="I514" s="49"/>
      <c r="J514" s="49"/>
      <c r="K514" s="49"/>
      <c r="L514" s="49"/>
      <c r="M514" s="49"/>
      <c r="N514" s="49"/>
      <c r="O514" s="49"/>
      <c r="P514" s="49"/>
      <c r="Q514" s="49"/>
      <c r="R514" s="49"/>
      <c r="S514" s="49"/>
      <c r="T514" s="49"/>
      <c r="U514" s="49"/>
      <c r="V514" s="49"/>
      <c r="W514" s="49"/>
      <c r="X514" s="49"/>
      <c r="Y514" s="49"/>
      <c r="Z514" s="49"/>
    </row>
    <row r="515">
      <c r="A515" s="49" t="str">
        <f>IFERROR(__xludf.DUMMYFUNCTION("""COMPUTED_VALUE"""),"Ring o' Spite and Blood")</f>
        <v>Ring o' Spite and Blood</v>
      </c>
      <c r="B515" s="49"/>
      <c r="C515" s="49"/>
      <c r="D515" s="49" t="str">
        <f>IFERROR(__xludf.DUMMYFUNCTION("""COMPUTED_VALUE"""),"Ring")</f>
        <v>Ring</v>
      </c>
      <c r="E515" s="49">
        <f>IFERROR(__xludf.DUMMYFUNCTION("""COMPUTED_VALUE"""),1.0)</f>
        <v>1</v>
      </c>
      <c r="F515" s="49"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49">
        <f>IFERROR(__xludf.DUMMYFUNCTION("""COMPUTED_VALUE"""),0.0)</f>
        <v>0</v>
      </c>
      <c r="H515" s="49"/>
      <c r="I515" s="49"/>
      <c r="J515" s="49"/>
      <c r="K515" s="49"/>
      <c r="L515" s="49"/>
      <c r="M515" s="49"/>
      <c r="N515" s="49"/>
      <c r="O515" s="49"/>
      <c r="P515" s="49"/>
      <c r="Q515" s="49"/>
      <c r="R515" s="49"/>
      <c r="S515" s="49"/>
      <c r="T515" s="49"/>
      <c r="U515" s="49"/>
      <c r="V515" s="49"/>
      <c r="W515" s="49"/>
      <c r="X515" s="49"/>
      <c r="Y515" s="49"/>
      <c r="Z515" s="49"/>
    </row>
    <row r="516">
      <c r="A516" s="49" t="str">
        <f>IFERROR(__xludf.DUMMYFUNCTION("""COMPUTED_VALUE"""),"Ring o' Neurodivergence and Spirit")</f>
        <v>Ring o' Neurodivergence and Spirit</v>
      </c>
      <c r="B516" s="49"/>
      <c r="C516" s="49"/>
      <c r="D516" s="49" t="str">
        <f>IFERROR(__xludf.DUMMYFUNCTION("""COMPUTED_VALUE"""),"Ring")</f>
        <v>Ring</v>
      </c>
      <c r="E516" s="49">
        <f>IFERROR(__xludf.DUMMYFUNCTION("""COMPUTED_VALUE"""),1.0)</f>
        <v>1</v>
      </c>
      <c r="F516" s="49"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49">
        <f>IFERROR(__xludf.DUMMYFUNCTION("""COMPUTED_VALUE"""),0.0)</f>
        <v>0</v>
      </c>
      <c r="H516" s="49"/>
      <c r="I516" s="49"/>
      <c r="J516" s="49"/>
      <c r="K516" s="49"/>
      <c r="L516" s="49"/>
      <c r="M516" s="49"/>
      <c r="N516" s="49"/>
      <c r="O516" s="49"/>
      <c r="P516" s="49"/>
      <c r="Q516" s="49"/>
      <c r="R516" s="49"/>
      <c r="S516" s="49"/>
      <c r="T516" s="49"/>
      <c r="U516" s="49"/>
      <c r="V516" s="49"/>
      <c r="W516" s="49"/>
      <c r="X516" s="49"/>
      <c r="Y516" s="49"/>
      <c r="Z516" s="49"/>
    </row>
    <row r="517">
      <c r="A517" s="49" t="str">
        <f>IFERROR(__xludf.DUMMYFUNCTION("""COMPUTED_VALUE"""),"Ring o' Impassivity and Storm")</f>
        <v>Ring o' Impassivity and Storm</v>
      </c>
      <c r="B517" s="49"/>
      <c r="C517" s="49"/>
      <c r="D517" s="49" t="str">
        <f>IFERROR(__xludf.DUMMYFUNCTION("""COMPUTED_VALUE"""),"Ring")</f>
        <v>Ring</v>
      </c>
      <c r="E517" s="49">
        <f>IFERROR(__xludf.DUMMYFUNCTION("""COMPUTED_VALUE"""),1.0)</f>
        <v>1</v>
      </c>
      <c r="F517" s="49"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49">
        <f>IFERROR(__xludf.DUMMYFUNCTION("""COMPUTED_VALUE"""),0.0)</f>
        <v>0</v>
      </c>
      <c r="H517" s="49"/>
      <c r="I517" s="49"/>
      <c r="J517" s="49"/>
      <c r="K517" s="49"/>
      <c r="L517" s="49"/>
      <c r="M517" s="49"/>
      <c r="N517" s="49"/>
      <c r="O517" s="49"/>
      <c r="P517" s="49"/>
      <c r="Q517" s="49"/>
      <c r="R517" s="49"/>
      <c r="S517" s="49"/>
      <c r="T517" s="49"/>
      <c r="U517" s="49"/>
      <c r="V517" s="49"/>
      <c r="W517" s="49"/>
      <c r="X517" s="49"/>
      <c r="Y517" s="49"/>
      <c r="Z517" s="49"/>
    </row>
    <row r="518">
      <c r="A518" s="49" t="str">
        <f>IFERROR(__xludf.DUMMYFUNCTION("""COMPUTED_VALUE"""),"Ring o' Rigidity and Stasis")</f>
        <v>Ring o' Rigidity and Stasis</v>
      </c>
      <c r="B518" s="49"/>
      <c r="C518" s="49"/>
      <c r="D518" s="49" t="str">
        <f>IFERROR(__xludf.DUMMYFUNCTION("""COMPUTED_VALUE"""),"Ring")</f>
        <v>Ring</v>
      </c>
      <c r="E518" s="49">
        <f>IFERROR(__xludf.DUMMYFUNCTION("""COMPUTED_VALUE"""),1.0)</f>
        <v>1</v>
      </c>
      <c r="F518" s="49"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49">
        <f>IFERROR(__xludf.DUMMYFUNCTION("""COMPUTED_VALUE"""),0.0)</f>
        <v>0</v>
      </c>
      <c r="H518" s="49"/>
      <c r="I518" s="49"/>
      <c r="J518" s="49"/>
      <c r="K518" s="49"/>
      <c r="L518" s="49"/>
      <c r="M518" s="49"/>
      <c r="N518" s="49"/>
      <c r="O518" s="49"/>
      <c r="P518" s="49"/>
      <c r="Q518" s="49"/>
      <c r="R518" s="49"/>
      <c r="S518" s="49"/>
      <c r="T518" s="49"/>
      <c r="U518" s="49"/>
      <c r="V518" s="49"/>
      <c r="W518" s="49"/>
      <c r="X518" s="49"/>
      <c r="Y518" s="49"/>
      <c r="Z518" s="49"/>
    </row>
    <row r="519">
      <c r="A519" s="49" t="str">
        <f>IFERROR(__xludf.DUMMYFUNCTION("""COMPUTED_VALUE"""),"Ring o' Loyalty and Celestial")</f>
        <v>Ring o' Loyalty and Celestial</v>
      </c>
      <c r="B519" s="49"/>
      <c r="C519" s="49"/>
      <c r="D519" s="49" t="str">
        <f>IFERROR(__xludf.DUMMYFUNCTION("""COMPUTED_VALUE"""),"Ring")</f>
        <v>Ring</v>
      </c>
      <c r="E519" s="49">
        <f>IFERROR(__xludf.DUMMYFUNCTION("""COMPUTED_VALUE"""),1.0)</f>
        <v>1</v>
      </c>
      <c r="F519" s="49" t="str">
        <f>IFERROR(__xludf.DUMMYFUNCTION("""COMPUTED_VALUE""")," ++Grants X6 Celestial damage. Take half damage from celestial. +-Can only equip one +-Cannot be duplicated")</f>
        <v> ++Grants X6 Celestial damage. Take half damage from celestial. +-Can only equip one +-Cannot be duplicated</v>
      </c>
      <c r="G519" s="49">
        <f>IFERROR(__xludf.DUMMYFUNCTION("""COMPUTED_VALUE"""),0.0)</f>
        <v>0</v>
      </c>
      <c r="H519" s="49"/>
      <c r="I519" s="49"/>
      <c r="J519" s="49"/>
      <c r="K519" s="49"/>
      <c r="L519" s="49"/>
      <c r="M519" s="49"/>
      <c r="N519" s="49"/>
      <c r="O519" s="49"/>
      <c r="P519" s="49"/>
      <c r="Q519" s="49"/>
      <c r="R519" s="49"/>
      <c r="S519" s="49"/>
      <c r="T519" s="49"/>
      <c r="U519" s="49"/>
      <c r="V519" s="49"/>
      <c r="W519" s="49"/>
      <c r="X519" s="49"/>
      <c r="Y519" s="49"/>
      <c r="Z519" s="49"/>
    </row>
    <row r="520">
      <c r="A520" s="49" t="str">
        <f>IFERROR(__xludf.DUMMYFUNCTION("""COMPUTED_VALUE"""),"Ring o' Arrogance and Twilight")</f>
        <v>Ring o' Arrogance and Twilight</v>
      </c>
      <c r="B520" s="49"/>
      <c r="C520" s="49"/>
      <c r="D520" s="49" t="str">
        <f>IFERROR(__xludf.DUMMYFUNCTION("""COMPUTED_VALUE"""),"Ring")</f>
        <v>Ring</v>
      </c>
      <c r="E520" s="49">
        <f>IFERROR(__xludf.DUMMYFUNCTION("""COMPUTED_VALUE"""),1.0)</f>
        <v>1</v>
      </c>
      <c r="F520" s="49"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49">
        <f>IFERROR(__xludf.DUMMYFUNCTION("""COMPUTED_VALUE"""),0.0)</f>
        <v>0</v>
      </c>
      <c r="H520" s="49"/>
      <c r="I520" s="49"/>
      <c r="J520" s="49"/>
      <c r="K520" s="49"/>
      <c r="L520" s="49"/>
      <c r="M520" s="49"/>
      <c r="N520" s="49"/>
      <c r="O520" s="49"/>
      <c r="P520" s="49"/>
      <c r="Q520" s="49"/>
      <c r="R520" s="49"/>
      <c r="S520" s="49"/>
      <c r="T520" s="49"/>
      <c r="U520" s="49"/>
      <c r="V520" s="49"/>
      <c r="W520" s="49"/>
      <c r="X520" s="49"/>
      <c r="Y520" s="49"/>
      <c r="Z520" s="49"/>
    </row>
    <row r="521">
      <c r="A521" s="49" t="str">
        <f>IFERROR(__xludf.DUMMYFUNCTION("""COMPUTED_VALUE"""),"Ring o' Grace and Astral")</f>
        <v>Ring o' Grace and Astral</v>
      </c>
      <c r="B521" s="49"/>
      <c r="C521" s="49"/>
      <c r="D521" s="49" t="str">
        <f>IFERROR(__xludf.DUMMYFUNCTION("""COMPUTED_VALUE"""),"Ring")</f>
        <v>Ring</v>
      </c>
      <c r="E521" s="49">
        <f>IFERROR(__xludf.DUMMYFUNCTION("""COMPUTED_VALUE"""),1.0)</f>
        <v>1</v>
      </c>
      <c r="F521" s="49"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49">
        <f>IFERROR(__xludf.DUMMYFUNCTION("""COMPUTED_VALUE"""),0.0)</f>
        <v>0</v>
      </c>
      <c r="H521" s="49"/>
      <c r="I521" s="49"/>
      <c r="J521" s="49"/>
      <c r="K521" s="49"/>
      <c r="L521" s="49"/>
      <c r="M521" s="49"/>
      <c r="N521" s="49"/>
      <c r="O521" s="49"/>
      <c r="P521" s="49"/>
      <c r="Q521" s="49"/>
      <c r="R521" s="49"/>
      <c r="S521" s="49"/>
      <c r="T521" s="49"/>
      <c r="U521" s="49"/>
      <c r="V521" s="49"/>
      <c r="W521" s="49"/>
      <c r="X521" s="49"/>
      <c r="Y521" s="49"/>
      <c r="Z521" s="49"/>
    </row>
    <row r="522">
      <c r="A522" s="49" t="str">
        <f>IFERROR(__xludf.DUMMYFUNCTION("""COMPUTED_VALUE"""),"Ring o' Villainy and Voodoo")</f>
        <v>Ring o' Villainy and Voodoo</v>
      </c>
      <c r="B522" s="49"/>
      <c r="C522" s="49"/>
      <c r="D522" s="49" t="str">
        <f>IFERROR(__xludf.DUMMYFUNCTION("""COMPUTED_VALUE"""),"Ring")</f>
        <v>Ring</v>
      </c>
      <c r="E522" s="49">
        <f>IFERROR(__xludf.DUMMYFUNCTION("""COMPUTED_VALUE"""),1.0)</f>
        <v>1</v>
      </c>
      <c r="F522" s="49"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49">
        <f>IFERROR(__xludf.DUMMYFUNCTION("""COMPUTED_VALUE"""),0.0)</f>
        <v>0</v>
      </c>
      <c r="H522" s="49"/>
      <c r="I522" s="49"/>
      <c r="J522" s="49"/>
      <c r="K522" s="49"/>
      <c r="L522" s="49"/>
      <c r="M522" s="49"/>
      <c r="N522" s="49"/>
      <c r="O522" s="49"/>
      <c r="P522" s="49"/>
      <c r="Q522" s="49"/>
      <c r="R522" s="49"/>
      <c r="S522" s="49"/>
      <c r="T522" s="49"/>
      <c r="U522" s="49"/>
      <c r="V522" s="49"/>
      <c r="W522" s="49"/>
      <c r="X522" s="49"/>
      <c r="Y522" s="49"/>
      <c r="Z522" s="49"/>
    </row>
    <row r="523">
      <c r="A523" s="49" t="str">
        <f>IFERROR(__xludf.DUMMYFUNCTION("""COMPUTED_VALUE"""),"The Bow of The Verdant Forest")</f>
        <v>The Bow of The Verdant Forest</v>
      </c>
      <c r="B523" s="49" t="str">
        <f>IFERROR(__xludf.DUMMYFUNCTION("""COMPUTED_VALUE"""),"Quest Item")</f>
        <v>Quest Item</v>
      </c>
      <c r="C523" s="49"/>
      <c r="D523" s="49" t="str">
        <f>IFERROR(__xludf.DUMMYFUNCTION("""COMPUTED_VALUE"""),"Hand")</f>
        <v>Hand</v>
      </c>
      <c r="E523" s="49">
        <f>IFERROR(__xludf.DUMMYFUNCTION("""COMPUTED_VALUE"""),200.0)</f>
        <v>200</v>
      </c>
      <c r="F523" s="49"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49">
        <f>IFERROR(__xludf.DUMMYFUNCTION("""COMPUTED_VALUE"""),8.385E7)</f>
        <v>83850000</v>
      </c>
      <c r="H523" s="49"/>
      <c r="I523" s="49"/>
      <c r="J523" s="49"/>
      <c r="K523" s="49"/>
      <c r="L523" s="49"/>
      <c r="M523" s="49"/>
      <c r="N523" s="49"/>
      <c r="O523" s="49"/>
      <c r="P523" s="49"/>
      <c r="Q523" s="49"/>
      <c r="R523" s="49"/>
      <c r="S523" s="49"/>
      <c r="T523" s="49"/>
      <c r="U523" s="49"/>
      <c r="V523" s="49"/>
      <c r="W523" s="49"/>
      <c r="X523" s="49"/>
      <c r="Y523" s="49"/>
      <c r="Z523" s="49"/>
    </row>
    <row r="524">
      <c r="A524" s="49" t="str">
        <f>IFERROR(__xludf.DUMMYFUNCTION("""COMPUTED_VALUE"""),"Enchanted Wooden Buckler of The Verdant Forest")</f>
        <v>Enchanted Wooden Buckler of The Verdant Forest</v>
      </c>
      <c r="B524" s="49" t="str">
        <f>IFERROR(__xludf.DUMMYFUNCTION("""COMPUTED_VALUE"""),"Quest Item")</f>
        <v>Quest Item</v>
      </c>
      <c r="C524" s="49"/>
      <c r="D524" s="49" t="str">
        <f>IFERROR(__xludf.DUMMYFUNCTION("""COMPUTED_VALUE"""),"Hand")</f>
        <v>Hand</v>
      </c>
      <c r="E524" s="49">
        <f>IFERROR(__xludf.DUMMYFUNCTION("""COMPUTED_VALUE"""),200.0)</f>
        <v>200</v>
      </c>
      <c r="F524" s="49"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49">
        <f>IFERROR(__xludf.DUMMYFUNCTION("""COMPUTED_VALUE"""),3.1125E8)</f>
        <v>311250000</v>
      </c>
      <c r="H524" s="49"/>
      <c r="I524" s="49"/>
      <c r="J524" s="49"/>
      <c r="K524" s="49"/>
      <c r="L524" s="49"/>
      <c r="M524" s="49"/>
      <c r="N524" s="49"/>
      <c r="O524" s="49"/>
      <c r="P524" s="49"/>
      <c r="Q524" s="49"/>
      <c r="R524" s="49"/>
      <c r="S524" s="49"/>
      <c r="T524" s="49"/>
      <c r="U524" s="49"/>
      <c r="V524" s="49"/>
      <c r="W524" s="49"/>
      <c r="X524" s="49"/>
      <c r="Y524" s="49"/>
      <c r="Z524" s="49"/>
    </row>
    <row r="525">
      <c r="A525" s="49" t="str">
        <f>IFERROR(__xludf.DUMMYFUNCTION("""COMPUTED_VALUE"""),"Cowl of the Eagle's Sight")</f>
        <v>Cowl of the Eagle's Sight</v>
      </c>
      <c r="B525" s="49" t="str">
        <f>IFERROR(__xludf.DUMMYFUNCTION("""COMPUTED_VALUE"""),"Quest Item")</f>
        <v>Quest Item</v>
      </c>
      <c r="C525" s="49"/>
      <c r="D525" s="49" t="str">
        <f>IFERROR(__xludf.DUMMYFUNCTION("""COMPUTED_VALUE"""),"Head")</f>
        <v>Head</v>
      </c>
      <c r="E525" s="49">
        <f>IFERROR(__xludf.DUMMYFUNCTION("""COMPUTED_VALUE"""),200.0)</f>
        <v>200</v>
      </c>
      <c r="F525" s="49"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49">
        <f>IFERROR(__xludf.DUMMYFUNCTION("""COMPUTED_VALUE"""),4.95E7)</f>
        <v>49500000</v>
      </c>
      <c r="H525" s="49"/>
      <c r="I525" s="49"/>
      <c r="J525" s="49"/>
      <c r="K525" s="49"/>
      <c r="L525" s="49"/>
      <c r="M525" s="49"/>
      <c r="N525" s="49"/>
      <c r="O525" s="49"/>
      <c r="P525" s="49"/>
      <c r="Q525" s="49"/>
      <c r="R525" s="49"/>
      <c r="S525" s="49"/>
      <c r="T525" s="49"/>
      <c r="U525" s="49"/>
      <c r="V525" s="49"/>
      <c r="W525" s="49"/>
      <c r="X525" s="49"/>
      <c r="Y525" s="49"/>
      <c r="Z525" s="49"/>
    </row>
    <row r="526">
      <c r="A526" s="49" t="str">
        <f>IFERROR(__xludf.DUMMYFUNCTION("""COMPUTED_VALUE"""),"Ailettes of the Forest's Splendor")</f>
        <v>Ailettes of the Forest's Splendor</v>
      </c>
      <c r="B526" s="49" t="str">
        <f>IFERROR(__xludf.DUMMYFUNCTION("""COMPUTED_VALUE"""),"Quest Item")</f>
        <v>Quest Item</v>
      </c>
      <c r="C526" s="49"/>
      <c r="D526" s="49" t="str">
        <f>IFERROR(__xludf.DUMMYFUNCTION("""COMPUTED_VALUE"""),"Shoulders")</f>
        <v>Shoulders</v>
      </c>
      <c r="E526" s="49">
        <f>IFERROR(__xludf.DUMMYFUNCTION("""COMPUTED_VALUE"""),200.0)</f>
        <v>200</v>
      </c>
      <c r="F526" s="49"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49">
        <f>IFERROR(__xludf.DUMMYFUNCTION("""COMPUTED_VALUE"""),4.95E7)</f>
        <v>49500000</v>
      </c>
      <c r="H526" s="49"/>
      <c r="I526" s="49"/>
      <c r="J526" s="49"/>
      <c r="K526" s="49"/>
      <c r="L526" s="49"/>
      <c r="M526" s="49"/>
      <c r="N526" s="49"/>
      <c r="O526" s="49"/>
      <c r="P526" s="49"/>
      <c r="Q526" s="49"/>
      <c r="R526" s="49"/>
      <c r="S526" s="49"/>
      <c r="T526" s="49"/>
      <c r="U526" s="49"/>
      <c r="V526" s="49"/>
      <c r="W526" s="49"/>
      <c r="X526" s="49"/>
      <c r="Y526" s="49"/>
      <c r="Z526" s="49"/>
    </row>
    <row r="527">
      <c r="A527" s="49" t="str">
        <f>IFERROR(__xludf.DUMMYFUNCTION("""COMPUTED_VALUE"""),"Bracer of Trueshot")</f>
        <v>Bracer of Trueshot</v>
      </c>
      <c r="B527" s="49" t="str">
        <f>IFERROR(__xludf.DUMMYFUNCTION("""COMPUTED_VALUE"""),"Quest Item")</f>
        <v>Quest Item</v>
      </c>
      <c r="C527" s="49"/>
      <c r="D527" s="49" t="str">
        <f>IFERROR(__xludf.DUMMYFUNCTION("""COMPUTED_VALUE"""),"Arms")</f>
        <v>Arms</v>
      </c>
      <c r="E527" s="49">
        <f>IFERROR(__xludf.DUMMYFUNCTION("""COMPUTED_VALUE"""),200.0)</f>
        <v>200</v>
      </c>
      <c r="F527" s="49"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49">
        <f>IFERROR(__xludf.DUMMYFUNCTION("""COMPUTED_VALUE"""),4.95E7)</f>
        <v>49500000</v>
      </c>
      <c r="H527" s="49"/>
      <c r="I527" s="49"/>
      <c r="J527" s="49"/>
      <c r="K527" s="49"/>
      <c r="L527" s="49"/>
      <c r="M527" s="49"/>
      <c r="N527" s="49"/>
      <c r="O527" s="49"/>
      <c r="P527" s="49"/>
      <c r="Q527" s="49"/>
      <c r="R527" s="49"/>
      <c r="S527" s="49"/>
      <c r="T527" s="49"/>
      <c r="U527" s="49"/>
      <c r="V527" s="49"/>
      <c r="W527" s="49"/>
      <c r="X527" s="49"/>
      <c r="Y527" s="49"/>
      <c r="Z527" s="49"/>
    </row>
    <row r="528">
      <c r="A528" s="49" t="str">
        <f>IFERROR(__xludf.DUMMYFUNCTION("""COMPUTED_VALUE"""),"Leather Cuirass of Barkskin")</f>
        <v>Leather Cuirass of Barkskin</v>
      </c>
      <c r="B528" s="49" t="str">
        <f>IFERROR(__xludf.DUMMYFUNCTION("""COMPUTED_VALUE"""),"Quest Item")</f>
        <v>Quest Item</v>
      </c>
      <c r="C528" s="49"/>
      <c r="D528" s="49" t="str">
        <f>IFERROR(__xludf.DUMMYFUNCTION("""COMPUTED_VALUE"""),"Torso")</f>
        <v>Torso</v>
      </c>
      <c r="E528" s="49">
        <f>IFERROR(__xludf.DUMMYFUNCTION("""COMPUTED_VALUE"""),200.0)</f>
        <v>200</v>
      </c>
      <c r="F528" s="49"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49">
        <f>IFERROR(__xludf.DUMMYFUNCTION("""COMPUTED_VALUE"""),1.1175E8)</f>
        <v>111750000</v>
      </c>
      <c r="H528" s="49"/>
      <c r="I528" s="49"/>
      <c r="J528" s="49"/>
      <c r="K528" s="49"/>
      <c r="L528" s="49"/>
      <c r="M528" s="49"/>
      <c r="N528" s="49"/>
      <c r="O528" s="49"/>
      <c r="P528" s="49"/>
      <c r="Q528" s="49"/>
      <c r="R528" s="49"/>
      <c r="S528" s="49"/>
      <c r="T528" s="49"/>
      <c r="U528" s="49"/>
      <c r="V528" s="49"/>
      <c r="W528" s="49"/>
      <c r="X528" s="49"/>
      <c r="Y528" s="49"/>
      <c r="Z528" s="49"/>
    </row>
    <row r="529">
      <c r="A529" s="49" t="str">
        <f>IFERROR(__xludf.DUMMYFUNCTION("""COMPUTED_VALUE"""),"Greaves of The Verdant Forest")</f>
        <v>Greaves of The Verdant Forest</v>
      </c>
      <c r="B529" s="49" t="str">
        <f>IFERROR(__xludf.DUMMYFUNCTION("""COMPUTED_VALUE"""),"Quest Item")</f>
        <v>Quest Item</v>
      </c>
      <c r="C529" s="49"/>
      <c r="D529" s="49" t="str">
        <f>IFERROR(__xludf.DUMMYFUNCTION("""COMPUTED_VALUE"""),"Legs")</f>
        <v>Legs</v>
      </c>
      <c r="E529" s="49">
        <f>IFERROR(__xludf.DUMMYFUNCTION("""COMPUTED_VALUE"""),200.0)</f>
        <v>200</v>
      </c>
      <c r="F529" s="49"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49">
        <f>IFERROR(__xludf.DUMMYFUNCTION("""COMPUTED_VALUE"""),4.95E7)</f>
        <v>49500000</v>
      </c>
      <c r="H529" s="49"/>
      <c r="I529" s="49"/>
      <c r="J529" s="49"/>
      <c r="K529" s="49"/>
      <c r="L529" s="49"/>
      <c r="M529" s="49"/>
      <c r="N529" s="49"/>
      <c r="O529" s="49"/>
      <c r="P529" s="49"/>
      <c r="Q529" s="49"/>
      <c r="R529" s="49"/>
      <c r="S529" s="49"/>
      <c r="T529" s="49"/>
      <c r="U529" s="49"/>
      <c r="V529" s="49"/>
      <c r="W529" s="49"/>
      <c r="X529" s="49"/>
      <c r="Y529" s="49"/>
      <c r="Z529" s="49"/>
    </row>
    <row r="530">
      <c r="A530" s="49" t="str">
        <f>IFERROR(__xludf.DUMMYFUNCTION("""COMPUTED_VALUE"""),"Boots of The Verdant Forest")</f>
        <v>Boots of The Verdant Forest</v>
      </c>
      <c r="B530" s="49" t="str">
        <f>IFERROR(__xludf.DUMMYFUNCTION("""COMPUTED_VALUE"""),"Quest Item")</f>
        <v>Quest Item</v>
      </c>
      <c r="C530" s="49"/>
      <c r="D530" s="49" t="str">
        <f>IFERROR(__xludf.DUMMYFUNCTION("""COMPUTED_VALUE"""),"Feet")</f>
        <v>Feet</v>
      </c>
      <c r="E530" s="49">
        <f>IFERROR(__xludf.DUMMYFUNCTION("""COMPUTED_VALUE"""),200.0)</f>
        <v>200</v>
      </c>
      <c r="F530" s="49"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49">
        <f>IFERROR(__xludf.DUMMYFUNCTION("""COMPUTED_VALUE"""),4.95E7)</f>
        <v>49500000</v>
      </c>
      <c r="H530" s="49"/>
      <c r="I530" s="49"/>
      <c r="J530" s="49"/>
      <c r="K530" s="49"/>
      <c r="L530" s="49"/>
      <c r="M530" s="49"/>
      <c r="N530" s="49"/>
      <c r="O530" s="49"/>
      <c r="P530" s="49"/>
      <c r="Q530" s="49"/>
      <c r="R530" s="49"/>
      <c r="S530" s="49"/>
      <c r="T530" s="49"/>
      <c r="U530" s="49"/>
      <c r="V530" s="49"/>
      <c r="W530" s="49"/>
      <c r="X530" s="49"/>
      <c r="Y530" s="49"/>
      <c r="Z530" s="49"/>
    </row>
    <row r="531">
      <c r="A531" s="49" t="str">
        <f>IFERROR(__xludf.DUMMYFUNCTION("""COMPUTED_VALUE"""),"Emerald Ring of The Forest")</f>
        <v>Emerald Ring of The Forest</v>
      </c>
      <c r="B531" s="49" t="str">
        <f>IFERROR(__xludf.DUMMYFUNCTION("""COMPUTED_VALUE"""),"Quest Item")</f>
        <v>Quest Item</v>
      </c>
      <c r="C531" s="49"/>
      <c r="D531" s="49" t="str">
        <f>IFERROR(__xludf.DUMMYFUNCTION("""COMPUTED_VALUE"""),"Ring")</f>
        <v>Ring</v>
      </c>
      <c r="E531" s="49">
        <f>IFERROR(__xludf.DUMMYFUNCTION("""COMPUTED_VALUE"""),1.0)</f>
        <v>1</v>
      </c>
      <c r="F531" s="49"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49">
        <f>IFERROR(__xludf.DUMMYFUNCTION("""COMPUTED_VALUE"""),0.0)</f>
        <v>0</v>
      </c>
      <c r="H531" s="49"/>
      <c r="I531" s="49"/>
      <c r="J531" s="49"/>
      <c r="K531" s="49"/>
      <c r="L531" s="49"/>
      <c r="M531" s="49"/>
      <c r="N531" s="49"/>
      <c r="O531" s="49"/>
      <c r="P531" s="49"/>
      <c r="Q531" s="49"/>
      <c r="R531" s="49"/>
      <c r="S531" s="49"/>
      <c r="T531" s="49"/>
      <c r="U531" s="49"/>
      <c r="V531" s="49"/>
      <c r="W531" s="49"/>
      <c r="X531" s="49"/>
      <c r="Y531" s="49"/>
      <c r="Z531" s="49"/>
    </row>
    <row r="532">
      <c r="A532" s="49" t="str">
        <f>IFERROR(__xludf.DUMMYFUNCTION("""COMPUTED_VALUE"""),"Emerald Amulet of The Forest")</f>
        <v>Emerald Amulet of The Forest</v>
      </c>
      <c r="B532" s="49" t="str">
        <f>IFERROR(__xludf.DUMMYFUNCTION("""COMPUTED_VALUE"""),"Quest Item")</f>
        <v>Quest Item</v>
      </c>
      <c r="C532" s="49"/>
      <c r="D532" s="49" t="str">
        <f>IFERROR(__xludf.DUMMYFUNCTION("""COMPUTED_VALUE"""),"Neck")</f>
        <v>Neck</v>
      </c>
      <c r="E532" s="49">
        <f>IFERROR(__xludf.DUMMYFUNCTION("""COMPUTED_VALUE"""),1.0)</f>
        <v>1</v>
      </c>
      <c r="F532" s="49"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49">
        <f>IFERROR(__xludf.DUMMYFUNCTION("""COMPUTED_VALUE"""),0.0)</f>
        <v>0</v>
      </c>
      <c r="H532" s="49"/>
      <c r="I532" s="49"/>
      <c r="J532" s="49"/>
      <c r="K532" s="49"/>
      <c r="L532" s="49"/>
      <c r="M532" s="49"/>
      <c r="N532" s="49"/>
      <c r="O532" s="49"/>
      <c r="P532" s="49"/>
      <c r="Q532" s="49"/>
      <c r="R532" s="49"/>
      <c r="S532" s="49"/>
      <c r="T532" s="49"/>
      <c r="U532" s="49"/>
      <c r="V532" s="49"/>
      <c r="W532" s="49"/>
      <c r="X532" s="49"/>
      <c r="Y532" s="49"/>
      <c r="Z532" s="49"/>
    </row>
    <row r="533">
      <c r="A533" s="49" t="str">
        <f>IFERROR(__xludf.DUMMYFUNCTION("""COMPUTED_VALUE"""),"Artemis' Crown of The Forest")</f>
        <v>Artemis' Crown of The Forest</v>
      </c>
      <c r="B533" s="49" t="str">
        <f>IFERROR(__xludf.DUMMYFUNCTION("""COMPUTED_VALUE"""),"Mob Exclusive. The crown that was gifted to Aranyani upon her ascension to godhood")</f>
        <v>Mob Exclusive. The crown that was gifted to Aranyani upon her ascension to godhood</v>
      </c>
      <c r="C533" s="49"/>
      <c r="D533" s="49" t="str">
        <f>IFERROR(__xludf.DUMMYFUNCTION("""COMPUTED_VALUE"""),"Head")</f>
        <v>Head</v>
      </c>
      <c r="E533" s="49">
        <f>IFERROR(__xludf.DUMMYFUNCTION("""COMPUTED_VALUE"""),2000.0)</f>
        <v>2000</v>
      </c>
      <c r="F533" s="49"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49">
        <f>IFERROR(__xludf.DUMMYFUNCTION("""COMPUTED_VALUE"""),1.99E8)</f>
        <v>199000000</v>
      </c>
      <c r="H533" s="49"/>
      <c r="I533" s="49"/>
      <c r="J533" s="49"/>
      <c r="K533" s="49"/>
      <c r="L533" s="49"/>
      <c r="M533" s="49"/>
      <c r="N533" s="49"/>
      <c r="O533" s="49"/>
      <c r="P533" s="49"/>
      <c r="Q533" s="49"/>
      <c r="R533" s="49"/>
      <c r="S533" s="49"/>
      <c r="T533" s="49"/>
      <c r="U533" s="49"/>
      <c r="V533" s="49"/>
      <c r="W533" s="49"/>
      <c r="X533" s="49"/>
      <c r="Y533" s="49"/>
      <c r="Z533" s="49"/>
    </row>
    <row r="534">
      <c r="A534" s="49" t="str">
        <f>IFERROR(__xludf.DUMMYFUNCTION("""COMPUTED_VALUE"""),"Artemis' Bow of Divine Wrath")</f>
        <v>Artemis' Bow of Divine Wrath</v>
      </c>
      <c r="B534" s="49" t="str">
        <f>IFERROR(__xludf.DUMMYFUNCTION("""COMPUTED_VALUE"""),"Mob Exclusive.")</f>
        <v>Mob Exclusive.</v>
      </c>
      <c r="C534" s="49" t="str">
        <f>IFERROR(__xludf.DUMMYFUNCTION("""COMPUTED_VALUE"""),"Bow")</f>
        <v>Bow</v>
      </c>
      <c r="D534" s="49" t="str">
        <f>IFERROR(__xludf.DUMMYFUNCTION("""COMPUTED_VALUE"""),"Hand")</f>
        <v>Hand</v>
      </c>
      <c r="E534" s="49">
        <f>IFERROR(__xludf.DUMMYFUNCTION("""COMPUTED_VALUE"""),12000.0)</f>
        <v>12000</v>
      </c>
      <c r="F534" s="49"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49">
        <f>IFERROR(__xludf.DUMMYFUNCTION("""COMPUTED_VALUE"""),7.194E9)</f>
        <v>7194000000</v>
      </c>
      <c r="H534" s="49"/>
      <c r="I534" s="49"/>
      <c r="J534" s="49"/>
      <c r="K534" s="49"/>
      <c r="L534" s="49"/>
      <c r="M534" s="49"/>
      <c r="N534" s="49"/>
      <c r="O534" s="49"/>
      <c r="P534" s="49"/>
      <c r="Q534" s="49"/>
      <c r="R534" s="49"/>
      <c r="S534" s="49"/>
      <c r="T534" s="49"/>
      <c r="U534" s="49"/>
      <c r="V534" s="49"/>
      <c r="W534" s="49"/>
      <c r="X534" s="49"/>
      <c r="Y534" s="49"/>
      <c r="Z534" s="49"/>
    </row>
    <row r="535">
      <c r="A535" s="49" t="str">
        <f>IFERROR(__xludf.DUMMYFUNCTION("""COMPUTED_VALUE"""),"Artemis' Shield of Divine Grace")</f>
        <v>Artemis' Shield of Divine Grace</v>
      </c>
      <c r="B535" s="49" t="str">
        <f>IFERROR(__xludf.DUMMYFUNCTION("""COMPUTED_VALUE"""),"Mob Exclusive")</f>
        <v>Mob Exclusive</v>
      </c>
      <c r="C535" s="49" t="str">
        <f>IFERROR(__xludf.DUMMYFUNCTION("""COMPUTED_VALUE"""),"Buckler")</f>
        <v>Buckler</v>
      </c>
      <c r="D535" s="49" t="str">
        <f>IFERROR(__xludf.DUMMYFUNCTION("""COMPUTED_VALUE"""),"Hand")</f>
        <v>Hand</v>
      </c>
      <c r="E535" s="49">
        <f>IFERROR(__xludf.DUMMYFUNCTION("""COMPUTED_VALUE"""),6000.0)</f>
        <v>6000</v>
      </c>
      <c r="F535" s="49"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49">
        <f>IFERROR(__xludf.DUMMYFUNCTION("""COMPUTED_VALUE"""),1.797E9)</f>
        <v>1797000000</v>
      </c>
      <c r="H535" s="49"/>
      <c r="I535" s="49"/>
      <c r="J535" s="49"/>
      <c r="K535" s="49"/>
      <c r="L535" s="49"/>
      <c r="M535" s="49"/>
      <c r="N535" s="49"/>
      <c r="O535" s="49"/>
      <c r="P535" s="49"/>
      <c r="Q535" s="49"/>
      <c r="R535" s="49"/>
      <c r="S535" s="49"/>
      <c r="T535" s="49"/>
      <c r="U535" s="49"/>
      <c r="V535" s="49"/>
      <c r="W535" s="49"/>
      <c r="X535" s="49"/>
      <c r="Y535" s="49"/>
      <c r="Z535" s="49"/>
    </row>
    <row r="536">
      <c r="A536" s="49" t="str">
        <f>IFERROR(__xludf.DUMMYFUNCTION("""COMPUTED_VALUE"""),"Artemis' Divine Quiver")</f>
        <v>Artemis' Divine Quiver</v>
      </c>
      <c r="B536" s="49" t="str">
        <f>IFERROR(__xludf.DUMMYFUNCTION("""COMPUTED_VALUE"""),"Mob Exclusive")</f>
        <v>Mob Exclusive</v>
      </c>
      <c r="C536" s="49"/>
      <c r="D536" s="49" t="str">
        <f>IFERROR(__xludf.DUMMYFUNCTION("""COMPUTED_VALUE"""),"Shoulders")</f>
        <v>Shoulders</v>
      </c>
      <c r="E536" s="49">
        <f>IFERROR(__xludf.DUMMYFUNCTION("""COMPUTED_VALUE"""),1.0)</f>
        <v>1</v>
      </c>
      <c r="F536" s="49"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49">
        <f>IFERROR(__xludf.DUMMYFUNCTION("""COMPUTED_VALUE"""),0.0)</f>
        <v>0</v>
      </c>
      <c r="H536" s="49"/>
      <c r="I536" s="49"/>
      <c r="J536" s="49"/>
      <c r="K536" s="49"/>
      <c r="L536" s="49"/>
      <c r="M536" s="49"/>
      <c r="N536" s="49"/>
      <c r="O536" s="49"/>
      <c r="P536" s="49"/>
      <c r="Q536" s="49"/>
      <c r="R536" s="49"/>
      <c r="S536" s="49"/>
      <c r="T536" s="49"/>
      <c r="U536" s="49"/>
      <c r="V536" s="49"/>
      <c r="W536" s="49"/>
      <c r="X536" s="49"/>
      <c r="Y536" s="49"/>
      <c r="Z536" s="49"/>
    </row>
    <row r="537">
      <c r="A537" s="49" t="str">
        <f>IFERROR(__xludf.DUMMYFUNCTION("""COMPUTED_VALUE"""),"Artemis' Toga of Divine Beauty")</f>
        <v>Artemis' Toga of Divine Beauty</v>
      </c>
      <c r="B537" s="49" t="str">
        <f>IFERROR(__xludf.DUMMYFUNCTION("""COMPUTED_VALUE"""),"Mob Exclusive")</f>
        <v>Mob Exclusive</v>
      </c>
      <c r="C537" s="49"/>
      <c r="D537" s="49" t="str">
        <f>IFERROR(__xludf.DUMMYFUNCTION("""COMPUTED_VALUE"""),"Torso")</f>
        <v>Torso</v>
      </c>
      <c r="E537" s="49">
        <f>IFERROR(__xludf.DUMMYFUNCTION("""COMPUTED_VALUE"""),4000.0)</f>
        <v>4000</v>
      </c>
      <c r="F537" s="49"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49">
        <f>IFERROR(__xludf.DUMMYFUNCTION("""COMPUTED_VALUE"""),7.98E8)</f>
        <v>798000000</v>
      </c>
      <c r="H537" s="49"/>
      <c r="I537" s="49"/>
      <c r="J537" s="49"/>
      <c r="K537" s="49"/>
      <c r="L537" s="49"/>
      <c r="M537" s="49"/>
      <c r="N537" s="49"/>
      <c r="O537" s="49"/>
      <c r="P537" s="49"/>
      <c r="Q537" s="49"/>
      <c r="R537" s="49"/>
      <c r="S537" s="49"/>
      <c r="T537" s="49"/>
      <c r="U537" s="49"/>
      <c r="V537" s="49"/>
      <c r="W537" s="49"/>
      <c r="X537" s="49"/>
      <c r="Y537" s="49"/>
      <c r="Z537" s="49"/>
    </row>
    <row r="538">
      <c r="A538" s="49" t="str">
        <f>IFERROR(__xludf.DUMMYFUNCTION("""COMPUTED_VALUE"""),"Artemis' Bracer of The Archer Goddess")</f>
        <v>Artemis' Bracer of The Archer Goddess</v>
      </c>
      <c r="B538" s="49" t="str">
        <f>IFERROR(__xludf.DUMMYFUNCTION("""COMPUTED_VALUE"""),"Mob Exclusive")</f>
        <v>Mob Exclusive</v>
      </c>
      <c r="C538" s="49"/>
      <c r="D538" s="49" t="str">
        <f>IFERROR(__xludf.DUMMYFUNCTION("""COMPUTED_VALUE"""),"Arms")</f>
        <v>Arms</v>
      </c>
      <c r="E538" s="49">
        <f>IFERROR(__xludf.DUMMYFUNCTION("""COMPUTED_VALUE"""),2000.0)</f>
        <v>2000</v>
      </c>
      <c r="F538" s="49"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49">
        <f>IFERROR(__xludf.DUMMYFUNCTION("""COMPUTED_VALUE"""),1.99E8)</f>
        <v>199000000</v>
      </c>
      <c r="H538" s="49"/>
      <c r="I538" s="49"/>
      <c r="J538" s="49"/>
      <c r="K538" s="49"/>
      <c r="L538" s="49"/>
      <c r="M538" s="49"/>
      <c r="N538" s="49"/>
      <c r="O538" s="49"/>
      <c r="P538" s="49"/>
      <c r="Q538" s="49"/>
      <c r="R538" s="49"/>
      <c r="S538" s="49"/>
      <c r="T538" s="49"/>
      <c r="U538" s="49"/>
      <c r="V538" s="49"/>
      <c r="W538" s="49"/>
      <c r="X538" s="49"/>
      <c r="Y538" s="49"/>
      <c r="Z538" s="49"/>
    </row>
    <row r="539">
      <c r="A539" s="49" t="str">
        <f>IFERROR(__xludf.DUMMYFUNCTION("""COMPUTED_VALUE"""),"Artemis' Leggings of Divine Agility")</f>
        <v>Artemis' Leggings of Divine Agility</v>
      </c>
      <c r="B539" s="49" t="str">
        <f>IFERROR(__xludf.DUMMYFUNCTION("""COMPUTED_VALUE"""),"Mob Exclusive")</f>
        <v>Mob Exclusive</v>
      </c>
      <c r="C539" s="49"/>
      <c r="D539" s="49" t="str">
        <f>IFERROR(__xludf.DUMMYFUNCTION("""COMPUTED_VALUE"""),"Legs")</f>
        <v>Legs</v>
      </c>
      <c r="E539" s="49">
        <f>IFERROR(__xludf.DUMMYFUNCTION("""COMPUTED_VALUE"""),2000.0)</f>
        <v>2000</v>
      </c>
      <c r="F539" s="49"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49">
        <f>IFERROR(__xludf.DUMMYFUNCTION("""COMPUTED_VALUE"""),1.99E8)</f>
        <v>199000000</v>
      </c>
      <c r="H539" s="49"/>
      <c r="I539" s="49"/>
      <c r="J539" s="49"/>
      <c r="K539" s="49"/>
      <c r="L539" s="49"/>
      <c r="M539" s="49"/>
      <c r="N539" s="49"/>
      <c r="O539" s="49"/>
      <c r="P539" s="49"/>
      <c r="Q539" s="49"/>
      <c r="R539" s="49"/>
      <c r="S539" s="49"/>
      <c r="T539" s="49"/>
      <c r="U539" s="49"/>
      <c r="V539" s="49"/>
      <c r="W539" s="49"/>
      <c r="X539" s="49"/>
      <c r="Y539" s="49"/>
      <c r="Z539" s="49"/>
    </row>
    <row r="540">
      <c r="A540" s="49" t="str">
        <f>IFERROR(__xludf.DUMMYFUNCTION("""COMPUTED_VALUE"""),"Artemis' Sandals of Divine Speed")</f>
        <v>Artemis' Sandals of Divine Speed</v>
      </c>
      <c r="B540" s="49" t="str">
        <f>IFERROR(__xludf.DUMMYFUNCTION("""COMPUTED_VALUE"""),"Mob Exclusive")</f>
        <v>Mob Exclusive</v>
      </c>
      <c r="C540" s="49"/>
      <c r="D540" s="49" t="str">
        <f>IFERROR(__xludf.DUMMYFUNCTION("""COMPUTED_VALUE"""),"Feet")</f>
        <v>Feet</v>
      </c>
      <c r="E540" s="49">
        <f>IFERROR(__xludf.DUMMYFUNCTION("""COMPUTED_VALUE"""),2000.0)</f>
        <v>2000</v>
      </c>
      <c r="F540" s="49"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49">
        <f>IFERROR(__xludf.DUMMYFUNCTION("""COMPUTED_VALUE"""),1.99E8)</f>
        <v>199000000</v>
      </c>
      <c r="H540" s="49"/>
      <c r="I540" s="49"/>
      <c r="J540" s="49"/>
      <c r="K540" s="49"/>
      <c r="L540" s="49"/>
      <c r="M540" s="49"/>
      <c r="N540" s="49"/>
      <c r="O540" s="49"/>
      <c r="P540" s="49"/>
      <c r="Q540" s="49"/>
      <c r="R540" s="49"/>
      <c r="S540" s="49"/>
      <c r="T540" s="49"/>
      <c r="U540" s="49"/>
      <c r="V540" s="49"/>
      <c r="W540" s="49"/>
      <c r="X540" s="49"/>
      <c r="Y540" s="49"/>
      <c r="Z540" s="49"/>
    </row>
    <row r="541">
      <c r="A541" s="49" t="str">
        <f>IFERROR(__xludf.DUMMYFUNCTION("""COMPUTED_VALUE"""),"Artemis' Ring")</f>
        <v>Artemis' Ring</v>
      </c>
      <c r="B541" s="49" t="str">
        <f>IFERROR(__xludf.DUMMYFUNCTION("""COMPUTED_VALUE"""),"Mob Exclusive")</f>
        <v>Mob Exclusive</v>
      </c>
      <c r="C541" s="49"/>
      <c r="D541" s="49" t="str">
        <f>IFERROR(__xludf.DUMMYFUNCTION("""COMPUTED_VALUE"""),"Ring")</f>
        <v>Ring</v>
      </c>
      <c r="E541" s="49">
        <f>IFERROR(__xludf.DUMMYFUNCTION("""COMPUTED_VALUE"""),1.0)</f>
        <v>1</v>
      </c>
      <c r="F541" s="49" t="str">
        <f>IFERROR(__xludf.DUMMYFUNCTION("""COMPUTED_VALUE""")," ++10% chance to revive after dying once. +-can only be equipped by Artemis.")</f>
        <v> ++10% chance to revive after dying once. +-can only be equipped by Artemis.</v>
      </c>
      <c r="G541" s="49">
        <f>IFERROR(__xludf.DUMMYFUNCTION("""COMPUTED_VALUE"""),0.0)</f>
        <v>0</v>
      </c>
      <c r="H541" s="49"/>
      <c r="I541" s="49"/>
      <c r="J541" s="49"/>
      <c r="K541" s="49"/>
      <c r="L541" s="49"/>
      <c r="M541" s="49"/>
      <c r="N541" s="49"/>
      <c r="O541" s="49"/>
      <c r="P541" s="49"/>
      <c r="Q541" s="49"/>
      <c r="R541" s="49"/>
      <c r="S541" s="49"/>
      <c r="T541" s="49"/>
      <c r="U541" s="49"/>
      <c r="V541" s="49"/>
      <c r="W541" s="49"/>
      <c r="X541" s="49"/>
      <c r="Y541" s="49"/>
      <c r="Z541" s="49"/>
    </row>
    <row r="542">
      <c r="A542" s="49" t="str">
        <f>IFERROR(__xludf.DUMMYFUNCTION("""COMPUTED_VALUE"""),"Artemis' Fang Necklace")</f>
        <v>Artemis' Fang Necklace</v>
      </c>
      <c r="B542" s="49" t="str">
        <f>IFERROR(__xludf.DUMMYFUNCTION("""COMPUTED_VALUE"""),"Mob Exclusive")</f>
        <v>Mob Exclusive</v>
      </c>
      <c r="C542" s="49"/>
      <c r="D542" s="49" t="str">
        <f>IFERROR(__xludf.DUMMYFUNCTION("""COMPUTED_VALUE"""),"Neck")</f>
        <v>Neck</v>
      </c>
      <c r="E542" s="49">
        <f>IFERROR(__xludf.DUMMYFUNCTION("""COMPUTED_VALUE"""),1.0)</f>
        <v>1</v>
      </c>
      <c r="F542" s="49"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49">
        <f>IFERROR(__xludf.DUMMYFUNCTION("""COMPUTED_VALUE"""),0.0)</f>
        <v>0</v>
      </c>
      <c r="H542" s="49"/>
      <c r="I542" s="49"/>
      <c r="J542" s="49"/>
      <c r="K542" s="49"/>
      <c r="L542" s="49"/>
      <c r="M542" s="49"/>
      <c r="N542" s="49"/>
      <c r="O542" s="49"/>
      <c r="P542" s="49"/>
      <c r="Q542" s="49"/>
      <c r="R542" s="49"/>
      <c r="S542" s="49"/>
      <c r="T542" s="49"/>
      <c r="U542" s="49"/>
      <c r="V542" s="49"/>
      <c r="W542" s="49"/>
      <c r="X542" s="49"/>
      <c r="Y542" s="49"/>
      <c r="Z542" s="49"/>
    </row>
    <row r="543">
      <c r="A543" s="49" t="str">
        <f>IFERROR(__xludf.DUMMYFUNCTION("""COMPUTED_VALUE"""),"Forged Paladin's Helm")</f>
        <v>Forged Paladin's Helm</v>
      </c>
      <c r="B543" s="49" t="str">
        <f>IFERROR(__xludf.DUMMYFUNCTION("""COMPUTED_VALUE"""),"Quest Item")</f>
        <v>Quest Item</v>
      </c>
      <c r="C543" s="49"/>
      <c r="D543" s="49" t="str">
        <f>IFERROR(__xludf.DUMMYFUNCTION("""COMPUTED_VALUE"""),"Head")</f>
        <v>Head</v>
      </c>
      <c r="E543" s="49">
        <f>IFERROR(__xludf.DUMMYFUNCTION("""COMPUTED_VALUE"""),200.0)</f>
        <v>200</v>
      </c>
      <c r="F543" s="49"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49">
        <f>IFERROR(__xludf.DUMMYFUNCTION("""COMPUTED_VALUE"""),1.1175E8)</f>
        <v>111750000</v>
      </c>
      <c r="H543" s="49"/>
      <c r="I543" s="49"/>
      <c r="J543" s="49"/>
      <c r="K543" s="49"/>
      <c r="L543" s="49"/>
      <c r="M543" s="49"/>
      <c r="N543" s="49"/>
      <c r="O543" s="49"/>
      <c r="P543" s="49"/>
      <c r="Q543" s="49"/>
      <c r="R543" s="49"/>
      <c r="S543" s="49"/>
      <c r="T543" s="49"/>
      <c r="U543" s="49"/>
      <c r="V543" s="49"/>
      <c r="W543" s="49"/>
      <c r="X543" s="49"/>
      <c r="Y543" s="49"/>
      <c r="Z543" s="49"/>
    </row>
    <row r="544">
      <c r="A544" s="49" t="str">
        <f>IFERROR(__xludf.DUMMYFUNCTION("""COMPUTED_VALUE"""),"Forged Paladin's Pauldrons")</f>
        <v>Forged Paladin's Pauldrons</v>
      </c>
      <c r="B544" s="49" t="str">
        <f>IFERROR(__xludf.DUMMYFUNCTION("""COMPUTED_VALUE"""),"Quest Item")</f>
        <v>Quest Item</v>
      </c>
      <c r="C544" s="49"/>
      <c r="D544" s="49" t="str">
        <f>IFERROR(__xludf.DUMMYFUNCTION("""COMPUTED_VALUE"""),"Shoulders")</f>
        <v>Shoulders</v>
      </c>
      <c r="E544" s="49">
        <f>IFERROR(__xludf.DUMMYFUNCTION("""COMPUTED_VALUE"""),200.0)</f>
        <v>200</v>
      </c>
      <c r="F544" s="49"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49">
        <f>IFERROR(__xludf.DUMMYFUNCTION("""COMPUTED_VALUE"""),1.1175E8)</f>
        <v>111750000</v>
      </c>
      <c r="H544" s="49"/>
      <c r="I544" s="49"/>
      <c r="J544" s="49"/>
      <c r="K544" s="49"/>
      <c r="L544" s="49"/>
      <c r="M544" s="49"/>
      <c r="N544" s="49"/>
      <c r="O544" s="49"/>
      <c r="P544" s="49"/>
      <c r="Q544" s="49"/>
      <c r="R544" s="49"/>
      <c r="S544" s="49"/>
      <c r="T544" s="49"/>
      <c r="U544" s="49"/>
      <c r="V544" s="49"/>
      <c r="W544" s="49"/>
      <c r="X544" s="49"/>
      <c r="Y544" s="49"/>
      <c r="Z544" s="49"/>
    </row>
    <row r="545">
      <c r="A545" s="49" t="str">
        <f>IFERROR(__xludf.DUMMYFUNCTION("""COMPUTED_VALUE"""),"Forged Paladin's Plate")</f>
        <v>Forged Paladin's Plate</v>
      </c>
      <c r="B545" s="49" t="str">
        <f>IFERROR(__xludf.DUMMYFUNCTION("""COMPUTED_VALUE"""),"Quest Item")</f>
        <v>Quest Item</v>
      </c>
      <c r="C545" s="49"/>
      <c r="D545" s="49" t="str">
        <f>IFERROR(__xludf.DUMMYFUNCTION("""COMPUTED_VALUE"""),"Torso")</f>
        <v>Torso</v>
      </c>
      <c r="E545" s="49">
        <f>IFERROR(__xludf.DUMMYFUNCTION("""COMPUTED_VALUE"""),200.0)</f>
        <v>200</v>
      </c>
      <c r="F545" s="49"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49">
        <f>IFERROR(__xludf.DUMMYFUNCTION("""COMPUTED_VALUE"""),1.99E8)</f>
        <v>199000000</v>
      </c>
      <c r="H545" s="49"/>
      <c r="I545" s="49"/>
      <c r="J545" s="49"/>
      <c r="K545" s="49"/>
      <c r="L545" s="49"/>
      <c r="M545" s="49"/>
      <c r="N545" s="49"/>
      <c r="O545" s="49"/>
      <c r="P545" s="49"/>
      <c r="Q545" s="49"/>
      <c r="R545" s="49"/>
      <c r="S545" s="49"/>
      <c r="T545" s="49"/>
      <c r="U545" s="49"/>
      <c r="V545" s="49"/>
      <c r="W545" s="49"/>
      <c r="X545" s="49"/>
      <c r="Y545" s="49"/>
      <c r="Z545" s="49"/>
    </row>
    <row r="546">
      <c r="A546" s="49" t="str">
        <f>IFERROR(__xludf.DUMMYFUNCTION("""COMPUTED_VALUE"""),"Forged Paladin's Vambraces")</f>
        <v>Forged Paladin's Vambraces</v>
      </c>
      <c r="B546" s="49" t="str">
        <f>IFERROR(__xludf.DUMMYFUNCTION("""COMPUTED_VALUE"""),"Quest Item")</f>
        <v>Quest Item</v>
      </c>
      <c r="C546" s="49"/>
      <c r="D546" s="49" t="str">
        <f>IFERROR(__xludf.DUMMYFUNCTION("""COMPUTED_VALUE"""),"Arms")</f>
        <v>Arms</v>
      </c>
      <c r="E546" s="49">
        <f>IFERROR(__xludf.DUMMYFUNCTION("""COMPUTED_VALUE"""),200.0)</f>
        <v>200</v>
      </c>
      <c r="F546" s="49"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49">
        <f>IFERROR(__xludf.DUMMYFUNCTION("""COMPUTED_VALUE"""),1.1175E8)</f>
        <v>111750000</v>
      </c>
      <c r="H546" s="49"/>
      <c r="I546" s="49"/>
      <c r="J546" s="49"/>
      <c r="K546" s="49"/>
      <c r="L546" s="49"/>
      <c r="M546" s="49"/>
      <c r="N546" s="49"/>
      <c r="O546" s="49"/>
      <c r="P546" s="49"/>
      <c r="Q546" s="49"/>
      <c r="R546" s="49"/>
      <c r="S546" s="49"/>
      <c r="T546" s="49"/>
      <c r="U546" s="49"/>
      <c r="V546" s="49"/>
      <c r="W546" s="49"/>
      <c r="X546" s="49"/>
      <c r="Y546" s="49"/>
      <c r="Z546" s="49"/>
    </row>
    <row r="547">
      <c r="A547" s="49" t="str">
        <f>IFERROR(__xludf.DUMMYFUNCTION("""COMPUTED_VALUE"""),"Forged Firearm")</f>
        <v>Forged Firearm</v>
      </c>
      <c r="B547" s="49" t="str">
        <f>IFERROR(__xludf.DUMMYFUNCTION("""COMPUTED_VALUE"""),"Quest Item")</f>
        <v>Quest Item</v>
      </c>
      <c r="C547" s="49" t="str">
        <f>IFERROR(__xludf.DUMMYFUNCTION("""COMPUTED_VALUE"""),"Firearm")</f>
        <v>Firearm</v>
      </c>
      <c r="D547" s="49" t="str">
        <f>IFERROR(__xludf.DUMMYFUNCTION("""COMPUTED_VALUE"""),"Hand")</f>
        <v>Hand</v>
      </c>
      <c r="E547" s="49">
        <f>IFERROR(__xludf.DUMMYFUNCTION("""COMPUTED_VALUE"""),200.0)</f>
        <v>200</v>
      </c>
      <c r="F547" s="49"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49">
        <f>IFERROR(__xludf.DUMMYFUNCTION("""COMPUTED_VALUE"""),1.99E8)</f>
        <v>199000000</v>
      </c>
      <c r="H547" s="49"/>
      <c r="I547" s="49"/>
      <c r="J547" s="49"/>
      <c r="K547" s="49"/>
      <c r="L547" s="49"/>
      <c r="M547" s="49"/>
      <c r="N547" s="49"/>
      <c r="O547" s="49"/>
      <c r="P547" s="49"/>
      <c r="Q547" s="49"/>
      <c r="R547" s="49"/>
      <c r="S547" s="49"/>
      <c r="T547" s="49"/>
      <c r="U547" s="49"/>
      <c r="V547" s="49"/>
      <c r="W547" s="49"/>
      <c r="X547" s="49"/>
      <c r="Y547" s="49"/>
      <c r="Z547" s="49"/>
    </row>
    <row r="548">
      <c r="A548" s="49" t="str">
        <f>IFERROR(__xludf.DUMMYFUNCTION("""COMPUTED_VALUE"""),"Forged Towershield")</f>
        <v>Forged Towershield</v>
      </c>
      <c r="B548" s="49" t="str">
        <f>IFERROR(__xludf.DUMMYFUNCTION("""COMPUTED_VALUE"""),"Quest Item")</f>
        <v>Quest Item</v>
      </c>
      <c r="C548" s="49" t="str">
        <f>IFERROR(__xludf.DUMMYFUNCTION("""COMPUTED_VALUE"""),"Towershield")</f>
        <v>Towershield</v>
      </c>
      <c r="D548" s="49" t="str">
        <f>IFERROR(__xludf.DUMMYFUNCTION("""COMPUTED_VALUE"""),"Hand")</f>
        <v>Hand</v>
      </c>
      <c r="E548" s="49">
        <f>IFERROR(__xludf.DUMMYFUNCTION("""COMPUTED_VALUE"""),200.0)</f>
        <v>200</v>
      </c>
      <c r="F548" s="49"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49">
        <f>IFERROR(__xludf.DUMMYFUNCTION("""COMPUTED_VALUE"""),5.4285E8)</f>
        <v>542850000</v>
      </c>
      <c r="H548" s="49"/>
      <c r="I548" s="49"/>
      <c r="J548" s="49"/>
      <c r="K548" s="49"/>
      <c r="L548" s="49"/>
      <c r="M548" s="49"/>
      <c r="N548" s="49"/>
      <c r="O548" s="49"/>
      <c r="P548" s="49"/>
      <c r="Q548" s="49"/>
      <c r="R548" s="49"/>
      <c r="S548" s="49"/>
      <c r="T548" s="49"/>
      <c r="U548" s="49"/>
      <c r="V548" s="49"/>
      <c r="W548" s="49"/>
      <c r="X548" s="49"/>
      <c r="Y548" s="49"/>
      <c r="Z548" s="49"/>
    </row>
    <row r="549">
      <c r="A549" s="49" t="str">
        <f>IFERROR(__xludf.DUMMYFUNCTION("""COMPUTED_VALUE"""),"Forged Leg guard")</f>
        <v>Forged Leg guard</v>
      </c>
      <c r="B549" s="49" t="str">
        <f>IFERROR(__xludf.DUMMYFUNCTION("""COMPUTED_VALUE"""),"Quest Item")</f>
        <v>Quest Item</v>
      </c>
      <c r="C549" s="49"/>
      <c r="D549" s="49" t="str">
        <f>IFERROR(__xludf.DUMMYFUNCTION("""COMPUTED_VALUE"""),"Legs")</f>
        <v>Legs</v>
      </c>
      <c r="E549" s="49">
        <f>IFERROR(__xludf.DUMMYFUNCTION("""COMPUTED_VALUE"""),200.0)</f>
        <v>200</v>
      </c>
      <c r="F549" s="49"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49">
        <f>IFERROR(__xludf.DUMMYFUNCTION("""COMPUTED_VALUE"""),1.1175E8)</f>
        <v>111750000</v>
      </c>
      <c r="H549" s="49"/>
      <c r="I549" s="49"/>
      <c r="J549" s="49"/>
      <c r="K549" s="49"/>
      <c r="L549" s="49"/>
      <c r="M549" s="49"/>
      <c r="N549" s="49"/>
      <c r="O549" s="49"/>
      <c r="P549" s="49"/>
      <c r="Q549" s="49"/>
      <c r="R549" s="49"/>
      <c r="S549" s="49"/>
      <c r="T549" s="49"/>
      <c r="U549" s="49"/>
      <c r="V549" s="49"/>
      <c r="W549" s="49"/>
      <c r="X549" s="49"/>
      <c r="Y549" s="49"/>
      <c r="Z549" s="49"/>
    </row>
    <row r="550">
      <c r="A550" s="49" t="str">
        <f>IFERROR(__xludf.DUMMYFUNCTION("""COMPUTED_VALUE"""),"Forged Sabatons")</f>
        <v>Forged Sabatons</v>
      </c>
      <c r="B550" s="49" t="str">
        <f>IFERROR(__xludf.DUMMYFUNCTION("""COMPUTED_VALUE"""),"Quest Item")</f>
        <v>Quest Item</v>
      </c>
      <c r="C550" s="49"/>
      <c r="D550" s="49" t="str">
        <f>IFERROR(__xludf.DUMMYFUNCTION("""COMPUTED_VALUE"""),"Feet")</f>
        <v>Feet</v>
      </c>
      <c r="E550" s="49">
        <f>IFERROR(__xludf.DUMMYFUNCTION("""COMPUTED_VALUE"""),200.0)</f>
        <v>200</v>
      </c>
      <c r="F550" s="49"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49">
        <f>IFERROR(__xludf.DUMMYFUNCTION("""COMPUTED_VALUE"""),1.1175E8)</f>
        <v>111750000</v>
      </c>
      <c r="H550" s="49"/>
      <c r="I550" s="49"/>
      <c r="J550" s="49"/>
      <c r="K550" s="49"/>
      <c r="L550" s="49"/>
      <c r="M550" s="49"/>
      <c r="N550" s="49"/>
      <c r="O550" s="49"/>
      <c r="P550" s="49"/>
      <c r="Q550" s="49"/>
      <c r="R550" s="49"/>
      <c r="S550" s="49"/>
      <c r="T550" s="49"/>
      <c r="U550" s="49"/>
      <c r="V550" s="49"/>
      <c r="W550" s="49"/>
      <c r="X550" s="49"/>
      <c r="Y550" s="49"/>
      <c r="Z550" s="49"/>
    </row>
    <row r="551">
      <c r="A551" s="49" t="str">
        <f>IFERROR(__xludf.DUMMYFUNCTION("""COMPUTED_VALUE"""),"Scrap Ring")</f>
        <v>Scrap Ring</v>
      </c>
      <c r="B551" s="49" t="str">
        <f>IFERROR(__xludf.DUMMYFUNCTION("""COMPUTED_VALUE"""),"Quest Item")</f>
        <v>Quest Item</v>
      </c>
      <c r="C551" s="49"/>
      <c r="D551" s="49" t="str">
        <f>IFERROR(__xludf.DUMMYFUNCTION("""COMPUTED_VALUE"""),"Ring")</f>
        <v>Ring</v>
      </c>
      <c r="E551" s="49">
        <f>IFERROR(__xludf.DUMMYFUNCTION("""COMPUTED_VALUE"""),1.0)</f>
        <v>1</v>
      </c>
      <c r="F551" s="49" t="str">
        <f>IFERROR(__xludf.DUMMYFUNCTION("""COMPUTED_VALUE""")," ++When you attack an enemy with a firearm, inflict Marked 3. +-Forged Paladin Class Only.")</f>
        <v> ++When you attack an enemy with a firearm, inflict Marked 3. +-Forged Paladin Class Only.</v>
      </c>
      <c r="G551" s="49">
        <f>IFERROR(__xludf.DUMMYFUNCTION("""COMPUTED_VALUE"""),0.0)</f>
        <v>0</v>
      </c>
      <c r="H551" s="49"/>
      <c r="I551" s="49"/>
      <c r="J551" s="49"/>
      <c r="K551" s="49"/>
      <c r="L551" s="49"/>
      <c r="M551" s="49"/>
      <c r="N551" s="49"/>
      <c r="O551" s="49"/>
      <c r="P551" s="49"/>
      <c r="Q551" s="49"/>
      <c r="R551" s="49"/>
      <c r="S551" s="49"/>
      <c r="T551" s="49"/>
      <c r="U551" s="49"/>
      <c r="V551" s="49"/>
      <c r="W551" s="49"/>
      <c r="X551" s="49"/>
      <c r="Y551" s="49"/>
      <c r="Z551" s="49"/>
    </row>
    <row r="552">
      <c r="A552" s="49" t="str">
        <f>IFERROR(__xludf.DUMMYFUNCTION("""COMPUTED_VALUE"""),"Scrap Gorget")</f>
        <v>Scrap Gorget</v>
      </c>
      <c r="B552" s="49" t="str">
        <f>IFERROR(__xludf.DUMMYFUNCTION("""COMPUTED_VALUE"""),"Quest Item")</f>
        <v>Quest Item</v>
      </c>
      <c r="C552" s="49"/>
      <c r="D552" s="49" t="str">
        <f>IFERROR(__xludf.DUMMYFUNCTION("""COMPUTED_VALUE"""),"Neck")</f>
        <v>Neck</v>
      </c>
      <c r="E552" s="49">
        <f>IFERROR(__xludf.DUMMYFUNCTION("""COMPUTED_VALUE"""),1.0)</f>
        <v>1</v>
      </c>
      <c r="F552" s="49"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49">
        <f>IFERROR(__xludf.DUMMYFUNCTION("""COMPUTED_VALUE"""),0.0)</f>
        <v>0</v>
      </c>
      <c r="H552" s="49"/>
      <c r="I552" s="49"/>
      <c r="J552" s="49"/>
      <c r="K552" s="49"/>
      <c r="L552" s="49"/>
      <c r="M552" s="49"/>
      <c r="N552" s="49"/>
      <c r="O552" s="49"/>
      <c r="P552" s="49"/>
      <c r="Q552" s="49"/>
      <c r="R552" s="49"/>
      <c r="S552" s="49"/>
      <c r="T552" s="49"/>
      <c r="U552" s="49"/>
      <c r="V552" s="49"/>
      <c r="W552" s="49"/>
      <c r="X552" s="49"/>
      <c r="Y552" s="49"/>
      <c r="Z552" s="49"/>
    </row>
    <row r="553">
      <c r="A553" s="49" t="str">
        <f>IFERROR(__xludf.DUMMYFUNCTION("""COMPUTED_VALUE"""),"Minstrel's Cap")</f>
        <v>Minstrel's Cap</v>
      </c>
      <c r="B553" s="49" t="str">
        <f>IFERROR(__xludf.DUMMYFUNCTION("""COMPUTED_VALUE"""),"Quest Item")</f>
        <v>Quest Item</v>
      </c>
      <c r="C553" s="49"/>
      <c r="D553" s="49" t="str">
        <f>IFERROR(__xludf.DUMMYFUNCTION("""COMPUTED_VALUE"""),"Head")</f>
        <v>Head</v>
      </c>
      <c r="E553" s="49">
        <f>IFERROR(__xludf.DUMMYFUNCTION("""COMPUTED_VALUE"""),400.0)</f>
        <v>400</v>
      </c>
      <c r="F553" s="49"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49">
        <f>IFERROR(__xludf.DUMMYFUNCTION("""COMPUTED_VALUE"""),7800000.0)</f>
        <v>7800000</v>
      </c>
      <c r="H553" s="49"/>
      <c r="I553" s="49"/>
      <c r="J553" s="49"/>
      <c r="K553" s="49"/>
      <c r="L553" s="49"/>
      <c r="M553" s="49"/>
      <c r="N553" s="49"/>
      <c r="O553" s="49"/>
      <c r="P553" s="49"/>
      <c r="Q553" s="49"/>
      <c r="R553" s="49"/>
      <c r="S553" s="49"/>
      <c r="T553" s="49"/>
      <c r="U553" s="49"/>
      <c r="V553" s="49"/>
      <c r="W553" s="49"/>
      <c r="X553" s="49"/>
      <c r="Y553" s="49"/>
      <c r="Z553" s="49"/>
    </row>
    <row r="554">
      <c r="A554" s="49" t="str">
        <f>IFERROR(__xludf.DUMMYFUNCTION("""COMPUTED_VALUE"""),"Minstrel's Cape")</f>
        <v>Minstrel's Cape</v>
      </c>
      <c r="B554" s="49" t="str">
        <f>IFERROR(__xludf.DUMMYFUNCTION("""COMPUTED_VALUE"""),"Quest Item")</f>
        <v>Quest Item</v>
      </c>
      <c r="C554" s="49"/>
      <c r="D554" s="49" t="str">
        <f>IFERROR(__xludf.DUMMYFUNCTION("""COMPUTED_VALUE"""),"Shoulders")</f>
        <v>Shoulders</v>
      </c>
      <c r="E554" s="49">
        <f>IFERROR(__xludf.DUMMYFUNCTION("""COMPUTED_VALUE"""),400.0)</f>
        <v>400</v>
      </c>
      <c r="F554" s="49"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49">
        <f>IFERROR(__xludf.DUMMYFUNCTION("""COMPUTED_VALUE"""),7800000.0)</f>
        <v>7800000</v>
      </c>
      <c r="H554" s="49"/>
      <c r="I554" s="49"/>
      <c r="J554" s="49"/>
      <c r="K554" s="49"/>
      <c r="L554" s="49"/>
      <c r="M554" s="49"/>
      <c r="N554" s="49"/>
      <c r="O554" s="49"/>
      <c r="P554" s="49"/>
      <c r="Q554" s="49"/>
      <c r="R554" s="49"/>
      <c r="S554" s="49"/>
      <c r="T554" s="49"/>
      <c r="U554" s="49"/>
      <c r="V554" s="49"/>
      <c r="W554" s="49"/>
      <c r="X554" s="49"/>
      <c r="Y554" s="49"/>
      <c r="Z554" s="49"/>
    </row>
    <row r="555">
      <c r="A555" s="49" t="str">
        <f>IFERROR(__xludf.DUMMYFUNCTION("""COMPUTED_VALUE"""),"Minstrel's Doublet")</f>
        <v>Minstrel's Doublet</v>
      </c>
      <c r="B555" s="49" t="str">
        <f>IFERROR(__xludf.DUMMYFUNCTION("""COMPUTED_VALUE"""),"Quest Item")</f>
        <v>Quest Item</v>
      </c>
      <c r="C555" s="49"/>
      <c r="D555" s="49" t="str">
        <f>IFERROR(__xludf.DUMMYFUNCTION("""COMPUTED_VALUE"""),"Torso")</f>
        <v>Torso</v>
      </c>
      <c r="E555" s="49">
        <f>IFERROR(__xludf.DUMMYFUNCTION("""COMPUTED_VALUE"""),800.0)</f>
        <v>800</v>
      </c>
      <c r="F555" s="49"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49">
        <f>IFERROR(__xludf.DUMMYFUNCTION("""COMPUTED_VALUE"""),3.16E7)</f>
        <v>31600000</v>
      </c>
      <c r="H555" s="49"/>
      <c r="I555" s="49"/>
      <c r="J555" s="49"/>
      <c r="K555" s="49"/>
      <c r="L555" s="49"/>
      <c r="M555" s="49"/>
      <c r="N555" s="49"/>
      <c r="O555" s="49"/>
      <c r="P555" s="49"/>
      <c r="Q555" s="49"/>
      <c r="R555" s="49"/>
      <c r="S555" s="49"/>
      <c r="T555" s="49"/>
      <c r="U555" s="49"/>
      <c r="V555" s="49"/>
      <c r="W555" s="49"/>
      <c r="X555" s="49"/>
      <c r="Y555" s="49"/>
      <c r="Z555" s="49"/>
    </row>
    <row r="556">
      <c r="A556" s="49" t="str">
        <f>IFERROR(__xludf.DUMMYFUNCTION("""COMPUTED_VALUE"""),"Minstrel's Cuffs")</f>
        <v>Minstrel's Cuffs</v>
      </c>
      <c r="B556" s="49" t="str">
        <f>IFERROR(__xludf.DUMMYFUNCTION("""COMPUTED_VALUE"""),"Quest Item")</f>
        <v>Quest Item</v>
      </c>
      <c r="C556" s="49"/>
      <c r="D556" s="49" t="str">
        <f>IFERROR(__xludf.DUMMYFUNCTION("""COMPUTED_VALUE"""),"Arms")</f>
        <v>Arms</v>
      </c>
      <c r="E556" s="49">
        <f>IFERROR(__xludf.DUMMYFUNCTION("""COMPUTED_VALUE"""),400.0)</f>
        <v>400</v>
      </c>
      <c r="F556" s="49"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49">
        <f>IFERROR(__xludf.DUMMYFUNCTION("""COMPUTED_VALUE"""),7800000.0)</f>
        <v>7800000</v>
      </c>
      <c r="H556" s="49"/>
      <c r="I556" s="49"/>
      <c r="J556" s="49"/>
      <c r="K556" s="49"/>
      <c r="L556" s="49"/>
      <c r="M556" s="49"/>
      <c r="N556" s="49"/>
      <c r="O556" s="49"/>
      <c r="P556" s="49"/>
      <c r="Q556" s="49"/>
      <c r="R556" s="49"/>
      <c r="S556" s="49"/>
      <c r="T556" s="49"/>
      <c r="U556" s="49"/>
      <c r="V556" s="49"/>
      <c r="W556" s="49"/>
      <c r="X556" s="49"/>
      <c r="Y556" s="49"/>
      <c r="Z556" s="49"/>
    </row>
    <row r="557">
      <c r="A557" s="49" t="str">
        <f>IFERROR(__xludf.DUMMYFUNCTION("""COMPUTED_VALUE"""),"Heavenly Lute")</f>
        <v>Heavenly Lute</v>
      </c>
      <c r="B557" s="49" t="str">
        <f>IFERROR(__xludf.DUMMYFUNCTION("""COMPUTED_VALUE"""),"Quest Item")</f>
        <v>Quest Item</v>
      </c>
      <c r="C557" s="49" t="str">
        <f>IFERROR(__xludf.DUMMYFUNCTION("""COMPUTED_VALUE"""),"Instrument")</f>
        <v>Instrument</v>
      </c>
      <c r="D557" s="49" t="str">
        <f>IFERROR(__xludf.DUMMYFUNCTION("""COMPUTED_VALUE"""),"Hand")</f>
        <v>Hand</v>
      </c>
      <c r="E557" s="49">
        <f>IFERROR(__xludf.DUMMYFUNCTION("""COMPUTED_VALUE"""),900.0)</f>
        <v>900</v>
      </c>
      <c r="F557" s="49"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49">
        <f>IFERROR(__xludf.DUMMYFUNCTION("""COMPUTED_VALUE"""),4.005E7)</f>
        <v>40050000</v>
      </c>
      <c r="H557" s="49"/>
      <c r="I557" s="49"/>
      <c r="J557" s="49"/>
      <c r="K557" s="49"/>
      <c r="L557" s="49"/>
      <c r="M557" s="49"/>
      <c r="N557" s="49"/>
      <c r="O557" s="49"/>
      <c r="P557" s="49"/>
      <c r="Q557" s="49"/>
      <c r="R557" s="49"/>
      <c r="S557" s="49"/>
      <c r="T557" s="49"/>
      <c r="U557" s="49"/>
      <c r="V557" s="49"/>
      <c r="W557" s="49"/>
      <c r="X557" s="49"/>
      <c r="Y557" s="49"/>
      <c r="Z557" s="49"/>
    </row>
    <row r="558">
      <c r="A558" s="49" t="str">
        <f>IFERROR(__xludf.DUMMYFUNCTION("""COMPUTED_VALUE"""),"Wine Stained Buckler With Portable Alcoholism")</f>
        <v>Wine Stained Buckler With Portable Alcoholism</v>
      </c>
      <c r="B558" s="49" t="str">
        <f>IFERROR(__xludf.DUMMYFUNCTION("""COMPUTED_VALUE"""),"Quest Item")</f>
        <v>Quest Item</v>
      </c>
      <c r="C558" s="49" t="str">
        <f>IFERROR(__xludf.DUMMYFUNCTION("""COMPUTED_VALUE"""),"Buckler")</f>
        <v>Buckler</v>
      </c>
      <c r="D558" s="49" t="str">
        <f>IFERROR(__xludf.DUMMYFUNCTION("""COMPUTED_VALUE"""),"Hand")</f>
        <v>Hand</v>
      </c>
      <c r="E558" s="49">
        <f>IFERROR(__xludf.DUMMYFUNCTION("""COMPUTED_VALUE"""),1500.0)</f>
        <v>1500</v>
      </c>
      <c r="F558" s="49"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49">
        <f>IFERROR(__xludf.DUMMYFUNCTION("""COMPUTED_VALUE"""),1.1175E8)</f>
        <v>111750000</v>
      </c>
      <c r="H558" s="49"/>
      <c r="I558" s="49"/>
      <c r="J558" s="49"/>
      <c r="K558" s="49"/>
      <c r="L558" s="49"/>
      <c r="M558" s="49"/>
      <c r="N558" s="49"/>
      <c r="O558" s="49"/>
      <c r="P558" s="49"/>
      <c r="Q558" s="49"/>
      <c r="R558" s="49"/>
      <c r="S558" s="49"/>
      <c r="T558" s="49"/>
      <c r="U558" s="49"/>
      <c r="V558" s="49"/>
      <c r="W558" s="49"/>
      <c r="X558" s="49"/>
      <c r="Y558" s="49"/>
      <c r="Z558" s="49"/>
    </row>
    <row r="559">
      <c r="A559" s="49" t="str">
        <f>IFERROR(__xludf.DUMMYFUNCTION("""COMPUTED_VALUE"""),"Minstrel's Tights")</f>
        <v>Minstrel's Tights</v>
      </c>
      <c r="B559" s="49" t="str">
        <f>IFERROR(__xludf.DUMMYFUNCTION("""COMPUTED_VALUE"""),"Quest Item")</f>
        <v>Quest Item</v>
      </c>
      <c r="C559" s="49"/>
      <c r="D559" s="49" t="str">
        <f>IFERROR(__xludf.DUMMYFUNCTION("""COMPUTED_VALUE"""),"Legs")</f>
        <v>Legs</v>
      </c>
      <c r="E559" s="49">
        <f>IFERROR(__xludf.DUMMYFUNCTION("""COMPUTED_VALUE"""),400.0)</f>
        <v>400</v>
      </c>
      <c r="F559" s="49" t="str">
        <f>IFERROR(__xludf.DUMMYFUNCTION("""COMPUTED_VALUE"""),"DEF: +20000 ++20,000 ACC and ATK. ++X2 Acoustic Damage +-Paladin of The Party and Bard Class only.")</f>
        <v>DEF: +20000 ++20,000 ACC and ATK. ++X2 Acoustic Damage +-Paladin of The Party and Bard Class only.</v>
      </c>
      <c r="G559" s="49">
        <f>IFERROR(__xludf.DUMMYFUNCTION("""COMPUTED_VALUE"""),7800000.0)</f>
        <v>7800000</v>
      </c>
      <c r="H559" s="49"/>
      <c r="I559" s="49"/>
      <c r="J559" s="49"/>
      <c r="K559" s="49"/>
      <c r="L559" s="49"/>
      <c r="M559" s="49"/>
      <c r="N559" s="49"/>
      <c r="O559" s="49"/>
      <c r="P559" s="49"/>
      <c r="Q559" s="49"/>
      <c r="R559" s="49"/>
      <c r="S559" s="49"/>
      <c r="T559" s="49"/>
      <c r="U559" s="49"/>
      <c r="V559" s="49"/>
      <c r="W559" s="49"/>
      <c r="X559" s="49"/>
      <c r="Y559" s="49"/>
      <c r="Z559" s="49"/>
    </row>
    <row r="560">
      <c r="A560" s="49" t="str">
        <f>IFERROR(__xludf.DUMMYFUNCTION("""COMPUTED_VALUE"""),"Minstrel's Boots")</f>
        <v>Minstrel's Boots</v>
      </c>
      <c r="B560" s="49" t="str">
        <f>IFERROR(__xludf.DUMMYFUNCTION("""COMPUTED_VALUE"""),"Quest Item")</f>
        <v>Quest Item</v>
      </c>
      <c r="C560" s="49"/>
      <c r="D560" s="49" t="str">
        <f>IFERROR(__xludf.DUMMYFUNCTION("""COMPUTED_VALUE"""),"Feet")</f>
        <v>Feet</v>
      </c>
      <c r="E560" s="49">
        <f>IFERROR(__xludf.DUMMYFUNCTION("""COMPUTED_VALUE"""),400.0)</f>
        <v>400</v>
      </c>
      <c r="F560" s="49"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49">
        <f>IFERROR(__xludf.DUMMYFUNCTION("""COMPUTED_VALUE"""),7800000.0)</f>
        <v>7800000</v>
      </c>
      <c r="H560" s="49"/>
      <c r="I560" s="49"/>
      <c r="J560" s="49"/>
      <c r="K560" s="49"/>
      <c r="L560" s="49"/>
      <c r="M560" s="49"/>
      <c r="N560" s="49"/>
      <c r="O560" s="49"/>
      <c r="P560" s="49"/>
      <c r="Q560" s="49"/>
      <c r="R560" s="49"/>
      <c r="S560" s="49"/>
      <c r="T560" s="49"/>
      <c r="U560" s="49"/>
      <c r="V560" s="49"/>
      <c r="W560" s="49"/>
      <c r="X560" s="49"/>
      <c r="Y560" s="49"/>
      <c r="Z560" s="49"/>
    </row>
    <row r="561">
      <c r="A561" s="49" t="str">
        <f>IFERROR(__xludf.DUMMYFUNCTION("""COMPUTED_VALUE"""),"Brass Ring of Blackout Drunkenness")</f>
        <v>Brass Ring of Blackout Drunkenness</v>
      </c>
      <c r="B561" s="49" t="str">
        <f>IFERROR(__xludf.DUMMYFUNCTION("""COMPUTED_VALUE"""),"Quest Item")</f>
        <v>Quest Item</v>
      </c>
      <c r="C561" s="49"/>
      <c r="D561" s="49" t="str">
        <f>IFERROR(__xludf.DUMMYFUNCTION("""COMPUTED_VALUE"""),"Ring")</f>
        <v>Ring</v>
      </c>
      <c r="E561" s="49">
        <f>IFERROR(__xludf.DUMMYFUNCTION("""COMPUTED_VALUE"""),1.0)</f>
        <v>1</v>
      </c>
      <c r="F561" s="49"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49">
        <f>IFERROR(__xludf.DUMMYFUNCTION("""COMPUTED_VALUE"""),0.0)</f>
        <v>0</v>
      </c>
      <c r="H561" s="49"/>
      <c r="I561" s="49"/>
      <c r="J561" s="49"/>
      <c r="K561" s="49"/>
      <c r="L561" s="49"/>
      <c r="M561" s="49"/>
      <c r="N561" s="49"/>
      <c r="O561" s="49"/>
      <c r="P561" s="49"/>
      <c r="Q561" s="49"/>
      <c r="R561" s="49"/>
      <c r="S561" s="49"/>
      <c r="T561" s="49"/>
      <c r="U561" s="49"/>
      <c r="V561" s="49"/>
      <c r="W561" s="49"/>
      <c r="X561" s="49"/>
      <c r="Y561" s="49"/>
      <c r="Z561" s="49"/>
    </row>
    <row r="562">
      <c r="A562" s="49" t="str">
        <f>IFERROR(__xludf.DUMMYFUNCTION("""COMPUTED_VALUE"""),"Wreath of The Party's Fervor")</f>
        <v>Wreath of The Party's Fervor</v>
      </c>
      <c r="B562" s="49" t="str">
        <f>IFERROR(__xludf.DUMMYFUNCTION("""COMPUTED_VALUE"""),"Quest Item")</f>
        <v>Quest Item</v>
      </c>
      <c r="C562" s="49"/>
      <c r="D562" s="49" t="str">
        <f>IFERROR(__xludf.DUMMYFUNCTION("""COMPUTED_VALUE"""),"Neck")</f>
        <v>Neck</v>
      </c>
      <c r="E562" s="49">
        <f>IFERROR(__xludf.DUMMYFUNCTION("""COMPUTED_VALUE"""),1.0)</f>
        <v>1</v>
      </c>
      <c r="F562" s="49"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49">
        <f>IFERROR(__xludf.DUMMYFUNCTION("""COMPUTED_VALUE"""),0.0)</f>
        <v>0</v>
      </c>
      <c r="H562" s="49"/>
      <c r="I562" s="49"/>
      <c r="J562" s="49"/>
      <c r="K562" s="49"/>
      <c r="L562" s="49"/>
      <c r="M562" s="49"/>
      <c r="N562" s="49"/>
      <c r="O562" s="49"/>
      <c r="P562" s="49"/>
      <c r="Q562" s="49"/>
      <c r="R562" s="49"/>
      <c r="S562" s="49"/>
      <c r="T562" s="49"/>
      <c r="U562" s="49"/>
      <c r="V562" s="49"/>
      <c r="W562" s="49"/>
      <c r="X562" s="49"/>
      <c r="Y562" s="49"/>
      <c r="Z562" s="49"/>
    </row>
    <row r="563">
      <c r="A563" s="49" t="str">
        <f>IFERROR(__xludf.DUMMYFUNCTION("""COMPUTED_VALUE"""),"Pauldrons of Tritonoch")</f>
        <v>Pauldrons of Tritonoch</v>
      </c>
      <c r="B563" s="49"/>
      <c r="C563" s="49"/>
      <c r="D563" s="49" t="str">
        <f>IFERROR(__xludf.DUMMYFUNCTION("""COMPUTED_VALUE"""),"Shoulders")</f>
        <v>Shoulders</v>
      </c>
      <c r="E563" s="49">
        <f>IFERROR(__xludf.DUMMYFUNCTION("""COMPUTED_VALUE"""),800.0)</f>
        <v>800</v>
      </c>
      <c r="F563" s="49" t="str">
        <f>IFERROR(__xludf.DUMMYFUNCTION("""COMPUTED_VALUE"""),"DEF: +20000, Water DEF: +20000 ++Waves of Entitlement - x5 additional Water damage")</f>
        <v>DEF: +20000, Water DEF: +20000 ++Waves of Entitlement - x5 additional Water damage</v>
      </c>
      <c r="G563" s="49">
        <f>IFERROR(__xludf.DUMMYFUNCTION("""COMPUTED_VALUE"""),3.16E7)</f>
        <v>31600000</v>
      </c>
      <c r="H563" s="49"/>
      <c r="I563" s="49"/>
      <c r="J563" s="49"/>
      <c r="K563" s="49"/>
      <c r="L563" s="49"/>
      <c r="M563" s="49"/>
      <c r="N563" s="49"/>
      <c r="O563" s="49"/>
      <c r="P563" s="49"/>
      <c r="Q563" s="49"/>
      <c r="R563" s="49"/>
      <c r="S563" s="49"/>
      <c r="T563" s="49"/>
      <c r="U563" s="49"/>
      <c r="V563" s="49"/>
      <c r="W563" s="49"/>
      <c r="X563" s="49"/>
      <c r="Y563" s="49"/>
      <c r="Z563" s="49"/>
    </row>
    <row r="564">
      <c r="A564" s="49" t="str">
        <f>IFERROR(__xludf.DUMMYFUNCTION("""COMPUTED_VALUE"""),"Chestplate of Tritonoch")</f>
        <v>Chestplate of Tritonoch</v>
      </c>
      <c r="B564" s="49"/>
      <c r="C564" s="49"/>
      <c r="D564" s="49" t="str">
        <f>IFERROR(__xludf.DUMMYFUNCTION("""COMPUTED_VALUE"""),"Torso")</f>
        <v>Torso</v>
      </c>
      <c r="E564" s="49">
        <f>IFERROR(__xludf.DUMMYFUNCTION("""COMPUTED_VALUE"""),800.0)</f>
        <v>800</v>
      </c>
      <c r="F564" s="49" t="str">
        <f>IFERROR(__xludf.DUMMYFUNCTION("""COMPUTED_VALUE"""),"DEF: +20000, Water DEF: +20000 ++Waves of Entitlement - x5 additional Water damage")</f>
        <v>DEF: +20000, Water DEF: +20000 ++Waves of Entitlement - x5 additional Water damage</v>
      </c>
      <c r="G564" s="49">
        <f>IFERROR(__xludf.DUMMYFUNCTION("""COMPUTED_VALUE"""),3.16E7)</f>
        <v>31600000</v>
      </c>
      <c r="H564" s="49"/>
      <c r="I564" s="49"/>
      <c r="J564" s="49"/>
      <c r="K564" s="49"/>
      <c r="L564" s="49"/>
      <c r="M564" s="49"/>
      <c r="N564" s="49"/>
      <c r="O564" s="49"/>
      <c r="P564" s="49"/>
      <c r="Q564" s="49"/>
      <c r="R564" s="49"/>
      <c r="S564" s="49"/>
      <c r="T564" s="49"/>
      <c r="U564" s="49"/>
      <c r="V564" s="49"/>
      <c r="W564" s="49"/>
      <c r="X564" s="49"/>
      <c r="Y564" s="49"/>
      <c r="Z564" s="49"/>
    </row>
    <row r="565">
      <c r="A565" s="49" t="str">
        <f>IFERROR(__xludf.DUMMYFUNCTION("""COMPUTED_VALUE"""),"Vambraces of Tritonoch")</f>
        <v>Vambraces of Tritonoch</v>
      </c>
      <c r="B565" s="49"/>
      <c r="C565" s="49"/>
      <c r="D565" s="49" t="str">
        <f>IFERROR(__xludf.DUMMYFUNCTION("""COMPUTED_VALUE"""),"Arms")</f>
        <v>Arms</v>
      </c>
      <c r="E565" s="49">
        <f>IFERROR(__xludf.DUMMYFUNCTION("""COMPUTED_VALUE"""),800.0)</f>
        <v>800</v>
      </c>
      <c r="F565" s="49" t="str">
        <f>IFERROR(__xludf.DUMMYFUNCTION("""COMPUTED_VALUE"""),"DEF: +20000, Water DEF: +20000 ++Waves of Entitlement - x5 additional Water damage")</f>
        <v>DEF: +20000, Water DEF: +20000 ++Waves of Entitlement - x5 additional Water damage</v>
      </c>
      <c r="G565" s="49">
        <f>IFERROR(__xludf.DUMMYFUNCTION("""COMPUTED_VALUE"""),3.16E7)</f>
        <v>31600000</v>
      </c>
      <c r="H565" s="49"/>
      <c r="I565" s="49"/>
      <c r="J565" s="49"/>
      <c r="K565" s="49"/>
      <c r="L565" s="49"/>
      <c r="M565" s="49"/>
      <c r="N565" s="49"/>
      <c r="O565" s="49"/>
      <c r="P565" s="49"/>
      <c r="Q565" s="49"/>
      <c r="R565" s="49"/>
      <c r="S565" s="49"/>
      <c r="T565" s="49"/>
      <c r="U565" s="49"/>
      <c r="V565" s="49"/>
      <c r="W565" s="49"/>
      <c r="X565" s="49"/>
      <c r="Y565" s="49"/>
      <c r="Z565" s="49"/>
    </row>
    <row r="566">
      <c r="A566" s="49" t="str">
        <f>IFERROR(__xludf.DUMMYFUNCTION("""COMPUTED_VALUE"""),"Trident of Tritonoch")</f>
        <v>Trident of Tritonoch</v>
      </c>
      <c r="B566" s="49"/>
      <c r="C566" s="49" t="str">
        <f>IFERROR(__xludf.DUMMYFUNCTION("""COMPUTED_VALUE"""),"Spear")</f>
        <v>Spear</v>
      </c>
      <c r="D566" s="49" t="str">
        <f>IFERROR(__xludf.DUMMYFUNCTION("""COMPUTED_VALUE"""),"Hand")</f>
        <v>Hand</v>
      </c>
      <c r="E566" s="49">
        <f>IFERROR(__xludf.DUMMYFUNCTION("""COMPUTED_VALUE"""),200.0)</f>
        <v>200</v>
      </c>
      <c r="F566" s="49"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49">
        <f>IFERROR(__xludf.DUMMYFUNCTION("""COMPUTED_VALUE"""),7.14E7)</f>
        <v>71400000</v>
      </c>
      <c r="H566" s="49"/>
      <c r="I566" s="49"/>
      <c r="J566" s="49"/>
      <c r="K566" s="49"/>
      <c r="L566" s="49"/>
      <c r="M566" s="49"/>
      <c r="N566" s="49"/>
      <c r="O566" s="49"/>
      <c r="P566" s="49"/>
      <c r="Q566" s="49"/>
      <c r="R566" s="49"/>
      <c r="S566" s="49"/>
      <c r="T566" s="49"/>
      <c r="U566" s="49"/>
      <c r="V566" s="49"/>
      <c r="W566" s="49"/>
      <c r="X566" s="49"/>
      <c r="Y566" s="49"/>
      <c r="Z566" s="49"/>
    </row>
    <row r="567">
      <c r="A567" s="49" t="str">
        <f>IFERROR(__xludf.DUMMYFUNCTION("""COMPUTED_VALUE"""),"Boots of Tritonoch")</f>
        <v>Boots of Tritonoch</v>
      </c>
      <c r="B567" s="49"/>
      <c r="C567" s="49"/>
      <c r="D567" s="49" t="str">
        <f>IFERROR(__xludf.DUMMYFUNCTION("""COMPUTED_VALUE"""),"Feet")</f>
        <v>Feet</v>
      </c>
      <c r="E567" s="49">
        <f>IFERROR(__xludf.DUMMYFUNCTION("""COMPUTED_VALUE"""),800.0)</f>
        <v>800</v>
      </c>
      <c r="F567" s="49" t="str">
        <f>IFERROR(__xludf.DUMMYFUNCTION("""COMPUTED_VALUE"""),"DEF: +20000, Water DEF: +20000 ++Waves of Entitlement - x5 additional Water damage")</f>
        <v>DEF: +20000, Water DEF: +20000 ++Waves of Entitlement - x5 additional Water damage</v>
      </c>
      <c r="G567" s="49">
        <f>IFERROR(__xludf.DUMMYFUNCTION("""COMPUTED_VALUE"""),3.16E7)</f>
        <v>31600000</v>
      </c>
      <c r="H567" s="49"/>
      <c r="I567" s="49"/>
      <c r="J567" s="49"/>
      <c r="K567" s="49"/>
      <c r="L567" s="49"/>
      <c r="M567" s="49"/>
      <c r="N567" s="49"/>
      <c r="O567" s="49"/>
      <c r="P567" s="49"/>
      <c r="Q567" s="49"/>
      <c r="R567" s="49"/>
      <c r="S567" s="49"/>
      <c r="T567" s="49"/>
      <c r="U567" s="49"/>
      <c r="V567" s="49"/>
      <c r="W567" s="49"/>
      <c r="X567" s="49"/>
      <c r="Y567" s="49"/>
      <c r="Z567" s="49"/>
    </row>
    <row r="568">
      <c r="A568" s="49" t="str">
        <f>IFERROR(__xludf.DUMMYFUNCTION("""COMPUTED_VALUE"""),"Steel Bandit Dagger")</f>
        <v>Steel Bandit Dagger</v>
      </c>
      <c r="B568" s="49"/>
      <c r="C568" s="49" t="str">
        <f>IFERROR(__xludf.DUMMYFUNCTION("""COMPUTED_VALUE"""),"Knife")</f>
        <v>Knife</v>
      </c>
      <c r="D568" s="49" t="str">
        <f>IFERROR(__xludf.DUMMYFUNCTION("""COMPUTED_VALUE"""),"Hand")</f>
        <v>Hand</v>
      </c>
      <c r="E568" s="49">
        <f>IFERROR(__xludf.DUMMYFUNCTION("""COMPUTED_VALUE"""),1000.0)</f>
        <v>1000</v>
      </c>
      <c r="F568" s="49" t="str">
        <f>IFERROR(__xludf.DUMMYFUNCTION("""COMPUTED_VALUE"""),"DMG: +50000 ++10% chance to steal gilders upon hitting an enemy guilders stolen are equivalent to 1,000*d20")</f>
        <v>DMG: +50000 ++10% chance to steal gilders upon hitting an enemy guilders stolen are equivalent to 1,000*d20</v>
      </c>
      <c r="G568" s="49">
        <f>IFERROR(__xludf.DUMMYFUNCTION("""COMPUTED_VALUE"""),4.95E7)</f>
        <v>49500000</v>
      </c>
      <c r="H568" s="49"/>
      <c r="I568" s="49"/>
      <c r="J568" s="49"/>
      <c r="K568" s="49"/>
      <c r="L568" s="49"/>
      <c r="M568" s="49"/>
      <c r="N568" s="49"/>
      <c r="O568" s="49"/>
      <c r="P568" s="49"/>
      <c r="Q568" s="49"/>
      <c r="R568" s="49"/>
      <c r="S568" s="49"/>
      <c r="T568" s="49"/>
      <c r="U568" s="49"/>
      <c r="V568" s="49"/>
      <c r="W568" s="49"/>
      <c r="X568" s="49"/>
      <c r="Y568" s="49"/>
      <c r="Z568" s="49"/>
    </row>
    <row r="569">
      <c r="A569" s="49" t="str">
        <f>IFERROR(__xludf.DUMMYFUNCTION("""COMPUTED_VALUE"""),"Bandit Hide Helm")</f>
        <v>Bandit Hide Helm</v>
      </c>
      <c r="B569" s="49"/>
      <c r="C569" s="49"/>
      <c r="D569" s="49" t="str">
        <f>IFERROR(__xludf.DUMMYFUNCTION("""COMPUTED_VALUE"""),"Head")</f>
        <v>Head</v>
      </c>
      <c r="E569" s="49">
        <f>IFERROR(__xludf.DUMMYFUNCTION("""COMPUTED_VALUE"""),1000.0)</f>
        <v>1000</v>
      </c>
      <c r="F569" s="49" t="str">
        <f>IFERROR(__xludf.DUMMYFUNCTION("""COMPUTED_VALUE"""),"DEF: +50000")</f>
        <v>DEF: +50000</v>
      </c>
      <c r="G569" s="49">
        <f>IFERROR(__xludf.DUMMYFUNCTION("""COMPUTED_VALUE"""),4.95E7)</f>
        <v>49500000</v>
      </c>
      <c r="H569" s="49"/>
      <c r="I569" s="49"/>
      <c r="J569" s="49"/>
      <c r="K569" s="49"/>
      <c r="L569" s="49"/>
      <c r="M569" s="49"/>
      <c r="N569" s="49"/>
      <c r="O569" s="49"/>
      <c r="P569" s="49"/>
      <c r="Q569" s="49"/>
      <c r="R569" s="49"/>
      <c r="S569" s="49"/>
      <c r="T569" s="49"/>
      <c r="U569" s="49"/>
      <c r="V569" s="49"/>
      <c r="W569" s="49"/>
      <c r="X569" s="49"/>
      <c r="Y569" s="49"/>
      <c r="Z569" s="49"/>
    </row>
    <row r="570">
      <c r="A570" s="49" t="str">
        <f>IFERROR(__xludf.DUMMYFUNCTION("""COMPUTED_VALUE"""),"Bandit Hide Padding")</f>
        <v>Bandit Hide Padding</v>
      </c>
      <c r="B570" s="49"/>
      <c r="C570" s="49"/>
      <c r="D570" s="49" t="str">
        <f>IFERROR(__xludf.DUMMYFUNCTION("""COMPUTED_VALUE"""),"Shoulders")</f>
        <v>Shoulders</v>
      </c>
      <c r="E570" s="49">
        <f>IFERROR(__xludf.DUMMYFUNCTION("""COMPUTED_VALUE"""),1000.0)</f>
        <v>1000</v>
      </c>
      <c r="F570" s="49" t="str">
        <f>IFERROR(__xludf.DUMMYFUNCTION("""COMPUTED_VALUE"""),"DEF: +50000")</f>
        <v>DEF: +50000</v>
      </c>
      <c r="G570" s="49">
        <f>IFERROR(__xludf.DUMMYFUNCTION("""COMPUTED_VALUE"""),4.95E7)</f>
        <v>49500000</v>
      </c>
      <c r="H570" s="49"/>
      <c r="I570" s="49"/>
      <c r="J570" s="49"/>
      <c r="K570" s="49"/>
      <c r="L570" s="49"/>
      <c r="M570" s="49"/>
      <c r="N570" s="49"/>
      <c r="O570" s="49"/>
      <c r="P570" s="49"/>
      <c r="Q570" s="49"/>
      <c r="R570" s="49"/>
      <c r="S570" s="49"/>
      <c r="T570" s="49"/>
      <c r="U570" s="49"/>
      <c r="V570" s="49"/>
      <c r="W570" s="49"/>
      <c r="X570" s="49"/>
      <c r="Y570" s="49"/>
      <c r="Z570" s="49"/>
    </row>
    <row r="571">
      <c r="A571" s="49" t="str">
        <f>IFERROR(__xludf.DUMMYFUNCTION("""COMPUTED_VALUE"""),"Bandit Hide Chestplate")</f>
        <v>Bandit Hide Chestplate</v>
      </c>
      <c r="B571" s="49"/>
      <c r="C571" s="49"/>
      <c r="D571" s="49" t="str">
        <f>IFERROR(__xludf.DUMMYFUNCTION("""COMPUTED_VALUE"""),"Torso")</f>
        <v>Torso</v>
      </c>
      <c r="E571" s="49">
        <f>IFERROR(__xludf.DUMMYFUNCTION("""COMPUTED_VALUE"""),1000.0)</f>
        <v>1000</v>
      </c>
      <c r="F571" s="49" t="str">
        <f>IFERROR(__xludf.DUMMYFUNCTION("""COMPUTED_VALUE"""),"DEF: +50000 ++X2 damage with Knives")</f>
        <v>DEF: +50000 ++X2 damage with Knives</v>
      </c>
      <c r="G571" s="49">
        <f>IFERROR(__xludf.DUMMYFUNCTION("""COMPUTED_VALUE"""),4.95E7)</f>
        <v>49500000</v>
      </c>
      <c r="H571" s="49"/>
      <c r="I571" s="49"/>
      <c r="J571" s="49"/>
      <c r="K571" s="49"/>
      <c r="L571" s="49"/>
      <c r="M571" s="49"/>
      <c r="N571" s="49"/>
      <c r="O571" s="49"/>
      <c r="P571" s="49"/>
      <c r="Q571" s="49"/>
      <c r="R571" s="49"/>
      <c r="S571" s="49"/>
      <c r="T571" s="49"/>
      <c r="U571" s="49"/>
      <c r="V571" s="49"/>
      <c r="W571" s="49"/>
      <c r="X571" s="49"/>
      <c r="Y571" s="49"/>
      <c r="Z571" s="49"/>
    </row>
    <row r="572">
      <c r="A572" s="49" t="str">
        <f>IFERROR(__xludf.DUMMYFUNCTION("""COMPUTED_VALUE"""),"Bandit Hide Vambraces")</f>
        <v>Bandit Hide Vambraces</v>
      </c>
      <c r="B572" s="49"/>
      <c r="C572" s="49"/>
      <c r="D572" s="49" t="str">
        <f>IFERROR(__xludf.DUMMYFUNCTION("""COMPUTED_VALUE"""),"Arms")</f>
        <v>Arms</v>
      </c>
      <c r="E572" s="49">
        <f>IFERROR(__xludf.DUMMYFUNCTION("""COMPUTED_VALUE"""),1000.0)</f>
        <v>1000</v>
      </c>
      <c r="F572" s="49" t="str">
        <f>IFERROR(__xludf.DUMMYFUNCTION("""COMPUTED_VALUE"""),"DEF: +50000")</f>
        <v>DEF: +50000</v>
      </c>
      <c r="G572" s="49">
        <f>IFERROR(__xludf.DUMMYFUNCTION("""COMPUTED_VALUE"""),4.95E7)</f>
        <v>49500000</v>
      </c>
      <c r="H572" s="49"/>
      <c r="I572" s="49"/>
      <c r="J572" s="49"/>
      <c r="K572" s="49"/>
      <c r="L572" s="49"/>
      <c r="M572" s="49"/>
      <c r="N572" s="49"/>
      <c r="O572" s="49"/>
      <c r="P572" s="49"/>
      <c r="Q572" s="49"/>
      <c r="R572" s="49"/>
      <c r="S572" s="49"/>
      <c r="T572" s="49"/>
      <c r="U572" s="49"/>
      <c r="V572" s="49"/>
      <c r="W572" s="49"/>
      <c r="X572" s="49"/>
      <c r="Y572" s="49"/>
      <c r="Z572" s="49"/>
    </row>
    <row r="573">
      <c r="A573" s="49" t="str">
        <f>IFERROR(__xludf.DUMMYFUNCTION("""COMPUTED_VALUE"""),"Bandit Hide Greaves")</f>
        <v>Bandit Hide Greaves</v>
      </c>
      <c r="B573" s="49"/>
      <c r="C573" s="49"/>
      <c r="D573" s="49" t="str">
        <f>IFERROR(__xludf.DUMMYFUNCTION("""COMPUTED_VALUE"""),"Legs")</f>
        <v>Legs</v>
      </c>
      <c r="E573" s="49">
        <f>IFERROR(__xludf.DUMMYFUNCTION("""COMPUTED_VALUE"""),1000.0)</f>
        <v>1000</v>
      </c>
      <c r="F573" s="49" t="str">
        <f>IFERROR(__xludf.DUMMYFUNCTION("""COMPUTED_VALUE"""),"DEF: +50000")</f>
        <v>DEF: +50000</v>
      </c>
      <c r="G573" s="49">
        <f>IFERROR(__xludf.DUMMYFUNCTION("""COMPUTED_VALUE"""),4.95E7)</f>
        <v>49500000</v>
      </c>
      <c r="H573" s="49"/>
      <c r="I573" s="49"/>
      <c r="J573" s="49"/>
      <c r="K573" s="49"/>
      <c r="L573" s="49"/>
      <c r="M573" s="49"/>
      <c r="N573" s="49"/>
      <c r="O573" s="49"/>
      <c r="P573" s="49"/>
      <c r="Q573" s="49"/>
      <c r="R573" s="49"/>
      <c r="S573" s="49"/>
      <c r="T573" s="49"/>
      <c r="U573" s="49"/>
      <c r="V573" s="49"/>
      <c r="W573" s="49"/>
      <c r="X573" s="49"/>
      <c r="Y573" s="49"/>
      <c r="Z573" s="49"/>
    </row>
    <row r="574">
      <c r="A574" s="49" t="str">
        <f>IFERROR(__xludf.DUMMYFUNCTION("""COMPUTED_VALUE"""),"Bandit Hide Boots")</f>
        <v>Bandit Hide Boots</v>
      </c>
      <c r="B574" s="49"/>
      <c r="C574" s="49"/>
      <c r="D574" s="49" t="str">
        <f>IFERROR(__xludf.DUMMYFUNCTION("""COMPUTED_VALUE"""),"Feet")</f>
        <v>Feet</v>
      </c>
      <c r="E574" s="49">
        <f>IFERROR(__xludf.DUMMYFUNCTION("""COMPUTED_VALUE"""),1000.0)</f>
        <v>1000</v>
      </c>
      <c r="F574" s="49" t="str">
        <f>IFERROR(__xludf.DUMMYFUNCTION("""COMPUTED_VALUE"""),"DEF: +50000  ++5 to all confiscate, pickpocket, or take rolls")</f>
        <v>DEF: +50000  ++5 to all confiscate, pickpocket, or take rolls</v>
      </c>
      <c r="G574" s="49">
        <f>IFERROR(__xludf.DUMMYFUNCTION("""COMPUTED_VALUE"""),4.95E7)</f>
        <v>49500000</v>
      </c>
      <c r="H574" s="49"/>
      <c r="I574" s="49"/>
      <c r="J574" s="49"/>
      <c r="K574" s="49"/>
      <c r="L574" s="49"/>
      <c r="M574" s="49"/>
      <c r="N574" s="49"/>
      <c r="O574" s="49"/>
      <c r="P574" s="49"/>
      <c r="Q574" s="49"/>
      <c r="R574" s="49"/>
      <c r="S574" s="49"/>
      <c r="T574" s="49"/>
      <c r="U574" s="49"/>
      <c r="V574" s="49"/>
      <c r="W574" s="49"/>
      <c r="X574" s="49"/>
      <c r="Y574" s="49"/>
      <c r="Z574" s="49"/>
    </row>
    <row r="575">
      <c r="A575" s="49" t="str">
        <f>IFERROR(__xludf.DUMMYFUNCTION("""COMPUTED_VALUE"""),"Nunchucks")</f>
        <v>Nunchucks</v>
      </c>
      <c r="B575" s="49"/>
      <c r="C575" s="49" t="str">
        <f>IFERROR(__xludf.DUMMYFUNCTION("""COMPUTED_VALUE"""),"Club")</f>
        <v>Club</v>
      </c>
      <c r="D575" s="49" t="str">
        <f>IFERROR(__xludf.DUMMYFUNCTION("""COMPUTED_VALUE"""),"Hand")</f>
        <v>Hand</v>
      </c>
      <c r="E575" s="49">
        <f>IFERROR(__xludf.DUMMYFUNCTION("""COMPUTED_VALUE"""),3000.0)</f>
        <v>3000</v>
      </c>
      <c r="F575" s="49" t="str">
        <f>IFERROR(__xludf.DUMMYFUNCTION("""COMPUTED_VALUE"""),"DMG: +150000 ++10% chance to disarm your enemy when hitting them")</f>
        <v>DMG: +150000 ++10% chance to disarm your enemy when hitting them</v>
      </c>
      <c r="G575" s="49">
        <f>IFERROR(__xludf.DUMMYFUNCTION("""COMPUTED_VALUE"""),4.485E8)</f>
        <v>448500000</v>
      </c>
      <c r="H575" s="49"/>
      <c r="I575" s="49"/>
      <c r="J575" s="49"/>
      <c r="K575" s="49"/>
      <c r="L575" s="49"/>
      <c r="M575" s="49"/>
      <c r="N575" s="49"/>
      <c r="O575" s="49"/>
      <c r="P575" s="49"/>
      <c r="Q575" s="49"/>
      <c r="R575" s="49"/>
      <c r="S575" s="49"/>
      <c r="T575" s="49"/>
      <c r="U575" s="49"/>
      <c r="V575" s="49"/>
      <c r="W575" s="49"/>
      <c r="X575" s="49"/>
      <c r="Y575" s="49"/>
      <c r="Z575" s="49"/>
    </row>
    <row r="576">
      <c r="A576" s="49" t="str">
        <f>IFERROR(__xludf.DUMMYFUNCTION("""COMPUTED_VALUE"""),"Shuriken (Enhanced)")</f>
        <v>Shuriken (Enhanced)</v>
      </c>
      <c r="B576" s="49" t="str">
        <f>IFERROR(__xludf.DUMMYFUNCTION("""COMPUTED_VALUE"""),"the tantamount Ninja weapon, requires a level of dexterity you probably don't possess")</f>
        <v>the tantamount Ninja weapon, requires a level of dexterity you probably don't possess</v>
      </c>
      <c r="C576" s="49" t="str">
        <f>IFERROR(__xludf.DUMMYFUNCTION("""COMPUTED_VALUE"""),"Boomerang")</f>
        <v>Boomerang</v>
      </c>
      <c r="D576" s="49" t="str">
        <f>IFERROR(__xludf.DUMMYFUNCTION("""COMPUTED_VALUE"""),"Hand")</f>
        <v>Hand</v>
      </c>
      <c r="E576" s="49">
        <f>IFERROR(__xludf.DUMMYFUNCTION("""COMPUTED_VALUE"""),1500.0)</f>
        <v>1500</v>
      </c>
      <c r="F576" s="49" t="str">
        <f>IFERROR(__xludf.DUMMYFUNCTION("""COMPUTED_VALUE"""),"DMG: +50000, Blood DMG: +25000 ++Returns when thrown, can throw up to 4 in one attack (roll 1d4 to determine)")</f>
        <v>DMG: +50000, Blood DMG: +25000 ++Returns when thrown, can throw up to 4 in one attack (roll 1d4 to determine)</v>
      </c>
      <c r="G576" s="49">
        <f>IFERROR(__xludf.DUMMYFUNCTION("""COMPUTED_VALUE"""),1.1175E8)</f>
        <v>111750000</v>
      </c>
      <c r="H576" s="49"/>
      <c r="I576" s="49"/>
      <c r="J576" s="49"/>
      <c r="K576" s="49"/>
      <c r="L576" s="49"/>
      <c r="M576" s="49"/>
      <c r="N576" s="49"/>
      <c r="O576" s="49"/>
      <c r="P576" s="49"/>
      <c r="Q576" s="49"/>
      <c r="R576" s="49"/>
      <c r="S576" s="49"/>
      <c r="T576" s="49"/>
      <c r="U576" s="49"/>
      <c r="V576" s="49"/>
      <c r="W576" s="49"/>
      <c r="X576" s="49"/>
      <c r="Y576" s="49"/>
      <c r="Z576" s="49"/>
    </row>
    <row r="577">
      <c r="A577" s="49" t="str">
        <f>IFERROR(__xludf.DUMMYFUNCTION("""COMPUTED_VALUE"""),"Poison Dart Gun")</f>
        <v>Poison Dart Gun</v>
      </c>
      <c r="B577" s="49"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49" t="str">
        <f>IFERROR(__xludf.DUMMYFUNCTION("""COMPUTED_VALUE"""),"Firearm")</f>
        <v>Firearm</v>
      </c>
      <c r="D577" s="49" t="str">
        <f>IFERROR(__xludf.DUMMYFUNCTION("""COMPUTED_VALUE"""),"Hand")</f>
        <v>Hand</v>
      </c>
      <c r="E577" s="49">
        <f>IFERROR(__xludf.DUMMYFUNCTION("""COMPUTED_VALUE"""),2000.0)</f>
        <v>2000</v>
      </c>
      <c r="F577" s="49" t="str">
        <f>IFERROR(__xludf.DUMMYFUNCTION("""COMPUTED_VALUE"""),"DMG: +75000, Voodoo DMG: +25000 ++Inflicts Poison 2500 for 2 rounds. ++Uses darts as ammo")</f>
        <v>DMG: +75000, Voodoo DMG: +25000 ++Inflicts Poison 2500 for 2 rounds. ++Uses darts as ammo</v>
      </c>
      <c r="G577" s="49">
        <f>IFERROR(__xludf.DUMMYFUNCTION("""COMPUTED_VALUE"""),1.99E8)</f>
        <v>199000000</v>
      </c>
      <c r="H577" s="49"/>
      <c r="I577" s="49"/>
      <c r="J577" s="49"/>
      <c r="K577" s="49"/>
      <c r="L577" s="49"/>
      <c r="M577" s="49"/>
      <c r="N577" s="49"/>
      <c r="O577" s="49"/>
      <c r="P577" s="49"/>
      <c r="Q577" s="49"/>
      <c r="R577" s="49"/>
      <c r="S577" s="49"/>
      <c r="T577" s="49"/>
      <c r="U577" s="49"/>
      <c r="V577" s="49"/>
      <c r="W577" s="49"/>
      <c r="X577" s="49"/>
      <c r="Y577" s="49"/>
      <c r="Z577" s="49"/>
    </row>
    <row r="578">
      <c r="A578" s="49" t="str">
        <f>IFERROR(__xludf.DUMMYFUNCTION("""COMPUTED_VALUE"""),"Poison Tipped Needle")</f>
        <v>Poison Tipped Needle</v>
      </c>
      <c r="B578" s="49" t="str">
        <f>IFERROR(__xludf.DUMMYFUNCTION("""COMPUTED_VALUE"""),"A needle dipped in master Wushang's thousand poisons or some other Wuxia novel esque bullshit")</f>
        <v>A needle dipped in master Wushang's thousand poisons or some other Wuxia novel esque bullshit</v>
      </c>
      <c r="C578" s="49" t="str">
        <f>IFERROR(__xludf.DUMMYFUNCTION("""COMPUTED_VALUE"""),"Knife")</f>
        <v>Knife</v>
      </c>
      <c r="D578" s="49" t="str">
        <f>IFERROR(__xludf.DUMMYFUNCTION("""COMPUTED_VALUE"""),"Hand")</f>
        <v>Hand</v>
      </c>
      <c r="E578" s="49">
        <f>IFERROR(__xludf.DUMMYFUNCTION("""COMPUTED_VALUE"""),2000.0)</f>
        <v>2000</v>
      </c>
      <c r="F578" s="49" t="str">
        <f>IFERROR(__xludf.DUMMYFUNCTION("""COMPUTED_VALUE"""),"DMG: +75000, Voodoo DMG: +25000 ++When rolling a Natural 19 or 20 deals X3 Damage. ++Inflicts Poison 100")</f>
        <v>DMG: +75000, Voodoo DMG: +25000 ++When rolling a Natural 19 or 20 deals X3 Damage. ++Inflicts Poison 100</v>
      </c>
      <c r="G578" s="49">
        <f>IFERROR(__xludf.DUMMYFUNCTION("""COMPUTED_VALUE"""),1.99E8)</f>
        <v>199000000</v>
      </c>
      <c r="H578" s="49"/>
      <c r="I578" s="49"/>
      <c r="J578" s="49"/>
      <c r="K578" s="49"/>
      <c r="L578" s="49"/>
      <c r="M578" s="49"/>
      <c r="N578" s="49"/>
      <c r="O578" s="49"/>
      <c r="P578" s="49"/>
      <c r="Q578" s="49"/>
      <c r="R578" s="49"/>
      <c r="S578" s="49"/>
      <c r="T578" s="49"/>
      <c r="U578" s="49"/>
      <c r="V578" s="49"/>
      <c r="W578" s="49"/>
      <c r="X578" s="49"/>
      <c r="Y578" s="49"/>
      <c r="Z578" s="49"/>
    </row>
    <row r="579">
      <c r="A579" s="49" t="str">
        <f>IFERROR(__xludf.DUMMYFUNCTION("""COMPUTED_VALUE"""),"Katana (Enhanced)")</f>
        <v>Katana (Enhanced)</v>
      </c>
      <c r="B579" s="49" t="str">
        <f>IFERROR(__xludf.DUMMYFUNCTION("""COMPUTED_VALUE"""),"The sword of weebs and actual samurai alike, surprisingly yes, weebs do exist in Spira")</f>
        <v>The sword of weebs and actual samurai alike, surprisingly yes, weebs do exist in Spira</v>
      </c>
      <c r="C579" s="49" t="str">
        <f>IFERROR(__xludf.DUMMYFUNCTION("""COMPUTED_VALUE"""),"Sword")</f>
        <v>Sword</v>
      </c>
      <c r="D579" s="49" t="str">
        <f>IFERROR(__xludf.DUMMYFUNCTION("""COMPUTED_VALUE"""),"Hand")</f>
        <v>Hand</v>
      </c>
      <c r="E579" s="49">
        <f>IFERROR(__xludf.DUMMYFUNCTION("""COMPUTED_VALUE"""),2500.0)</f>
        <v>2500</v>
      </c>
      <c r="F579" s="49" t="str">
        <f>IFERROR(__xludf.DUMMYFUNCTION("""COMPUTED_VALUE"""),"DMG: +125000 ++Triples the chance for the sword ability to activate, +-Cannot be Forged")</f>
        <v>DMG: +125000 ++Triples the chance for the sword ability to activate, +-Cannot be Forged</v>
      </c>
      <c r="G579" s="49">
        <f>IFERROR(__xludf.DUMMYFUNCTION("""COMPUTED_VALUE"""),3.1125E8)</f>
        <v>311250000</v>
      </c>
      <c r="H579" s="49"/>
      <c r="I579" s="49"/>
      <c r="J579" s="49"/>
      <c r="K579" s="49"/>
      <c r="L579" s="49"/>
      <c r="M579" s="49"/>
      <c r="N579" s="49"/>
      <c r="O579" s="49"/>
      <c r="P579" s="49"/>
      <c r="Q579" s="49"/>
      <c r="R579" s="49"/>
      <c r="S579" s="49"/>
      <c r="T579" s="49"/>
      <c r="U579" s="49"/>
      <c r="V579" s="49"/>
      <c r="W579" s="49"/>
      <c r="X579" s="49"/>
      <c r="Y579" s="49"/>
      <c r="Z579" s="49"/>
    </row>
    <row r="580">
      <c r="A580" s="49" t="str">
        <f>IFERROR(__xludf.DUMMYFUNCTION("""COMPUTED_VALUE"""),"Ninja Initiate's Cowl")</f>
        <v>Ninja Initiate's Cowl</v>
      </c>
      <c r="B580" s="49" t="str">
        <f>IFERROR(__xludf.DUMMYFUNCTION("""COMPUTED_VALUE"""),"Armor given to newbie Ninja's who have yet to choose a master")</f>
        <v>Armor given to newbie Ninja's who have yet to choose a master</v>
      </c>
      <c r="C580" s="49"/>
      <c r="D580" s="49" t="str">
        <f>IFERROR(__xludf.DUMMYFUNCTION("""COMPUTED_VALUE"""),"Head")</f>
        <v>Head</v>
      </c>
      <c r="E580" s="49">
        <f>IFERROR(__xludf.DUMMYFUNCTION("""COMPUTED_VALUE"""),2500.0)</f>
        <v>2500</v>
      </c>
      <c r="F580" s="49" t="str">
        <f>IFERROR(__xludf.DUMMYFUNCTION("""COMPUTED_VALUE"""),"DEF: +125000 ++X2 damage with Knives")</f>
        <v>DEF: +125000 ++X2 damage with Knives</v>
      </c>
      <c r="G580" s="49">
        <f>IFERROR(__xludf.DUMMYFUNCTION("""COMPUTED_VALUE"""),3.1125E8)</f>
        <v>311250000</v>
      </c>
      <c r="H580" s="49"/>
      <c r="I580" s="49"/>
      <c r="J580" s="49"/>
      <c r="K580" s="49"/>
      <c r="L580" s="49"/>
      <c r="M580" s="49"/>
      <c r="N580" s="49"/>
      <c r="O580" s="49"/>
      <c r="P580" s="49"/>
      <c r="Q580" s="49"/>
      <c r="R580" s="49"/>
      <c r="S580" s="49"/>
      <c r="T580" s="49"/>
      <c r="U580" s="49"/>
      <c r="V580" s="49"/>
      <c r="W580" s="49"/>
      <c r="X580" s="49"/>
      <c r="Y580" s="49"/>
      <c r="Z580" s="49"/>
    </row>
    <row r="581">
      <c r="A581" s="49" t="str">
        <f>IFERROR(__xludf.DUMMYFUNCTION("""COMPUTED_VALUE"""),"Ninja Initiate's Cape")</f>
        <v>Ninja Initiate's Cape</v>
      </c>
      <c r="B581" s="49" t="str">
        <f>IFERROR(__xludf.DUMMYFUNCTION("""COMPUTED_VALUE"""),"Armor given to newbie Ninja's who have yet to choose a master")</f>
        <v>Armor given to newbie Ninja's who have yet to choose a master</v>
      </c>
      <c r="C581" s="49"/>
      <c r="D581" s="49" t="str">
        <f>IFERROR(__xludf.DUMMYFUNCTION("""COMPUTED_VALUE"""),"Shoulders")</f>
        <v>Shoulders</v>
      </c>
      <c r="E581" s="49">
        <f>IFERROR(__xludf.DUMMYFUNCTION("""COMPUTED_VALUE"""),2500.0)</f>
        <v>2500</v>
      </c>
      <c r="F581" s="49" t="str">
        <f>IFERROR(__xludf.DUMMYFUNCTION("""COMPUTED_VALUE"""),"DEF: +125000 ++X2 damage with Knives")</f>
        <v>DEF: +125000 ++X2 damage with Knives</v>
      </c>
      <c r="G581" s="49">
        <f>IFERROR(__xludf.DUMMYFUNCTION("""COMPUTED_VALUE"""),3.1125E8)</f>
        <v>311250000</v>
      </c>
      <c r="H581" s="49"/>
      <c r="I581" s="49"/>
      <c r="J581" s="49"/>
      <c r="K581" s="49"/>
      <c r="L581" s="49"/>
      <c r="M581" s="49"/>
      <c r="N581" s="49"/>
      <c r="O581" s="49"/>
      <c r="P581" s="49"/>
      <c r="Q581" s="49"/>
      <c r="R581" s="49"/>
      <c r="S581" s="49"/>
      <c r="T581" s="49"/>
      <c r="U581" s="49"/>
      <c r="V581" s="49"/>
      <c r="W581" s="49"/>
      <c r="X581" s="49"/>
      <c r="Y581" s="49"/>
      <c r="Z581" s="49"/>
    </row>
    <row r="582">
      <c r="A582" s="49" t="str">
        <f>IFERROR(__xludf.DUMMYFUNCTION("""COMPUTED_VALUE"""),"Ninja Initiate's Vest")</f>
        <v>Ninja Initiate's Vest</v>
      </c>
      <c r="B582" s="49" t="str">
        <f>IFERROR(__xludf.DUMMYFUNCTION("""COMPUTED_VALUE"""),"Armor given to newbie Ninja's who have yet to choose a master")</f>
        <v>Armor given to newbie Ninja's who have yet to choose a master</v>
      </c>
      <c r="C582" s="49"/>
      <c r="D582" s="49" t="str">
        <f>IFERROR(__xludf.DUMMYFUNCTION("""COMPUTED_VALUE"""),"Torso")</f>
        <v>Torso</v>
      </c>
      <c r="E582" s="49">
        <f>IFERROR(__xludf.DUMMYFUNCTION("""COMPUTED_VALUE"""),2500.0)</f>
        <v>2500</v>
      </c>
      <c r="F582" s="49" t="str">
        <f>IFERROR(__xludf.DUMMYFUNCTION("""COMPUTED_VALUE"""),"DEF: +125000 ++X2 damage with Knives")</f>
        <v>DEF: +125000 ++X2 damage with Knives</v>
      </c>
      <c r="G582" s="49">
        <f>IFERROR(__xludf.DUMMYFUNCTION("""COMPUTED_VALUE"""),3.1125E8)</f>
        <v>311250000</v>
      </c>
      <c r="H582" s="49"/>
      <c r="I582" s="49"/>
      <c r="J582" s="49"/>
      <c r="K582" s="49"/>
      <c r="L582" s="49"/>
      <c r="M582" s="49"/>
      <c r="N582" s="49"/>
      <c r="O582" s="49"/>
      <c r="P582" s="49"/>
      <c r="Q582" s="49"/>
      <c r="R582" s="49"/>
      <c r="S582" s="49"/>
      <c r="T582" s="49"/>
      <c r="U582" s="49"/>
      <c r="V582" s="49"/>
      <c r="W582" s="49"/>
      <c r="X582" s="49"/>
      <c r="Y582" s="49"/>
      <c r="Z582" s="49"/>
    </row>
    <row r="583">
      <c r="A583" s="49" t="str">
        <f>IFERROR(__xludf.DUMMYFUNCTION("""COMPUTED_VALUE"""),"Ninja Initiate's Gloves")</f>
        <v>Ninja Initiate's Gloves</v>
      </c>
      <c r="B583" s="49" t="str">
        <f>IFERROR(__xludf.DUMMYFUNCTION("""COMPUTED_VALUE"""),"Armor given to newbie Ninja's who have yet to choose a master")</f>
        <v>Armor given to newbie Ninja's who have yet to choose a master</v>
      </c>
      <c r="C583" s="49"/>
      <c r="D583" s="49" t="str">
        <f>IFERROR(__xludf.DUMMYFUNCTION("""COMPUTED_VALUE"""),"Arms")</f>
        <v>Arms</v>
      </c>
      <c r="E583" s="49">
        <f>IFERROR(__xludf.DUMMYFUNCTION("""COMPUTED_VALUE"""),2500.0)</f>
        <v>2500</v>
      </c>
      <c r="F583" s="49" t="str">
        <f>IFERROR(__xludf.DUMMYFUNCTION("""COMPUTED_VALUE"""),"DEF: +125000 ++X2 damage with Knives")</f>
        <v>DEF: +125000 ++X2 damage with Knives</v>
      </c>
      <c r="G583" s="49">
        <f>IFERROR(__xludf.DUMMYFUNCTION("""COMPUTED_VALUE"""),3.1125E8)</f>
        <v>311250000</v>
      </c>
      <c r="H583" s="49"/>
      <c r="I583" s="49"/>
      <c r="J583" s="49"/>
      <c r="K583" s="49"/>
      <c r="L583" s="49"/>
      <c r="M583" s="49"/>
      <c r="N583" s="49"/>
      <c r="O583" s="49"/>
      <c r="P583" s="49"/>
      <c r="Q583" s="49"/>
      <c r="R583" s="49"/>
      <c r="S583" s="49"/>
      <c r="T583" s="49"/>
      <c r="U583" s="49"/>
      <c r="V583" s="49"/>
      <c r="W583" s="49"/>
      <c r="X583" s="49"/>
      <c r="Y583" s="49"/>
      <c r="Z583" s="49"/>
    </row>
    <row r="584">
      <c r="A584" s="49" t="str">
        <f>IFERROR(__xludf.DUMMYFUNCTION("""COMPUTED_VALUE"""),"Ninja Initiate's Sarouel")</f>
        <v>Ninja Initiate's Sarouel</v>
      </c>
      <c r="B584" s="49" t="str">
        <f>IFERROR(__xludf.DUMMYFUNCTION("""COMPUTED_VALUE"""),"Armor given to newbie Ninja's who have yet to choose a master")</f>
        <v>Armor given to newbie Ninja's who have yet to choose a master</v>
      </c>
      <c r="C584" s="49"/>
      <c r="D584" s="49" t="str">
        <f>IFERROR(__xludf.DUMMYFUNCTION("""COMPUTED_VALUE"""),"Legs")</f>
        <v>Legs</v>
      </c>
      <c r="E584" s="49">
        <f>IFERROR(__xludf.DUMMYFUNCTION("""COMPUTED_VALUE"""),2500.0)</f>
        <v>2500</v>
      </c>
      <c r="F584" s="49" t="str">
        <f>IFERROR(__xludf.DUMMYFUNCTION("""COMPUTED_VALUE"""),"DEF: +125000 ++X2 damage with Knives")</f>
        <v>DEF: +125000 ++X2 damage with Knives</v>
      </c>
      <c r="G584" s="49">
        <f>IFERROR(__xludf.DUMMYFUNCTION("""COMPUTED_VALUE"""),3.1125E8)</f>
        <v>311250000</v>
      </c>
      <c r="H584" s="49"/>
      <c r="I584" s="49"/>
      <c r="J584" s="49"/>
      <c r="K584" s="49"/>
      <c r="L584" s="49"/>
      <c r="M584" s="49"/>
      <c r="N584" s="49"/>
      <c r="O584" s="49"/>
      <c r="P584" s="49"/>
      <c r="Q584" s="49"/>
      <c r="R584" s="49"/>
      <c r="S584" s="49"/>
      <c r="T584" s="49"/>
      <c r="U584" s="49"/>
      <c r="V584" s="49"/>
      <c r="W584" s="49"/>
      <c r="X584" s="49"/>
      <c r="Y584" s="49"/>
      <c r="Z584" s="49"/>
    </row>
    <row r="585">
      <c r="A585" s="49" t="str">
        <f>IFERROR(__xludf.DUMMYFUNCTION("""COMPUTED_VALUE"""),"Ninja Initiate's Sandals")</f>
        <v>Ninja Initiate's Sandals</v>
      </c>
      <c r="B585" s="49" t="str">
        <f>IFERROR(__xludf.DUMMYFUNCTION("""COMPUTED_VALUE"""),"Armor given to newbie Ninja's who have yet to choose a master")</f>
        <v>Armor given to newbie Ninja's who have yet to choose a master</v>
      </c>
      <c r="C585" s="49"/>
      <c r="D585" s="49" t="str">
        <f>IFERROR(__xludf.DUMMYFUNCTION("""COMPUTED_VALUE"""),"Feet")</f>
        <v>Feet</v>
      </c>
      <c r="E585" s="49">
        <f>IFERROR(__xludf.DUMMYFUNCTION("""COMPUTED_VALUE"""),2500.0)</f>
        <v>2500</v>
      </c>
      <c r="F585" s="49" t="str">
        <f>IFERROR(__xludf.DUMMYFUNCTION("""COMPUTED_VALUE"""),"DEF: +125000 ++X2 damage with Knives")</f>
        <v>DEF: +125000 ++X2 damage with Knives</v>
      </c>
      <c r="G585" s="49">
        <f>IFERROR(__xludf.DUMMYFUNCTION("""COMPUTED_VALUE"""),3.1125E8)</f>
        <v>311250000</v>
      </c>
      <c r="H585" s="49"/>
      <c r="I585" s="49"/>
      <c r="J585" s="49"/>
      <c r="K585" s="49"/>
      <c r="L585" s="49"/>
      <c r="M585" s="49"/>
      <c r="N585" s="49"/>
      <c r="O585" s="49"/>
      <c r="P585" s="49"/>
      <c r="Q585" s="49"/>
      <c r="R585" s="49"/>
      <c r="S585" s="49"/>
      <c r="T585" s="49"/>
      <c r="U585" s="49"/>
      <c r="V585" s="49"/>
      <c r="W585" s="49"/>
      <c r="X585" s="49"/>
      <c r="Y585" s="49"/>
      <c r="Z585" s="49"/>
    </row>
    <row r="586">
      <c r="A586" s="49" t="str">
        <f>IFERROR(__xludf.DUMMYFUNCTION("""COMPUTED_VALUE"""),"Sai")</f>
        <v>Sai</v>
      </c>
      <c r="B586" s="49" t="str">
        <f>IFERROR(__xludf.DUMMYFUNCTION("""COMPUTED_VALUE"""),"A weapon designed for redirecting an enemies blade and then striking for their vitals")</f>
        <v>A weapon designed for redirecting an enemies blade and then striking for their vitals</v>
      </c>
      <c r="C586" s="49" t="str">
        <f>IFERROR(__xludf.DUMMYFUNCTION("""COMPUTED_VALUE"""),"Knife")</f>
        <v>Knife</v>
      </c>
      <c r="D586" s="49" t="str">
        <f>IFERROR(__xludf.DUMMYFUNCTION("""COMPUTED_VALUE"""),"Hand")</f>
        <v>Hand</v>
      </c>
      <c r="E586" s="49">
        <f>IFERROR(__xludf.DUMMYFUNCTION("""COMPUTED_VALUE"""),2500.0)</f>
        <v>2500</v>
      </c>
      <c r="F586" s="49"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49">
        <f>IFERROR(__xludf.DUMMYFUNCTION("""COMPUTED_VALUE"""),3.1125E8)</f>
        <v>311250000</v>
      </c>
      <c r="H586" s="49"/>
      <c r="I586" s="49"/>
      <c r="J586" s="49"/>
      <c r="K586" s="49"/>
      <c r="L586" s="49"/>
      <c r="M586" s="49"/>
      <c r="N586" s="49"/>
      <c r="O586" s="49"/>
      <c r="P586" s="49"/>
      <c r="Q586" s="49"/>
      <c r="R586" s="49"/>
      <c r="S586" s="49"/>
      <c r="T586" s="49"/>
      <c r="U586" s="49"/>
      <c r="V586" s="49"/>
      <c r="W586" s="49"/>
      <c r="X586" s="49"/>
      <c r="Y586" s="49"/>
      <c r="Z586" s="49"/>
    </row>
    <row r="587">
      <c r="A587" s="49" t="str">
        <f>IFERROR(__xludf.DUMMYFUNCTION("""COMPUTED_VALUE"""),"Poison Master's Mask")</f>
        <v>Poison Master's Mask</v>
      </c>
      <c r="B587" s="49"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49"/>
      <c r="D587" s="49" t="str">
        <f>IFERROR(__xludf.DUMMYFUNCTION("""COMPUTED_VALUE"""),"Head")</f>
        <v>Head</v>
      </c>
      <c r="E587" s="49">
        <f>IFERROR(__xludf.DUMMYFUNCTION("""COMPUTED_VALUE"""),2500.0)</f>
        <v>2500</v>
      </c>
      <c r="F587" s="49" t="str">
        <f>IFERROR(__xludf.DUMMYFUNCTION("""COMPUTED_VALUE"""),"DEF: +125000 ++X2 Poison damage")</f>
        <v>DEF: +125000 ++X2 Poison damage</v>
      </c>
      <c r="G587" s="49">
        <f>IFERROR(__xludf.DUMMYFUNCTION("""COMPUTED_VALUE"""),3.1125E8)</f>
        <v>311250000</v>
      </c>
      <c r="H587" s="49"/>
      <c r="I587" s="49"/>
      <c r="J587" s="49"/>
      <c r="K587" s="49"/>
      <c r="L587" s="49"/>
      <c r="M587" s="49"/>
      <c r="N587" s="49"/>
      <c r="O587" s="49"/>
      <c r="P587" s="49"/>
      <c r="Q587" s="49"/>
      <c r="R587" s="49"/>
      <c r="S587" s="49"/>
      <c r="T587" s="49"/>
      <c r="U587" s="49"/>
      <c r="V587" s="49"/>
      <c r="W587" s="49"/>
      <c r="X587" s="49"/>
      <c r="Y587" s="49"/>
      <c r="Z587" s="49"/>
    </row>
    <row r="588">
      <c r="A588" s="49" t="str">
        <f>IFERROR(__xludf.DUMMYFUNCTION("""COMPUTED_VALUE"""),"Poison Master's Cape")</f>
        <v>Poison Master's Cape</v>
      </c>
      <c r="B588" s="49"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49"/>
      <c r="D588" s="49" t="str">
        <f>IFERROR(__xludf.DUMMYFUNCTION("""COMPUTED_VALUE"""),"Shoulders")</f>
        <v>Shoulders</v>
      </c>
      <c r="E588" s="49">
        <f>IFERROR(__xludf.DUMMYFUNCTION("""COMPUTED_VALUE"""),2500.0)</f>
        <v>2500</v>
      </c>
      <c r="F588" s="49" t="str">
        <f>IFERROR(__xludf.DUMMYFUNCTION("""COMPUTED_VALUE"""),"DEF: +125000 ++X2 Poison damage")</f>
        <v>DEF: +125000 ++X2 Poison damage</v>
      </c>
      <c r="G588" s="49">
        <f>IFERROR(__xludf.DUMMYFUNCTION("""COMPUTED_VALUE"""),3.1125E8)</f>
        <v>311250000</v>
      </c>
      <c r="H588" s="49"/>
      <c r="I588" s="49"/>
      <c r="J588" s="49"/>
      <c r="K588" s="49"/>
      <c r="L588" s="49"/>
      <c r="M588" s="49"/>
      <c r="N588" s="49"/>
      <c r="O588" s="49"/>
      <c r="P588" s="49"/>
      <c r="Q588" s="49"/>
      <c r="R588" s="49"/>
      <c r="S588" s="49"/>
      <c r="T588" s="49"/>
      <c r="U588" s="49"/>
      <c r="V588" s="49"/>
      <c r="W588" s="49"/>
      <c r="X588" s="49"/>
      <c r="Y588" s="49"/>
      <c r="Z588" s="49"/>
    </row>
    <row r="589">
      <c r="A589" s="49" t="str">
        <f>IFERROR(__xludf.DUMMYFUNCTION("""COMPUTED_VALUE"""),"Poison Master's Robe")</f>
        <v>Poison Master's Robe</v>
      </c>
      <c r="B589" s="49"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49"/>
      <c r="D589" s="49" t="str">
        <f>IFERROR(__xludf.DUMMYFUNCTION("""COMPUTED_VALUE"""),"Torso")</f>
        <v>Torso</v>
      </c>
      <c r="E589" s="49">
        <f>IFERROR(__xludf.DUMMYFUNCTION("""COMPUTED_VALUE"""),2500.0)</f>
        <v>2500</v>
      </c>
      <c r="F589" s="49" t="str">
        <f>IFERROR(__xludf.DUMMYFUNCTION("""COMPUTED_VALUE"""),"DEF: +125000")</f>
        <v>DEF: +125000</v>
      </c>
      <c r="G589" s="49">
        <f>IFERROR(__xludf.DUMMYFUNCTION("""COMPUTED_VALUE"""),3.1125E8)</f>
        <v>311250000</v>
      </c>
      <c r="H589" s="49"/>
      <c r="I589" s="49"/>
      <c r="J589" s="49"/>
      <c r="K589" s="49"/>
      <c r="L589" s="49"/>
      <c r="M589" s="49"/>
      <c r="N589" s="49"/>
      <c r="O589" s="49"/>
      <c r="P589" s="49"/>
      <c r="Q589" s="49"/>
      <c r="R589" s="49"/>
      <c r="S589" s="49"/>
      <c r="T589" s="49"/>
      <c r="U589" s="49"/>
      <c r="V589" s="49"/>
      <c r="W589" s="49"/>
      <c r="X589" s="49"/>
      <c r="Y589" s="49"/>
      <c r="Z589" s="49"/>
    </row>
    <row r="590">
      <c r="A590" s="49" t="str">
        <f>IFERROR(__xludf.DUMMYFUNCTION("""COMPUTED_VALUE"""),"Poison Master's Heavy Duty Gloves")</f>
        <v>Poison Master's Heavy Duty Gloves</v>
      </c>
      <c r="B590" s="49"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49"/>
      <c r="D590" s="49" t="str">
        <f>IFERROR(__xludf.DUMMYFUNCTION("""COMPUTED_VALUE"""),"Arms")</f>
        <v>Arms</v>
      </c>
      <c r="E590" s="49">
        <f>IFERROR(__xludf.DUMMYFUNCTION("""COMPUTED_VALUE"""),2500.0)</f>
        <v>2500</v>
      </c>
      <c r="F590" s="49" t="str">
        <f>IFERROR(__xludf.DUMMYFUNCTION("""COMPUTED_VALUE"""),"DEF: +125000 ++Poison Immunity")</f>
        <v>DEF: +125000 ++Poison Immunity</v>
      </c>
      <c r="G590" s="49">
        <f>IFERROR(__xludf.DUMMYFUNCTION("""COMPUTED_VALUE"""),3.1125E8)</f>
        <v>311250000</v>
      </c>
      <c r="H590" s="49"/>
      <c r="I590" s="49"/>
      <c r="J590" s="49"/>
      <c r="K590" s="49"/>
      <c r="L590" s="49"/>
      <c r="M590" s="49"/>
      <c r="N590" s="49"/>
      <c r="O590" s="49"/>
      <c r="P590" s="49"/>
      <c r="Q590" s="49"/>
      <c r="R590" s="49"/>
      <c r="S590" s="49"/>
      <c r="T590" s="49"/>
      <c r="U590" s="49"/>
      <c r="V590" s="49"/>
      <c r="W590" s="49"/>
      <c r="X590" s="49"/>
      <c r="Y590" s="49"/>
      <c r="Z590" s="49"/>
    </row>
    <row r="591">
      <c r="A591" s="49" t="str">
        <f>IFERROR(__xludf.DUMMYFUNCTION("""COMPUTED_VALUE"""),"Poison Master's Sarouel")</f>
        <v>Poison Master's Sarouel</v>
      </c>
      <c r="B591" s="49"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49"/>
      <c r="D591" s="49" t="str">
        <f>IFERROR(__xludf.DUMMYFUNCTION("""COMPUTED_VALUE"""),"Legs")</f>
        <v>Legs</v>
      </c>
      <c r="E591" s="49">
        <f>IFERROR(__xludf.DUMMYFUNCTION("""COMPUTED_VALUE"""),2500.0)</f>
        <v>2500</v>
      </c>
      <c r="F591" s="49" t="str">
        <f>IFERROR(__xludf.DUMMYFUNCTION("""COMPUTED_VALUE"""),"DEF: +125000")</f>
        <v>DEF: +125000</v>
      </c>
      <c r="G591" s="49">
        <f>IFERROR(__xludf.DUMMYFUNCTION("""COMPUTED_VALUE"""),3.1125E8)</f>
        <v>311250000</v>
      </c>
      <c r="H591" s="49"/>
      <c r="I591" s="49"/>
      <c r="J591" s="49"/>
      <c r="K591" s="49"/>
      <c r="L591" s="49"/>
      <c r="M591" s="49"/>
      <c r="N591" s="49"/>
      <c r="O591" s="49"/>
      <c r="P591" s="49"/>
      <c r="Q591" s="49"/>
      <c r="R591" s="49"/>
      <c r="S591" s="49"/>
      <c r="T591" s="49"/>
      <c r="U591" s="49"/>
      <c r="V591" s="49"/>
      <c r="W591" s="49"/>
      <c r="X591" s="49"/>
      <c r="Y591" s="49"/>
      <c r="Z591" s="49"/>
    </row>
    <row r="592">
      <c r="A592" s="49" t="str">
        <f>IFERROR(__xludf.DUMMYFUNCTION("""COMPUTED_VALUE"""),"Poison Master's Boots")</f>
        <v>Poison Master's Boots</v>
      </c>
      <c r="B592" s="49"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49"/>
      <c r="D592" s="49" t="str">
        <f>IFERROR(__xludf.DUMMYFUNCTION("""COMPUTED_VALUE"""),"Feet")</f>
        <v>Feet</v>
      </c>
      <c r="E592" s="49">
        <f>IFERROR(__xludf.DUMMYFUNCTION("""COMPUTED_VALUE"""),2500.0)</f>
        <v>2500</v>
      </c>
      <c r="F592" s="49" t="str">
        <f>IFERROR(__xludf.DUMMYFUNCTION("""COMPUTED_VALUE"""),"DEF: +125000 ++When an enemy is Poisoned gain Haste 3")</f>
        <v>DEF: +125000 ++When an enemy is Poisoned gain Haste 3</v>
      </c>
      <c r="G592" s="49">
        <f>IFERROR(__xludf.DUMMYFUNCTION("""COMPUTED_VALUE"""),3.1125E8)</f>
        <v>311250000</v>
      </c>
      <c r="H592" s="49"/>
      <c r="I592" s="49"/>
      <c r="J592" s="49"/>
      <c r="K592" s="49"/>
      <c r="L592" s="49"/>
      <c r="M592" s="49"/>
      <c r="N592" s="49"/>
      <c r="O592" s="49"/>
      <c r="P592" s="49"/>
      <c r="Q592" s="49"/>
      <c r="R592" s="49"/>
      <c r="S592" s="49"/>
      <c r="T592" s="49"/>
      <c r="U592" s="49"/>
      <c r="V592" s="49"/>
      <c r="W592" s="49"/>
      <c r="X592" s="49"/>
      <c r="Y592" s="49"/>
      <c r="Z592" s="49"/>
    </row>
    <row r="593">
      <c r="A593" s="49" t="str">
        <f>IFERROR(__xludf.DUMMYFUNCTION("""COMPUTED_VALUE"""),"Ambusher's Cowl")</f>
        <v>Ambusher's Cowl</v>
      </c>
      <c r="B593" s="49" t="str">
        <f>IFERROR(__xludf.DUMMYFUNCTION("""COMPUTED_VALUE"""),"The armor of intermediate ninja's who have decided to pursue the art of the ambush to the extreme")</f>
        <v>The armor of intermediate ninja's who have decided to pursue the art of the ambush to the extreme</v>
      </c>
      <c r="C593" s="49"/>
      <c r="D593" s="49" t="str">
        <f>IFERROR(__xludf.DUMMYFUNCTION("""COMPUTED_VALUE"""),"Head")</f>
        <v>Head</v>
      </c>
      <c r="E593" s="49">
        <f>IFERROR(__xludf.DUMMYFUNCTION("""COMPUTED_VALUE"""),2500.0)</f>
        <v>2500</v>
      </c>
      <c r="F593" s="49" t="str">
        <f>IFERROR(__xludf.DUMMYFUNCTION("""COMPUTED_VALUE"""),"DEF: +125000 ++Conceal is Guaranteed to cast if the last action you took was a weapon attack")</f>
        <v>DEF: +125000 ++Conceal is Guaranteed to cast if the last action you took was a weapon attack</v>
      </c>
      <c r="G593" s="49">
        <f>IFERROR(__xludf.DUMMYFUNCTION("""COMPUTED_VALUE"""),3.1125E8)</f>
        <v>311250000</v>
      </c>
      <c r="H593" s="49"/>
      <c r="I593" s="49"/>
      <c r="J593" s="49"/>
      <c r="K593" s="49"/>
      <c r="L593" s="49"/>
      <c r="M593" s="49"/>
      <c r="N593" s="49"/>
      <c r="O593" s="49"/>
      <c r="P593" s="49"/>
      <c r="Q593" s="49"/>
      <c r="R593" s="49"/>
      <c r="S593" s="49"/>
      <c r="T593" s="49"/>
      <c r="U593" s="49"/>
      <c r="V593" s="49"/>
      <c r="W593" s="49"/>
      <c r="X593" s="49"/>
      <c r="Y593" s="49"/>
      <c r="Z593" s="49"/>
    </row>
    <row r="594">
      <c r="A594" s="49" t="str">
        <f>IFERROR(__xludf.DUMMYFUNCTION("""COMPUTED_VALUE"""),"Ambusher's Cape")</f>
        <v>Ambusher's Cape</v>
      </c>
      <c r="B594" s="49" t="str">
        <f>IFERROR(__xludf.DUMMYFUNCTION("""COMPUTED_VALUE"""),"The armor of intermediate ninja's who have decided to pursue the art of the ambush to the extreme")</f>
        <v>The armor of intermediate ninja's who have decided to pursue the art of the ambush to the extreme</v>
      </c>
      <c r="C594" s="49"/>
      <c r="D594" s="49" t="str">
        <f>IFERROR(__xludf.DUMMYFUNCTION("""COMPUTED_VALUE"""),"Shoulders")</f>
        <v>Shoulders</v>
      </c>
      <c r="E594" s="49">
        <f>IFERROR(__xludf.DUMMYFUNCTION("""COMPUTED_VALUE"""),2500.0)</f>
        <v>2500</v>
      </c>
      <c r="F594" s="49" t="str">
        <f>IFERROR(__xludf.DUMMYFUNCTION("""COMPUTED_VALUE"""),"DEF: +125000 ++Conceal: upon entering combat you are invulnerable for 1 round or until you attack")</f>
        <v>DEF: +125000 ++Conceal: upon entering combat you are invulnerable for 1 round or until you attack</v>
      </c>
      <c r="G594" s="49">
        <f>IFERROR(__xludf.DUMMYFUNCTION("""COMPUTED_VALUE"""),3.1125E8)</f>
        <v>311250000</v>
      </c>
      <c r="H594" s="49"/>
      <c r="I594" s="49"/>
      <c r="J594" s="49"/>
      <c r="K594" s="49"/>
      <c r="L594" s="49"/>
      <c r="M594" s="49"/>
      <c r="N594" s="49"/>
      <c r="O594" s="49"/>
      <c r="P594" s="49"/>
      <c r="Q594" s="49"/>
      <c r="R594" s="49"/>
      <c r="S594" s="49"/>
      <c r="T594" s="49"/>
      <c r="U594" s="49"/>
      <c r="V594" s="49"/>
      <c r="W594" s="49"/>
      <c r="X594" s="49"/>
      <c r="Y594" s="49"/>
      <c r="Z594" s="49"/>
    </row>
    <row r="595">
      <c r="A595" s="49" t="str">
        <f>IFERROR(__xludf.DUMMYFUNCTION("""COMPUTED_VALUE"""),"Ambusher's Vest")</f>
        <v>Ambusher's Vest</v>
      </c>
      <c r="B595" s="49" t="str">
        <f>IFERROR(__xludf.DUMMYFUNCTION("""COMPUTED_VALUE"""),"The armor of intermediate ninja's who have decided to pursue the art of the ambush to the extreme")</f>
        <v>The armor of intermediate ninja's who have decided to pursue the art of the ambush to the extreme</v>
      </c>
      <c r="C595" s="49"/>
      <c r="D595" s="49" t="str">
        <f>IFERROR(__xludf.DUMMYFUNCTION("""COMPUTED_VALUE"""),"Torso")</f>
        <v>Torso</v>
      </c>
      <c r="E595" s="49">
        <f>IFERROR(__xludf.DUMMYFUNCTION("""COMPUTED_VALUE"""),2500.0)</f>
        <v>2500</v>
      </c>
      <c r="F595" s="49" t="str">
        <f>IFERROR(__xludf.DUMMYFUNCTION("""COMPUTED_VALUE"""),"DEF: +125000 ++When breaking concealment deal X2 damage")</f>
        <v>DEF: +125000 ++When breaking concealment deal X2 damage</v>
      </c>
      <c r="G595" s="49">
        <f>IFERROR(__xludf.DUMMYFUNCTION("""COMPUTED_VALUE"""),3.1125E8)</f>
        <v>311250000</v>
      </c>
      <c r="H595" s="49"/>
      <c r="I595" s="49"/>
      <c r="J595" s="49"/>
      <c r="K595" s="49"/>
      <c r="L595" s="49"/>
      <c r="M595" s="49"/>
      <c r="N595" s="49"/>
      <c r="O595" s="49"/>
      <c r="P595" s="49"/>
      <c r="Q595" s="49"/>
      <c r="R595" s="49"/>
      <c r="S595" s="49"/>
      <c r="T595" s="49"/>
      <c r="U595" s="49"/>
      <c r="V595" s="49"/>
      <c r="W595" s="49"/>
      <c r="X595" s="49"/>
      <c r="Y595" s="49"/>
      <c r="Z595" s="49"/>
    </row>
    <row r="596">
      <c r="A596" s="49" t="str">
        <f>IFERROR(__xludf.DUMMYFUNCTION("""COMPUTED_VALUE"""),"Ambusher's Gloves")</f>
        <v>Ambusher's Gloves</v>
      </c>
      <c r="B596" s="49" t="str">
        <f>IFERROR(__xludf.DUMMYFUNCTION("""COMPUTED_VALUE"""),"The armor of intermediate ninja's who have decided to pursue the art of the ambush to the extreme")</f>
        <v>The armor of intermediate ninja's who have decided to pursue the art of the ambush to the extreme</v>
      </c>
      <c r="C596" s="49"/>
      <c r="D596" s="49" t="str">
        <f>IFERROR(__xludf.DUMMYFUNCTION("""COMPUTED_VALUE"""),"Arms")</f>
        <v>Arms</v>
      </c>
      <c r="E596" s="49">
        <f>IFERROR(__xludf.DUMMYFUNCTION("""COMPUTED_VALUE"""),2500.0)</f>
        <v>2500</v>
      </c>
      <c r="F596" s="49"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49">
        <f>IFERROR(__xludf.DUMMYFUNCTION("""COMPUTED_VALUE"""),3.1125E8)</f>
        <v>311250000</v>
      </c>
      <c r="H596" s="49"/>
      <c r="I596" s="49"/>
      <c r="J596" s="49"/>
      <c r="K596" s="49"/>
      <c r="L596" s="49"/>
      <c r="M596" s="49"/>
      <c r="N596" s="49"/>
      <c r="O596" s="49"/>
      <c r="P596" s="49"/>
      <c r="Q596" s="49"/>
      <c r="R596" s="49"/>
      <c r="S596" s="49"/>
      <c r="T596" s="49"/>
      <c r="U596" s="49"/>
      <c r="V596" s="49"/>
      <c r="W596" s="49"/>
      <c r="X596" s="49"/>
      <c r="Y596" s="49"/>
      <c r="Z596" s="49"/>
    </row>
    <row r="597">
      <c r="A597" s="49" t="str">
        <f>IFERROR(__xludf.DUMMYFUNCTION("""COMPUTED_VALUE"""),"Ambusher's Sarouel")</f>
        <v>Ambusher's Sarouel</v>
      </c>
      <c r="B597" s="49" t="str">
        <f>IFERROR(__xludf.DUMMYFUNCTION("""COMPUTED_VALUE"""),"The armor of intermediate ninja's who have decided to pursue the art of the ambush to the extreme")</f>
        <v>The armor of intermediate ninja's who have decided to pursue the art of the ambush to the extreme</v>
      </c>
      <c r="C597" s="49"/>
      <c r="D597" s="49" t="str">
        <f>IFERROR(__xludf.DUMMYFUNCTION("""COMPUTED_VALUE"""),"Legs")</f>
        <v>Legs</v>
      </c>
      <c r="E597" s="49">
        <f>IFERROR(__xludf.DUMMYFUNCTION("""COMPUTED_VALUE"""),2500.0)</f>
        <v>2500</v>
      </c>
      <c r="F597" s="49" t="str">
        <f>IFERROR(__xludf.DUMMYFUNCTION("""COMPUTED_VALUE"""),"DEF: +125000 ++X2 damage with knives")</f>
        <v>DEF: +125000 ++X2 damage with knives</v>
      </c>
      <c r="G597" s="49">
        <f>IFERROR(__xludf.DUMMYFUNCTION("""COMPUTED_VALUE"""),3.1125E8)</f>
        <v>311250000</v>
      </c>
      <c r="H597" s="49"/>
      <c r="I597" s="49"/>
      <c r="J597" s="49"/>
      <c r="K597" s="49"/>
      <c r="L597" s="49"/>
      <c r="M597" s="49"/>
      <c r="N597" s="49"/>
      <c r="O597" s="49"/>
      <c r="P597" s="49"/>
      <c r="Q597" s="49"/>
      <c r="R597" s="49"/>
      <c r="S597" s="49"/>
      <c r="T597" s="49"/>
      <c r="U597" s="49"/>
      <c r="V597" s="49"/>
      <c r="W597" s="49"/>
      <c r="X597" s="49"/>
      <c r="Y597" s="49"/>
      <c r="Z597" s="49"/>
    </row>
    <row r="598">
      <c r="A598" s="49" t="str">
        <f>IFERROR(__xludf.DUMMYFUNCTION("""COMPUTED_VALUE"""),"Ambusher's Sandals")</f>
        <v>Ambusher's Sandals</v>
      </c>
      <c r="B598" s="49" t="str">
        <f>IFERROR(__xludf.DUMMYFUNCTION("""COMPUTED_VALUE"""),"The armor of intermediate ninja's who have decided to pursue the art of the ambush to the extreme")</f>
        <v>The armor of intermediate ninja's who have decided to pursue the art of the ambush to the extreme</v>
      </c>
      <c r="C598" s="49"/>
      <c r="D598" s="49" t="str">
        <f>IFERROR(__xludf.DUMMYFUNCTION("""COMPUTED_VALUE"""),"Feet")</f>
        <v>Feet</v>
      </c>
      <c r="E598" s="49">
        <f>IFERROR(__xludf.DUMMYFUNCTION("""COMPUTED_VALUE"""),2500.0)</f>
        <v>2500</v>
      </c>
      <c r="F598" s="49" t="str">
        <f>IFERROR(__xludf.DUMMYFUNCTION("""COMPUTED_VALUE"""),"DEF: +125000 ++When breaking concealment gain invigorate 5")</f>
        <v>DEF: +125000 ++When breaking concealment gain invigorate 5</v>
      </c>
      <c r="G598" s="49">
        <f>IFERROR(__xludf.DUMMYFUNCTION("""COMPUTED_VALUE"""),3.1125E8)</f>
        <v>311250000</v>
      </c>
      <c r="H598" s="49"/>
      <c r="I598" s="49"/>
      <c r="J598" s="49"/>
      <c r="K598" s="49"/>
      <c r="L598" s="49"/>
      <c r="M598" s="49"/>
      <c r="N598" s="49"/>
      <c r="O598" s="49"/>
      <c r="P598" s="49"/>
      <c r="Q598" s="49"/>
      <c r="R598" s="49"/>
      <c r="S598" s="49"/>
      <c r="T598" s="49"/>
      <c r="U598" s="49"/>
      <c r="V598" s="49"/>
      <c r="W598" s="49"/>
      <c r="X598" s="49"/>
      <c r="Y598" s="49"/>
      <c r="Z598" s="49"/>
    </row>
    <row r="599">
      <c r="A599" s="49" t="str">
        <f>IFERROR(__xludf.DUMMYFUNCTION("""COMPUTED_VALUE"""),"Blade of Ancestral Blood")</f>
        <v>Blade of Ancestral Blood</v>
      </c>
      <c r="B599" s="49"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49" t="str">
        <f>IFERROR(__xludf.DUMMYFUNCTION("""COMPUTED_VALUE"""),"Knife")</f>
        <v>Knife</v>
      </c>
      <c r="D599" s="49" t="str">
        <f>IFERROR(__xludf.DUMMYFUNCTION("""COMPUTED_VALUE"""),"Hand")</f>
        <v>Hand</v>
      </c>
      <c r="E599" s="49">
        <f>IFERROR(__xludf.DUMMYFUNCTION("""COMPUTED_VALUE"""),200.0)</f>
        <v>200</v>
      </c>
      <c r="F599" s="49"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49">
        <f>IFERROR(__xludf.DUMMYFUNCTION("""COMPUTED_VALUE"""),1.797E9)</f>
        <v>1797000000</v>
      </c>
      <c r="H599" s="49"/>
      <c r="I599" s="49"/>
      <c r="J599" s="49"/>
      <c r="K599" s="49"/>
      <c r="L599" s="49"/>
      <c r="M599" s="49"/>
      <c r="N599" s="49"/>
      <c r="O599" s="49"/>
      <c r="P599" s="49"/>
      <c r="Q599" s="49"/>
      <c r="R599" s="49"/>
      <c r="S599" s="49"/>
      <c r="T599" s="49"/>
      <c r="U599" s="49"/>
      <c r="V599" s="49"/>
      <c r="W599" s="49"/>
      <c r="X599" s="49"/>
      <c r="Y599" s="49"/>
      <c r="Z599" s="49"/>
    </row>
    <row r="600">
      <c r="A600" s="49" t="str">
        <f>IFERROR(__xludf.DUMMYFUNCTION("""COMPUTED_VALUE"""),"Lunaris, Sword of The Moon")</f>
        <v>Lunaris, Sword of The Moon</v>
      </c>
      <c r="B600" s="49"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49" t="str">
        <f>IFERROR(__xludf.DUMMYFUNCTION("""COMPUTED_VALUE"""),"Sword")</f>
        <v>Sword</v>
      </c>
      <c r="D600" s="49" t="str">
        <f>IFERROR(__xludf.DUMMYFUNCTION("""COMPUTED_VALUE"""),"Hand")</f>
        <v>Hand</v>
      </c>
      <c r="E600" s="49">
        <f>IFERROR(__xludf.DUMMYFUNCTION("""COMPUTED_VALUE"""),200.0)</f>
        <v>200</v>
      </c>
      <c r="F600" s="49"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49">
        <f>IFERROR(__xludf.DUMMYFUNCTION("""COMPUTED_VALUE"""),7.194E9)</f>
        <v>7194000000</v>
      </c>
      <c r="H600" s="49"/>
      <c r="I600" s="49"/>
      <c r="J600" s="49"/>
      <c r="K600" s="49"/>
      <c r="L600" s="49"/>
      <c r="M600" s="49"/>
      <c r="N600" s="49"/>
      <c r="O600" s="49"/>
      <c r="P600" s="49"/>
      <c r="Q600" s="49"/>
      <c r="R600" s="49"/>
      <c r="S600" s="49"/>
      <c r="T600" s="49"/>
      <c r="U600" s="49"/>
      <c r="V600" s="49"/>
      <c r="W600" s="49"/>
      <c r="X600" s="49"/>
      <c r="Y600" s="49"/>
      <c r="Z600" s="49"/>
    </row>
    <row r="601">
      <c r="A601" s="49" t="str">
        <f>IFERROR(__xludf.DUMMYFUNCTION("""COMPUTED_VALUE"""),"Master Inugima's Cowl")</f>
        <v>Master Inugima's Cowl</v>
      </c>
      <c r="B601" s="49" t="str">
        <f>IFERROR(__xludf.DUMMYFUNCTION("""COMPUTED_VALUE"""),"Mob Exclusive")</f>
        <v>Mob Exclusive</v>
      </c>
      <c r="C601" s="49"/>
      <c r="D601" s="49" t="str">
        <f>IFERROR(__xludf.DUMMYFUNCTION("""COMPUTED_VALUE"""),"Head")</f>
        <v>Head</v>
      </c>
      <c r="E601" s="49">
        <f>IFERROR(__xludf.DUMMYFUNCTION("""COMPUTED_VALUE"""),1.0)</f>
        <v>1</v>
      </c>
      <c r="F601" s="49"/>
      <c r="G601" s="49">
        <f>IFERROR(__xludf.DUMMYFUNCTION("""COMPUTED_VALUE"""),0.0)</f>
        <v>0</v>
      </c>
      <c r="H601" s="49"/>
      <c r="I601" s="49"/>
      <c r="J601" s="49"/>
      <c r="K601" s="49"/>
      <c r="L601" s="49"/>
      <c r="M601" s="49"/>
      <c r="N601" s="49"/>
      <c r="O601" s="49"/>
      <c r="P601" s="49"/>
      <c r="Q601" s="49"/>
      <c r="R601" s="49"/>
      <c r="S601" s="49"/>
      <c r="T601" s="49"/>
      <c r="U601" s="49"/>
      <c r="V601" s="49"/>
      <c r="W601" s="49"/>
      <c r="X601" s="49"/>
      <c r="Y601" s="49"/>
      <c r="Z601" s="49"/>
    </row>
    <row r="602">
      <c r="A602" s="49" t="str">
        <f>IFERROR(__xludf.DUMMYFUNCTION("""COMPUTED_VALUE"""),"Master Inugima's Cape")</f>
        <v>Master Inugima's Cape</v>
      </c>
      <c r="B602" s="49" t="str">
        <f>IFERROR(__xludf.DUMMYFUNCTION("""COMPUTED_VALUE"""),"Mob Exclusive")</f>
        <v>Mob Exclusive</v>
      </c>
      <c r="C602" s="49"/>
      <c r="D602" s="49" t="str">
        <f>IFERROR(__xludf.DUMMYFUNCTION("""COMPUTED_VALUE"""),"Shoulders")</f>
        <v>Shoulders</v>
      </c>
      <c r="E602" s="49">
        <f>IFERROR(__xludf.DUMMYFUNCTION("""COMPUTED_VALUE"""),1.0)</f>
        <v>1</v>
      </c>
      <c r="F602" s="49"/>
      <c r="G602" s="49">
        <f>IFERROR(__xludf.DUMMYFUNCTION("""COMPUTED_VALUE"""),0.0)</f>
        <v>0</v>
      </c>
      <c r="H602" s="49"/>
      <c r="I602" s="49"/>
      <c r="J602" s="49"/>
      <c r="K602" s="49"/>
      <c r="L602" s="49"/>
      <c r="M602" s="49"/>
      <c r="N602" s="49"/>
      <c r="O602" s="49"/>
      <c r="P602" s="49"/>
      <c r="Q602" s="49"/>
      <c r="R602" s="49"/>
      <c r="S602" s="49"/>
      <c r="T602" s="49"/>
      <c r="U602" s="49"/>
      <c r="V602" s="49"/>
      <c r="W602" s="49"/>
      <c r="X602" s="49"/>
      <c r="Y602" s="49"/>
      <c r="Z602" s="49"/>
    </row>
    <row r="603">
      <c r="A603" s="49" t="str">
        <f>IFERROR(__xludf.DUMMYFUNCTION("""COMPUTED_VALUE"""),"Master Inugima's Cloak")</f>
        <v>Master Inugima's Cloak</v>
      </c>
      <c r="B603" s="49" t="str">
        <f>IFERROR(__xludf.DUMMYFUNCTION("""COMPUTED_VALUE"""),"Mob Exclusive")</f>
        <v>Mob Exclusive</v>
      </c>
      <c r="C603" s="49"/>
      <c r="D603" s="49" t="str">
        <f>IFERROR(__xludf.DUMMYFUNCTION("""COMPUTED_VALUE"""),"Torso")</f>
        <v>Torso</v>
      </c>
      <c r="E603" s="49">
        <f>IFERROR(__xludf.DUMMYFUNCTION("""COMPUTED_VALUE"""),1.0)</f>
        <v>1</v>
      </c>
      <c r="F603" s="49"/>
      <c r="G603" s="49">
        <f>IFERROR(__xludf.DUMMYFUNCTION("""COMPUTED_VALUE"""),0.0)</f>
        <v>0</v>
      </c>
      <c r="H603" s="49"/>
      <c r="I603" s="49"/>
      <c r="J603" s="49"/>
      <c r="K603" s="49"/>
      <c r="L603" s="49"/>
      <c r="M603" s="49"/>
      <c r="N603" s="49"/>
      <c r="O603" s="49"/>
      <c r="P603" s="49"/>
      <c r="Q603" s="49"/>
      <c r="R603" s="49"/>
      <c r="S603" s="49"/>
      <c r="T603" s="49"/>
      <c r="U603" s="49"/>
      <c r="V603" s="49"/>
      <c r="W603" s="49"/>
      <c r="X603" s="49"/>
      <c r="Y603" s="49"/>
      <c r="Z603" s="49"/>
    </row>
    <row r="604">
      <c r="A604" s="49" t="str">
        <f>IFERROR(__xludf.DUMMYFUNCTION("""COMPUTED_VALUE"""),"Master Inugima's Gloves")</f>
        <v>Master Inugima's Gloves</v>
      </c>
      <c r="B604" s="49" t="str">
        <f>IFERROR(__xludf.DUMMYFUNCTION("""COMPUTED_VALUE"""),"Mob Exclusive")</f>
        <v>Mob Exclusive</v>
      </c>
      <c r="C604" s="49"/>
      <c r="D604" s="49" t="str">
        <f>IFERROR(__xludf.DUMMYFUNCTION("""COMPUTED_VALUE"""),"Arms")</f>
        <v>Arms</v>
      </c>
      <c r="E604" s="49">
        <f>IFERROR(__xludf.DUMMYFUNCTION("""COMPUTED_VALUE"""),1.0)</f>
        <v>1</v>
      </c>
      <c r="F604" s="49"/>
      <c r="G604" s="49">
        <f>IFERROR(__xludf.DUMMYFUNCTION("""COMPUTED_VALUE"""),0.0)</f>
        <v>0</v>
      </c>
      <c r="H604" s="49"/>
      <c r="I604" s="49"/>
      <c r="J604" s="49"/>
      <c r="K604" s="49"/>
      <c r="L604" s="49"/>
      <c r="M604" s="49"/>
      <c r="N604" s="49"/>
      <c r="O604" s="49"/>
      <c r="P604" s="49"/>
      <c r="Q604" s="49"/>
      <c r="R604" s="49"/>
      <c r="S604" s="49"/>
      <c r="T604" s="49"/>
      <c r="U604" s="49"/>
      <c r="V604" s="49"/>
      <c r="W604" s="49"/>
      <c r="X604" s="49"/>
      <c r="Y604" s="49"/>
      <c r="Z604" s="49"/>
    </row>
    <row r="605">
      <c r="A605" s="49" t="str">
        <f>IFERROR(__xludf.DUMMYFUNCTION("""COMPUTED_VALUE"""),"Master Inugima's Sarouel")</f>
        <v>Master Inugima's Sarouel</v>
      </c>
      <c r="B605" s="49" t="str">
        <f>IFERROR(__xludf.DUMMYFUNCTION("""COMPUTED_VALUE"""),"Mob Exclusive")</f>
        <v>Mob Exclusive</v>
      </c>
      <c r="C605" s="49"/>
      <c r="D605" s="49" t="str">
        <f>IFERROR(__xludf.DUMMYFUNCTION("""COMPUTED_VALUE"""),"Legs")</f>
        <v>Legs</v>
      </c>
      <c r="E605" s="49">
        <f>IFERROR(__xludf.DUMMYFUNCTION("""COMPUTED_VALUE"""),1.0)</f>
        <v>1</v>
      </c>
      <c r="F605" s="49"/>
      <c r="G605" s="49">
        <f>IFERROR(__xludf.DUMMYFUNCTION("""COMPUTED_VALUE"""),0.0)</f>
        <v>0</v>
      </c>
      <c r="H605" s="49"/>
      <c r="I605" s="49"/>
      <c r="J605" s="49"/>
      <c r="K605" s="49"/>
      <c r="L605" s="49"/>
      <c r="M605" s="49"/>
      <c r="N605" s="49"/>
      <c r="O605" s="49"/>
      <c r="P605" s="49"/>
      <c r="Q605" s="49"/>
      <c r="R605" s="49"/>
      <c r="S605" s="49"/>
      <c r="T605" s="49"/>
      <c r="U605" s="49"/>
      <c r="V605" s="49"/>
      <c r="W605" s="49"/>
      <c r="X605" s="49"/>
      <c r="Y605" s="49"/>
      <c r="Z605" s="49"/>
    </row>
    <row r="606">
      <c r="A606" s="49" t="str">
        <f>IFERROR(__xludf.DUMMYFUNCTION("""COMPUTED_VALUE"""),"Master Inugima's Boots")</f>
        <v>Master Inugima's Boots</v>
      </c>
      <c r="B606" s="49" t="str">
        <f>IFERROR(__xludf.DUMMYFUNCTION("""COMPUTED_VALUE"""),"Mob Exclusive")</f>
        <v>Mob Exclusive</v>
      </c>
      <c r="C606" s="49"/>
      <c r="D606" s="49" t="str">
        <f>IFERROR(__xludf.DUMMYFUNCTION("""COMPUTED_VALUE"""),"Feet")</f>
        <v>Feet</v>
      </c>
      <c r="E606" s="49">
        <f>IFERROR(__xludf.DUMMYFUNCTION("""COMPUTED_VALUE"""),1.0)</f>
        <v>1</v>
      </c>
      <c r="F606" s="49"/>
      <c r="G606" s="49">
        <f>IFERROR(__xludf.DUMMYFUNCTION("""COMPUTED_VALUE"""),0.0)</f>
        <v>0</v>
      </c>
      <c r="H606" s="49"/>
      <c r="I606" s="49"/>
      <c r="J606" s="49"/>
      <c r="K606" s="49"/>
      <c r="L606" s="49"/>
      <c r="M606" s="49"/>
      <c r="N606" s="49"/>
      <c r="O606" s="49"/>
      <c r="P606" s="49"/>
      <c r="Q606" s="49"/>
      <c r="R606" s="49"/>
      <c r="S606" s="49"/>
      <c r="T606" s="49"/>
      <c r="U606" s="49"/>
      <c r="V606" s="49"/>
      <c r="W606" s="49"/>
      <c r="X606" s="49"/>
      <c r="Y606" s="49"/>
      <c r="Z606" s="49"/>
    </row>
    <row r="607">
      <c r="A607" s="49" t="str">
        <f>IFERROR(__xludf.DUMMYFUNCTION("""COMPUTED_VALUE"""),"Master Inugima's Ring")</f>
        <v>Master Inugima's Ring</v>
      </c>
      <c r="B607" s="49" t="str">
        <f>IFERROR(__xludf.DUMMYFUNCTION("""COMPUTED_VALUE"""),"Mob Exclusive")</f>
        <v>Mob Exclusive</v>
      </c>
      <c r="C607" s="49"/>
      <c r="D607" s="49" t="str">
        <f>IFERROR(__xludf.DUMMYFUNCTION("""COMPUTED_VALUE"""),"Finger")</f>
        <v>Finger</v>
      </c>
      <c r="E607" s="49">
        <f>IFERROR(__xludf.DUMMYFUNCTION("""COMPUTED_VALUE"""),1.0)</f>
        <v>1</v>
      </c>
      <c r="F607" s="49"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49">
        <f>IFERROR(__xludf.DUMMYFUNCTION("""COMPUTED_VALUE"""),0.0)</f>
        <v>0</v>
      </c>
      <c r="H607" s="49"/>
      <c r="I607" s="49"/>
      <c r="J607" s="49"/>
      <c r="K607" s="49"/>
      <c r="L607" s="49"/>
      <c r="M607" s="49"/>
      <c r="N607" s="49"/>
      <c r="O607" s="49"/>
      <c r="P607" s="49"/>
      <c r="Q607" s="49"/>
      <c r="R607" s="49"/>
      <c r="S607" s="49"/>
      <c r="T607" s="49"/>
      <c r="U607" s="49"/>
      <c r="V607" s="49"/>
      <c r="W607" s="49"/>
      <c r="X607" s="49"/>
      <c r="Y607" s="49"/>
      <c r="Z607" s="49"/>
    </row>
    <row r="608">
      <c r="A608" s="49" t="str">
        <f>IFERROR(__xludf.DUMMYFUNCTION("""COMPUTED_VALUE"""),"Master Inugima's Pendant")</f>
        <v>Master Inugima's Pendant</v>
      </c>
      <c r="B608" s="49" t="str">
        <f>IFERROR(__xludf.DUMMYFUNCTION("""COMPUTED_VALUE"""),"Mob Exclusive")</f>
        <v>Mob Exclusive</v>
      </c>
      <c r="C608" s="49"/>
      <c r="D608" s="49" t="str">
        <f>IFERROR(__xludf.DUMMYFUNCTION("""COMPUTED_VALUE"""),"Neck")</f>
        <v>Neck</v>
      </c>
      <c r="E608" s="49">
        <f>IFERROR(__xludf.DUMMYFUNCTION("""COMPUTED_VALUE"""),1.0)</f>
        <v>1</v>
      </c>
      <c r="F608" s="49"/>
      <c r="G608" s="49">
        <f>IFERROR(__xludf.DUMMYFUNCTION("""COMPUTED_VALUE"""),0.0)</f>
        <v>0</v>
      </c>
      <c r="H608" s="49"/>
      <c r="I608" s="49"/>
      <c r="J608" s="49"/>
      <c r="K608" s="49"/>
      <c r="L608" s="49"/>
      <c r="M608" s="49"/>
      <c r="N608" s="49"/>
      <c r="O608" s="49"/>
      <c r="P608" s="49"/>
      <c r="Q608" s="49"/>
      <c r="R608" s="49"/>
      <c r="S608" s="49"/>
      <c r="T608" s="49"/>
      <c r="U608" s="49"/>
      <c r="V608" s="49"/>
      <c r="W608" s="49"/>
      <c r="X608" s="49"/>
      <c r="Y608" s="49"/>
      <c r="Z608" s="49"/>
    </row>
    <row r="609">
      <c r="A609" s="49" t="str">
        <f>IFERROR(__xludf.DUMMYFUNCTION("""COMPUTED_VALUE"""),"Amulet of Giving")</f>
        <v>Amulet of Giving</v>
      </c>
      <c r="B609" s="49" t="str">
        <f>IFERROR(__xludf.DUMMYFUNCTION("""COMPUTED_VALUE"""),"Thanksgiving Event Item")</f>
        <v>Thanksgiving Event Item</v>
      </c>
      <c r="C609" s="49"/>
      <c r="D609" s="49" t="str">
        <f>IFERROR(__xludf.DUMMYFUNCTION("""COMPUTED_VALUE"""),"Neck")</f>
        <v>Neck</v>
      </c>
      <c r="E609" s="49">
        <f>IFERROR(__xludf.DUMMYFUNCTION("""COMPUTED_VALUE"""),1.0)</f>
        <v>1</v>
      </c>
      <c r="F609" s="49"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49">
        <f>IFERROR(__xludf.DUMMYFUNCTION("""COMPUTED_VALUE"""),0.0)</f>
        <v>0</v>
      </c>
      <c r="H609" s="49"/>
      <c r="I609" s="49"/>
      <c r="J609" s="49"/>
      <c r="K609" s="49"/>
      <c r="L609" s="49"/>
      <c r="M609" s="49"/>
      <c r="N609" s="49"/>
      <c r="O609" s="49"/>
      <c r="P609" s="49"/>
      <c r="Q609" s="49"/>
      <c r="R609" s="49"/>
      <c r="S609" s="49"/>
      <c r="T609" s="49"/>
      <c r="U609" s="49"/>
      <c r="V609" s="49"/>
      <c r="W609" s="49"/>
      <c r="X609" s="49"/>
      <c r="Y609" s="49"/>
      <c r="Z609" s="49"/>
    </row>
    <row r="610">
      <c r="A610" s="49" t="str">
        <f>IFERROR(__xludf.DUMMYFUNCTION("""COMPUTED_VALUE"""),"Pilgrim's Hat")</f>
        <v>Pilgrim's Hat</v>
      </c>
      <c r="B610" s="49" t="str">
        <f>IFERROR(__xludf.DUMMYFUNCTION("""COMPUTED_VALUE"""),"Thanksgiving Event Item")</f>
        <v>Thanksgiving Event Item</v>
      </c>
      <c r="C610" s="49"/>
      <c r="D610" s="49" t="str">
        <f>IFERROR(__xludf.DUMMYFUNCTION("""COMPUTED_VALUE"""),"Head")</f>
        <v>Head</v>
      </c>
      <c r="E610" s="49">
        <f>IFERROR(__xludf.DUMMYFUNCTION("""COMPUTED_VALUE"""),1.0)</f>
        <v>1</v>
      </c>
      <c r="F610" s="49" t="str">
        <f>IFERROR(__xludf.DUMMYFUNCTION("""COMPUTED_VALUE""")," ++Double the hunger, thirst, and energy you receive when consuming a consumable. +-Cannot be duplicated.")</f>
        <v> ++Double the hunger, thirst, and energy you receive when consuming a consumable. +-Cannot be duplicated.</v>
      </c>
      <c r="G610" s="49">
        <f>IFERROR(__xludf.DUMMYFUNCTION("""COMPUTED_VALUE"""),0.0)</f>
        <v>0</v>
      </c>
      <c r="H610" s="49"/>
      <c r="I610" s="49"/>
      <c r="J610" s="49"/>
      <c r="K610" s="49"/>
      <c r="L610" s="49"/>
      <c r="M610" s="49"/>
      <c r="N610" s="49"/>
      <c r="O610" s="49"/>
      <c r="P610" s="49"/>
      <c r="Q610" s="49"/>
      <c r="R610" s="49"/>
      <c r="S610" s="49"/>
      <c r="T610" s="49"/>
      <c r="U610" s="49"/>
      <c r="V610" s="49"/>
      <c r="W610" s="49"/>
      <c r="X610" s="49"/>
      <c r="Y610" s="49"/>
      <c r="Z610" s="49"/>
    </row>
    <row r="611">
      <c r="A611" s="49" t="str">
        <f>IFERROR(__xludf.DUMMYFUNCTION("""COMPUTED_VALUE"""),"Dragon Flute")</f>
        <v>Dragon Flute</v>
      </c>
      <c r="B611" s="49"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49" t="str">
        <f>IFERROR(__xludf.DUMMYFUNCTION("""COMPUTED_VALUE"""),"Instrument")</f>
        <v>Instrument</v>
      </c>
      <c r="D611" s="49" t="str">
        <f>IFERROR(__xludf.DUMMYFUNCTION("""COMPUTED_VALUE"""),"Hand")</f>
        <v>Hand</v>
      </c>
      <c r="E611" s="49">
        <f>IFERROR(__xludf.DUMMYFUNCTION("""COMPUTED_VALUE"""),100.0)</f>
        <v>100</v>
      </c>
      <c r="F611" s="49"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49">
        <f>IFERROR(__xludf.DUMMYFUNCTION("""COMPUTED_VALUE"""),450000.0)</f>
        <v>450000</v>
      </c>
      <c r="H611" s="49"/>
      <c r="I611" s="49"/>
      <c r="J611" s="49"/>
      <c r="K611" s="49"/>
      <c r="L611" s="49"/>
      <c r="M611" s="49"/>
      <c r="N611" s="49"/>
      <c r="O611" s="49"/>
      <c r="P611" s="49"/>
      <c r="Q611" s="49"/>
      <c r="R611" s="49"/>
      <c r="S611" s="49"/>
      <c r="T611" s="49"/>
      <c r="U611" s="49"/>
      <c r="V611" s="49"/>
      <c r="W611" s="49"/>
      <c r="X611" s="49"/>
      <c r="Y611" s="49"/>
      <c r="Z611" s="49"/>
    </row>
    <row r="612">
      <c r="A612" s="49" t="str">
        <f>IFERROR(__xludf.DUMMYFUNCTION("""COMPUTED_VALUE"""),"Harbingers' Helm of the Unrestrained (Spira)")</f>
        <v>Harbingers' Helm of the Unrestrained (Spira)</v>
      </c>
      <c r="B612" s="49"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49"/>
      <c r="D612" s="49" t="str">
        <f>IFERROR(__xludf.DUMMYFUNCTION("""COMPUTED_VALUE"""),"Head")</f>
        <v>Head</v>
      </c>
      <c r="E612" s="49">
        <f>IFERROR(__xludf.DUMMYFUNCTION("""COMPUTED_VALUE"""),200.0)</f>
        <v>200</v>
      </c>
      <c r="F612" s="49"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49">
        <f>IFERROR(__xludf.DUMMYFUNCTION("""COMPUTED_VALUE"""),7.98E8)</f>
        <v>798000000</v>
      </c>
      <c r="H612" s="49"/>
      <c r="I612" s="49"/>
      <c r="J612" s="49"/>
      <c r="K612" s="49"/>
      <c r="L612" s="49"/>
      <c r="M612" s="49"/>
      <c r="N612" s="49"/>
      <c r="O612" s="49"/>
      <c r="P612" s="49"/>
      <c r="Q612" s="49"/>
      <c r="R612" s="49"/>
      <c r="S612" s="49"/>
      <c r="T612" s="49"/>
      <c r="U612" s="49"/>
      <c r="V612" s="49"/>
      <c r="W612" s="49"/>
      <c r="X612" s="49"/>
      <c r="Y612" s="49"/>
      <c r="Z612" s="49"/>
    </row>
    <row r="613">
      <c r="A613" s="49" t="str">
        <f>IFERROR(__xludf.DUMMYFUNCTION("""COMPUTED_VALUE"""),"Harbingers' Shifting Pauldrons (Spira)")</f>
        <v>Harbingers' Shifting Pauldrons (Spira)</v>
      </c>
      <c r="B613" s="49"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49"/>
      <c r="D613" s="49" t="str">
        <f>IFERROR(__xludf.DUMMYFUNCTION("""COMPUTED_VALUE"""),"Shoulders")</f>
        <v>Shoulders</v>
      </c>
      <c r="E613" s="49">
        <f>IFERROR(__xludf.DUMMYFUNCTION("""COMPUTED_VALUE"""),200.0)</f>
        <v>200</v>
      </c>
      <c r="F613" s="49"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49">
        <f>IFERROR(__xludf.DUMMYFUNCTION("""COMPUTED_VALUE"""),7.98E8)</f>
        <v>798000000</v>
      </c>
      <c r="H613" s="49"/>
      <c r="I613" s="49"/>
      <c r="J613" s="49"/>
      <c r="K613" s="49"/>
      <c r="L613" s="49"/>
      <c r="M613" s="49"/>
      <c r="N613" s="49"/>
      <c r="O613" s="49"/>
      <c r="P613" s="49"/>
      <c r="Q613" s="49"/>
      <c r="R613" s="49"/>
      <c r="S613" s="49"/>
      <c r="T613" s="49"/>
      <c r="U613" s="49"/>
      <c r="V613" s="49"/>
      <c r="W613" s="49"/>
      <c r="X613" s="49"/>
      <c r="Y613" s="49"/>
      <c r="Z613" s="49"/>
    </row>
    <row r="614">
      <c r="A614" s="49" t="str">
        <f>IFERROR(__xludf.DUMMYFUNCTION("""COMPUTED_VALUE"""),"Harbingers' Emblazoned Chest of The Encroaching Void (Spira)")</f>
        <v>Harbingers' Emblazoned Chest of The Encroaching Void (Spira)</v>
      </c>
      <c r="B614" s="49"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49"/>
      <c r="D614" s="49" t="str">
        <f>IFERROR(__xludf.DUMMYFUNCTION("""COMPUTED_VALUE"""),"Torso")</f>
        <v>Torso</v>
      </c>
      <c r="E614" s="49">
        <f>IFERROR(__xludf.DUMMYFUNCTION("""COMPUTED_VALUE"""),200.0)</f>
        <v>200</v>
      </c>
      <c r="F614" s="49"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49">
        <f>IFERROR(__xludf.DUMMYFUNCTION("""COMPUTED_VALUE"""),7.98E8)</f>
        <v>798000000</v>
      </c>
      <c r="H614" s="49"/>
      <c r="I614" s="49"/>
      <c r="J614" s="49"/>
      <c r="K614" s="49"/>
      <c r="L614" s="49"/>
      <c r="M614" s="49"/>
      <c r="N614" s="49"/>
      <c r="O614" s="49"/>
      <c r="P614" s="49"/>
      <c r="Q614" s="49"/>
      <c r="R614" s="49"/>
      <c r="S614" s="49"/>
      <c r="T614" s="49"/>
      <c r="U614" s="49"/>
      <c r="V614" s="49"/>
      <c r="W614" s="49"/>
      <c r="X614" s="49"/>
      <c r="Y614" s="49"/>
      <c r="Z614" s="49"/>
    </row>
    <row r="615">
      <c r="A615" s="49" t="str">
        <f>IFERROR(__xludf.DUMMYFUNCTION("""COMPUTED_VALUE"""),"Harbingers' Broken Fettering (Spira)")</f>
        <v>Harbingers' Broken Fettering (Spira)</v>
      </c>
      <c r="B615" s="49"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49"/>
      <c r="D615" s="49" t="str">
        <f>IFERROR(__xludf.DUMMYFUNCTION("""COMPUTED_VALUE"""),"Arms")</f>
        <v>Arms</v>
      </c>
      <c r="E615" s="49">
        <f>IFERROR(__xludf.DUMMYFUNCTION("""COMPUTED_VALUE"""),200.0)</f>
        <v>200</v>
      </c>
      <c r="F615" s="49"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49">
        <f>IFERROR(__xludf.DUMMYFUNCTION("""COMPUTED_VALUE"""),7.98E8)</f>
        <v>798000000</v>
      </c>
      <c r="H615" s="49"/>
      <c r="I615" s="49"/>
      <c r="J615" s="49"/>
      <c r="K615" s="49"/>
      <c r="L615" s="49"/>
      <c r="M615" s="49"/>
      <c r="N615" s="49"/>
      <c r="O615" s="49"/>
      <c r="P615" s="49"/>
      <c r="Q615" s="49"/>
      <c r="R615" s="49"/>
      <c r="S615" s="49"/>
      <c r="T615" s="49"/>
      <c r="U615" s="49"/>
      <c r="V615" s="49"/>
      <c r="W615" s="49"/>
      <c r="X615" s="49"/>
      <c r="Y615" s="49"/>
      <c r="Z615" s="49"/>
    </row>
    <row r="616">
      <c r="A616" s="49" t="str">
        <f>IFERROR(__xludf.DUMMYFUNCTION("""COMPUTED_VALUE"""),"Harbingers' Ethereal Chausses (Spira)")</f>
        <v>Harbingers' Ethereal Chausses (Spira)</v>
      </c>
      <c r="B616" s="49"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49"/>
      <c r="D616" s="49" t="str">
        <f>IFERROR(__xludf.DUMMYFUNCTION("""COMPUTED_VALUE"""),"Legs")</f>
        <v>Legs</v>
      </c>
      <c r="E616" s="49">
        <f>IFERROR(__xludf.DUMMYFUNCTION("""COMPUTED_VALUE"""),200.0)</f>
        <v>200</v>
      </c>
      <c r="F616" s="49"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49">
        <f>IFERROR(__xludf.DUMMYFUNCTION("""COMPUTED_VALUE"""),7.98E8)</f>
        <v>798000000</v>
      </c>
      <c r="H616" s="49"/>
      <c r="I616" s="49"/>
      <c r="J616" s="49"/>
      <c r="K616" s="49"/>
      <c r="L616" s="49"/>
      <c r="M616" s="49"/>
      <c r="N616" s="49"/>
      <c r="O616" s="49"/>
      <c r="P616" s="49"/>
      <c r="Q616" s="49"/>
      <c r="R616" s="49"/>
      <c r="S616" s="49"/>
      <c r="T616" s="49"/>
      <c r="U616" s="49"/>
      <c r="V616" s="49"/>
      <c r="W616" s="49"/>
      <c r="X616" s="49"/>
      <c r="Y616" s="49"/>
      <c r="Z616" s="49"/>
    </row>
    <row r="617">
      <c r="A617" s="49" t="str">
        <f>IFERROR(__xludf.DUMMYFUNCTION("""COMPUTED_VALUE"""),"Harbingers' Spiked Sabatons (Spira)")</f>
        <v>Harbingers' Spiked Sabatons (Spira)</v>
      </c>
      <c r="B617" s="49"/>
      <c r="C617" s="49"/>
      <c r="D617" s="49" t="str">
        <f>IFERROR(__xludf.DUMMYFUNCTION("""COMPUTED_VALUE"""),"Feet")</f>
        <v>Feet</v>
      </c>
      <c r="E617" s="49">
        <f>IFERROR(__xludf.DUMMYFUNCTION("""COMPUTED_VALUE"""),200.0)</f>
        <v>200</v>
      </c>
      <c r="F617" s="49"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49">
        <f>IFERROR(__xludf.DUMMYFUNCTION("""COMPUTED_VALUE"""),7.98E8)</f>
        <v>798000000</v>
      </c>
      <c r="H617" s="49"/>
      <c r="I617" s="49"/>
      <c r="J617" s="49"/>
      <c r="K617" s="49"/>
      <c r="L617" s="49"/>
      <c r="M617" s="49"/>
      <c r="N617" s="49"/>
      <c r="O617" s="49"/>
      <c r="P617" s="49"/>
      <c r="Q617" s="49"/>
      <c r="R617" s="49"/>
      <c r="S617" s="49"/>
      <c r="T617" s="49"/>
      <c r="U617" s="49"/>
      <c r="V617" s="49"/>
      <c r="W617" s="49"/>
      <c r="X617" s="49"/>
      <c r="Y617" s="49"/>
      <c r="Z617" s="49"/>
    </row>
    <row r="618">
      <c r="A618" s="49" t="str">
        <f>IFERROR(__xludf.DUMMYFUNCTION("""COMPUTED_VALUE"""),"Harbingers' Vow (Spira)")</f>
        <v>Harbingers' Vow (Spira)</v>
      </c>
      <c r="B618" s="49"/>
      <c r="C618" s="49"/>
      <c r="D618" s="49" t="str">
        <f>IFERROR(__xludf.DUMMYFUNCTION("""COMPUTED_VALUE"""),"Finger")</f>
        <v>Finger</v>
      </c>
      <c r="E618" s="49">
        <f>IFERROR(__xludf.DUMMYFUNCTION("""COMPUTED_VALUE"""),1.0)</f>
        <v>1</v>
      </c>
      <c r="F618" s="49"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49">
        <f>IFERROR(__xludf.DUMMYFUNCTION("""COMPUTED_VALUE"""),0.0)</f>
        <v>0</v>
      </c>
      <c r="H618" s="49"/>
      <c r="I618" s="49"/>
      <c r="J618" s="49"/>
      <c r="K618" s="49"/>
      <c r="L618" s="49"/>
      <c r="M618" s="49"/>
      <c r="N618" s="49"/>
      <c r="O618" s="49"/>
      <c r="P618" s="49"/>
      <c r="Q618" s="49"/>
      <c r="R618" s="49"/>
      <c r="S618" s="49"/>
      <c r="T618" s="49"/>
      <c r="U618" s="49"/>
      <c r="V618" s="49"/>
      <c r="W618" s="49"/>
      <c r="X618" s="49"/>
      <c r="Y618" s="49"/>
      <c r="Z618" s="49"/>
    </row>
    <row r="619">
      <c r="A619" s="49" t="str">
        <f>IFERROR(__xludf.DUMMYFUNCTION("""COMPUTED_VALUE"""),"Harbingers' Resolve (Spira)")</f>
        <v>Harbingers' Resolve (Spira)</v>
      </c>
      <c r="B619" s="49"/>
      <c r="C619" s="49"/>
      <c r="D619" s="49" t="str">
        <f>IFERROR(__xludf.DUMMYFUNCTION("""COMPUTED_VALUE"""),"Neck")</f>
        <v>Neck</v>
      </c>
      <c r="E619" s="49">
        <f>IFERROR(__xludf.DUMMYFUNCTION("""COMPUTED_VALUE"""),1.0)</f>
        <v>1</v>
      </c>
      <c r="F619" s="49" t="str">
        <f>IFERROR(__xludf.DUMMYFUNCTION("""COMPUTED_VALUE""")," ++To the Death! - Upon taking lethal damage resist it with 1 hp and gain 10 stacks of insanity (once per battle)")</f>
        <v> ++To the Death! - Upon taking lethal damage resist it with 1 hp and gain 10 stacks of insanity (once per battle)</v>
      </c>
      <c r="G619" s="49">
        <f>IFERROR(__xludf.DUMMYFUNCTION("""COMPUTED_VALUE"""),0.0)</f>
        <v>0</v>
      </c>
      <c r="H619" s="49"/>
      <c r="I619" s="49"/>
      <c r="J619" s="49"/>
      <c r="K619" s="49"/>
      <c r="L619" s="49"/>
      <c r="M619" s="49"/>
      <c r="N619" s="49"/>
      <c r="O619" s="49"/>
      <c r="P619" s="49"/>
      <c r="Q619" s="49"/>
      <c r="R619" s="49"/>
      <c r="S619" s="49"/>
      <c r="T619" s="49"/>
      <c r="U619" s="49"/>
      <c r="V619" s="49"/>
      <c r="W619" s="49"/>
      <c r="X619" s="49"/>
      <c r="Y619" s="49"/>
      <c r="Z619" s="49"/>
    </row>
    <row r="620">
      <c r="A620" s="49" t="str">
        <f>IFERROR(__xludf.DUMMYFUNCTION("""COMPUTED_VALUE"""),"Harbingers' Fist of Iron (Spira)")</f>
        <v>Harbingers' Fist of Iron (Spira)</v>
      </c>
      <c r="B620" s="49"/>
      <c r="C620" s="49" t="str">
        <f>IFERROR(__xludf.DUMMYFUNCTION("""COMPUTED_VALUE"""),"Gauntlet")</f>
        <v>Gauntlet</v>
      </c>
      <c r="D620" s="49" t="str">
        <f>IFERROR(__xludf.DUMMYFUNCTION("""COMPUTED_VALUE"""),"Hand")</f>
        <v>Hand</v>
      </c>
      <c r="E620" s="49">
        <f>IFERROR(__xludf.DUMMYFUNCTION("""COMPUTED_VALUE"""),200.0)</f>
        <v>200</v>
      </c>
      <c r="F620" s="49"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49">
        <f>IFERROR(__xludf.DUMMYFUNCTION("""COMPUTED_VALUE"""),1.99E8)</f>
        <v>199000000</v>
      </c>
      <c r="H620" s="49"/>
      <c r="I620" s="49"/>
      <c r="J620" s="49"/>
      <c r="K620" s="49"/>
      <c r="L620" s="49"/>
      <c r="M620" s="49"/>
      <c r="N620" s="49"/>
      <c r="O620" s="49"/>
      <c r="P620" s="49"/>
      <c r="Q620" s="49"/>
      <c r="R620" s="49"/>
      <c r="S620" s="49"/>
      <c r="T620" s="49"/>
      <c r="U620" s="49"/>
      <c r="V620" s="49"/>
      <c r="W620" s="49"/>
      <c r="X620" s="49"/>
      <c r="Y620" s="49"/>
      <c r="Z620" s="49"/>
    </row>
    <row r="621">
      <c r="A621" s="49" t="str">
        <f>IFERROR(__xludf.DUMMYFUNCTION("""COMPUTED_VALUE"""),"Harbingers' Claw of Steel (Spira)")</f>
        <v>Harbingers' Claw of Steel (Spira)</v>
      </c>
      <c r="B621" s="49"/>
      <c r="C621" s="49" t="str">
        <f>IFERROR(__xludf.DUMMYFUNCTION("""COMPUTED_VALUE"""),"Claw")</f>
        <v>Claw</v>
      </c>
      <c r="D621" s="49" t="str">
        <f>IFERROR(__xludf.DUMMYFUNCTION("""COMPUTED_VALUE"""),"Hand")</f>
        <v>Hand</v>
      </c>
      <c r="E621" s="49">
        <f>IFERROR(__xludf.DUMMYFUNCTION("""COMPUTED_VALUE"""),200.0)</f>
        <v>200</v>
      </c>
      <c r="F621" s="49"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49">
        <f>IFERROR(__xludf.DUMMYFUNCTION("""COMPUTED_VALUE"""),1.99E8)</f>
        <v>199000000</v>
      </c>
      <c r="H621" s="49"/>
      <c r="I621" s="49"/>
      <c r="J621" s="49"/>
      <c r="K621" s="49"/>
      <c r="L621" s="49"/>
      <c r="M621" s="49"/>
      <c r="N621" s="49"/>
      <c r="O621" s="49"/>
      <c r="P621" s="49"/>
      <c r="Q621" s="49"/>
      <c r="R621" s="49"/>
      <c r="S621" s="49"/>
      <c r="T621" s="49"/>
      <c r="U621" s="49"/>
      <c r="V621" s="49"/>
      <c r="W621" s="49"/>
      <c r="X621" s="49"/>
      <c r="Y621" s="49"/>
      <c r="Z621" s="49"/>
    </row>
    <row r="622">
      <c r="A622" s="49" t="str">
        <f>IFERROR(__xludf.DUMMYFUNCTION("""COMPUTED_VALUE"""),"Eagles Claw")</f>
        <v>Eagles Claw</v>
      </c>
      <c r="B622" s="49"/>
      <c r="C622" s="49" t="str">
        <f>IFERROR(__xludf.DUMMYFUNCTION("""COMPUTED_VALUE"""),"Claw")</f>
        <v>Claw</v>
      </c>
      <c r="D622" s="49" t="str">
        <f>IFERROR(__xludf.DUMMYFUNCTION("""COMPUTED_VALUE"""),"Hand")</f>
        <v>Hand</v>
      </c>
      <c r="E622" s="49">
        <f>IFERROR(__xludf.DUMMYFUNCTION("""COMPUTED_VALUE"""),200.0)</f>
        <v>200</v>
      </c>
      <c r="F622" s="49" t="str">
        <f>IFERROR(__xludf.DUMMYFUNCTION("""COMPUTED_VALUE"""),"DMG: +10000 ++Eagles Removal - 20% Chance to remove the target from battle. ")</f>
        <v>DMG: +10000 ++Eagles Removal - 20% Chance to remove the target from battle. </v>
      </c>
      <c r="G622" s="49">
        <f>IFERROR(__xludf.DUMMYFUNCTION("""COMPUTED_VALUE"""),1900000.0)</f>
        <v>1900000</v>
      </c>
      <c r="H622" s="49"/>
      <c r="I622" s="49"/>
      <c r="J622" s="49"/>
      <c r="K622" s="49"/>
      <c r="L622" s="49"/>
      <c r="M622" s="49"/>
      <c r="N622" s="49"/>
      <c r="O622" s="49"/>
      <c r="P622" s="49"/>
      <c r="Q622" s="49"/>
      <c r="R622" s="49"/>
      <c r="S622" s="49"/>
      <c r="T622" s="49"/>
      <c r="U622" s="49"/>
      <c r="V622" s="49"/>
      <c r="W622" s="49"/>
      <c r="X622" s="49"/>
      <c r="Y622" s="49"/>
      <c r="Z622" s="49"/>
    </row>
    <row r="623">
      <c r="A623" s="49" t="str">
        <f>IFERROR(__xludf.DUMMYFUNCTION("""COMPUTED_VALUE"""),"Golden Gauntlet")</f>
        <v>Golden Gauntlet</v>
      </c>
      <c r="B623" s="49"/>
      <c r="C623" s="49" t="str">
        <f>IFERROR(__xludf.DUMMYFUNCTION("""COMPUTED_VALUE"""),"Gauntlet")</f>
        <v>Gauntlet</v>
      </c>
      <c r="D623" s="49" t="str">
        <f>IFERROR(__xludf.DUMMYFUNCTION("""COMPUTED_VALUE"""),"Hand")</f>
        <v>Hand</v>
      </c>
      <c r="E623" s="49">
        <f>IFERROR(__xludf.DUMMYFUNCTION("""COMPUTED_VALUE"""),200.0)</f>
        <v>200</v>
      </c>
      <c r="F623" s="49" t="str">
        <f>IFERROR(__xludf.DUMMYFUNCTION("""COMPUTED_VALUE"""),"DMG: +5000, Light DMG: +2500, Order DMG: +2500")</f>
        <v>DMG: +5000, Light DMG: +2500, Order DMG: +2500</v>
      </c>
      <c r="G623" s="49">
        <f>IFERROR(__xludf.DUMMYFUNCTION("""COMPUTED_VALUE"""),1900000.0)</f>
        <v>1900000</v>
      </c>
      <c r="H623" s="49"/>
      <c r="I623" s="49"/>
      <c r="J623" s="49"/>
      <c r="K623" s="49"/>
      <c r="L623" s="49"/>
      <c r="M623" s="49"/>
      <c r="N623" s="49"/>
      <c r="O623" s="49"/>
      <c r="P623" s="49"/>
      <c r="Q623" s="49"/>
      <c r="R623" s="49"/>
      <c r="S623" s="49"/>
      <c r="T623" s="49"/>
      <c r="U623" s="49"/>
      <c r="V623" s="49"/>
      <c r="W623" s="49"/>
      <c r="X623" s="49"/>
      <c r="Y623" s="49"/>
      <c r="Z623" s="49"/>
    </row>
    <row r="624">
      <c r="A624" s="49" t="str">
        <f>IFERROR(__xludf.DUMMYFUNCTION("""COMPUTED_VALUE"""),"Hand Crossbow")</f>
        <v>Hand Crossbow</v>
      </c>
      <c r="B624" s="49"/>
      <c r="C624" s="49" t="str">
        <f>IFERROR(__xludf.DUMMYFUNCTION("""COMPUTED_VALUE"""),"Bow")</f>
        <v>Bow</v>
      </c>
      <c r="D624" s="49" t="str">
        <f>IFERROR(__xludf.DUMMYFUNCTION("""COMPUTED_VALUE"""),"Hand")</f>
        <v>Hand</v>
      </c>
      <c r="E624" s="49">
        <f>IFERROR(__xludf.DUMMYFUNCTION("""COMPUTED_VALUE"""),200.0)</f>
        <v>200</v>
      </c>
      <c r="F624" s="49" t="str">
        <f>IFERROR(__xludf.DUMMYFUNCTION("""COMPUTED_VALUE"""),"DMG: +10000")</f>
        <v>DMG: +10000</v>
      </c>
      <c r="G624" s="49">
        <f>IFERROR(__xludf.DUMMYFUNCTION("""COMPUTED_VALUE"""),1900000.0)</f>
        <v>1900000</v>
      </c>
      <c r="H624" s="49"/>
      <c r="I624" s="49"/>
      <c r="J624" s="49"/>
      <c r="K624" s="49"/>
      <c r="L624" s="49"/>
      <c r="M624" s="49"/>
      <c r="N624" s="49"/>
      <c r="O624" s="49"/>
      <c r="P624" s="49"/>
      <c r="Q624" s="49"/>
      <c r="R624" s="49"/>
      <c r="S624" s="49"/>
      <c r="T624" s="49"/>
      <c r="U624" s="49"/>
      <c r="V624" s="49"/>
      <c r="W624" s="49"/>
      <c r="X624" s="49"/>
      <c r="Y624" s="49"/>
      <c r="Z624" s="49"/>
    </row>
    <row r="625">
      <c r="A625" s="49" t="str">
        <f>IFERROR(__xludf.DUMMYFUNCTION("""COMPUTED_VALUE"""),"Flintlock Pistol")</f>
        <v>Flintlock Pistol</v>
      </c>
      <c r="B625" s="49"/>
      <c r="C625" s="49" t="str">
        <f>IFERROR(__xludf.DUMMYFUNCTION("""COMPUTED_VALUE"""),"Firearm")</f>
        <v>Firearm</v>
      </c>
      <c r="D625" s="49" t="str">
        <f>IFERROR(__xludf.DUMMYFUNCTION("""COMPUTED_VALUE"""),"Hand")</f>
        <v>Hand</v>
      </c>
      <c r="E625" s="49">
        <f>IFERROR(__xludf.DUMMYFUNCTION("""COMPUTED_VALUE"""),200.0)</f>
        <v>200</v>
      </c>
      <c r="F625" s="49" t="str">
        <f>IFERROR(__xludf.DUMMYFUNCTION("""COMPUTED_VALUE"""),"DMG: +10000")</f>
        <v>DMG: +10000</v>
      </c>
      <c r="G625" s="49">
        <f>IFERROR(__xludf.DUMMYFUNCTION("""COMPUTED_VALUE"""),1900000.0)</f>
        <v>1900000</v>
      </c>
      <c r="H625" s="49"/>
      <c r="I625" s="49"/>
      <c r="J625" s="49"/>
      <c r="K625" s="49"/>
      <c r="L625" s="49"/>
      <c r="M625" s="49"/>
      <c r="N625" s="49"/>
      <c r="O625" s="49"/>
      <c r="P625" s="49"/>
      <c r="Q625" s="49"/>
      <c r="R625" s="49"/>
      <c r="S625" s="49"/>
      <c r="T625" s="49"/>
      <c r="U625" s="49"/>
      <c r="V625" s="49"/>
      <c r="W625" s="49"/>
      <c r="X625" s="49"/>
      <c r="Y625" s="49"/>
      <c r="Z625" s="49"/>
    </row>
    <row r="626">
      <c r="A626" s="49" t="str">
        <f>IFERROR(__xludf.DUMMYFUNCTION("""COMPUTED_VALUE"""),"Head of Gévaudan")</f>
        <v>Head of Gévaudan</v>
      </c>
      <c r="B626" s="49"/>
      <c r="C626" s="49"/>
      <c r="D626" s="49" t="str">
        <f>IFERROR(__xludf.DUMMYFUNCTION("""COMPUTED_VALUE"""),"Head")</f>
        <v>Head</v>
      </c>
      <c r="E626" s="49">
        <f>IFERROR(__xludf.DUMMYFUNCTION("""COMPUTED_VALUE"""),200.0)</f>
        <v>200</v>
      </c>
      <c r="F626" s="49" t="str">
        <f>IFERROR(__xludf.DUMMYFUNCTION("""COMPUTED_VALUE"""),"DEF: +10000 ++ +5 to intimidation, ++Soul Shake: Allows to cast ""Shaken Soul""")</f>
        <v>DEF: +10000 ++ +5 to intimidation, ++Soul Shake: Allows to cast "Shaken Soul"</v>
      </c>
      <c r="G626" s="49">
        <f>IFERROR(__xludf.DUMMYFUNCTION("""COMPUTED_VALUE"""),1900000.0)</f>
        <v>1900000</v>
      </c>
      <c r="H626" s="49"/>
      <c r="I626" s="49"/>
      <c r="J626" s="49"/>
      <c r="K626" s="49"/>
      <c r="L626" s="49"/>
      <c r="M626" s="49"/>
      <c r="N626" s="49"/>
      <c r="O626" s="49"/>
      <c r="P626" s="49"/>
      <c r="Q626" s="49"/>
      <c r="R626" s="49"/>
      <c r="S626" s="49"/>
      <c r="T626" s="49"/>
      <c r="U626" s="49"/>
      <c r="V626" s="49"/>
      <c r="W626" s="49"/>
      <c r="X626" s="49"/>
      <c r="Y626" s="49"/>
      <c r="Z626" s="49"/>
    </row>
    <row r="627">
      <c r="A627" s="49" t="str">
        <f>IFERROR(__xludf.DUMMYFUNCTION("""COMPUTED_VALUE"""),"Phantasmal Scythe")</f>
        <v>Phantasmal Scythe</v>
      </c>
      <c r="B627" s="49"/>
      <c r="C627" s="49" t="str">
        <f>IFERROR(__xludf.DUMMYFUNCTION("""COMPUTED_VALUE"""),"Scythe")</f>
        <v>Scythe</v>
      </c>
      <c r="D627" s="49" t="str">
        <f>IFERROR(__xludf.DUMMYFUNCTION("""COMPUTED_VALUE"""),"Hand")</f>
        <v>Hand</v>
      </c>
      <c r="E627" s="49">
        <f>IFERROR(__xludf.DUMMYFUNCTION("""COMPUTED_VALUE"""),1000.0)</f>
        <v>1000</v>
      </c>
      <c r="F627" s="49" t="str">
        <f>IFERROR(__xludf.DUMMYFUNCTION("""COMPUTED_VALUE"""),", Spirit DMG: +50000")</f>
        <v>, Spirit DMG: +50000</v>
      </c>
      <c r="G627" s="49">
        <f>IFERROR(__xludf.DUMMYFUNCTION("""COMPUTED_VALUE"""),4.95E7)</f>
        <v>49500000</v>
      </c>
      <c r="H627" s="49"/>
      <c r="I627" s="49"/>
      <c r="J627" s="49"/>
      <c r="K627" s="49"/>
      <c r="L627" s="49"/>
      <c r="M627" s="49"/>
      <c r="N627" s="49"/>
      <c r="O627" s="49"/>
      <c r="P627" s="49"/>
      <c r="Q627" s="49"/>
      <c r="R627" s="49"/>
      <c r="S627" s="49"/>
      <c r="T627" s="49"/>
      <c r="U627" s="49"/>
      <c r="V627" s="49"/>
      <c r="W627" s="49"/>
      <c r="X627" s="49"/>
      <c r="Y627" s="49"/>
      <c r="Z627" s="49"/>
    </row>
    <row r="628">
      <c r="A628" s="49" t="str">
        <f>IFERROR(__xludf.DUMMYFUNCTION("""COMPUTED_VALUE"""),"Piranha Tooth Dagger")</f>
        <v>Piranha Tooth Dagger</v>
      </c>
      <c r="B628" s="49"/>
      <c r="C628" s="49" t="str">
        <f>IFERROR(__xludf.DUMMYFUNCTION("""COMPUTED_VALUE"""),"Knife")</f>
        <v>Knife</v>
      </c>
      <c r="D628" s="49" t="str">
        <f>IFERROR(__xludf.DUMMYFUNCTION("""COMPUTED_VALUE"""),"Hand")</f>
        <v>Hand</v>
      </c>
      <c r="E628" s="49">
        <f>IFERROR(__xludf.DUMMYFUNCTION("""COMPUTED_VALUE"""),10.0)</f>
        <v>10</v>
      </c>
      <c r="F628" s="49"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49">
        <f>IFERROR(__xludf.DUMMYFUNCTION("""COMPUTED_VALUE"""),1000.0)</f>
        <v>1000</v>
      </c>
      <c r="H628" s="49"/>
      <c r="I628" s="49"/>
      <c r="J628" s="49"/>
      <c r="K628" s="49"/>
      <c r="L628" s="49"/>
      <c r="M628" s="49"/>
      <c r="N628" s="49"/>
      <c r="O628" s="49"/>
      <c r="P628" s="49"/>
      <c r="Q628" s="49"/>
      <c r="R628" s="49"/>
      <c r="S628" s="49"/>
      <c r="T628" s="49"/>
      <c r="U628" s="49"/>
      <c r="V628" s="49"/>
      <c r="W628" s="49"/>
      <c r="X628" s="49"/>
      <c r="Y628" s="49"/>
      <c r="Z628" s="49"/>
    </row>
    <row r="629">
      <c r="A629" s="49" t="str">
        <f>IFERROR(__xludf.DUMMYFUNCTION("""COMPUTED_VALUE"""),"Rhino Horn Spear")</f>
        <v>Rhino Horn Spear</v>
      </c>
      <c r="B629" s="49"/>
      <c r="C629" s="49" t="str">
        <f>IFERROR(__xludf.DUMMYFUNCTION("""COMPUTED_VALUE"""),"Spear")</f>
        <v>Spear</v>
      </c>
      <c r="D629" s="49" t="str">
        <f>IFERROR(__xludf.DUMMYFUNCTION("""COMPUTED_VALUE"""),"Hand")</f>
        <v>Hand</v>
      </c>
      <c r="E629" s="49">
        <f>IFERROR(__xludf.DUMMYFUNCTION("""COMPUTED_VALUE"""),200.0)</f>
        <v>200</v>
      </c>
      <c r="F629" s="49" t="str">
        <f>IFERROR(__xludf.DUMMYFUNCTION("""COMPUTED_VALUE"""),"DMG: +10000 ++Charge - The first attack made with this weapon deals X2 damage")</f>
        <v>DMG: +10000 ++Charge - The first attack made with this weapon deals X2 damage</v>
      </c>
      <c r="G629" s="49">
        <f>IFERROR(__xludf.DUMMYFUNCTION("""COMPUTED_VALUE"""),1900000.0)</f>
        <v>1900000</v>
      </c>
      <c r="H629" s="49"/>
      <c r="I629" s="49"/>
      <c r="J629" s="49"/>
      <c r="K629" s="49"/>
      <c r="L629" s="49"/>
      <c r="M629" s="49"/>
      <c r="N629" s="49"/>
      <c r="O629" s="49"/>
      <c r="P629" s="49"/>
      <c r="Q629" s="49"/>
      <c r="R629" s="49"/>
      <c r="S629" s="49"/>
      <c r="T629" s="49"/>
      <c r="U629" s="49"/>
      <c r="V629" s="49"/>
      <c r="W629" s="49"/>
      <c r="X629" s="49"/>
      <c r="Y629" s="49"/>
      <c r="Z629" s="49"/>
    </row>
    <row r="630">
      <c r="A630" s="49" t="str">
        <f>IFERROR(__xludf.DUMMYFUNCTION("""COMPUTED_VALUE"""),"Rock Axe")</f>
        <v>Rock Axe</v>
      </c>
      <c r="B630" s="49"/>
      <c r="C630" s="49" t="str">
        <f>IFERROR(__xludf.DUMMYFUNCTION("""COMPUTED_VALUE"""),"Axe")</f>
        <v>Axe</v>
      </c>
      <c r="D630" s="49" t="str">
        <f>IFERROR(__xludf.DUMMYFUNCTION("""COMPUTED_VALUE"""),"Hand")</f>
        <v>Hand</v>
      </c>
      <c r="E630" s="49">
        <f>IFERROR(__xludf.DUMMYFUNCTION("""COMPUTED_VALUE"""),40.0)</f>
        <v>40</v>
      </c>
      <c r="F630" s="49" t="str">
        <f>IFERROR(__xludf.DUMMYFUNCTION("""COMPUTED_VALUE"""),"DMG: +1000, Earth DMG: +1000")</f>
        <v>DMG: +1000, Earth DMG: +1000</v>
      </c>
      <c r="G630" s="49">
        <f>IFERROR(__xludf.DUMMYFUNCTION("""COMPUTED_VALUE"""),60000.0)</f>
        <v>60000</v>
      </c>
      <c r="H630" s="49"/>
      <c r="I630" s="49"/>
      <c r="J630" s="49"/>
      <c r="K630" s="49"/>
      <c r="L630" s="49"/>
      <c r="M630" s="49"/>
      <c r="N630" s="49"/>
      <c r="O630" s="49"/>
      <c r="P630" s="49"/>
      <c r="Q630" s="49"/>
      <c r="R630" s="49"/>
      <c r="S630" s="49"/>
      <c r="T630" s="49"/>
      <c r="U630" s="49"/>
      <c r="V630" s="49"/>
      <c r="W630" s="49"/>
      <c r="X630" s="49"/>
      <c r="Y630" s="49"/>
      <c r="Z630" s="49"/>
    </row>
    <row r="631">
      <c r="A631" s="49" t="str">
        <f>IFERROR(__xludf.DUMMYFUNCTION("""COMPUTED_VALUE"""),"Saber Tooth")</f>
        <v>Saber Tooth</v>
      </c>
      <c r="B631" s="49"/>
      <c r="C631" s="49" t="str">
        <f>IFERROR(__xludf.DUMMYFUNCTION("""COMPUTED_VALUE"""),"Knife")</f>
        <v>Knife</v>
      </c>
      <c r="D631" s="49" t="str">
        <f>IFERROR(__xludf.DUMMYFUNCTION("""COMPUTED_VALUE"""),"Hand")</f>
        <v>Hand</v>
      </c>
      <c r="E631" s="49">
        <f>IFERROR(__xludf.DUMMYFUNCTION("""COMPUTED_VALUE"""),200.0)</f>
        <v>200</v>
      </c>
      <c r="F631" s="49" t="str">
        <f>IFERROR(__xludf.DUMMYFUNCTION("""COMPUTED_VALUE"""),"DMG: +10000")</f>
        <v>DMG: +10000</v>
      </c>
      <c r="G631" s="49">
        <f>IFERROR(__xludf.DUMMYFUNCTION("""COMPUTED_VALUE"""),1900000.0)</f>
        <v>1900000</v>
      </c>
      <c r="H631" s="49"/>
      <c r="I631" s="49"/>
      <c r="J631" s="49"/>
      <c r="K631" s="49"/>
      <c r="L631" s="49"/>
      <c r="M631" s="49"/>
      <c r="N631" s="49"/>
      <c r="O631" s="49"/>
      <c r="P631" s="49"/>
      <c r="Q631" s="49"/>
      <c r="R631" s="49"/>
      <c r="S631" s="49"/>
      <c r="T631" s="49"/>
      <c r="U631" s="49"/>
      <c r="V631" s="49"/>
      <c r="W631" s="49"/>
      <c r="X631" s="49"/>
      <c r="Y631" s="49"/>
      <c r="Z631" s="49"/>
    </row>
    <row r="632">
      <c r="A632" s="49" t="str">
        <f>IFERROR(__xludf.DUMMYFUNCTION("""COMPUTED_VALUE"""),"Worm Tooth Chainsaw")</f>
        <v>Worm Tooth Chainsaw</v>
      </c>
      <c r="B632" s="49"/>
      <c r="C632" s="49" t="str">
        <f>IFERROR(__xludf.DUMMYFUNCTION("""COMPUTED_VALUE"""),"Axe")</f>
        <v>Axe</v>
      </c>
      <c r="D632" s="49" t="str">
        <f>IFERROR(__xludf.DUMMYFUNCTION("""COMPUTED_VALUE"""),"Hand")</f>
        <v>Hand</v>
      </c>
      <c r="E632" s="49">
        <f>IFERROR(__xludf.DUMMYFUNCTION("""COMPUTED_VALUE"""),1200.0)</f>
        <v>1200</v>
      </c>
      <c r="F632" s="49"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49">
        <f>IFERROR(__xludf.DUMMYFUNCTION("""COMPUTED_VALUE"""),7.14E7)</f>
        <v>71400000</v>
      </c>
      <c r="H632" s="49"/>
      <c r="I632" s="49"/>
      <c r="J632" s="49"/>
      <c r="K632" s="49"/>
      <c r="L632" s="49"/>
      <c r="M632" s="49"/>
      <c r="N632" s="49"/>
      <c r="O632" s="49"/>
      <c r="P632" s="49"/>
      <c r="Q632" s="49"/>
      <c r="R632" s="49"/>
      <c r="S632" s="49"/>
      <c r="T632" s="49"/>
      <c r="U632" s="49"/>
      <c r="V632" s="49"/>
      <c r="W632" s="49"/>
      <c r="X632" s="49"/>
      <c r="Y632" s="49"/>
      <c r="Z632" s="49"/>
    </row>
    <row r="633">
      <c r="A633" s="49" t="str">
        <f>IFERROR(__xludf.DUMMYFUNCTION("""COMPUTED_VALUE"""),"Shark Tooth Greatclub")</f>
        <v>Shark Tooth Greatclub</v>
      </c>
      <c r="B633" s="49"/>
      <c r="C633" s="49" t="str">
        <f>IFERROR(__xludf.DUMMYFUNCTION("""COMPUTED_VALUE"""),"Club")</f>
        <v>Club</v>
      </c>
      <c r="D633" s="49" t="str">
        <f>IFERROR(__xludf.DUMMYFUNCTION("""COMPUTED_VALUE"""),"Hand")</f>
        <v>Hand</v>
      </c>
      <c r="E633" s="49">
        <f>IFERROR(__xludf.DUMMYFUNCTION("""COMPUTED_VALUE"""),500.0)</f>
        <v>500</v>
      </c>
      <c r="F633" s="49"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49">
        <f>IFERROR(__xludf.DUMMYFUNCTION("""COMPUTED_VALUE"""),1.225E7)</f>
        <v>12250000</v>
      </c>
      <c r="H633" s="49"/>
      <c r="I633" s="49"/>
      <c r="J633" s="49"/>
      <c r="K633" s="49"/>
      <c r="L633" s="49"/>
      <c r="M633" s="49"/>
      <c r="N633" s="49"/>
      <c r="O633" s="49"/>
      <c r="P633" s="49"/>
      <c r="Q633" s="49"/>
      <c r="R633" s="49"/>
      <c r="S633" s="49"/>
      <c r="T633" s="49"/>
      <c r="U633" s="49"/>
      <c r="V633" s="49"/>
      <c r="W633" s="49"/>
      <c r="X633" s="49"/>
      <c r="Y633" s="49"/>
      <c r="Z633" s="49"/>
    </row>
    <row r="634">
      <c r="A634" s="49" t="str">
        <f>IFERROR(__xludf.DUMMYFUNCTION("""COMPUTED_VALUE"""),"Sticky Slime Guantlets")</f>
        <v>Sticky Slime Guantlets</v>
      </c>
      <c r="B634" s="49"/>
      <c r="C634" s="49" t="str">
        <f>IFERROR(__xludf.DUMMYFUNCTION("""COMPUTED_VALUE"""),"Gauntlet")</f>
        <v>Gauntlet</v>
      </c>
      <c r="D634" s="49" t="str">
        <f>IFERROR(__xludf.DUMMYFUNCTION("""COMPUTED_VALUE"""),"Hand")</f>
        <v>Hand</v>
      </c>
      <c r="E634" s="49">
        <f>IFERROR(__xludf.DUMMYFUNCTION("""COMPUTED_VALUE"""),400.0)</f>
        <v>400</v>
      </c>
      <c r="F634" s="49" t="str">
        <f>IFERROR(__xludf.DUMMYFUNCTION("""COMPUTED_VALUE"""),"DEF: +20000 ++Slimey Grasp - When these gloves are equipped the natural power ""take"" Is guaranteed to succeed.")</f>
        <v>DEF: +20000 ++Slimey Grasp - When these gloves are equipped the natural power "take" Is guaranteed to succeed.</v>
      </c>
      <c r="G634" s="49">
        <f>IFERROR(__xludf.DUMMYFUNCTION("""COMPUTED_VALUE"""),7800000.0)</f>
        <v>7800000</v>
      </c>
      <c r="H634" s="49"/>
      <c r="I634" s="49"/>
      <c r="J634" s="49"/>
      <c r="K634" s="49"/>
      <c r="L634" s="49"/>
      <c r="M634" s="49"/>
      <c r="N634" s="49"/>
      <c r="O634" s="49"/>
      <c r="P634" s="49"/>
      <c r="Q634" s="49"/>
      <c r="R634" s="49"/>
      <c r="S634" s="49"/>
      <c r="T634" s="49"/>
      <c r="U634" s="49"/>
      <c r="V634" s="49"/>
      <c r="W634" s="49"/>
      <c r="X634" s="49"/>
      <c r="Y634" s="49"/>
      <c r="Z634" s="49"/>
    </row>
    <row r="635">
      <c r="A635" s="49" t="str">
        <f>IFERROR(__xludf.DUMMYFUNCTION("""COMPUTED_VALUE"""),"Draconic Scythe")</f>
        <v>Draconic Scythe</v>
      </c>
      <c r="B635" s="49"/>
      <c r="C635" s="49" t="str">
        <f>IFERROR(__xludf.DUMMYFUNCTION("""COMPUTED_VALUE"""),"Scythe")</f>
        <v>Scythe</v>
      </c>
      <c r="D635" s="49" t="str">
        <f>IFERROR(__xludf.DUMMYFUNCTION("""COMPUTED_VALUE"""),"Hand")</f>
        <v>Hand</v>
      </c>
      <c r="E635" s="49">
        <f>IFERROR(__xludf.DUMMYFUNCTION("""COMPUTED_VALUE"""),2000.0)</f>
        <v>2000</v>
      </c>
      <c r="F635" s="49"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49">
        <f>IFERROR(__xludf.DUMMYFUNCTION("""COMPUTED_VALUE"""),1.99E8)</f>
        <v>199000000</v>
      </c>
      <c r="H635" s="49"/>
      <c r="I635" s="49"/>
      <c r="J635" s="49"/>
      <c r="K635" s="49"/>
      <c r="L635" s="49"/>
      <c r="M635" s="49"/>
      <c r="N635" s="49"/>
      <c r="O635" s="49"/>
      <c r="P635" s="49"/>
      <c r="Q635" s="49"/>
      <c r="R635" s="49"/>
      <c r="S635" s="49"/>
      <c r="T635" s="49"/>
      <c r="U635" s="49"/>
      <c r="V635" s="49"/>
      <c r="W635" s="49"/>
      <c r="X635" s="49"/>
      <c r="Y635" s="49"/>
      <c r="Z635" s="49"/>
    </row>
    <row r="636">
      <c r="A636" s="49" t="str">
        <f>IFERROR(__xludf.DUMMYFUNCTION("""COMPUTED_VALUE"""),"Elemental Scythe")</f>
        <v>Elemental Scythe</v>
      </c>
      <c r="B636" s="49"/>
      <c r="C636" s="49" t="str">
        <f>IFERROR(__xludf.DUMMYFUNCTION("""COMPUTED_VALUE"""),"Scythe")</f>
        <v>Scythe</v>
      </c>
      <c r="D636" s="49" t="str">
        <f>IFERROR(__xludf.DUMMYFUNCTION("""COMPUTED_VALUE"""),"Hand")</f>
        <v>Hand</v>
      </c>
      <c r="E636" s="49">
        <f>IFERROR(__xludf.DUMMYFUNCTION("""COMPUTED_VALUE"""),2000.0)</f>
        <v>2000</v>
      </c>
      <c r="F636" s="49"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49">
        <f>IFERROR(__xludf.DUMMYFUNCTION("""COMPUTED_VALUE"""),1.99E8)</f>
        <v>199000000</v>
      </c>
      <c r="H636" s="49"/>
      <c r="I636" s="49"/>
      <c r="J636" s="49"/>
      <c r="K636" s="49"/>
      <c r="L636" s="49"/>
      <c r="M636" s="49"/>
      <c r="N636" s="49"/>
      <c r="O636" s="49"/>
      <c r="P636" s="49"/>
      <c r="Q636" s="49"/>
      <c r="R636" s="49"/>
      <c r="S636" s="49"/>
      <c r="T636" s="49"/>
      <c r="U636" s="49"/>
      <c r="V636" s="49"/>
      <c r="W636" s="49"/>
      <c r="X636" s="49"/>
      <c r="Y636" s="49"/>
      <c r="Z636" s="49"/>
    </row>
    <row r="637">
      <c r="A637" s="49" t="str">
        <f>IFERROR(__xludf.DUMMYFUNCTION("""COMPUTED_VALUE"""),"Staff of the Elemental King of Water")</f>
        <v>Staff of the Elemental King of Water</v>
      </c>
      <c r="B637" s="49"/>
      <c r="C637" s="49" t="str">
        <f>IFERROR(__xludf.DUMMYFUNCTION("""COMPUTED_VALUE"""),"Staff")</f>
        <v>Staff</v>
      </c>
      <c r="D637" s="49" t="str">
        <f>IFERROR(__xludf.DUMMYFUNCTION("""COMPUTED_VALUE"""),"Hand")</f>
        <v>Hand</v>
      </c>
      <c r="E637" s="49">
        <f>IFERROR(__xludf.DUMMYFUNCTION("""COMPUTED_VALUE"""),1000.0)</f>
        <v>1000</v>
      </c>
      <c r="F637" s="49" t="str">
        <f>IFERROR(__xludf.DUMMYFUNCTION("""COMPUTED_VALUE"""),", Water DMG: +50000 ++Summoned Water Elementals deal 5X water damage")</f>
        <v>, Water DMG: +50000 ++Summoned Water Elementals deal 5X water damage</v>
      </c>
      <c r="G637" s="49">
        <f>IFERROR(__xludf.DUMMYFUNCTION("""COMPUTED_VALUE"""),4.95E7)</f>
        <v>49500000</v>
      </c>
      <c r="H637" s="49"/>
      <c r="I637" s="49"/>
      <c r="J637" s="49"/>
      <c r="K637" s="49"/>
      <c r="L637" s="49"/>
      <c r="M637" s="49"/>
      <c r="N637" s="49"/>
      <c r="O637" s="49"/>
      <c r="P637" s="49"/>
      <c r="Q637" s="49"/>
      <c r="R637" s="49"/>
      <c r="S637" s="49"/>
      <c r="T637" s="49"/>
      <c r="U637" s="49"/>
      <c r="V637" s="49"/>
      <c r="W637" s="49"/>
      <c r="X637" s="49"/>
      <c r="Y637" s="49"/>
      <c r="Z637" s="49"/>
    </row>
    <row r="638">
      <c r="A638" s="49" t="str">
        <f>IFERROR(__xludf.DUMMYFUNCTION("""COMPUTED_VALUE"""),"Bashe's Tail")</f>
        <v>Bashe's Tail</v>
      </c>
      <c r="B638" s="49"/>
      <c r="C638" s="49"/>
      <c r="D638" s="49" t="str">
        <f>IFERROR(__xludf.DUMMYFUNCTION("""COMPUTED_VALUE"""),"Legs")</f>
        <v>Legs</v>
      </c>
      <c r="E638" s="49">
        <f>IFERROR(__xludf.DUMMYFUNCTION("""COMPUTED_VALUE"""),800.0)</f>
        <v>800</v>
      </c>
      <c r="F638" s="49" t="str">
        <f>IFERROR(__xludf.DUMMYFUNCTION("""COMPUTED_VALUE"""),"DEF: +40000 ++Smash - Allows you to attack with the tail as if it were a club weapon")</f>
        <v>DEF: +40000 ++Smash - Allows you to attack with the tail as if it were a club weapon</v>
      </c>
      <c r="G638" s="49">
        <f>IFERROR(__xludf.DUMMYFUNCTION("""COMPUTED_VALUE"""),3.16E7)</f>
        <v>31600000</v>
      </c>
      <c r="H638" s="49"/>
      <c r="I638" s="49"/>
      <c r="J638" s="49"/>
      <c r="K638" s="49"/>
      <c r="L638" s="49"/>
      <c r="M638" s="49"/>
      <c r="N638" s="49"/>
      <c r="O638" s="49"/>
      <c r="P638" s="49"/>
      <c r="Q638" s="49"/>
      <c r="R638" s="49"/>
      <c r="S638" s="49"/>
      <c r="T638" s="49"/>
      <c r="U638" s="49"/>
      <c r="V638" s="49"/>
      <c r="W638" s="49"/>
      <c r="X638" s="49"/>
      <c r="Y638" s="49"/>
      <c r="Z638" s="49"/>
    </row>
    <row r="639">
      <c r="A639" s="49" t="str">
        <f>IFERROR(__xludf.DUMMYFUNCTION("""COMPUTED_VALUE"""),"Bashe's Flute")</f>
        <v>Bashe's Flute</v>
      </c>
      <c r="B639" s="49"/>
      <c r="C639" s="49" t="str">
        <f>IFERROR(__xludf.DUMMYFUNCTION("""COMPUTED_VALUE"""),"Instrument")</f>
        <v>Instrument</v>
      </c>
      <c r="D639" s="49" t="str">
        <f>IFERROR(__xludf.DUMMYFUNCTION("""COMPUTED_VALUE"""),"Hand")</f>
        <v>Hand</v>
      </c>
      <c r="E639" s="49">
        <f>IFERROR(__xludf.DUMMYFUNCTION("""COMPUTED_VALUE"""),1000.0)</f>
        <v>1000</v>
      </c>
      <c r="F639" s="49"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49">
        <f>IFERROR(__xludf.DUMMYFUNCTION("""COMPUTED_VALUE"""),4.95E7)</f>
        <v>49500000</v>
      </c>
      <c r="H639" s="49"/>
      <c r="I639" s="49"/>
      <c r="J639" s="49"/>
      <c r="K639" s="49"/>
      <c r="L639" s="49"/>
      <c r="M639" s="49"/>
      <c r="N639" s="49"/>
      <c r="O639" s="49"/>
      <c r="P639" s="49"/>
      <c r="Q639" s="49"/>
      <c r="R639" s="49"/>
      <c r="S639" s="49"/>
      <c r="T639" s="49"/>
      <c r="U639" s="49"/>
      <c r="V639" s="49"/>
      <c r="W639" s="49"/>
      <c r="X639" s="49"/>
      <c r="Y639" s="49"/>
      <c r="Z639" s="49"/>
    </row>
    <row r="640">
      <c r="A640" s="49" t="str">
        <f>IFERROR(__xludf.DUMMYFUNCTION("""COMPUTED_VALUE"""),"Grash's Favorite Length Of Iron")</f>
        <v>Grash's Favorite Length Of Iron</v>
      </c>
      <c r="B640" s="49"/>
      <c r="C640" s="49" t="str">
        <f>IFERROR(__xludf.DUMMYFUNCTION("""COMPUTED_VALUE"""),"Club")</f>
        <v>Club</v>
      </c>
      <c r="D640" s="49" t="str">
        <f>IFERROR(__xludf.DUMMYFUNCTION("""COMPUTED_VALUE"""),"Hand")</f>
        <v>Hand</v>
      </c>
      <c r="E640" s="49">
        <f>IFERROR(__xludf.DUMMYFUNCTION("""COMPUTED_VALUE"""),2000.0)</f>
        <v>2000</v>
      </c>
      <c r="F640" s="49" t="str">
        <f>IFERROR(__xludf.DUMMYFUNCTION("""COMPUTED_VALUE"""),"DMG: +100000 ++When a Samurai Wields this weapon they get access to the ""Grash's Smashing Success"" Natural Power")</f>
        <v>DMG: +100000 ++When a Samurai Wields this weapon they get access to the "Grash's Smashing Success" Natural Power</v>
      </c>
      <c r="G640" s="49">
        <f>IFERROR(__xludf.DUMMYFUNCTION("""COMPUTED_VALUE"""),1.99E8)</f>
        <v>199000000</v>
      </c>
      <c r="H640" s="49"/>
      <c r="I640" s="49"/>
      <c r="J640" s="49"/>
      <c r="K640" s="49"/>
      <c r="L640" s="49"/>
      <c r="M640" s="49"/>
      <c r="N640" s="49"/>
      <c r="O640" s="49"/>
      <c r="P640" s="49"/>
      <c r="Q640" s="49"/>
      <c r="R640" s="49"/>
      <c r="S640" s="49"/>
      <c r="T640" s="49"/>
      <c r="U640" s="49"/>
      <c r="V640" s="49"/>
      <c r="W640" s="49"/>
      <c r="X640" s="49"/>
      <c r="Y640" s="49"/>
      <c r="Z640" s="49"/>
    </row>
    <row r="641">
      <c r="A641" s="49" t="str">
        <f>IFERROR(__xludf.DUMMYFUNCTION("""COMPUTED_VALUE"""),"Wolf Tooth Neclace")</f>
        <v>Wolf Tooth Neclace</v>
      </c>
      <c r="B641" s="49"/>
      <c r="C641" s="49"/>
      <c r="D641" s="49" t="str">
        <f>IFERROR(__xludf.DUMMYFUNCTION("""COMPUTED_VALUE"""),"Neck")</f>
        <v>Neck</v>
      </c>
      <c r="E641" s="49">
        <f>IFERROR(__xludf.DUMMYFUNCTION("""COMPUTED_VALUE"""),1.0)</f>
        <v>1</v>
      </c>
      <c r="F641" s="49"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49">
        <f>IFERROR(__xludf.DUMMYFUNCTION("""COMPUTED_VALUE"""),0.0)</f>
        <v>0</v>
      </c>
      <c r="H641" s="49"/>
      <c r="I641" s="49"/>
      <c r="J641" s="49"/>
      <c r="K641" s="49"/>
      <c r="L641" s="49"/>
      <c r="M641" s="49"/>
      <c r="N641" s="49"/>
      <c r="O641" s="49"/>
      <c r="P641" s="49"/>
      <c r="Q641" s="49"/>
      <c r="R641" s="49"/>
      <c r="S641" s="49"/>
      <c r="T641" s="49"/>
      <c r="U641" s="49"/>
      <c r="V641" s="49"/>
      <c r="W641" s="49"/>
      <c r="X641" s="49"/>
      <c r="Y641" s="49"/>
      <c r="Z641" s="49"/>
    </row>
    <row r="642">
      <c r="A642" s="49" t="str">
        <f>IFERROR(__xludf.DUMMYFUNCTION("""COMPUTED_VALUE"""),"Dragon Scale Necklace")</f>
        <v>Dragon Scale Necklace</v>
      </c>
      <c r="B642" s="49"/>
      <c r="C642" s="49"/>
      <c r="D642" s="49" t="str">
        <f>IFERROR(__xludf.DUMMYFUNCTION("""COMPUTED_VALUE"""),"Neck")</f>
        <v>Neck</v>
      </c>
      <c r="E642" s="49">
        <f>IFERROR(__xludf.DUMMYFUNCTION("""COMPUTED_VALUE"""),1.0)</f>
        <v>1</v>
      </c>
      <c r="F642" s="49"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49">
        <f>IFERROR(__xludf.DUMMYFUNCTION("""COMPUTED_VALUE"""),0.0)</f>
        <v>0</v>
      </c>
      <c r="H642" s="49"/>
      <c r="I642" s="49"/>
      <c r="J642" s="49"/>
      <c r="K642" s="49"/>
      <c r="L642" s="49"/>
      <c r="M642" s="49"/>
      <c r="N642" s="49"/>
      <c r="O642" s="49"/>
      <c r="P642" s="49"/>
      <c r="Q642" s="49"/>
      <c r="R642" s="49"/>
      <c r="S642" s="49"/>
      <c r="T642" s="49"/>
      <c r="U642" s="49"/>
      <c r="V642" s="49"/>
      <c r="W642" s="49"/>
      <c r="X642" s="49"/>
      <c r="Y642" s="49"/>
      <c r="Z642" s="49"/>
    </row>
    <row r="643">
      <c r="A643" s="49" t="str">
        <f>IFERROR(__xludf.DUMMYFUNCTION("""COMPUTED_VALUE"""),"Heavenly Necklace")</f>
        <v>Heavenly Necklace</v>
      </c>
      <c r="B643" s="49"/>
      <c r="C643" s="49"/>
      <c r="D643" s="49" t="str">
        <f>IFERROR(__xludf.DUMMYFUNCTION("""COMPUTED_VALUE"""),"Neck")</f>
        <v>Neck</v>
      </c>
      <c r="E643" s="49">
        <f>IFERROR(__xludf.DUMMYFUNCTION("""COMPUTED_VALUE"""),1.0)</f>
        <v>1</v>
      </c>
      <c r="F643" s="49"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49">
        <f>IFERROR(__xludf.DUMMYFUNCTION("""COMPUTED_VALUE"""),0.0)</f>
        <v>0</v>
      </c>
      <c r="H643" s="49"/>
      <c r="I643" s="49"/>
      <c r="J643" s="49"/>
      <c r="K643" s="49"/>
      <c r="L643" s="49"/>
      <c r="M643" s="49"/>
      <c r="N643" s="49"/>
      <c r="O643" s="49"/>
      <c r="P643" s="49"/>
      <c r="Q643" s="49"/>
      <c r="R643" s="49"/>
      <c r="S643" s="49"/>
      <c r="T643" s="49"/>
      <c r="U643" s="49"/>
      <c r="V643" s="49"/>
      <c r="W643" s="49"/>
      <c r="X643" s="49"/>
      <c r="Y643" s="49"/>
      <c r="Z643" s="49"/>
    </row>
    <row r="644">
      <c r="A644" s="49" t="str">
        <f>IFERROR(__xludf.DUMMYFUNCTION("""COMPUTED_VALUE"""),"Demonic Necklace")</f>
        <v>Demonic Necklace</v>
      </c>
      <c r="B644" s="49"/>
      <c r="C644" s="49"/>
      <c r="D644" s="49" t="str">
        <f>IFERROR(__xludf.DUMMYFUNCTION("""COMPUTED_VALUE"""),"Neck")</f>
        <v>Neck</v>
      </c>
      <c r="E644" s="49">
        <f>IFERROR(__xludf.DUMMYFUNCTION("""COMPUTED_VALUE"""),1.0)</f>
        <v>1</v>
      </c>
      <c r="F644" s="49"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49">
        <f>IFERROR(__xludf.DUMMYFUNCTION("""COMPUTED_VALUE"""),0.0)</f>
        <v>0</v>
      </c>
      <c r="H644" s="49"/>
      <c r="I644" s="49"/>
      <c r="J644" s="49"/>
      <c r="K644" s="49"/>
      <c r="L644" s="49"/>
      <c r="M644" s="49"/>
      <c r="N644" s="49"/>
      <c r="O644" s="49"/>
      <c r="P644" s="49"/>
      <c r="Q644" s="49"/>
      <c r="R644" s="49"/>
      <c r="S644" s="49"/>
      <c r="T644" s="49"/>
      <c r="U644" s="49"/>
      <c r="V644" s="49"/>
      <c r="W644" s="49"/>
      <c r="X644" s="49"/>
      <c r="Y644" s="49"/>
      <c r="Z644" s="49"/>
    </row>
    <row r="645">
      <c r="A645" s="49" t="str">
        <f>IFERROR(__xludf.DUMMYFUNCTION("""COMPUTED_VALUE"""),"The Cloak of Gévaudan")</f>
        <v>The Cloak of Gévaudan</v>
      </c>
      <c r="B645" s="49"/>
      <c r="C645" s="49"/>
      <c r="D645" s="49" t="str">
        <f>IFERROR(__xludf.DUMMYFUNCTION("""COMPUTED_VALUE"""),"Shoulders")</f>
        <v>Shoulders</v>
      </c>
      <c r="E645" s="49">
        <f>IFERROR(__xludf.DUMMYFUNCTION("""COMPUTED_VALUE"""),800.0)</f>
        <v>800</v>
      </c>
      <c r="F645" s="49" t="str">
        <f>IFERROR(__xludf.DUMMYFUNCTION("""COMPUTED_VALUE"""),"DEF: +25000, Fire DEF: +15000 ++The warm coat grants you immunity to freezing.")</f>
        <v>DEF: +25000, Fire DEF: +15000 ++The warm coat grants you immunity to freezing.</v>
      </c>
      <c r="G645" s="49">
        <f>IFERROR(__xludf.DUMMYFUNCTION("""COMPUTED_VALUE"""),3.16E7)</f>
        <v>31600000</v>
      </c>
      <c r="H645" s="49"/>
      <c r="I645" s="49"/>
      <c r="J645" s="49"/>
      <c r="K645" s="49"/>
      <c r="L645" s="49"/>
      <c r="M645" s="49"/>
      <c r="N645" s="49"/>
      <c r="O645" s="49"/>
      <c r="P645" s="49"/>
      <c r="Q645" s="49"/>
      <c r="R645" s="49"/>
      <c r="S645" s="49"/>
      <c r="T645" s="49"/>
      <c r="U645" s="49"/>
      <c r="V645" s="49"/>
      <c r="W645" s="49"/>
      <c r="X645" s="49"/>
      <c r="Y645" s="49"/>
      <c r="Z645" s="49"/>
    </row>
    <row r="646">
      <c r="A646" s="49" t="str">
        <f>IFERROR(__xludf.DUMMYFUNCTION("""COMPUTED_VALUE"""),"Spirit Glyph")</f>
        <v>Spirit Glyph</v>
      </c>
      <c r="B646" s="49"/>
      <c r="C646" s="49"/>
      <c r="D646" s="49" t="str">
        <f>IFERROR(__xludf.DUMMYFUNCTION("""COMPUTED_VALUE"""),"Ring")</f>
        <v>Ring</v>
      </c>
      <c r="E646" s="49">
        <f>IFERROR(__xludf.DUMMYFUNCTION("""COMPUTED_VALUE"""),1.0)</f>
        <v>1</v>
      </c>
      <c r="F646" s="49"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49">
        <f>IFERROR(__xludf.DUMMYFUNCTION("""COMPUTED_VALUE"""),0.0)</f>
        <v>0</v>
      </c>
      <c r="H646" s="49"/>
      <c r="I646" s="49"/>
      <c r="J646" s="49"/>
      <c r="K646" s="49"/>
      <c r="L646" s="49"/>
      <c r="M646" s="49"/>
      <c r="N646" s="49"/>
      <c r="O646" s="49"/>
      <c r="P646" s="49"/>
      <c r="Q646" s="49"/>
      <c r="R646" s="49"/>
      <c r="S646" s="49"/>
      <c r="T646" s="49"/>
      <c r="U646" s="49"/>
      <c r="V646" s="49"/>
      <c r="W646" s="49"/>
      <c r="X646" s="49"/>
      <c r="Y646" s="49"/>
      <c r="Z646" s="49"/>
    </row>
    <row r="647">
      <c r="A647" s="49" t="str">
        <f>IFERROR(__xludf.DUMMYFUNCTION("""COMPUTED_VALUE"""),"Necromantic Sigil")</f>
        <v>Necromantic Sigil</v>
      </c>
      <c r="B647" s="49"/>
      <c r="C647" s="49"/>
      <c r="D647" s="49" t="str">
        <f>IFERROR(__xludf.DUMMYFUNCTION("""COMPUTED_VALUE"""),"Ring")</f>
        <v>Ring</v>
      </c>
      <c r="E647" s="49">
        <f>IFERROR(__xludf.DUMMYFUNCTION("""COMPUTED_VALUE"""),1.0)</f>
        <v>1</v>
      </c>
      <c r="F647" s="49"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49">
        <f>IFERROR(__xludf.DUMMYFUNCTION("""COMPUTED_VALUE"""),0.0)</f>
        <v>0</v>
      </c>
      <c r="H647" s="49"/>
      <c r="I647" s="49"/>
      <c r="J647" s="49"/>
      <c r="K647" s="49"/>
      <c r="L647" s="49"/>
      <c r="M647" s="49"/>
      <c r="N647" s="49"/>
      <c r="O647" s="49"/>
      <c r="P647" s="49"/>
      <c r="Q647" s="49"/>
      <c r="R647" s="49"/>
      <c r="S647" s="49"/>
      <c r="T647" s="49"/>
      <c r="U647" s="49"/>
      <c r="V647" s="49"/>
      <c r="W647" s="49"/>
      <c r="X647" s="49"/>
      <c r="Y647" s="49"/>
      <c r="Z647" s="49"/>
    </row>
    <row r="648">
      <c r="A648" s="49" t="str">
        <f>IFERROR(__xludf.DUMMYFUNCTION("""COMPUTED_VALUE"""),"Dragonslayer")</f>
        <v>Dragonslayer</v>
      </c>
      <c r="B648" s="49" t="str">
        <f>IFERROR(__xludf.DUMMYFUNCTION("""COMPUTED_VALUE"""),"It was too big to be called a sword. Massive, thick, heavy, and far too rough. Indeed, it was a heap of raw iron.")</f>
        <v>It was too big to be called a sword. Massive, thick, heavy, and far too rough. Indeed, it was a heap of raw iron.</v>
      </c>
      <c r="C648" s="49" t="str">
        <f>IFERROR(__xludf.DUMMYFUNCTION("""COMPUTED_VALUE"""),"Sword")</f>
        <v>Sword</v>
      </c>
      <c r="D648" s="49" t="str">
        <f>IFERROR(__xludf.DUMMYFUNCTION("""COMPUTED_VALUE"""),"Hand")</f>
        <v>Hand</v>
      </c>
      <c r="E648" s="49">
        <f>IFERROR(__xludf.DUMMYFUNCTION("""COMPUTED_VALUE"""),2000.0)</f>
        <v>2000</v>
      </c>
      <c r="F648" s="49" t="str">
        <f>IFERROR(__xludf.DUMMYFUNCTION("""COMPUTED_VALUE"""),"DMG: +100000 ++Deals X10 damage when fighting a Dragon or Monstrosity")</f>
        <v>DMG: +100000 ++Deals X10 damage when fighting a Dragon or Monstrosity</v>
      </c>
      <c r="G648" s="49">
        <f>IFERROR(__xludf.DUMMYFUNCTION("""COMPUTED_VALUE"""),1.99E8)</f>
        <v>199000000</v>
      </c>
      <c r="H648" s="49"/>
      <c r="I648" s="49"/>
      <c r="J648" s="49"/>
      <c r="K648" s="49"/>
      <c r="L648" s="49"/>
      <c r="M648" s="49"/>
      <c r="N648" s="49"/>
      <c r="O648" s="49"/>
      <c r="P648" s="49"/>
      <c r="Q648" s="49"/>
      <c r="R648" s="49"/>
      <c r="S648" s="49"/>
      <c r="T648" s="49"/>
      <c r="U648" s="49"/>
      <c r="V648" s="49"/>
      <c r="W648" s="49"/>
      <c r="X648" s="49"/>
      <c r="Y648" s="49"/>
      <c r="Z648" s="49"/>
    </row>
    <row r="649">
      <c r="A649" s="49" t="str">
        <f>IFERROR(__xludf.DUMMYFUNCTION("""COMPUTED_VALUE"""),"Rusted Halberd")</f>
        <v>Rusted Halberd</v>
      </c>
      <c r="B649" s="49"/>
      <c r="C649" s="49" t="str">
        <f>IFERROR(__xludf.DUMMYFUNCTION("""COMPUTED_VALUE"""),"Spear")</f>
        <v>Spear</v>
      </c>
      <c r="D649" s="49" t="str">
        <f>IFERROR(__xludf.DUMMYFUNCTION("""COMPUTED_VALUE"""),"Hand")</f>
        <v>Hand</v>
      </c>
      <c r="E649" s="49">
        <f>IFERROR(__xludf.DUMMYFUNCTION("""COMPUTED_VALUE"""),100.0)</f>
        <v>100</v>
      </c>
      <c r="F649" s="49" t="str">
        <f>IFERROR(__xludf.DUMMYFUNCTION("""COMPUTED_VALUE"""),"DMG: +5000")</f>
        <v>DMG: +5000</v>
      </c>
      <c r="G649" s="49">
        <f>IFERROR(__xludf.DUMMYFUNCTION("""COMPUTED_VALUE"""),450000.0)</f>
        <v>450000</v>
      </c>
      <c r="H649" s="49"/>
      <c r="I649" s="49"/>
      <c r="J649" s="49"/>
      <c r="K649" s="49"/>
      <c r="L649" s="49"/>
      <c r="M649" s="49"/>
      <c r="N649" s="49"/>
      <c r="O649" s="49"/>
      <c r="P649" s="49"/>
      <c r="Q649" s="49"/>
      <c r="R649" s="49"/>
      <c r="S649" s="49"/>
      <c r="T649" s="49"/>
      <c r="U649" s="49"/>
      <c r="V649" s="49"/>
      <c r="W649" s="49"/>
      <c r="X649" s="49"/>
      <c r="Y649" s="49"/>
      <c r="Z649" s="49"/>
    </row>
    <row r="650">
      <c r="A650" s="49" t="str">
        <f>IFERROR(__xludf.DUMMYFUNCTION("""COMPUTED_VALUE"""),"Diseased Rapier")</f>
        <v>Diseased Rapier</v>
      </c>
      <c r="B650" s="49"/>
      <c r="C650" s="49" t="str">
        <f>IFERROR(__xludf.DUMMYFUNCTION("""COMPUTED_VALUE"""),"Sword")</f>
        <v>Sword</v>
      </c>
      <c r="D650" s="49" t="str">
        <f>IFERROR(__xludf.DUMMYFUNCTION("""COMPUTED_VALUE"""),"Hand")</f>
        <v>Hand</v>
      </c>
      <c r="E650" s="49">
        <f>IFERROR(__xludf.DUMMYFUNCTION("""COMPUTED_VALUE"""),50.0)</f>
        <v>50</v>
      </c>
      <c r="F650" s="49" t="str">
        <f>IFERROR(__xludf.DUMMYFUNCTION("""COMPUTED_VALUE"""),"DMG: +2500 ++15% chance to inflict the target with a random non-pemanent disease")</f>
        <v>DMG: +2500 ++15% chance to inflict the target with a random non-pemanent disease</v>
      </c>
      <c r="G650" s="49">
        <f>IFERROR(__xludf.DUMMYFUNCTION("""COMPUTED_VALUE"""),100000.0)</f>
        <v>100000</v>
      </c>
      <c r="H650" s="49"/>
      <c r="I650" s="49"/>
      <c r="J650" s="49"/>
      <c r="K650" s="49"/>
      <c r="L650" s="49"/>
      <c r="M650" s="49"/>
      <c r="N650" s="49"/>
      <c r="O650" s="49"/>
      <c r="P650" s="49"/>
      <c r="Q650" s="49"/>
      <c r="R650" s="49"/>
      <c r="S650" s="49"/>
      <c r="T650" s="49"/>
      <c r="U650" s="49"/>
      <c r="V650" s="49"/>
      <c r="W650" s="49"/>
      <c r="X650" s="49"/>
      <c r="Y650" s="49"/>
      <c r="Z650" s="49"/>
    </row>
    <row r="651">
      <c r="A651" s="49" t="str">
        <f>IFERROR(__xludf.DUMMYFUNCTION("""COMPUTED_VALUE"""),"Symbol of Greed")</f>
        <v>Symbol of Greed</v>
      </c>
      <c r="B651" s="49"/>
      <c r="C651" s="49"/>
      <c r="D651" s="49" t="str">
        <f>IFERROR(__xludf.DUMMYFUNCTION("""COMPUTED_VALUE"""),"Finger")</f>
        <v>Finger</v>
      </c>
      <c r="E651" s="49">
        <f>IFERROR(__xludf.DUMMYFUNCTION("""COMPUTED_VALUE"""),1.0)</f>
        <v>1</v>
      </c>
      <c r="F651" s="49"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49">
        <f>IFERROR(__xludf.DUMMYFUNCTION("""COMPUTED_VALUE"""),0.0)</f>
        <v>0</v>
      </c>
      <c r="H651" s="49"/>
      <c r="I651" s="49"/>
      <c r="J651" s="49"/>
      <c r="K651" s="49"/>
      <c r="L651" s="49"/>
      <c r="M651" s="49"/>
      <c r="N651" s="49"/>
      <c r="O651" s="49"/>
      <c r="P651" s="49"/>
      <c r="Q651" s="49"/>
      <c r="R651" s="49"/>
      <c r="S651" s="49"/>
      <c r="T651" s="49"/>
      <c r="U651" s="49"/>
      <c r="V651" s="49"/>
      <c r="W651" s="49"/>
      <c r="X651" s="49"/>
      <c r="Y651" s="49"/>
      <c r="Z651" s="49"/>
    </row>
    <row r="652">
      <c r="A652" s="49" t="str">
        <f>IFERROR(__xludf.DUMMYFUNCTION("""COMPUTED_VALUE"""),"Enchanted Quiver")</f>
        <v>Enchanted Quiver</v>
      </c>
      <c r="B652" s="49"/>
      <c r="C652" s="49"/>
      <c r="D652" s="49" t="str">
        <f>IFERROR(__xludf.DUMMYFUNCTION("""COMPUTED_VALUE"""),"Shoulders")</f>
        <v>Shoulders</v>
      </c>
      <c r="E652" s="49">
        <f>IFERROR(__xludf.DUMMYFUNCTION("""COMPUTED_VALUE"""),1.0)</f>
        <v>1</v>
      </c>
      <c r="F652" s="49" t="str">
        <f>IFERROR(__xludf.DUMMYFUNCTION("""COMPUTED_VALUE""")," ++Magic Arrow - ++5 to all attack rolls with a bow +-(Archer Class Only)")</f>
        <v> ++Magic Arrow - ++5 to all attack rolls with a bow +-(Archer Class Only)</v>
      </c>
      <c r="G652" s="49">
        <f>IFERROR(__xludf.DUMMYFUNCTION("""COMPUTED_VALUE"""),0.0)</f>
        <v>0</v>
      </c>
      <c r="H652" s="49"/>
      <c r="I652" s="49"/>
      <c r="J652" s="49"/>
      <c r="K652" s="49"/>
      <c r="L652" s="49"/>
      <c r="M652" s="49"/>
      <c r="N652" s="49"/>
      <c r="O652" s="49"/>
      <c r="P652" s="49"/>
      <c r="Q652" s="49"/>
      <c r="R652" s="49"/>
      <c r="S652" s="49"/>
      <c r="T652" s="49"/>
      <c r="U652" s="49"/>
      <c r="V652" s="49"/>
      <c r="W652" s="49"/>
      <c r="X652" s="49"/>
      <c r="Y652" s="49"/>
      <c r="Z652" s="49"/>
    </row>
    <row r="653">
      <c r="A653" s="49" t="str">
        <f>IFERROR(__xludf.DUMMYFUNCTION("""COMPUTED_VALUE"""),"Ring of the Siren")</f>
        <v>Ring of the Siren</v>
      </c>
      <c r="B653" s="49"/>
      <c r="C653" s="49"/>
      <c r="D653" s="49" t="str">
        <f>IFERROR(__xludf.DUMMYFUNCTION("""COMPUTED_VALUE"""),"Finger")</f>
        <v>Finger</v>
      </c>
      <c r="E653" s="49">
        <f>IFERROR(__xludf.DUMMYFUNCTION("""COMPUTED_VALUE"""),1.0)</f>
        <v>1</v>
      </c>
      <c r="F653" s="49"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49">
        <f>IFERROR(__xludf.DUMMYFUNCTION("""COMPUTED_VALUE"""),0.0)</f>
        <v>0</v>
      </c>
      <c r="H653" s="49"/>
      <c r="I653" s="49"/>
      <c r="J653" s="49"/>
      <c r="K653" s="49"/>
      <c r="L653" s="49"/>
      <c r="M653" s="49"/>
      <c r="N653" s="49"/>
      <c r="O653" s="49"/>
      <c r="P653" s="49"/>
      <c r="Q653" s="49"/>
      <c r="R653" s="49"/>
      <c r="S653" s="49"/>
      <c r="T653" s="49"/>
      <c r="U653" s="49"/>
      <c r="V653" s="49"/>
      <c r="W653" s="49"/>
      <c r="X653" s="49"/>
      <c r="Y653" s="49"/>
      <c r="Z653" s="49"/>
    </row>
    <row r="654">
      <c r="A654" s="49" t="str">
        <f>IFERROR(__xludf.DUMMYFUNCTION("""COMPUTED_VALUE"""),"Amulet of The Berserker")</f>
        <v>Amulet of The Berserker</v>
      </c>
      <c r="B654" s="49"/>
      <c r="C654" s="49"/>
      <c r="D654" s="49" t="str">
        <f>IFERROR(__xludf.DUMMYFUNCTION("""COMPUTED_VALUE"""),"Neck")</f>
        <v>Neck</v>
      </c>
      <c r="E654" s="49">
        <f>IFERROR(__xludf.DUMMYFUNCTION("""COMPUTED_VALUE"""),1.0)</f>
        <v>1</v>
      </c>
      <c r="F654" s="49" t="str">
        <f>IFERROR(__xludf.DUMMYFUNCTION("""COMPUTED_VALUE""")," ++Berserk - When attacking or being attacked gain 1 stack of Insanity +-(Brawler Class Only)")</f>
        <v> ++Berserk - When attacking or being attacked gain 1 stack of Insanity +-(Brawler Class Only)</v>
      </c>
      <c r="G654" s="49">
        <f>IFERROR(__xludf.DUMMYFUNCTION("""COMPUTED_VALUE"""),0.0)</f>
        <v>0</v>
      </c>
      <c r="H654" s="49"/>
      <c r="I654" s="49"/>
      <c r="J654" s="49"/>
      <c r="K654" s="49"/>
      <c r="L654" s="49"/>
      <c r="M654" s="49"/>
      <c r="N654" s="49"/>
      <c r="O654" s="49"/>
      <c r="P654" s="49"/>
      <c r="Q654" s="49"/>
      <c r="R654" s="49"/>
      <c r="S654" s="49"/>
      <c r="T654" s="49"/>
      <c r="U654" s="49"/>
      <c r="V654" s="49"/>
      <c r="W654" s="49"/>
      <c r="X654" s="49"/>
      <c r="Y654" s="49"/>
      <c r="Z654" s="49"/>
    </row>
    <row r="655">
      <c r="A655" s="49" t="str">
        <f>IFERROR(__xludf.DUMMYFUNCTION("""COMPUTED_VALUE"""),"Mask of the Cultist")</f>
        <v>Mask of the Cultist</v>
      </c>
      <c r="B655" s="49"/>
      <c r="C655" s="49"/>
      <c r="D655" s="49" t="str">
        <f>IFERROR(__xludf.DUMMYFUNCTION("""COMPUTED_VALUE"""),"Head")</f>
        <v>Head</v>
      </c>
      <c r="E655" s="49">
        <f>IFERROR(__xludf.DUMMYFUNCTION("""COMPUTED_VALUE"""),1.0)</f>
        <v>1</v>
      </c>
      <c r="F655" s="49"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49">
        <f>IFERROR(__xludf.DUMMYFUNCTION("""COMPUTED_VALUE"""),0.0)</f>
        <v>0</v>
      </c>
      <c r="H655" s="49"/>
      <c r="I655" s="49"/>
      <c r="J655" s="49"/>
      <c r="K655" s="49"/>
      <c r="L655" s="49"/>
      <c r="M655" s="49"/>
      <c r="N655" s="49"/>
      <c r="O655" s="49"/>
      <c r="P655" s="49"/>
      <c r="Q655" s="49"/>
      <c r="R655" s="49"/>
      <c r="S655" s="49"/>
      <c r="T655" s="49"/>
      <c r="U655" s="49"/>
      <c r="V655" s="49"/>
      <c r="W655" s="49"/>
      <c r="X655" s="49"/>
      <c r="Y655" s="49"/>
      <c r="Z655" s="49"/>
    </row>
    <row r="656">
      <c r="A656" s="49" t="str">
        <f>IFERROR(__xludf.DUMMYFUNCTION("""COMPUTED_VALUE"""),"""Natural"" Cologne")</f>
        <v>"Natural" Cologne</v>
      </c>
      <c r="B656" s="49"/>
      <c r="C656" s="49"/>
      <c r="D656" s="49" t="str">
        <f>IFERROR(__xludf.DUMMYFUNCTION("""COMPUTED_VALUE"""),"Neck")</f>
        <v>Neck</v>
      </c>
      <c r="E656" s="49">
        <f>IFERROR(__xludf.DUMMYFUNCTION("""COMPUTED_VALUE"""),1.0)</f>
        <v>1</v>
      </c>
      <c r="F656" s="49"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49">
        <f>IFERROR(__xludf.DUMMYFUNCTION("""COMPUTED_VALUE"""),0.0)</f>
        <v>0</v>
      </c>
      <c r="H656" s="49"/>
      <c r="I656" s="49"/>
      <c r="J656" s="49"/>
      <c r="K656" s="49"/>
      <c r="L656" s="49"/>
      <c r="M656" s="49"/>
      <c r="N656" s="49"/>
      <c r="O656" s="49"/>
      <c r="P656" s="49"/>
      <c r="Q656" s="49"/>
      <c r="R656" s="49"/>
      <c r="S656" s="49"/>
      <c r="T656" s="49"/>
      <c r="U656" s="49"/>
      <c r="V656" s="49"/>
      <c r="W656" s="49"/>
      <c r="X656" s="49"/>
      <c r="Y656" s="49"/>
      <c r="Z656" s="49"/>
    </row>
    <row r="657">
      <c r="A657" s="49" t="str">
        <f>IFERROR(__xludf.DUMMYFUNCTION("""COMPUTED_VALUE"""),"Bonded Ring")</f>
        <v>Bonded Ring</v>
      </c>
      <c r="B657" s="49"/>
      <c r="C657" s="49"/>
      <c r="D657" s="49" t="str">
        <f>IFERROR(__xludf.DUMMYFUNCTION("""COMPUTED_VALUE"""),"Finger")</f>
        <v>Finger</v>
      </c>
      <c r="E657" s="49">
        <f>IFERROR(__xludf.DUMMYFUNCTION("""COMPUTED_VALUE"""),1.0)</f>
        <v>1</v>
      </c>
      <c r="F657" s="49"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49">
        <f>IFERROR(__xludf.DUMMYFUNCTION("""COMPUTED_VALUE"""),0.0)</f>
        <v>0</v>
      </c>
      <c r="H657" s="49"/>
      <c r="I657" s="49"/>
      <c r="J657" s="49"/>
      <c r="K657" s="49"/>
      <c r="L657" s="49"/>
      <c r="M657" s="49"/>
      <c r="N657" s="49"/>
      <c r="O657" s="49"/>
      <c r="P657" s="49"/>
      <c r="Q657" s="49"/>
      <c r="R657" s="49"/>
      <c r="S657" s="49"/>
      <c r="T657" s="49"/>
      <c r="U657" s="49"/>
      <c r="V657" s="49"/>
      <c r="W657" s="49"/>
      <c r="X657" s="49"/>
      <c r="Y657" s="49"/>
      <c r="Z657" s="49"/>
    </row>
    <row r="658">
      <c r="A658" s="49" t="str">
        <f>IFERROR(__xludf.DUMMYFUNCTION("""COMPUTED_VALUE"""),"Deadeye Brooch")</f>
        <v>Deadeye Brooch</v>
      </c>
      <c r="B658" s="49"/>
      <c r="C658" s="49"/>
      <c r="D658" s="49" t="str">
        <f>IFERROR(__xludf.DUMMYFUNCTION("""COMPUTED_VALUE"""),"Neck")</f>
        <v>Neck</v>
      </c>
      <c r="E658" s="49">
        <f>IFERROR(__xludf.DUMMYFUNCTION("""COMPUTED_VALUE"""),1.0)</f>
        <v>1</v>
      </c>
      <c r="F658" s="49"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49">
        <f>IFERROR(__xludf.DUMMYFUNCTION("""COMPUTED_VALUE"""),0.0)</f>
        <v>0</v>
      </c>
      <c r="H658" s="49"/>
      <c r="I658" s="49"/>
      <c r="J658" s="49"/>
      <c r="K658" s="49"/>
      <c r="L658" s="49"/>
      <c r="M658" s="49"/>
      <c r="N658" s="49"/>
      <c r="O658" s="49"/>
      <c r="P658" s="49"/>
      <c r="Q658" s="49"/>
      <c r="R658" s="49"/>
      <c r="S658" s="49"/>
      <c r="T658" s="49"/>
      <c r="U658" s="49"/>
      <c r="V658" s="49"/>
      <c r="W658" s="49"/>
      <c r="X658" s="49"/>
      <c r="Y658" s="49"/>
      <c r="Z658" s="49"/>
    </row>
    <row r="659">
      <c r="A659" s="49" t="str">
        <f>IFERROR(__xludf.DUMMYFUNCTION("""COMPUTED_VALUE"""),"Tool Kit")</f>
        <v>Tool Kit</v>
      </c>
      <c r="B659" s="49"/>
      <c r="C659" s="49"/>
      <c r="D659" s="49" t="str">
        <f>IFERROR(__xludf.DUMMYFUNCTION("""COMPUTED_VALUE"""),"Ring")</f>
        <v>Ring</v>
      </c>
      <c r="E659" s="49">
        <f>IFERROR(__xludf.DUMMYFUNCTION("""COMPUTED_VALUE"""),1.0)</f>
        <v>1</v>
      </c>
      <c r="F659" s="49" t="str">
        <f>IFERROR(__xludf.DUMMYFUNCTION("""COMPUTED_VALUE""")," ++The Right Tool For The Job - once per dungeon you are guaranteed to disable a trap +-(Hunter Class Only)")</f>
        <v> ++The Right Tool For The Job - once per dungeon you are guaranteed to disable a trap +-(Hunter Class Only)</v>
      </c>
      <c r="G659" s="49">
        <f>IFERROR(__xludf.DUMMYFUNCTION("""COMPUTED_VALUE"""),0.0)</f>
        <v>0</v>
      </c>
      <c r="H659" s="49"/>
      <c r="I659" s="49"/>
      <c r="J659" s="49"/>
      <c r="K659" s="49"/>
      <c r="L659" s="49"/>
      <c r="M659" s="49"/>
      <c r="N659" s="49"/>
      <c r="O659" s="49"/>
      <c r="P659" s="49"/>
      <c r="Q659" s="49"/>
      <c r="R659" s="49"/>
      <c r="S659" s="49"/>
      <c r="T659" s="49"/>
      <c r="U659" s="49"/>
      <c r="V659" s="49"/>
      <c r="W659" s="49"/>
      <c r="X659" s="49"/>
      <c r="Y659" s="49"/>
      <c r="Z659" s="49"/>
    </row>
    <row r="660">
      <c r="A660" s="49" t="str">
        <f>IFERROR(__xludf.DUMMYFUNCTION("""COMPUTED_VALUE"""),"Basic Bitch Award")</f>
        <v>Basic Bitch Award</v>
      </c>
      <c r="B660" s="49"/>
      <c r="C660" s="49"/>
      <c r="D660" s="49" t="str">
        <f>IFERROR(__xludf.DUMMYFUNCTION("""COMPUTED_VALUE"""),"Ring")</f>
        <v>Ring</v>
      </c>
      <c r="E660" s="49">
        <f>IFERROR(__xludf.DUMMYFUNCTION("""COMPUTED_VALUE"""),1.0)</f>
        <v>1</v>
      </c>
      <c r="F660" s="49" t="str">
        <f>IFERROR(__xludf.DUMMYFUNCTION("""COMPUTED_VALUE""")," ++Joe Schmoe - +5 Charisma +-(Knight Class Only)")</f>
        <v> ++Joe Schmoe - +5 Charisma +-(Knight Class Only)</v>
      </c>
      <c r="G660" s="49">
        <f>IFERROR(__xludf.DUMMYFUNCTION("""COMPUTED_VALUE"""),0.0)</f>
        <v>0</v>
      </c>
      <c r="H660" s="49"/>
      <c r="I660" s="49"/>
      <c r="J660" s="49"/>
      <c r="K660" s="49"/>
      <c r="L660" s="49"/>
      <c r="M660" s="49"/>
      <c r="N660" s="49"/>
      <c r="O660" s="49"/>
      <c r="P660" s="49"/>
      <c r="Q660" s="49"/>
      <c r="R660" s="49"/>
      <c r="S660" s="49"/>
      <c r="T660" s="49"/>
      <c r="U660" s="49"/>
      <c r="V660" s="49"/>
      <c r="W660" s="49"/>
      <c r="X660" s="49"/>
      <c r="Y660" s="49"/>
      <c r="Z660" s="49"/>
    </row>
    <row r="661">
      <c r="A661" s="49" t="str">
        <f>IFERROR(__xludf.DUMMYFUNCTION("""COMPUTED_VALUE"""),"Ring of The Frail Scholar")</f>
        <v>Ring of The Frail Scholar</v>
      </c>
      <c r="B661" s="49"/>
      <c r="C661" s="49"/>
      <c r="D661" s="49" t="str">
        <f>IFERROR(__xludf.DUMMYFUNCTION("""COMPUTED_VALUE"""),"Ring")</f>
        <v>Ring</v>
      </c>
      <c r="E661" s="49">
        <f>IFERROR(__xludf.DUMMYFUNCTION("""COMPUTED_VALUE"""),1.0)</f>
        <v>1</v>
      </c>
      <c r="F661" s="49" t="str">
        <f>IFERROR(__xludf.DUMMYFUNCTION("""COMPUTED_VALUE""")," ++Frail Scholar - Lowers HP by half but doubles SP +-(Mage, Wizard, and Sorcerer Class Only)")</f>
        <v> ++Frail Scholar - Lowers HP by half but doubles SP +-(Mage, Wizard, and Sorcerer Class Only)</v>
      </c>
      <c r="G661" s="49">
        <f>IFERROR(__xludf.DUMMYFUNCTION("""COMPUTED_VALUE"""),0.0)</f>
        <v>0</v>
      </c>
      <c r="H661" s="49"/>
      <c r="I661" s="49"/>
      <c r="J661" s="49"/>
      <c r="K661" s="49"/>
      <c r="L661" s="49"/>
      <c r="M661" s="49"/>
      <c r="N661" s="49"/>
      <c r="O661" s="49"/>
      <c r="P661" s="49"/>
      <c r="Q661" s="49"/>
      <c r="R661" s="49"/>
      <c r="S661" s="49"/>
      <c r="T661" s="49"/>
      <c r="U661" s="49"/>
      <c r="V661" s="49"/>
      <c r="W661" s="49"/>
      <c r="X661" s="49"/>
      <c r="Y661" s="49"/>
      <c r="Z661" s="49"/>
    </row>
    <row r="662">
      <c r="A662" s="49" t="str">
        <f>IFERROR(__xludf.DUMMYFUNCTION("""COMPUTED_VALUE"""),"Ring of Sticky FIngers")</f>
        <v>Ring of Sticky FIngers</v>
      </c>
      <c r="B662" s="49"/>
      <c r="C662" s="49"/>
      <c r="D662" s="49" t="str">
        <f>IFERROR(__xludf.DUMMYFUNCTION("""COMPUTED_VALUE"""),"Ring")</f>
        <v>Ring</v>
      </c>
      <c r="E662" s="49">
        <f>IFERROR(__xludf.DUMMYFUNCTION("""COMPUTED_VALUE"""),1.0)</f>
        <v>1</v>
      </c>
      <c r="F662" s="49" t="str">
        <f>IFERROR(__xludf.DUMMYFUNCTION("""COMPUTED_VALUE""")," ++Sticky FIngers - Allows you to use confiscate, take, and pickpocket skills twice +-(Marauder Class Only)")</f>
        <v> ++Sticky FIngers - Allows you to use confiscate, take, and pickpocket skills twice +-(Marauder Class Only)</v>
      </c>
      <c r="G662" s="49">
        <f>IFERROR(__xludf.DUMMYFUNCTION("""COMPUTED_VALUE"""),0.0)</f>
        <v>0</v>
      </c>
      <c r="H662" s="49"/>
      <c r="I662" s="49"/>
      <c r="J662" s="49"/>
      <c r="K662" s="49"/>
      <c r="L662" s="49"/>
      <c r="M662" s="49"/>
      <c r="N662" s="49"/>
      <c r="O662" s="49"/>
      <c r="P662" s="49"/>
      <c r="Q662" s="49"/>
      <c r="R662" s="49"/>
      <c r="S662" s="49"/>
      <c r="T662" s="49"/>
      <c r="U662" s="49"/>
      <c r="V662" s="49"/>
      <c r="W662" s="49"/>
      <c r="X662" s="49"/>
      <c r="Y662" s="49"/>
      <c r="Z662" s="49"/>
    </row>
    <row r="663">
      <c r="A663" s="49" t="str">
        <f>IFERROR(__xludf.DUMMYFUNCTION("""COMPUTED_VALUE"""),"Spirit Furnace")</f>
        <v>Spirit Furnace</v>
      </c>
      <c r="B663" s="49"/>
      <c r="C663" s="49"/>
      <c r="D663" s="49" t="str">
        <f>IFERROR(__xludf.DUMMYFUNCTION("""COMPUTED_VALUE"""),"Neck")</f>
        <v>Neck</v>
      </c>
      <c r="E663" s="49">
        <f>IFERROR(__xludf.DUMMYFUNCTION("""COMPUTED_VALUE"""),1.0)</f>
        <v>1</v>
      </c>
      <c r="F663" s="49"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49">
        <f>IFERROR(__xludf.DUMMYFUNCTION("""COMPUTED_VALUE"""),0.0)</f>
        <v>0</v>
      </c>
      <c r="H663" s="49"/>
      <c r="I663" s="49"/>
      <c r="J663" s="49"/>
      <c r="K663" s="49"/>
      <c r="L663" s="49"/>
      <c r="M663" s="49"/>
      <c r="N663" s="49"/>
      <c r="O663" s="49"/>
      <c r="P663" s="49"/>
      <c r="Q663" s="49"/>
      <c r="R663" s="49"/>
      <c r="S663" s="49"/>
      <c r="T663" s="49"/>
      <c r="U663" s="49"/>
      <c r="V663" s="49"/>
      <c r="W663" s="49"/>
      <c r="X663" s="49"/>
      <c r="Y663" s="49"/>
      <c r="Z663" s="49"/>
    </row>
    <row r="664">
      <c r="A664" s="49" t="str">
        <f>IFERROR(__xludf.DUMMYFUNCTION("""COMPUTED_VALUE"""),"Smokebomb Pouch")</f>
        <v>Smokebomb Pouch</v>
      </c>
      <c r="B664" s="49"/>
      <c r="C664" s="49"/>
      <c r="D664" s="49" t="str">
        <f>IFERROR(__xludf.DUMMYFUNCTION("""COMPUTED_VALUE"""),"Legs")</f>
        <v>Legs</v>
      </c>
      <c r="E664" s="49">
        <f>IFERROR(__xludf.DUMMYFUNCTION("""COMPUTED_VALUE"""),1.0)</f>
        <v>1</v>
      </c>
      <c r="F664" s="49" t="str">
        <f>IFERROR(__xludf.DUMMYFUNCTION("""COMPUTED_VALUE""")," ++Smoke Bomb - Conceal abilities are guaranteed to succeed +-(Ninja Class Only)")</f>
        <v> ++Smoke Bomb - Conceal abilities are guaranteed to succeed +-(Ninja Class Only)</v>
      </c>
      <c r="G664" s="49">
        <f>IFERROR(__xludf.DUMMYFUNCTION("""COMPUTED_VALUE"""),0.0)</f>
        <v>0</v>
      </c>
      <c r="H664" s="49"/>
      <c r="I664" s="49"/>
      <c r="J664" s="49"/>
      <c r="K664" s="49"/>
      <c r="L664" s="49"/>
      <c r="M664" s="49"/>
      <c r="N664" s="49"/>
      <c r="O664" s="49"/>
      <c r="P664" s="49"/>
      <c r="Q664" s="49"/>
      <c r="R664" s="49"/>
      <c r="S664" s="49"/>
      <c r="T664" s="49"/>
      <c r="U664" s="49"/>
      <c r="V664" s="49"/>
      <c r="W664" s="49"/>
      <c r="X664" s="49"/>
      <c r="Y664" s="49"/>
      <c r="Z664" s="49"/>
    </row>
    <row r="665">
      <c r="A665" s="49" t="str">
        <f>IFERROR(__xludf.DUMMYFUNCTION("""COMPUTED_VALUE"""),"Certificate of Shield Bashing School")</f>
        <v>Certificate of Shield Bashing School</v>
      </c>
      <c r="B665" s="49"/>
      <c r="C665" s="49"/>
      <c r="D665" s="49" t="str">
        <f>IFERROR(__xludf.DUMMYFUNCTION("""COMPUTED_VALUE"""),"Neck")</f>
        <v>Neck</v>
      </c>
      <c r="E665" s="49">
        <f>IFERROR(__xludf.DUMMYFUNCTION("""COMPUTED_VALUE"""),1.0)</f>
        <v>1</v>
      </c>
      <c r="F665" s="49"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49">
        <f>IFERROR(__xludf.DUMMYFUNCTION("""COMPUTED_VALUE"""),0.0)</f>
        <v>0</v>
      </c>
      <c r="H665" s="49"/>
      <c r="I665" s="49"/>
      <c r="J665" s="49"/>
      <c r="K665" s="49"/>
      <c r="L665" s="49"/>
      <c r="M665" s="49"/>
      <c r="N665" s="49"/>
      <c r="O665" s="49"/>
      <c r="P665" s="49"/>
      <c r="Q665" s="49"/>
      <c r="R665" s="49"/>
      <c r="S665" s="49"/>
      <c r="T665" s="49"/>
      <c r="U665" s="49"/>
      <c r="V665" s="49"/>
      <c r="W665" s="49"/>
      <c r="X665" s="49"/>
      <c r="Y665" s="49"/>
      <c r="Z665" s="49"/>
    </row>
    <row r="666">
      <c r="A666" s="49" t="str">
        <f>IFERROR(__xludf.DUMMYFUNCTION("""COMPUTED_VALUE"""),"Goblet of Greed")</f>
        <v>Goblet of Greed</v>
      </c>
      <c r="B666" s="49"/>
      <c r="C666" s="49"/>
      <c r="D666" s="49" t="str">
        <f>IFERROR(__xludf.DUMMYFUNCTION("""COMPUTED_VALUE"""),"Neck")</f>
        <v>Neck</v>
      </c>
      <c r="E666" s="49">
        <f>IFERROR(__xludf.DUMMYFUNCTION("""COMPUTED_VALUE"""),1.0)</f>
        <v>1</v>
      </c>
      <c r="F666" s="49"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49">
        <f>IFERROR(__xludf.DUMMYFUNCTION("""COMPUTED_VALUE"""),0.0)</f>
        <v>0</v>
      </c>
      <c r="H666" s="49"/>
      <c r="I666" s="49"/>
      <c r="J666" s="49"/>
      <c r="K666" s="49"/>
      <c r="L666" s="49"/>
      <c r="M666" s="49"/>
      <c r="N666" s="49"/>
      <c r="O666" s="49"/>
      <c r="P666" s="49"/>
      <c r="Q666" s="49"/>
      <c r="R666" s="49"/>
      <c r="S666" s="49"/>
      <c r="T666" s="49"/>
      <c r="U666" s="49"/>
      <c r="V666" s="49"/>
      <c r="W666" s="49"/>
      <c r="X666" s="49"/>
      <c r="Y666" s="49"/>
      <c r="Z666" s="49"/>
    </row>
    <row r="667">
      <c r="A667" s="49" t="str">
        <f>IFERROR(__xludf.DUMMYFUNCTION("""COMPUTED_VALUE"""),"Holy Symbol")</f>
        <v>Holy Symbol</v>
      </c>
      <c r="B667" s="49"/>
      <c r="C667" s="49"/>
      <c r="D667" s="49" t="str">
        <f>IFERROR(__xludf.DUMMYFUNCTION("""COMPUTED_VALUE"""),"Neck")</f>
        <v>Neck</v>
      </c>
      <c r="E667" s="49">
        <f>IFERROR(__xludf.DUMMYFUNCTION("""COMPUTED_VALUE"""),1.0)</f>
        <v>1</v>
      </c>
      <c r="F667" s="49"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49">
        <f>IFERROR(__xludf.DUMMYFUNCTION("""COMPUTED_VALUE"""),0.0)</f>
        <v>0</v>
      </c>
      <c r="H667" s="49"/>
      <c r="I667" s="49"/>
      <c r="J667" s="49"/>
      <c r="K667" s="49"/>
      <c r="L667" s="49"/>
      <c r="M667" s="49"/>
      <c r="N667" s="49"/>
      <c r="O667" s="49"/>
      <c r="P667" s="49"/>
      <c r="Q667" s="49"/>
      <c r="R667" s="49"/>
      <c r="S667" s="49"/>
      <c r="T667" s="49"/>
      <c r="U667" s="49"/>
      <c r="V667" s="49"/>
      <c r="W667" s="49"/>
      <c r="X667" s="49"/>
      <c r="Y667" s="49"/>
      <c r="Z667" s="49"/>
    </row>
    <row r="668">
      <c r="A668" s="49" t="str">
        <f>IFERROR(__xludf.DUMMYFUNCTION("""COMPUTED_VALUE"""),"Mysterious Merchant's Scythe")</f>
        <v>Mysterious Merchant's Scythe</v>
      </c>
      <c r="B668" s="49" t="str">
        <f>IFERROR(__xludf.DUMMYFUNCTION("""COMPUTED_VALUE"""),"The scythe of the mysterious merchant himself imbued with a great power")</f>
        <v>The scythe of the mysterious merchant himself imbued with a great power</v>
      </c>
      <c r="C668" s="49" t="str">
        <f>IFERROR(__xludf.DUMMYFUNCTION("""COMPUTED_VALUE"""),"Scythe")</f>
        <v>Scythe</v>
      </c>
      <c r="D668" s="49" t="str">
        <f>IFERROR(__xludf.DUMMYFUNCTION("""COMPUTED_VALUE"""),"Hand")</f>
        <v>Hand</v>
      </c>
      <c r="E668" s="49">
        <f>IFERROR(__xludf.DUMMYFUNCTION("""COMPUTED_VALUE"""),1000.0)</f>
        <v>1000</v>
      </c>
      <c r="F668" s="49"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49">
        <f>IFERROR(__xludf.DUMMYFUNCTION("""COMPUTED_VALUE"""),4.95E7)</f>
        <v>49500000</v>
      </c>
      <c r="H668" s="49"/>
      <c r="I668" s="49"/>
      <c r="J668" s="49"/>
      <c r="K668" s="49"/>
      <c r="L668" s="49"/>
      <c r="M668" s="49"/>
      <c r="N668" s="49"/>
      <c r="O668" s="49"/>
      <c r="P668" s="49"/>
      <c r="Q668" s="49"/>
      <c r="R668" s="49"/>
      <c r="S668" s="49"/>
      <c r="T668" s="49"/>
      <c r="U668" s="49"/>
      <c r="V668" s="49"/>
      <c r="W668" s="49"/>
      <c r="X668" s="49"/>
      <c r="Y668" s="49"/>
      <c r="Z668" s="49"/>
    </row>
    <row r="669">
      <c r="A669" s="49" t="str">
        <f>IFERROR(__xludf.DUMMYFUNCTION("""COMPUTED_VALUE"""),"Cursed Saya")</f>
        <v>Cursed Saya</v>
      </c>
      <c r="B669" s="49"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49"/>
      <c r="D669" s="49" t="str">
        <f>IFERROR(__xludf.DUMMYFUNCTION("""COMPUTED_VALUE"""),"Legs")</f>
        <v>Legs</v>
      </c>
      <c r="E669" s="49">
        <f>IFERROR(__xludf.DUMMYFUNCTION("""COMPUTED_VALUE"""),1.0)</f>
        <v>1</v>
      </c>
      <c r="F669" s="49"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49">
        <f>IFERROR(__xludf.DUMMYFUNCTION("""COMPUTED_VALUE"""),0.0)</f>
        <v>0</v>
      </c>
      <c r="H669" s="49"/>
      <c r="I669" s="49"/>
      <c r="J669" s="49"/>
      <c r="K669" s="49"/>
      <c r="L669" s="49"/>
      <c r="M669" s="49"/>
      <c r="N669" s="49"/>
      <c r="O669" s="49"/>
      <c r="P669" s="49"/>
      <c r="Q669" s="49"/>
      <c r="R669" s="49"/>
      <c r="S669" s="49"/>
      <c r="T669" s="49"/>
      <c r="U669" s="49"/>
      <c r="V669" s="49"/>
      <c r="W669" s="49"/>
      <c r="X669" s="49"/>
      <c r="Y669" s="49"/>
      <c r="Z669" s="49"/>
    </row>
    <row r="670">
      <c r="A670" s="49" t="str">
        <f>IFERROR(__xludf.DUMMYFUNCTION("""COMPUTED_VALUE"""),"Shamanic Staff")</f>
        <v>Shamanic Staff</v>
      </c>
      <c r="B670" s="49"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49" t="str">
        <f>IFERROR(__xludf.DUMMYFUNCTION("""COMPUTED_VALUE"""),"Staff")</f>
        <v>Staff</v>
      </c>
      <c r="D670" s="49" t="str">
        <f>IFERROR(__xludf.DUMMYFUNCTION("""COMPUTED_VALUE"""),"Hand")</f>
        <v>Hand</v>
      </c>
      <c r="E670" s="49">
        <f>IFERROR(__xludf.DUMMYFUNCTION("""COMPUTED_VALUE"""),1500.0)</f>
        <v>1500</v>
      </c>
      <c r="F670" s="49"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49">
        <f>IFERROR(__xludf.DUMMYFUNCTION("""COMPUTED_VALUE"""),1.1175E8)</f>
        <v>111750000</v>
      </c>
      <c r="H670" s="49"/>
      <c r="I670" s="49"/>
      <c r="J670" s="49"/>
      <c r="K670" s="49"/>
      <c r="L670" s="49"/>
      <c r="M670" s="49"/>
      <c r="N670" s="49"/>
      <c r="O670" s="49"/>
      <c r="P670" s="49"/>
      <c r="Q670" s="49"/>
      <c r="R670" s="49"/>
      <c r="S670" s="49"/>
      <c r="T670" s="49"/>
      <c r="U670" s="49"/>
      <c r="V670" s="49"/>
      <c r="W670" s="49"/>
      <c r="X670" s="49"/>
      <c r="Y670" s="49"/>
      <c r="Z670" s="49"/>
    </row>
    <row r="671">
      <c r="A671" s="49" t="str">
        <f>IFERROR(__xludf.DUMMYFUNCTION("""COMPUTED_VALUE"""),"Rune Necklace")</f>
        <v>Rune Necklace</v>
      </c>
      <c r="B671" s="49"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49"/>
      <c r="D671" s="49" t="str">
        <f>IFERROR(__xludf.DUMMYFUNCTION("""COMPUTED_VALUE"""),"Neck")</f>
        <v>Neck</v>
      </c>
      <c r="E671" s="49">
        <f>IFERROR(__xludf.DUMMYFUNCTION("""COMPUTED_VALUE"""),1.0)</f>
        <v>1</v>
      </c>
      <c r="F671" s="49" t="str">
        <f>IFERROR(__xludf.DUMMYFUNCTION("""COMPUTED_VALUE""")," ++Spirit's Friend - Any summoned Spirit gains +5 to all perks and X2 base stats +-(Shaman Class Only)")</f>
        <v> ++Spirit's Friend - Any summoned Spirit gains +5 to all perks and X2 base stats +-(Shaman Class Only)</v>
      </c>
      <c r="G671" s="49">
        <f>IFERROR(__xludf.DUMMYFUNCTION("""COMPUTED_VALUE"""),0.0)</f>
        <v>0</v>
      </c>
      <c r="H671" s="49"/>
      <c r="I671" s="49"/>
      <c r="J671" s="49"/>
      <c r="K671" s="49"/>
      <c r="L671" s="49"/>
      <c r="M671" s="49"/>
      <c r="N671" s="49"/>
      <c r="O671" s="49"/>
      <c r="P671" s="49"/>
      <c r="Q671" s="49"/>
      <c r="R671" s="49"/>
      <c r="S671" s="49"/>
      <c r="T671" s="49"/>
      <c r="U671" s="49"/>
      <c r="V671" s="49"/>
      <c r="W671" s="49"/>
      <c r="X671" s="49"/>
      <c r="Y671" s="49"/>
      <c r="Z671" s="49"/>
    </row>
    <row r="672">
      <c r="A672" s="49" t="str">
        <f>IFERROR(__xludf.DUMMYFUNCTION("""COMPUTED_VALUE"""),"Spell Sponge")</f>
        <v>Spell Sponge</v>
      </c>
      <c r="B672" s="49"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49"/>
      <c r="D672" s="49" t="str">
        <f>IFERROR(__xludf.DUMMYFUNCTION("""COMPUTED_VALUE"""),"Neck")</f>
        <v>Neck</v>
      </c>
      <c r="E672" s="49">
        <f>IFERROR(__xludf.DUMMYFUNCTION("""COMPUTED_VALUE"""),1.0)</f>
        <v>1</v>
      </c>
      <c r="F672" s="49"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49">
        <f>IFERROR(__xludf.DUMMYFUNCTION("""COMPUTED_VALUE"""),0.0)</f>
        <v>0</v>
      </c>
      <c r="H672" s="49"/>
      <c r="I672" s="49"/>
      <c r="J672" s="49"/>
      <c r="K672" s="49"/>
      <c r="L672" s="49"/>
      <c r="M672" s="49"/>
      <c r="N672" s="49"/>
      <c r="O672" s="49"/>
      <c r="P672" s="49"/>
      <c r="Q672" s="49"/>
      <c r="R672" s="49"/>
      <c r="S672" s="49"/>
      <c r="T672" s="49"/>
      <c r="U672" s="49"/>
      <c r="V672" s="49"/>
      <c r="W672" s="49"/>
      <c r="X672" s="49"/>
      <c r="Y672" s="49"/>
      <c r="Z672" s="49"/>
    </row>
    <row r="673">
      <c r="A673" s="49" t="str">
        <f>IFERROR(__xludf.DUMMYFUNCTION("""COMPUTED_VALUE"""),"Viking's Warpaint")</f>
        <v>Viking's Warpaint</v>
      </c>
      <c r="B673" s="49" t="str">
        <f>IFERROR(__xludf.DUMMYFUNCTION("""COMPUTED_VALUE"""),"A set of primitive paint imported from Knappadalr, for some reason these paints fill you with rage.")</f>
        <v>A set of primitive paint imported from Knappadalr, for some reason these paints fill you with rage.</v>
      </c>
      <c r="C673" s="49"/>
      <c r="D673" s="49" t="str">
        <f>IFERROR(__xludf.DUMMYFUNCTION("""COMPUTED_VALUE"""),"Head")</f>
        <v>Head</v>
      </c>
      <c r="E673" s="49">
        <f>IFERROR(__xludf.DUMMYFUNCTION("""COMPUTED_VALUE"""),1.0)</f>
        <v>1</v>
      </c>
      <c r="F673" s="49"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49">
        <f>IFERROR(__xludf.DUMMYFUNCTION("""COMPUTED_VALUE"""),0.0)</f>
        <v>0</v>
      </c>
      <c r="H673" s="49"/>
      <c r="I673" s="49"/>
      <c r="J673" s="49"/>
      <c r="K673" s="49"/>
      <c r="L673" s="49"/>
      <c r="M673" s="49"/>
      <c r="N673" s="49"/>
      <c r="O673" s="49"/>
      <c r="P673" s="49"/>
      <c r="Q673" s="49"/>
      <c r="R673" s="49"/>
      <c r="S673" s="49"/>
      <c r="T673" s="49"/>
      <c r="U673" s="49"/>
      <c r="V673" s="49"/>
      <c r="W673" s="49"/>
      <c r="X673" s="49"/>
      <c r="Y673" s="49"/>
      <c r="Z673" s="49"/>
    </row>
    <row r="674">
      <c r="A674" s="49" t="str">
        <f>IFERROR(__xludf.DUMMYFUNCTION("""COMPUTED_VALUE"""),"Speed Shoes")</f>
        <v>Speed Shoes</v>
      </c>
      <c r="B674" s="49" t="str">
        <f>IFERROR(__xludf.DUMMYFUNCTION("""COMPUTED_VALUE"""),"A pair of red shoes that make you feel like dancing.")</f>
        <v>A pair of red shoes that make you feel like dancing.</v>
      </c>
      <c r="C674" s="49"/>
      <c r="D674" s="49" t="str">
        <f>IFERROR(__xludf.DUMMYFUNCTION("""COMPUTED_VALUE"""),"Feet")</f>
        <v>Feet</v>
      </c>
      <c r="E674" s="49">
        <f>IFERROR(__xludf.DUMMYFUNCTION("""COMPUTED_VALUE"""),1.0)</f>
        <v>1</v>
      </c>
      <c r="F674" s="49"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49">
        <f>IFERROR(__xludf.DUMMYFUNCTION("""COMPUTED_VALUE"""),0.0)</f>
        <v>0</v>
      </c>
      <c r="H674" s="49"/>
      <c r="I674" s="49"/>
      <c r="J674" s="49"/>
      <c r="K674" s="49"/>
      <c r="L674" s="49"/>
      <c r="M674" s="49"/>
      <c r="N674" s="49"/>
      <c r="O674" s="49"/>
      <c r="P674" s="49"/>
      <c r="Q674" s="49"/>
      <c r="R674" s="49"/>
      <c r="S674" s="49"/>
      <c r="T674" s="49"/>
      <c r="U674" s="49"/>
      <c r="V674" s="49"/>
      <c r="W674" s="49"/>
      <c r="X674" s="49"/>
      <c r="Y674" s="49"/>
      <c r="Z674" s="49"/>
    </row>
    <row r="675">
      <c r="A675" s="49" t="str">
        <f>IFERROR(__xludf.DUMMYFUNCTION("""COMPUTED_VALUE"""),"Book of Hexes")</f>
        <v>Book of Hexes</v>
      </c>
      <c r="B675" s="49" t="str">
        <f>IFERROR(__xludf.DUMMYFUNCTION("""COMPUTED_VALUE"""),"The staple item for a witch.")</f>
        <v>The staple item for a witch.</v>
      </c>
      <c r="C675" s="49"/>
      <c r="D675" s="49" t="str">
        <f>IFERROR(__xludf.DUMMYFUNCTION("""COMPUTED_VALUE"""),"Legs")</f>
        <v>Legs</v>
      </c>
      <c r="E675" s="49">
        <f>IFERROR(__xludf.DUMMYFUNCTION("""COMPUTED_VALUE"""),1.0)</f>
        <v>1</v>
      </c>
      <c r="F675" s="49"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49">
        <f>IFERROR(__xludf.DUMMYFUNCTION("""COMPUTED_VALUE"""),0.0)</f>
        <v>0</v>
      </c>
      <c r="H675" s="49"/>
      <c r="I675" s="49"/>
      <c r="J675" s="49"/>
      <c r="K675" s="49"/>
      <c r="L675" s="49"/>
      <c r="M675" s="49"/>
      <c r="N675" s="49"/>
      <c r="O675" s="49"/>
      <c r="P675" s="49"/>
      <c r="Q675" s="49"/>
      <c r="R675" s="49"/>
      <c r="S675" s="49"/>
      <c r="T675" s="49"/>
      <c r="U675" s="49"/>
      <c r="V675" s="49"/>
      <c r="W675" s="49"/>
      <c r="X675" s="49"/>
      <c r="Y675" s="49"/>
      <c r="Z675" s="49"/>
    </row>
    <row r="676">
      <c r="A676" s="49" t="str">
        <f>IFERROR(__xludf.DUMMYFUNCTION("""COMPUTED_VALUE"""),"Ring of Boring")</f>
        <v>Ring of Boring</v>
      </c>
      <c r="B676" s="49" t="str">
        <f>IFERROR(__xludf.DUMMYFUNCTION("""COMPUTED_VALUE"""),"The item for people who made a character but decided they were ""too good"" for it's abilities.")</f>
        <v>The item for people who made a character but decided they were "too good" for it's abilities.</v>
      </c>
      <c r="C676" s="49"/>
      <c r="D676" s="49" t="str">
        <f>IFERROR(__xludf.DUMMYFUNCTION("""COMPUTED_VALUE"""),"Finger")</f>
        <v>Finger</v>
      </c>
      <c r="E676" s="49">
        <f>IFERROR(__xludf.DUMMYFUNCTION("""COMPUTED_VALUE"""),1.0)</f>
        <v>1</v>
      </c>
      <c r="F676" s="49" t="str">
        <f>IFERROR(__xludf.DUMMYFUNCTION("""COMPUTED_VALUE""")," ++Why are you so boring? - X2 additional damage.")</f>
        <v> ++Why are you so boring? - X2 additional damage.</v>
      </c>
      <c r="G676" s="49">
        <f>IFERROR(__xludf.DUMMYFUNCTION("""COMPUTED_VALUE"""),0.0)</f>
        <v>0</v>
      </c>
      <c r="H676" s="49"/>
      <c r="I676" s="49"/>
      <c r="J676" s="49"/>
      <c r="K676" s="49"/>
      <c r="L676" s="49"/>
      <c r="M676" s="49"/>
      <c r="N676" s="49"/>
      <c r="O676" s="49"/>
      <c r="P676" s="49"/>
      <c r="Q676" s="49"/>
      <c r="R676" s="49"/>
      <c r="S676" s="49"/>
      <c r="T676" s="49"/>
      <c r="U676" s="49"/>
      <c r="V676" s="49"/>
      <c r="W676" s="49"/>
      <c r="X676" s="49"/>
      <c r="Y676" s="49"/>
      <c r="Z676" s="49"/>
    </row>
    <row r="677">
      <c r="A677" s="49" t="str">
        <f>IFERROR(__xludf.DUMMYFUNCTION("""COMPUTED_VALUE"""),"Frozen Spearman's High-Low Dress")</f>
        <v>Frozen Spearman's High-Low Dress</v>
      </c>
      <c r="B677" s="49"/>
      <c r="C677" s="49"/>
      <c r="D677" s="49" t="str">
        <f>IFERROR(__xludf.DUMMYFUNCTION("""COMPUTED_VALUE"""),"Torso")</f>
        <v>Torso</v>
      </c>
      <c r="E677" s="49">
        <f>IFERROR(__xludf.DUMMYFUNCTION("""COMPUTED_VALUE"""),200.0)</f>
        <v>200</v>
      </c>
      <c r="F677" s="49"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49">
        <f>IFERROR(__xludf.DUMMYFUNCTION("""COMPUTED_VALUE"""),1.99E8)</f>
        <v>199000000</v>
      </c>
      <c r="H677" s="49"/>
      <c r="I677" s="49"/>
      <c r="J677" s="49"/>
      <c r="K677" s="49"/>
      <c r="L677" s="49"/>
      <c r="M677" s="49"/>
      <c r="N677" s="49"/>
      <c r="O677" s="49"/>
      <c r="P677" s="49"/>
      <c r="Q677" s="49"/>
      <c r="R677" s="49"/>
      <c r="S677" s="49"/>
      <c r="T677" s="49"/>
      <c r="U677" s="49"/>
      <c r="V677" s="49"/>
      <c r="W677" s="49"/>
      <c r="X677" s="49"/>
      <c r="Y677" s="49"/>
      <c r="Z677" s="49"/>
    </row>
    <row r="678">
      <c r="A678" s="49" t="str">
        <f>IFERROR(__xludf.DUMMYFUNCTION("""COMPUTED_VALUE"""),"Frozen Spearman's Jhodpur's")</f>
        <v>Frozen Spearman's Jhodpur's</v>
      </c>
      <c r="B678" s="49"/>
      <c r="C678" s="49"/>
      <c r="D678" s="49" t="str">
        <f>IFERROR(__xludf.DUMMYFUNCTION("""COMPUTED_VALUE"""),"Legs")</f>
        <v>Legs</v>
      </c>
      <c r="E678" s="49">
        <f>IFERROR(__xludf.DUMMYFUNCTION("""COMPUTED_VALUE"""),200.0)</f>
        <v>200</v>
      </c>
      <c r="F678" s="49"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49">
        <f>IFERROR(__xludf.DUMMYFUNCTION("""COMPUTED_VALUE"""),1.99E8)</f>
        <v>199000000</v>
      </c>
      <c r="H678" s="49"/>
      <c r="I678" s="49"/>
      <c r="J678" s="49"/>
      <c r="K678" s="49"/>
      <c r="L678" s="49"/>
      <c r="M678" s="49"/>
      <c r="N678" s="49"/>
      <c r="O678" s="49"/>
      <c r="P678" s="49"/>
      <c r="Q678" s="49"/>
      <c r="R678" s="49"/>
      <c r="S678" s="49"/>
      <c r="T678" s="49"/>
      <c r="U678" s="49"/>
      <c r="V678" s="49"/>
      <c r="W678" s="49"/>
      <c r="X678" s="49"/>
      <c r="Y678" s="49"/>
      <c r="Z678" s="49"/>
    </row>
    <row r="679">
      <c r="A679" s="49" t="str">
        <f>IFERROR(__xludf.DUMMYFUNCTION("""COMPUTED_VALUE"""),"Frozen Spearman's Fur Boots")</f>
        <v>Frozen Spearman's Fur Boots</v>
      </c>
      <c r="B679" s="49"/>
      <c r="C679" s="49"/>
      <c r="D679" s="49" t="str">
        <f>IFERROR(__xludf.DUMMYFUNCTION("""COMPUTED_VALUE"""),"Feet")</f>
        <v>Feet</v>
      </c>
      <c r="E679" s="49">
        <f>IFERROR(__xludf.DUMMYFUNCTION("""COMPUTED_VALUE"""),200.0)</f>
        <v>200</v>
      </c>
      <c r="F679" s="49"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49">
        <f>IFERROR(__xludf.DUMMYFUNCTION("""COMPUTED_VALUE"""),1.99E8)</f>
        <v>199000000</v>
      </c>
      <c r="H679" s="49"/>
      <c r="I679" s="49"/>
      <c r="J679" s="49"/>
      <c r="K679" s="49"/>
      <c r="L679" s="49"/>
      <c r="M679" s="49"/>
      <c r="N679" s="49"/>
      <c r="O679" s="49"/>
      <c r="P679" s="49"/>
      <c r="Q679" s="49"/>
      <c r="R679" s="49"/>
      <c r="S679" s="49"/>
      <c r="T679" s="49"/>
      <c r="U679" s="49"/>
      <c r="V679" s="49"/>
      <c r="W679" s="49"/>
      <c r="X679" s="49"/>
      <c r="Y679" s="49"/>
      <c r="Z679" s="49"/>
    </row>
    <row r="680">
      <c r="A680" s="49" t="str">
        <f>IFERROR(__xludf.DUMMYFUNCTION("""COMPUTED_VALUE"""),"Frozen Spearman's Bracers")</f>
        <v>Frozen Spearman's Bracers</v>
      </c>
      <c r="B680" s="49"/>
      <c r="C680" s="49"/>
      <c r="D680" s="49" t="str">
        <f>IFERROR(__xludf.DUMMYFUNCTION("""COMPUTED_VALUE"""),"Arms")</f>
        <v>Arms</v>
      </c>
      <c r="E680" s="49">
        <f>IFERROR(__xludf.DUMMYFUNCTION("""COMPUTED_VALUE"""),200.0)</f>
        <v>200</v>
      </c>
      <c r="F680" s="49"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49">
        <f>IFERROR(__xludf.DUMMYFUNCTION("""COMPUTED_VALUE"""),1.99E8)</f>
        <v>199000000</v>
      </c>
      <c r="H680" s="49"/>
      <c r="I680" s="49"/>
      <c r="J680" s="49"/>
      <c r="K680" s="49"/>
      <c r="L680" s="49"/>
      <c r="M680" s="49"/>
      <c r="N680" s="49"/>
      <c r="O680" s="49"/>
      <c r="P680" s="49"/>
      <c r="Q680" s="49"/>
      <c r="R680" s="49"/>
      <c r="S680" s="49"/>
      <c r="T680" s="49"/>
      <c r="U680" s="49"/>
      <c r="V680" s="49"/>
      <c r="W680" s="49"/>
      <c r="X680" s="49"/>
      <c r="Y680" s="49"/>
      <c r="Z680" s="49"/>
    </row>
    <row r="681">
      <c r="A681" s="49" t="str">
        <f>IFERROR(__xludf.DUMMYFUNCTION("""COMPUTED_VALUE"""),"Frozen Spearman's Fur Cloak")</f>
        <v>Frozen Spearman's Fur Cloak</v>
      </c>
      <c r="B681" s="49"/>
      <c r="C681" s="49"/>
      <c r="D681" s="49" t="str">
        <f>IFERROR(__xludf.DUMMYFUNCTION("""COMPUTED_VALUE"""),"Pauldrons")</f>
        <v>Pauldrons</v>
      </c>
      <c r="E681" s="49">
        <f>IFERROR(__xludf.DUMMYFUNCTION("""COMPUTED_VALUE"""),200.0)</f>
        <v>200</v>
      </c>
      <c r="F681" s="49"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49">
        <f>IFERROR(__xludf.DUMMYFUNCTION("""COMPUTED_VALUE"""),1.99E8)</f>
        <v>199000000</v>
      </c>
      <c r="H681" s="49"/>
      <c r="I681" s="49"/>
      <c r="J681" s="49"/>
      <c r="K681" s="49"/>
      <c r="L681" s="49"/>
      <c r="M681" s="49"/>
      <c r="N681" s="49"/>
      <c r="O681" s="49"/>
      <c r="P681" s="49"/>
      <c r="Q681" s="49"/>
      <c r="R681" s="49"/>
      <c r="S681" s="49"/>
      <c r="T681" s="49"/>
      <c r="U681" s="49"/>
      <c r="V681" s="49"/>
      <c r="W681" s="49"/>
      <c r="X681" s="49"/>
      <c r="Y681" s="49"/>
      <c r="Z681" s="49"/>
    </row>
    <row r="682">
      <c r="A682" s="49" t="str">
        <f>IFERROR(__xludf.DUMMYFUNCTION("""COMPUTED_VALUE"""),"Frost Mage's Cloak")</f>
        <v>Frost Mage's Cloak</v>
      </c>
      <c r="B682" s="49"/>
      <c r="C682" s="49"/>
      <c r="D682" s="49" t="str">
        <f>IFERROR(__xludf.DUMMYFUNCTION("""COMPUTED_VALUE"""),"Torso")</f>
        <v>Torso</v>
      </c>
      <c r="E682" s="49">
        <f>IFERROR(__xludf.DUMMYFUNCTION("""COMPUTED_VALUE"""),200.0)</f>
        <v>200</v>
      </c>
      <c r="F682" s="49"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49">
        <f>IFERROR(__xludf.DUMMYFUNCTION("""COMPUTED_VALUE"""),4350000.0)</f>
        <v>4350000</v>
      </c>
      <c r="H682" s="49"/>
      <c r="I682" s="49"/>
      <c r="J682" s="49"/>
      <c r="K682" s="49"/>
      <c r="L682" s="49"/>
      <c r="M682" s="49"/>
      <c r="N682" s="49"/>
      <c r="O682" s="49"/>
      <c r="P682" s="49"/>
      <c r="Q682" s="49"/>
      <c r="R682" s="49"/>
      <c r="S682" s="49"/>
      <c r="T682" s="49"/>
      <c r="U682" s="49"/>
      <c r="V682" s="49"/>
      <c r="W682" s="49"/>
      <c r="X682" s="49"/>
      <c r="Y682" s="49"/>
      <c r="Z682" s="49"/>
    </row>
    <row r="683">
      <c r="A683" s="49" t="str">
        <f>IFERROR(__xludf.DUMMYFUNCTION("""COMPUTED_VALUE"""),"Frost Mage's Boots")</f>
        <v>Frost Mage's Boots</v>
      </c>
      <c r="B683" s="49"/>
      <c r="C683" s="49"/>
      <c r="D683" s="49" t="str">
        <f>IFERROR(__xludf.DUMMYFUNCTION("""COMPUTED_VALUE"""),"Feet")</f>
        <v>Feet</v>
      </c>
      <c r="E683" s="49">
        <f>IFERROR(__xludf.DUMMYFUNCTION("""COMPUTED_VALUE"""),200.0)</f>
        <v>200</v>
      </c>
      <c r="F683" s="49"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49">
        <f>IFERROR(__xludf.DUMMYFUNCTION("""COMPUTED_VALUE"""),4350000.0)</f>
        <v>4350000</v>
      </c>
      <c r="H683" s="49"/>
      <c r="I683" s="49"/>
      <c r="J683" s="49"/>
      <c r="K683" s="49"/>
      <c r="L683" s="49"/>
      <c r="M683" s="49"/>
      <c r="N683" s="49"/>
      <c r="O683" s="49"/>
      <c r="P683" s="49"/>
      <c r="Q683" s="49"/>
      <c r="R683" s="49"/>
      <c r="S683" s="49"/>
      <c r="T683" s="49"/>
      <c r="U683" s="49"/>
      <c r="V683" s="49"/>
      <c r="W683" s="49"/>
      <c r="X683" s="49"/>
      <c r="Y683" s="49"/>
      <c r="Z683" s="49"/>
    </row>
    <row r="684">
      <c r="A684" s="49" t="str">
        <f>IFERROR(__xludf.DUMMYFUNCTION("""COMPUTED_VALUE"""),"Frost Mage's Hood")</f>
        <v>Frost Mage's Hood</v>
      </c>
      <c r="B684" s="49"/>
      <c r="C684" s="49"/>
      <c r="D684" s="49" t="str">
        <f>IFERROR(__xludf.DUMMYFUNCTION("""COMPUTED_VALUE"""),"Head")</f>
        <v>Head</v>
      </c>
      <c r="E684" s="49">
        <f>IFERROR(__xludf.DUMMYFUNCTION("""COMPUTED_VALUE"""),200.0)</f>
        <v>200</v>
      </c>
      <c r="F684" s="49"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49">
        <f>IFERROR(__xludf.DUMMYFUNCTION("""COMPUTED_VALUE"""),4350000.0)</f>
        <v>4350000</v>
      </c>
      <c r="H684" s="49"/>
      <c r="I684" s="49"/>
      <c r="J684" s="49"/>
      <c r="K684" s="49"/>
      <c r="L684" s="49"/>
      <c r="M684" s="49"/>
      <c r="N684" s="49"/>
      <c r="O684" s="49"/>
      <c r="P684" s="49"/>
      <c r="Q684" s="49"/>
      <c r="R684" s="49"/>
      <c r="S684" s="49"/>
      <c r="T684" s="49"/>
      <c r="U684" s="49"/>
      <c r="V684" s="49"/>
      <c r="W684" s="49"/>
      <c r="X684" s="49"/>
      <c r="Y684" s="49"/>
      <c r="Z684" s="49"/>
    </row>
    <row r="685">
      <c r="A685" s="49" t="str">
        <f>IFERROR(__xludf.DUMMYFUNCTION("""COMPUTED_VALUE"""),"Crown of Frozen Swords")</f>
        <v>Crown of Frozen Swords</v>
      </c>
      <c r="B685" s="49"/>
      <c r="C685" s="49"/>
      <c r="D685" s="49" t="str">
        <f>IFERROR(__xludf.DUMMYFUNCTION("""COMPUTED_VALUE"""),"Head")</f>
        <v>Head</v>
      </c>
      <c r="E685" s="49">
        <f>IFERROR(__xludf.DUMMYFUNCTION("""COMPUTED_VALUE"""),200.0)</f>
        <v>200</v>
      </c>
      <c r="F685" s="49"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49">
        <f>IFERROR(__xludf.DUMMYFUNCTION("""COMPUTED_VALUE"""),7.98E8)</f>
        <v>798000000</v>
      </c>
      <c r="H685" s="49"/>
      <c r="I685" s="49"/>
      <c r="J685" s="49"/>
      <c r="K685" s="49"/>
      <c r="L685" s="49"/>
      <c r="M685" s="49"/>
      <c r="N685" s="49"/>
      <c r="O685" s="49"/>
      <c r="P685" s="49"/>
      <c r="Q685" s="49"/>
      <c r="R685" s="49"/>
      <c r="S685" s="49"/>
      <c r="T685" s="49"/>
      <c r="U685" s="49"/>
      <c r="V685" s="49"/>
      <c r="W685" s="49"/>
      <c r="X685" s="49"/>
      <c r="Y685" s="49"/>
      <c r="Z685" s="49"/>
    </row>
    <row r="686">
      <c r="A686" s="49" t="str">
        <f>IFERROR(__xludf.DUMMYFUNCTION("""COMPUTED_VALUE"""),"Frost-bitten Cape")</f>
        <v>Frost-bitten Cape</v>
      </c>
      <c r="B686" s="49"/>
      <c r="C686" s="49"/>
      <c r="D686" s="49" t="str">
        <f>IFERROR(__xludf.DUMMYFUNCTION("""COMPUTED_VALUE"""),"Shoulders")</f>
        <v>Shoulders</v>
      </c>
      <c r="E686" s="49">
        <f>IFERROR(__xludf.DUMMYFUNCTION("""COMPUTED_VALUE"""),200.0)</f>
        <v>200</v>
      </c>
      <c r="F686" s="49"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49">
        <f>IFERROR(__xludf.DUMMYFUNCTION("""COMPUTED_VALUE"""),7.98E8)</f>
        <v>798000000</v>
      </c>
      <c r="H686" s="49"/>
      <c r="I686" s="49"/>
      <c r="J686" s="49"/>
      <c r="K686" s="49"/>
      <c r="L686" s="49"/>
      <c r="M686" s="49"/>
      <c r="N686" s="49"/>
      <c r="O686" s="49"/>
      <c r="P686" s="49"/>
      <c r="Q686" s="49"/>
      <c r="R686" s="49"/>
      <c r="S686" s="49"/>
      <c r="T686" s="49"/>
      <c r="U686" s="49"/>
      <c r="V686" s="49"/>
      <c r="W686" s="49"/>
      <c r="X686" s="49"/>
      <c r="Y686" s="49"/>
      <c r="Z686" s="49"/>
    </row>
    <row r="687">
      <c r="A687" s="49" t="str">
        <f>IFERROR(__xludf.DUMMYFUNCTION("""COMPUTED_VALUE"""),"Ice-steel Pauldrons")</f>
        <v>Ice-steel Pauldrons</v>
      </c>
      <c r="B687" s="49"/>
      <c r="C687" s="49"/>
      <c r="D687" s="49" t="str">
        <f>IFERROR(__xludf.DUMMYFUNCTION("""COMPUTED_VALUE"""),"Shoulders")</f>
        <v>Shoulders</v>
      </c>
      <c r="E687" s="49">
        <f>IFERROR(__xludf.DUMMYFUNCTION("""COMPUTED_VALUE"""),200.0)</f>
        <v>200</v>
      </c>
      <c r="F687" s="49" t="str">
        <f>IFERROR(__xludf.DUMMYFUNCTION("""COMPUTED_VALUE"""),"DEF: +50000, Earth DEF: +50000, Nature DEF: +50000, Celestial DEF: +50000 ++Cold Shoulder - Immunity to freeze")</f>
        <v>DEF: +50000, Earth DEF: +50000, Nature DEF: +50000, Celestial DEF: +50000 ++Cold Shoulder - Immunity to freeze</v>
      </c>
      <c r="G687" s="49">
        <f>IFERROR(__xludf.DUMMYFUNCTION("""COMPUTED_VALUE"""),7.98E8)</f>
        <v>798000000</v>
      </c>
      <c r="H687" s="49"/>
      <c r="I687" s="49"/>
      <c r="J687" s="49"/>
      <c r="K687" s="49"/>
      <c r="L687" s="49"/>
      <c r="M687" s="49"/>
      <c r="N687" s="49"/>
      <c r="O687" s="49"/>
      <c r="P687" s="49"/>
      <c r="Q687" s="49"/>
      <c r="R687" s="49"/>
      <c r="S687" s="49"/>
      <c r="T687" s="49"/>
      <c r="U687" s="49"/>
      <c r="V687" s="49"/>
      <c r="W687" s="49"/>
      <c r="X687" s="49"/>
      <c r="Y687" s="49"/>
      <c r="Z687" s="49"/>
    </row>
    <row r="688">
      <c r="A688" s="49" t="str">
        <f>IFERROR(__xludf.DUMMYFUNCTION("""COMPUTED_VALUE"""),"Ice-steel Bracers")</f>
        <v>Ice-steel Bracers</v>
      </c>
      <c r="B688" s="49"/>
      <c r="C688" s="49"/>
      <c r="D688" s="49" t="str">
        <f>IFERROR(__xludf.DUMMYFUNCTION("""COMPUTED_VALUE"""),"Arms")</f>
        <v>Arms</v>
      </c>
      <c r="E688" s="49">
        <f>IFERROR(__xludf.DUMMYFUNCTION("""COMPUTED_VALUE"""),200.0)</f>
        <v>200</v>
      </c>
      <c r="F688" s="49"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49">
        <f>IFERROR(__xludf.DUMMYFUNCTION("""COMPUTED_VALUE"""),7.98E8)</f>
        <v>798000000</v>
      </c>
      <c r="H688" s="49"/>
      <c r="I688" s="49"/>
      <c r="J688" s="49"/>
      <c r="K688" s="49"/>
      <c r="L688" s="49"/>
      <c r="M688" s="49"/>
      <c r="N688" s="49"/>
      <c r="O688" s="49"/>
      <c r="P688" s="49"/>
      <c r="Q688" s="49"/>
      <c r="R688" s="49"/>
      <c r="S688" s="49"/>
      <c r="T688" s="49"/>
      <c r="U688" s="49"/>
      <c r="V688" s="49"/>
      <c r="W688" s="49"/>
      <c r="X688" s="49"/>
      <c r="Y688" s="49"/>
      <c r="Z688" s="49"/>
    </row>
    <row r="689">
      <c r="A689" s="49" t="str">
        <f>IFERROR(__xludf.DUMMYFUNCTION("""COMPUTED_VALUE"""),"Ice-steel Chausses")</f>
        <v>Ice-steel Chausses</v>
      </c>
      <c r="B689" s="49" t="str">
        <f>IFERROR(__xludf.DUMMYFUNCTION("""COMPUTED_VALUE"""),"The chinks in the armor suggest a lack of care over the past years.")</f>
        <v>The chinks in the armor suggest a lack of care over the past years.</v>
      </c>
      <c r="C689" s="49"/>
      <c r="D689" s="49" t="str">
        <f>IFERROR(__xludf.DUMMYFUNCTION("""COMPUTED_VALUE"""),"Legs")</f>
        <v>Legs</v>
      </c>
      <c r="E689" s="49">
        <f>IFERROR(__xludf.DUMMYFUNCTION("""COMPUTED_VALUE"""),200.0)</f>
        <v>200</v>
      </c>
      <c r="F689" s="49" t="str">
        <f>IFERROR(__xludf.DUMMYFUNCTION("""COMPUTED_VALUE"""),"DEF: +50000, Earth DEF: +50000, Nature DEF: +50000, Celestial DEF: +50000 ++X2 Weapon Damage")</f>
        <v>DEF: +50000, Earth DEF: +50000, Nature DEF: +50000, Celestial DEF: +50000 ++X2 Weapon Damage</v>
      </c>
      <c r="G689" s="49">
        <f>IFERROR(__xludf.DUMMYFUNCTION("""COMPUTED_VALUE"""),7.98E8)</f>
        <v>798000000</v>
      </c>
      <c r="H689" s="49"/>
      <c r="I689" s="49"/>
      <c r="J689" s="49"/>
      <c r="K689" s="49"/>
      <c r="L689" s="49"/>
      <c r="M689" s="49"/>
      <c r="N689" s="49"/>
      <c r="O689" s="49"/>
      <c r="P689" s="49"/>
      <c r="Q689" s="49"/>
      <c r="R689" s="49"/>
      <c r="S689" s="49"/>
      <c r="T689" s="49"/>
      <c r="U689" s="49"/>
      <c r="V689" s="49"/>
      <c r="W689" s="49"/>
      <c r="X689" s="49"/>
      <c r="Y689" s="49"/>
      <c r="Z689" s="49"/>
    </row>
    <row r="690">
      <c r="A690" s="49" t="str">
        <f>IFERROR(__xludf.DUMMYFUNCTION("""COMPUTED_VALUE"""),"Frost Stompers")</f>
        <v>Frost Stompers</v>
      </c>
      <c r="B690" s="49" t="str">
        <f>IFERROR(__xludf.DUMMYFUNCTION("""COMPUTED_VALUE"""),"These frozen iron boots are covered in a layer of permafrost, it seems as though they'll never thaw.")</f>
        <v>These frozen iron boots are covered in a layer of permafrost, it seems as though they'll never thaw.</v>
      </c>
      <c r="C690" s="49"/>
      <c r="D690" s="49" t="str">
        <f>IFERROR(__xludf.DUMMYFUNCTION("""COMPUTED_VALUE"""),"Feet")</f>
        <v>Feet</v>
      </c>
      <c r="E690" s="49">
        <f>IFERROR(__xludf.DUMMYFUNCTION("""COMPUTED_VALUE"""),200.0)</f>
        <v>200</v>
      </c>
      <c r="F690" s="49" t="str">
        <f>IFERROR(__xludf.DUMMYFUNCTION("""COMPUTED_VALUE"""),"DEF: +50000, Earth DEF: +50000, Nature DEF: +50000, Celestial DEF: +50000 ++X2 Storm Damage")</f>
        <v>DEF: +50000, Earth DEF: +50000, Nature DEF: +50000, Celestial DEF: +50000 ++X2 Storm Damage</v>
      </c>
      <c r="G690" s="49">
        <f>IFERROR(__xludf.DUMMYFUNCTION("""COMPUTED_VALUE"""),7.98E8)</f>
        <v>798000000</v>
      </c>
      <c r="H690" s="49"/>
      <c r="I690" s="49"/>
      <c r="J690" s="49"/>
      <c r="K690" s="49"/>
      <c r="L690" s="49"/>
      <c r="M690" s="49"/>
      <c r="N690" s="49"/>
      <c r="O690" s="49"/>
      <c r="P690" s="49"/>
      <c r="Q690" s="49"/>
      <c r="R690" s="49"/>
      <c r="S690" s="49"/>
      <c r="T690" s="49"/>
      <c r="U690" s="49"/>
      <c r="V690" s="49"/>
      <c r="W690" s="49"/>
      <c r="X690" s="49"/>
      <c r="Y690" s="49"/>
      <c r="Z690" s="49"/>
    </row>
    <row r="691">
      <c r="A691" s="49" t="str">
        <f>IFERROR(__xludf.DUMMYFUNCTION("""COMPUTED_VALUE"""),"Plate of the Frozen Sun")</f>
        <v>Plate of the Frozen Sun</v>
      </c>
      <c r="B691" s="49" t="str">
        <f>IFERROR(__xludf.DUMMYFUNCTION("""COMPUTED_VALUE"""),"""The king was not always as he is now, but the yearly curse of the ice mage has him colder than usual"" ~old man")</f>
        <v>"The king was not always as he is now, but the yearly curse of the ice mage has him colder than usual" ~old man</v>
      </c>
      <c r="C691" s="49"/>
      <c r="D691" s="49" t="str">
        <f>IFERROR(__xludf.DUMMYFUNCTION("""COMPUTED_VALUE"""),"Torso")</f>
        <v>Torso</v>
      </c>
      <c r="E691" s="49">
        <f>IFERROR(__xludf.DUMMYFUNCTION("""COMPUTED_VALUE"""),200.0)</f>
        <v>200</v>
      </c>
      <c r="F691" s="49"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49">
        <f>IFERROR(__xludf.DUMMYFUNCTION("""COMPUTED_VALUE"""),7.98E8)</f>
        <v>798000000</v>
      </c>
      <c r="H691" s="49"/>
      <c r="I691" s="49"/>
      <c r="J691" s="49"/>
      <c r="K691" s="49"/>
      <c r="L691" s="49"/>
      <c r="M691" s="49"/>
      <c r="N691" s="49"/>
      <c r="O691" s="49"/>
      <c r="P691" s="49"/>
      <c r="Q691" s="49"/>
      <c r="R691" s="49"/>
      <c r="S691" s="49"/>
      <c r="T691" s="49"/>
      <c r="U691" s="49"/>
      <c r="V691" s="49"/>
      <c r="W691" s="49"/>
      <c r="X691" s="49"/>
      <c r="Y691" s="49"/>
      <c r="Z691" s="49"/>
    </row>
    <row r="692">
      <c r="A692" s="49" t="str">
        <f>IFERROR(__xludf.DUMMYFUNCTION("""COMPUTED_VALUE"""),"Frost Mage's Staff")</f>
        <v>Frost Mage's Staff</v>
      </c>
      <c r="B692" s="49" t="str">
        <f>IFERROR(__xludf.DUMMYFUNCTION("""COMPUTED_VALUE"""),"""FREEZE"" ~Frost mage")</f>
        <v>"FREEZE" ~Frost mage</v>
      </c>
      <c r="C692" s="49" t="str">
        <f>IFERROR(__xludf.DUMMYFUNCTION("""COMPUTED_VALUE"""),"Staff")</f>
        <v>Staff</v>
      </c>
      <c r="D692" s="49" t="str">
        <f>IFERROR(__xludf.DUMMYFUNCTION("""COMPUTED_VALUE"""),"Hand")</f>
        <v>Hand</v>
      </c>
      <c r="E692" s="49">
        <f>IFERROR(__xludf.DUMMYFUNCTION("""COMPUTED_VALUE"""),200.0)</f>
        <v>200</v>
      </c>
      <c r="F692" s="49"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49">
        <f>IFERROR(__xludf.DUMMYFUNCTION("""COMPUTED_VALUE"""),4.485E8)</f>
        <v>448500000</v>
      </c>
      <c r="H692" s="49"/>
      <c r="I692" s="49"/>
      <c r="J692" s="49"/>
      <c r="K692" s="49"/>
      <c r="L692" s="49"/>
      <c r="M692" s="49"/>
      <c r="N692" s="49"/>
      <c r="O692" s="49"/>
      <c r="P692" s="49"/>
      <c r="Q692" s="49"/>
      <c r="R692" s="49"/>
      <c r="S692" s="49"/>
      <c r="T692" s="49"/>
      <c r="U692" s="49"/>
      <c r="V692" s="49"/>
      <c r="W692" s="49"/>
      <c r="X692" s="49"/>
      <c r="Y692" s="49"/>
      <c r="Z692" s="49"/>
    </row>
    <row r="693">
      <c r="A693" s="49" t="str">
        <f>IFERROR(__xludf.DUMMYFUNCTION("""COMPUTED_VALUE"""),"Snowball")</f>
        <v>Snowball</v>
      </c>
      <c r="B693" s="49" t="str">
        <f>IFERROR(__xludf.DUMMYFUNCTION("""COMPUTED_VALUE"""),"""If you even think about hitting me with that I'll fill one with lead and bash your skull with it"" ~Gwennivir")</f>
        <v>"If you even think about hitting me with that I'll fill one with lead and bash your skull with it" ~Gwennivir</v>
      </c>
      <c r="C693" s="49" t="str">
        <f>IFERROR(__xludf.DUMMYFUNCTION("""COMPUTED_VALUE"""),"Boomerang")</f>
        <v>Boomerang</v>
      </c>
      <c r="D693" s="49" t="str">
        <f>IFERROR(__xludf.DUMMYFUNCTION("""COMPUTED_VALUE"""),"Hand")</f>
        <v>Hand</v>
      </c>
      <c r="E693" s="49">
        <f>IFERROR(__xludf.DUMMYFUNCTION("""COMPUTED_VALUE"""),200.0)</f>
        <v>200</v>
      </c>
      <c r="F693" s="49"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49">
        <f>IFERROR(__xludf.DUMMYFUNCTION("""COMPUTED_VALUE"""),1900000.0)</f>
        <v>1900000</v>
      </c>
      <c r="H693" s="49"/>
      <c r="I693" s="49"/>
      <c r="J693" s="49"/>
      <c r="K693" s="49"/>
      <c r="L693" s="49"/>
      <c r="M693" s="49"/>
      <c r="N693" s="49"/>
      <c r="O693" s="49"/>
      <c r="P693" s="49"/>
      <c r="Q693" s="49"/>
      <c r="R693" s="49"/>
      <c r="S693" s="49"/>
      <c r="T693" s="49"/>
      <c r="U693" s="49"/>
      <c r="V693" s="49"/>
      <c r="W693" s="49"/>
      <c r="X693" s="49"/>
      <c r="Y693" s="49"/>
      <c r="Z693" s="49"/>
    </row>
    <row r="694">
      <c r="A694" s="49" t="str">
        <f>IFERROR(__xludf.DUMMYFUNCTION("""COMPUTED_VALUE"""),"Corvid Cloak")</f>
        <v>Corvid Cloak</v>
      </c>
      <c r="B694" s="49" t="str">
        <f>IFERROR(__xludf.DUMMYFUNCTION("""COMPUTED_VALUE"""),"Formed from the feathers of many crows and ravens, this cloak has an imposing presence.")</f>
        <v>Formed from the feathers of many crows and ravens, this cloak has an imposing presence.</v>
      </c>
      <c r="C694" s="49"/>
      <c r="D694" s="49" t="str">
        <f>IFERROR(__xludf.DUMMYFUNCTION("""COMPUTED_VALUE"""),"Shoulders")</f>
        <v>Shoulders</v>
      </c>
      <c r="E694" s="49">
        <f>IFERROR(__xludf.DUMMYFUNCTION("""COMPUTED_VALUE"""),1.0)</f>
        <v>1</v>
      </c>
      <c r="F694" s="49"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49">
        <f>IFERROR(__xludf.DUMMYFUNCTION("""COMPUTED_VALUE"""),0.0)</f>
        <v>0</v>
      </c>
      <c r="H694" s="49"/>
      <c r="I694" s="49"/>
      <c r="J694" s="49"/>
      <c r="K694" s="49"/>
      <c r="L694" s="49"/>
      <c r="M694" s="49"/>
      <c r="N694" s="49"/>
      <c r="O694" s="49"/>
      <c r="P694" s="49"/>
      <c r="Q694" s="49"/>
      <c r="R694" s="49"/>
      <c r="S694" s="49"/>
      <c r="T694" s="49"/>
      <c r="U694" s="49"/>
      <c r="V694" s="49"/>
      <c r="W694" s="49"/>
      <c r="X694" s="49"/>
      <c r="Y694" s="49"/>
      <c r="Z694" s="49"/>
    </row>
    <row r="695">
      <c r="A695" s="49" t="str">
        <f>IFERROR(__xludf.DUMMYFUNCTION("""COMPUTED_VALUE"""),"Plague Doctor's Mask")</f>
        <v>Plague Doctor's Mask</v>
      </c>
      <c r="B695" s="49"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49"/>
      <c r="D695" s="49" t="str">
        <f>IFERROR(__xludf.DUMMYFUNCTION("""COMPUTED_VALUE"""),"Head")</f>
        <v>Head</v>
      </c>
      <c r="E695" s="49">
        <f>IFERROR(__xludf.DUMMYFUNCTION("""COMPUTED_VALUE"""),1.0)</f>
        <v>1</v>
      </c>
      <c r="F695" s="49" t="str">
        <f>IFERROR(__xludf.DUMMYFUNCTION("""COMPUTED_VALUE""")," ++Plague Doctor: 25% chance to be unaffected by a disease +-Cannot be Duplicated")</f>
        <v> ++Plague Doctor: 25% chance to be unaffected by a disease +-Cannot be Duplicated</v>
      </c>
      <c r="G695" s="49">
        <f>IFERROR(__xludf.DUMMYFUNCTION("""COMPUTED_VALUE"""),0.0)</f>
        <v>0</v>
      </c>
      <c r="H695" s="49"/>
      <c r="I695" s="49"/>
      <c r="J695" s="49"/>
      <c r="K695" s="49"/>
      <c r="L695" s="49"/>
      <c r="M695" s="49"/>
      <c r="N695" s="49"/>
      <c r="O695" s="49"/>
      <c r="P695" s="49"/>
      <c r="Q695" s="49"/>
      <c r="R695" s="49"/>
      <c r="S695" s="49"/>
      <c r="T695" s="49"/>
      <c r="U695" s="49"/>
      <c r="V695" s="49"/>
      <c r="W695" s="49"/>
      <c r="X695" s="49"/>
      <c r="Y695" s="49"/>
      <c r="Z695" s="49"/>
    </row>
    <row r="696">
      <c r="A696" s="49" t="str">
        <f>IFERROR(__xludf.DUMMYFUNCTION("""COMPUTED_VALUE"""),"""The Only Cure""")</f>
        <v>"The Only Cure"</v>
      </c>
      <c r="B696" s="49"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49"/>
      <c r="D696" s="49" t="str">
        <f>IFERROR(__xludf.DUMMYFUNCTION("""COMPUTED_VALUE"""),"Neck")</f>
        <v>Neck</v>
      </c>
      <c r="E696" s="49">
        <f>IFERROR(__xludf.DUMMYFUNCTION("""COMPUTED_VALUE"""),1.0)</f>
        <v>1</v>
      </c>
      <c r="F696" s="49"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49">
        <f>IFERROR(__xludf.DUMMYFUNCTION("""COMPUTED_VALUE"""),0.0)</f>
        <v>0</v>
      </c>
      <c r="H696" s="49"/>
      <c r="I696" s="49"/>
      <c r="J696" s="49"/>
      <c r="K696" s="49"/>
      <c r="L696" s="49"/>
      <c r="M696" s="49"/>
      <c r="N696" s="49"/>
      <c r="O696" s="49"/>
      <c r="P696" s="49"/>
      <c r="Q696" s="49"/>
      <c r="R696" s="49"/>
      <c r="S696" s="49"/>
      <c r="T696" s="49"/>
      <c r="U696" s="49"/>
      <c r="V696" s="49"/>
      <c r="W696" s="49"/>
      <c r="X696" s="49"/>
      <c r="Y696" s="49"/>
      <c r="Z696" s="49"/>
    </row>
    <row r="697">
      <c r="A697" s="49" t="str">
        <f>IFERROR(__xludf.DUMMYFUNCTION("""COMPUTED_VALUE"""),"Plague Doctor's Gloves")</f>
        <v>Plague Doctor's Gloves</v>
      </c>
      <c r="B697" s="49" t="str">
        <f>IFERROR(__xludf.DUMMYFUNCTION("""COMPUTED_VALUE"""),"These gloves have been stained with blood and potions over the years.")</f>
        <v>These gloves have been stained with blood and potions over the years.</v>
      </c>
      <c r="C697" s="49"/>
      <c r="D697" s="49" t="str">
        <f>IFERROR(__xludf.DUMMYFUNCTION("""COMPUTED_VALUE"""),"Arms")</f>
        <v>Arms</v>
      </c>
      <c r="E697" s="49">
        <f>IFERROR(__xludf.DUMMYFUNCTION("""COMPUTED_VALUE"""),1.0)</f>
        <v>1</v>
      </c>
      <c r="F697" s="49" t="str">
        <f>IFERROR(__xludf.DUMMYFUNCTION("""COMPUTED_VALUE""")," ++Poisoner I:X2 damage +-Cannot be Duplicated")</f>
        <v> ++Poisoner I:X2 damage +-Cannot be Duplicated</v>
      </c>
      <c r="G697" s="49">
        <f>IFERROR(__xludf.DUMMYFUNCTION("""COMPUTED_VALUE"""),0.0)</f>
        <v>0</v>
      </c>
      <c r="H697" s="49"/>
      <c r="I697" s="49"/>
      <c r="J697" s="49"/>
      <c r="K697" s="49"/>
      <c r="L697" s="49"/>
      <c r="M697" s="49"/>
      <c r="N697" s="49"/>
      <c r="O697" s="49"/>
      <c r="P697" s="49"/>
      <c r="Q697" s="49"/>
      <c r="R697" s="49"/>
      <c r="S697" s="49"/>
      <c r="T697" s="49"/>
      <c r="U697" s="49"/>
      <c r="V697" s="49"/>
      <c r="W697" s="49"/>
      <c r="X697" s="49"/>
      <c r="Y697" s="49"/>
      <c r="Z697" s="49"/>
    </row>
    <row r="698">
      <c r="A698" s="49" t="str">
        <f>IFERROR(__xludf.DUMMYFUNCTION("""COMPUTED_VALUE"""),"Plague Doctor's Sarouel")</f>
        <v>Plague Doctor's Sarouel</v>
      </c>
      <c r="B698" s="49"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49"/>
      <c r="D698" s="49" t="str">
        <f>IFERROR(__xludf.DUMMYFUNCTION("""COMPUTED_VALUE"""),"Legs")</f>
        <v>Legs</v>
      </c>
      <c r="E698" s="49">
        <f>IFERROR(__xludf.DUMMYFUNCTION("""COMPUTED_VALUE"""),1.0)</f>
        <v>1</v>
      </c>
      <c r="F698" s="49" t="str">
        <f>IFERROR(__xludf.DUMMYFUNCTION("""COMPUTED_VALUE""")," ++Poisoner I:X2 damage +-Cannot be Duplicated")</f>
        <v> ++Poisoner I:X2 damage +-Cannot be Duplicated</v>
      </c>
      <c r="G698" s="49">
        <f>IFERROR(__xludf.DUMMYFUNCTION("""COMPUTED_VALUE"""),0.0)</f>
        <v>0</v>
      </c>
      <c r="H698" s="49"/>
      <c r="I698" s="49"/>
      <c r="J698" s="49"/>
      <c r="K698" s="49"/>
      <c r="L698" s="49"/>
      <c r="M698" s="49"/>
      <c r="N698" s="49"/>
      <c r="O698" s="49"/>
      <c r="P698" s="49"/>
      <c r="Q698" s="49"/>
      <c r="R698" s="49"/>
      <c r="S698" s="49"/>
      <c r="T698" s="49"/>
      <c r="U698" s="49"/>
      <c r="V698" s="49"/>
      <c r="W698" s="49"/>
      <c r="X698" s="49"/>
      <c r="Y698" s="49"/>
      <c r="Z698" s="49"/>
    </row>
    <row r="699">
      <c r="A699" s="49" t="str">
        <f>IFERROR(__xludf.DUMMYFUNCTION("""COMPUTED_VALUE"""),"Plague Doctor's Boots")</f>
        <v>Plague Doctor's Boots</v>
      </c>
      <c r="B699" s="49" t="str">
        <f>IFERROR(__xludf.DUMMYFUNCTION("""COMPUTED_VALUE"""),"These boots have been designed for optimal movement through all kinds of hazards.")</f>
        <v>These boots have been designed for optimal movement through all kinds of hazards.</v>
      </c>
      <c r="C699" s="49"/>
      <c r="D699" s="49" t="str">
        <f>IFERROR(__xludf.DUMMYFUNCTION("""COMPUTED_VALUE"""),"Feet")</f>
        <v>Feet</v>
      </c>
      <c r="E699" s="49">
        <f>IFERROR(__xludf.DUMMYFUNCTION("""COMPUTED_VALUE"""),1.0)</f>
        <v>1</v>
      </c>
      <c r="F699" s="49" t="str">
        <f>IFERROR(__xludf.DUMMYFUNCTION("""COMPUTED_VALUE""")," ++Swamp Stompers: You take only half the effect of environmental hazards +-Cannot be Duplicated")</f>
        <v> ++Swamp Stompers: You take only half the effect of environmental hazards +-Cannot be Duplicated</v>
      </c>
      <c r="G699" s="49">
        <f>IFERROR(__xludf.DUMMYFUNCTION("""COMPUTED_VALUE"""),0.0)</f>
        <v>0</v>
      </c>
      <c r="H699" s="49"/>
      <c r="I699" s="49"/>
      <c r="J699" s="49"/>
      <c r="K699" s="49"/>
      <c r="L699" s="49"/>
      <c r="M699" s="49"/>
      <c r="N699" s="49"/>
      <c r="O699" s="49"/>
      <c r="P699" s="49"/>
      <c r="Q699" s="49"/>
      <c r="R699" s="49"/>
      <c r="S699" s="49"/>
      <c r="T699" s="49"/>
      <c r="U699" s="49"/>
      <c r="V699" s="49"/>
      <c r="W699" s="49"/>
      <c r="X699" s="49"/>
      <c r="Y699" s="49"/>
      <c r="Z699" s="49"/>
    </row>
    <row r="700">
      <c r="A700" s="49" t="str">
        <f>IFERROR(__xludf.DUMMYFUNCTION("""COMPUTED_VALUE"""),"Plague Doctor's Apron")</f>
        <v>Plague Doctor's Apron</v>
      </c>
      <c r="B700" s="49" t="str">
        <f>IFERROR(__xludf.DUMMYFUNCTION("""COMPUTED_VALUE"""),"The thick leather of this apron ensures that accidents with poison are minimalized.")</f>
        <v>The thick leather of this apron ensures that accidents with poison are minimalized.</v>
      </c>
      <c r="C700" s="49"/>
      <c r="D700" s="49" t="str">
        <f>IFERROR(__xludf.DUMMYFUNCTION("""COMPUTED_VALUE"""),"Torso")</f>
        <v>Torso</v>
      </c>
      <c r="E700" s="49">
        <f>IFERROR(__xludf.DUMMYFUNCTION("""COMPUTED_VALUE"""),1.0)</f>
        <v>1</v>
      </c>
      <c r="F700" s="49" t="str">
        <f>IFERROR(__xludf.DUMMYFUNCTION("""COMPUTED_VALUE""")," ++Spllatter Proof: Immune to poison +-Cannot be Duplicated")</f>
        <v> ++Spllatter Proof: Immune to poison +-Cannot be Duplicated</v>
      </c>
      <c r="G700" s="49">
        <f>IFERROR(__xludf.DUMMYFUNCTION("""COMPUTED_VALUE"""),0.0)</f>
        <v>0</v>
      </c>
      <c r="H700" s="49"/>
      <c r="I700" s="49"/>
      <c r="J700" s="49"/>
      <c r="K700" s="49"/>
      <c r="L700" s="49"/>
      <c r="M700" s="49"/>
      <c r="N700" s="49"/>
      <c r="O700" s="49"/>
      <c r="P700" s="49"/>
      <c r="Q700" s="49"/>
      <c r="R700" s="49"/>
      <c r="S700" s="49"/>
      <c r="T700" s="49"/>
      <c r="U700" s="49"/>
      <c r="V700" s="49"/>
      <c r="W700" s="49"/>
      <c r="X700" s="49"/>
      <c r="Y700" s="49"/>
      <c r="Z700" s="49"/>
    </row>
    <row r="701">
      <c r="A701" s="49" t="str">
        <f>IFERROR(__xludf.DUMMYFUNCTION("""COMPUTED_VALUE"""),"Poisonous Hand Crossbow")</f>
        <v>Poisonous Hand Crossbow</v>
      </c>
      <c r="B701" s="49" t="str">
        <f>IFERROR(__xludf.DUMMYFUNCTION("""COMPUTED_VALUE"""),"""Because sometimes the only viable tactic, is a dirty one"" ~Gwennivir")</f>
        <v>"Because sometimes the only viable tactic, is a dirty one" ~Gwennivir</v>
      </c>
      <c r="C701" s="49" t="str">
        <f>IFERROR(__xludf.DUMMYFUNCTION("""COMPUTED_VALUE"""),"Bow")</f>
        <v>Bow</v>
      </c>
      <c r="D701" s="49" t="str">
        <f>IFERROR(__xludf.DUMMYFUNCTION("""COMPUTED_VALUE"""),"Hand")</f>
        <v>Hand</v>
      </c>
      <c r="E701" s="49">
        <f>IFERROR(__xludf.DUMMYFUNCTION("""COMPUTED_VALUE"""),1000.0)</f>
        <v>1000</v>
      </c>
      <c r="F701" s="49" t="str">
        <f>IFERROR(__xludf.DUMMYFUNCTION("""COMPUTED_VALUE"""),"DMG: +50000 ++Poisoned I: Hitting an enemy with this weapon inflicts 500 poison")</f>
        <v>DMG: +50000 ++Poisoned I: Hitting an enemy with this weapon inflicts 500 poison</v>
      </c>
      <c r="G701" s="49">
        <f>IFERROR(__xludf.DUMMYFUNCTION("""COMPUTED_VALUE"""),4.95E7)</f>
        <v>49500000</v>
      </c>
      <c r="H701" s="49"/>
      <c r="I701" s="49"/>
      <c r="J701" s="49"/>
      <c r="K701" s="49"/>
      <c r="L701" s="49"/>
      <c r="M701" s="49"/>
      <c r="N701" s="49"/>
      <c r="O701" s="49"/>
      <c r="P701" s="49"/>
      <c r="Q701" s="49"/>
      <c r="R701" s="49"/>
      <c r="S701" s="49"/>
      <c r="T701" s="49"/>
      <c r="U701" s="49"/>
      <c r="V701" s="49"/>
      <c r="W701" s="49"/>
      <c r="X701" s="49"/>
      <c r="Y701" s="49"/>
      <c r="Z701" s="49"/>
    </row>
    <row r="702">
      <c r="A702" s="49" t="str">
        <f>IFERROR(__xludf.DUMMYFUNCTION("""COMPUTED_VALUE"""),"Poison Tipped Knife")</f>
        <v>Poison Tipped Knife</v>
      </c>
      <c r="B702" s="49" t="str">
        <f>IFERROR(__xludf.DUMMYFUNCTION("""COMPUTED_VALUE"""),"""It isn't the most graceful end, and it isn't quick by any means... What, you thought I'd defend it?"" ~Gwennivir")</f>
        <v>"It isn't the most graceful end, and it isn't quick by any means... What, you thought I'd defend it?" ~Gwennivir</v>
      </c>
      <c r="C702" s="49" t="str">
        <f>IFERROR(__xludf.DUMMYFUNCTION("""COMPUTED_VALUE"""),"Knife")</f>
        <v>Knife</v>
      </c>
      <c r="D702" s="49" t="str">
        <f>IFERROR(__xludf.DUMMYFUNCTION("""COMPUTED_VALUE"""),"Hand")</f>
        <v>Hand</v>
      </c>
      <c r="E702" s="49">
        <f>IFERROR(__xludf.DUMMYFUNCTION("""COMPUTED_VALUE"""),1000.0)</f>
        <v>1000</v>
      </c>
      <c r="F702" s="49" t="str">
        <f>IFERROR(__xludf.DUMMYFUNCTION("""COMPUTED_VALUE"""),"DMG: +50000 ++Poisoned I: Hitting an enemy with this weapon inflicts 500 poison")</f>
        <v>DMG: +50000 ++Poisoned I: Hitting an enemy with this weapon inflicts 500 poison</v>
      </c>
      <c r="G702" s="49">
        <f>IFERROR(__xludf.DUMMYFUNCTION("""COMPUTED_VALUE"""),4.95E7)</f>
        <v>49500000</v>
      </c>
      <c r="H702" s="49"/>
      <c r="I702" s="49"/>
      <c r="J702" s="49"/>
      <c r="K702" s="49"/>
      <c r="L702" s="49"/>
      <c r="M702" s="49"/>
      <c r="N702" s="49"/>
      <c r="O702" s="49"/>
      <c r="P702" s="49"/>
      <c r="Q702" s="49"/>
      <c r="R702" s="49"/>
      <c r="S702" s="49"/>
      <c r="T702" s="49"/>
      <c r="U702" s="49"/>
      <c r="V702" s="49"/>
      <c r="W702" s="49"/>
      <c r="X702" s="49"/>
      <c r="Y702" s="49"/>
      <c r="Z702" s="49"/>
    </row>
    <row r="703">
      <c r="A703" s="49" t="str">
        <f>IFERROR(__xludf.DUMMYFUNCTION("""COMPUTED_VALUE"""),"Frozen Head-Splitter")</f>
        <v>Frozen Head-Splitter</v>
      </c>
      <c r="B703" s="49"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49" t="str">
        <f>IFERROR(__xludf.DUMMYFUNCTION("""COMPUTED_VALUE"""),"Club")</f>
        <v>Club</v>
      </c>
      <c r="D703" s="49" t="str">
        <f>IFERROR(__xludf.DUMMYFUNCTION("""COMPUTED_VALUE"""),"Hand")</f>
        <v>Hand</v>
      </c>
      <c r="E703" s="49">
        <f>IFERROR(__xludf.DUMMYFUNCTION("""COMPUTED_VALUE"""),1200.0)</f>
        <v>1200</v>
      </c>
      <c r="F703" s="49"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49">
        <f>IFERROR(__xludf.DUMMYFUNCTION("""COMPUTED_VALUE"""),7.14E7)</f>
        <v>71400000</v>
      </c>
      <c r="H703" s="49"/>
      <c r="I703" s="49"/>
      <c r="J703" s="49"/>
      <c r="K703" s="49"/>
      <c r="L703" s="49"/>
      <c r="M703" s="49"/>
      <c r="N703" s="49"/>
      <c r="O703" s="49"/>
      <c r="P703" s="49"/>
      <c r="Q703" s="49"/>
      <c r="R703" s="49"/>
      <c r="S703" s="49"/>
      <c r="T703" s="49"/>
      <c r="U703" s="49"/>
      <c r="V703" s="49"/>
      <c r="W703" s="49"/>
      <c r="X703" s="49"/>
      <c r="Y703" s="49"/>
      <c r="Z703" s="49"/>
    </row>
    <row r="704">
      <c r="A704" s="49" t="str">
        <f>IFERROR(__xludf.DUMMYFUNCTION("""COMPUTED_VALUE"""),"Fireball Cannon")</f>
        <v>Fireball Cannon</v>
      </c>
      <c r="B704" s="49" t="str">
        <f>IFERROR(__xludf.DUMMYFUNCTION("""COMPUTED_VALUE"""),"""Sometimes fire is the only answer to the question,"" ~Gwennivir")</f>
        <v>"Sometimes fire is the only answer to the question," ~Gwennivir</v>
      </c>
      <c r="C704" s="49" t="str">
        <f>IFERROR(__xludf.DUMMYFUNCTION("""COMPUTED_VALUE"""),"Firearm")</f>
        <v>Firearm</v>
      </c>
      <c r="D704" s="49" t="str">
        <f>IFERROR(__xludf.DUMMYFUNCTION("""COMPUTED_VALUE"""),"BoatGun")</f>
        <v>BoatGun</v>
      </c>
      <c r="E704" s="49">
        <f>IFERROR(__xludf.DUMMYFUNCTION("""COMPUTED_VALUE"""),1000.0)</f>
        <v>1000</v>
      </c>
      <c r="F704" s="49" t="str">
        <f>IFERROR(__xludf.DUMMYFUNCTION("""COMPUTED_VALUE"""),"DMG: +30000, Fire DMG: +20000 ++Burn 10,000. ++Requires Fire Cannon Balls")</f>
        <v>DMG: +30000, Fire DMG: +20000 ++Burn 10,000. ++Requires Fire Cannon Balls</v>
      </c>
      <c r="G704" s="49">
        <f>IFERROR(__xludf.DUMMYFUNCTION("""COMPUTED_VALUE"""),4.95E7)</f>
        <v>49500000</v>
      </c>
      <c r="H704" s="49"/>
      <c r="I704" s="49"/>
      <c r="J704" s="49"/>
      <c r="K704" s="49"/>
      <c r="L704" s="49"/>
      <c r="M704" s="49"/>
      <c r="N704" s="49"/>
      <c r="O704" s="49"/>
      <c r="P704" s="49"/>
      <c r="Q704" s="49"/>
      <c r="R704" s="49"/>
      <c r="S704" s="49"/>
      <c r="T704" s="49"/>
      <c r="U704" s="49"/>
      <c r="V704" s="49"/>
      <c r="W704" s="49"/>
      <c r="X704" s="49"/>
      <c r="Y704" s="49"/>
      <c r="Z704" s="49"/>
    </row>
    <row r="705">
      <c r="A705" s="49" t="str">
        <f>IFERROR(__xludf.DUMMYFUNCTION("""COMPUTED_VALUE"""),"Harpoon Gun")</f>
        <v>Harpoon Gun</v>
      </c>
      <c r="B705" s="49"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49" t="str">
        <f>IFERROR(__xludf.DUMMYFUNCTION("""COMPUTED_VALUE"""),"Spear")</f>
        <v>Spear</v>
      </c>
      <c r="D705" s="49" t="str">
        <f>IFERROR(__xludf.DUMMYFUNCTION("""COMPUTED_VALUE"""),"BoatGun")</f>
        <v>BoatGun</v>
      </c>
      <c r="E705" s="49">
        <f>IFERROR(__xludf.DUMMYFUNCTION("""COMPUTED_VALUE"""),400.0)</f>
        <v>400</v>
      </c>
      <c r="F705" s="49" t="str">
        <f>IFERROR(__xludf.DUMMYFUNCTION("""COMPUTED_VALUE"""),"DMG: +10000, Blood DMG: +10000 ++Bleed 10,000. ")</f>
        <v>DMG: +10000, Blood DMG: +10000 ++Bleed 10,000. </v>
      </c>
      <c r="G705" s="49">
        <f>IFERROR(__xludf.DUMMYFUNCTION("""COMPUTED_VALUE"""),7800000.0)</f>
        <v>7800000</v>
      </c>
      <c r="H705" s="49"/>
      <c r="I705" s="49"/>
      <c r="J705" s="49"/>
      <c r="K705" s="49"/>
      <c r="L705" s="49"/>
      <c r="M705" s="49"/>
      <c r="N705" s="49"/>
      <c r="O705" s="49"/>
      <c r="P705" s="49"/>
      <c r="Q705" s="49"/>
      <c r="R705" s="49"/>
      <c r="S705" s="49"/>
      <c r="T705" s="49"/>
      <c r="U705" s="49"/>
      <c r="V705" s="49"/>
      <c r="W705" s="49"/>
      <c r="X705" s="49"/>
      <c r="Y705" s="49"/>
      <c r="Z705" s="49"/>
    </row>
    <row r="706">
      <c r="A706" s="49" t="str">
        <f>IFERROR(__xludf.DUMMYFUNCTION("""COMPUTED_VALUE"""),"Torpedo Launcher")</f>
        <v>Torpedo Launcher</v>
      </c>
      <c r="B706" s="49" t="str">
        <f>IFERROR(__xludf.DUMMYFUNCTION("""COMPUTED_VALUE"""),"""Sometimes you need a little more bang for your buck, in those times you need a torpedo,"" ~Gwennivir")</f>
        <v>"Sometimes you need a little more bang for your buck, in those times you need a torpedo," ~Gwennivir</v>
      </c>
      <c r="C706" s="49" t="str">
        <f>IFERROR(__xludf.DUMMYFUNCTION("""COMPUTED_VALUE"""),"Firearm")</f>
        <v>Firearm</v>
      </c>
      <c r="D706" s="49" t="str">
        <f>IFERROR(__xludf.DUMMYFUNCTION("""COMPUTED_VALUE"""),"BoatGun")</f>
        <v>BoatGun</v>
      </c>
      <c r="E706" s="49">
        <f>IFERROR(__xludf.DUMMYFUNCTION("""COMPUTED_VALUE"""),1000.0)</f>
        <v>1000</v>
      </c>
      <c r="F706" s="49" t="str">
        <f>IFERROR(__xludf.DUMMYFUNCTION("""COMPUTED_VALUE"""),"DMG: +50000 ++ Requires Torpedos")</f>
        <v>DMG: +50000 ++ Requires Torpedos</v>
      </c>
      <c r="G706" s="49">
        <f>IFERROR(__xludf.DUMMYFUNCTION("""COMPUTED_VALUE"""),4.95E7)</f>
        <v>49500000</v>
      </c>
      <c r="H706" s="49"/>
      <c r="I706" s="49"/>
      <c r="J706" s="49"/>
      <c r="K706" s="49"/>
      <c r="L706" s="49"/>
      <c r="M706" s="49"/>
      <c r="N706" s="49"/>
      <c r="O706" s="49"/>
      <c r="P706" s="49"/>
      <c r="Q706" s="49"/>
      <c r="R706" s="49"/>
      <c r="S706" s="49"/>
      <c r="T706" s="49"/>
      <c r="U706" s="49"/>
      <c r="V706" s="49"/>
      <c r="W706" s="49"/>
      <c r="X706" s="49"/>
      <c r="Y706" s="49"/>
      <c r="Z706" s="49"/>
    </row>
    <row r="707">
      <c r="A707" s="49" t="str">
        <f>IFERROR(__xludf.DUMMYFUNCTION("""COMPUTED_VALUE"""),"Double Barrel Shotgun")</f>
        <v>Double Barrel Shotgun</v>
      </c>
      <c r="B707" s="49" t="str">
        <f>IFERROR(__xludf.DUMMYFUNCTION("""COMPUTED_VALUE"""),"""Because what's better than one barrel? Two,"" ~Gwennivir")</f>
        <v>"Because what's better than one barrel? Two," ~Gwennivir</v>
      </c>
      <c r="C707" s="49" t="str">
        <f>IFERROR(__xludf.DUMMYFUNCTION("""COMPUTED_VALUE"""),"Firearm")</f>
        <v>Firearm</v>
      </c>
      <c r="D707" s="49" t="str">
        <f>IFERROR(__xludf.DUMMYFUNCTION("""COMPUTED_VALUE"""),"Hand")</f>
        <v>Hand</v>
      </c>
      <c r="E707" s="49">
        <f>IFERROR(__xludf.DUMMYFUNCTION("""COMPUTED_VALUE"""),800.0)</f>
        <v>800</v>
      </c>
      <c r="F707" s="49"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49">
        <f>IFERROR(__xludf.DUMMYFUNCTION("""COMPUTED_VALUE"""),3.16E7)</f>
        <v>31600000</v>
      </c>
      <c r="H707" s="49"/>
      <c r="I707" s="49"/>
      <c r="J707" s="49"/>
      <c r="K707" s="49"/>
      <c r="L707" s="49"/>
      <c r="M707" s="49"/>
      <c r="N707" s="49"/>
      <c r="O707" s="49"/>
      <c r="P707" s="49"/>
      <c r="Q707" s="49"/>
      <c r="R707" s="49"/>
      <c r="S707" s="49"/>
      <c r="T707" s="49"/>
      <c r="U707" s="49"/>
      <c r="V707" s="49"/>
      <c r="W707" s="49"/>
      <c r="X707" s="49"/>
      <c r="Y707" s="49"/>
      <c r="Z707" s="49"/>
    </row>
    <row r="708">
      <c r="A708" s="49" t="str">
        <f>IFERROR(__xludf.DUMMYFUNCTION("""COMPUTED_VALUE"""),"Single Barrel Shotgun")</f>
        <v>Single Barrel Shotgun</v>
      </c>
      <c r="B708" s="49" t="str">
        <f>IFERROR(__xludf.DUMMYFUNCTION("""COMPUTED_VALUE"""),"""For when you want to put more than one hole in your enemies at a time"" ~Gwennivir")</f>
        <v>"For when you want to put more than one hole in your enemies at a time" ~Gwennivir</v>
      </c>
      <c r="C708" s="49" t="str">
        <f>IFERROR(__xludf.DUMMYFUNCTION("""COMPUTED_VALUE"""),"Firearm")</f>
        <v>Firearm</v>
      </c>
      <c r="D708" s="49" t="str">
        <f>IFERROR(__xludf.DUMMYFUNCTION("""COMPUTED_VALUE"""),"Hand")</f>
        <v>Hand</v>
      </c>
      <c r="E708" s="49">
        <f>IFERROR(__xludf.DUMMYFUNCTION("""COMPUTED_VALUE"""),400.0)</f>
        <v>400</v>
      </c>
      <c r="F708" s="49" t="str">
        <f>IFERROR(__xludf.DUMMYFUNCTION("""COMPUTED_VALUE"""),"DMG: +10000, Blood DMG: +10000")</f>
        <v>DMG: +10000, Blood DMG: +10000</v>
      </c>
      <c r="G708" s="49">
        <f>IFERROR(__xludf.DUMMYFUNCTION("""COMPUTED_VALUE"""),7800000.0)</f>
        <v>7800000</v>
      </c>
      <c r="H708" s="49"/>
      <c r="I708" s="49"/>
      <c r="J708" s="49"/>
      <c r="K708" s="49"/>
      <c r="L708" s="49"/>
      <c r="M708" s="49"/>
      <c r="N708" s="49"/>
      <c r="O708" s="49"/>
      <c r="P708" s="49"/>
      <c r="Q708" s="49"/>
      <c r="R708" s="49"/>
      <c r="S708" s="49"/>
      <c r="T708" s="49"/>
      <c r="U708" s="49"/>
      <c r="V708" s="49"/>
      <c r="W708" s="49"/>
      <c r="X708" s="49"/>
      <c r="Y708" s="49"/>
      <c r="Z708" s="49"/>
    </row>
    <row r="709">
      <c r="A709" s="49" t="str">
        <f>IFERROR(__xludf.DUMMYFUNCTION("""COMPUTED_VALUE"""),"Poison Staff")</f>
        <v>Poison Staff</v>
      </c>
      <c r="B709" s="49"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49" t="str">
        <f>IFERROR(__xludf.DUMMYFUNCTION("""COMPUTED_VALUE"""),"Staff")</f>
        <v>Staff</v>
      </c>
      <c r="D709" s="49" t="str">
        <f>IFERROR(__xludf.DUMMYFUNCTION("""COMPUTED_VALUE"""),"Hand")</f>
        <v>Hand</v>
      </c>
      <c r="E709" s="49">
        <f>IFERROR(__xludf.DUMMYFUNCTION("""COMPUTED_VALUE"""),2000.0)</f>
        <v>2000</v>
      </c>
      <c r="F709" s="49" t="str">
        <f>IFERROR(__xludf.DUMMYFUNCTION("""COMPUTED_VALUE"""),", Nature DMG: +100000 ++ Poison 20,000")</f>
        <v>, Nature DMG: +100000 ++ Poison 20,000</v>
      </c>
      <c r="G709" s="49">
        <f>IFERROR(__xludf.DUMMYFUNCTION("""COMPUTED_VALUE"""),1.99E8)</f>
        <v>199000000</v>
      </c>
      <c r="H709" s="49"/>
      <c r="I709" s="49"/>
      <c r="J709" s="49"/>
      <c r="K709" s="49"/>
      <c r="L709" s="49"/>
      <c r="M709" s="49"/>
      <c r="N709" s="49"/>
      <c r="O709" s="49"/>
      <c r="P709" s="49"/>
      <c r="Q709" s="49"/>
      <c r="R709" s="49"/>
      <c r="S709" s="49"/>
      <c r="T709" s="49"/>
      <c r="U709" s="49"/>
      <c r="V709" s="49"/>
      <c r="W709" s="49"/>
      <c r="X709" s="49"/>
      <c r="Y709" s="49"/>
      <c r="Z709" s="49"/>
    </row>
    <row r="710">
      <c r="A710" s="49" t="str">
        <f>IFERROR(__xludf.DUMMYFUNCTION("""COMPUTED_VALUE"""),"Chameldrians Staff of Thriving Blossoms")</f>
        <v>Chameldrians Staff of Thriving Blossoms</v>
      </c>
      <c r="B710" s="49"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49" t="str">
        <f>IFERROR(__xludf.DUMMYFUNCTION("""COMPUTED_VALUE"""),"Staff")</f>
        <v>Staff</v>
      </c>
      <c r="D710" s="49" t="str">
        <f>IFERROR(__xludf.DUMMYFUNCTION("""COMPUTED_VALUE"""),"Hand")</f>
        <v>Hand</v>
      </c>
      <c r="E710" s="49">
        <f>IFERROR(__xludf.DUMMYFUNCTION("""COMPUTED_VALUE"""),2000.0)</f>
        <v>2000</v>
      </c>
      <c r="F710" s="49"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49">
        <f>IFERROR(__xludf.DUMMYFUNCTION("""COMPUTED_VALUE"""),1.99E8)</f>
        <v>199000000</v>
      </c>
      <c r="H710" s="49"/>
      <c r="I710" s="49"/>
      <c r="J710" s="49"/>
      <c r="K710" s="49"/>
      <c r="L710" s="49"/>
      <c r="M710" s="49"/>
      <c r="N710" s="49"/>
      <c r="O710" s="49"/>
      <c r="P710" s="49"/>
      <c r="Q710" s="49"/>
      <c r="R710" s="49"/>
      <c r="S710" s="49"/>
      <c r="T710" s="49"/>
      <c r="U710" s="49"/>
      <c r="V710" s="49"/>
      <c r="W710" s="49"/>
      <c r="X710" s="49"/>
      <c r="Y710" s="49"/>
      <c r="Z710" s="49"/>
    </row>
    <row r="711">
      <c r="A711" s="49" t="str">
        <f>IFERROR(__xludf.DUMMYFUNCTION("""COMPUTED_VALUE"""),"Cooper's Memento")</f>
        <v>Cooper's Memento</v>
      </c>
      <c r="B711" s="49" t="str">
        <f>IFERROR(__xludf.DUMMYFUNCTION("""COMPUTED_VALUE"""),"A small stopwatch, the ticking has stopped.")</f>
        <v>A small stopwatch, the ticking has stopped.</v>
      </c>
      <c r="C711" s="49" t="str">
        <f>IFERROR(__xludf.DUMMYFUNCTION("""COMPUTED_VALUE"""),"Item")</f>
        <v>Item</v>
      </c>
      <c r="D711" s="49" t="str">
        <f>IFERROR(__xludf.DUMMYFUNCTION("""COMPUTED_VALUE"""),"Arms")</f>
        <v>Arms</v>
      </c>
      <c r="E711" s="49">
        <f>IFERROR(__xludf.DUMMYFUNCTION("""COMPUTED_VALUE"""),1.0)</f>
        <v>1</v>
      </c>
      <c r="F711" s="49" t="str">
        <f>IFERROR(__xludf.DUMMYFUNCTION("""COMPUTED_VALUE""")," ++15% chance to be unaffected by a curse")</f>
        <v> ++15% chance to be unaffected by a curse</v>
      </c>
      <c r="G711" s="49">
        <f>IFERROR(__xludf.DUMMYFUNCTION("""COMPUTED_VALUE"""),0.0)</f>
        <v>0</v>
      </c>
      <c r="H711" s="49"/>
      <c r="I711" s="49"/>
      <c r="J711" s="49"/>
      <c r="K711" s="49"/>
      <c r="L711" s="49"/>
      <c r="M711" s="49"/>
      <c r="N711" s="49"/>
      <c r="O711" s="49"/>
      <c r="P711" s="49"/>
      <c r="Q711" s="49"/>
      <c r="R711" s="49"/>
      <c r="S711" s="49"/>
      <c r="T711" s="49"/>
      <c r="U711" s="49"/>
      <c r="V711" s="49"/>
      <c r="W711" s="49"/>
      <c r="X711" s="49"/>
      <c r="Y711" s="49"/>
      <c r="Z711" s="49"/>
    </row>
    <row r="712">
      <c r="A712" s="49" t="str">
        <f>IFERROR(__xludf.DUMMYFUNCTION("""COMPUTED_VALUE"""),"Gaian Champion's Shield")</f>
        <v>Gaian Champion's Shield</v>
      </c>
      <c r="B712" s="49" t="str">
        <f>IFERROR(__xludf.DUMMYFUNCTION("""COMPUTED_VALUE"""),"""We are born to be the shield of the people, too many paladins forget this simple fact"" ~Grisaia")</f>
        <v>"We are born to be the shield of the people, too many paladins forget this simple fact" ~Grisaia</v>
      </c>
      <c r="C712" s="49" t="str">
        <f>IFERROR(__xludf.DUMMYFUNCTION("""COMPUTED_VALUE"""),"Towershield")</f>
        <v>Towershield</v>
      </c>
      <c r="D712" s="49" t="str">
        <f>IFERROR(__xludf.DUMMYFUNCTION("""COMPUTED_VALUE"""),"Hand")</f>
        <v>Hand</v>
      </c>
      <c r="E712" s="49">
        <f>IFERROR(__xludf.DUMMYFUNCTION("""COMPUTED_VALUE"""),200.0)</f>
        <v>200</v>
      </c>
      <c r="F712" s="49"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49">
        <f>IFERROR(__xludf.DUMMYFUNCTION("""COMPUTED_VALUE"""),1.2475E9)</f>
        <v>1247500000</v>
      </c>
      <c r="H712" s="49"/>
      <c r="I712" s="49"/>
      <c r="J712" s="49"/>
      <c r="K712" s="49"/>
      <c r="L712" s="49"/>
      <c r="M712" s="49"/>
      <c r="N712" s="49"/>
      <c r="O712" s="49"/>
      <c r="P712" s="49"/>
      <c r="Q712" s="49"/>
      <c r="R712" s="49"/>
      <c r="S712" s="49"/>
      <c r="T712" s="49"/>
      <c r="U712" s="49"/>
      <c r="V712" s="49"/>
      <c r="W712" s="49"/>
      <c r="X712" s="49"/>
      <c r="Y712" s="49"/>
      <c r="Z712" s="49"/>
    </row>
    <row r="713">
      <c r="A713" s="49" t="str">
        <f>IFERROR(__xludf.DUMMYFUNCTION("""COMPUTED_VALUE"""),"The Billowing Bludgeon")</f>
        <v>The Billowing Bludgeon</v>
      </c>
      <c r="B713" s="49"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49" t="str">
        <f>IFERROR(__xludf.DUMMYFUNCTION("""COMPUTED_VALUE"""),"Staff")</f>
        <v>Staff</v>
      </c>
      <c r="D713" s="49" t="str">
        <f>IFERROR(__xludf.DUMMYFUNCTION("""COMPUTED_VALUE"""),"Hand")</f>
        <v>Hand</v>
      </c>
      <c r="E713" s="49">
        <f>IFERROR(__xludf.DUMMYFUNCTION("""COMPUTED_VALUE"""),200.0)</f>
        <v>200</v>
      </c>
      <c r="F713" s="49"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49">
        <f>IFERROR(__xludf.DUMMYFUNCTION("""COMPUTED_VALUE"""),1.797E9)</f>
        <v>1797000000</v>
      </c>
      <c r="H713" s="49"/>
      <c r="I713" s="49"/>
      <c r="J713" s="49"/>
      <c r="K713" s="49"/>
      <c r="L713" s="49"/>
      <c r="M713" s="49"/>
      <c r="N713" s="49"/>
      <c r="O713" s="49"/>
      <c r="P713" s="49"/>
      <c r="Q713" s="49"/>
      <c r="R713" s="49"/>
      <c r="S713" s="49"/>
      <c r="T713" s="49"/>
      <c r="U713" s="49"/>
      <c r="V713" s="49"/>
      <c r="W713" s="49"/>
      <c r="X713" s="49"/>
      <c r="Y713" s="49"/>
      <c r="Z713" s="49"/>
    </row>
    <row r="714">
      <c r="A714" s="49" t="str">
        <f>IFERROR(__xludf.DUMMYFUNCTION("""COMPUTED_VALUE"""),"Home Run Bat")</f>
        <v>Home Run Bat</v>
      </c>
      <c r="B714" s="49"/>
      <c r="C714" s="49" t="str">
        <f>IFERROR(__xludf.DUMMYFUNCTION("""COMPUTED_VALUE"""),"Club")</f>
        <v>Club</v>
      </c>
      <c r="D714" s="49" t="str">
        <f>IFERROR(__xludf.DUMMYFUNCTION("""COMPUTED_VALUE"""),"Hand")</f>
        <v>Hand</v>
      </c>
      <c r="E714" s="49">
        <f>IFERROR(__xludf.DUMMYFUNCTION("""COMPUTED_VALUE"""),200.0)</f>
        <v>200</v>
      </c>
      <c r="F714" s="49"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49">
        <f>IFERROR(__xludf.DUMMYFUNCTION("""COMPUTED_VALUE"""),7.98E8)</f>
        <v>798000000</v>
      </c>
      <c r="H714" s="49"/>
      <c r="I714" s="49"/>
      <c r="J714" s="49"/>
      <c r="K714" s="49"/>
      <c r="L714" s="49"/>
      <c r="M714" s="49"/>
      <c r="N714" s="49"/>
      <c r="O714" s="49"/>
      <c r="P714" s="49"/>
      <c r="Q714" s="49"/>
      <c r="R714" s="49"/>
      <c r="S714" s="49"/>
      <c r="T714" s="49"/>
      <c r="U714" s="49"/>
      <c r="V714" s="49"/>
      <c r="W714" s="49"/>
      <c r="X714" s="49"/>
      <c r="Y714" s="49"/>
      <c r="Z714" s="49"/>
    </row>
    <row r="715">
      <c r="A715" s="49" t="str">
        <f>IFERROR(__xludf.DUMMYFUNCTION("""COMPUTED_VALUE"""),"Lunar New Year Dragon Head")</f>
        <v>Lunar New Year Dragon Head</v>
      </c>
      <c r="B715" s="49"/>
      <c r="C715" s="49" t="str">
        <f>IFERROR(__xludf.DUMMYFUNCTION("""COMPUTED_VALUE"""),"Item")</f>
        <v>Item</v>
      </c>
      <c r="D715" s="49" t="str">
        <f>IFERROR(__xludf.DUMMYFUNCTION("""COMPUTED_VALUE"""),"Head")</f>
        <v>Head</v>
      </c>
      <c r="E715" s="49">
        <f>IFERROR(__xludf.DUMMYFUNCTION("""COMPUTED_VALUE"""),200.0)</f>
        <v>200</v>
      </c>
      <c r="F715" s="49" t="str">
        <f>IFERROR(__xludf.DUMMYFUNCTION("""COMPUTED_VALUE"""),"DEF: +25000, Fire DEF: +25000, Celestial DEF: +25000 ++Gain ""Greater Dragon's Breath"" Power. ++X2 additional Fire Damage.")</f>
        <v>DEF: +25000, Fire DEF: +25000, Celestial DEF: +25000 ++Gain "Greater Dragon's Breath" Power. ++X2 additional Fire Damage.</v>
      </c>
      <c r="G715" s="49">
        <f>IFERROR(__xludf.DUMMYFUNCTION("""COMPUTED_VALUE"""),1.1175E8)</f>
        <v>111750000</v>
      </c>
      <c r="H715" s="49"/>
      <c r="I715" s="49"/>
      <c r="J715" s="49"/>
      <c r="K715" s="49"/>
      <c r="L715" s="49"/>
      <c r="M715" s="49"/>
      <c r="N715" s="49"/>
      <c r="O715" s="49"/>
      <c r="P715" s="49"/>
      <c r="Q715" s="49"/>
      <c r="R715" s="49"/>
      <c r="S715" s="49"/>
      <c r="T715" s="49"/>
      <c r="U715" s="49"/>
      <c r="V715" s="49"/>
      <c r="W715" s="49"/>
      <c r="X715" s="49"/>
      <c r="Y715" s="49"/>
      <c r="Z715" s="49"/>
    </row>
    <row r="716">
      <c r="A716" s="49" t="str">
        <f>IFERROR(__xludf.DUMMYFUNCTION("""COMPUTED_VALUE"""),"Lunar New Year Dragon Shoulders")</f>
        <v>Lunar New Year Dragon Shoulders</v>
      </c>
      <c r="B716" s="49"/>
      <c r="C716" s="49" t="str">
        <f>IFERROR(__xludf.DUMMYFUNCTION("""COMPUTED_VALUE"""),"Item")</f>
        <v>Item</v>
      </c>
      <c r="D716" s="49" t="str">
        <f>IFERROR(__xludf.DUMMYFUNCTION("""COMPUTED_VALUE"""),"Shoulders")</f>
        <v>Shoulders</v>
      </c>
      <c r="E716" s="49">
        <f>IFERROR(__xludf.DUMMYFUNCTION("""COMPUTED_VALUE"""),200.0)</f>
        <v>200</v>
      </c>
      <c r="F716" s="49" t="str">
        <f>IFERROR(__xludf.DUMMYFUNCTION("""COMPUTED_VALUE"""),"DEF: +25000, Fire DEF: +25000, Celestial DEF: +25000 ++X2 additional Fire Damage.")</f>
        <v>DEF: +25000, Fire DEF: +25000, Celestial DEF: +25000 ++X2 additional Fire Damage.</v>
      </c>
      <c r="G716" s="49">
        <f>IFERROR(__xludf.DUMMYFUNCTION("""COMPUTED_VALUE"""),1.1175E8)</f>
        <v>111750000</v>
      </c>
      <c r="H716" s="49"/>
      <c r="I716" s="49"/>
      <c r="J716" s="49"/>
      <c r="K716" s="49"/>
      <c r="L716" s="49"/>
      <c r="M716" s="49"/>
      <c r="N716" s="49"/>
      <c r="O716" s="49"/>
      <c r="P716" s="49"/>
      <c r="Q716" s="49"/>
      <c r="R716" s="49"/>
      <c r="S716" s="49"/>
      <c r="T716" s="49"/>
      <c r="U716" s="49"/>
      <c r="V716" s="49"/>
      <c r="W716" s="49"/>
      <c r="X716" s="49"/>
      <c r="Y716" s="49"/>
      <c r="Z716" s="49"/>
    </row>
    <row r="717">
      <c r="A717" s="49" t="str">
        <f>IFERROR(__xludf.DUMMYFUNCTION("""COMPUTED_VALUE"""),"Lunar New Year Dragon Arms")</f>
        <v>Lunar New Year Dragon Arms</v>
      </c>
      <c r="B717" s="49"/>
      <c r="C717" s="49" t="str">
        <f>IFERROR(__xludf.DUMMYFUNCTION("""COMPUTED_VALUE"""),"Item")</f>
        <v>Item</v>
      </c>
      <c r="D717" s="49" t="str">
        <f>IFERROR(__xludf.DUMMYFUNCTION("""COMPUTED_VALUE"""),"Arms")</f>
        <v>Arms</v>
      </c>
      <c r="E717" s="49">
        <f>IFERROR(__xludf.DUMMYFUNCTION("""COMPUTED_VALUE"""),200.0)</f>
        <v>200</v>
      </c>
      <c r="F717" s="49" t="str">
        <f>IFERROR(__xludf.DUMMYFUNCTION("""COMPUTED_VALUE"""),"DEF: +25000, Fire DEF: +25000, Celestial DEF: +25000 ++X2 additional Fire Damage.")</f>
        <v>DEF: +25000, Fire DEF: +25000, Celestial DEF: +25000 ++X2 additional Fire Damage.</v>
      </c>
      <c r="G717" s="49">
        <f>IFERROR(__xludf.DUMMYFUNCTION("""COMPUTED_VALUE"""),1.1175E8)</f>
        <v>111750000</v>
      </c>
      <c r="H717" s="49"/>
      <c r="I717" s="49"/>
      <c r="J717" s="49"/>
      <c r="K717" s="49"/>
      <c r="L717" s="49"/>
      <c r="M717" s="49"/>
      <c r="N717" s="49"/>
      <c r="O717" s="49"/>
      <c r="P717" s="49"/>
      <c r="Q717" s="49"/>
      <c r="R717" s="49"/>
      <c r="S717" s="49"/>
      <c r="T717" s="49"/>
      <c r="U717" s="49"/>
      <c r="V717" s="49"/>
      <c r="W717" s="49"/>
      <c r="X717" s="49"/>
      <c r="Y717" s="49"/>
      <c r="Z717" s="49"/>
    </row>
    <row r="718">
      <c r="A718" s="49" t="str">
        <f>IFERROR(__xludf.DUMMYFUNCTION("""COMPUTED_VALUE"""),"Lunar New Year Dragon Torso")</f>
        <v>Lunar New Year Dragon Torso</v>
      </c>
      <c r="B718" s="49"/>
      <c r="C718" s="49" t="str">
        <f>IFERROR(__xludf.DUMMYFUNCTION("""COMPUTED_VALUE"""),"Item")</f>
        <v>Item</v>
      </c>
      <c r="D718" s="49" t="str">
        <f>IFERROR(__xludf.DUMMYFUNCTION("""COMPUTED_VALUE"""),"Torso")</f>
        <v>Torso</v>
      </c>
      <c r="E718" s="49">
        <f>IFERROR(__xludf.DUMMYFUNCTION("""COMPUTED_VALUE"""),200.0)</f>
        <v>200</v>
      </c>
      <c r="F718" s="49" t="str">
        <f>IFERROR(__xludf.DUMMYFUNCTION("""COMPUTED_VALUE"""),"DEF: +25000, Fire DEF: +25000, Celestial DEF: +25000 ++X2 additional Fire Damage.")</f>
        <v>DEF: +25000, Fire DEF: +25000, Celestial DEF: +25000 ++X2 additional Fire Damage.</v>
      </c>
      <c r="G718" s="49">
        <f>IFERROR(__xludf.DUMMYFUNCTION("""COMPUTED_VALUE"""),1.1175E8)</f>
        <v>111750000</v>
      </c>
      <c r="H718" s="49"/>
      <c r="I718" s="49"/>
      <c r="J718" s="49"/>
      <c r="K718" s="49"/>
      <c r="L718" s="49"/>
      <c r="M718" s="49"/>
      <c r="N718" s="49"/>
      <c r="O718" s="49"/>
      <c r="P718" s="49"/>
      <c r="Q718" s="49"/>
      <c r="R718" s="49"/>
      <c r="S718" s="49"/>
      <c r="T718" s="49"/>
      <c r="U718" s="49"/>
      <c r="V718" s="49"/>
      <c r="W718" s="49"/>
      <c r="X718" s="49"/>
      <c r="Y718" s="49"/>
      <c r="Z718" s="49"/>
    </row>
    <row r="719">
      <c r="A719" s="49" t="str">
        <f>IFERROR(__xludf.DUMMYFUNCTION("""COMPUTED_VALUE"""),"Lunar New Year Dragon Legs")</f>
        <v>Lunar New Year Dragon Legs</v>
      </c>
      <c r="B719" s="49"/>
      <c r="C719" s="49" t="str">
        <f>IFERROR(__xludf.DUMMYFUNCTION("""COMPUTED_VALUE"""),"Item")</f>
        <v>Item</v>
      </c>
      <c r="D719" s="49" t="str">
        <f>IFERROR(__xludf.DUMMYFUNCTION("""COMPUTED_VALUE"""),"Legs")</f>
        <v>Legs</v>
      </c>
      <c r="E719" s="49">
        <f>IFERROR(__xludf.DUMMYFUNCTION("""COMPUTED_VALUE"""),200.0)</f>
        <v>200</v>
      </c>
      <c r="F719" s="49" t="str">
        <f>IFERROR(__xludf.DUMMYFUNCTION("""COMPUTED_VALUE"""),"DEF: +25000, Fire DEF: +25000, Celestial DEF: +25000 ++X2 additional Fire Damage.")</f>
        <v>DEF: +25000, Fire DEF: +25000, Celestial DEF: +25000 ++X2 additional Fire Damage.</v>
      </c>
      <c r="G719" s="49">
        <f>IFERROR(__xludf.DUMMYFUNCTION("""COMPUTED_VALUE"""),1.1175E8)</f>
        <v>111750000</v>
      </c>
      <c r="H719" s="49"/>
      <c r="I719" s="49"/>
      <c r="J719" s="49"/>
      <c r="K719" s="49"/>
      <c r="L719" s="49"/>
      <c r="M719" s="49"/>
      <c r="N719" s="49"/>
      <c r="O719" s="49"/>
      <c r="P719" s="49"/>
      <c r="Q719" s="49"/>
      <c r="R719" s="49"/>
      <c r="S719" s="49"/>
      <c r="T719" s="49"/>
      <c r="U719" s="49"/>
      <c r="V719" s="49"/>
      <c r="W719" s="49"/>
      <c r="X719" s="49"/>
      <c r="Y719" s="49"/>
      <c r="Z719" s="49"/>
    </row>
    <row r="720">
      <c r="A720" s="49" t="str">
        <f>IFERROR(__xludf.DUMMYFUNCTION("""COMPUTED_VALUE"""),"Lunar New Year Dragon Feet")</f>
        <v>Lunar New Year Dragon Feet</v>
      </c>
      <c r="B720" s="49"/>
      <c r="C720" s="49" t="str">
        <f>IFERROR(__xludf.DUMMYFUNCTION("""COMPUTED_VALUE"""),"Item")</f>
        <v>Item</v>
      </c>
      <c r="D720" s="49" t="str">
        <f>IFERROR(__xludf.DUMMYFUNCTION("""COMPUTED_VALUE"""),"Feet")</f>
        <v>Feet</v>
      </c>
      <c r="E720" s="49">
        <f>IFERROR(__xludf.DUMMYFUNCTION("""COMPUTED_VALUE"""),200.0)</f>
        <v>200</v>
      </c>
      <c r="F720" s="49" t="str">
        <f>IFERROR(__xludf.DUMMYFUNCTION("""COMPUTED_VALUE"""),"DEF: +25000, Fire DEF: +25000, Celestial DEF: +25000 ++X2 additional Fire Damage.")</f>
        <v>DEF: +25000, Fire DEF: +25000, Celestial DEF: +25000 ++X2 additional Fire Damage.</v>
      </c>
      <c r="G720" s="49">
        <f>IFERROR(__xludf.DUMMYFUNCTION("""COMPUTED_VALUE"""),1.1175E8)</f>
        <v>111750000</v>
      </c>
      <c r="H720" s="49"/>
      <c r="I720" s="49"/>
      <c r="J720" s="49"/>
      <c r="K720" s="49"/>
      <c r="L720" s="49"/>
      <c r="M720" s="49"/>
      <c r="N720" s="49"/>
      <c r="O720" s="49"/>
      <c r="P720" s="49"/>
      <c r="Q720" s="49"/>
      <c r="R720" s="49"/>
      <c r="S720" s="49"/>
      <c r="T720" s="49"/>
      <c r="U720" s="49"/>
      <c r="V720" s="49"/>
      <c r="W720" s="49"/>
      <c r="X720" s="49"/>
      <c r="Y720" s="49"/>
      <c r="Z720" s="49"/>
    </row>
    <row r="721">
      <c r="A721" s="49" t="str">
        <f>IFERROR(__xludf.DUMMYFUNCTION("""COMPUTED_VALUE"""),"Spirit Blade")</f>
        <v>Spirit Blade</v>
      </c>
      <c r="B721" s="49"/>
      <c r="C721" s="49" t="str">
        <f>IFERROR(__xludf.DUMMYFUNCTION("""COMPUTED_VALUE"""),"Sword")</f>
        <v>Sword</v>
      </c>
      <c r="D721" s="49" t="str">
        <f>IFERROR(__xludf.DUMMYFUNCTION("""COMPUTED_VALUE"""),"Hand")</f>
        <v>Hand</v>
      </c>
      <c r="E721" s="49">
        <f>IFERROR(__xludf.DUMMYFUNCTION("""COMPUTED_VALUE"""),600.0)</f>
        <v>600</v>
      </c>
      <c r="F721" s="49" t="str">
        <f>IFERROR(__xludf.DUMMYFUNCTION("""COMPUTED_VALUE"""),"DMG: +20000, Light DMG: +10000")</f>
        <v>DMG: +20000, Light DMG: +10000</v>
      </c>
      <c r="G721" s="49">
        <f>IFERROR(__xludf.DUMMYFUNCTION("""COMPUTED_VALUE"""),1.77E7)</f>
        <v>17700000</v>
      </c>
      <c r="H721" s="49"/>
      <c r="I721" s="49"/>
      <c r="J721" s="49"/>
      <c r="K721" s="49"/>
      <c r="L721" s="49"/>
      <c r="M721" s="49"/>
      <c r="N721" s="49"/>
      <c r="O721" s="49"/>
      <c r="P721" s="49"/>
      <c r="Q721" s="49"/>
      <c r="R721" s="49"/>
      <c r="S721" s="49"/>
      <c r="T721" s="49"/>
      <c r="U721" s="49"/>
      <c r="V721" s="49"/>
      <c r="W721" s="49"/>
      <c r="X721" s="49"/>
      <c r="Y721" s="49"/>
      <c r="Z721" s="49"/>
    </row>
    <row r="722">
      <c r="A722" s="49" t="str">
        <f>IFERROR(__xludf.DUMMYFUNCTION("""COMPUTED_VALUE"""),"Spirit Shield")</f>
        <v>Spirit Shield</v>
      </c>
      <c r="B722" s="49"/>
      <c r="C722" s="49" t="str">
        <f>IFERROR(__xludf.DUMMYFUNCTION("""COMPUTED_VALUE"""),"Buckler")</f>
        <v>Buckler</v>
      </c>
      <c r="D722" s="49" t="str">
        <f>IFERROR(__xludf.DUMMYFUNCTION("""COMPUTED_VALUE"""),"Hand")</f>
        <v>Hand</v>
      </c>
      <c r="E722" s="49">
        <f>IFERROR(__xludf.DUMMYFUNCTION("""COMPUTED_VALUE"""),600.0)</f>
        <v>600</v>
      </c>
      <c r="F722" s="49" t="str">
        <f>IFERROR(__xludf.DUMMYFUNCTION("""COMPUTED_VALUE"""),"DEF: +20000, Light DEF: +10000")</f>
        <v>DEF: +20000, Light DEF: +10000</v>
      </c>
      <c r="G722" s="49">
        <f>IFERROR(__xludf.DUMMYFUNCTION("""COMPUTED_VALUE"""),1.77E7)</f>
        <v>17700000</v>
      </c>
      <c r="H722" s="49"/>
      <c r="I722" s="49"/>
      <c r="J722" s="49"/>
      <c r="K722" s="49"/>
      <c r="L722" s="49"/>
      <c r="M722" s="49"/>
      <c r="N722" s="49"/>
      <c r="O722" s="49"/>
      <c r="P722" s="49"/>
      <c r="Q722" s="49"/>
      <c r="R722" s="49"/>
      <c r="S722" s="49"/>
      <c r="T722" s="49"/>
      <c r="U722" s="49"/>
      <c r="V722" s="49"/>
      <c r="W722" s="49"/>
      <c r="X722" s="49"/>
      <c r="Y722" s="49"/>
      <c r="Z722" s="49"/>
    </row>
    <row r="723">
      <c r="A723" s="49" t="str">
        <f>IFERROR(__xludf.DUMMYFUNCTION("""COMPUTED_VALUE"""),"Mage's Hood")</f>
        <v>Mage's Hood</v>
      </c>
      <c r="B723" s="49"/>
      <c r="C723" s="49" t="str">
        <f>IFERROR(__xludf.DUMMYFUNCTION("""COMPUTED_VALUE"""),"Item")</f>
        <v>Item</v>
      </c>
      <c r="D723" s="49" t="str">
        <f>IFERROR(__xludf.DUMMYFUNCTION("""COMPUTED_VALUE"""),"Head")</f>
        <v>Head</v>
      </c>
      <c r="E723" s="49">
        <f>IFERROR(__xludf.DUMMYFUNCTION("""COMPUTED_VALUE"""),1.0)</f>
        <v>1</v>
      </c>
      <c r="F723" s="49" t="str">
        <f>IFERROR(__xludf.DUMMYFUNCTION("""COMPUTED_VALUE""")," ++5000 additional HP and SP. ++Plus 2 Wisdom. +-Cannot be forged. +-Cannot be duplicateed.")</f>
        <v> ++5000 additional HP and SP. ++Plus 2 Wisdom. +-Cannot be forged. +-Cannot be duplicateed.</v>
      </c>
      <c r="G723" s="49">
        <f>IFERROR(__xludf.DUMMYFUNCTION("""COMPUTED_VALUE"""),0.0)</f>
        <v>0</v>
      </c>
      <c r="H723" s="49"/>
      <c r="I723" s="49"/>
      <c r="J723" s="49"/>
      <c r="K723" s="49"/>
      <c r="L723" s="49"/>
      <c r="M723" s="49"/>
      <c r="N723" s="49"/>
      <c r="O723" s="49"/>
      <c r="P723" s="49"/>
      <c r="Q723" s="49"/>
      <c r="R723" s="49"/>
      <c r="S723" s="49"/>
      <c r="T723" s="49"/>
      <c r="U723" s="49"/>
      <c r="V723" s="49"/>
      <c r="W723" s="49"/>
      <c r="X723" s="49"/>
      <c r="Y723" s="49"/>
      <c r="Z723" s="49"/>
    </row>
    <row r="724">
      <c r="A724" s="49" t="str">
        <f>IFERROR(__xludf.DUMMYFUNCTION("""COMPUTED_VALUE"""),"Mage's Cloak")</f>
        <v>Mage's Cloak</v>
      </c>
      <c r="B724" s="49"/>
      <c r="C724" s="49" t="str">
        <f>IFERROR(__xludf.DUMMYFUNCTION("""COMPUTED_VALUE"""),"Item")</f>
        <v>Item</v>
      </c>
      <c r="D724" s="49" t="str">
        <f>IFERROR(__xludf.DUMMYFUNCTION("""COMPUTED_VALUE"""),"Torso")</f>
        <v>Torso</v>
      </c>
      <c r="E724" s="49">
        <f>IFERROR(__xludf.DUMMYFUNCTION("""COMPUTED_VALUE"""),1.0)</f>
        <v>1</v>
      </c>
      <c r="F724" s="49" t="str">
        <f>IFERROR(__xludf.DUMMYFUNCTION("""COMPUTED_VALUE""")," ++5000 additional HP and SP. ++Plus 2 Wisdom. +-Cannot be forged. +-Cannot be duplicateed.")</f>
        <v> ++5000 additional HP and SP. ++Plus 2 Wisdom. +-Cannot be forged. +-Cannot be duplicateed.</v>
      </c>
      <c r="G724" s="49">
        <f>IFERROR(__xludf.DUMMYFUNCTION("""COMPUTED_VALUE"""),0.0)</f>
        <v>0</v>
      </c>
      <c r="H724" s="49"/>
      <c r="I724" s="49"/>
      <c r="J724" s="49"/>
      <c r="K724" s="49"/>
      <c r="L724" s="49"/>
      <c r="M724" s="49"/>
      <c r="N724" s="49"/>
      <c r="O724" s="49"/>
      <c r="P724" s="49"/>
      <c r="Q724" s="49"/>
      <c r="R724" s="49"/>
      <c r="S724" s="49"/>
      <c r="T724" s="49"/>
      <c r="U724" s="49"/>
      <c r="V724" s="49"/>
      <c r="W724" s="49"/>
      <c r="X724" s="49"/>
      <c r="Y724" s="49"/>
      <c r="Z724" s="49"/>
    </row>
    <row r="725">
      <c r="A725" s="49" t="str">
        <f>IFERROR(__xludf.DUMMYFUNCTION("""COMPUTED_VALUE"""),"Mage's Shoes")</f>
        <v>Mage's Shoes</v>
      </c>
      <c r="B725" s="49"/>
      <c r="C725" s="49" t="str">
        <f>IFERROR(__xludf.DUMMYFUNCTION("""COMPUTED_VALUE"""),"Item")</f>
        <v>Item</v>
      </c>
      <c r="D725" s="49" t="str">
        <f>IFERROR(__xludf.DUMMYFUNCTION("""COMPUTED_VALUE"""),"Feet")</f>
        <v>Feet</v>
      </c>
      <c r="E725" s="49">
        <f>IFERROR(__xludf.DUMMYFUNCTION("""COMPUTED_VALUE"""),1.0)</f>
        <v>1</v>
      </c>
      <c r="F725" s="49" t="str">
        <f>IFERROR(__xludf.DUMMYFUNCTION("""COMPUTED_VALUE""")," ++5000 additional HP and SP. ++Plus 1 Wisdom. +-Cannot be forged. +-Cannot be duplicateed.")</f>
        <v> ++5000 additional HP and SP. ++Plus 1 Wisdom. +-Cannot be forged. +-Cannot be duplicateed.</v>
      </c>
      <c r="G725" s="49">
        <f>IFERROR(__xludf.DUMMYFUNCTION("""COMPUTED_VALUE"""),0.0)</f>
        <v>0</v>
      </c>
      <c r="H725" s="49"/>
      <c r="I725" s="49"/>
      <c r="J725" s="49"/>
      <c r="K725" s="49"/>
      <c r="L725" s="49"/>
      <c r="M725" s="49"/>
      <c r="N725" s="49"/>
      <c r="O725" s="49"/>
      <c r="P725" s="49"/>
      <c r="Q725" s="49"/>
      <c r="R725" s="49"/>
      <c r="S725" s="49"/>
      <c r="T725" s="49"/>
      <c r="U725" s="49"/>
      <c r="V725" s="49"/>
      <c r="W725" s="49"/>
      <c r="X725" s="49"/>
      <c r="Y725" s="49"/>
      <c r="Z725" s="49"/>
    </row>
    <row r="726">
      <c r="A726" s="49" t="str">
        <f>IFERROR(__xludf.DUMMYFUNCTION("""COMPUTED_VALUE"""),"Sorcerer's Hood")</f>
        <v>Sorcerer's Hood</v>
      </c>
      <c r="B726" s="49"/>
      <c r="C726" s="49" t="str">
        <f>IFERROR(__xludf.DUMMYFUNCTION("""COMPUTED_VALUE"""),"Item")</f>
        <v>Item</v>
      </c>
      <c r="D726" s="49" t="str">
        <f>IFERROR(__xludf.DUMMYFUNCTION("""COMPUTED_VALUE"""),"Head")</f>
        <v>Head</v>
      </c>
      <c r="E726" s="49">
        <f>IFERROR(__xludf.DUMMYFUNCTION("""COMPUTED_VALUE"""),1.0)</f>
        <v>1</v>
      </c>
      <c r="F726" s="49" t="str">
        <f>IFERROR(__xludf.DUMMYFUNCTION("""COMPUTED_VALUE""")," ++2500 additional HP and SP. ++Plus 2 Wisdom. +-Cannot be forged. +-Cannot be duplicateed.")</f>
        <v> ++2500 additional HP and SP. ++Plus 2 Wisdom. +-Cannot be forged. +-Cannot be duplicateed.</v>
      </c>
      <c r="G726" s="49">
        <f>IFERROR(__xludf.DUMMYFUNCTION("""COMPUTED_VALUE"""),0.0)</f>
        <v>0</v>
      </c>
      <c r="H726" s="49"/>
      <c r="I726" s="49"/>
      <c r="J726" s="49"/>
      <c r="K726" s="49"/>
      <c r="L726" s="49"/>
      <c r="M726" s="49"/>
      <c r="N726" s="49"/>
      <c r="O726" s="49"/>
      <c r="P726" s="49"/>
      <c r="Q726" s="49"/>
      <c r="R726" s="49"/>
      <c r="S726" s="49"/>
      <c r="T726" s="49"/>
      <c r="U726" s="49"/>
      <c r="V726" s="49"/>
      <c r="W726" s="49"/>
      <c r="X726" s="49"/>
      <c r="Y726" s="49"/>
      <c r="Z726" s="49"/>
    </row>
    <row r="727">
      <c r="A727" s="49" t="str">
        <f>IFERROR(__xludf.DUMMYFUNCTION("""COMPUTED_VALUE"""),"Sorcerer's Cloak")</f>
        <v>Sorcerer's Cloak</v>
      </c>
      <c r="B727" s="49"/>
      <c r="C727" s="49" t="str">
        <f>IFERROR(__xludf.DUMMYFUNCTION("""COMPUTED_VALUE"""),"Item")</f>
        <v>Item</v>
      </c>
      <c r="D727" s="49" t="str">
        <f>IFERROR(__xludf.DUMMYFUNCTION("""COMPUTED_VALUE"""),"Torso")</f>
        <v>Torso</v>
      </c>
      <c r="E727" s="49">
        <f>IFERROR(__xludf.DUMMYFUNCTION("""COMPUTED_VALUE"""),1.0)</f>
        <v>1</v>
      </c>
      <c r="F727" s="49" t="str">
        <f>IFERROR(__xludf.DUMMYFUNCTION("""COMPUTED_VALUE""")," ++2500 additional HP and SP. ++Plus 2 Wisdom. +-Cannot be forged. +-Cannot be duplicateed.")</f>
        <v> ++2500 additional HP and SP. ++Plus 2 Wisdom. +-Cannot be forged. +-Cannot be duplicateed.</v>
      </c>
      <c r="G727" s="49">
        <f>IFERROR(__xludf.DUMMYFUNCTION("""COMPUTED_VALUE"""),0.0)</f>
        <v>0</v>
      </c>
      <c r="H727" s="49"/>
      <c r="I727" s="49"/>
      <c r="J727" s="49"/>
      <c r="K727" s="49"/>
      <c r="L727" s="49"/>
      <c r="M727" s="49"/>
      <c r="N727" s="49"/>
      <c r="O727" s="49"/>
      <c r="P727" s="49"/>
      <c r="Q727" s="49"/>
      <c r="R727" s="49"/>
      <c r="S727" s="49"/>
      <c r="T727" s="49"/>
      <c r="U727" s="49"/>
      <c r="V727" s="49"/>
      <c r="W727" s="49"/>
      <c r="X727" s="49"/>
      <c r="Y727" s="49"/>
      <c r="Z727" s="49"/>
    </row>
    <row r="728">
      <c r="A728" s="49" t="str">
        <f>IFERROR(__xludf.DUMMYFUNCTION("""COMPUTED_VALUE"""),"Sorcerer's Shoes")</f>
        <v>Sorcerer's Shoes</v>
      </c>
      <c r="B728" s="49"/>
      <c r="C728" s="49" t="str">
        <f>IFERROR(__xludf.DUMMYFUNCTION("""COMPUTED_VALUE"""),"Item")</f>
        <v>Item</v>
      </c>
      <c r="D728" s="49" t="str">
        <f>IFERROR(__xludf.DUMMYFUNCTION("""COMPUTED_VALUE"""),"Feet")</f>
        <v>Feet</v>
      </c>
      <c r="E728" s="49">
        <f>IFERROR(__xludf.DUMMYFUNCTION("""COMPUTED_VALUE"""),1.0)</f>
        <v>1</v>
      </c>
      <c r="F728" s="49" t="str">
        <f>IFERROR(__xludf.DUMMYFUNCTION("""COMPUTED_VALUE""")," ++2500 additional HP and SP. ++Plus 1 Wisdom. +-Cannot be forged. +-Cannot be duplicateed.")</f>
        <v> ++2500 additional HP and SP. ++Plus 1 Wisdom. +-Cannot be forged. +-Cannot be duplicateed.</v>
      </c>
      <c r="G728" s="49">
        <f>IFERROR(__xludf.DUMMYFUNCTION("""COMPUTED_VALUE"""),0.0)</f>
        <v>0</v>
      </c>
      <c r="H728" s="49"/>
      <c r="I728" s="49"/>
      <c r="J728" s="49"/>
      <c r="K728" s="49"/>
      <c r="L728" s="49"/>
      <c r="M728" s="49"/>
      <c r="N728" s="49"/>
      <c r="O728" s="49"/>
      <c r="P728" s="49"/>
      <c r="Q728" s="49"/>
      <c r="R728" s="49"/>
      <c r="S728" s="49"/>
      <c r="T728" s="49"/>
      <c r="U728" s="49"/>
      <c r="V728" s="49"/>
      <c r="W728" s="49"/>
      <c r="X728" s="49"/>
      <c r="Y728" s="49"/>
      <c r="Z728" s="49"/>
    </row>
    <row r="729">
      <c r="A729" s="49" t="str">
        <f>IFERROR(__xludf.DUMMYFUNCTION("""COMPUTED_VALUE"""),"Wizard's Hood")</f>
        <v>Wizard's Hood</v>
      </c>
      <c r="B729" s="49"/>
      <c r="C729" s="49" t="str">
        <f>IFERROR(__xludf.DUMMYFUNCTION("""COMPUTED_VALUE"""),"Item")</f>
        <v>Item</v>
      </c>
      <c r="D729" s="49" t="str">
        <f>IFERROR(__xludf.DUMMYFUNCTION("""COMPUTED_VALUE"""),"Head")</f>
        <v>Head</v>
      </c>
      <c r="E729" s="49">
        <f>IFERROR(__xludf.DUMMYFUNCTION("""COMPUTED_VALUE"""),1.0)</f>
        <v>1</v>
      </c>
      <c r="F729" s="49" t="str">
        <f>IFERROR(__xludf.DUMMYFUNCTION("""COMPUTED_VALUE""")," ++1000 additional HP and SP. ++X2 Spell Damage. +-Cannot be forged. +-Cannot be duplicateed.")</f>
        <v> ++1000 additional HP and SP. ++X2 Spell Damage. +-Cannot be forged. +-Cannot be duplicateed.</v>
      </c>
      <c r="G729" s="49">
        <f>IFERROR(__xludf.DUMMYFUNCTION("""COMPUTED_VALUE"""),0.0)</f>
        <v>0</v>
      </c>
      <c r="H729" s="49"/>
      <c r="I729" s="49"/>
      <c r="J729" s="49"/>
      <c r="K729" s="49"/>
      <c r="L729" s="49"/>
      <c r="M729" s="49"/>
      <c r="N729" s="49"/>
      <c r="O729" s="49"/>
      <c r="P729" s="49"/>
      <c r="Q729" s="49"/>
      <c r="R729" s="49"/>
      <c r="S729" s="49"/>
      <c r="T729" s="49"/>
      <c r="U729" s="49"/>
      <c r="V729" s="49"/>
      <c r="W729" s="49"/>
      <c r="X729" s="49"/>
      <c r="Y729" s="49"/>
      <c r="Z729" s="49"/>
    </row>
    <row r="730">
      <c r="A730" s="49" t="str">
        <f>IFERROR(__xludf.DUMMYFUNCTION("""COMPUTED_VALUE"""),"Wizard's Cloak")</f>
        <v>Wizard's Cloak</v>
      </c>
      <c r="B730" s="49"/>
      <c r="C730" s="49" t="str">
        <f>IFERROR(__xludf.DUMMYFUNCTION("""COMPUTED_VALUE"""),"Item")</f>
        <v>Item</v>
      </c>
      <c r="D730" s="49" t="str">
        <f>IFERROR(__xludf.DUMMYFUNCTION("""COMPUTED_VALUE"""),"Torso")</f>
        <v>Torso</v>
      </c>
      <c r="E730" s="49">
        <f>IFERROR(__xludf.DUMMYFUNCTION("""COMPUTED_VALUE"""),1.0)</f>
        <v>1</v>
      </c>
      <c r="F730" s="49" t="str">
        <f>IFERROR(__xludf.DUMMYFUNCTION("""COMPUTED_VALUE""")," ++1000 additional HP and SP. ++X2 Spell Damage. +-Cannot be forged. +-Cannot be duplicateed.")</f>
        <v> ++1000 additional HP and SP. ++X2 Spell Damage. +-Cannot be forged. +-Cannot be duplicateed.</v>
      </c>
      <c r="G730" s="49">
        <f>IFERROR(__xludf.DUMMYFUNCTION("""COMPUTED_VALUE"""),0.0)</f>
        <v>0</v>
      </c>
      <c r="H730" s="49"/>
      <c r="I730" s="49"/>
      <c r="J730" s="49"/>
      <c r="K730" s="49"/>
      <c r="L730" s="49"/>
      <c r="M730" s="49"/>
      <c r="N730" s="49"/>
      <c r="O730" s="49"/>
      <c r="P730" s="49"/>
      <c r="Q730" s="49"/>
      <c r="R730" s="49"/>
      <c r="S730" s="49"/>
      <c r="T730" s="49"/>
      <c r="U730" s="49"/>
      <c r="V730" s="49"/>
      <c r="W730" s="49"/>
      <c r="X730" s="49"/>
      <c r="Y730" s="49"/>
      <c r="Z730" s="49"/>
    </row>
    <row r="731">
      <c r="A731" s="49" t="str">
        <f>IFERROR(__xludf.DUMMYFUNCTION("""COMPUTED_VALUE"""),"Wizard's Shoes")</f>
        <v>Wizard's Shoes</v>
      </c>
      <c r="B731" s="49"/>
      <c r="C731" s="49" t="str">
        <f>IFERROR(__xludf.DUMMYFUNCTION("""COMPUTED_VALUE"""),"Item")</f>
        <v>Item</v>
      </c>
      <c r="D731" s="49" t="str">
        <f>IFERROR(__xludf.DUMMYFUNCTION("""COMPUTED_VALUE"""),"Feet")</f>
        <v>Feet</v>
      </c>
      <c r="E731" s="49">
        <f>IFERROR(__xludf.DUMMYFUNCTION("""COMPUTED_VALUE"""),1.0)</f>
        <v>1</v>
      </c>
      <c r="F731" s="49" t="str">
        <f>IFERROR(__xludf.DUMMYFUNCTION("""COMPUTED_VALUE""")," ++1000 additional HP and SP. ++X2 Spell Damage. +-Cannot be forged. +-Cannot be duplicateed.")</f>
        <v> ++1000 additional HP and SP. ++X2 Spell Damage. +-Cannot be forged. +-Cannot be duplicateed.</v>
      </c>
      <c r="G731" s="49">
        <f>IFERROR(__xludf.DUMMYFUNCTION("""COMPUTED_VALUE"""),0.0)</f>
        <v>0</v>
      </c>
      <c r="H731" s="49"/>
      <c r="I731" s="49"/>
      <c r="J731" s="49"/>
      <c r="K731" s="49"/>
      <c r="L731" s="49"/>
      <c r="M731" s="49"/>
      <c r="N731" s="49"/>
      <c r="O731" s="49"/>
      <c r="P731" s="49"/>
      <c r="Q731" s="49"/>
      <c r="R731" s="49"/>
      <c r="S731" s="49"/>
      <c r="T731" s="49"/>
      <c r="U731" s="49"/>
      <c r="V731" s="49"/>
      <c r="W731" s="49"/>
      <c r="X731" s="49"/>
      <c r="Y731" s="49"/>
      <c r="Z731" s="49"/>
    </row>
    <row r="732">
      <c r="A732" s="49" t="str">
        <f>IFERROR(__xludf.DUMMYFUNCTION("""COMPUTED_VALUE"""),"Gunslinger's Cap")</f>
        <v>Gunslinger's Cap</v>
      </c>
      <c r="B732" s="49"/>
      <c r="C732" s="49" t="str">
        <f>IFERROR(__xludf.DUMMYFUNCTION("""COMPUTED_VALUE"""),"Item")</f>
        <v>Item</v>
      </c>
      <c r="D732" s="49" t="str">
        <f>IFERROR(__xludf.DUMMYFUNCTION("""COMPUTED_VALUE"""),"Head")</f>
        <v>Head</v>
      </c>
      <c r="E732" s="49">
        <f>IFERROR(__xludf.DUMMYFUNCTION("""COMPUTED_VALUE"""),1.0)</f>
        <v>1</v>
      </c>
      <c r="F732" s="49" t="str">
        <f>IFERROR(__xludf.DUMMYFUNCTION("""COMPUTED_VALUE""")," ++10,000 ACC and ATK. ++2 Mobility +-Cannot be forged or duplicated")</f>
        <v> ++10,000 ACC and ATK. ++2 Mobility +-Cannot be forged or duplicated</v>
      </c>
      <c r="G732" s="49">
        <f>IFERROR(__xludf.DUMMYFUNCTION("""COMPUTED_VALUE"""),0.0)</f>
        <v>0</v>
      </c>
      <c r="H732" s="49"/>
      <c r="I732" s="49"/>
      <c r="J732" s="49"/>
      <c r="K732" s="49"/>
      <c r="L732" s="49"/>
      <c r="M732" s="49"/>
      <c r="N732" s="49"/>
      <c r="O732" s="49"/>
      <c r="P732" s="49"/>
      <c r="Q732" s="49"/>
      <c r="R732" s="49"/>
      <c r="S732" s="49"/>
      <c r="T732" s="49"/>
      <c r="U732" s="49"/>
      <c r="V732" s="49"/>
      <c r="W732" s="49"/>
      <c r="X732" s="49"/>
      <c r="Y732" s="49"/>
      <c r="Z732" s="49"/>
    </row>
    <row r="733">
      <c r="A733" s="49" t="str">
        <f>IFERROR(__xludf.DUMMYFUNCTION("""COMPUTED_VALUE"""),"Gunslinger's Shirt")</f>
        <v>Gunslinger's Shirt</v>
      </c>
      <c r="B733" s="49"/>
      <c r="C733" s="49" t="str">
        <f>IFERROR(__xludf.DUMMYFUNCTION("""COMPUTED_VALUE"""),"Item")</f>
        <v>Item</v>
      </c>
      <c r="D733" s="49" t="str">
        <f>IFERROR(__xludf.DUMMYFUNCTION("""COMPUTED_VALUE"""),"Torso")</f>
        <v>Torso</v>
      </c>
      <c r="E733" s="49">
        <f>IFERROR(__xludf.DUMMYFUNCTION("""COMPUTED_VALUE"""),1.0)</f>
        <v>1</v>
      </c>
      <c r="F733" s="49" t="str">
        <f>IFERROR(__xludf.DUMMYFUNCTION("""COMPUTED_VALUE""")," ++10,000 ACC and ATK. ++2 Mobility +-Cannot be forged or duplicated")</f>
        <v> ++10,000 ACC and ATK. ++2 Mobility +-Cannot be forged or duplicated</v>
      </c>
      <c r="G733" s="49">
        <f>IFERROR(__xludf.DUMMYFUNCTION("""COMPUTED_VALUE"""),0.0)</f>
        <v>0</v>
      </c>
      <c r="H733" s="49"/>
      <c r="I733" s="49"/>
      <c r="J733" s="49"/>
      <c r="K733" s="49"/>
      <c r="L733" s="49"/>
      <c r="M733" s="49"/>
      <c r="N733" s="49"/>
      <c r="O733" s="49"/>
      <c r="P733" s="49"/>
      <c r="Q733" s="49"/>
      <c r="R733" s="49"/>
      <c r="S733" s="49"/>
      <c r="T733" s="49"/>
      <c r="U733" s="49"/>
      <c r="V733" s="49"/>
      <c r="W733" s="49"/>
      <c r="X733" s="49"/>
      <c r="Y733" s="49"/>
      <c r="Z733" s="49"/>
    </row>
    <row r="734">
      <c r="A734" s="49" t="str">
        <f>IFERROR(__xludf.DUMMYFUNCTION("""COMPUTED_VALUE"""),"Gunslinger's Boots")</f>
        <v>Gunslinger's Boots</v>
      </c>
      <c r="B734" s="49"/>
      <c r="C734" s="49" t="str">
        <f>IFERROR(__xludf.DUMMYFUNCTION("""COMPUTED_VALUE"""),"Item")</f>
        <v>Item</v>
      </c>
      <c r="D734" s="49" t="str">
        <f>IFERROR(__xludf.DUMMYFUNCTION("""COMPUTED_VALUE"""),"Feet")</f>
        <v>Feet</v>
      </c>
      <c r="E734" s="49">
        <f>IFERROR(__xludf.DUMMYFUNCTION("""COMPUTED_VALUE"""),1.0)</f>
        <v>1</v>
      </c>
      <c r="F734" s="49" t="str">
        <f>IFERROR(__xludf.DUMMYFUNCTION("""COMPUTED_VALUE""")," ++10,000 ACC and ATK. ++1 Mobility +-Cannot be forged or duplicated")</f>
        <v> ++10,000 ACC and ATK. ++1 Mobility +-Cannot be forged or duplicated</v>
      </c>
      <c r="G734" s="49">
        <f>IFERROR(__xludf.DUMMYFUNCTION("""COMPUTED_VALUE"""),0.0)</f>
        <v>0</v>
      </c>
      <c r="H734" s="49"/>
      <c r="I734" s="49"/>
      <c r="J734" s="49"/>
      <c r="K734" s="49"/>
      <c r="L734" s="49"/>
      <c r="M734" s="49"/>
      <c r="N734" s="49"/>
      <c r="O734" s="49"/>
      <c r="P734" s="49"/>
      <c r="Q734" s="49"/>
      <c r="R734" s="49"/>
      <c r="S734" s="49"/>
      <c r="T734" s="49"/>
      <c r="U734" s="49"/>
      <c r="V734" s="49"/>
      <c r="W734" s="49"/>
      <c r="X734" s="49"/>
      <c r="Y734" s="49"/>
      <c r="Z734" s="49"/>
    </row>
    <row r="735">
      <c r="A735" s="49" t="str">
        <f>IFERROR(__xludf.DUMMYFUNCTION("""COMPUTED_VALUE"""),"Bard's Coif")</f>
        <v>Bard's Coif</v>
      </c>
      <c r="B735" s="49"/>
      <c r="C735" s="49" t="str">
        <f>IFERROR(__xludf.DUMMYFUNCTION("""COMPUTED_VALUE"""),"Item")</f>
        <v>Item</v>
      </c>
      <c r="D735" s="49" t="str">
        <f>IFERROR(__xludf.DUMMYFUNCTION("""COMPUTED_VALUE"""),"Head")</f>
        <v>Head</v>
      </c>
      <c r="E735" s="49">
        <f>IFERROR(__xludf.DUMMYFUNCTION("""COMPUTED_VALUE"""),1.0)</f>
        <v>1</v>
      </c>
      <c r="F735" s="49" t="str">
        <f>IFERROR(__xludf.DUMMYFUNCTION("""COMPUTED_VALUE""")," ++10,000 ACC and ATK. ++2 Charisma +-Cannot be forged or duplicated")</f>
        <v> ++10,000 ACC and ATK. ++2 Charisma +-Cannot be forged or duplicated</v>
      </c>
      <c r="G735" s="49">
        <f>IFERROR(__xludf.DUMMYFUNCTION("""COMPUTED_VALUE"""),0.0)</f>
        <v>0</v>
      </c>
      <c r="H735" s="49"/>
      <c r="I735" s="49"/>
      <c r="J735" s="49"/>
      <c r="K735" s="49"/>
      <c r="L735" s="49"/>
      <c r="M735" s="49"/>
      <c r="N735" s="49"/>
      <c r="O735" s="49"/>
      <c r="P735" s="49"/>
      <c r="Q735" s="49"/>
      <c r="R735" s="49"/>
      <c r="S735" s="49"/>
      <c r="T735" s="49"/>
      <c r="U735" s="49"/>
      <c r="V735" s="49"/>
      <c r="W735" s="49"/>
      <c r="X735" s="49"/>
      <c r="Y735" s="49"/>
      <c r="Z735" s="49"/>
    </row>
    <row r="736">
      <c r="A736" s="49" t="str">
        <f>IFERROR(__xludf.DUMMYFUNCTION("""COMPUTED_VALUE"""),"Bard's Gambeson")</f>
        <v>Bard's Gambeson</v>
      </c>
      <c r="B736" s="49"/>
      <c r="C736" s="49" t="str">
        <f>IFERROR(__xludf.DUMMYFUNCTION("""COMPUTED_VALUE"""),"Item")</f>
        <v>Item</v>
      </c>
      <c r="D736" s="49" t="str">
        <f>IFERROR(__xludf.DUMMYFUNCTION("""COMPUTED_VALUE"""),"Torso")</f>
        <v>Torso</v>
      </c>
      <c r="E736" s="49">
        <f>IFERROR(__xludf.DUMMYFUNCTION("""COMPUTED_VALUE"""),1.0)</f>
        <v>1</v>
      </c>
      <c r="F736" s="49" t="str">
        <f>IFERROR(__xludf.DUMMYFUNCTION("""COMPUTED_VALUE""")," ++10,000 ACC and ATK. ++2 Charisma +-Cannot be forged or duplicated")</f>
        <v> ++10,000 ACC and ATK. ++2 Charisma +-Cannot be forged or duplicated</v>
      </c>
      <c r="G736" s="49">
        <f>IFERROR(__xludf.DUMMYFUNCTION("""COMPUTED_VALUE"""),0.0)</f>
        <v>0</v>
      </c>
      <c r="H736" s="49"/>
      <c r="I736" s="49"/>
      <c r="J736" s="49"/>
      <c r="K736" s="49"/>
      <c r="L736" s="49"/>
      <c r="M736" s="49"/>
      <c r="N736" s="49"/>
      <c r="O736" s="49"/>
      <c r="P736" s="49"/>
      <c r="Q736" s="49"/>
      <c r="R736" s="49"/>
      <c r="S736" s="49"/>
      <c r="T736" s="49"/>
      <c r="U736" s="49"/>
      <c r="V736" s="49"/>
      <c r="W736" s="49"/>
      <c r="X736" s="49"/>
      <c r="Y736" s="49"/>
      <c r="Z736" s="49"/>
    </row>
    <row r="737">
      <c r="A737" s="49" t="str">
        <f>IFERROR(__xludf.DUMMYFUNCTION("""COMPUTED_VALUE"""),"Bard's Shoes")</f>
        <v>Bard's Shoes</v>
      </c>
      <c r="B737" s="49"/>
      <c r="C737" s="49" t="str">
        <f>IFERROR(__xludf.DUMMYFUNCTION("""COMPUTED_VALUE"""),"Item")</f>
        <v>Item</v>
      </c>
      <c r="D737" s="49" t="str">
        <f>IFERROR(__xludf.DUMMYFUNCTION("""COMPUTED_VALUE"""),"Feet")</f>
        <v>Feet</v>
      </c>
      <c r="E737" s="49">
        <f>IFERROR(__xludf.DUMMYFUNCTION("""COMPUTED_VALUE"""),1.0)</f>
        <v>1</v>
      </c>
      <c r="F737" s="49" t="str">
        <f>IFERROR(__xludf.DUMMYFUNCTION("""COMPUTED_VALUE""")," ++10,000 ACC and ATK. ++1 Charisma +-Cannot be forged or duplicated")</f>
        <v> ++10,000 ACC and ATK. ++1 Charisma +-Cannot be forged or duplicated</v>
      </c>
      <c r="G737" s="49">
        <f>IFERROR(__xludf.DUMMYFUNCTION("""COMPUTED_VALUE"""),0.0)</f>
        <v>0</v>
      </c>
      <c r="H737" s="49"/>
      <c r="I737" s="49"/>
      <c r="J737" s="49"/>
      <c r="K737" s="49"/>
      <c r="L737" s="49"/>
      <c r="M737" s="49"/>
      <c r="N737" s="49"/>
      <c r="O737" s="49"/>
      <c r="P737" s="49"/>
      <c r="Q737" s="49"/>
      <c r="R737" s="49"/>
      <c r="S737" s="49"/>
      <c r="T737" s="49"/>
      <c r="U737" s="49"/>
      <c r="V737" s="49"/>
      <c r="W737" s="49"/>
      <c r="X737" s="49"/>
      <c r="Y737" s="49"/>
      <c r="Z737" s="49"/>
    </row>
    <row r="738">
      <c r="A738" s="49" t="str">
        <f>IFERROR(__xludf.DUMMYFUNCTION("""COMPUTED_VALUE"""),"Dragonscale Skirt")</f>
        <v>Dragonscale Skirt</v>
      </c>
      <c r="B738" s="49"/>
      <c r="C738" s="49" t="str">
        <f>IFERROR(__xludf.DUMMYFUNCTION("""COMPUTED_VALUE"""),"Item")</f>
        <v>Item</v>
      </c>
      <c r="D738" s="49" t="str">
        <f>IFERROR(__xludf.DUMMYFUNCTION("""COMPUTED_VALUE"""),"Legs")</f>
        <v>Legs</v>
      </c>
      <c r="E738" s="49">
        <f>IFERROR(__xludf.DUMMYFUNCTION("""COMPUTED_VALUE"""),1.0)</f>
        <v>1</v>
      </c>
      <c r="F738" s="49" t="str">
        <f>IFERROR(__xludf.DUMMYFUNCTION("""COMPUTED_VALUE""")," ++7,000 additional HP and SP, ++2 Mobility +-Cannot be forged or duplicated")</f>
        <v> ++7,000 additional HP and SP, ++2 Mobility +-Cannot be forged or duplicated</v>
      </c>
      <c r="G738" s="49">
        <f>IFERROR(__xludf.DUMMYFUNCTION("""COMPUTED_VALUE"""),0.0)</f>
        <v>0</v>
      </c>
      <c r="H738" s="49"/>
      <c r="I738" s="49"/>
      <c r="J738" s="49"/>
      <c r="K738" s="49"/>
      <c r="L738" s="49"/>
      <c r="M738" s="49"/>
      <c r="N738" s="49"/>
      <c r="O738" s="49"/>
      <c r="P738" s="49"/>
      <c r="Q738" s="49"/>
      <c r="R738" s="49"/>
      <c r="S738" s="49"/>
      <c r="T738" s="49"/>
      <c r="U738" s="49"/>
      <c r="V738" s="49"/>
      <c r="W738" s="49"/>
      <c r="X738" s="49"/>
      <c r="Y738" s="49"/>
      <c r="Z738" s="49"/>
    </row>
    <row r="739">
      <c r="A739" s="49" t="str">
        <f>IFERROR(__xludf.DUMMYFUNCTION("""COMPUTED_VALUE"""),"Dragonscale Cape")</f>
        <v>Dragonscale Cape</v>
      </c>
      <c r="B739" s="49"/>
      <c r="C739" s="49" t="str">
        <f>IFERROR(__xludf.DUMMYFUNCTION("""COMPUTED_VALUE"""),"Item")</f>
        <v>Item</v>
      </c>
      <c r="D739" s="49" t="str">
        <f>IFERROR(__xludf.DUMMYFUNCTION("""COMPUTED_VALUE"""),"Shoulders")</f>
        <v>Shoulders</v>
      </c>
      <c r="E739" s="49">
        <f>IFERROR(__xludf.DUMMYFUNCTION("""COMPUTED_VALUE"""),1.0)</f>
        <v>1</v>
      </c>
      <c r="F739" s="49" t="str">
        <f>IFERROR(__xludf.DUMMYFUNCTION("""COMPUTED_VALUE""")," ++8,300 additional HP and SP, +-Cannot be forged or duplicated")</f>
        <v> ++8,300 additional HP and SP, +-Cannot be forged or duplicated</v>
      </c>
      <c r="G739" s="49">
        <f>IFERROR(__xludf.DUMMYFUNCTION("""COMPUTED_VALUE"""),0.0)</f>
        <v>0</v>
      </c>
      <c r="H739" s="49"/>
      <c r="I739" s="49"/>
      <c r="J739" s="49"/>
      <c r="K739" s="49"/>
      <c r="L739" s="49"/>
      <c r="M739" s="49"/>
      <c r="N739" s="49"/>
      <c r="O739" s="49"/>
      <c r="P739" s="49"/>
      <c r="Q739" s="49"/>
      <c r="R739" s="49"/>
      <c r="S739" s="49"/>
      <c r="T739" s="49"/>
      <c r="U739" s="49"/>
      <c r="V739" s="49"/>
      <c r="W739" s="49"/>
      <c r="X739" s="49"/>
      <c r="Y739" s="49"/>
      <c r="Z739" s="49"/>
    </row>
    <row r="740">
      <c r="A740" s="49" t="str">
        <f>IFERROR(__xludf.DUMMYFUNCTION("""COMPUTED_VALUE"""),"Broken Dragonscale Mail")</f>
        <v>Broken Dragonscale Mail</v>
      </c>
      <c r="B740" s="49"/>
      <c r="C740" s="49" t="str">
        <f>IFERROR(__xludf.DUMMYFUNCTION("""COMPUTED_VALUE"""),"Item")</f>
        <v>Item</v>
      </c>
      <c r="D740" s="49" t="str">
        <f>IFERROR(__xludf.DUMMYFUNCTION("""COMPUTED_VALUE"""),"Torso")</f>
        <v>Torso</v>
      </c>
      <c r="E740" s="49">
        <f>IFERROR(__xludf.DUMMYFUNCTION("""COMPUTED_VALUE"""),980.0)</f>
        <v>980</v>
      </c>
      <c r="F740" s="49" t="str">
        <f>IFERROR(__xludf.DUMMYFUNCTION("""COMPUTED_VALUE"""),"DEF: +48900 +-5% chance of breaking when wearer is attacked")</f>
        <v>DEF: +48900 +-5% chance of breaking when wearer is attacked</v>
      </c>
      <c r="G740" s="49">
        <f>IFERROR(__xludf.DUMMYFUNCTION("""COMPUTED_VALUE"""),4.656E7)</f>
        <v>46560000</v>
      </c>
      <c r="H740" s="49"/>
      <c r="I740" s="49"/>
      <c r="J740" s="49"/>
      <c r="K740" s="49"/>
      <c r="L740" s="49"/>
      <c r="M740" s="49"/>
      <c r="N740" s="49"/>
      <c r="O740" s="49"/>
      <c r="P740" s="49"/>
      <c r="Q740" s="49"/>
      <c r="R740" s="49"/>
      <c r="S740" s="49"/>
      <c r="T740" s="49"/>
      <c r="U740" s="49"/>
      <c r="V740" s="49"/>
      <c r="W740" s="49"/>
      <c r="X740" s="49"/>
      <c r="Y740" s="49"/>
      <c r="Z740" s="49"/>
    </row>
    <row r="741">
      <c r="A741" s="49" t="str">
        <f>IFERROR(__xludf.DUMMYFUNCTION("""COMPUTED_VALUE"""),"Dragonscale Mail")</f>
        <v>Dragonscale Mail</v>
      </c>
      <c r="B741" s="49"/>
      <c r="C741" s="49" t="str">
        <f>IFERROR(__xludf.DUMMYFUNCTION("""COMPUTED_VALUE"""),"Item")</f>
        <v>Item</v>
      </c>
      <c r="D741" s="49" t="str">
        <f>IFERROR(__xludf.DUMMYFUNCTION("""COMPUTED_VALUE"""),"Torso")</f>
        <v>Torso</v>
      </c>
      <c r="E741" s="49">
        <f>IFERROR(__xludf.DUMMYFUNCTION("""COMPUTED_VALUE"""),3000.0)</f>
        <v>3000</v>
      </c>
      <c r="F741" s="49" t="str">
        <f>IFERROR(__xludf.DUMMYFUNCTION("""COMPUTED_VALUE"""),"DEF: +150000")</f>
        <v>DEF: +150000</v>
      </c>
      <c r="G741" s="49">
        <f>IFERROR(__xludf.DUMMYFUNCTION("""COMPUTED_VALUE"""),4.485E8)</f>
        <v>448500000</v>
      </c>
      <c r="H741" s="49"/>
      <c r="I741" s="49"/>
      <c r="J741" s="49"/>
      <c r="K741" s="49"/>
      <c r="L741" s="49"/>
      <c r="M741" s="49"/>
      <c r="N741" s="49"/>
      <c r="O741" s="49"/>
      <c r="P741" s="49"/>
      <c r="Q741" s="49"/>
      <c r="R741" s="49"/>
      <c r="S741" s="49"/>
      <c r="T741" s="49"/>
      <c r="U741" s="49"/>
      <c r="V741" s="49"/>
      <c r="W741" s="49"/>
      <c r="X741" s="49"/>
      <c r="Y741" s="49"/>
      <c r="Z741" s="49"/>
    </row>
    <row r="742">
      <c r="A742" s="49" t="str">
        <f>IFERROR(__xludf.DUMMYFUNCTION("""COMPUTED_VALUE"""),"Dragonscale Charm")</f>
        <v>Dragonscale Charm</v>
      </c>
      <c r="B742" s="49"/>
      <c r="C742" s="49" t="str">
        <f>IFERROR(__xludf.DUMMYFUNCTION("""COMPUTED_VALUE"""),"Item")</f>
        <v>Item</v>
      </c>
      <c r="D742" s="49" t="str">
        <f>IFERROR(__xludf.DUMMYFUNCTION("""COMPUTED_VALUE"""),"Neck")</f>
        <v>Neck</v>
      </c>
      <c r="E742" s="49">
        <f>IFERROR(__xludf.DUMMYFUNCTION("""COMPUTED_VALUE"""),1.0)</f>
        <v>1</v>
      </c>
      <c r="F742" s="49" t="str">
        <f>IFERROR(__xludf.DUMMYFUNCTION("""COMPUTED_VALUE""")," ++1000 additional HP and SP for every piece of Dragonscale equipment equipped +-Cannot be forged or duplicated")</f>
        <v> ++1000 additional HP and SP for every piece of Dragonscale equipment equipped +-Cannot be forged or duplicated</v>
      </c>
      <c r="G742" s="49">
        <f>IFERROR(__xludf.DUMMYFUNCTION("""COMPUTED_VALUE"""),0.0)</f>
        <v>0</v>
      </c>
      <c r="H742" s="49"/>
      <c r="I742" s="49"/>
      <c r="J742" s="49"/>
      <c r="K742" s="49"/>
      <c r="L742" s="49"/>
      <c r="M742" s="49"/>
      <c r="N742" s="49"/>
      <c r="O742" s="49"/>
      <c r="P742" s="49"/>
      <c r="Q742" s="49"/>
      <c r="R742" s="49"/>
      <c r="S742" s="49"/>
      <c r="T742" s="49"/>
      <c r="U742" s="49"/>
      <c r="V742" s="49"/>
      <c r="W742" s="49"/>
      <c r="X742" s="49"/>
      <c r="Y742" s="49"/>
      <c r="Z742" s="49"/>
    </row>
    <row r="743">
      <c r="A743" s="49" t="str">
        <f>IFERROR(__xludf.DUMMYFUNCTION("""COMPUTED_VALUE"""),"Dragonscale Sandals")</f>
        <v>Dragonscale Sandals</v>
      </c>
      <c r="B743" s="49"/>
      <c r="C743" s="49" t="str">
        <f>IFERROR(__xludf.DUMMYFUNCTION("""COMPUTED_VALUE"""),"Item")</f>
        <v>Item</v>
      </c>
      <c r="D743" s="49" t="str">
        <f>IFERROR(__xludf.DUMMYFUNCTION("""COMPUTED_VALUE"""),"Feet")</f>
        <v>Feet</v>
      </c>
      <c r="E743" s="49">
        <f>IFERROR(__xludf.DUMMYFUNCTION("""COMPUTED_VALUE"""),1.0)</f>
        <v>1</v>
      </c>
      <c r="F743" s="49" t="str">
        <f>IFERROR(__xludf.DUMMYFUNCTION("""COMPUTED_VALUE""")," ++2 Mobility +-Cannot be forged or duplicated")</f>
        <v> ++2 Mobility +-Cannot be forged or duplicated</v>
      </c>
      <c r="G743" s="49">
        <f>IFERROR(__xludf.DUMMYFUNCTION("""COMPUTED_VALUE"""),0.0)</f>
        <v>0</v>
      </c>
      <c r="H743" s="49"/>
      <c r="I743" s="49"/>
      <c r="J743" s="49"/>
      <c r="K743" s="49"/>
      <c r="L743" s="49"/>
      <c r="M743" s="49"/>
      <c r="N743" s="49"/>
      <c r="O743" s="49"/>
      <c r="P743" s="49"/>
      <c r="Q743" s="49"/>
      <c r="R743" s="49"/>
      <c r="S743" s="49"/>
      <c r="T743" s="49"/>
      <c r="U743" s="49"/>
      <c r="V743" s="49"/>
      <c r="W743" s="49"/>
      <c r="X743" s="49"/>
      <c r="Y743" s="49"/>
      <c r="Z743" s="49"/>
    </row>
    <row r="744">
      <c r="A744" s="49" t="str">
        <f>IFERROR(__xludf.DUMMYFUNCTION("""COMPUTED_VALUE"""),"Dragonscale Talisman")</f>
        <v>Dragonscale Talisman</v>
      </c>
      <c r="B744" s="49"/>
      <c r="C744" s="49" t="str">
        <f>IFERROR(__xludf.DUMMYFUNCTION("""COMPUTED_VALUE"""),"Item")</f>
        <v>Item</v>
      </c>
      <c r="D744" s="49" t="str">
        <f>IFERROR(__xludf.DUMMYFUNCTION("""COMPUTED_VALUE"""),"Neck")</f>
        <v>Neck</v>
      </c>
      <c r="E744" s="49">
        <f>IFERROR(__xludf.DUMMYFUNCTION("""COMPUTED_VALUE"""),1.0)</f>
        <v>1</v>
      </c>
      <c r="F744" s="49" t="str">
        <f>IFERROR(__xludf.DUMMYFUNCTION("""COMPUTED_VALUE""")," ++10000 additional HP and SP, +-Cannot be forged or duplicated")</f>
        <v> ++10000 additional HP and SP, +-Cannot be forged or duplicated</v>
      </c>
      <c r="G744" s="49">
        <f>IFERROR(__xludf.DUMMYFUNCTION("""COMPUTED_VALUE"""),0.0)</f>
        <v>0</v>
      </c>
      <c r="H744" s="49"/>
      <c r="I744" s="49"/>
      <c r="J744" s="49"/>
      <c r="K744" s="49"/>
      <c r="L744" s="49"/>
      <c r="M744" s="49"/>
      <c r="N744" s="49"/>
      <c r="O744" s="49"/>
      <c r="P744" s="49"/>
      <c r="Q744" s="49"/>
      <c r="R744" s="49"/>
      <c r="S744" s="49"/>
      <c r="T744" s="49"/>
      <c r="U744" s="49"/>
      <c r="V744" s="49"/>
      <c r="W744" s="49"/>
      <c r="X744" s="49"/>
      <c r="Y744" s="49"/>
      <c r="Z744" s="49"/>
    </row>
    <row r="745">
      <c r="A745" s="49" t="str">
        <f>IFERROR(__xludf.DUMMYFUNCTION("""COMPUTED_VALUE"""),"Dragonscale Water Ring")</f>
        <v>Dragonscale Water Ring</v>
      </c>
      <c r="B745" s="49"/>
      <c r="C745" s="49" t="str">
        <f>IFERROR(__xludf.DUMMYFUNCTION("""COMPUTED_VALUE"""),"Item")</f>
        <v>Item</v>
      </c>
      <c r="D745" s="49" t="str">
        <f>IFERROR(__xludf.DUMMYFUNCTION("""COMPUTED_VALUE"""),"Finger")</f>
        <v>Finger</v>
      </c>
      <c r="E745" s="49">
        <f>IFERROR(__xludf.DUMMYFUNCTION("""COMPUTED_VALUE"""),1.0)</f>
        <v>1</v>
      </c>
      <c r="F745" s="49" t="str">
        <f>IFERROR(__xludf.DUMMYFUNCTION("""COMPUTED_VALUE""")," ++Converts all Natural damage to Water damage +-Cannot be duplicated")</f>
        <v> ++Converts all Natural damage to Water damage +-Cannot be duplicated</v>
      </c>
      <c r="G745" s="49">
        <f>IFERROR(__xludf.DUMMYFUNCTION("""COMPUTED_VALUE"""),0.0)</f>
        <v>0</v>
      </c>
      <c r="H745" s="49"/>
      <c r="I745" s="49"/>
      <c r="J745" s="49"/>
      <c r="K745" s="49"/>
      <c r="L745" s="49"/>
      <c r="M745" s="49"/>
      <c r="N745" s="49"/>
      <c r="O745" s="49"/>
      <c r="P745" s="49"/>
      <c r="Q745" s="49"/>
      <c r="R745" s="49"/>
      <c r="S745" s="49"/>
      <c r="T745" s="49"/>
      <c r="U745" s="49"/>
      <c r="V745" s="49"/>
      <c r="W745" s="49"/>
      <c r="X745" s="49"/>
      <c r="Y745" s="49"/>
      <c r="Z745" s="49"/>
    </row>
    <row r="746">
      <c r="A746" s="49" t="str">
        <f>IFERROR(__xludf.DUMMYFUNCTION("""COMPUTED_VALUE"""),"Dragonscale Gauntlets")</f>
        <v>Dragonscale Gauntlets</v>
      </c>
      <c r="B746" s="49"/>
      <c r="C746" s="49" t="str">
        <f>IFERROR(__xludf.DUMMYFUNCTION("""COMPUTED_VALUE"""),"Gauntlet")</f>
        <v>Gauntlet</v>
      </c>
      <c r="D746" s="49" t="str">
        <f>IFERROR(__xludf.DUMMYFUNCTION("""COMPUTED_VALUE"""),"Hand")</f>
        <v>Hand</v>
      </c>
      <c r="E746" s="49">
        <f>IFERROR(__xludf.DUMMYFUNCTION("""COMPUTED_VALUE"""),2000.0)</f>
        <v>2000</v>
      </c>
      <c r="F746" s="49" t="str">
        <f>IFERROR(__xludf.DUMMYFUNCTION("""COMPUTED_VALUE"""),"DEF: +100000")</f>
        <v>DEF: +100000</v>
      </c>
      <c r="G746" s="49">
        <f>IFERROR(__xludf.DUMMYFUNCTION("""COMPUTED_VALUE"""),1.99E8)</f>
        <v>199000000</v>
      </c>
      <c r="H746" s="49"/>
      <c r="I746" s="49"/>
      <c r="J746" s="49"/>
      <c r="K746" s="49"/>
      <c r="L746" s="49"/>
      <c r="M746" s="49"/>
      <c r="N746" s="49"/>
      <c r="O746" s="49"/>
      <c r="P746" s="49"/>
      <c r="Q746" s="49"/>
      <c r="R746" s="49"/>
      <c r="S746" s="49"/>
      <c r="T746" s="49"/>
      <c r="U746" s="49"/>
      <c r="V746" s="49"/>
      <c r="W746" s="49"/>
      <c r="X746" s="49"/>
      <c r="Y746" s="49"/>
      <c r="Z746" s="49"/>
    </row>
    <row r="747">
      <c r="A747" s="49" t="str">
        <f>IFERROR(__xludf.DUMMYFUNCTION("""COMPUTED_VALUE"""),"Fire Dragonscale Bow")</f>
        <v>Fire Dragonscale Bow</v>
      </c>
      <c r="B747" s="49"/>
      <c r="C747" s="49" t="str">
        <f>IFERROR(__xludf.DUMMYFUNCTION("""COMPUTED_VALUE"""),"Bow")</f>
        <v>Bow</v>
      </c>
      <c r="D747" s="49" t="str">
        <f>IFERROR(__xludf.DUMMYFUNCTION("""COMPUTED_VALUE"""),"Hand")</f>
        <v>Hand</v>
      </c>
      <c r="E747" s="49">
        <f>IFERROR(__xludf.DUMMYFUNCTION("""COMPUTED_VALUE"""),3000.0)</f>
        <v>3000</v>
      </c>
      <c r="F747" s="49" t="str">
        <f>IFERROR(__xludf.DUMMYFUNCTION("""COMPUTED_VALUE"""),"DMG: +20000, Fire DMG: +130000")</f>
        <v>DMG: +20000, Fire DMG: +130000</v>
      </c>
      <c r="G747" s="49">
        <f>IFERROR(__xludf.DUMMYFUNCTION("""COMPUTED_VALUE"""),4.485E8)</f>
        <v>448500000</v>
      </c>
      <c r="H747" s="49"/>
      <c r="I747" s="49"/>
      <c r="J747" s="49"/>
      <c r="K747" s="49"/>
      <c r="L747" s="49"/>
      <c r="M747" s="49"/>
      <c r="N747" s="49"/>
      <c r="O747" s="49"/>
      <c r="P747" s="49"/>
      <c r="Q747" s="49"/>
      <c r="R747" s="49"/>
      <c r="S747" s="49"/>
      <c r="T747" s="49"/>
      <c r="U747" s="49"/>
      <c r="V747" s="49"/>
      <c r="W747" s="49"/>
      <c r="X747" s="49"/>
      <c r="Y747" s="49"/>
      <c r="Z747" s="49"/>
    </row>
    <row r="748">
      <c r="A748" s="49" t="str">
        <f>IFERROR(__xludf.DUMMYFUNCTION("""COMPUTED_VALUE"""),"Storm Dragonscale Flail")</f>
        <v>Storm Dragonscale Flail</v>
      </c>
      <c r="B748" s="49"/>
      <c r="C748" s="49" t="str">
        <f>IFERROR(__xludf.DUMMYFUNCTION("""COMPUTED_VALUE"""),"Club")</f>
        <v>Club</v>
      </c>
      <c r="D748" s="49" t="str">
        <f>IFERROR(__xludf.DUMMYFUNCTION("""COMPUTED_VALUE"""),"Hand")</f>
        <v>Hand</v>
      </c>
      <c r="E748" s="49">
        <f>IFERROR(__xludf.DUMMYFUNCTION("""COMPUTED_VALUE"""),2400.0)</f>
        <v>2400</v>
      </c>
      <c r="F748" s="49"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49">
        <f>IFERROR(__xludf.DUMMYFUNCTION("""COMPUTED_VALUE"""),2.868E8)</f>
        <v>286800000</v>
      </c>
      <c r="H748" s="49"/>
      <c r="I748" s="49"/>
      <c r="J748" s="49"/>
      <c r="K748" s="49"/>
      <c r="L748" s="49"/>
      <c r="M748" s="49"/>
      <c r="N748" s="49"/>
      <c r="O748" s="49"/>
      <c r="P748" s="49"/>
      <c r="Q748" s="49"/>
      <c r="R748" s="49"/>
      <c r="S748" s="49"/>
      <c r="T748" s="49"/>
      <c r="U748" s="49"/>
      <c r="V748" s="49"/>
      <c r="W748" s="49"/>
      <c r="X748" s="49"/>
      <c r="Y748" s="49"/>
      <c r="Z748" s="49"/>
    </row>
    <row r="749">
      <c r="A749" s="49" t="str">
        <f>IFERROR(__xludf.DUMMYFUNCTION("""COMPUTED_VALUE"""),"Dragonscale Spear")</f>
        <v>Dragonscale Spear</v>
      </c>
      <c r="B749" s="49"/>
      <c r="C749" s="49" t="str">
        <f>IFERROR(__xludf.DUMMYFUNCTION("""COMPUTED_VALUE"""),"Spear")</f>
        <v>Spear</v>
      </c>
      <c r="D749" s="49" t="str">
        <f>IFERROR(__xludf.DUMMYFUNCTION("""COMPUTED_VALUE"""),"Hand")</f>
        <v>Hand</v>
      </c>
      <c r="E749" s="49">
        <f>IFERROR(__xludf.DUMMYFUNCTION("""COMPUTED_VALUE"""),2800.0)</f>
        <v>2800</v>
      </c>
      <c r="F749" s="49" t="str">
        <f>IFERROR(__xludf.DUMMYFUNCTION("""COMPUTED_VALUE"""),"DMG: +140000")</f>
        <v>DMG: +140000</v>
      </c>
      <c r="G749" s="49">
        <f>IFERROR(__xludf.DUMMYFUNCTION("""COMPUTED_VALUE"""),3.906E8)</f>
        <v>390600000</v>
      </c>
      <c r="H749" s="49"/>
      <c r="I749" s="49"/>
      <c r="J749" s="49"/>
      <c r="K749" s="49"/>
      <c r="L749" s="49"/>
      <c r="M749" s="49"/>
      <c r="N749" s="49"/>
      <c r="O749" s="49"/>
      <c r="P749" s="49"/>
      <c r="Q749" s="49"/>
      <c r="R749" s="49"/>
      <c r="S749" s="49"/>
      <c r="T749" s="49"/>
      <c r="U749" s="49"/>
      <c r="V749" s="49"/>
      <c r="W749" s="49"/>
      <c r="X749" s="49"/>
      <c r="Y749" s="49"/>
      <c r="Z749" s="49"/>
    </row>
    <row r="750">
      <c r="A750" s="49" t="str">
        <f>IFERROR(__xludf.DUMMYFUNCTION("""COMPUTED_VALUE"""),"Dragonscale Scythe")</f>
        <v>Dragonscale Scythe</v>
      </c>
      <c r="B750" s="49"/>
      <c r="C750" s="49" t="str">
        <f>IFERROR(__xludf.DUMMYFUNCTION("""COMPUTED_VALUE"""),"Scythe")</f>
        <v>Scythe</v>
      </c>
      <c r="D750" s="49" t="str">
        <f>IFERROR(__xludf.DUMMYFUNCTION("""COMPUTED_VALUE"""),"Hand")</f>
        <v>Hand</v>
      </c>
      <c r="E750" s="49">
        <f>IFERROR(__xludf.DUMMYFUNCTION("""COMPUTED_VALUE"""),2500.0)</f>
        <v>2500</v>
      </c>
      <c r="F750" s="49" t="str">
        <f>IFERROR(__xludf.DUMMYFUNCTION("""COMPUTED_VALUE"""),"DMG: +125000 ++If used to kill a dragon, 100% chance to get its soul. +-Cannot be forged or duplicated")</f>
        <v>DMG: +125000 ++If used to kill a dragon, 100% chance to get its soul. +-Cannot be forged or duplicated</v>
      </c>
      <c r="G750" s="49">
        <f>IFERROR(__xludf.DUMMYFUNCTION("""COMPUTED_VALUE"""),3.1125E8)</f>
        <v>311250000</v>
      </c>
      <c r="H750" s="49"/>
      <c r="I750" s="49"/>
      <c r="J750" s="49"/>
      <c r="K750" s="49"/>
      <c r="L750" s="49"/>
      <c r="M750" s="49"/>
      <c r="N750" s="49"/>
      <c r="O750" s="49"/>
      <c r="P750" s="49"/>
      <c r="Q750" s="49"/>
      <c r="R750" s="49"/>
      <c r="S750" s="49"/>
      <c r="T750" s="49"/>
      <c r="U750" s="49"/>
      <c r="V750" s="49"/>
      <c r="W750" s="49"/>
      <c r="X750" s="49"/>
      <c r="Y750" s="49"/>
      <c r="Z750" s="49"/>
    </row>
    <row r="751">
      <c r="A751" s="49" t="str">
        <f>IFERROR(__xludf.DUMMYFUNCTION("""COMPUTED_VALUE"""),"Dark Dragonscale Claws")</f>
        <v>Dark Dragonscale Claws</v>
      </c>
      <c r="B751" s="49"/>
      <c r="C751" s="49" t="str">
        <f>IFERROR(__xludf.DUMMYFUNCTION("""COMPUTED_VALUE"""),"Claw")</f>
        <v>Claw</v>
      </c>
      <c r="D751" s="49" t="str">
        <f>IFERROR(__xludf.DUMMYFUNCTION("""COMPUTED_VALUE"""),"Hand")</f>
        <v>Hand</v>
      </c>
      <c r="E751" s="49">
        <f>IFERROR(__xludf.DUMMYFUNCTION("""COMPUTED_VALUE"""),2900.0)</f>
        <v>2900</v>
      </c>
      <c r="F751" s="49" t="str">
        <f>IFERROR(__xludf.DUMMYFUNCTION("""COMPUTED_VALUE"""),", Dark DMG: +145000 ++ 30% chance to remove enemy from battle")</f>
        <v>, Dark DMG: +145000 ++ 30% chance to remove enemy from battle</v>
      </c>
      <c r="G751" s="49">
        <f>IFERROR(__xludf.DUMMYFUNCTION("""COMPUTED_VALUE"""),4.1905E8)</f>
        <v>419050000</v>
      </c>
      <c r="H751" s="49"/>
      <c r="I751" s="49"/>
      <c r="J751" s="49"/>
      <c r="K751" s="49"/>
      <c r="L751" s="49"/>
      <c r="M751" s="49"/>
      <c r="N751" s="49"/>
      <c r="O751" s="49"/>
      <c r="P751" s="49"/>
      <c r="Q751" s="49"/>
      <c r="R751" s="49"/>
      <c r="S751" s="49"/>
      <c r="T751" s="49"/>
      <c r="U751" s="49"/>
      <c r="V751" s="49"/>
      <c r="W751" s="49"/>
      <c r="X751" s="49"/>
      <c r="Y751" s="49"/>
      <c r="Z751" s="49"/>
    </row>
    <row r="752">
      <c r="A752" s="49" t="str">
        <f>IFERROR(__xludf.DUMMYFUNCTION("""COMPUTED_VALUE"""),"Chaotic Dragonscale Claw")</f>
        <v>Chaotic Dragonscale Claw</v>
      </c>
      <c r="B752" s="49"/>
      <c r="C752" s="49" t="str">
        <f>IFERROR(__xludf.DUMMYFUNCTION("""COMPUTED_VALUE"""),"Claw")</f>
        <v>Claw</v>
      </c>
      <c r="D752" s="49" t="str">
        <f>IFERROR(__xludf.DUMMYFUNCTION("""COMPUTED_VALUE"""),"Hand")</f>
        <v>Hand</v>
      </c>
      <c r="E752" s="49">
        <f>IFERROR(__xludf.DUMMYFUNCTION("""COMPUTED_VALUE"""),2350.0)</f>
        <v>2350</v>
      </c>
      <c r="F752" s="49" t="str">
        <f>IFERROR(__xludf.DUMMYFUNCTION("""COMPUTED_VALUE"""),"DMG: +1, Chaos DMG: +117000 +-5% chance of dealing 1 damage when attacking")</f>
        <v>DMG: +1, Chaos DMG: +117000 +-5% chance of dealing 1 damage when attacking</v>
      </c>
      <c r="G752" s="49">
        <f>IFERROR(__xludf.DUMMYFUNCTION("""COMPUTED_VALUE"""),2.7261E8)</f>
        <v>272610000</v>
      </c>
      <c r="H752" s="49"/>
      <c r="I752" s="49"/>
      <c r="J752" s="49"/>
      <c r="K752" s="49"/>
      <c r="L752" s="49"/>
      <c r="M752" s="49"/>
      <c r="N752" s="49"/>
      <c r="O752" s="49"/>
      <c r="P752" s="49"/>
      <c r="Q752" s="49"/>
      <c r="R752" s="49"/>
      <c r="S752" s="49"/>
      <c r="T752" s="49"/>
      <c r="U752" s="49"/>
      <c r="V752" s="49"/>
      <c r="W752" s="49"/>
      <c r="X752" s="49"/>
      <c r="Y752" s="49"/>
      <c r="Z752" s="49"/>
    </row>
    <row r="753">
      <c r="A753" s="49" t="str">
        <f>IFERROR(__xludf.DUMMYFUNCTION("""COMPUTED_VALUE"""),"Earthen Dragonscale Boots")</f>
        <v>Earthen Dragonscale Boots</v>
      </c>
      <c r="B753" s="49"/>
      <c r="C753" s="49" t="str">
        <f>IFERROR(__xludf.DUMMYFUNCTION("""COMPUTED_VALUE"""),"Item")</f>
        <v>Item</v>
      </c>
      <c r="D753" s="49" t="str">
        <f>IFERROR(__xludf.DUMMYFUNCTION("""COMPUTED_VALUE"""),"Feet")</f>
        <v>Feet</v>
      </c>
      <c r="E753" s="49">
        <f>IFERROR(__xludf.DUMMYFUNCTION("""COMPUTED_VALUE"""),3000.0)</f>
        <v>3000</v>
      </c>
      <c r="F753" s="49" t="str">
        <f>IFERROR(__xludf.DUMMYFUNCTION("""COMPUTED_VALUE"""),"DEF: +60000, Earth DEF: +90000 ++Immune to Earth spells")</f>
        <v>DEF: +60000, Earth DEF: +90000 ++Immune to Earth spells</v>
      </c>
      <c r="G753" s="49">
        <f>IFERROR(__xludf.DUMMYFUNCTION("""COMPUTED_VALUE"""),4.485E8)</f>
        <v>448500000</v>
      </c>
      <c r="H753" s="49"/>
      <c r="I753" s="49"/>
      <c r="J753" s="49"/>
      <c r="K753" s="49"/>
      <c r="L753" s="49"/>
      <c r="M753" s="49"/>
      <c r="N753" s="49"/>
      <c r="O753" s="49"/>
      <c r="P753" s="49"/>
      <c r="Q753" s="49"/>
      <c r="R753" s="49"/>
      <c r="S753" s="49"/>
      <c r="T753" s="49"/>
      <c r="U753" s="49"/>
      <c r="V753" s="49"/>
      <c r="W753" s="49"/>
      <c r="X753" s="49"/>
      <c r="Y753" s="49"/>
      <c r="Z753" s="49"/>
    </row>
    <row r="754">
      <c r="A754" s="49" t="str">
        <f>IFERROR(__xludf.DUMMYFUNCTION("""COMPUTED_VALUE"""),"Dragonscale Harp")</f>
        <v>Dragonscale Harp</v>
      </c>
      <c r="B754" s="49"/>
      <c r="C754" s="49" t="str">
        <f>IFERROR(__xludf.DUMMYFUNCTION("""COMPUTED_VALUE"""),"Instrument")</f>
        <v>Instrument</v>
      </c>
      <c r="D754" s="49" t="str">
        <f>IFERROR(__xludf.DUMMYFUNCTION("""COMPUTED_VALUE"""),"Hand")</f>
        <v>Hand</v>
      </c>
      <c r="E754" s="49">
        <f>IFERROR(__xludf.DUMMYFUNCTION("""COMPUTED_VALUE"""),2620.0)</f>
        <v>2620</v>
      </c>
      <c r="F754" s="49" t="str">
        <f>IFERROR(__xludf.DUMMYFUNCTION("""COMPUTED_VALUE"""),"DMG: +1000, Acoustic DMG: +130000 ++Causes any dragon enemies to skip its next turn when attacked.")</f>
        <v>DMG: +1000, Acoustic DMG: +130000 ++Causes any dragon enemies to skip its next turn when attacked.</v>
      </c>
      <c r="G754" s="49">
        <f>IFERROR(__xludf.DUMMYFUNCTION("""COMPUTED_VALUE"""),3.4191E8)</f>
        <v>341910000</v>
      </c>
      <c r="H754" s="49"/>
      <c r="I754" s="49"/>
      <c r="J754" s="49"/>
      <c r="K754" s="49"/>
      <c r="L754" s="49"/>
      <c r="M754" s="49"/>
      <c r="N754" s="49"/>
      <c r="O754" s="49"/>
      <c r="P754" s="49"/>
      <c r="Q754" s="49"/>
      <c r="R754" s="49"/>
      <c r="S754" s="49"/>
      <c r="T754" s="49"/>
      <c r="U754" s="49"/>
      <c r="V754" s="49"/>
      <c r="W754" s="49"/>
      <c r="X754" s="49"/>
      <c r="Y754" s="49"/>
      <c r="Z754" s="49"/>
    </row>
    <row r="755">
      <c r="A755" s="49" t="str">
        <f>IFERROR(__xludf.DUMMYFUNCTION("""COMPUTED_VALUE"""),"Dragonscale Bracers")</f>
        <v>Dragonscale Bracers</v>
      </c>
      <c r="B755" s="49"/>
      <c r="C755" s="49" t="str">
        <f>IFERROR(__xludf.DUMMYFUNCTION("""COMPUTED_VALUE"""),"Item")</f>
        <v>Item</v>
      </c>
      <c r="D755" s="49" t="str">
        <f>IFERROR(__xludf.DUMMYFUNCTION("""COMPUTED_VALUE"""),"Arms")</f>
        <v>Arms</v>
      </c>
      <c r="E755" s="49">
        <f>IFERROR(__xludf.DUMMYFUNCTION("""COMPUTED_VALUE"""),2000.0)</f>
        <v>2000</v>
      </c>
      <c r="F755" s="49" t="str">
        <f>IFERROR(__xludf.DUMMYFUNCTION("""COMPUTED_VALUE"""),"DEF: +100000 ++X2 DEF when fighting a dragon(s).")</f>
        <v>DEF: +100000 ++X2 DEF when fighting a dragon(s).</v>
      </c>
      <c r="G755" s="49">
        <f>IFERROR(__xludf.DUMMYFUNCTION("""COMPUTED_VALUE"""),1.99E8)</f>
        <v>199000000</v>
      </c>
      <c r="H755" s="49"/>
      <c r="I755" s="49"/>
      <c r="J755" s="49"/>
      <c r="K755" s="49"/>
      <c r="L755" s="49"/>
      <c r="M755" s="49"/>
      <c r="N755" s="49"/>
      <c r="O755" s="49"/>
      <c r="P755" s="49"/>
      <c r="Q755" s="49"/>
      <c r="R755" s="49"/>
      <c r="S755" s="49"/>
      <c r="T755" s="49"/>
      <c r="U755" s="49"/>
      <c r="V755" s="49"/>
      <c r="W755" s="49"/>
      <c r="X755" s="49"/>
      <c r="Y755" s="49"/>
      <c r="Z755" s="49"/>
    </row>
    <row r="756">
      <c r="A756" s="49" t="str">
        <f>IFERROR(__xludf.DUMMYFUNCTION("""COMPUTED_VALUE"""),"Dragonscale Crown")</f>
        <v>Dragonscale Crown</v>
      </c>
      <c r="B756" s="49"/>
      <c r="C756" s="49" t="str">
        <f>IFERROR(__xludf.DUMMYFUNCTION("""COMPUTED_VALUE"""),"Item")</f>
        <v>Item</v>
      </c>
      <c r="D756" s="49" t="str">
        <f>IFERROR(__xludf.DUMMYFUNCTION("""COMPUTED_VALUE"""),"Head")</f>
        <v>Head</v>
      </c>
      <c r="E756" s="49">
        <f>IFERROR(__xludf.DUMMYFUNCTION("""COMPUTED_VALUE"""),1.0)</f>
        <v>1</v>
      </c>
      <c r="F756" s="49" t="str">
        <f>IFERROR(__xludf.DUMMYFUNCTION("""COMPUTED_VALUE""")," ++7,500 additional HP and SP, +-Cannot be forged or duplicated")</f>
        <v> ++7,500 additional HP and SP, +-Cannot be forged or duplicated</v>
      </c>
      <c r="G756" s="49">
        <f>IFERROR(__xludf.DUMMYFUNCTION("""COMPUTED_VALUE"""),0.0)</f>
        <v>0</v>
      </c>
      <c r="H756" s="49"/>
      <c r="I756" s="49"/>
      <c r="J756" s="49"/>
      <c r="K756" s="49"/>
      <c r="L756" s="49"/>
      <c r="M756" s="49"/>
      <c r="N756" s="49"/>
      <c r="O756" s="49"/>
      <c r="P756" s="49"/>
      <c r="Q756" s="49"/>
      <c r="R756" s="49"/>
      <c r="S756" s="49"/>
      <c r="T756" s="49"/>
      <c r="U756" s="49"/>
      <c r="V756" s="49"/>
      <c r="W756" s="49"/>
      <c r="X756" s="49"/>
      <c r="Y756" s="49"/>
      <c r="Z756" s="49"/>
    </row>
    <row r="757">
      <c r="A757" s="49" t="str">
        <f>IFERROR(__xludf.DUMMYFUNCTION("""COMPUTED_VALUE"""),"Dragonscale Helm")</f>
        <v>Dragonscale Helm</v>
      </c>
      <c r="B757" s="49"/>
      <c r="C757" s="49" t="str">
        <f>IFERROR(__xludf.DUMMYFUNCTION("""COMPUTED_VALUE"""),"Item")</f>
        <v>Item</v>
      </c>
      <c r="D757" s="49" t="str">
        <f>IFERROR(__xludf.DUMMYFUNCTION("""COMPUTED_VALUE"""),"Head")</f>
        <v>Head</v>
      </c>
      <c r="E757" s="49">
        <f>IFERROR(__xludf.DUMMYFUNCTION("""COMPUTED_VALUE"""),2600.0)</f>
        <v>2600</v>
      </c>
      <c r="F757" s="49" t="str">
        <f>IFERROR(__xludf.DUMMYFUNCTION("""COMPUTED_VALUE"""),"DEF: +130000")</f>
        <v>DEF: +130000</v>
      </c>
      <c r="G757" s="49">
        <f>IFERROR(__xludf.DUMMYFUNCTION("""COMPUTED_VALUE"""),3.367E8)</f>
        <v>336700000</v>
      </c>
      <c r="H757" s="49"/>
      <c r="I757" s="49"/>
      <c r="J757" s="49"/>
      <c r="K757" s="49"/>
      <c r="L757" s="49"/>
      <c r="M757" s="49"/>
      <c r="N757" s="49"/>
      <c r="O757" s="49"/>
      <c r="P757" s="49"/>
      <c r="Q757" s="49"/>
      <c r="R757" s="49"/>
      <c r="S757" s="49"/>
      <c r="T757" s="49"/>
      <c r="U757" s="49"/>
      <c r="V757" s="49"/>
      <c r="W757" s="49"/>
      <c r="X757" s="49"/>
      <c r="Y757" s="49"/>
      <c r="Z757" s="49"/>
    </row>
    <row r="758">
      <c r="A758" s="49" t="str">
        <f>IFERROR(__xludf.DUMMYFUNCTION("""COMPUTED_VALUE"""),"Dragonscale Rifle")</f>
        <v>Dragonscale Rifle</v>
      </c>
      <c r="B758" s="49"/>
      <c r="C758" s="49" t="str">
        <f>IFERROR(__xludf.DUMMYFUNCTION("""COMPUTED_VALUE"""),"Firearm")</f>
        <v>Firearm</v>
      </c>
      <c r="D758" s="49" t="str">
        <f>IFERROR(__xludf.DUMMYFUNCTION("""COMPUTED_VALUE"""),"Hand")</f>
        <v>Hand</v>
      </c>
      <c r="E758" s="49">
        <f>IFERROR(__xludf.DUMMYFUNCTION("""COMPUTED_VALUE"""),3400.0)</f>
        <v>3400</v>
      </c>
      <c r="F758" s="49" t="str">
        <f>IFERROR(__xludf.DUMMYFUNCTION("""COMPUTED_VALUE"""),"DMG: +170000  +-Uses bullets")</f>
        <v>DMG: +170000  +-Uses bullets</v>
      </c>
      <c r="G758" s="49">
        <f>IFERROR(__xludf.DUMMYFUNCTION("""COMPUTED_VALUE"""),5.763E8)</f>
        <v>576300000</v>
      </c>
      <c r="H758" s="49"/>
      <c r="I758" s="49"/>
      <c r="J758" s="49"/>
      <c r="K758" s="49"/>
      <c r="L758" s="49"/>
      <c r="M758" s="49"/>
      <c r="N758" s="49"/>
      <c r="O758" s="49"/>
      <c r="P758" s="49"/>
      <c r="Q758" s="49"/>
      <c r="R758" s="49"/>
      <c r="S758" s="49"/>
      <c r="T758" s="49"/>
      <c r="U758" s="49"/>
      <c r="V758" s="49"/>
      <c r="W758" s="49"/>
      <c r="X758" s="49"/>
      <c r="Y758" s="49"/>
      <c r="Z758" s="49"/>
    </row>
    <row r="759">
      <c r="A759" s="49" t="str">
        <f>IFERROR(__xludf.DUMMYFUNCTION("""COMPUTED_VALUE"""),"Searing Dragonscale Staff")</f>
        <v>Searing Dragonscale Staff</v>
      </c>
      <c r="B759" s="49"/>
      <c r="C759" s="49" t="str">
        <f>IFERROR(__xludf.DUMMYFUNCTION("""COMPUTED_VALUE"""),"Staff")</f>
        <v>Staff</v>
      </c>
      <c r="D759" s="49" t="str">
        <f>IFERROR(__xludf.DUMMYFUNCTION("""COMPUTED_VALUE"""),"Hand")</f>
        <v>Hand</v>
      </c>
      <c r="E759" s="49">
        <f>IFERROR(__xludf.DUMMYFUNCTION("""COMPUTED_VALUE"""),3000.0)</f>
        <v>3000</v>
      </c>
      <c r="F759" s="49" t="str">
        <f>IFERROR(__xludf.DUMMYFUNCTION("""COMPUTED_VALUE"""),", Light DMG: +150000")</f>
        <v>, Light DMG: +150000</v>
      </c>
      <c r="G759" s="49">
        <f>IFERROR(__xludf.DUMMYFUNCTION("""COMPUTED_VALUE"""),4.485E8)</f>
        <v>448500000</v>
      </c>
      <c r="H759" s="49"/>
      <c r="I759" s="49"/>
      <c r="J759" s="49"/>
      <c r="K759" s="49"/>
      <c r="L759" s="49"/>
      <c r="M759" s="49"/>
      <c r="N759" s="49"/>
      <c r="O759" s="49"/>
      <c r="P759" s="49"/>
      <c r="Q759" s="49"/>
      <c r="R759" s="49"/>
      <c r="S759" s="49"/>
      <c r="T759" s="49"/>
      <c r="U759" s="49"/>
      <c r="V759" s="49"/>
      <c r="W759" s="49"/>
      <c r="X759" s="49"/>
      <c r="Y759" s="49"/>
      <c r="Z759" s="49"/>
    </row>
    <row r="760">
      <c r="A760" s="49" t="str">
        <f>IFERROR(__xludf.DUMMYFUNCTION("""COMPUTED_VALUE"""),"Forgotten Scythe")</f>
        <v>Forgotten Scythe</v>
      </c>
      <c r="B760" s="49"/>
      <c r="C760" s="49" t="str">
        <f>IFERROR(__xludf.DUMMYFUNCTION("""COMPUTED_VALUE"""),"Scythe")</f>
        <v>Scythe</v>
      </c>
      <c r="D760" s="49" t="str">
        <f>IFERROR(__xludf.DUMMYFUNCTION("""COMPUTED_VALUE"""),"Hand")</f>
        <v>Hand</v>
      </c>
      <c r="E760" s="49">
        <f>IFERROR(__xludf.DUMMYFUNCTION("""COMPUTED_VALUE"""),5800.0)</f>
        <v>5800</v>
      </c>
      <c r="F760" s="49" t="str">
        <f>IFERROR(__xludf.DUMMYFUNCTION("""COMPUTED_VALUE"""),", Chaos DMG: +290000")</f>
        <v>, Chaos DMG: +290000</v>
      </c>
      <c r="G760" s="49">
        <f>IFERROR(__xludf.DUMMYFUNCTION("""COMPUTED_VALUE"""),1.6791E9)</f>
        <v>1679100000</v>
      </c>
      <c r="H760" s="49"/>
      <c r="I760" s="49"/>
      <c r="J760" s="49"/>
      <c r="K760" s="49"/>
      <c r="L760" s="49"/>
      <c r="M760" s="49"/>
      <c r="N760" s="49"/>
      <c r="O760" s="49"/>
      <c r="P760" s="49"/>
      <c r="Q760" s="49"/>
      <c r="R760" s="49"/>
      <c r="S760" s="49"/>
      <c r="T760" s="49"/>
      <c r="U760" s="49"/>
      <c r="V760" s="49"/>
      <c r="W760" s="49"/>
      <c r="X760" s="49"/>
      <c r="Y760" s="49"/>
      <c r="Z760" s="49"/>
    </row>
    <row r="761">
      <c r="A761" s="49" t="str">
        <f>IFERROR(__xludf.DUMMYFUNCTION("""COMPUTED_VALUE"""),"Forsaken Club")</f>
        <v>Forsaken Club</v>
      </c>
      <c r="B761" s="49"/>
      <c r="C761" s="49" t="str">
        <f>IFERROR(__xludf.DUMMYFUNCTION("""COMPUTED_VALUE"""),"Club")</f>
        <v>Club</v>
      </c>
      <c r="D761" s="49" t="str">
        <f>IFERROR(__xludf.DUMMYFUNCTION("""COMPUTED_VALUE"""),"Hand")</f>
        <v>Hand</v>
      </c>
      <c r="E761" s="49">
        <f>IFERROR(__xludf.DUMMYFUNCTION("""COMPUTED_VALUE"""),5000.0)</f>
        <v>5000</v>
      </c>
      <c r="F761" s="49" t="str">
        <f>IFERROR(__xludf.DUMMYFUNCTION("""COMPUTED_VALUE"""),"DMG: +250000")</f>
        <v>DMG: +250000</v>
      </c>
      <c r="G761" s="49">
        <f>IFERROR(__xludf.DUMMYFUNCTION("""COMPUTED_VALUE"""),1.2475E9)</f>
        <v>1247500000</v>
      </c>
      <c r="H761" s="49"/>
      <c r="I761" s="49"/>
      <c r="J761" s="49"/>
      <c r="K761" s="49"/>
      <c r="L761" s="49"/>
      <c r="M761" s="49"/>
      <c r="N761" s="49"/>
      <c r="O761" s="49"/>
      <c r="P761" s="49"/>
      <c r="Q761" s="49"/>
      <c r="R761" s="49"/>
      <c r="S761" s="49"/>
      <c r="T761" s="49"/>
      <c r="U761" s="49"/>
      <c r="V761" s="49"/>
      <c r="W761" s="49"/>
      <c r="X761" s="49"/>
      <c r="Y761" s="49"/>
      <c r="Z761" s="49"/>
    </row>
    <row r="762">
      <c r="A762" s="49" t="str">
        <f>IFERROR(__xludf.DUMMYFUNCTION("""COMPUTED_VALUE"""),"Demonic Breastplate")</f>
        <v>Demonic Breastplate</v>
      </c>
      <c r="B762" s="49"/>
      <c r="C762" s="49" t="str">
        <f>IFERROR(__xludf.DUMMYFUNCTION("""COMPUTED_VALUE"""),"Item")</f>
        <v>Item</v>
      </c>
      <c r="D762" s="49" t="str">
        <f>IFERROR(__xludf.DUMMYFUNCTION("""COMPUTED_VALUE"""),"Torso")</f>
        <v>Torso</v>
      </c>
      <c r="E762" s="49">
        <f>IFERROR(__xludf.DUMMYFUNCTION("""COMPUTED_VALUE"""),4000.0)</f>
        <v>4000</v>
      </c>
      <c r="F762" s="49" t="str">
        <f>IFERROR(__xludf.DUMMYFUNCTION("""COMPUTED_VALUE"""),"DEF: +50000, Fire DEF: +50000, Dark DEF: +50000, Chaos DEF: +50000")</f>
        <v>DEF: +50000, Fire DEF: +50000, Dark DEF: +50000, Chaos DEF: +50000</v>
      </c>
      <c r="G762" s="49">
        <f>IFERROR(__xludf.DUMMYFUNCTION("""COMPUTED_VALUE"""),7.98E8)</f>
        <v>798000000</v>
      </c>
      <c r="H762" s="49"/>
      <c r="I762" s="49"/>
      <c r="J762" s="49"/>
      <c r="K762" s="49"/>
      <c r="L762" s="49"/>
      <c r="M762" s="49"/>
      <c r="N762" s="49"/>
      <c r="O762" s="49"/>
      <c r="P762" s="49"/>
      <c r="Q762" s="49"/>
      <c r="R762" s="49"/>
      <c r="S762" s="49"/>
      <c r="T762" s="49"/>
      <c r="U762" s="49"/>
      <c r="V762" s="49"/>
      <c r="W762" s="49"/>
      <c r="X762" s="49"/>
      <c r="Y762" s="49"/>
      <c r="Z762" s="49"/>
    </row>
    <row r="763">
      <c r="A763" s="49" t="str">
        <f>IFERROR(__xludf.DUMMYFUNCTION("""COMPUTED_VALUE"""),"Fallen Ruler's Crown")</f>
        <v>Fallen Ruler's Crown</v>
      </c>
      <c r="B763" s="49"/>
      <c r="C763" s="49" t="str">
        <f>IFERROR(__xludf.DUMMYFUNCTION("""COMPUTED_VALUE"""),"Item")</f>
        <v>Item</v>
      </c>
      <c r="D763" s="49" t="str">
        <f>IFERROR(__xludf.DUMMYFUNCTION("""COMPUTED_VALUE"""),"Head")</f>
        <v>Head</v>
      </c>
      <c r="E763" s="49">
        <f>IFERROR(__xludf.DUMMYFUNCTION("""COMPUTED_VALUE"""),1.0)</f>
        <v>1</v>
      </c>
      <c r="F763" s="49" t="str">
        <f>IFERROR(__xludf.DUMMYFUNCTION("""COMPUTED_VALUE""")," ++5% chance undead enemies will willingly surrender +-Cannot be forged or duplicated")</f>
        <v> ++5% chance undead enemies will willingly surrender +-Cannot be forged or duplicated</v>
      </c>
      <c r="G763" s="49">
        <f>IFERROR(__xludf.DUMMYFUNCTION("""COMPUTED_VALUE"""),0.0)</f>
        <v>0</v>
      </c>
      <c r="H763" s="49"/>
      <c r="I763" s="49"/>
      <c r="J763" s="49"/>
      <c r="K763" s="49"/>
      <c r="L763" s="49"/>
      <c r="M763" s="49"/>
      <c r="N763" s="49"/>
      <c r="O763" s="49"/>
      <c r="P763" s="49"/>
      <c r="Q763" s="49"/>
      <c r="R763" s="49"/>
      <c r="S763" s="49"/>
      <c r="T763" s="49"/>
      <c r="U763" s="49"/>
      <c r="V763" s="49"/>
      <c r="W763" s="49"/>
      <c r="X763" s="49"/>
      <c r="Y763" s="49"/>
      <c r="Z763" s="49"/>
    </row>
    <row r="764">
      <c r="A764" s="49" t="str">
        <f>IFERROR(__xludf.DUMMYFUNCTION("""COMPUTED_VALUE"""),"Old Knife")</f>
        <v>Old Knife</v>
      </c>
      <c r="B764" s="49"/>
      <c r="C764" s="49" t="str">
        <f>IFERROR(__xludf.DUMMYFUNCTION("""COMPUTED_VALUE"""),"Knife")</f>
        <v>Knife</v>
      </c>
      <c r="D764" s="49" t="str">
        <f>IFERROR(__xludf.DUMMYFUNCTION("""COMPUTED_VALUE"""),"Hand")</f>
        <v>Hand</v>
      </c>
      <c r="E764" s="49">
        <f>IFERROR(__xludf.DUMMYFUNCTION("""COMPUTED_VALUE"""),3640.0)</f>
        <v>3640</v>
      </c>
      <c r="F764" s="49" t="str">
        <f>IFERROR(__xludf.DUMMYFUNCTION("""COMPUTED_VALUE"""),"DMG: +12000, Blood DMG: +170000")</f>
        <v>DMG: +12000, Blood DMG: +170000</v>
      </c>
      <c r="G764" s="49">
        <f>IFERROR(__xludf.DUMMYFUNCTION("""COMPUTED_VALUE"""),6.6066E8)</f>
        <v>660660000</v>
      </c>
      <c r="H764" s="49"/>
      <c r="I764" s="49"/>
      <c r="J764" s="49"/>
      <c r="K764" s="49"/>
      <c r="L764" s="49"/>
      <c r="M764" s="49"/>
      <c r="N764" s="49"/>
      <c r="O764" s="49"/>
      <c r="P764" s="49"/>
      <c r="Q764" s="49"/>
      <c r="R764" s="49"/>
      <c r="S764" s="49"/>
      <c r="T764" s="49"/>
      <c r="U764" s="49"/>
      <c r="V764" s="49"/>
      <c r="W764" s="49"/>
      <c r="X764" s="49"/>
      <c r="Y764" s="49"/>
      <c r="Z764" s="49"/>
    </row>
    <row r="765">
      <c r="A765" s="49" t="str">
        <f>IFERROR(__xludf.DUMMYFUNCTION("""COMPUTED_VALUE"""),"Plunderbuss")</f>
        <v>Plunderbuss</v>
      </c>
      <c r="B765" s="49"/>
      <c r="C765" s="49" t="str">
        <f>IFERROR(__xludf.DUMMYFUNCTION("""COMPUTED_VALUE"""),"Firearm")</f>
        <v>Firearm</v>
      </c>
      <c r="D765" s="49" t="str">
        <f>IFERROR(__xludf.DUMMYFUNCTION("""COMPUTED_VALUE"""),"Hand")</f>
        <v>Hand</v>
      </c>
      <c r="E765" s="49">
        <f>IFERROR(__xludf.DUMMYFUNCTION("""COMPUTED_VALUE"""),3800.0)</f>
        <v>3800</v>
      </c>
      <c r="F765" s="49" t="str">
        <f>IFERROR(__xludf.DUMMYFUNCTION("""COMPUTED_VALUE"""),"DMG: +190000 +-Uses bullets, ++Get two of every loot drop you roll. +-Cannot be forged or duplicated")</f>
        <v>DMG: +190000 +-Uses bullets, ++Get two of every loot drop you roll. +-Cannot be forged or duplicated</v>
      </c>
      <c r="G765" s="49">
        <f>IFERROR(__xludf.DUMMYFUNCTION("""COMPUTED_VALUE"""),7.201E8)</f>
        <v>720100000</v>
      </c>
      <c r="H765" s="49"/>
      <c r="I765" s="49"/>
      <c r="J765" s="49"/>
      <c r="K765" s="49"/>
      <c r="L765" s="49"/>
      <c r="M765" s="49"/>
      <c r="N765" s="49"/>
      <c r="O765" s="49"/>
      <c r="P765" s="49"/>
      <c r="Q765" s="49"/>
      <c r="R765" s="49"/>
      <c r="S765" s="49"/>
      <c r="T765" s="49"/>
      <c r="U765" s="49"/>
      <c r="V765" s="49"/>
      <c r="W765" s="49"/>
      <c r="X765" s="49"/>
      <c r="Y765" s="49"/>
      <c r="Z765" s="49"/>
    </row>
    <row r="766">
      <c r="A766" s="49" t="str">
        <f>IFERROR(__xludf.DUMMYFUNCTION("""COMPUTED_VALUE"""),"Dragon Destroyer")</f>
        <v>Dragon Destroyer</v>
      </c>
      <c r="B766" s="49"/>
      <c r="C766" s="49" t="str">
        <f>IFERROR(__xludf.DUMMYFUNCTION("""COMPUTED_VALUE"""),"Axe")</f>
        <v>Axe</v>
      </c>
      <c r="D766" s="49" t="str">
        <f>IFERROR(__xludf.DUMMYFUNCTION("""COMPUTED_VALUE"""),"Hand")</f>
        <v>Hand</v>
      </c>
      <c r="E766" s="49">
        <f>IFERROR(__xludf.DUMMYFUNCTION("""COMPUTED_VALUE"""),6000.0)</f>
        <v>6000</v>
      </c>
      <c r="F766" s="49" t="str">
        <f>IFERROR(__xludf.DUMMYFUNCTION("""COMPUTED_VALUE"""),"DMG: +300000 ++deals unblockable damage to dragons +-Cannot be forged or duplicated")</f>
        <v>DMG: +300000 ++deals unblockable damage to dragons +-Cannot be forged or duplicated</v>
      </c>
      <c r="G766" s="49">
        <f>IFERROR(__xludf.DUMMYFUNCTION("""COMPUTED_VALUE"""),1.797E9)</f>
        <v>1797000000</v>
      </c>
      <c r="H766" s="49"/>
      <c r="I766" s="49"/>
      <c r="J766" s="49"/>
      <c r="K766" s="49"/>
      <c r="L766" s="49"/>
      <c r="M766" s="49"/>
      <c r="N766" s="49"/>
      <c r="O766" s="49"/>
      <c r="P766" s="49"/>
      <c r="Q766" s="49"/>
      <c r="R766" s="49"/>
      <c r="S766" s="49"/>
      <c r="T766" s="49"/>
      <c r="U766" s="49"/>
      <c r="V766" s="49"/>
      <c r="W766" s="49"/>
      <c r="X766" s="49"/>
      <c r="Y766" s="49"/>
      <c r="Z766" s="49"/>
    </row>
    <row r="767">
      <c r="A767" s="49" t="str">
        <f>IFERROR(__xludf.DUMMYFUNCTION("""COMPUTED_VALUE"""),"Dragonscale of Returns")</f>
        <v>Dragonscale of Returns</v>
      </c>
      <c r="B767" s="49"/>
      <c r="C767" s="49" t="str">
        <f>IFERROR(__xludf.DUMMYFUNCTION("""COMPUTED_VALUE"""),"Boomerang")</f>
        <v>Boomerang</v>
      </c>
      <c r="D767" s="49" t="str">
        <f>IFERROR(__xludf.DUMMYFUNCTION("""COMPUTED_VALUE"""),"Hand")</f>
        <v>Hand</v>
      </c>
      <c r="E767" s="49">
        <f>IFERROR(__xludf.DUMMYFUNCTION("""COMPUTED_VALUE"""),1500.0)</f>
        <v>1500</v>
      </c>
      <c r="F767" s="49" t="str">
        <f>IFERROR(__xludf.DUMMYFUNCTION("""COMPUTED_VALUE"""),"DMG: +75000 ++Receive a dragon scale when thrown at a dragon, +-Cannot be forged or duplicated")</f>
        <v>DMG: +75000 ++Receive a dragon scale when thrown at a dragon, +-Cannot be forged or duplicated</v>
      </c>
      <c r="G767" s="49">
        <f>IFERROR(__xludf.DUMMYFUNCTION("""COMPUTED_VALUE"""),1.1175E8)</f>
        <v>111750000</v>
      </c>
      <c r="H767" s="49"/>
      <c r="I767" s="49"/>
      <c r="J767" s="49"/>
      <c r="K767" s="49"/>
      <c r="L767" s="49"/>
      <c r="M767" s="49"/>
      <c r="N767" s="49"/>
      <c r="O767" s="49"/>
      <c r="P767" s="49"/>
      <c r="Q767" s="49"/>
      <c r="R767" s="49"/>
      <c r="S767" s="49"/>
      <c r="T767" s="49"/>
      <c r="U767" s="49"/>
      <c r="V767" s="49"/>
      <c r="W767" s="49"/>
      <c r="X767" s="49"/>
      <c r="Y767" s="49"/>
      <c r="Z767" s="49"/>
    </row>
    <row r="768">
      <c r="A768" s="49" t="str">
        <f>IFERROR(__xludf.DUMMYFUNCTION("""COMPUTED_VALUE"""),"Brimstone Staff")</f>
        <v>Brimstone Staff</v>
      </c>
      <c r="B768" s="49"/>
      <c r="C768" s="49" t="str">
        <f>IFERROR(__xludf.DUMMYFUNCTION("""COMPUTED_VALUE"""),"Staff")</f>
        <v>Staff</v>
      </c>
      <c r="D768" s="49" t="str">
        <f>IFERROR(__xludf.DUMMYFUNCTION("""COMPUTED_VALUE"""),"Hand")</f>
        <v>Hand</v>
      </c>
      <c r="E768" s="49">
        <f>IFERROR(__xludf.DUMMYFUNCTION("""COMPUTED_VALUE"""),4600.0)</f>
        <v>4600</v>
      </c>
      <c r="F768" s="49" t="str">
        <f>IFERROR(__xludf.DUMMYFUNCTION("""COMPUTED_VALUE"""),", Fire DMG: +230000 ++Fire spells cost half SP, +-Cannot be forged or duplicated")</f>
        <v>, Fire DMG: +230000 ++Fire spells cost half SP, +-Cannot be forged or duplicated</v>
      </c>
      <c r="G768" s="49">
        <f>IFERROR(__xludf.DUMMYFUNCTION("""COMPUTED_VALUE"""),1.0557E9)</f>
        <v>1055700000</v>
      </c>
      <c r="H768" s="49"/>
      <c r="I768" s="49"/>
      <c r="J768" s="49"/>
      <c r="K768" s="49"/>
      <c r="L768" s="49"/>
      <c r="M768" s="49"/>
      <c r="N768" s="49"/>
      <c r="O768" s="49"/>
      <c r="P768" s="49"/>
      <c r="Q768" s="49"/>
      <c r="R768" s="49"/>
      <c r="S768" s="49"/>
      <c r="T768" s="49"/>
      <c r="U768" s="49"/>
      <c r="V768" s="49"/>
      <c r="W768" s="49"/>
      <c r="X768" s="49"/>
      <c r="Y768" s="49"/>
      <c r="Z768" s="49"/>
    </row>
    <row r="769">
      <c r="A769" s="49" t="str">
        <f>IFERROR(__xludf.DUMMYFUNCTION("""COMPUTED_VALUE"""),"Eternal Ember")</f>
        <v>Eternal Ember</v>
      </c>
      <c r="B769" s="49"/>
      <c r="C769" s="49" t="str">
        <f>IFERROR(__xludf.DUMMYFUNCTION("""COMPUTED_VALUE"""),"Item")</f>
        <v>Item</v>
      </c>
      <c r="D769" s="49" t="str">
        <f>IFERROR(__xludf.DUMMYFUNCTION("""COMPUTED_VALUE"""),"Neck")</f>
        <v>Neck</v>
      </c>
      <c r="E769" s="49">
        <f>IFERROR(__xludf.DUMMYFUNCTION("""COMPUTED_VALUE"""),3000.0)</f>
        <v>3000</v>
      </c>
      <c r="F769" s="49"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49">
        <f>IFERROR(__xludf.DUMMYFUNCTION("""COMPUTED_VALUE"""),4.485E8)</f>
        <v>448500000</v>
      </c>
      <c r="H769" s="49"/>
      <c r="I769" s="49"/>
      <c r="J769" s="49"/>
      <c r="K769" s="49"/>
      <c r="L769" s="49"/>
      <c r="M769" s="49"/>
      <c r="N769" s="49"/>
      <c r="O769" s="49"/>
      <c r="P769" s="49"/>
      <c r="Q769" s="49"/>
      <c r="R769" s="49"/>
      <c r="S769" s="49"/>
      <c r="T769" s="49"/>
      <c r="U769" s="49"/>
      <c r="V769" s="49"/>
      <c r="W769" s="49"/>
      <c r="X769" s="49"/>
      <c r="Y769" s="49"/>
      <c r="Z769" s="49"/>
    </row>
    <row r="770">
      <c r="A770" s="49" t="str">
        <f>IFERROR(__xludf.DUMMYFUNCTION("""COMPUTED_VALUE"""),"Crystal Blood")</f>
        <v>Crystal Blood</v>
      </c>
      <c r="B770" s="49"/>
      <c r="C770" s="49" t="str">
        <f>IFERROR(__xludf.DUMMYFUNCTION("""COMPUTED_VALUE"""),"Item")</f>
        <v>Item</v>
      </c>
      <c r="D770" s="49" t="str">
        <f>IFERROR(__xludf.DUMMYFUNCTION("""COMPUTED_VALUE"""),"Neck")</f>
        <v>Neck</v>
      </c>
      <c r="E770" s="49">
        <f>IFERROR(__xludf.DUMMYFUNCTION("""COMPUTED_VALUE"""),1.0)</f>
        <v>1</v>
      </c>
      <c r="F770" s="49" t="str">
        <f>IFERROR(__xludf.DUMMYFUNCTION("""COMPUTED_VALUE""")," ++Wearer's first non-XHP cost blood spell of the battle has no HP cost , +-Cannot be forged or duplicated")</f>
        <v> ++Wearer's first non-XHP cost blood spell of the battle has no HP cost , +-Cannot be forged or duplicated</v>
      </c>
      <c r="G770" s="49">
        <f>IFERROR(__xludf.DUMMYFUNCTION("""COMPUTED_VALUE"""),0.0)</f>
        <v>0</v>
      </c>
      <c r="H770" s="49"/>
      <c r="I770" s="49"/>
      <c r="J770" s="49"/>
      <c r="K770" s="49"/>
      <c r="L770" s="49"/>
      <c r="M770" s="49"/>
      <c r="N770" s="49"/>
      <c r="O770" s="49"/>
      <c r="P770" s="49"/>
      <c r="Q770" s="49"/>
      <c r="R770" s="49"/>
      <c r="S770" s="49"/>
      <c r="T770" s="49"/>
      <c r="U770" s="49"/>
      <c r="V770" s="49"/>
      <c r="W770" s="49"/>
      <c r="X770" s="49"/>
      <c r="Y770" s="49"/>
      <c r="Z770" s="49"/>
    </row>
    <row r="771">
      <c r="A771" s="49" t="str">
        <f>IFERROR(__xludf.DUMMYFUNCTION("""COMPUTED_VALUE"""),"Ultimate Gamble")</f>
        <v>Ultimate Gamble</v>
      </c>
      <c r="B771" s="49"/>
      <c r="C771" s="49" t="str">
        <f>IFERROR(__xludf.DUMMYFUNCTION("""COMPUTED_VALUE"""),"Sword")</f>
        <v>Sword</v>
      </c>
      <c r="D771" s="49" t="str">
        <f>IFERROR(__xludf.DUMMYFUNCTION("""COMPUTED_VALUE"""),"Hand")</f>
        <v>Hand</v>
      </c>
      <c r="E771" s="49">
        <f>IFERROR(__xludf.DUMMYFUNCTION("""COMPUTED_VALUE"""),12000.0)</f>
        <v>12000</v>
      </c>
      <c r="F771" s="49"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49">
        <f>IFERROR(__xludf.DUMMYFUNCTION("""COMPUTED_VALUE"""),7.194E9)</f>
        <v>7194000000</v>
      </c>
      <c r="H771" s="49"/>
      <c r="I771" s="49"/>
      <c r="J771" s="49"/>
      <c r="K771" s="49"/>
      <c r="L771" s="49"/>
      <c r="M771" s="49"/>
      <c r="N771" s="49"/>
      <c r="O771" s="49"/>
      <c r="P771" s="49"/>
      <c r="Q771" s="49"/>
      <c r="R771" s="49"/>
      <c r="S771" s="49"/>
      <c r="T771" s="49"/>
      <c r="U771" s="49"/>
      <c r="V771" s="49"/>
      <c r="W771" s="49"/>
      <c r="X771" s="49"/>
      <c r="Y771" s="49"/>
      <c r="Z771" s="49"/>
    </row>
    <row r="772">
      <c r="A772" s="49" t="str">
        <f>IFERROR(__xludf.DUMMYFUNCTION("""COMPUTED_VALUE"""),"Awakened Evil")</f>
        <v>Awakened Evil</v>
      </c>
      <c r="B772" s="49"/>
      <c r="C772" s="49" t="str">
        <f>IFERROR(__xludf.DUMMYFUNCTION("""COMPUTED_VALUE"""),"Claw")</f>
        <v>Claw</v>
      </c>
      <c r="D772" s="49" t="str">
        <f>IFERROR(__xludf.DUMMYFUNCTION("""COMPUTED_VALUE"""),"Hand")</f>
        <v>Hand</v>
      </c>
      <c r="E772" s="49">
        <f>IFERROR(__xludf.DUMMYFUNCTION("""COMPUTED_VALUE"""),9000.0)</f>
        <v>9000</v>
      </c>
      <c r="F772" s="49" t="str">
        <f>IFERROR(__xludf.DUMMYFUNCTION("""COMPUTED_VALUE"""),"DMG: +450000")</f>
        <v>DMG: +450000</v>
      </c>
      <c r="G772" s="49">
        <f>IFERROR(__xludf.DUMMYFUNCTION("""COMPUTED_VALUE"""),4.0455E9)</f>
        <v>4045500000</v>
      </c>
      <c r="H772" s="49"/>
      <c r="I772" s="49"/>
      <c r="J772" s="49"/>
      <c r="K772" s="49"/>
      <c r="L772" s="49"/>
      <c r="M772" s="49"/>
      <c r="N772" s="49"/>
      <c r="O772" s="49"/>
      <c r="P772" s="49"/>
      <c r="Q772" s="49"/>
      <c r="R772" s="49"/>
      <c r="S772" s="49"/>
      <c r="T772" s="49"/>
      <c r="U772" s="49"/>
      <c r="V772" s="49"/>
      <c r="W772" s="49"/>
      <c r="X772" s="49"/>
      <c r="Y772" s="49"/>
      <c r="Z772" s="49"/>
    </row>
    <row r="773">
      <c r="A773" s="49" t="str">
        <f>IFERROR(__xludf.DUMMYFUNCTION("""COMPUTED_VALUE"""),"Soldier's Charge")</f>
        <v>Soldier's Charge</v>
      </c>
      <c r="B773" s="49"/>
      <c r="C773" s="49" t="str">
        <f>IFERROR(__xludf.DUMMYFUNCTION("""COMPUTED_VALUE"""),"Firearm")</f>
        <v>Firearm</v>
      </c>
      <c r="D773" s="49" t="str">
        <f>IFERROR(__xludf.DUMMYFUNCTION("""COMPUTED_VALUE"""),"Hand")</f>
        <v>Hand</v>
      </c>
      <c r="E773" s="49">
        <f>IFERROR(__xludf.DUMMYFUNCTION("""COMPUTED_VALUE"""),4400.0)</f>
        <v>4400</v>
      </c>
      <c r="F773" s="49" t="str">
        <f>IFERROR(__xludf.DUMMYFUNCTION("""COMPUTED_VALUE"""),"DMG: +60000, Fire DMG: +60000, Spirit DMG: +100000")</f>
        <v>DMG: +60000, Fire DMG: +60000, Spirit DMG: +100000</v>
      </c>
      <c r="G773" s="49">
        <f>IFERROR(__xludf.DUMMYFUNCTION("""COMPUTED_VALUE"""),9.658E8)</f>
        <v>965800000</v>
      </c>
      <c r="H773" s="49"/>
      <c r="I773" s="49"/>
      <c r="J773" s="49"/>
      <c r="K773" s="49"/>
      <c r="L773" s="49"/>
      <c r="M773" s="49"/>
      <c r="N773" s="49"/>
      <c r="O773" s="49"/>
      <c r="P773" s="49"/>
      <c r="Q773" s="49"/>
      <c r="R773" s="49"/>
      <c r="S773" s="49"/>
      <c r="T773" s="49"/>
      <c r="U773" s="49"/>
      <c r="V773" s="49"/>
      <c r="W773" s="49"/>
      <c r="X773" s="49"/>
      <c r="Y773" s="49"/>
      <c r="Z773" s="49"/>
    </row>
    <row r="774">
      <c r="A774" s="49" t="str">
        <f>IFERROR(__xludf.DUMMYFUNCTION("""COMPUTED_VALUE"""),"Weight of Sin")</f>
        <v>Weight of Sin</v>
      </c>
      <c r="B774" s="49"/>
      <c r="C774" s="49" t="str">
        <f>IFERROR(__xludf.DUMMYFUNCTION("""COMPUTED_VALUE"""),"Item")</f>
        <v>Item</v>
      </c>
      <c r="D774" s="49" t="str">
        <f>IFERROR(__xludf.DUMMYFUNCTION("""COMPUTED_VALUE"""),"Torso")</f>
        <v>Torso</v>
      </c>
      <c r="E774" s="49">
        <f>IFERROR(__xludf.DUMMYFUNCTION("""COMPUTED_VALUE"""),11200.0)</f>
        <v>11200</v>
      </c>
      <c r="F774" s="49" t="str">
        <f>IFERROR(__xludf.DUMMYFUNCTION("""COMPUTED_VALUE"""),"DEF: +560000 +-Always go last in turn order, +-Cannot be removed")</f>
        <v>DEF: +560000 +-Always go last in turn order, +-Cannot be removed</v>
      </c>
      <c r="G774" s="49">
        <f>IFERROR(__xludf.DUMMYFUNCTION("""COMPUTED_VALUE"""),6.2664E9)</f>
        <v>6266400000</v>
      </c>
      <c r="H774" s="49"/>
      <c r="I774" s="49"/>
      <c r="J774" s="49"/>
      <c r="K774" s="49"/>
      <c r="L774" s="49"/>
      <c r="M774" s="49"/>
      <c r="N774" s="49"/>
      <c r="O774" s="49"/>
      <c r="P774" s="49"/>
      <c r="Q774" s="49"/>
      <c r="R774" s="49"/>
      <c r="S774" s="49"/>
      <c r="T774" s="49"/>
      <c r="U774" s="49"/>
      <c r="V774" s="49"/>
      <c r="W774" s="49"/>
      <c r="X774" s="49"/>
      <c r="Y774" s="49"/>
      <c r="Z774" s="49"/>
    </row>
    <row r="775">
      <c r="A775" s="49" t="str">
        <f>IFERROR(__xludf.DUMMYFUNCTION("""COMPUTED_VALUE"""),"Volcano's Summit")</f>
        <v>Volcano's Summit</v>
      </c>
      <c r="B775" s="49"/>
      <c r="C775" s="49" t="str">
        <f>IFERROR(__xludf.DUMMYFUNCTION("""COMPUTED_VALUE"""),"Item")</f>
        <v>Item</v>
      </c>
      <c r="D775" s="49" t="str">
        <f>IFERROR(__xludf.DUMMYFUNCTION("""COMPUTED_VALUE"""),"Head")</f>
        <v>Head</v>
      </c>
      <c r="E775" s="49">
        <f>IFERROR(__xludf.DUMMYFUNCTION("""COMPUTED_VALUE"""),4000.0)</f>
        <v>4000</v>
      </c>
      <c r="F775" s="49" t="str">
        <f>IFERROR(__xludf.DUMMYFUNCTION("""COMPUTED_VALUE"""),", Fire DEF: +200000 ++X2 Fire damage")</f>
        <v>, Fire DEF: +200000 ++X2 Fire damage</v>
      </c>
      <c r="G775" s="49">
        <f>IFERROR(__xludf.DUMMYFUNCTION("""COMPUTED_VALUE"""),7.98E8)</f>
        <v>798000000</v>
      </c>
      <c r="H775" s="49"/>
      <c r="I775" s="49"/>
      <c r="J775" s="49"/>
      <c r="K775" s="49"/>
      <c r="L775" s="49"/>
      <c r="M775" s="49"/>
      <c r="N775" s="49"/>
      <c r="O775" s="49"/>
      <c r="P775" s="49"/>
      <c r="Q775" s="49"/>
      <c r="R775" s="49"/>
      <c r="S775" s="49"/>
      <c r="T775" s="49"/>
      <c r="U775" s="49"/>
      <c r="V775" s="49"/>
      <c r="W775" s="49"/>
      <c r="X775" s="49"/>
      <c r="Y775" s="49"/>
      <c r="Z775" s="49"/>
    </row>
    <row r="776">
      <c r="A776" s="49" t="str">
        <f>IFERROR(__xludf.DUMMYFUNCTION("""COMPUTED_VALUE"""),"Long Distance Loveletter")</f>
        <v>Long Distance Loveletter</v>
      </c>
      <c r="B776" s="49"/>
      <c r="C776" s="49" t="str">
        <f>IFERROR(__xludf.DUMMYFUNCTION("""COMPUTED_VALUE"""),"Firearm")</f>
        <v>Firearm</v>
      </c>
      <c r="D776" s="49" t="str">
        <f>IFERROR(__xludf.DUMMYFUNCTION("""COMPUTED_VALUE"""),"Hand")</f>
        <v>Hand</v>
      </c>
      <c r="E776" s="49">
        <f>IFERROR(__xludf.DUMMYFUNCTION("""COMPUTED_VALUE"""),12000.0)</f>
        <v>12000</v>
      </c>
      <c r="F776" s="49" t="str">
        <f>IFERROR(__xludf.DUMMYFUNCTION("""COMPUTED_VALUE"""),"DMG: +600000 ++10% chance for 1 enemy to become an ally at the beginning of battle.")</f>
        <v>DMG: +600000 ++10% chance for 1 enemy to become an ally at the beginning of battle.</v>
      </c>
      <c r="G776" s="49">
        <f>IFERROR(__xludf.DUMMYFUNCTION("""COMPUTED_VALUE"""),7.194E9)</f>
        <v>7194000000</v>
      </c>
      <c r="H776" s="49"/>
      <c r="I776" s="49"/>
      <c r="J776" s="49"/>
      <c r="K776" s="49"/>
      <c r="L776" s="49"/>
      <c r="M776" s="49"/>
      <c r="N776" s="49"/>
      <c r="O776" s="49"/>
      <c r="P776" s="49"/>
      <c r="Q776" s="49"/>
      <c r="R776" s="49"/>
      <c r="S776" s="49"/>
      <c r="T776" s="49"/>
      <c r="U776" s="49"/>
      <c r="V776" s="49"/>
      <c r="W776" s="49"/>
      <c r="X776" s="49"/>
      <c r="Y776" s="49"/>
      <c r="Z776" s="49"/>
    </row>
    <row r="777">
      <c r="A777" s="49" t="str">
        <f>IFERROR(__xludf.DUMMYFUNCTION("""COMPUTED_VALUE"""),"Cursed Child's Hatchet")</f>
        <v>Cursed Child's Hatchet</v>
      </c>
      <c r="B777" s="49"/>
      <c r="C777" s="49" t="str">
        <f>IFERROR(__xludf.DUMMYFUNCTION("""COMPUTED_VALUE"""),"Axe")</f>
        <v>Axe</v>
      </c>
      <c r="D777" s="49" t="str">
        <f>IFERROR(__xludf.DUMMYFUNCTION("""COMPUTED_VALUE"""),"Hand")</f>
        <v>Hand</v>
      </c>
      <c r="E777" s="49">
        <f>IFERROR(__xludf.DUMMYFUNCTION("""COMPUTED_VALUE"""),3000.0)</f>
        <v>3000</v>
      </c>
      <c r="F777" s="49" t="str">
        <f>IFERROR(__xludf.DUMMYFUNCTION("""COMPUTED_VALUE"""),"DMG: +150000 +- 15% chance of attacking a random ally")</f>
        <v>DMG: +150000 +- 15% chance of attacking a random ally</v>
      </c>
      <c r="G777" s="49">
        <f>IFERROR(__xludf.DUMMYFUNCTION("""COMPUTED_VALUE"""),4.485E8)</f>
        <v>448500000</v>
      </c>
      <c r="H777" s="49"/>
      <c r="I777" s="49"/>
      <c r="J777" s="49"/>
      <c r="K777" s="49"/>
      <c r="L777" s="49"/>
      <c r="M777" s="49"/>
      <c r="N777" s="49"/>
      <c r="O777" s="49"/>
      <c r="P777" s="49"/>
      <c r="Q777" s="49"/>
      <c r="R777" s="49"/>
      <c r="S777" s="49"/>
      <c r="T777" s="49"/>
      <c r="U777" s="49"/>
      <c r="V777" s="49"/>
      <c r="W777" s="49"/>
      <c r="X777" s="49"/>
      <c r="Y777" s="49"/>
      <c r="Z777" s="49"/>
    </row>
    <row r="778">
      <c r="A778" s="49" t="str">
        <f>IFERROR(__xludf.DUMMYFUNCTION("""COMPUTED_VALUE"""),"Helm of Lost Hope")</f>
        <v>Helm of Lost Hope</v>
      </c>
      <c r="B778" s="49"/>
      <c r="C778" s="49" t="str">
        <f>IFERROR(__xludf.DUMMYFUNCTION("""COMPUTED_VALUE"""),"Item")</f>
        <v>Item</v>
      </c>
      <c r="D778" s="49" t="str">
        <f>IFERROR(__xludf.DUMMYFUNCTION("""COMPUTED_VALUE"""),"Head")</f>
        <v>Head</v>
      </c>
      <c r="E778" s="49">
        <f>IFERROR(__xludf.DUMMYFUNCTION("""COMPUTED_VALUE"""),6800.0)</f>
        <v>6800</v>
      </c>
      <c r="F778" s="49" t="str">
        <f>IFERROR(__xludf.DUMMYFUNCTION("""COMPUTED_VALUE"""),"DEF: +340000")</f>
        <v>DEF: +340000</v>
      </c>
      <c r="G778" s="49">
        <f>IFERROR(__xludf.DUMMYFUNCTION("""COMPUTED_VALUE"""),2.3086E9)</f>
        <v>2308600000</v>
      </c>
      <c r="H778" s="49"/>
      <c r="I778" s="49"/>
      <c r="J778" s="49"/>
      <c r="K778" s="49"/>
      <c r="L778" s="49"/>
      <c r="M778" s="49"/>
      <c r="N778" s="49"/>
      <c r="O778" s="49"/>
      <c r="P778" s="49"/>
      <c r="Q778" s="49"/>
      <c r="R778" s="49"/>
      <c r="S778" s="49"/>
      <c r="T778" s="49"/>
      <c r="U778" s="49"/>
      <c r="V778" s="49"/>
      <c r="W778" s="49"/>
      <c r="X778" s="49"/>
      <c r="Y778" s="49"/>
      <c r="Z778" s="49"/>
    </row>
    <row r="779">
      <c r="A779" s="49" t="str">
        <f>IFERROR(__xludf.DUMMYFUNCTION("""COMPUTED_VALUE"""),"Cursed Shield")</f>
        <v>Cursed Shield</v>
      </c>
      <c r="B779" s="49"/>
      <c r="C779" s="49" t="str">
        <f>IFERROR(__xludf.DUMMYFUNCTION("""COMPUTED_VALUE"""),"Towershield")</f>
        <v>Towershield</v>
      </c>
      <c r="D779" s="49" t="str">
        <f>IFERROR(__xludf.DUMMYFUNCTION("""COMPUTED_VALUE"""),"Hand")</f>
        <v>Hand</v>
      </c>
      <c r="E779" s="49">
        <f>IFERROR(__xludf.DUMMYFUNCTION("""COMPUTED_VALUE"""),3200.0)</f>
        <v>3200</v>
      </c>
      <c r="F779" s="49" t="str">
        <f>IFERROR(__xludf.DUMMYFUNCTION("""COMPUTED_VALUE"""),"DEF: +160000 +-Unequipping destroys the item")</f>
        <v>DEF: +160000 +-Unequipping destroys the item</v>
      </c>
      <c r="G779" s="49">
        <f>IFERROR(__xludf.DUMMYFUNCTION("""COMPUTED_VALUE"""),5.104E8)</f>
        <v>510400000</v>
      </c>
      <c r="H779" s="49"/>
      <c r="I779" s="49"/>
      <c r="J779" s="49"/>
      <c r="K779" s="49"/>
      <c r="L779" s="49"/>
      <c r="M779" s="49"/>
      <c r="N779" s="49"/>
      <c r="O779" s="49"/>
      <c r="P779" s="49"/>
      <c r="Q779" s="49"/>
      <c r="R779" s="49"/>
      <c r="S779" s="49"/>
      <c r="T779" s="49"/>
      <c r="U779" s="49"/>
      <c r="V779" s="49"/>
      <c r="W779" s="49"/>
      <c r="X779" s="49"/>
      <c r="Y779" s="49"/>
      <c r="Z779" s="49"/>
    </row>
    <row r="780">
      <c r="A780" s="49" t="str">
        <f>IFERROR(__xludf.DUMMYFUNCTION("""COMPUTED_VALUE"""),"Dragonscale Buckler")</f>
        <v>Dragonscale Buckler</v>
      </c>
      <c r="B780" s="49"/>
      <c r="C780" s="49" t="str">
        <f>IFERROR(__xludf.DUMMYFUNCTION("""COMPUTED_VALUE"""),"Buckler")</f>
        <v>Buckler</v>
      </c>
      <c r="D780" s="49" t="str">
        <f>IFERROR(__xludf.DUMMYFUNCTION("""COMPUTED_VALUE"""),"Hand")</f>
        <v>Hand</v>
      </c>
      <c r="E780" s="49">
        <f>IFERROR(__xludf.DUMMYFUNCTION("""COMPUTED_VALUE"""),2140.0)</f>
        <v>2140</v>
      </c>
      <c r="F780" s="49" t="str">
        <f>IFERROR(__xludf.DUMMYFUNCTION("""COMPUTED_VALUE"""),"DEF: +107000")</f>
        <v>DEF: +107000</v>
      </c>
      <c r="G780" s="49">
        <f>IFERROR(__xludf.DUMMYFUNCTION("""COMPUTED_VALUE"""),2.2791E8)</f>
        <v>227910000</v>
      </c>
      <c r="H780" s="49"/>
      <c r="I780" s="49"/>
      <c r="J780" s="49"/>
      <c r="K780" s="49"/>
      <c r="L780" s="49"/>
      <c r="M780" s="49"/>
      <c r="N780" s="49"/>
      <c r="O780" s="49"/>
      <c r="P780" s="49"/>
      <c r="Q780" s="49"/>
      <c r="R780" s="49"/>
      <c r="S780" s="49"/>
      <c r="T780" s="49"/>
      <c r="U780" s="49"/>
      <c r="V780" s="49"/>
      <c r="W780" s="49"/>
      <c r="X780" s="49"/>
      <c r="Y780" s="49"/>
      <c r="Z780" s="49"/>
    </row>
    <row r="781">
      <c r="A781" s="49" t="str">
        <f>IFERROR(__xludf.DUMMYFUNCTION("""COMPUTED_VALUE"""),"Magma Trident")</f>
        <v>Magma Trident</v>
      </c>
      <c r="B781" s="49"/>
      <c r="C781" s="49" t="str">
        <f>IFERROR(__xludf.DUMMYFUNCTION("""COMPUTED_VALUE"""),"Spear")</f>
        <v>Spear</v>
      </c>
      <c r="D781" s="49" t="str">
        <f>IFERROR(__xludf.DUMMYFUNCTION("""COMPUTED_VALUE"""),"Hand")</f>
        <v>Hand</v>
      </c>
      <c r="E781" s="49">
        <f>IFERROR(__xludf.DUMMYFUNCTION("""COMPUTED_VALUE"""),4000.0)</f>
        <v>4000</v>
      </c>
      <c r="F781" s="49" t="str">
        <f>IFERROR(__xludf.DUMMYFUNCTION("""COMPUTED_VALUE"""),"DMG: +100000, Fire DMG: +100000")</f>
        <v>DMG: +100000, Fire DMG: +100000</v>
      </c>
      <c r="G781" s="49">
        <f>IFERROR(__xludf.DUMMYFUNCTION("""COMPUTED_VALUE"""),7.98E8)</f>
        <v>798000000</v>
      </c>
      <c r="H781" s="49"/>
      <c r="I781" s="49"/>
      <c r="J781" s="49"/>
      <c r="K781" s="49"/>
      <c r="L781" s="49"/>
      <c r="M781" s="49"/>
      <c r="N781" s="49"/>
      <c r="O781" s="49"/>
      <c r="P781" s="49"/>
      <c r="Q781" s="49"/>
      <c r="R781" s="49"/>
      <c r="S781" s="49"/>
      <c r="T781" s="49"/>
      <c r="U781" s="49"/>
      <c r="V781" s="49"/>
      <c r="W781" s="49"/>
      <c r="X781" s="49"/>
      <c r="Y781" s="49"/>
      <c r="Z781" s="49"/>
    </row>
    <row r="782">
      <c r="A782" s="49" t="str">
        <f>IFERROR(__xludf.DUMMYFUNCTION("""COMPUTED_VALUE"""),"Bonemerang")</f>
        <v>Bonemerang</v>
      </c>
      <c r="B782" s="49"/>
      <c r="C782" s="49" t="str">
        <f>IFERROR(__xludf.DUMMYFUNCTION("""COMPUTED_VALUE"""),"Boomerang")</f>
        <v>Boomerang</v>
      </c>
      <c r="D782" s="49" t="str">
        <f>IFERROR(__xludf.DUMMYFUNCTION("""COMPUTED_VALUE"""),"Hand")</f>
        <v>Hand</v>
      </c>
      <c r="E782" s="49">
        <f>IFERROR(__xludf.DUMMYFUNCTION("""COMPUTED_VALUE"""),5200.0)</f>
        <v>5200</v>
      </c>
      <c r="F782" s="49" t="str">
        <f>IFERROR(__xludf.DUMMYFUNCTION("""COMPUTED_VALUE"""),"DMG: +250000, Chaos DMG: +10000")</f>
        <v>DMG: +250000, Chaos DMG: +10000</v>
      </c>
      <c r="G782" s="49">
        <f>IFERROR(__xludf.DUMMYFUNCTION("""COMPUTED_VALUE"""),1.3494E9)</f>
        <v>1349400000</v>
      </c>
      <c r="H782" s="49"/>
      <c r="I782" s="49"/>
      <c r="J782" s="49"/>
      <c r="K782" s="49"/>
      <c r="L782" s="49"/>
      <c r="M782" s="49"/>
      <c r="N782" s="49"/>
      <c r="O782" s="49"/>
      <c r="P782" s="49"/>
      <c r="Q782" s="49"/>
      <c r="R782" s="49"/>
      <c r="S782" s="49"/>
      <c r="T782" s="49"/>
      <c r="U782" s="49"/>
      <c r="V782" s="49"/>
      <c r="W782" s="49"/>
      <c r="X782" s="49"/>
      <c r="Y782" s="49"/>
      <c r="Z782" s="49"/>
    </row>
    <row r="783">
      <c r="A783" s="49" t="str">
        <f>IFERROR(__xludf.DUMMYFUNCTION("""COMPUTED_VALUE"""),"Blamerang")</f>
        <v>Blamerang</v>
      </c>
      <c r="B783" s="49"/>
      <c r="C783" s="49" t="str">
        <f>IFERROR(__xludf.DUMMYFUNCTION("""COMPUTED_VALUE"""),"Boomerang")</f>
        <v>Boomerang</v>
      </c>
      <c r="D783" s="49" t="str">
        <f>IFERROR(__xludf.DUMMYFUNCTION("""COMPUTED_VALUE"""),"Hand")</f>
        <v>Hand</v>
      </c>
      <c r="E783" s="49">
        <f>IFERROR(__xludf.DUMMYFUNCTION("""COMPUTED_VALUE"""),4400.0)</f>
        <v>4400</v>
      </c>
      <c r="F783" s="49" t="str">
        <f>IFERROR(__xludf.DUMMYFUNCTION("""COMPUTED_VALUE"""),"DMG: +20000, Fire DMG: +200000 ++Explodes when thrown at an enemy, hitting other enemies")</f>
        <v>DMG: +20000, Fire DMG: +200000 ++Explodes when thrown at an enemy, hitting other enemies</v>
      </c>
      <c r="G783" s="49">
        <f>IFERROR(__xludf.DUMMYFUNCTION("""COMPUTED_VALUE"""),9.658E8)</f>
        <v>965800000</v>
      </c>
      <c r="H783" s="49"/>
      <c r="I783" s="49"/>
      <c r="J783" s="49"/>
      <c r="K783" s="49"/>
      <c r="L783" s="49"/>
      <c r="M783" s="49"/>
      <c r="N783" s="49"/>
      <c r="O783" s="49"/>
      <c r="P783" s="49"/>
      <c r="Q783" s="49"/>
      <c r="R783" s="49"/>
      <c r="S783" s="49"/>
      <c r="T783" s="49"/>
      <c r="U783" s="49"/>
      <c r="V783" s="49"/>
      <c r="W783" s="49"/>
      <c r="X783" s="49"/>
      <c r="Y783" s="49"/>
      <c r="Z783" s="49"/>
    </row>
    <row r="784">
      <c r="A784" s="49" t="str">
        <f>IFERROR(__xludf.DUMMYFUNCTION("""COMPUTED_VALUE"""),"Condemned Bow")</f>
        <v>Condemned Bow</v>
      </c>
      <c r="B784" s="49"/>
      <c r="C784" s="49" t="str">
        <f>IFERROR(__xludf.DUMMYFUNCTION("""COMPUTED_VALUE"""),"Bow")</f>
        <v>Bow</v>
      </c>
      <c r="D784" s="49" t="str">
        <f>IFERROR(__xludf.DUMMYFUNCTION("""COMPUTED_VALUE"""),"Hand")</f>
        <v>Hand</v>
      </c>
      <c r="E784" s="49">
        <f>IFERROR(__xludf.DUMMYFUNCTION("""COMPUTED_VALUE"""),6000.0)</f>
        <v>6000</v>
      </c>
      <c r="F784" s="49" t="str">
        <f>IFERROR(__xludf.DUMMYFUNCTION("""COMPUTED_VALUE"""),"DMG: +300000 +-5% chance for the DM to take control of your turn")</f>
        <v>DMG: +300000 +-5% chance for the DM to take control of your turn</v>
      </c>
      <c r="G784" s="49">
        <f>IFERROR(__xludf.DUMMYFUNCTION("""COMPUTED_VALUE"""),1.797E9)</f>
        <v>1797000000</v>
      </c>
      <c r="H784" s="49"/>
      <c r="I784" s="49"/>
      <c r="J784" s="49"/>
      <c r="K784" s="49"/>
      <c r="L784" s="49"/>
      <c r="M784" s="49"/>
      <c r="N784" s="49"/>
      <c r="O784" s="49"/>
      <c r="P784" s="49"/>
      <c r="Q784" s="49"/>
      <c r="R784" s="49"/>
      <c r="S784" s="49"/>
      <c r="T784" s="49"/>
      <c r="U784" s="49"/>
      <c r="V784" s="49"/>
      <c r="W784" s="49"/>
      <c r="X784" s="49"/>
      <c r="Y784" s="49"/>
      <c r="Z784" s="49"/>
    </row>
    <row r="785">
      <c r="A785" s="49" t="str">
        <f>IFERROR(__xludf.DUMMYFUNCTION("""COMPUTED_VALUE"""),"Ancient Blacksmith's Soul In A Bottle")</f>
        <v>Ancient Blacksmith's Soul In A Bottle</v>
      </c>
      <c r="B785" s="49"/>
      <c r="C785" s="49" t="str">
        <f>IFERROR(__xludf.DUMMYFUNCTION("""COMPUTED_VALUE"""),"Item")</f>
        <v>Item</v>
      </c>
      <c r="D785" s="49" t="str">
        <f>IFERROR(__xludf.DUMMYFUNCTION("""COMPUTED_VALUE"""),"Neck")</f>
        <v>Neck</v>
      </c>
      <c r="E785" s="49">
        <f>IFERROR(__xludf.DUMMYFUNCTION("""COMPUTED_VALUE"""),1.0)</f>
        <v>1</v>
      </c>
      <c r="F785" s="49"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49">
        <f>IFERROR(__xludf.DUMMYFUNCTION("""COMPUTED_VALUE"""),0.0)</f>
        <v>0</v>
      </c>
      <c r="H785" s="49"/>
      <c r="I785" s="49"/>
      <c r="J785" s="49"/>
      <c r="K785" s="49"/>
      <c r="L785" s="49"/>
      <c r="M785" s="49"/>
      <c r="N785" s="49"/>
      <c r="O785" s="49"/>
      <c r="P785" s="49"/>
      <c r="Q785" s="49"/>
      <c r="R785" s="49"/>
      <c r="S785" s="49"/>
      <c r="T785" s="49"/>
      <c r="U785" s="49"/>
      <c r="V785" s="49"/>
      <c r="W785" s="49"/>
      <c r="X785" s="49"/>
      <c r="Y785" s="49"/>
      <c r="Z785" s="49"/>
    </row>
    <row r="786">
      <c r="A786" s="49" t="str">
        <f>IFERROR(__xludf.DUMMYFUNCTION("""COMPUTED_VALUE"""),"Ancient Breeder's Soul In A Bottle")</f>
        <v>Ancient Breeder's Soul In A Bottle</v>
      </c>
      <c r="B786" s="49"/>
      <c r="C786" s="49" t="str">
        <f>IFERROR(__xludf.DUMMYFUNCTION("""COMPUTED_VALUE"""),"Item")</f>
        <v>Item</v>
      </c>
      <c r="D786" s="49" t="str">
        <f>IFERROR(__xludf.DUMMYFUNCTION("""COMPUTED_VALUE"""),"Neck")</f>
        <v>Neck</v>
      </c>
      <c r="E786" s="49">
        <f>IFERROR(__xludf.DUMMYFUNCTION("""COMPUTED_VALUE"""),1.0)</f>
        <v>1</v>
      </c>
      <c r="F786" s="49" t="str">
        <f>IFERROR(__xludf.DUMMYFUNCTION("""COMPUTED_VALUE""")," ++All creatures hatched from an egg deal X5 damage of all types.")</f>
        <v> ++All creatures hatched from an egg deal X5 damage of all types.</v>
      </c>
      <c r="G786" s="49">
        <f>IFERROR(__xludf.DUMMYFUNCTION("""COMPUTED_VALUE"""),0.0)</f>
        <v>0</v>
      </c>
      <c r="H786" s="49"/>
      <c r="I786" s="49"/>
      <c r="J786" s="49"/>
      <c r="K786" s="49"/>
      <c r="L786" s="49"/>
      <c r="M786" s="49"/>
      <c r="N786" s="49"/>
      <c r="O786" s="49"/>
      <c r="P786" s="49"/>
      <c r="Q786" s="49"/>
      <c r="R786" s="49"/>
      <c r="S786" s="49"/>
      <c r="T786" s="49"/>
      <c r="U786" s="49"/>
      <c r="V786" s="49"/>
      <c r="W786" s="49"/>
      <c r="X786" s="49"/>
      <c r="Y786" s="49"/>
      <c r="Z786" s="49"/>
    </row>
    <row r="787">
      <c r="A787" s="49" t="str">
        <f>IFERROR(__xludf.DUMMYFUNCTION("""COMPUTED_VALUE"""),"Ancient Crafter's Soul In A Bottle")</f>
        <v>Ancient Crafter's Soul In A Bottle</v>
      </c>
      <c r="B787" s="49"/>
      <c r="C787" s="49" t="str">
        <f>IFERROR(__xludf.DUMMYFUNCTION("""COMPUTED_VALUE"""),"Item")</f>
        <v>Item</v>
      </c>
      <c r="D787" s="49" t="str">
        <f>IFERROR(__xludf.DUMMYFUNCTION("""COMPUTED_VALUE"""),"Neck")</f>
        <v>Neck</v>
      </c>
      <c r="E787" s="49">
        <f>IFERROR(__xludf.DUMMYFUNCTION("""COMPUTED_VALUE"""),1.0)</f>
        <v>1</v>
      </c>
      <c r="F787" s="49" t="str">
        <f>IFERROR(__xludf.DUMMYFUNCTION("""COMPUTED_VALUE""")," ++Triples all crafting materials gathered")</f>
        <v> ++Triples all crafting materials gathered</v>
      </c>
      <c r="G787" s="49">
        <f>IFERROR(__xludf.DUMMYFUNCTION("""COMPUTED_VALUE"""),0.0)</f>
        <v>0</v>
      </c>
      <c r="H787" s="49"/>
      <c r="I787" s="49"/>
      <c r="J787" s="49"/>
      <c r="K787" s="49"/>
      <c r="L787" s="49"/>
      <c r="M787" s="49"/>
      <c r="N787" s="49"/>
      <c r="O787" s="49"/>
      <c r="P787" s="49"/>
      <c r="Q787" s="49"/>
      <c r="R787" s="49"/>
      <c r="S787" s="49"/>
      <c r="T787" s="49"/>
      <c r="U787" s="49"/>
      <c r="V787" s="49"/>
      <c r="W787" s="49"/>
      <c r="X787" s="49"/>
      <c r="Y787" s="49"/>
      <c r="Z787" s="49"/>
    </row>
    <row r="788">
      <c r="A788" s="49" t="str">
        <f>IFERROR(__xludf.DUMMYFUNCTION("""COMPUTED_VALUE"""),"Ancient Alchemist's Soul In A Bottle")</f>
        <v>Ancient Alchemist's Soul In A Bottle</v>
      </c>
      <c r="B788" s="49"/>
      <c r="C788" s="49" t="str">
        <f>IFERROR(__xludf.DUMMYFUNCTION("""COMPUTED_VALUE"""),"Item")</f>
        <v>Item</v>
      </c>
      <c r="D788" s="49" t="str">
        <f>IFERROR(__xludf.DUMMYFUNCTION("""COMPUTED_VALUE"""),"Neck")</f>
        <v>Neck</v>
      </c>
      <c r="E788" s="49">
        <f>IFERROR(__xludf.DUMMYFUNCTION("""COMPUTED_VALUE"""),1.0)</f>
        <v>1</v>
      </c>
      <c r="F788" s="49" t="str">
        <f>IFERROR(__xludf.DUMMYFUNCTION("""COMPUTED_VALUE""")," ++Doubles the effect of all herbs and potions")</f>
        <v> ++Doubles the effect of all herbs and potions</v>
      </c>
      <c r="G788" s="49">
        <f>IFERROR(__xludf.DUMMYFUNCTION("""COMPUTED_VALUE"""),0.0)</f>
        <v>0</v>
      </c>
      <c r="H788" s="49"/>
      <c r="I788" s="49"/>
      <c r="J788" s="49"/>
      <c r="K788" s="49"/>
      <c r="L788" s="49"/>
      <c r="M788" s="49"/>
      <c r="N788" s="49"/>
      <c r="O788" s="49"/>
      <c r="P788" s="49"/>
      <c r="Q788" s="49"/>
      <c r="R788" s="49"/>
      <c r="S788" s="49"/>
      <c r="T788" s="49"/>
      <c r="U788" s="49"/>
      <c r="V788" s="49"/>
      <c r="W788" s="49"/>
      <c r="X788" s="49"/>
      <c r="Y788" s="49"/>
      <c r="Z788" s="49"/>
    </row>
    <row r="789">
      <c r="A789" s="49" t="str">
        <f>IFERROR(__xludf.DUMMYFUNCTION("""COMPUTED_VALUE"""),"Ancient Farmer's Soul In A Bottle")</f>
        <v>Ancient Farmer's Soul In A Bottle</v>
      </c>
      <c r="B789" s="49"/>
      <c r="C789" s="49" t="str">
        <f>IFERROR(__xludf.DUMMYFUNCTION("""COMPUTED_VALUE"""),"Item")</f>
        <v>Item</v>
      </c>
      <c r="D789" s="49" t="str">
        <f>IFERROR(__xludf.DUMMYFUNCTION("""COMPUTED_VALUE"""),"Neck")</f>
        <v>Neck</v>
      </c>
      <c r="E789" s="49">
        <f>IFERROR(__xludf.DUMMYFUNCTION("""COMPUTED_VALUE"""),1.0)</f>
        <v>1</v>
      </c>
      <c r="F789" s="49" t="str">
        <f>IFERROR(__xludf.DUMMYFUNCTION("""COMPUTED_VALUE""")," ++Doubles all items harvested from your farms")</f>
        <v> ++Doubles all items harvested from your farms</v>
      </c>
      <c r="G789" s="49">
        <f>IFERROR(__xludf.DUMMYFUNCTION("""COMPUTED_VALUE"""),0.0)</f>
        <v>0</v>
      </c>
      <c r="H789" s="49"/>
      <c r="I789" s="49"/>
      <c r="J789" s="49"/>
      <c r="K789" s="49"/>
      <c r="L789" s="49"/>
      <c r="M789" s="49"/>
      <c r="N789" s="49"/>
      <c r="O789" s="49"/>
      <c r="P789" s="49"/>
      <c r="Q789" s="49"/>
      <c r="R789" s="49"/>
      <c r="S789" s="49"/>
      <c r="T789" s="49"/>
      <c r="U789" s="49"/>
      <c r="V789" s="49"/>
      <c r="W789" s="49"/>
      <c r="X789" s="49"/>
      <c r="Y789" s="49"/>
      <c r="Z789" s="49"/>
    </row>
    <row r="790">
      <c r="A790" s="49" t="str">
        <f>IFERROR(__xludf.DUMMYFUNCTION("""COMPUTED_VALUE"""),"Ancient Chef's Soul In A Bottle")</f>
        <v>Ancient Chef's Soul In A Bottle</v>
      </c>
      <c r="B790" s="49"/>
      <c r="C790" s="49" t="str">
        <f>IFERROR(__xludf.DUMMYFUNCTION("""COMPUTED_VALUE"""),"Item")</f>
        <v>Item</v>
      </c>
      <c r="D790" s="49" t="str">
        <f>IFERROR(__xludf.DUMMYFUNCTION("""COMPUTED_VALUE"""),"Neck")</f>
        <v>Neck</v>
      </c>
      <c r="E790" s="49">
        <f>IFERROR(__xludf.DUMMYFUNCTION("""COMPUTED_VALUE"""),1.0)</f>
        <v>1</v>
      </c>
      <c r="F790" s="49" t="str">
        <f>IFERROR(__xludf.DUMMYFUNCTION("""COMPUTED_VALUE""")," ++Doubles the effect of all food items cooked")</f>
        <v> ++Doubles the effect of all food items cooked</v>
      </c>
      <c r="G790" s="49">
        <f>IFERROR(__xludf.DUMMYFUNCTION("""COMPUTED_VALUE"""),0.0)</f>
        <v>0</v>
      </c>
      <c r="H790" s="49"/>
      <c r="I790" s="49"/>
      <c r="J790" s="49"/>
      <c r="K790" s="49"/>
      <c r="L790" s="49"/>
      <c r="M790" s="49"/>
      <c r="N790" s="49"/>
      <c r="O790" s="49"/>
      <c r="P790" s="49"/>
      <c r="Q790" s="49"/>
      <c r="R790" s="49"/>
      <c r="S790" s="49"/>
      <c r="T790" s="49"/>
      <c r="U790" s="49"/>
      <c r="V790" s="49"/>
      <c r="W790" s="49"/>
      <c r="X790" s="49"/>
      <c r="Y790" s="49"/>
      <c r="Z790" s="49"/>
    </row>
    <row r="791">
      <c r="A791" s="49" t="str">
        <f>IFERROR(__xludf.DUMMYFUNCTION("""COMPUTED_VALUE"""),"Ancient Miner's Soul In A Bottle")</f>
        <v>Ancient Miner's Soul In A Bottle</v>
      </c>
      <c r="B791" s="49"/>
      <c r="C791" s="49" t="str">
        <f>IFERROR(__xludf.DUMMYFUNCTION("""COMPUTED_VALUE"""),"Item")</f>
        <v>Item</v>
      </c>
      <c r="D791" s="49" t="str">
        <f>IFERROR(__xludf.DUMMYFUNCTION("""COMPUTED_VALUE"""),"Neck")</f>
        <v>Neck</v>
      </c>
      <c r="E791" s="49">
        <f>IFERROR(__xludf.DUMMYFUNCTION("""COMPUTED_VALUE"""),1.0)</f>
        <v>1</v>
      </c>
      <c r="F791" s="49" t="str">
        <f>IFERROR(__xludf.DUMMYFUNCTION("""COMPUTED_VALUE""")," ++Doubles all minerals obtained while mining")</f>
        <v> ++Doubles all minerals obtained while mining</v>
      </c>
      <c r="G791" s="49">
        <f>IFERROR(__xludf.DUMMYFUNCTION("""COMPUTED_VALUE"""),0.0)</f>
        <v>0</v>
      </c>
      <c r="H791" s="49"/>
      <c r="I791" s="49"/>
      <c r="J791" s="49"/>
      <c r="K791" s="49"/>
      <c r="L791" s="49"/>
      <c r="M791" s="49"/>
      <c r="N791" s="49"/>
      <c r="O791" s="49"/>
      <c r="P791" s="49"/>
      <c r="Q791" s="49"/>
      <c r="R791" s="49"/>
      <c r="S791" s="49"/>
      <c r="T791" s="49"/>
      <c r="U791" s="49"/>
      <c r="V791" s="49"/>
      <c r="W791" s="49"/>
      <c r="X791" s="49"/>
      <c r="Y791" s="49"/>
      <c r="Z791" s="49"/>
    </row>
    <row r="792">
      <c r="A792" s="49" t="str">
        <f>IFERROR(__xludf.DUMMYFUNCTION("""COMPUTED_VALUE"""),"Ancient Spira Guard's Soul In A Bottle")</f>
        <v>Ancient Spira Guard's Soul In A Bottle</v>
      </c>
      <c r="B792" s="49"/>
      <c r="C792" s="49" t="str">
        <f>IFERROR(__xludf.DUMMYFUNCTION("""COMPUTED_VALUE"""),"Item")</f>
        <v>Item</v>
      </c>
      <c r="D792" s="49" t="str">
        <f>IFERROR(__xludf.DUMMYFUNCTION("""COMPUTED_VALUE"""),"Neck")</f>
        <v>Neck</v>
      </c>
      <c r="E792" s="49">
        <f>IFERROR(__xludf.DUMMYFUNCTION("""COMPUTED_VALUE"""),1.0)</f>
        <v>1</v>
      </c>
      <c r="F792" s="49" t="str">
        <f>IFERROR(__xludf.DUMMYFUNCTION("""COMPUTED_VALUE""")," ++Add +5 to all rolls to arrest")</f>
        <v> ++Add +5 to all rolls to arrest</v>
      </c>
      <c r="G792" s="49">
        <f>IFERROR(__xludf.DUMMYFUNCTION("""COMPUTED_VALUE"""),0.0)</f>
        <v>0</v>
      </c>
      <c r="H792" s="49"/>
      <c r="I792" s="49"/>
      <c r="J792" s="49"/>
      <c r="K792" s="49"/>
      <c r="L792" s="49"/>
      <c r="M792" s="49"/>
      <c r="N792" s="49"/>
      <c r="O792" s="49"/>
      <c r="P792" s="49"/>
      <c r="Q792" s="49"/>
      <c r="R792" s="49"/>
      <c r="S792" s="49"/>
      <c r="T792" s="49"/>
      <c r="U792" s="49"/>
      <c r="V792" s="49"/>
      <c r="W792" s="49"/>
      <c r="X792" s="49"/>
      <c r="Y792" s="49"/>
      <c r="Z792" s="49"/>
    </row>
    <row r="793">
      <c r="A793" s="49" t="str">
        <f>IFERROR(__xludf.DUMMYFUNCTION("""COMPUTED_VALUE"""),"Ancient Fisherman's Soul In A Bottle")</f>
        <v>Ancient Fisherman's Soul In A Bottle</v>
      </c>
      <c r="B793" s="49"/>
      <c r="C793" s="49" t="str">
        <f>IFERROR(__xludf.DUMMYFUNCTION("""COMPUTED_VALUE"""),"Item")</f>
        <v>Item</v>
      </c>
      <c r="D793" s="49" t="str">
        <f>IFERROR(__xludf.DUMMYFUNCTION("""COMPUTED_VALUE"""),"Neck")</f>
        <v>Neck</v>
      </c>
      <c r="E793" s="49">
        <f>IFERROR(__xludf.DUMMYFUNCTION("""COMPUTED_VALUE"""),1.0)</f>
        <v>1</v>
      </c>
      <c r="F793" s="49" t="str">
        <f>IFERROR(__xludf.DUMMYFUNCTION("""COMPUTED_VALUE""")," ++Doubles all fish obtained while fishing")</f>
        <v> ++Doubles all fish obtained while fishing</v>
      </c>
      <c r="G793" s="49">
        <f>IFERROR(__xludf.DUMMYFUNCTION("""COMPUTED_VALUE"""),0.0)</f>
        <v>0</v>
      </c>
      <c r="H793" s="49"/>
      <c r="I793" s="49"/>
      <c r="J793" s="49"/>
      <c r="K793" s="49"/>
      <c r="L793" s="49"/>
      <c r="M793" s="49"/>
      <c r="N793" s="49"/>
      <c r="O793" s="49"/>
      <c r="P793" s="49"/>
      <c r="Q793" s="49"/>
      <c r="R793" s="49"/>
      <c r="S793" s="49"/>
      <c r="T793" s="49"/>
      <c r="U793" s="49"/>
      <c r="V793" s="49"/>
      <c r="W793" s="49"/>
      <c r="X793" s="49"/>
      <c r="Y793" s="49"/>
      <c r="Z793" s="49"/>
    </row>
    <row r="794">
      <c r="A794" s="49" t="str">
        <f>IFERROR(__xludf.DUMMYFUNCTION("""COMPUTED_VALUE"""),"The Thumper")</f>
        <v>The Thumper</v>
      </c>
      <c r="B794" s="49"/>
      <c r="C794" s="49" t="str">
        <f>IFERROR(__xludf.DUMMYFUNCTION("""COMPUTED_VALUE"""),"Firearm")</f>
        <v>Firearm</v>
      </c>
      <c r="D794" s="49" t="str">
        <f>IFERROR(__xludf.DUMMYFUNCTION("""COMPUTED_VALUE"""),"Hand")</f>
        <v>Hand</v>
      </c>
      <c r="E794" s="49">
        <f>IFERROR(__xludf.DUMMYFUNCTION("""COMPUTED_VALUE"""),200.0)</f>
        <v>200</v>
      </c>
      <c r="F794" s="49" t="str">
        <f>IFERROR(__xludf.DUMMYFUNCTION("""COMPUTED_VALUE"""),"Dmg: +5000, Physical Dmg: +5000 ++Fires 3 Grenades, +-Uses Grenades as Ammo +-Cannot Be Forged or Duplicated")</f>
        <v>Dmg: +5000, Physical Dmg: +5000 ++Fires 3 Grenades, +-Uses Grenades as Ammo +-Cannot Be Forged or Duplicated</v>
      </c>
      <c r="G794" s="49">
        <f>IFERROR(__xludf.DUMMYFUNCTION("""COMPUTED_VALUE"""),1900000.0)</f>
        <v>1900000</v>
      </c>
      <c r="H794" s="49"/>
      <c r="I794" s="49"/>
      <c r="J794" s="49"/>
      <c r="K794" s="49"/>
      <c r="L794" s="49"/>
      <c r="M794" s="49"/>
      <c r="N794" s="49"/>
      <c r="O794" s="49"/>
      <c r="P794" s="49"/>
      <c r="Q794" s="49"/>
      <c r="R794" s="49"/>
      <c r="S794" s="49"/>
      <c r="T794" s="49"/>
      <c r="U794" s="49"/>
      <c r="V794" s="49"/>
      <c r="W794" s="49"/>
      <c r="X794" s="49"/>
      <c r="Y794" s="49"/>
      <c r="Z794" s="49"/>
    </row>
    <row r="795">
      <c r="A795" s="49" t="str">
        <f>IFERROR(__xludf.DUMMYFUNCTION("""COMPUTED_VALUE"""),"Undead King's Sword")</f>
        <v>Undead King's Sword</v>
      </c>
      <c r="B795" s="49"/>
      <c r="C795" s="49" t="str">
        <f>IFERROR(__xludf.DUMMYFUNCTION("""COMPUTED_VALUE"""),"Sword")</f>
        <v>Sword</v>
      </c>
      <c r="D795" s="49" t="str">
        <f>IFERROR(__xludf.DUMMYFUNCTION("""COMPUTED_VALUE"""),"Hand")</f>
        <v>Hand</v>
      </c>
      <c r="E795" s="49">
        <f>IFERROR(__xludf.DUMMYFUNCTION("""COMPUTED_VALUE"""),1.0)</f>
        <v>1</v>
      </c>
      <c r="F795" s="49"/>
      <c r="G795" s="49">
        <f>IFERROR(__xludf.DUMMYFUNCTION("""COMPUTED_VALUE"""),0.0)</f>
        <v>0</v>
      </c>
      <c r="H795" s="49"/>
      <c r="I795" s="49"/>
      <c r="J795" s="49"/>
      <c r="K795" s="49"/>
      <c r="L795" s="49"/>
      <c r="M795" s="49"/>
      <c r="N795" s="49"/>
      <c r="O795" s="49"/>
      <c r="P795" s="49"/>
      <c r="Q795" s="49"/>
      <c r="R795" s="49"/>
      <c r="S795" s="49"/>
      <c r="T795" s="49"/>
      <c r="U795" s="49"/>
      <c r="V795" s="49"/>
      <c r="W795" s="49"/>
      <c r="X795" s="49"/>
      <c r="Y795" s="49"/>
      <c r="Z795" s="49"/>
    </row>
    <row r="796">
      <c r="A796" s="49" t="str">
        <f>IFERROR(__xludf.DUMMYFUNCTION("""COMPUTED_VALUE"""),"Trapper's Monocle")</f>
        <v>Trapper's Monocle</v>
      </c>
      <c r="B796" s="49"/>
      <c r="C796" s="49" t="str">
        <f>IFERROR(__xludf.DUMMYFUNCTION("""COMPUTED_VALUE"""),"Item")</f>
        <v>Item</v>
      </c>
      <c r="D796" s="49" t="str">
        <f>IFERROR(__xludf.DUMMYFUNCTION("""COMPUTED_VALUE"""),"Head")</f>
        <v>Head</v>
      </c>
      <c r="E796" s="49">
        <f>IFERROR(__xludf.DUMMYFUNCTION("""COMPUTED_VALUE"""),1.0)</f>
        <v>1</v>
      </c>
      <c r="F796" s="49" t="str">
        <f>IFERROR(__xludf.DUMMYFUNCTION("""COMPUTED_VALUE""")," ++5 to any roll to disarm or avoid a trap.")</f>
        <v> ++5 to any roll to disarm or avoid a trap.</v>
      </c>
      <c r="G796" s="49">
        <f>IFERROR(__xludf.DUMMYFUNCTION("""COMPUTED_VALUE"""),0.0)</f>
        <v>0</v>
      </c>
      <c r="H796" s="49"/>
      <c r="I796" s="49"/>
      <c r="J796" s="49"/>
      <c r="K796" s="49"/>
      <c r="L796" s="49"/>
      <c r="M796" s="49"/>
      <c r="N796" s="49"/>
      <c r="O796" s="49"/>
      <c r="P796" s="49"/>
      <c r="Q796" s="49"/>
      <c r="R796" s="49"/>
      <c r="S796" s="49"/>
      <c r="T796" s="49"/>
      <c r="U796" s="49"/>
      <c r="V796" s="49"/>
      <c r="W796" s="49"/>
      <c r="X796" s="49"/>
      <c r="Y796" s="49"/>
      <c r="Z796" s="49"/>
    </row>
    <row r="797">
      <c r="A797" s="49" t="str">
        <f>IFERROR(__xludf.DUMMYFUNCTION("""COMPUTED_VALUE"""),"Dragon's Dogma")</f>
        <v>Dragon's Dogma</v>
      </c>
      <c r="B797" s="49"/>
      <c r="C797" s="49" t="str">
        <f>IFERROR(__xludf.DUMMYFUNCTION("""COMPUTED_VALUE"""),"Sword")</f>
        <v>Sword</v>
      </c>
      <c r="D797" s="49" t="str">
        <f>IFERROR(__xludf.DUMMYFUNCTION("""COMPUTED_VALUE"""),"Hand")</f>
        <v>Hand</v>
      </c>
      <c r="E797" s="49">
        <f>IFERROR(__xludf.DUMMYFUNCTION("""COMPUTED_VALUE"""),200.0)</f>
        <v>200</v>
      </c>
      <c r="F797" s="49" t="str">
        <f>IFERROR(__xludf.DUMMYFUNCTION("""COMPUTED_VALUE"""),"DMG: +250000, Celestial DMG: +50000 TBD")</f>
        <v>DMG: +250000, Celestial DMG: +50000 TBD</v>
      </c>
      <c r="G797" s="49">
        <f>IFERROR(__xludf.DUMMYFUNCTION("""COMPUTED_VALUE"""),1.797E9)</f>
        <v>1797000000</v>
      </c>
      <c r="H797" s="49"/>
      <c r="I797" s="49"/>
      <c r="J797" s="49"/>
      <c r="K797" s="49"/>
      <c r="L797" s="49"/>
      <c r="M797" s="49"/>
      <c r="N797" s="49"/>
      <c r="O797" s="49"/>
      <c r="P797" s="49"/>
      <c r="Q797" s="49"/>
      <c r="R797" s="49"/>
      <c r="S797" s="49"/>
      <c r="T797" s="49"/>
      <c r="U797" s="49"/>
      <c r="V797" s="49"/>
      <c r="W797" s="49"/>
      <c r="X797" s="49"/>
      <c r="Y797" s="49"/>
      <c r="Z797" s="49"/>
    </row>
    <row r="798">
      <c r="A798" s="49" t="str">
        <f>IFERROR(__xludf.DUMMYFUNCTION("""COMPUTED_VALUE"""),"Dragon's Dread")</f>
        <v>Dragon's Dread</v>
      </c>
      <c r="B798" s="49"/>
      <c r="C798" s="49" t="str">
        <f>IFERROR(__xludf.DUMMYFUNCTION("""COMPUTED_VALUE"""),"Bow")</f>
        <v>Bow</v>
      </c>
      <c r="D798" s="49" t="str">
        <f>IFERROR(__xludf.DUMMYFUNCTION("""COMPUTED_VALUE"""),"Hand")</f>
        <v>Hand</v>
      </c>
      <c r="E798" s="49">
        <f>IFERROR(__xludf.DUMMYFUNCTION("""COMPUTED_VALUE"""),200.0)</f>
        <v>200</v>
      </c>
      <c r="F798" s="49"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49">
        <f>IFERROR(__xludf.DUMMYFUNCTION("""COMPUTED_VALUE"""),7.194E9)</f>
        <v>7194000000</v>
      </c>
      <c r="H798" s="49"/>
      <c r="I798" s="49"/>
      <c r="J798" s="49"/>
      <c r="K798" s="49"/>
      <c r="L798" s="49"/>
      <c r="M798" s="49"/>
      <c r="N798" s="49"/>
      <c r="O798" s="49"/>
      <c r="P798" s="49"/>
      <c r="Q798" s="49"/>
      <c r="R798" s="49"/>
      <c r="S798" s="49"/>
      <c r="T798" s="49"/>
      <c r="U798" s="49"/>
      <c r="V798" s="49"/>
      <c r="W798" s="49"/>
      <c r="X798" s="49"/>
      <c r="Y798" s="49"/>
      <c r="Z798" s="49"/>
    </row>
    <row r="799">
      <c r="A799" s="49" t="str">
        <f>IFERROR(__xludf.DUMMYFUNCTION("""COMPUTED_VALUE"""),"Dragon's Dream Breaker")</f>
        <v>Dragon's Dream Breaker</v>
      </c>
      <c r="B799" s="49"/>
      <c r="C799" s="49" t="str">
        <f>IFERROR(__xludf.DUMMYFUNCTION("""COMPUTED_VALUE"""),"Claw")</f>
        <v>Claw</v>
      </c>
      <c r="D799" s="49" t="str">
        <f>IFERROR(__xludf.DUMMYFUNCTION("""COMPUTED_VALUE"""),"Hand")</f>
        <v>Hand</v>
      </c>
      <c r="E799" s="49">
        <f>IFERROR(__xludf.DUMMYFUNCTION("""COMPUTED_VALUE"""),200.0)</f>
        <v>200</v>
      </c>
      <c r="F799" s="49" t="str">
        <f>IFERROR(__xludf.DUMMYFUNCTION("""COMPUTED_VALUE"""),"DMG: +600000, Celestial DMG: +600000 TBD")</f>
        <v>DMG: +600000, Celestial DMG: +600000 TBD</v>
      </c>
      <c r="G799" s="49">
        <f>IFERROR(__xludf.DUMMYFUNCTION("""COMPUTED_VALUE"""),2.8788E10)</f>
        <v>28788000000</v>
      </c>
      <c r="H799" s="49"/>
      <c r="I799" s="49"/>
      <c r="J799" s="49"/>
      <c r="K799" s="49"/>
      <c r="L799" s="49"/>
      <c r="M799" s="49"/>
      <c r="N799" s="49"/>
      <c r="O799" s="49"/>
      <c r="P799" s="49"/>
      <c r="Q799" s="49"/>
      <c r="R799" s="49"/>
      <c r="S799" s="49"/>
      <c r="T799" s="49"/>
      <c r="U799" s="49"/>
      <c r="V799" s="49"/>
      <c r="W799" s="49"/>
      <c r="X799" s="49"/>
      <c r="Y799" s="49"/>
      <c r="Z799" s="49"/>
    </row>
    <row r="800">
      <c r="A800" s="49" t="str">
        <f>IFERROR(__xludf.DUMMYFUNCTION("""COMPUTED_VALUE"""),"Dragon's Draught")</f>
        <v>Dragon's Draught</v>
      </c>
      <c r="B800" s="49"/>
      <c r="C800" s="49" t="str">
        <f>IFERROR(__xludf.DUMMYFUNCTION("""COMPUTED_VALUE"""),"Staff")</f>
        <v>Staff</v>
      </c>
      <c r="D800" s="49" t="str">
        <f>IFERROR(__xludf.DUMMYFUNCTION("""COMPUTED_VALUE"""),"Hand")</f>
        <v>Hand</v>
      </c>
      <c r="E800" s="49">
        <f>IFERROR(__xludf.DUMMYFUNCTION("""COMPUTED_VALUE"""),1.0)</f>
        <v>1</v>
      </c>
      <c r="F800" s="49" t="str">
        <f>IFERROR(__xludf.DUMMYFUNCTION("""COMPUTED_VALUE""")," TBD")</f>
        <v> TBD</v>
      </c>
      <c r="G800" s="49">
        <f>IFERROR(__xludf.DUMMYFUNCTION("""COMPUTED_VALUE"""),0.0)</f>
        <v>0</v>
      </c>
      <c r="H800" s="49"/>
      <c r="I800" s="49"/>
      <c r="J800" s="49"/>
      <c r="K800" s="49"/>
      <c r="L800" s="49"/>
      <c r="M800" s="49"/>
      <c r="N800" s="49"/>
      <c r="O800" s="49"/>
      <c r="P800" s="49"/>
      <c r="Q800" s="49"/>
      <c r="R800" s="49"/>
      <c r="S800" s="49"/>
      <c r="T800" s="49"/>
      <c r="U800" s="49"/>
      <c r="V800" s="49"/>
      <c r="W800" s="49"/>
      <c r="X800" s="49"/>
      <c r="Y800" s="49"/>
      <c r="Z800" s="49"/>
    </row>
    <row r="801">
      <c r="A801" s="49" t="str">
        <f>IFERROR(__xludf.DUMMYFUNCTION("""COMPUTED_VALUE"""),"Dragon's Damnation")</f>
        <v>Dragon's Damnation</v>
      </c>
      <c r="B801" s="49"/>
      <c r="C801" s="49" t="str">
        <f>IFERROR(__xludf.DUMMYFUNCTION("""COMPUTED_VALUE"""),"Gauntlet")</f>
        <v>Gauntlet</v>
      </c>
      <c r="D801" s="49" t="str">
        <f>IFERROR(__xludf.DUMMYFUNCTION("""COMPUTED_VALUE"""),"Hand")</f>
        <v>Hand</v>
      </c>
      <c r="E801" s="49">
        <f>IFERROR(__xludf.DUMMYFUNCTION("""COMPUTED_VALUE"""),200.0)</f>
        <v>200</v>
      </c>
      <c r="F801" s="49"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49">
        <f>IFERROR(__xludf.DUMMYFUNCTION("""COMPUTED_VALUE"""),2.8788E10)</f>
        <v>28788000000</v>
      </c>
      <c r="H801" s="49"/>
      <c r="I801" s="49"/>
      <c r="J801" s="49"/>
      <c r="K801" s="49"/>
      <c r="L801" s="49"/>
      <c r="M801" s="49"/>
      <c r="N801" s="49"/>
      <c r="O801" s="49"/>
      <c r="P801" s="49"/>
      <c r="Q801" s="49"/>
      <c r="R801" s="49"/>
      <c r="S801" s="49"/>
      <c r="T801" s="49"/>
      <c r="U801" s="49"/>
      <c r="V801" s="49"/>
      <c r="W801" s="49"/>
      <c r="X801" s="49"/>
      <c r="Y801" s="49"/>
      <c r="Z801" s="49"/>
    </row>
    <row r="802">
      <c r="A802" s="49" t="str">
        <f>IFERROR(__xludf.DUMMYFUNCTION("""COMPUTED_VALUE"""),"Dragon's Destruction")</f>
        <v>Dragon's Destruction</v>
      </c>
      <c r="B802" s="49"/>
      <c r="C802" s="49" t="str">
        <f>IFERROR(__xludf.DUMMYFUNCTION("""COMPUTED_VALUE"""),"Spear")</f>
        <v>Spear</v>
      </c>
      <c r="D802" s="49" t="str">
        <f>IFERROR(__xludf.DUMMYFUNCTION("""COMPUTED_VALUE"""),"Hand")</f>
        <v>Hand</v>
      </c>
      <c r="E802" s="49">
        <f>IFERROR(__xludf.DUMMYFUNCTION("""COMPUTED_VALUE"""),200.0)</f>
        <v>200</v>
      </c>
      <c r="F802" s="49"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49">
        <f>IFERROR(__xludf.DUMMYFUNCTION("""COMPUTED_VALUE"""),2.8788E10)</f>
        <v>28788000000</v>
      </c>
      <c r="H802" s="49"/>
      <c r="I802" s="49"/>
      <c r="J802" s="49"/>
      <c r="K802" s="49"/>
      <c r="L802" s="49"/>
      <c r="M802" s="49"/>
      <c r="N802" s="49"/>
      <c r="O802" s="49"/>
      <c r="P802" s="49"/>
      <c r="Q802" s="49"/>
      <c r="R802" s="49"/>
      <c r="S802" s="49"/>
      <c r="T802" s="49"/>
      <c r="U802" s="49"/>
      <c r="V802" s="49"/>
      <c r="W802" s="49"/>
      <c r="X802" s="49"/>
      <c r="Y802" s="49"/>
      <c r="Z802" s="49"/>
    </row>
    <row r="803">
      <c r="A803" s="49" t="str">
        <f>IFERROR(__xludf.DUMMYFUNCTION("""COMPUTED_VALUE"""),"Confining Collar")</f>
        <v>Confining Collar</v>
      </c>
      <c r="B803" s="49"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49" t="str">
        <f>IFERROR(__xludf.DUMMYFUNCTION("""COMPUTED_VALUE"""),"Item")</f>
        <v>Item</v>
      </c>
      <c r="D803" s="49" t="str">
        <f>IFERROR(__xludf.DUMMYFUNCTION("""COMPUTED_VALUE"""),"Neck")</f>
        <v>Neck</v>
      </c>
      <c r="E803" s="49">
        <f>IFERROR(__xludf.DUMMYFUNCTION("""COMPUTED_VALUE"""),100.0)</f>
        <v>100</v>
      </c>
      <c r="F803" s="49" t="str">
        <f>IFERROR(__xludf.DUMMYFUNCTION("""COMPUTED_VALUE"""),"DEF: +5000 +-5 to all rolls, +-Upon being worn can only be removed after 15 days of travel")</f>
        <v>DEF: +5000 +-5 to all rolls, +-Upon being worn can only be removed after 15 days of travel</v>
      </c>
      <c r="G803" s="49">
        <f>IFERROR(__xludf.DUMMYFUNCTION("""COMPUTED_VALUE"""),450000.0)</f>
        <v>450000</v>
      </c>
      <c r="H803" s="49"/>
      <c r="I803" s="49"/>
      <c r="J803" s="49"/>
      <c r="K803" s="49"/>
      <c r="L803" s="49"/>
      <c r="M803" s="49"/>
      <c r="N803" s="49"/>
      <c r="O803" s="49"/>
      <c r="P803" s="49"/>
      <c r="Q803" s="49"/>
      <c r="R803" s="49"/>
      <c r="S803" s="49"/>
      <c r="T803" s="49"/>
      <c r="U803" s="49"/>
      <c r="V803" s="49"/>
      <c r="W803" s="49"/>
      <c r="X803" s="49"/>
      <c r="Y803" s="49"/>
      <c r="Z803" s="49"/>
    </row>
    <row r="804">
      <c r="A804" s="49" t="str">
        <f>IFERROR(__xludf.DUMMYFUNCTION("""COMPUTED_VALUE"""),"Shiv")</f>
        <v>Shiv</v>
      </c>
      <c r="B804" s="49"/>
      <c r="C804" s="49" t="str">
        <f>IFERROR(__xludf.DUMMYFUNCTION("""COMPUTED_VALUE"""),"Knife")</f>
        <v>Knife</v>
      </c>
      <c r="D804" s="49" t="str">
        <f>IFERROR(__xludf.DUMMYFUNCTION("""COMPUTED_VALUE"""),"Hand")</f>
        <v>Hand</v>
      </c>
      <c r="E804" s="49">
        <f>IFERROR(__xludf.DUMMYFUNCTION("""COMPUTED_VALUE"""),4000.0)</f>
        <v>4000</v>
      </c>
      <c r="F804" s="49" t="str">
        <f>IFERROR(__xludf.DUMMYFUNCTION("""COMPUTED_VALUE"""),"DMG: +200000 ++has a 5% chance to give a random disease to any creature hit with this weapon.")</f>
        <v>DMG: +200000 ++has a 5% chance to give a random disease to any creature hit with this weapon.</v>
      </c>
      <c r="G804" s="49">
        <f>IFERROR(__xludf.DUMMYFUNCTION("""COMPUTED_VALUE"""),7.98E8)</f>
        <v>798000000</v>
      </c>
      <c r="H804" s="49"/>
      <c r="I804" s="49"/>
      <c r="J804" s="49"/>
      <c r="K804" s="49"/>
      <c r="L804" s="49"/>
      <c r="M804" s="49"/>
      <c r="N804" s="49"/>
      <c r="O804" s="49"/>
      <c r="P804" s="49"/>
      <c r="Q804" s="49"/>
      <c r="R804" s="49"/>
      <c r="S804" s="49"/>
      <c r="T804" s="49"/>
      <c r="U804" s="49"/>
      <c r="V804" s="49"/>
      <c r="W804" s="49"/>
      <c r="X804" s="49"/>
      <c r="Y804" s="49"/>
      <c r="Z804" s="49"/>
    </row>
    <row r="805">
      <c r="A805" s="49" t="str">
        <f>IFERROR(__xludf.DUMMYFUNCTION("""COMPUTED_VALUE"""),"Inmate's Cap")</f>
        <v>Inmate's Cap</v>
      </c>
      <c r="B805" s="49"/>
      <c r="C805" s="49" t="str">
        <f>IFERROR(__xludf.DUMMYFUNCTION("""COMPUTED_VALUE"""),"Item")</f>
        <v>Item</v>
      </c>
      <c r="D805" s="49" t="str">
        <f>IFERROR(__xludf.DUMMYFUNCTION("""COMPUTED_VALUE"""),"Head")</f>
        <v>Head</v>
      </c>
      <c r="E805" s="49">
        <f>IFERROR(__xludf.DUMMYFUNCTION("""COMPUTED_VALUE"""),2000.0)</f>
        <v>2000</v>
      </c>
      <c r="F805" s="49" t="str">
        <f>IFERROR(__xludf.DUMMYFUNCTION("""COMPUTED_VALUE"""),"DEF: +100000 ++has a 5% chance to avoid beng arrested without fail.")</f>
        <v>DEF: +100000 ++has a 5% chance to avoid beng arrested without fail.</v>
      </c>
      <c r="G805" s="49">
        <f>IFERROR(__xludf.DUMMYFUNCTION("""COMPUTED_VALUE"""),1.99E8)</f>
        <v>199000000</v>
      </c>
      <c r="H805" s="49"/>
      <c r="I805" s="49"/>
      <c r="J805" s="49"/>
      <c r="K805" s="49"/>
      <c r="L805" s="49"/>
      <c r="M805" s="49"/>
      <c r="N805" s="49"/>
      <c r="O805" s="49"/>
      <c r="P805" s="49"/>
      <c r="Q805" s="49"/>
      <c r="R805" s="49"/>
      <c r="S805" s="49"/>
      <c r="T805" s="49"/>
      <c r="U805" s="49"/>
      <c r="V805" s="49"/>
      <c r="W805" s="49"/>
      <c r="X805" s="49"/>
      <c r="Y805" s="49"/>
      <c r="Z805" s="49"/>
    </row>
    <row r="806">
      <c r="A806" s="49" t="str">
        <f>IFERROR(__xludf.DUMMYFUNCTION("""COMPUTED_VALUE"""),"Inmate's Shirt")</f>
        <v>Inmate's Shirt</v>
      </c>
      <c r="B806" s="49"/>
      <c r="C806" s="49" t="str">
        <f>IFERROR(__xludf.DUMMYFUNCTION("""COMPUTED_VALUE"""),"Item")</f>
        <v>Item</v>
      </c>
      <c r="D806" s="49" t="str">
        <f>IFERROR(__xludf.DUMMYFUNCTION("""COMPUTED_VALUE"""),"Torso")</f>
        <v>Torso</v>
      </c>
      <c r="E806" s="49">
        <f>IFERROR(__xludf.DUMMYFUNCTION("""COMPUTED_VALUE"""),2000.0)</f>
        <v>2000</v>
      </c>
      <c r="F806" s="49" t="str">
        <f>IFERROR(__xludf.DUMMYFUNCTION("""COMPUTED_VALUE"""),"DEF: +100000 ++has a 5% chance to avoid beng arrested without fail.")</f>
        <v>DEF: +100000 ++has a 5% chance to avoid beng arrested without fail.</v>
      </c>
      <c r="G806" s="49">
        <f>IFERROR(__xludf.DUMMYFUNCTION("""COMPUTED_VALUE"""),1.99E8)</f>
        <v>199000000</v>
      </c>
      <c r="H806" s="49"/>
      <c r="I806" s="49"/>
      <c r="J806" s="49"/>
      <c r="K806" s="49"/>
      <c r="L806" s="49"/>
      <c r="M806" s="49"/>
      <c r="N806" s="49"/>
      <c r="O806" s="49"/>
      <c r="P806" s="49"/>
      <c r="Q806" s="49"/>
      <c r="R806" s="49"/>
      <c r="S806" s="49"/>
      <c r="T806" s="49"/>
      <c r="U806" s="49"/>
      <c r="V806" s="49"/>
      <c r="W806" s="49"/>
      <c r="X806" s="49"/>
      <c r="Y806" s="49"/>
      <c r="Z806" s="49"/>
    </row>
    <row r="807">
      <c r="A807" s="49" t="str">
        <f>IFERROR(__xludf.DUMMYFUNCTION("""COMPUTED_VALUE"""),"Inmate's Pants")</f>
        <v>Inmate's Pants</v>
      </c>
      <c r="B807" s="49"/>
      <c r="C807" s="49" t="str">
        <f>IFERROR(__xludf.DUMMYFUNCTION("""COMPUTED_VALUE"""),"Item")</f>
        <v>Item</v>
      </c>
      <c r="D807" s="49" t="str">
        <f>IFERROR(__xludf.DUMMYFUNCTION("""COMPUTED_VALUE"""),"Legs")</f>
        <v>Legs</v>
      </c>
      <c r="E807" s="49">
        <f>IFERROR(__xludf.DUMMYFUNCTION("""COMPUTED_VALUE"""),2000.0)</f>
        <v>2000</v>
      </c>
      <c r="F807" s="49" t="str">
        <f>IFERROR(__xludf.DUMMYFUNCTION("""COMPUTED_VALUE"""),"DEF: +100000 ++has a 5% chance to avoid beng arrested without fail.")</f>
        <v>DEF: +100000 ++has a 5% chance to avoid beng arrested without fail.</v>
      </c>
      <c r="G807" s="49">
        <f>IFERROR(__xludf.DUMMYFUNCTION("""COMPUTED_VALUE"""),1.99E8)</f>
        <v>199000000</v>
      </c>
      <c r="H807" s="49"/>
      <c r="I807" s="49"/>
      <c r="J807" s="49"/>
      <c r="K807" s="49"/>
      <c r="L807" s="49"/>
      <c r="M807" s="49"/>
      <c r="N807" s="49"/>
      <c r="O807" s="49"/>
      <c r="P807" s="49"/>
      <c r="Q807" s="49"/>
      <c r="R807" s="49"/>
      <c r="S807" s="49"/>
      <c r="T807" s="49"/>
      <c r="U807" s="49"/>
      <c r="V807" s="49"/>
      <c r="W807" s="49"/>
      <c r="X807" s="49"/>
      <c r="Y807" s="49"/>
      <c r="Z807" s="49"/>
    </row>
    <row r="808">
      <c r="A808" s="49" t="str">
        <f>IFERROR(__xludf.DUMMYFUNCTION("""COMPUTED_VALUE"""),"Warden's Cap")</f>
        <v>Warden's Cap</v>
      </c>
      <c r="B808" s="49"/>
      <c r="C808" s="49" t="str">
        <f>IFERROR(__xludf.DUMMYFUNCTION("""COMPUTED_VALUE"""),"Item")</f>
        <v>Item</v>
      </c>
      <c r="D808" s="49" t="str">
        <f>IFERROR(__xludf.DUMMYFUNCTION("""COMPUTED_VALUE"""),"Head")</f>
        <v>Head</v>
      </c>
      <c r="E808" s="49">
        <f>IFERROR(__xludf.DUMMYFUNCTION("""COMPUTED_VALUE"""),2000.0)</f>
        <v>2000</v>
      </c>
      <c r="F808" s="49" t="str">
        <f>IFERROR(__xludf.DUMMYFUNCTION("""COMPUTED_VALUE"""),"DEF: +100000 ++X2 Damage with Clubs")</f>
        <v>DEF: +100000 ++X2 Damage with Clubs</v>
      </c>
      <c r="G808" s="49">
        <f>IFERROR(__xludf.DUMMYFUNCTION("""COMPUTED_VALUE"""),1.99E8)</f>
        <v>199000000</v>
      </c>
      <c r="H808" s="49"/>
      <c r="I808" s="49"/>
      <c r="J808" s="49"/>
      <c r="K808" s="49"/>
      <c r="L808" s="49"/>
      <c r="M808" s="49"/>
      <c r="N808" s="49"/>
      <c r="O808" s="49"/>
      <c r="P808" s="49"/>
      <c r="Q808" s="49"/>
      <c r="R808" s="49"/>
      <c r="S808" s="49"/>
      <c r="T808" s="49"/>
      <c r="U808" s="49"/>
      <c r="V808" s="49"/>
      <c r="W808" s="49"/>
      <c r="X808" s="49"/>
      <c r="Y808" s="49"/>
      <c r="Z808" s="49"/>
    </row>
    <row r="809">
      <c r="A809" s="49" t="str">
        <f>IFERROR(__xludf.DUMMYFUNCTION("""COMPUTED_VALUE"""),"Warden's Shirt")</f>
        <v>Warden's Shirt</v>
      </c>
      <c r="B809" s="49"/>
      <c r="C809" s="49" t="str">
        <f>IFERROR(__xludf.DUMMYFUNCTION("""COMPUTED_VALUE"""),"Item")</f>
        <v>Item</v>
      </c>
      <c r="D809" s="49" t="str">
        <f>IFERROR(__xludf.DUMMYFUNCTION("""COMPUTED_VALUE"""),"Torso")</f>
        <v>Torso</v>
      </c>
      <c r="E809" s="49">
        <f>IFERROR(__xludf.DUMMYFUNCTION("""COMPUTED_VALUE"""),2000.0)</f>
        <v>2000</v>
      </c>
      <c r="F809" s="49" t="str">
        <f>IFERROR(__xludf.DUMMYFUNCTION("""COMPUTED_VALUE"""),"DEF: +100000 ++X2 Damage with Clubs")</f>
        <v>DEF: +100000 ++X2 Damage with Clubs</v>
      </c>
      <c r="G809" s="49">
        <f>IFERROR(__xludf.DUMMYFUNCTION("""COMPUTED_VALUE"""),1.99E8)</f>
        <v>199000000</v>
      </c>
      <c r="H809" s="49"/>
      <c r="I809" s="49"/>
      <c r="J809" s="49"/>
      <c r="K809" s="49"/>
      <c r="L809" s="49"/>
      <c r="M809" s="49"/>
      <c r="N809" s="49"/>
      <c r="O809" s="49"/>
      <c r="P809" s="49"/>
      <c r="Q809" s="49"/>
      <c r="R809" s="49"/>
      <c r="S809" s="49"/>
      <c r="T809" s="49"/>
      <c r="U809" s="49"/>
      <c r="V809" s="49"/>
      <c r="W809" s="49"/>
      <c r="X809" s="49"/>
      <c r="Y809" s="49"/>
      <c r="Z809" s="49"/>
    </row>
    <row r="810">
      <c r="A810" s="49" t="str">
        <f>IFERROR(__xludf.DUMMYFUNCTION("""COMPUTED_VALUE"""),"Warden's Pants")</f>
        <v>Warden's Pants</v>
      </c>
      <c r="B810" s="49"/>
      <c r="C810" s="49" t="str">
        <f>IFERROR(__xludf.DUMMYFUNCTION("""COMPUTED_VALUE"""),"Item")</f>
        <v>Item</v>
      </c>
      <c r="D810" s="49" t="str">
        <f>IFERROR(__xludf.DUMMYFUNCTION("""COMPUTED_VALUE"""),"Legs")</f>
        <v>Legs</v>
      </c>
      <c r="E810" s="49">
        <f>IFERROR(__xludf.DUMMYFUNCTION("""COMPUTED_VALUE"""),2000.0)</f>
        <v>2000</v>
      </c>
      <c r="F810" s="49" t="str">
        <f>IFERROR(__xludf.DUMMYFUNCTION("""COMPUTED_VALUE"""),"DEF: +100000 ++X2 Damage with Clubs")</f>
        <v>DEF: +100000 ++X2 Damage with Clubs</v>
      </c>
      <c r="G810" s="49">
        <f>IFERROR(__xludf.DUMMYFUNCTION("""COMPUTED_VALUE"""),1.99E8)</f>
        <v>199000000</v>
      </c>
      <c r="H810" s="49"/>
      <c r="I810" s="49"/>
      <c r="J810" s="49"/>
      <c r="K810" s="49"/>
      <c r="L810" s="49"/>
      <c r="M810" s="49"/>
      <c r="N810" s="49"/>
      <c r="O810" s="49"/>
      <c r="P810" s="49"/>
      <c r="Q810" s="49"/>
      <c r="R810" s="49"/>
      <c r="S810" s="49"/>
      <c r="T810" s="49"/>
      <c r="U810" s="49"/>
      <c r="V810" s="49"/>
      <c r="W810" s="49"/>
      <c r="X810" s="49"/>
      <c r="Y810" s="49"/>
      <c r="Z810" s="49"/>
    </row>
    <row r="811">
      <c r="A811" s="49" t="str">
        <f>IFERROR(__xludf.DUMMYFUNCTION("""COMPUTED_VALUE"""),"Warden's Boots")</f>
        <v>Warden's Boots</v>
      </c>
      <c r="B811" s="49"/>
      <c r="C811" s="49" t="str">
        <f>IFERROR(__xludf.DUMMYFUNCTION("""COMPUTED_VALUE"""),"Item")</f>
        <v>Item</v>
      </c>
      <c r="D811" s="49" t="str">
        <f>IFERROR(__xludf.DUMMYFUNCTION("""COMPUTED_VALUE"""),"Feet")</f>
        <v>Feet</v>
      </c>
      <c r="E811" s="49">
        <f>IFERROR(__xludf.DUMMYFUNCTION("""COMPUTED_VALUE"""),2000.0)</f>
        <v>2000</v>
      </c>
      <c r="F811" s="49" t="str">
        <f>IFERROR(__xludf.DUMMYFUNCTION("""COMPUTED_VALUE"""),"DEF: +100000 ++X2 Damage with Clubs")</f>
        <v>DEF: +100000 ++X2 Damage with Clubs</v>
      </c>
      <c r="G811" s="49">
        <f>IFERROR(__xludf.DUMMYFUNCTION("""COMPUTED_VALUE"""),1.99E8)</f>
        <v>199000000</v>
      </c>
      <c r="H811" s="49"/>
      <c r="I811" s="49"/>
      <c r="J811" s="49"/>
      <c r="K811" s="49"/>
      <c r="L811" s="49"/>
      <c r="M811" s="49"/>
      <c r="N811" s="49"/>
      <c r="O811" s="49"/>
      <c r="P811" s="49"/>
      <c r="Q811" s="49"/>
      <c r="R811" s="49"/>
      <c r="S811" s="49"/>
      <c r="T811" s="49"/>
      <c r="U811" s="49"/>
      <c r="V811" s="49"/>
      <c r="W811" s="49"/>
      <c r="X811" s="49"/>
      <c r="Y811" s="49"/>
      <c r="Z811" s="49"/>
    </row>
    <row r="812">
      <c r="A812" s="49" t="str">
        <f>IFERROR(__xludf.DUMMYFUNCTION("""COMPUTED_VALUE"""),"Warden's Baton")</f>
        <v>Warden's Baton</v>
      </c>
      <c r="B812" s="49"/>
      <c r="C812" s="49" t="str">
        <f>IFERROR(__xludf.DUMMYFUNCTION("""COMPUTED_VALUE"""),"Club")</f>
        <v>Club</v>
      </c>
      <c r="D812" s="49" t="str">
        <f>IFERROR(__xludf.DUMMYFUNCTION("""COMPUTED_VALUE"""),"Hand")</f>
        <v>Hand</v>
      </c>
      <c r="E812" s="49">
        <f>IFERROR(__xludf.DUMMYFUNCTION("""COMPUTED_VALUE"""),4000.0)</f>
        <v>4000</v>
      </c>
      <c r="F812" s="49" t="str">
        <f>IFERROR(__xludf.DUMMYFUNCTION("""COMPUTED_VALUE"""),"DMG: +200000 ++X20 damage to any enemy wearing a confining collar.")</f>
        <v>DMG: +200000 ++X20 damage to any enemy wearing a confining collar.</v>
      </c>
      <c r="G812" s="49">
        <f>IFERROR(__xludf.DUMMYFUNCTION("""COMPUTED_VALUE"""),7.98E8)</f>
        <v>798000000</v>
      </c>
      <c r="H812" s="49"/>
      <c r="I812" s="49"/>
      <c r="J812" s="49"/>
      <c r="K812" s="49"/>
      <c r="L812" s="49"/>
      <c r="M812" s="49"/>
      <c r="N812" s="49"/>
      <c r="O812" s="49"/>
      <c r="P812" s="49"/>
      <c r="Q812" s="49"/>
      <c r="R812" s="49"/>
      <c r="S812" s="49"/>
      <c r="T812" s="49"/>
      <c r="U812" s="49"/>
      <c r="V812" s="49"/>
      <c r="W812" s="49"/>
      <c r="X812" s="49"/>
      <c r="Y812" s="49"/>
      <c r="Z812" s="49"/>
    </row>
    <row r="813">
      <c r="A813" s="49" t="str">
        <f>IFERROR(__xludf.DUMMYFUNCTION("""COMPUTED_VALUE"""),"Gentleman's Club")</f>
        <v>Gentleman's Club</v>
      </c>
      <c r="B813" s="49"/>
      <c r="C813" s="49" t="str">
        <f>IFERROR(__xludf.DUMMYFUNCTION("""COMPUTED_VALUE"""),"Club")</f>
        <v>Club</v>
      </c>
      <c r="D813" s="49" t="str">
        <f>IFERROR(__xludf.DUMMYFUNCTION("""COMPUTED_VALUE"""),"Hand")</f>
        <v>Hand</v>
      </c>
      <c r="E813" s="49">
        <f>IFERROR(__xludf.DUMMYFUNCTION("""COMPUTED_VALUE"""),3000.0)</f>
        <v>3000</v>
      </c>
      <c r="F813" s="49" t="str">
        <f>IFERROR(__xludf.DUMMYFUNCTION("""COMPUTED_VALUE"""),"DMG: +150000 ++Enemies hit with this weapon cannot cast spells for 2 rounds. +-Cannot be duplicated.")</f>
        <v>DMG: +150000 ++Enemies hit with this weapon cannot cast spells for 2 rounds. +-Cannot be duplicated.</v>
      </c>
      <c r="G813" s="49">
        <f>IFERROR(__xludf.DUMMYFUNCTION("""COMPUTED_VALUE"""),4.485E8)</f>
        <v>448500000</v>
      </c>
      <c r="H813" s="49"/>
      <c r="I813" s="49"/>
      <c r="J813" s="49"/>
      <c r="K813" s="49"/>
      <c r="L813" s="49"/>
      <c r="M813" s="49"/>
      <c r="N813" s="49"/>
      <c r="O813" s="49"/>
      <c r="P813" s="49"/>
      <c r="Q813" s="49"/>
      <c r="R813" s="49"/>
      <c r="S813" s="49"/>
      <c r="T813" s="49"/>
      <c r="U813" s="49"/>
      <c r="V813" s="49"/>
      <c r="W813" s="49"/>
      <c r="X813" s="49"/>
      <c r="Y813" s="49"/>
      <c r="Z813" s="49"/>
    </row>
    <row r="814">
      <c r="A814" s="49" t="str">
        <f>IFERROR(__xludf.DUMMYFUNCTION("""COMPUTED_VALUE"""),"Honest Shirt")</f>
        <v>Honest Shirt</v>
      </c>
      <c r="B814" s="49"/>
      <c r="C814" s="49" t="str">
        <f>IFERROR(__xludf.DUMMYFUNCTION("""COMPUTED_VALUE"""),"Item")</f>
        <v>Item</v>
      </c>
      <c r="D814" s="49" t="str">
        <f>IFERROR(__xludf.DUMMYFUNCTION("""COMPUTED_VALUE"""),"Torso")</f>
        <v>Torso</v>
      </c>
      <c r="E814" s="49">
        <f>IFERROR(__xludf.DUMMYFUNCTION("""COMPUTED_VALUE"""),2000.0)</f>
        <v>2000</v>
      </c>
      <c r="F814" s="49" t="str">
        <f>IFERROR(__xludf.DUMMYFUNCTION("""COMPUTED_VALUE"""),"DEF: +100000 ++25% chance any spell targeting the wearer fails.")</f>
        <v>DEF: +100000 ++25% chance any spell targeting the wearer fails.</v>
      </c>
      <c r="G814" s="49">
        <f>IFERROR(__xludf.DUMMYFUNCTION("""COMPUTED_VALUE"""),1.99E8)</f>
        <v>199000000</v>
      </c>
      <c r="H814" s="49"/>
      <c r="I814" s="49"/>
      <c r="J814" s="49"/>
      <c r="K814" s="49"/>
      <c r="L814" s="49"/>
      <c r="M814" s="49"/>
      <c r="N814" s="49"/>
      <c r="O814" s="49"/>
      <c r="P814" s="49"/>
      <c r="Q814" s="49"/>
      <c r="R814" s="49"/>
      <c r="S814" s="49"/>
      <c r="T814" s="49"/>
      <c r="U814" s="49"/>
      <c r="V814" s="49"/>
      <c r="W814" s="49"/>
      <c r="X814" s="49"/>
      <c r="Y814" s="49"/>
      <c r="Z814" s="49"/>
    </row>
    <row r="815">
      <c r="A815" s="49" t="str">
        <f>IFERROR(__xludf.DUMMYFUNCTION("""COMPUTED_VALUE"""),"Tinfoil Hat")</f>
        <v>Tinfoil Hat</v>
      </c>
      <c r="B815" s="49"/>
      <c r="C815" s="49" t="str">
        <f>IFERROR(__xludf.DUMMYFUNCTION("""COMPUTED_VALUE"""),"Item")</f>
        <v>Item</v>
      </c>
      <c r="D815" s="49" t="str">
        <f>IFERROR(__xludf.DUMMYFUNCTION("""COMPUTED_VALUE"""),"Head")</f>
        <v>Head</v>
      </c>
      <c r="E815" s="49">
        <f>IFERROR(__xludf.DUMMYFUNCTION("""COMPUTED_VALUE"""),1.0)</f>
        <v>1</v>
      </c>
      <c r="F815" s="49" t="str">
        <f>IFERROR(__xludf.DUMMYFUNCTION("""COMPUTED_VALUE""")," ++Immunity to Possession. +-Cannot be duplicated.")</f>
        <v> ++Immunity to Possession. +-Cannot be duplicated.</v>
      </c>
      <c r="G815" s="49">
        <f>IFERROR(__xludf.DUMMYFUNCTION("""COMPUTED_VALUE"""),0.0)</f>
        <v>0</v>
      </c>
      <c r="H815" s="49"/>
      <c r="I815" s="49"/>
      <c r="J815" s="49"/>
      <c r="K815" s="49"/>
      <c r="L815" s="49"/>
      <c r="M815" s="49"/>
      <c r="N815" s="49"/>
      <c r="O815" s="49"/>
      <c r="P815" s="49"/>
      <c r="Q815" s="49"/>
      <c r="R815" s="49"/>
      <c r="S815" s="49"/>
      <c r="T815" s="49"/>
      <c r="U815" s="49"/>
      <c r="V815" s="49"/>
      <c r="W815" s="49"/>
      <c r="X815" s="49"/>
      <c r="Y815" s="49"/>
      <c r="Z815" s="49"/>
    </row>
    <row r="816">
      <c r="A816" s="49" t="str">
        <f>IFERROR(__xludf.DUMMYFUNCTION("""COMPUTED_VALUE"""),"Anti-Magic Glasses")</f>
        <v>Anti-Magic Glasses</v>
      </c>
      <c r="B816" s="49"/>
      <c r="C816" s="49" t="str">
        <f>IFERROR(__xludf.DUMMYFUNCTION("""COMPUTED_VALUE"""),"Item")</f>
        <v>Item</v>
      </c>
      <c r="D816" s="49" t="str">
        <f>IFERROR(__xludf.DUMMYFUNCTION("""COMPUTED_VALUE"""),"Head")</f>
        <v>Head</v>
      </c>
      <c r="E816" s="49">
        <f>IFERROR(__xludf.DUMMYFUNCTION("""COMPUTED_VALUE"""),1.0)</f>
        <v>1</v>
      </c>
      <c r="F816" s="49" t="str">
        <f>IFERROR(__xludf.DUMMYFUNCTION("""COMPUTED_VALUE""")," ++Immunity to Blindness, Disorient, and Twilight. +-Cannot be duplicated")</f>
        <v> ++Immunity to Blindness, Disorient, and Twilight. +-Cannot be duplicated</v>
      </c>
      <c r="G816" s="49">
        <f>IFERROR(__xludf.DUMMYFUNCTION("""COMPUTED_VALUE"""),0.0)</f>
        <v>0</v>
      </c>
      <c r="H816" s="49"/>
      <c r="I816" s="49"/>
      <c r="J816" s="49"/>
      <c r="K816" s="49"/>
      <c r="L816" s="49"/>
      <c r="M816" s="49"/>
      <c r="N816" s="49"/>
      <c r="O816" s="49"/>
      <c r="P816" s="49"/>
      <c r="Q816" s="49"/>
      <c r="R816" s="49"/>
      <c r="S816" s="49"/>
      <c r="T816" s="49"/>
      <c r="U816" s="49"/>
      <c r="V816" s="49"/>
      <c r="W816" s="49"/>
      <c r="X816" s="49"/>
      <c r="Y816" s="49"/>
      <c r="Z816" s="49"/>
    </row>
    <row r="817">
      <c r="A817" s="49" t="str">
        <f>IFERROR(__xludf.DUMMYFUNCTION("""COMPUTED_VALUE"""),"Null Ring")</f>
        <v>Null Ring</v>
      </c>
      <c r="B817" s="49"/>
      <c r="C817" s="49" t="str">
        <f>IFERROR(__xludf.DUMMYFUNCTION("""COMPUTED_VALUE"""),"Item")</f>
        <v>Item</v>
      </c>
      <c r="D817" s="49" t="str">
        <f>IFERROR(__xludf.DUMMYFUNCTION("""COMPUTED_VALUE"""),"Finger")</f>
        <v>Finger</v>
      </c>
      <c r="E817" s="49">
        <f>IFERROR(__xludf.DUMMYFUNCTION("""COMPUTED_VALUE"""),1.0)</f>
        <v>1</v>
      </c>
      <c r="F817" s="49"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49">
        <f>IFERROR(__xludf.DUMMYFUNCTION("""COMPUTED_VALUE"""),0.0)</f>
        <v>0</v>
      </c>
      <c r="H817" s="49"/>
      <c r="I817" s="49"/>
      <c r="J817" s="49"/>
      <c r="K817" s="49"/>
      <c r="L817" s="49"/>
      <c r="M817" s="49"/>
      <c r="N817" s="49"/>
      <c r="O817" s="49"/>
      <c r="P817" s="49"/>
      <c r="Q817" s="49"/>
      <c r="R817" s="49"/>
      <c r="S817" s="49"/>
      <c r="T817" s="49"/>
      <c r="U817" s="49"/>
      <c r="V817" s="49"/>
      <c r="W817" s="49"/>
      <c r="X817" s="49"/>
      <c r="Y817" s="49"/>
      <c r="Z817" s="49"/>
    </row>
    <row r="818">
      <c r="A818" s="49" t="str">
        <f>IFERROR(__xludf.DUMMYFUNCTION("""COMPUTED_VALUE"""),"Quickdraw Bow")</f>
        <v>Quickdraw Bow</v>
      </c>
      <c r="B818" s="49"/>
      <c r="C818" s="49" t="str">
        <f>IFERROR(__xludf.DUMMYFUNCTION("""COMPUTED_VALUE"""),"Bow")</f>
        <v>Bow</v>
      </c>
      <c r="D818" s="49" t="str">
        <f>IFERROR(__xludf.DUMMYFUNCTION("""COMPUTED_VALUE"""),"Hand")</f>
        <v>Hand</v>
      </c>
      <c r="E818" s="49">
        <f>IFERROR(__xludf.DUMMYFUNCTION("""COMPUTED_VALUE"""),2000.0)</f>
        <v>2000</v>
      </c>
      <c r="F818" s="49" t="str">
        <f>IFERROR(__xludf.DUMMYFUNCTION("""COMPUTED_VALUE"""),"DMG: +99500, Spirit DMG: +500 ++Plus 2 to turn order roll +-Cannot be forged or duplicated")</f>
        <v>DMG: +99500, Spirit DMG: +500 ++Plus 2 to turn order roll +-Cannot be forged or duplicated</v>
      </c>
      <c r="G818" s="49">
        <f>IFERROR(__xludf.DUMMYFUNCTION("""COMPUTED_VALUE"""),1.99E8)</f>
        <v>199000000</v>
      </c>
      <c r="H818" s="49"/>
      <c r="I818" s="49"/>
      <c r="J818" s="49"/>
      <c r="K818" s="49"/>
      <c r="L818" s="49"/>
      <c r="M818" s="49"/>
      <c r="N818" s="49"/>
      <c r="O818" s="49"/>
      <c r="P818" s="49"/>
      <c r="Q818" s="49"/>
      <c r="R818" s="49"/>
      <c r="S818" s="49"/>
      <c r="T818" s="49"/>
      <c r="U818" s="49"/>
      <c r="V818" s="49"/>
      <c r="W818" s="49"/>
      <c r="X818" s="49"/>
      <c r="Y818" s="49"/>
      <c r="Z818" s="49"/>
    </row>
    <row r="819">
      <c r="A819" s="49" t="str">
        <f>IFERROR(__xludf.DUMMYFUNCTION("""COMPUTED_VALUE"""),"Chaos Bow")</f>
        <v>Chaos Bow</v>
      </c>
      <c r="B819" s="49"/>
      <c r="C819" s="49" t="str">
        <f>IFERROR(__xludf.DUMMYFUNCTION("""COMPUTED_VALUE"""),"Bow")</f>
        <v>Bow</v>
      </c>
      <c r="D819" s="49" t="str">
        <f>IFERROR(__xludf.DUMMYFUNCTION("""COMPUTED_VALUE"""),"Hand")</f>
        <v>Hand</v>
      </c>
      <c r="E819" s="49">
        <f>IFERROR(__xludf.DUMMYFUNCTION("""COMPUTED_VALUE"""),2600.0)</f>
        <v>2600</v>
      </c>
      <c r="F819" s="49" t="str">
        <f>IFERROR(__xludf.DUMMYFUNCTION("""COMPUTED_VALUE"""),"DMG: +50000, Chaos DMG: +80000 ++This bow targets a random enemy.")</f>
        <v>DMG: +50000, Chaos DMG: +80000 ++This bow targets a random enemy.</v>
      </c>
      <c r="G819" s="49">
        <f>IFERROR(__xludf.DUMMYFUNCTION("""COMPUTED_VALUE"""),3.367E8)</f>
        <v>336700000</v>
      </c>
      <c r="H819" s="49"/>
      <c r="I819" s="49"/>
      <c r="J819" s="49"/>
      <c r="K819" s="49"/>
      <c r="L819" s="49"/>
      <c r="M819" s="49"/>
      <c r="N819" s="49"/>
      <c r="O819" s="49"/>
      <c r="P819" s="49"/>
      <c r="Q819" s="49"/>
      <c r="R819" s="49"/>
      <c r="S819" s="49"/>
      <c r="T819" s="49"/>
      <c r="U819" s="49"/>
      <c r="V819" s="49"/>
      <c r="W819" s="49"/>
      <c r="X819" s="49"/>
      <c r="Y819" s="49"/>
      <c r="Z819" s="49"/>
    </row>
    <row r="820">
      <c r="A820" s="49" t="str">
        <f>IFERROR(__xludf.DUMMYFUNCTION("""COMPUTED_VALUE"""),"Crit Shot Bow")</f>
        <v>Crit Shot Bow</v>
      </c>
      <c r="B820" s="49"/>
      <c r="C820" s="49" t="str">
        <f>IFERROR(__xludf.DUMMYFUNCTION("""COMPUTED_VALUE"""),"Bow")</f>
        <v>Bow</v>
      </c>
      <c r="D820" s="49" t="str">
        <f>IFERROR(__xludf.DUMMYFUNCTION("""COMPUTED_VALUE"""),"Hand")</f>
        <v>Hand</v>
      </c>
      <c r="E820" s="49">
        <f>IFERROR(__xludf.DUMMYFUNCTION("""COMPUTED_VALUE"""),4000.0)</f>
        <v>4000</v>
      </c>
      <c r="F820" s="49" t="str">
        <f>IFERROR(__xludf.DUMMYFUNCTION("""COMPUTED_VALUE"""),"DMG: +200000 ++Deals 3x damage +-Accuracy halved")</f>
        <v>DMG: +200000 ++Deals 3x damage +-Accuracy halved</v>
      </c>
      <c r="G820" s="49">
        <f>IFERROR(__xludf.DUMMYFUNCTION("""COMPUTED_VALUE"""),7.98E8)</f>
        <v>798000000</v>
      </c>
      <c r="H820" s="49"/>
      <c r="I820" s="49"/>
      <c r="J820" s="49"/>
      <c r="K820" s="49"/>
      <c r="L820" s="49"/>
      <c r="M820" s="49"/>
      <c r="N820" s="49"/>
      <c r="O820" s="49"/>
      <c r="P820" s="49"/>
      <c r="Q820" s="49"/>
      <c r="R820" s="49"/>
      <c r="S820" s="49"/>
      <c r="T820" s="49"/>
      <c r="U820" s="49"/>
      <c r="V820" s="49"/>
      <c r="W820" s="49"/>
      <c r="X820" s="49"/>
      <c r="Y820" s="49"/>
      <c r="Z820" s="49"/>
    </row>
    <row r="821">
      <c r="A821" s="49" t="str">
        <f>IFERROR(__xludf.DUMMYFUNCTION("""COMPUTED_VALUE"""),"Incinerating Bow")</f>
        <v>Incinerating Bow</v>
      </c>
      <c r="B821" s="49"/>
      <c r="C821" s="49" t="str">
        <f>IFERROR(__xludf.DUMMYFUNCTION("""COMPUTED_VALUE"""),"Bow")</f>
        <v>Bow</v>
      </c>
      <c r="D821" s="49" t="str">
        <f>IFERROR(__xludf.DUMMYFUNCTION("""COMPUTED_VALUE"""),"Hand")</f>
        <v>Hand</v>
      </c>
      <c r="E821" s="49">
        <f>IFERROR(__xludf.DUMMYFUNCTION("""COMPUTED_VALUE"""),3800.0)</f>
        <v>3800</v>
      </c>
      <c r="F821" s="49"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49">
        <f>IFERROR(__xludf.DUMMYFUNCTION("""COMPUTED_VALUE"""),7.201E8)</f>
        <v>720100000</v>
      </c>
      <c r="H821" s="49"/>
      <c r="I821" s="49"/>
      <c r="J821" s="49"/>
      <c r="K821" s="49"/>
      <c r="L821" s="49"/>
      <c r="M821" s="49"/>
      <c r="N821" s="49"/>
      <c r="O821" s="49"/>
      <c r="P821" s="49"/>
      <c r="Q821" s="49"/>
      <c r="R821" s="49"/>
      <c r="S821" s="49"/>
      <c r="T821" s="49"/>
      <c r="U821" s="49"/>
      <c r="V821" s="49"/>
      <c r="W821" s="49"/>
      <c r="X821" s="49"/>
      <c r="Y821" s="49"/>
      <c r="Z821" s="49"/>
    </row>
    <row r="822">
      <c r="A822" s="49" t="str">
        <f>IFERROR(__xludf.DUMMYFUNCTION("""COMPUTED_VALUE"""),"Bone Bow")</f>
        <v>Bone Bow</v>
      </c>
      <c r="B822" s="49"/>
      <c r="C822" s="49" t="str">
        <f>IFERROR(__xludf.DUMMYFUNCTION("""COMPUTED_VALUE"""),"Bow")</f>
        <v>Bow</v>
      </c>
      <c r="D822" s="49" t="str">
        <f>IFERROR(__xludf.DUMMYFUNCTION("""COMPUTED_VALUE"""),"Hand")</f>
        <v>Hand</v>
      </c>
      <c r="E822" s="49">
        <f>IFERROR(__xludf.DUMMYFUNCTION("""COMPUTED_VALUE"""),3400.0)</f>
        <v>3400</v>
      </c>
      <c r="F822" s="49" t="str">
        <f>IFERROR(__xludf.DUMMYFUNCTION("""COMPUTED_VALUE"""),"DMG: +10000, Blood DMG: +160000 ++ 2x damage when user isundead")</f>
        <v>DMG: +10000, Blood DMG: +160000 ++ 2x damage when user isundead</v>
      </c>
      <c r="G822" s="49">
        <f>IFERROR(__xludf.DUMMYFUNCTION("""COMPUTED_VALUE"""),5.763E8)</f>
        <v>576300000</v>
      </c>
      <c r="H822" s="49"/>
      <c r="I822" s="49"/>
      <c r="J822" s="49"/>
      <c r="K822" s="49"/>
      <c r="L822" s="49"/>
      <c r="M822" s="49"/>
      <c r="N822" s="49"/>
      <c r="O822" s="49"/>
      <c r="P822" s="49"/>
      <c r="Q822" s="49"/>
      <c r="R822" s="49"/>
      <c r="S822" s="49"/>
      <c r="T822" s="49"/>
      <c r="U822" s="49"/>
      <c r="V822" s="49"/>
      <c r="W822" s="49"/>
      <c r="X822" s="49"/>
      <c r="Y822" s="49"/>
      <c r="Z822" s="49"/>
    </row>
    <row r="823">
      <c r="A823" s="49" t="str">
        <f>IFERROR(__xludf.DUMMYFUNCTION("""COMPUTED_VALUE"""),"Assassin's Fake Harp")</f>
        <v>Assassin's Fake Harp</v>
      </c>
      <c r="B823" s="49"/>
      <c r="C823" s="49" t="str">
        <f>IFERROR(__xludf.DUMMYFUNCTION("""COMPUTED_VALUE"""),"Bow")</f>
        <v>Bow</v>
      </c>
      <c r="D823" s="49" t="str">
        <f>IFERROR(__xludf.DUMMYFUNCTION("""COMPUTED_VALUE"""),"Hand")</f>
        <v>Hand</v>
      </c>
      <c r="E823" s="49">
        <f>IFERROR(__xludf.DUMMYFUNCTION("""COMPUTED_VALUE"""),3000.0)</f>
        <v>3000</v>
      </c>
      <c r="F823" s="49" t="str">
        <f>IFERROR(__xludf.DUMMYFUNCTION("""COMPUTED_VALUE"""),"DMG: +50000, Acoustic DMG: +100000 ++Deals X2 additional damage for the first round of battle.")</f>
        <v>DMG: +50000, Acoustic DMG: +100000 ++Deals X2 additional damage for the first round of battle.</v>
      </c>
      <c r="G823" s="49">
        <f>IFERROR(__xludf.DUMMYFUNCTION("""COMPUTED_VALUE"""),4.485E8)</f>
        <v>448500000</v>
      </c>
      <c r="H823" s="49"/>
      <c r="I823" s="49"/>
      <c r="J823" s="49"/>
      <c r="K823" s="49"/>
      <c r="L823" s="49"/>
      <c r="M823" s="49"/>
      <c r="N823" s="49"/>
      <c r="O823" s="49"/>
      <c r="P823" s="49"/>
      <c r="Q823" s="49"/>
      <c r="R823" s="49"/>
      <c r="S823" s="49"/>
      <c r="T823" s="49"/>
      <c r="U823" s="49"/>
      <c r="V823" s="49"/>
      <c r="W823" s="49"/>
      <c r="X823" s="49"/>
      <c r="Y823" s="49"/>
      <c r="Z823" s="49"/>
    </row>
    <row r="824">
      <c r="A824" s="49" t="str">
        <f>IFERROR(__xludf.DUMMYFUNCTION("""COMPUTED_VALUE"""),"Broken Bow")</f>
        <v>Broken Bow</v>
      </c>
      <c r="B824" s="49"/>
      <c r="C824" s="49" t="str">
        <f>IFERROR(__xludf.DUMMYFUNCTION("""COMPUTED_VALUE"""),"Club")</f>
        <v>Club</v>
      </c>
      <c r="D824" s="49" t="str">
        <f>IFERROR(__xludf.DUMMYFUNCTION("""COMPUTED_VALUE"""),"Hand")</f>
        <v>Hand</v>
      </c>
      <c r="E824" s="49">
        <f>IFERROR(__xludf.DUMMYFUNCTION("""COMPUTED_VALUE"""),20.0)</f>
        <v>20</v>
      </c>
      <c r="F824" s="49" t="str">
        <f>IFERROR(__xludf.DUMMYFUNCTION("""COMPUTED_VALUE"""),"DMG: +1000")</f>
        <v>DMG: +1000</v>
      </c>
      <c r="G824" s="49">
        <f>IFERROR(__xludf.DUMMYFUNCTION("""COMPUTED_VALUE"""),10000.0)</f>
        <v>10000</v>
      </c>
      <c r="H824" s="49"/>
      <c r="I824" s="49"/>
      <c r="J824" s="49"/>
      <c r="K824" s="49"/>
      <c r="L824" s="49"/>
      <c r="M824" s="49"/>
      <c r="N824" s="49"/>
      <c r="O824" s="49"/>
      <c r="P824" s="49"/>
      <c r="Q824" s="49"/>
      <c r="R824" s="49"/>
      <c r="S824" s="49"/>
      <c r="T824" s="49"/>
      <c r="U824" s="49"/>
      <c r="V824" s="49"/>
      <c r="W824" s="49"/>
      <c r="X824" s="49"/>
      <c r="Y824" s="49"/>
      <c r="Z824" s="49"/>
    </row>
    <row r="825">
      <c r="A825" s="49" t="str">
        <f>IFERROR(__xludf.DUMMYFUNCTION("""COMPUTED_VALUE"""),"Lizard Wizard Hat")</f>
        <v>Lizard Wizard Hat</v>
      </c>
      <c r="B825" s="49"/>
      <c r="C825" s="49" t="str">
        <f>IFERROR(__xludf.DUMMYFUNCTION("""COMPUTED_VALUE"""),"Item")</f>
        <v>Item</v>
      </c>
      <c r="D825" s="49" t="str">
        <f>IFERROR(__xludf.DUMMYFUNCTION("""COMPUTED_VALUE"""),"Head")</f>
        <v>Head</v>
      </c>
      <c r="E825" s="49">
        <f>IFERROR(__xludf.DUMMYFUNCTION("""COMPUTED_VALUE"""),200.0)</f>
        <v>200</v>
      </c>
      <c r="F825" s="49" t="str">
        <f>IFERROR(__xludf.DUMMYFUNCTION("""COMPUTED_VALUE"""),"DEF: +10000 ++7500 hp and sp, X2 poison damage")</f>
        <v>DEF: +10000 ++7500 hp and sp, X2 poison damage</v>
      </c>
      <c r="G825" s="49">
        <f>IFERROR(__xludf.DUMMYFUNCTION("""COMPUTED_VALUE"""),1900000.0)</f>
        <v>1900000</v>
      </c>
      <c r="H825" s="49"/>
      <c r="I825" s="49"/>
      <c r="J825" s="49"/>
      <c r="K825" s="49"/>
      <c r="L825" s="49"/>
      <c r="M825" s="49"/>
      <c r="N825" s="49"/>
      <c r="O825" s="49"/>
      <c r="P825" s="49"/>
      <c r="Q825" s="49"/>
      <c r="R825" s="49"/>
      <c r="S825" s="49"/>
      <c r="T825" s="49"/>
      <c r="U825" s="49"/>
      <c r="V825" s="49"/>
      <c r="W825" s="49"/>
      <c r="X825" s="49"/>
      <c r="Y825" s="49"/>
      <c r="Z825" s="49"/>
    </row>
    <row r="826">
      <c r="A826" s="49" t="str">
        <f>IFERROR(__xludf.DUMMYFUNCTION("""COMPUTED_VALUE"""),"Lizard Wizard Robes")</f>
        <v>Lizard Wizard Robes</v>
      </c>
      <c r="B826" s="49"/>
      <c r="C826" s="49" t="str">
        <f>IFERROR(__xludf.DUMMYFUNCTION("""COMPUTED_VALUE"""),"Item")</f>
        <v>Item</v>
      </c>
      <c r="D826" s="49" t="str">
        <f>IFERROR(__xludf.DUMMYFUNCTION("""COMPUTED_VALUE"""),"Torso")</f>
        <v>Torso</v>
      </c>
      <c r="E826" s="49">
        <f>IFERROR(__xludf.DUMMYFUNCTION("""COMPUTED_VALUE"""),200.0)</f>
        <v>200</v>
      </c>
      <c r="F826" s="49" t="str">
        <f>IFERROR(__xludf.DUMMYFUNCTION("""COMPUTED_VALUE"""),"DEF: +10000 ++7500 hp and sp, X2 poison damage")</f>
        <v>DEF: +10000 ++7500 hp and sp, X2 poison damage</v>
      </c>
      <c r="G826" s="49">
        <f>IFERROR(__xludf.DUMMYFUNCTION("""COMPUTED_VALUE"""),1900000.0)</f>
        <v>1900000</v>
      </c>
      <c r="H826" s="49"/>
      <c r="I826" s="49"/>
      <c r="J826" s="49"/>
      <c r="K826" s="49"/>
      <c r="L826" s="49"/>
      <c r="M826" s="49"/>
      <c r="N826" s="49"/>
      <c r="O826" s="49"/>
      <c r="P826" s="49"/>
      <c r="Q826" s="49"/>
      <c r="R826" s="49"/>
      <c r="S826" s="49"/>
      <c r="T826" s="49"/>
      <c r="U826" s="49"/>
      <c r="V826" s="49"/>
      <c r="W826" s="49"/>
      <c r="X826" s="49"/>
      <c r="Y826" s="49"/>
      <c r="Z826" s="49"/>
    </row>
    <row r="827">
      <c r="A827" s="49" t="str">
        <f>IFERROR(__xludf.DUMMYFUNCTION("""COMPUTED_VALUE"""),"Lizard Wizard Leggings")</f>
        <v>Lizard Wizard Leggings</v>
      </c>
      <c r="B827" s="49"/>
      <c r="C827" s="49" t="str">
        <f>IFERROR(__xludf.DUMMYFUNCTION("""COMPUTED_VALUE"""),"Item")</f>
        <v>Item</v>
      </c>
      <c r="D827" s="49" t="str">
        <f>IFERROR(__xludf.DUMMYFUNCTION("""COMPUTED_VALUE"""),"Legs")</f>
        <v>Legs</v>
      </c>
      <c r="E827" s="49">
        <f>IFERROR(__xludf.DUMMYFUNCTION("""COMPUTED_VALUE"""),200.0)</f>
        <v>200</v>
      </c>
      <c r="F827" s="49" t="str">
        <f>IFERROR(__xludf.DUMMYFUNCTION("""COMPUTED_VALUE"""),"DEF: +10000 ++7500 hp and sp, X2 poison damage")</f>
        <v>DEF: +10000 ++7500 hp and sp, X2 poison damage</v>
      </c>
      <c r="G827" s="49">
        <f>IFERROR(__xludf.DUMMYFUNCTION("""COMPUTED_VALUE"""),1900000.0)</f>
        <v>1900000</v>
      </c>
      <c r="H827" s="49"/>
      <c r="I827" s="49"/>
      <c r="J827" s="49"/>
      <c r="K827" s="49"/>
      <c r="L827" s="49"/>
      <c r="M827" s="49"/>
      <c r="N827" s="49"/>
      <c r="O827" s="49"/>
      <c r="P827" s="49"/>
      <c r="Q827" s="49"/>
      <c r="R827" s="49"/>
      <c r="S827" s="49"/>
      <c r="T827" s="49"/>
      <c r="U827" s="49"/>
      <c r="V827" s="49"/>
      <c r="W827" s="49"/>
      <c r="X827" s="49"/>
      <c r="Y827" s="49"/>
      <c r="Z827" s="49"/>
    </row>
    <row r="828">
      <c r="A828" s="49" t="str">
        <f>IFERROR(__xludf.DUMMYFUNCTION("""COMPUTED_VALUE"""),"Lizard Wizard Pointed Shoes")</f>
        <v>Lizard Wizard Pointed Shoes</v>
      </c>
      <c r="B828" s="49"/>
      <c r="C828" s="49" t="str">
        <f>IFERROR(__xludf.DUMMYFUNCTION("""COMPUTED_VALUE"""),"Item")</f>
        <v>Item</v>
      </c>
      <c r="D828" s="49" t="str">
        <f>IFERROR(__xludf.DUMMYFUNCTION("""COMPUTED_VALUE"""),"Feet")</f>
        <v>Feet</v>
      </c>
      <c r="E828" s="49">
        <f>IFERROR(__xludf.DUMMYFUNCTION("""COMPUTED_VALUE"""),200.0)</f>
        <v>200</v>
      </c>
      <c r="F828" s="49" t="str">
        <f>IFERROR(__xludf.DUMMYFUNCTION("""COMPUTED_VALUE"""),"DEF: +10000 ++7500 hp and sp, X2 poison damage")</f>
        <v>DEF: +10000 ++7500 hp and sp, X2 poison damage</v>
      </c>
      <c r="G828" s="49">
        <f>IFERROR(__xludf.DUMMYFUNCTION("""COMPUTED_VALUE"""),1900000.0)</f>
        <v>1900000</v>
      </c>
      <c r="H828" s="49"/>
      <c r="I828" s="49"/>
      <c r="J828" s="49"/>
      <c r="K828" s="49"/>
      <c r="L828" s="49"/>
      <c r="M828" s="49"/>
      <c r="N828" s="49"/>
      <c r="O828" s="49"/>
      <c r="P828" s="49"/>
      <c r="Q828" s="49"/>
      <c r="R828" s="49"/>
      <c r="S828" s="49"/>
      <c r="T828" s="49"/>
      <c r="U828" s="49"/>
      <c r="V828" s="49"/>
      <c r="W828" s="49"/>
      <c r="X828" s="49"/>
      <c r="Y828" s="49"/>
      <c r="Z828" s="49"/>
    </row>
    <row r="829">
      <c r="A829" s="49" t="str">
        <f>IFERROR(__xludf.DUMMYFUNCTION("""COMPUTED_VALUE"""),"Lizard Wizard Staff of Corroding Blizzard")</f>
        <v>Lizard Wizard Staff of Corroding Blizzard</v>
      </c>
      <c r="B829" s="49"/>
      <c r="C829" s="49" t="str">
        <f>IFERROR(__xludf.DUMMYFUNCTION("""COMPUTED_VALUE"""),"Staff")</f>
        <v>Staff</v>
      </c>
      <c r="D829" s="49" t="str">
        <f>IFERROR(__xludf.DUMMYFUNCTION("""COMPUTED_VALUE"""),"Hand")</f>
        <v>Hand</v>
      </c>
      <c r="E829" s="49">
        <f>IFERROR(__xludf.DUMMYFUNCTION("""COMPUTED_VALUE"""),3000.0)</f>
        <v>3000</v>
      </c>
      <c r="F829" s="49"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49">
        <f>IFERROR(__xludf.DUMMYFUNCTION("""COMPUTED_VALUE"""),4.485E8)</f>
        <v>448500000</v>
      </c>
      <c r="H829" s="49"/>
      <c r="I829" s="49"/>
      <c r="J829" s="49"/>
      <c r="K829" s="49"/>
      <c r="L829" s="49"/>
      <c r="M829" s="49"/>
      <c r="N829" s="49"/>
      <c r="O829" s="49"/>
      <c r="P829" s="49"/>
      <c r="Q829" s="49"/>
      <c r="R829" s="49"/>
      <c r="S829" s="49"/>
      <c r="T829" s="49"/>
      <c r="U829" s="49"/>
      <c r="V829" s="49"/>
      <c r="W829" s="49"/>
      <c r="X829" s="49"/>
      <c r="Y829" s="49"/>
      <c r="Z829" s="49"/>
    </row>
    <row r="830">
      <c r="A830" s="49" t="str">
        <f>IFERROR(__xludf.DUMMYFUNCTION("""COMPUTED_VALUE"""),"Lizard Wizard's Prized Ring")</f>
        <v>Lizard Wizard's Prized Ring</v>
      </c>
      <c r="B830" s="49" t="str">
        <f>IFERROR(__xludf.DUMMYFUNCTION("""COMPUTED_VALUE"""),"""The Most Prized shiny of all lizard wizard kind!"" ~Lizard Wizzard Gizzard")</f>
        <v>"The Most Prized shiny of all lizard wizard kind!" ~Lizard Wizzard Gizzard</v>
      </c>
      <c r="C830" s="49" t="str">
        <f>IFERROR(__xludf.DUMMYFUNCTION("""COMPUTED_VALUE"""),"Item")</f>
        <v>Item</v>
      </c>
      <c r="D830" s="49" t="str">
        <f>IFERROR(__xludf.DUMMYFUNCTION("""COMPUTED_VALUE"""),"Finger")</f>
        <v>Finger</v>
      </c>
      <c r="E830" s="49">
        <f>IFERROR(__xludf.DUMMYFUNCTION("""COMPUTED_VALUE"""),2000.0)</f>
        <v>2000</v>
      </c>
      <c r="F830" s="49" t="str">
        <f>IFERROR(__xludf.DUMMYFUNCTION("""COMPUTED_VALUE"""),"DEF: +100000 ++X5 Poison and Nature damage, +5 Wisdom for every enemy poisoned.")</f>
        <v>DEF: +100000 ++X5 Poison and Nature damage, +5 Wisdom for every enemy poisoned.</v>
      </c>
      <c r="G830" s="49">
        <f>IFERROR(__xludf.DUMMYFUNCTION("""COMPUTED_VALUE"""),1.99E8)</f>
        <v>199000000</v>
      </c>
      <c r="H830" s="49"/>
      <c r="I830" s="49"/>
      <c r="J830" s="49"/>
      <c r="K830" s="49"/>
      <c r="L830" s="49"/>
      <c r="M830" s="49"/>
      <c r="N830" s="49"/>
      <c r="O830" s="49"/>
      <c r="P830" s="49"/>
      <c r="Q830" s="49"/>
      <c r="R830" s="49"/>
      <c r="S830" s="49"/>
      <c r="T830" s="49"/>
      <c r="U830" s="49"/>
      <c r="V830" s="49"/>
      <c r="W830" s="49"/>
      <c r="X830" s="49"/>
      <c r="Y830" s="49"/>
      <c r="Z830" s="49"/>
    </row>
    <row r="831">
      <c r="A831" s="49" t="str">
        <f>IFERROR(__xludf.DUMMYFUNCTION("""COMPUTED_VALUE"""),"Lizard Thief's Bandana")</f>
        <v>Lizard Thief's Bandana</v>
      </c>
      <c r="B831" s="49"/>
      <c r="C831" s="49" t="str">
        <f>IFERROR(__xludf.DUMMYFUNCTION("""COMPUTED_VALUE"""),"Item")</f>
        <v>Item</v>
      </c>
      <c r="D831" s="49" t="str">
        <f>IFERROR(__xludf.DUMMYFUNCTION("""COMPUTED_VALUE"""),"Head")</f>
        <v>Head</v>
      </c>
      <c r="E831" s="49">
        <f>IFERROR(__xludf.DUMMYFUNCTION("""COMPUTED_VALUE"""),2000.0)</f>
        <v>2000</v>
      </c>
      <c r="F831" s="49" t="str">
        <f>IFERROR(__xludf.DUMMYFUNCTION("""COMPUTED_VALUE"""),"DEF: +100000 ++15000 ATK and ACC  ++X4 Knife Damage")</f>
        <v>DEF: +100000 ++15000 ATK and ACC  ++X4 Knife Damage</v>
      </c>
      <c r="G831" s="49">
        <f>IFERROR(__xludf.DUMMYFUNCTION("""COMPUTED_VALUE"""),1.99E8)</f>
        <v>199000000</v>
      </c>
      <c r="H831" s="49"/>
      <c r="I831" s="49"/>
      <c r="J831" s="49"/>
      <c r="K831" s="49"/>
      <c r="L831" s="49"/>
      <c r="M831" s="49"/>
      <c r="N831" s="49"/>
      <c r="O831" s="49"/>
      <c r="P831" s="49"/>
      <c r="Q831" s="49"/>
      <c r="R831" s="49"/>
      <c r="S831" s="49"/>
      <c r="T831" s="49"/>
      <c r="U831" s="49"/>
      <c r="V831" s="49"/>
      <c r="W831" s="49"/>
      <c r="X831" s="49"/>
      <c r="Y831" s="49"/>
      <c r="Z831" s="49"/>
    </row>
    <row r="832">
      <c r="A832" s="49" t="str">
        <f>IFERROR(__xludf.DUMMYFUNCTION("""COMPUTED_VALUE"""),"Lizard Thief's Leathers")</f>
        <v>Lizard Thief's Leathers</v>
      </c>
      <c r="B832" s="49"/>
      <c r="C832" s="49" t="str">
        <f>IFERROR(__xludf.DUMMYFUNCTION("""COMPUTED_VALUE"""),"Item")</f>
        <v>Item</v>
      </c>
      <c r="D832" s="49" t="str">
        <f>IFERROR(__xludf.DUMMYFUNCTION("""COMPUTED_VALUE"""),"Torso")</f>
        <v>Torso</v>
      </c>
      <c r="E832" s="49">
        <f>IFERROR(__xludf.DUMMYFUNCTION("""COMPUTED_VALUE"""),2000.0)</f>
        <v>2000</v>
      </c>
      <c r="F832" s="49" t="str">
        <f>IFERROR(__xludf.DUMMYFUNCTION("""COMPUTED_VALUE"""),"DEF: +100000 ++15000 ATK and ACC ++X4 Knife Damage")</f>
        <v>DEF: +100000 ++15000 ATK and ACC ++X4 Knife Damage</v>
      </c>
      <c r="G832" s="49">
        <f>IFERROR(__xludf.DUMMYFUNCTION("""COMPUTED_VALUE"""),1.99E8)</f>
        <v>199000000</v>
      </c>
      <c r="H832" s="49"/>
      <c r="I832" s="49"/>
      <c r="J832" s="49"/>
      <c r="K832" s="49"/>
      <c r="L832" s="49"/>
      <c r="M832" s="49"/>
      <c r="N832" s="49"/>
      <c r="O832" s="49"/>
      <c r="P832" s="49"/>
      <c r="Q832" s="49"/>
      <c r="R832" s="49"/>
      <c r="S832" s="49"/>
      <c r="T832" s="49"/>
      <c r="U832" s="49"/>
      <c r="V832" s="49"/>
      <c r="W832" s="49"/>
      <c r="X832" s="49"/>
      <c r="Y832" s="49"/>
      <c r="Z832" s="49"/>
    </row>
    <row r="833">
      <c r="A833" s="49" t="str">
        <f>IFERROR(__xludf.DUMMYFUNCTION("""COMPUTED_VALUE"""),"Lizard Thief's Pants")</f>
        <v>Lizard Thief's Pants</v>
      </c>
      <c r="B833" s="49"/>
      <c r="C833" s="49" t="str">
        <f>IFERROR(__xludf.DUMMYFUNCTION("""COMPUTED_VALUE"""),"Item")</f>
        <v>Item</v>
      </c>
      <c r="D833" s="49" t="str">
        <f>IFERROR(__xludf.DUMMYFUNCTION("""COMPUTED_VALUE"""),"Legs")</f>
        <v>Legs</v>
      </c>
      <c r="E833" s="49">
        <f>IFERROR(__xludf.DUMMYFUNCTION("""COMPUTED_VALUE"""),2000.0)</f>
        <v>2000</v>
      </c>
      <c r="F833" s="49" t="str">
        <f>IFERROR(__xludf.DUMMYFUNCTION("""COMPUTED_VALUE"""),"DEF: +100000 ++15000 ATK and ACC ++X4 Knife Damage")</f>
        <v>DEF: +100000 ++15000 ATK and ACC ++X4 Knife Damage</v>
      </c>
      <c r="G833" s="49">
        <f>IFERROR(__xludf.DUMMYFUNCTION("""COMPUTED_VALUE"""),1.99E8)</f>
        <v>199000000</v>
      </c>
      <c r="H833" s="49"/>
      <c r="I833" s="49"/>
      <c r="J833" s="49"/>
      <c r="K833" s="49"/>
      <c r="L833" s="49"/>
      <c r="M833" s="49"/>
      <c r="N833" s="49"/>
      <c r="O833" s="49"/>
      <c r="P833" s="49"/>
      <c r="Q833" s="49"/>
      <c r="R833" s="49"/>
      <c r="S833" s="49"/>
      <c r="T833" s="49"/>
      <c r="U833" s="49"/>
      <c r="V833" s="49"/>
      <c r="W833" s="49"/>
      <c r="X833" s="49"/>
      <c r="Y833" s="49"/>
      <c r="Z833" s="49"/>
    </row>
    <row r="834">
      <c r="A834" s="49" t="str">
        <f>IFERROR(__xludf.DUMMYFUNCTION("""COMPUTED_VALUE"""),"Lizard Thief's Boots")</f>
        <v>Lizard Thief's Boots</v>
      </c>
      <c r="B834" s="49"/>
      <c r="C834" s="49" t="str">
        <f>IFERROR(__xludf.DUMMYFUNCTION("""COMPUTED_VALUE"""),"Item")</f>
        <v>Item</v>
      </c>
      <c r="D834" s="49" t="str">
        <f>IFERROR(__xludf.DUMMYFUNCTION("""COMPUTED_VALUE"""),"Feet")</f>
        <v>Feet</v>
      </c>
      <c r="E834" s="49">
        <f>IFERROR(__xludf.DUMMYFUNCTION("""COMPUTED_VALUE"""),2000.0)</f>
        <v>2000</v>
      </c>
      <c r="F834" s="49" t="str">
        <f>IFERROR(__xludf.DUMMYFUNCTION("""COMPUTED_VALUE"""),"DEF: +100000 ++15000 ATK and ACC ++X4 Knife Damage")</f>
        <v>DEF: +100000 ++15000 ATK and ACC ++X4 Knife Damage</v>
      </c>
      <c r="G834" s="49">
        <f>IFERROR(__xludf.DUMMYFUNCTION("""COMPUTED_VALUE"""),1.99E8)</f>
        <v>199000000</v>
      </c>
      <c r="H834" s="49"/>
      <c r="I834" s="49"/>
      <c r="J834" s="49"/>
      <c r="K834" s="49"/>
      <c r="L834" s="49"/>
      <c r="M834" s="49"/>
      <c r="N834" s="49"/>
      <c r="O834" s="49"/>
      <c r="P834" s="49"/>
      <c r="Q834" s="49"/>
      <c r="R834" s="49"/>
      <c r="S834" s="49"/>
      <c r="T834" s="49"/>
      <c r="U834" s="49"/>
      <c r="V834" s="49"/>
      <c r="W834" s="49"/>
      <c r="X834" s="49"/>
      <c r="Y834" s="49"/>
      <c r="Z834" s="49"/>
    </row>
    <row r="835">
      <c r="A835" s="49" t="str">
        <f>IFERROR(__xludf.DUMMYFUNCTION("""COMPUTED_VALUE"""),"Lizard Thief's Shiny Swiper")</f>
        <v>Lizard Thief's Shiny Swiper</v>
      </c>
      <c r="B835" s="49"/>
      <c r="C835" s="49" t="str">
        <f>IFERROR(__xludf.DUMMYFUNCTION("""COMPUTED_VALUE"""),"Knife")</f>
        <v>Knife</v>
      </c>
      <c r="D835" s="49" t="str">
        <f>IFERROR(__xludf.DUMMYFUNCTION("""COMPUTED_VALUE"""),"Hand")</f>
        <v>Hand</v>
      </c>
      <c r="E835" s="49">
        <f>IFERROR(__xludf.DUMMYFUNCTION("""COMPUTED_VALUE"""),3000.0)</f>
        <v>3000</v>
      </c>
      <c r="F835" s="49"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49">
        <f>IFERROR(__xludf.DUMMYFUNCTION("""COMPUTED_VALUE"""),4.485E8)</f>
        <v>448500000</v>
      </c>
      <c r="H835" s="49"/>
      <c r="I835" s="49"/>
      <c r="J835" s="49"/>
      <c r="K835" s="49"/>
      <c r="L835" s="49"/>
      <c r="M835" s="49"/>
      <c r="N835" s="49"/>
      <c r="O835" s="49"/>
      <c r="P835" s="49"/>
      <c r="Q835" s="49"/>
      <c r="R835" s="49"/>
      <c r="S835" s="49"/>
      <c r="T835" s="49"/>
      <c r="U835" s="49"/>
      <c r="V835" s="49"/>
      <c r="W835" s="49"/>
      <c r="X835" s="49"/>
      <c r="Y835" s="49"/>
      <c r="Z835" s="49"/>
    </row>
    <row r="836">
      <c r="A836" s="49" t="str">
        <f>IFERROR(__xludf.DUMMYFUNCTION("""COMPUTED_VALUE"""),"Wyrmstone Club")</f>
        <v>Wyrmstone Club</v>
      </c>
      <c r="B836" s="49"/>
      <c r="C836" s="49" t="str">
        <f>IFERROR(__xludf.DUMMYFUNCTION("""COMPUTED_VALUE"""),"Club")</f>
        <v>Club</v>
      </c>
      <c r="D836" s="49" t="str">
        <f>IFERROR(__xludf.DUMMYFUNCTION("""COMPUTED_VALUE"""),"Hand")</f>
        <v>Hand</v>
      </c>
      <c r="E836" s="49">
        <f>IFERROR(__xludf.DUMMYFUNCTION("""COMPUTED_VALUE"""),2000.0)</f>
        <v>2000</v>
      </c>
      <c r="F836" s="49" t="str">
        <f>IFERROR(__xludf.DUMMYFUNCTION("""COMPUTED_VALUE"""),"DMG: +100000 +- Half damage against dragons")</f>
        <v>DMG: +100000 +- Half damage against dragons</v>
      </c>
      <c r="G836" s="49">
        <f>IFERROR(__xludf.DUMMYFUNCTION("""COMPUTED_VALUE"""),1.99E8)</f>
        <v>199000000</v>
      </c>
      <c r="H836" s="49"/>
      <c r="I836" s="49"/>
      <c r="J836" s="49"/>
      <c r="K836" s="49"/>
      <c r="L836" s="49"/>
      <c r="M836" s="49"/>
      <c r="N836" s="49"/>
      <c r="O836" s="49"/>
      <c r="P836" s="49"/>
      <c r="Q836" s="49"/>
      <c r="R836" s="49"/>
      <c r="S836" s="49"/>
      <c r="T836" s="49"/>
      <c r="U836" s="49"/>
      <c r="V836" s="49"/>
      <c r="W836" s="49"/>
      <c r="X836" s="49"/>
      <c r="Y836" s="49"/>
      <c r="Z836" s="49"/>
    </row>
    <row r="837">
      <c r="A837" s="49" t="str">
        <f>IFERROR(__xludf.DUMMYFUNCTION("""COMPUTED_VALUE"""),"Wyrmstone Mail")</f>
        <v>Wyrmstone Mail</v>
      </c>
      <c r="B837" s="49"/>
      <c r="C837" s="49" t="str">
        <f>IFERROR(__xludf.DUMMYFUNCTION("""COMPUTED_VALUE"""),"Item")</f>
        <v>Item</v>
      </c>
      <c r="D837" s="49" t="str">
        <f>IFERROR(__xludf.DUMMYFUNCTION("""COMPUTED_VALUE"""),"Torso")</f>
        <v>Torso</v>
      </c>
      <c r="E837" s="49">
        <f>IFERROR(__xludf.DUMMYFUNCTION("""COMPUTED_VALUE"""),2800.0)</f>
        <v>2800</v>
      </c>
      <c r="F837" s="49" t="str">
        <f>IFERROR(__xludf.DUMMYFUNCTION("""COMPUTED_VALUE"""),"DEF: +140000 ++Half damage received from dragons +-Cannot be forged or duplicated")</f>
        <v>DEF: +140000 ++Half damage received from dragons +-Cannot be forged or duplicated</v>
      </c>
      <c r="G837" s="49">
        <f>IFERROR(__xludf.DUMMYFUNCTION("""COMPUTED_VALUE"""),3.906E8)</f>
        <v>390600000</v>
      </c>
      <c r="H837" s="49"/>
      <c r="I837" s="49"/>
      <c r="J837" s="49"/>
      <c r="K837" s="49"/>
      <c r="L837" s="49"/>
      <c r="M837" s="49"/>
      <c r="N837" s="49"/>
      <c r="O837" s="49"/>
      <c r="P837" s="49"/>
      <c r="Q837" s="49"/>
      <c r="R837" s="49"/>
      <c r="S837" s="49"/>
      <c r="T837" s="49"/>
      <c r="U837" s="49"/>
      <c r="V837" s="49"/>
      <c r="W837" s="49"/>
      <c r="X837" s="49"/>
      <c r="Y837" s="49"/>
      <c r="Z837" s="49"/>
    </row>
    <row r="838">
      <c r="A838" s="49" t="str">
        <f>IFERROR(__xludf.DUMMYFUNCTION("""COMPUTED_VALUE"""),"Wyrmstone Helm")</f>
        <v>Wyrmstone Helm</v>
      </c>
      <c r="B838" s="49"/>
      <c r="C838" s="49" t="str">
        <f>IFERROR(__xludf.DUMMYFUNCTION("""COMPUTED_VALUE"""),"Item")</f>
        <v>Item</v>
      </c>
      <c r="D838" s="49" t="str">
        <f>IFERROR(__xludf.DUMMYFUNCTION("""COMPUTED_VALUE"""),"Head")</f>
        <v>Head</v>
      </c>
      <c r="E838" s="49">
        <f>IFERROR(__xludf.DUMMYFUNCTION("""COMPUTED_VALUE"""),2400.0)</f>
        <v>2400</v>
      </c>
      <c r="F838" s="49" t="str">
        <f>IFERROR(__xludf.DUMMYFUNCTION("""COMPUTED_VALUE"""),"DEF: +120000 +-Cannot be forged or duplicated")</f>
        <v>DEF: +120000 +-Cannot be forged or duplicated</v>
      </c>
      <c r="G838" s="49">
        <f>IFERROR(__xludf.DUMMYFUNCTION("""COMPUTED_VALUE"""),2.868E8)</f>
        <v>286800000</v>
      </c>
      <c r="H838" s="49"/>
      <c r="I838" s="49"/>
      <c r="J838" s="49"/>
      <c r="K838" s="49"/>
      <c r="L838" s="49"/>
      <c r="M838" s="49"/>
      <c r="N838" s="49"/>
      <c r="O838" s="49"/>
      <c r="P838" s="49"/>
      <c r="Q838" s="49"/>
      <c r="R838" s="49"/>
      <c r="S838" s="49"/>
      <c r="T838" s="49"/>
      <c r="U838" s="49"/>
      <c r="V838" s="49"/>
      <c r="W838" s="49"/>
      <c r="X838" s="49"/>
      <c r="Y838" s="49"/>
      <c r="Z838" s="49"/>
    </row>
    <row r="839">
      <c r="A839" s="49" t="str">
        <f>IFERROR(__xludf.DUMMYFUNCTION("""COMPUTED_VALUE"""),"Wyrmstone Buckler")</f>
        <v>Wyrmstone Buckler</v>
      </c>
      <c r="B839" s="49"/>
      <c r="C839" s="49" t="str">
        <f>IFERROR(__xludf.DUMMYFUNCTION("""COMPUTED_VALUE"""),"Buckler")</f>
        <v>Buckler</v>
      </c>
      <c r="D839" s="49" t="str">
        <f>IFERROR(__xludf.DUMMYFUNCTION("""COMPUTED_VALUE"""),"Hand")</f>
        <v>Hand</v>
      </c>
      <c r="E839" s="49">
        <f>IFERROR(__xludf.DUMMYFUNCTION("""COMPUTED_VALUE"""),3000.0)</f>
        <v>3000</v>
      </c>
      <c r="F839" s="49" t="str">
        <f>IFERROR(__xludf.DUMMYFUNCTION("""COMPUTED_VALUE"""),"DEF: +150000 ++25% chance to parry dragons' attacks +-Cannot be forged or duplicated")</f>
        <v>DEF: +150000 ++25% chance to parry dragons' attacks +-Cannot be forged or duplicated</v>
      </c>
      <c r="G839" s="49">
        <f>IFERROR(__xludf.DUMMYFUNCTION("""COMPUTED_VALUE"""),4.485E8)</f>
        <v>448500000</v>
      </c>
      <c r="H839" s="49"/>
      <c r="I839" s="49"/>
      <c r="J839" s="49"/>
      <c r="K839" s="49"/>
      <c r="L839" s="49"/>
      <c r="M839" s="49"/>
      <c r="N839" s="49"/>
      <c r="O839" s="49"/>
      <c r="P839" s="49"/>
      <c r="Q839" s="49"/>
      <c r="R839" s="49"/>
      <c r="S839" s="49"/>
      <c r="T839" s="49"/>
      <c r="U839" s="49"/>
      <c r="V839" s="49"/>
      <c r="W839" s="49"/>
      <c r="X839" s="49"/>
      <c r="Y839" s="49"/>
      <c r="Z839" s="49"/>
    </row>
    <row r="840">
      <c r="A840" s="49" t="str">
        <f>IFERROR(__xludf.DUMMYFUNCTION("""COMPUTED_VALUE"""),"Wyrmstone Gauntlet")</f>
        <v>Wyrmstone Gauntlet</v>
      </c>
      <c r="B840" s="49"/>
      <c r="C840" s="49" t="str">
        <f>IFERROR(__xludf.DUMMYFUNCTION("""COMPUTED_VALUE"""),"Gauntlet")</f>
        <v>Gauntlet</v>
      </c>
      <c r="D840" s="49" t="str">
        <f>IFERROR(__xludf.DUMMYFUNCTION("""COMPUTED_VALUE"""),"Hand")</f>
        <v>Hand</v>
      </c>
      <c r="E840" s="49">
        <f>IFERROR(__xludf.DUMMYFUNCTION("""COMPUTED_VALUE"""),3000.0)</f>
        <v>3000</v>
      </c>
      <c r="F840" s="49" t="str">
        <f>IFERROR(__xludf.DUMMYFUNCTION("""COMPUTED_VALUE"""),"DEF: +125000, Light DEF: +25000")</f>
        <v>DEF: +125000, Light DEF: +25000</v>
      </c>
      <c r="G840" s="49">
        <f>IFERROR(__xludf.DUMMYFUNCTION("""COMPUTED_VALUE"""),4.485E8)</f>
        <v>448500000</v>
      </c>
      <c r="H840" s="49"/>
      <c r="I840" s="49"/>
      <c r="J840" s="49"/>
      <c r="K840" s="49"/>
      <c r="L840" s="49"/>
      <c r="M840" s="49"/>
      <c r="N840" s="49"/>
      <c r="O840" s="49"/>
      <c r="P840" s="49"/>
      <c r="Q840" s="49"/>
      <c r="R840" s="49"/>
      <c r="S840" s="49"/>
      <c r="T840" s="49"/>
      <c r="U840" s="49"/>
      <c r="V840" s="49"/>
      <c r="W840" s="49"/>
      <c r="X840" s="49"/>
      <c r="Y840" s="49"/>
      <c r="Z840" s="49"/>
    </row>
    <row r="841">
      <c r="A841" s="49" t="str">
        <f>IFERROR(__xludf.DUMMYFUNCTION("""COMPUTED_VALUE"""),"Wyrmstone Leggings")</f>
        <v>Wyrmstone Leggings</v>
      </c>
      <c r="B841" s="49"/>
      <c r="C841" s="49" t="str">
        <f>IFERROR(__xludf.DUMMYFUNCTION("""COMPUTED_VALUE"""),"Item")</f>
        <v>Item</v>
      </c>
      <c r="D841" s="49" t="str">
        <f>IFERROR(__xludf.DUMMYFUNCTION("""COMPUTED_VALUE"""),"Legs")</f>
        <v>Legs</v>
      </c>
      <c r="E841" s="49">
        <f>IFERROR(__xludf.DUMMYFUNCTION("""COMPUTED_VALUE"""),2000.0)</f>
        <v>2000</v>
      </c>
      <c r="F841" s="49" t="str">
        <f>IFERROR(__xludf.DUMMYFUNCTION("""COMPUTED_VALUE"""),"DEF: +100000")</f>
        <v>DEF: +100000</v>
      </c>
      <c r="G841" s="49">
        <f>IFERROR(__xludf.DUMMYFUNCTION("""COMPUTED_VALUE"""),1.99E8)</f>
        <v>199000000</v>
      </c>
      <c r="H841" s="49"/>
      <c r="I841" s="49"/>
      <c r="J841" s="49"/>
      <c r="K841" s="49"/>
      <c r="L841" s="49"/>
      <c r="M841" s="49"/>
      <c r="N841" s="49"/>
      <c r="O841" s="49"/>
      <c r="P841" s="49"/>
      <c r="Q841" s="49"/>
      <c r="R841" s="49"/>
      <c r="S841" s="49"/>
      <c r="T841" s="49"/>
      <c r="U841" s="49"/>
      <c r="V841" s="49"/>
      <c r="W841" s="49"/>
      <c r="X841" s="49"/>
      <c r="Y841" s="49"/>
      <c r="Z841" s="49"/>
    </row>
    <row r="842">
      <c r="A842" s="49" t="str">
        <f>IFERROR(__xludf.DUMMYFUNCTION("""COMPUTED_VALUE"""),"Wyrmstone Lance")</f>
        <v>Wyrmstone Lance</v>
      </c>
      <c r="B842" s="49"/>
      <c r="C842" s="49" t="str">
        <f>IFERROR(__xludf.DUMMYFUNCTION("""COMPUTED_VALUE"""),"Spear")</f>
        <v>Spear</v>
      </c>
      <c r="D842" s="49" t="str">
        <f>IFERROR(__xludf.DUMMYFUNCTION("""COMPUTED_VALUE"""),"Hand")</f>
        <v>Hand</v>
      </c>
      <c r="E842" s="49">
        <f>IFERROR(__xludf.DUMMYFUNCTION("""COMPUTED_VALUE"""),2000.0)</f>
        <v>2000</v>
      </c>
      <c r="F842" s="49" t="str">
        <f>IFERROR(__xludf.DUMMYFUNCTION("""COMPUTED_VALUE"""),"DMG: +100000 ++Damage doubles if used two turns in a row +-Cannot be forged or duplicated")</f>
        <v>DMG: +100000 ++Damage doubles if used two turns in a row +-Cannot be forged or duplicated</v>
      </c>
      <c r="G842" s="49">
        <f>IFERROR(__xludf.DUMMYFUNCTION("""COMPUTED_VALUE"""),1.99E8)</f>
        <v>199000000</v>
      </c>
      <c r="H842" s="49"/>
      <c r="I842" s="49"/>
      <c r="J842" s="49"/>
      <c r="K842" s="49"/>
      <c r="L842" s="49"/>
      <c r="M842" s="49"/>
      <c r="N842" s="49"/>
      <c r="O842" s="49"/>
      <c r="P842" s="49"/>
      <c r="Q842" s="49"/>
      <c r="R842" s="49"/>
      <c r="S842" s="49"/>
      <c r="T842" s="49"/>
      <c r="U842" s="49"/>
      <c r="V842" s="49"/>
      <c r="W842" s="49"/>
      <c r="X842" s="49"/>
      <c r="Y842" s="49"/>
      <c r="Z842" s="49"/>
    </row>
    <row r="843">
      <c r="A843" s="49" t="str">
        <f>IFERROR(__xludf.DUMMYFUNCTION("""COMPUTED_VALUE"""),"Wyrmstone Nails")</f>
        <v>Wyrmstone Nails</v>
      </c>
      <c r="B843" s="49"/>
      <c r="C843" s="49" t="str">
        <f>IFERROR(__xludf.DUMMYFUNCTION("""COMPUTED_VALUE"""),"Claw")</f>
        <v>Claw</v>
      </c>
      <c r="D843" s="49" t="str">
        <f>IFERROR(__xludf.DUMMYFUNCTION("""COMPUTED_VALUE"""),"Hand")</f>
        <v>Hand</v>
      </c>
      <c r="E843" s="49">
        <f>IFERROR(__xludf.DUMMYFUNCTION("""COMPUTED_VALUE"""),2600.0)</f>
        <v>2600</v>
      </c>
      <c r="F843" s="49" t="str">
        <f>IFERROR(__xludf.DUMMYFUNCTION("""COMPUTED_VALUE"""),"DMG: +130000")</f>
        <v>DMG: +130000</v>
      </c>
      <c r="G843" s="49">
        <f>IFERROR(__xludf.DUMMYFUNCTION("""COMPUTED_VALUE"""),3.367E8)</f>
        <v>336700000</v>
      </c>
      <c r="H843" s="49"/>
      <c r="I843" s="49"/>
      <c r="J843" s="49"/>
      <c r="K843" s="49"/>
      <c r="L843" s="49"/>
      <c r="M843" s="49"/>
      <c r="N843" s="49"/>
      <c r="O843" s="49"/>
      <c r="P843" s="49"/>
      <c r="Q843" s="49"/>
      <c r="R843" s="49"/>
      <c r="S843" s="49"/>
      <c r="T843" s="49"/>
      <c r="U843" s="49"/>
      <c r="V843" s="49"/>
      <c r="W843" s="49"/>
      <c r="X843" s="49"/>
      <c r="Y843" s="49"/>
      <c r="Z843" s="49"/>
    </row>
    <row r="844">
      <c r="A844" s="49" t="str">
        <f>IFERROR(__xludf.DUMMYFUNCTION("""COMPUTED_VALUE"""),"Lizard Warrior's Scale Helm")</f>
        <v>Lizard Warrior's Scale Helm</v>
      </c>
      <c r="B844" s="49"/>
      <c r="C844" s="49" t="str">
        <f>IFERROR(__xludf.DUMMYFUNCTION("""COMPUTED_VALUE"""),"Item")</f>
        <v>Item</v>
      </c>
      <c r="D844" s="49" t="str">
        <f>IFERROR(__xludf.DUMMYFUNCTION("""COMPUTED_VALUE"""),"Head")</f>
        <v>Head</v>
      </c>
      <c r="E844" s="49">
        <f>IFERROR(__xludf.DUMMYFUNCTION("""COMPUTED_VALUE"""),3000.0)</f>
        <v>3000</v>
      </c>
      <c r="F844" s="49" t="str">
        <f>IFERROR(__xludf.DUMMYFUNCTION("""COMPUTED_VALUE"""),"DEF: +100000, Nature DEF: +50000")</f>
        <v>DEF: +100000, Nature DEF: +50000</v>
      </c>
      <c r="G844" s="49">
        <f>IFERROR(__xludf.DUMMYFUNCTION("""COMPUTED_VALUE"""),4.485E8)</f>
        <v>448500000</v>
      </c>
      <c r="H844" s="49"/>
      <c r="I844" s="49"/>
      <c r="J844" s="49"/>
      <c r="K844" s="49"/>
      <c r="L844" s="49"/>
      <c r="M844" s="49"/>
      <c r="N844" s="49"/>
      <c r="O844" s="49"/>
      <c r="P844" s="49"/>
      <c r="Q844" s="49"/>
      <c r="R844" s="49"/>
      <c r="S844" s="49"/>
      <c r="T844" s="49"/>
      <c r="U844" s="49"/>
      <c r="V844" s="49"/>
      <c r="W844" s="49"/>
      <c r="X844" s="49"/>
      <c r="Y844" s="49"/>
      <c r="Z844" s="49"/>
    </row>
    <row r="845">
      <c r="A845" s="49" t="str">
        <f>IFERROR(__xludf.DUMMYFUNCTION("""COMPUTED_VALUE"""),"Lizard Warrior's Scaled Pauldrons")</f>
        <v>Lizard Warrior's Scaled Pauldrons</v>
      </c>
      <c r="B845" s="49"/>
      <c r="C845" s="49" t="str">
        <f>IFERROR(__xludf.DUMMYFUNCTION("""COMPUTED_VALUE"""),"Item")</f>
        <v>Item</v>
      </c>
      <c r="D845" s="49" t="str">
        <f>IFERROR(__xludf.DUMMYFUNCTION("""COMPUTED_VALUE"""),"Shoulders")</f>
        <v>Shoulders</v>
      </c>
      <c r="E845" s="49">
        <f>IFERROR(__xludf.DUMMYFUNCTION("""COMPUTED_VALUE"""),3000.0)</f>
        <v>3000</v>
      </c>
      <c r="F845" s="49" t="str">
        <f>IFERROR(__xludf.DUMMYFUNCTION("""COMPUTED_VALUE"""),"DEF: +100000, Nature DEF: +50000")</f>
        <v>DEF: +100000, Nature DEF: +50000</v>
      </c>
      <c r="G845" s="49">
        <f>IFERROR(__xludf.DUMMYFUNCTION("""COMPUTED_VALUE"""),4.485E8)</f>
        <v>448500000</v>
      </c>
      <c r="H845" s="49"/>
      <c r="I845" s="49"/>
      <c r="J845" s="49"/>
      <c r="K845" s="49"/>
      <c r="L845" s="49"/>
      <c r="M845" s="49"/>
      <c r="N845" s="49"/>
      <c r="O845" s="49"/>
      <c r="P845" s="49"/>
      <c r="Q845" s="49"/>
      <c r="R845" s="49"/>
      <c r="S845" s="49"/>
      <c r="T845" s="49"/>
      <c r="U845" s="49"/>
      <c r="V845" s="49"/>
      <c r="W845" s="49"/>
      <c r="X845" s="49"/>
      <c r="Y845" s="49"/>
      <c r="Z845" s="49"/>
    </row>
    <row r="846">
      <c r="A846" s="49" t="str">
        <f>IFERROR(__xludf.DUMMYFUNCTION("""COMPUTED_VALUE"""),"Lizard Warrior's Scaled Chest")</f>
        <v>Lizard Warrior's Scaled Chest</v>
      </c>
      <c r="B846" s="49"/>
      <c r="C846" s="49" t="str">
        <f>IFERROR(__xludf.DUMMYFUNCTION("""COMPUTED_VALUE"""),"Item")</f>
        <v>Item</v>
      </c>
      <c r="D846" s="49" t="str">
        <f>IFERROR(__xludf.DUMMYFUNCTION("""COMPUTED_VALUE"""),"Torso")</f>
        <v>Torso</v>
      </c>
      <c r="E846" s="49">
        <f>IFERROR(__xludf.DUMMYFUNCTION("""COMPUTED_VALUE"""),3000.0)</f>
        <v>3000</v>
      </c>
      <c r="F846" s="49"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49">
        <f>IFERROR(__xludf.DUMMYFUNCTION("""COMPUTED_VALUE"""),4.485E8)</f>
        <v>448500000</v>
      </c>
      <c r="H846" s="49"/>
      <c r="I846" s="49"/>
      <c r="J846" s="49"/>
      <c r="K846" s="49"/>
      <c r="L846" s="49"/>
      <c r="M846" s="49"/>
      <c r="N846" s="49"/>
      <c r="O846" s="49"/>
      <c r="P846" s="49"/>
      <c r="Q846" s="49"/>
      <c r="R846" s="49"/>
      <c r="S846" s="49"/>
      <c r="T846" s="49"/>
      <c r="U846" s="49"/>
      <c r="V846" s="49"/>
      <c r="W846" s="49"/>
      <c r="X846" s="49"/>
      <c r="Y846" s="49"/>
      <c r="Z846" s="49"/>
    </row>
    <row r="847">
      <c r="A847" s="49" t="str">
        <f>IFERROR(__xludf.DUMMYFUNCTION("""COMPUTED_VALUE"""),"Lizard Warrior's Scaled Arms")</f>
        <v>Lizard Warrior's Scaled Arms</v>
      </c>
      <c r="B847" s="49"/>
      <c r="C847" s="49" t="str">
        <f>IFERROR(__xludf.DUMMYFUNCTION("""COMPUTED_VALUE"""),"Item")</f>
        <v>Item</v>
      </c>
      <c r="D847" s="49" t="str">
        <f>IFERROR(__xludf.DUMMYFUNCTION("""COMPUTED_VALUE"""),"Arms")</f>
        <v>Arms</v>
      </c>
      <c r="E847" s="49">
        <f>IFERROR(__xludf.DUMMYFUNCTION("""COMPUTED_VALUE"""),3000.0)</f>
        <v>3000</v>
      </c>
      <c r="F847" s="49" t="str">
        <f>IFERROR(__xludf.DUMMYFUNCTION("""COMPUTED_VALUE"""),"DEF: +100000, Nature DEF: +50000 ++7500 DEF for every enemy currently poisoned (Max 37500)")</f>
        <v>DEF: +100000, Nature DEF: +50000 ++7500 DEF for every enemy currently poisoned (Max 37500)</v>
      </c>
      <c r="G847" s="49">
        <f>IFERROR(__xludf.DUMMYFUNCTION("""COMPUTED_VALUE"""),4.485E8)</f>
        <v>448500000</v>
      </c>
      <c r="H847" s="49"/>
      <c r="I847" s="49"/>
      <c r="J847" s="49"/>
      <c r="K847" s="49"/>
      <c r="L847" s="49"/>
      <c r="M847" s="49"/>
      <c r="N847" s="49"/>
      <c r="O847" s="49"/>
      <c r="P847" s="49"/>
      <c r="Q847" s="49"/>
      <c r="R847" s="49"/>
      <c r="S847" s="49"/>
      <c r="T847" s="49"/>
      <c r="U847" s="49"/>
      <c r="V847" s="49"/>
      <c r="W847" s="49"/>
      <c r="X847" s="49"/>
      <c r="Y847" s="49"/>
      <c r="Z847" s="49"/>
    </row>
    <row r="848">
      <c r="A848" s="49" t="str">
        <f>IFERROR(__xludf.DUMMYFUNCTION("""COMPUTED_VALUE"""),"Lizard Warrior's Bracelets")</f>
        <v>Lizard Warrior's Bracelets</v>
      </c>
      <c r="B848" s="49"/>
      <c r="C848" s="49" t="str">
        <f>IFERROR(__xludf.DUMMYFUNCTION("""COMPUTED_VALUE"""),"Item")</f>
        <v>Item</v>
      </c>
      <c r="D848" s="49" t="str">
        <f>IFERROR(__xludf.DUMMYFUNCTION("""COMPUTED_VALUE"""),"Arms")</f>
        <v>Arms</v>
      </c>
      <c r="E848" s="49">
        <f>IFERROR(__xludf.DUMMYFUNCTION("""COMPUTED_VALUE"""),3000.0)</f>
        <v>3000</v>
      </c>
      <c r="F848" s="49" t="str">
        <f>IFERROR(__xludf.DUMMYFUNCTION("""COMPUTED_VALUE"""),"DEF: +100000, Nature DEF: +50000 ++5000 ACC for every enemy currently poisoned (Max 25000)")</f>
        <v>DEF: +100000, Nature DEF: +50000 ++5000 ACC for every enemy currently poisoned (Max 25000)</v>
      </c>
      <c r="G848" s="49">
        <f>IFERROR(__xludf.DUMMYFUNCTION("""COMPUTED_VALUE"""),4.485E8)</f>
        <v>448500000</v>
      </c>
      <c r="H848" s="49"/>
      <c r="I848" s="49"/>
      <c r="J848" s="49"/>
      <c r="K848" s="49"/>
      <c r="L848" s="49"/>
      <c r="M848" s="49"/>
      <c r="N848" s="49"/>
      <c r="O848" s="49"/>
      <c r="P848" s="49"/>
      <c r="Q848" s="49"/>
      <c r="R848" s="49"/>
      <c r="S848" s="49"/>
      <c r="T848" s="49"/>
      <c r="U848" s="49"/>
      <c r="V848" s="49"/>
      <c r="W848" s="49"/>
      <c r="X848" s="49"/>
      <c r="Y848" s="49"/>
      <c r="Z848" s="49"/>
    </row>
    <row r="849">
      <c r="A849" s="49" t="str">
        <f>IFERROR(__xludf.DUMMYFUNCTION("""COMPUTED_VALUE"""),"Lizard Warrior's Scaled Legs")</f>
        <v>Lizard Warrior's Scaled Legs</v>
      </c>
      <c r="B849" s="49"/>
      <c r="C849" s="49" t="str">
        <f>IFERROR(__xludf.DUMMYFUNCTION("""COMPUTED_VALUE"""),"Item")</f>
        <v>Item</v>
      </c>
      <c r="D849" s="49" t="str">
        <f>IFERROR(__xludf.DUMMYFUNCTION("""COMPUTED_VALUE"""),"Legs")</f>
        <v>Legs</v>
      </c>
      <c r="E849" s="49">
        <f>IFERROR(__xludf.DUMMYFUNCTION("""COMPUTED_VALUE"""),3000.0)</f>
        <v>3000</v>
      </c>
      <c r="F849" s="49" t="str">
        <f>IFERROR(__xludf.DUMMYFUNCTION("""COMPUTED_VALUE"""),"DEF: +100000, Nature DEF: +50000 ++5000 ATK for every enemy currently poisoned (Max 25000)")</f>
        <v>DEF: +100000, Nature DEF: +50000 ++5000 ATK for every enemy currently poisoned (Max 25000)</v>
      </c>
      <c r="G849" s="49">
        <f>IFERROR(__xludf.DUMMYFUNCTION("""COMPUTED_VALUE"""),4.485E8)</f>
        <v>448500000</v>
      </c>
      <c r="H849" s="49"/>
      <c r="I849" s="49"/>
      <c r="J849" s="49"/>
      <c r="K849" s="49"/>
      <c r="L849" s="49"/>
      <c r="M849" s="49"/>
      <c r="N849" s="49"/>
      <c r="O849" s="49"/>
      <c r="P849" s="49"/>
      <c r="Q849" s="49"/>
      <c r="R849" s="49"/>
      <c r="S849" s="49"/>
      <c r="T849" s="49"/>
      <c r="U849" s="49"/>
      <c r="V849" s="49"/>
      <c r="W849" s="49"/>
      <c r="X849" s="49"/>
      <c r="Y849" s="49"/>
      <c r="Z849" s="49"/>
    </row>
    <row r="850">
      <c r="A850" s="49" t="str">
        <f>IFERROR(__xludf.DUMMYFUNCTION("""COMPUTED_VALUE"""),"Lizard Warrior's Scaled Boots")</f>
        <v>Lizard Warrior's Scaled Boots</v>
      </c>
      <c r="B850" s="49"/>
      <c r="C850" s="49" t="str">
        <f>IFERROR(__xludf.DUMMYFUNCTION("""COMPUTED_VALUE"""),"Item")</f>
        <v>Item</v>
      </c>
      <c r="D850" s="49" t="str">
        <f>IFERROR(__xludf.DUMMYFUNCTION("""COMPUTED_VALUE"""),"Feet")</f>
        <v>Feet</v>
      </c>
      <c r="E850" s="49">
        <f>IFERROR(__xludf.DUMMYFUNCTION("""COMPUTED_VALUE"""),3000.0)</f>
        <v>3000</v>
      </c>
      <c r="F850" s="49" t="str">
        <f>IFERROR(__xludf.DUMMYFUNCTION("""COMPUTED_VALUE"""),"DEF: +100000, Nature DEF: +50000 ++1 Mobility for every enemy currently poisoned (Max 5)")</f>
        <v>DEF: +100000, Nature DEF: +50000 ++1 Mobility for every enemy currently poisoned (Max 5)</v>
      </c>
      <c r="G850" s="49">
        <f>IFERROR(__xludf.DUMMYFUNCTION("""COMPUTED_VALUE"""),4.485E8)</f>
        <v>448500000</v>
      </c>
      <c r="H850" s="49"/>
      <c r="I850" s="49"/>
      <c r="J850" s="49"/>
      <c r="K850" s="49"/>
      <c r="L850" s="49"/>
      <c r="M850" s="49"/>
      <c r="N850" s="49"/>
      <c r="O850" s="49"/>
      <c r="P850" s="49"/>
      <c r="Q850" s="49"/>
      <c r="R850" s="49"/>
      <c r="S850" s="49"/>
      <c r="T850" s="49"/>
      <c r="U850" s="49"/>
      <c r="V850" s="49"/>
      <c r="W850" s="49"/>
      <c r="X850" s="49"/>
      <c r="Y850" s="49"/>
      <c r="Z850" s="49"/>
    </row>
    <row r="851">
      <c r="A851" s="49" t="str">
        <f>IFERROR(__xludf.DUMMYFUNCTION("""COMPUTED_VALUE"""),"Lizard Warrior's Claw")</f>
        <v>Lizard Warrior's Claw</v>
      </c>
      <c r="B851" s="49"/>
      <c r="C851" s="49" t="str">
        <f>IFERROR(__xludf.DUMMYFUNCTION("""COMPUTED_VALUE"""),"Claw")</f>
        <v>Claw</v>
      </c>
      <c r="D851" s="49" t="str">
        <f>IFERROR(__xludf.DUMMYFUNCTION("""COMPUTED_VALUE"""),"Hand")</f>
        <v>Hand</v>
      </c>
      <c r="E851" s="49">
        <f>IFERROR(__xludf.DUMMYFUNCTION("""COMPUTED_VALUE"""),3000.0)</f>
        <v>3000</v>
      </c>
      <c r="F851" s="49"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49">
        <f>IFERROR(__xludf.DUMMYFUNCTION("""COMPUTED_VALUE"""),4.485E8)</f>
        <v>448500000</v>
      </c>
      <c r="H851" s="49"/>
      <c r="I851" s="49"/>
      <c r="J851" s="49"/>
      <c r="K851" s="49"/>
      <c r="L851" s="49"/>
      <c r="M851" s="49"/>
      <c r="N851" s="49"/>
      <c r="O851" s="49"/>
      <c r="P851" s="49"/>
      <c r="Q851" s="49"/>
      <c r="R851" s="49"/>
      <c r="S851" s="49"/>
      <c r="T851" s="49"/>
      <c r="U851" s="49"/>
      <c r="V851" s="49"/>
      <c r="W851" s="49"/>
      <c r="X851" s="49"/>
      <c r="Y851" s="49"/>
      <c r="Z851" s="49"/>
    </row>
    <row r="852">
      <c r="A852" s="49" t="str">
        <f>IFERROR(__xludf.DUMMYFUNCTION("""COMPUTED_VALUE"""),"Lizard Warrior Guantlet")</f>
        <v>Lizard Warrior Guantlet</v>
      </c>
      <c r="B852" s="49"/>
      <c r="C852" s="49" t="str">
        <f>IFERROR(__xludf.DUMMYFUNCTION("""COMPUTED_VALUE"""),"Gauntlet")</f>
        <v>Gauntlet</v>
      </c>
      <c r="D852" s="49" t="str">
        <f>IFERROR(__xludf.DUMMYFUNCTION("""COMPUTED_VALUE"""),"Hand")</f>
        <v>Hand</v>
      </c>
      <c r="E852" s="49">
        <f>IFERROR(__xludf.DUMMYFUNCTION("""COMPUTED_VALUE"""),3000.0)</f>
        <v>3000</v>
      </c>
      <c r="F852" s="49" t="str">
        <f>IFERROR(__xludf.DUMMYFUNCTION("""COMPUTED_VALUE"""),"DEF: +100000, Nature DEF: +50000 ++50% chance to be unaffected by a weapon attack from a poisoned enemy")</f>
        <v>DEF: +100000, Nature DEF: +50000 ++50% chance to be unaffected by a weapon attack from a poisoned enemy</v>
      </c>
      <c r="G852" s="49">
        <f>IFERROR(__xludf.DUMMYFUNCTION("""COMPUTED_VALUE"""),4.485E8)</f>
        <v>448500000</v>
      </c>
      <c r="H852" s="49"/>
      <c r="I852" s="49"/>
      <c r="J852" s="49"/>
      <c r="K852" s="49"/>
      <c r="L852" s="49"/>
      <c r="M852" s="49"/>
      <c r="N852" s="49"/>
      <c r="O852" s="49"/>
      <c r="P852" s="49"/>
      <c r="Q852" s="49"/>
      <c r="R852" s="49"/>
      <c r="S852" s="49"/>
      <c r="T852" s="49"/>
      <c r="U852" s="49"/>
      <c r="V852" s="49"/>
      <c r="W852" s="49"/>
      <c r="X852" s="49"/>
      <c r="Y852" s="49"/>
      <c r="Z852" s="49"/>
    </row>
    <row r="853">
      <c r="A853" s="49" t="str">
        <f>IFERROR(__xludf.DUMMYFUNCTION("""COMPUTED_VALUE"""),"Igaunian Assassin's Cowl")</f>
        <v>Igaunian Assassin's Cowl</v>
      </c>
      <c r="B853" s="49"/>
      <c r="C853" s="49" t="str">
        <f>IFERROR(__xludf.DUMMYFUNCTION("""COMPUTED_VALUE"""),"Item")</f>
        <v>Item</v>
      </c>
      <c r="D853" s="49" t="str">
        <f>IFERROR(__xludf.DUMMYFUNCTION("""COMPUTED_VALUE"""),"Head")</f>
        <v>Head</v>
      </c>
      <c r="E853" s="49">
        <f>IFERROR(__xludf.DUMMYFUNCTION("""COMPUTED_VALUE"""),2000.0)</f>
        <v>2000</v>
      </c>
      <c r="F853" s="49"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49">
        <f>IFERROR(__xludf.DUMMYFUNCTION("""COMPUTED_VALUE"""),1.99E8)</f>
        <v>199000000</v>
      </c>
      <c r="H853" s="49"/>
      <c r="I853" s="49"/>
      <c r="J853" s="49"/>
      <c r="K853" s="49"/>
      <c r="L853" s="49"/>
      <c r="M853" s="49"/>
      <c r="N853" s="49"/>
      <c r="O853" s="49"/>
      <c r="P853" s="49"/>
      <c r="Q853" s="49"/>
      <c r="R853" s="49"/>
      <c r="S853" s="49"/>
      <c r="T853" s="49"/>
      <c r="U853" s="49"/>
      <c r="V853" s="49"/>
      <c r="W853" s="49"/>
      <c r="X853" s="49"/>
      <c r="Y853" s="49"/>
      <c r="Z853" s="49"/>
    </row>
    <row r="854">
      <c r="A854" s="49" t="str">
        <f>IFERROR(__xludf.DUMMYFUNCTION("""COMPUTED_VALUE"""),"Igaunian Assassin's Cloths")</f>
        <v>Igaunian Assassin's Cloths</v>
      </c>
      <c r="B854" s="49"/>
      <c r="C854" s="49" t="str">
        <f>IFERROR(__xludf.DUMMYFUNCTION("""COMPUTED_VALUE"""),"Item")</f>
        <v>Item</v>
      </c>
      <c r="D854" s="49" t="str">
        <f>IFERROR(__xludf.DUMMYFUNCTION("""COMPUTED_VALUE"""),"Torso")</f>
        <v>Torso</v>
      </c>
      <c r="E854" s="49">
        <f>IFERROR(__xludf.DUMMYFUNCTION("""COMPUTED_VALUE"""),2000.0)</f>
        <v>2000</v>
      </c>
      <c r="F854" s="49" t="str">
        <f>IFERROR(__xludf.DUMMYFUNCTION("""COMPUTED_VALUE"""),"DEF: +75000, Nature DEF: +25000 ++15000 ATK and ACC ++X4 Knife and Boomerang damage")</f>
        <v>DEF: +75000, Nature DEF: +25000 ++15000 ATK and ACC ++X4 Knife and Boomerang damage</v>
      </c>
      <c r="G854" s="49">
        <f>IFERROR(__xludf.DUMMYFUNCTION("""COMPUTED_VALUE"""),1.99E8)</f>
        <v>199000000</v>
      </c>
      <c r="H854" s="49"/>
      <c r="I854" s="49"/>
      <c r="J854" s="49"/>
      <c r="K854" s="49"/>
      <c r="L854" s="49"/>
      <c r="M854" s="49"/>
      <c r="N854" s="49"/>
      <c r="O854" s="49"/>
      <c r="P854" s="49"/>
      <c r="Q854" s="49"/>
      <c r="R854" s="49"/>
      <c r="S854" s="49"/>
      <c r="T854" s="49"/>
      <c r="U854" s="49"/>
      <c r="V854" s="49"/>
      <c r="W854" s="49"/>
      <c r="X854" s="49"/>
      <c r="Y854" s="49"/>
      <c r="Z854" s="49"/>
    </row>
    <row r="855">
      <c r="A855" s="49" t="str">
        <f>IFERROR(__xludf.DUMMYFUNCTION("""COMPUTED_VALUE"""),"Iguanian Assassin's Pants")</f>
        <v>Iguanian Assassin's Pants</v>
      </c>
      <c r="B855" s="49"/>
      <c r="C855" s="49" t="str">
        <f>IFERROR(__xludf.DUMMYFUNCTION("""COMPUTED_VALUE"""),"Item")</f>
        <v>Item</v>
      </c>
      <c r="D855" s="49" t="str">
        <f>IFERROR(__xludf.DUMMYFUNCTION("""COMPUTED_VALUE"""),"Legs")</f>
        <v>Legs</v>
      </c>
      <c r="E855" s="49">
        <f>IFERROR(__xludf.DUMMYFUNCTION("""COMPUTED_VALUE"""),2000.0)</f>
        <v>2000</v>
      </c>
      <c r="F855" s="49" t="str">
        <f>IFERROR(__xludf.DUMMYFUNCTION("""COMPUTED_VALUE"""),"DEF: +75000, Nature DEF: +25000 ++15000 ATK and ACC ++X4 Knife and Boomerang damage")</f>
        <v>DEF: +75000, Nature DEF: +25000 ++15000 ATK and ACC ++X4 Knife and Boomerang damage</v>
      </c>
      <c r="G855" s="49">
        <f>IFERROR(__xludf.DUMMYFUNCTION("""COMPUTED_VALUE"""),1.99E8)</f>
        <v>199000000</v>
      </c>
      <c r="H855" s="49"/>
      <c r="I855" s="49"/>
      <c r="J855" s="49"/>
      <c r="K855" s="49"/>
      <c r="L855" s="49"/>
      <c r="M855" s="49"/>
      <c r="N855" s="49"/>
      <c r="O855" s="49"/>
      <c r="P855" s="49"/>
      <c r="Q855" s="49"/>
      <c r="R855" s="49"/>
      <c r="S855" s="49"/>
      <c r="T855" s="49"/>
      <c r="U855" s="49"/>
      <c r="V855" s="49"/>
      <c r="W855" s="49"/>
      <c r="X855" s="49"/>
      <c r="Y855" s="49"/>
      <c r="Z855" s="49"/>
    </row>
    <row r="856">
      <c r="A856" s="49" t="str">
        <f>IFERROR(__xludf.DUMMYFUNCTION("""COMPUTED_VALUE"""),"Iguanian Assassin's Boots")</f>
        <v>Iguanian Assassin's Boots</v>
      </c>
      <c r="B856" s="49"/>
      <c r="C856" s="49" t="str">
        <f>IFERROR(__xludf.DUMMYFUNCTION("""COMPUTED_VALUE"""),"Item")</f>
        <v>Item</v>
      </c>
      <c r="D856" s="49" t="str">
        <f>IFERROR(__xludf.DUMMYFUNCTION("""COMPUTED_VALUE"""),"Feet")</f>
        <v>Feet</v>
      </c>
      <c r="E856" s="49">
        <f>IFERROR(__xludf.DUMMYFUNCTION("""COMPUTED_VALUE"""),2000.0)</f>
        <v>2000</v>
      </c>
      <c r="F856" s="49" t="str">
        <f>IFERROR(__xludf.DUMMYFUNCTION("""COMPUTED_VALUE"""),"DEF: +75000, Nature DEF: +25000 ++15000 ATK and ACC ++X4 Knife and Boomerang damage")</f>
        <v>DEF: +75000, Nature DEF: +25000 ++15000 ATK and ACC ++X4 Knife and Boomerang damage</v>
      </c>
      <c r="G856" s="49">
        <f>IFERROR(__xludf.DUMMYFUNCTION("""COMPUTED_VALUE"""),1.99E8)</f>
        <v>199000000</v>
      </c>
      <c r="H856" s="49"/>
      <c r="I856" s="49"/>
      <c r="J856" s="49"/>
      <c r="K856" s="49"/>
      <c r="L856" s="49"/>
      <c r="M856" s="49"/>
      <c r="N856" s="49"/>
      <c r="O856" s="49"/>
      <c r="P856" s="49"/>
      <c r="Q856" s="49"/>
      <c r="R856" s="49"/>
      <c r="S856" s="49"/>
      <c r="T856" s="49"/>
      <c r="U856" s="49"/>
      <c r="V856" s="49"/>
      <c r="W856" s="49"/>
      <c r="X856" s="49"/>
      <c r="Y856" s="49"/>
      <c r="Z856" s="49"/>
    </row>
    <row r="857">
      <c r="A857" s="49" t="str">
        <f>IFERROR(__xludf.DUMMYFUNCTION("""COMPUTED_VALUE"""),"Iguanian Assassin's Chakram")</f>
        <v>Iguanian Assassin's Chakram</v>
      </c>
      <c r="B857" s="49"/>
      <c r="C857" s="49" t="str">
        <f>IFERROR(__xludf.DUMMYFUNCTION("""COMPUTED_VALUE"""),"Boomerang")</f>
        <v>Boomerang</v>
      </c>
      <c r="D857" s="49" t="str">
        <f>IFERROR(__xludf.DUMMYFUNCTION("""COMPUTED_VALUE"""),"Hand")</f>
        <v>Hand</v>
      </c>
      <c r="E857" s="49">
        <f>IFERROR(__xludf.DUMMYFUNCTION("""COMPUTED_VALUE"""),3000.0)</f>
        <v>3000</v>
      </c>
      <c r="F857" s="49" t="str">
        <f>IFERROR(__xludf.DUMMYFUNCTION("""COMPUTED_VALUE"""),"DMG: +100000, Nature DMG: +50000 ++Increases the weapon effect chance by 10%")</f>
        <v>DMG: +100000, Nature DMG: +50000 ++Increases the weapon effect chance by 10%</v>
      </c>
      <c r="G857" s="49">
        <f>IFERROR(__xludf.DUMMYFUNCTION("""COMPUTED_VALUE"""),4.485E8)</f>
        <v>448500000</v>
      </c>
      <c r="H857" s="49"/>
      <c r="I857" s="49"/>
      <c r="J857" s="49"/>
      <c r="K857" s="49"/>
      <c r="L857" s="49"/>
      <c r="M857" s="49"/>
      <c r="N857" s="49"/>
      <c r="O857" s="49"/>
      <c r="P857" s="49"/>
      <c r="Q857" s="49"/>
      <c r="R857" s="49"/>
      <c r="S857" s="49"/>
      <c r="T857" s="49"/>
      <c r="U857" s="49"/>
      <c r="V857" s="49"/>
      <c r="W857" s="49"/>
      <c r="X857" s="49"/>
      <c r="Y857" s="49"/>
      <c r="Z857" s="49"/>
    </row>
    <row r="858">
      <c r="A858" s="49" t="str">
        <f>IFERROR(__xludf.DUMMYFUNCTION("""COMPUTED_VALUE"""),"Iguanian Assassin's Slicer")</f>
        <v>Iguanian Assassin's Slicer</v>
      </c>
      <c r="B858" s="49"/>
      <c r="C858" s="49" t="str">
        <f>IFERROR(__xludf.DUMMYFUNCTION("""COMPUTED_VALUE"""),"Knife")</f>
        <v>Knife</v>
      </c>
      <c r="D858" s="49" t="str">
        <f>IFERROR(__xludf.DUMMYFUNCTION("""COMPUTED_VALUE"""),"Hand")</f>
        <v>Hand</v>
      </c>
      <c r="E858" s="49">
        <f>IFERROR(__xludf.DUMMYFUNCTION("""COMPUTED_VALUE"""),3000.0)</f>
        <v>3000</v>
      </c>
      <c r="F858" s="49"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49">
        <f>IFERROR(__xludf.DUMMYFUNCTION("""COMPUTED_VALUE"""),4.485E8)</f>
        <v>448500000</v>
      </c>
      <c r="H858" s="49"/>
      <c r="I858" s="49"/>
      <c r="J858" s="49"/>
      <c r="K858" s="49"/>
      <c r="L858" s="49"/>
      <c r="M858" s="49"/>
      <c r="N858" s="49"/>
      <c r="O858" s="49"/>
      <c r="P858" s="49"/>
      <c r="Q858" s="49"/>
      <c r="R858" s="49"/>
      <c r="S858" s="49"/>
      <c r="T858" s="49"/>
      <c r="U858" s="49"/>
      <c r="V858" s="49"/>
      <c r="W858" s="49"/>
      <c r="X858" s="49"/>
      <c r="Y858" s="49"/>
      <c r="Z858" s="49"/>
    </row>
    <row r="859">
      <c r="A859" s="49" t="str">
        <f>IFERROR(__xludf.DUMMYFUNCTION("""COMPUTED_VALUE"""),"Wyverntooth Smasher")</f>
        <v>Wyverntooth Smasher</v>
      </c>
      <c r="B859" s="49"/>
      <c r="C859" s="49" t="str">
        <f>IFERROR(__xludf.DUMMYFUNCTION("""COMPUTED_VALUE"""),"Axe")</f>
        <v>Axe</v>
      </c>
      <c r="D859" s="49" t="str">
        <f>IFERROR(__xludf.DUMMYFUNCTION("""COMPUTED_VALUE"""),"Hand")</f>
        <v>Hand</v>
      </c>
      <c r="E859" s="49">
        <f>IFERROR(__xludf.DUMMYFUNCTION("""COMPUTED_VALUE"""),2400.0)</f>
        <v>2400</v>
      </c>
      <c r="F859" s="49" t="str">
        <f>IFERROR(__xludf.DUMMYFUNCTION("""COMPUTED_VALUE"""),"DMG: +30000, Chaos DMG: +90000")</f>
        <v>DMG: +30000, Chaos DMG: +90000</v>
      </c>
      <c r="G859" s="49">
        <f>IFERROR(__xludf.DUMMYFUNCTION("""COMPUTED_VALUE"""),2.868E8)</f>
        <v>286800000</v>
      </c>
      <c r="H859" s="49"/>
      <c r="I859" s="49"/>
      <c r="J859" s="49"/>
      <c r="K859" s="49"/>
      <c r="L859" s="49"/>
      <c r="M859" s="49"/>
      <c r="N859" s="49"/>
      <c r="O859" s="49"/>
      <c r="P859" s="49"/>
      <c r="Q859" s="49"/>
      <c r="R859" s="49"/>
      <c r="S859" s="49"/>
      <c r="T859" s="49"/>
      <c r="U859" s="49"/>
      <c r="V859" s="49"/>
      <c r="W859" s="49"/>
      <c r="X859" s="49"/>
      <c r="Y859" s="49"/>
      <c r="Z859" s="49"/>
    </row>
    <row r="860">
      <c r="A860" s="49" t="str">
        <f>IFERROR(__xludf.DUMMYFUNCTION("""COMPUTED_VALUE"""),"Wyvernblade")</f>
        <v>Wyvernblade</v>
      </c>
      <c r="B860" s="49"/>
      <c r="C860" s="49" t="str">
        <f>IFERROR(__xludf.DUMMYFUNCTION("""COMPUTED_VALUE"""),"Knife")</f>
        <v>Knife</v>
      </c>
      <c r="D860" s="49" t="str">
        <f>IFERROR(__xludf.DUMMYFUNCTION("""COMPUTED_VALUE"""),"Hand")</f>
        <v>Hand</v>
      </c>
      <c r="E860" s="49">
        <f>IFERROR(__xludf.DUMMYFUNCTION("""COMPUTED_VALUE"""),2600.0)</f>
        <v>2600</v>
      </c>
      <c r="F860" s="49" t="str">
        <f>IFERROR(__xludf.DUMMYFUNCTION("""COMPUTED_VALUE"""),", Melee DMG: +130000")</f>
        <v>, Melee DMG: +130000</v>
      </c>
      <c r="G860" s="49">
        <f>IFERROR(__xludf.DUMMYFUNCTION("""COMPUTED_VALUE"""),3.367E8)</f>
        <v>336700000</v>
      </c>
      <c r="H860" s="49"/>
      <c r="I860" s="49"/>
      <c r="J860" s="49"/>
      <c r="K860" s="49"/>
      <c r="L860" s="49"/>
      <c r="M860" s="49"/>
      <c r="N860" s="49"/>
      <c r="O860" s="49"/>
      <c r="P860" s="49"/>
      <c r="Q860" s="49"/>
      <c r="R860" s="49"/>
      <c r="S860" s="49"/>
      <c r="T860" s="49"/>
      <c r="U860" s="49"/>
      <c r="V860" s="49"/>
      <c r="W860" s="49"/>
      <c r="X860" s="49"/>
      <c r="Y860" s="49"/>
      <c r="Z860" s="49"/>
    </row>
    <row r="861">
      <c r="A861" s="49" t="str">
        <f>IFERROR(__xludf.DUMMYFUNCTION("""COMPUTED_VALUE"""),"Wyvernscale Ring")</f>
        <v>Wyvernscale Ring</v>
      </c>
      <c r="B861" s="49"/>
      <c r="C861" s="49" t="str">
        <f>IFERROR(__xludf.DUMMYFUNCTION("""COMPUTED_VALUE"""),"Item")</f>
        <v>Item</v>
      </c>
      <c r="D861" s="49" t="str">
        <f>IFERROR(__xludf.DUMMYFUNCTION("""COMPUTED_VALUE"""),"Finger")</f>
        <v>Finger</v>
      </c>
      <c r="E861" s="49">
        <f>IFERROR(__xludf.DUMMYFUNCTION("""COMPUTED_VALUE"""),2000.0)</f>
        <v>2000</v>
      </c>
      <c r="F861" s="49" t="str">
        <f>IFERROR(__xludf.DUMMYFUNCTION("""COMPUTED_VALUE"""),", Melee DEF: +100000 ++50% chance to negate any damage from a wyvern +-Cannot be forged or duplicated")</f>
        <v>, Melee DEF: +100000 ++50% chance to negate any damage from a wyvern +-Cannot be forged or duplicated</v>
      </c>
      <c r="G861" s="49">
        <f>IFERROR(__xludf.DUMMYFUNCTION("""COMPUTED_VALUE"""),1.99E8)</f>
        <v>199000000</v>
      </c>
      <c r="H861" s="49"/>
      <c r="I861" s="49"/>
      <c r="J861" s="49"/>
      <c r="K861" s="49"/>
      <c r="L861" s="49"/>
      <c r="M861" s="49"/>
      <c r="N861" s="49"/>
      <c r="O861" s="49"/>
      <c r="P861" s="49"/>
      <c r="Q861" s="49"/>
      <c r="R861" s="49"/>
      <c r="S861" s="49"/>
      <c r="T861" s="49"/>
      <c r="U861" s="49"/>
      <c r="V861" s="49"/>
      <c r="W861" s="49"/>
      <c r="X861" s="49"/>
      <c r="Y861" s="49"/>
      <c r="Z861" s="49"/>
    </row>
    <row r="862">
      <c r="A862" s="49" t="str">
        <f>IFERROR(__xludf.DUMMYFUNCTION("""COMPUTED_VALUE"""),"Wyvern Hood")</f>
        <v>Wyvern Hood</v>
      </c>
      <c r="B862" s="49"/>
      <c r="C862" s="49" t="str">
        <f>IFERROR(__xludf.DUMMYFUNCTION("""COMPUTED_VALUE"""),"Item")</f>
        <v>Item</v>
      </c>
      <c r="D862" s="49" t="str">
        <f>IFERROR(__xludf.DUMMYFUNCTION("""COMPUTED_VALUE"""),"Head")</f>
        <v>Head</v>
      </c>
      <c r="E862" s="49">
        <f>IFERROR(__xludf.DUMMYFUNCTION("""COMPUTED_VALUE"""),1.0)</f>
        <v>1</v>
      </c>
      <c r="F862" s="49" t="str">
        <f>IFERROR(__xludf.DUMMYFUNCTION("""COMPUTED_VALUE""")," ++When in a party of 4 or more, enemy wyverns cannot target the wearer +-Cannot be forged or duplicated")</f>
        <v> ++When in a party of 4 or more, enemy wyverns cannot target the wearer +-Cannot be forged or duplicated</v>
      </c>
      <c r="G862" s="49">
        <f>IFERROR(__xludf.DUMMYFUNCTION("""COMPUTED_VALUE"""),0.0)</f>
        <v>0</v>
      </c>
      <c r="H862" s="49"/>
      <c r="I862" s="49"/>
      <c r="J862" s="49"/>
      <c r="K862" s="49"/>
      <c r="L862" s="49"/>
      <c r="M862" s="49"/>
      <c r="N862" s="49"/>
      <c r="O862" s="49"/>
      <c r="P862" s="49"/>
      <c r="Q862" s="49"/>
      <c r="R862" s="49"/>
      <c r="S862" s="49"/>
      <c r="T862" s="49"/>
      <c r="U862" s="49"/>
      <c r="V862" s="49"/>
      <c r="W862" s="49"/>
      <c r="X862" s="49"/>
      <c r="Y862" s="49"/>
      <c r="Z862" s="49"/>
    </row>
    <row r="863">
      <c r="A863" s="49" t="str">
        <f>IFERROR(__xludf.DUMMYFUNCTION("""COMPUTED_VALUE"""),"Wyvernarang")</f>
        <v>Wyvernarang</v>
      </c>
      <c r="B863" s="49"/>
      <c r="C863" s="49" t="str">
        <f>IFERROR(__xludf.DUMMYFUNCTION("""COMPUTED_VALUE"""),"Boomerang")</f>
        <v>Boomerang</v>
      </c>
      <c r="D863" s="49" t="str">
        <f>IFERROR(__xludf.DUMMYFUNCTION("""COMPUTED_VALUE"""),"Hand")</f>
        <v>Hand</v>
      </c>
      <c r="E863" s="49">
        <f>IFERROR(__xludf.DUMMYFUNCTION("""COMPUTED_VALUE"""),3000.0)</f>
        <v>3000</v>
      </c>
      <c r="F863" s="49" t="str">
        <f>IFERROR(__xludf.DUMMYFUNCTION("""COMPUTED_VALUE"""),"DMG: +50000, Spirit DMG: +50000, Chaos DMG: +50000")</f>
        <v>DMG: +50000, Spirit DMG: +50000, Chaos DMG: +50000</v>
      </c>
      <c r="G863" s="49">
        <f>IFERROR(__xludf.DUMMYFUNCTION("""COMPUTED_VALUE"""),4.485E8)</f>
        <v>448500000</v>
      </c>
      <c r="H863" s="49"/>
      <c r="I863" s="49"/>
      <c r="J863" s="49"/>
      <c r="K863" s="49"/>
      <c r="L863" s="49"/>
      <c r="M863" s="49"/>
      <c r="N863" s="49"/>
      <c r="O863" s="49"/>
      <c r="P863" s="49"/>
      <c r="Q863" s="49"/>
      <c r="R863" s="49"/>
      <c r="S863" s="49"/>
      <c r="T863" s="49"/>
      <c r="U863" s="49"/>
      <c r="V863" s="49"/>
      <c r="W863" s="49"/>
      <c r="X863" s="49"/>
      <c r="Y863" s="49"/>
      <c r="Z863" s="49"/>
    </row>
    <row r="864">
      <c r="A864" s="49" t="str">
        <f>IFERROR(__xludf.DUMMYFUNCTION("""COMPUTED_VALUE"""),"Iguanian Assassin's Memento")</f>
        <v>Iguanian Assassin's Memento</v>
      </c>
      <c r="B864" s="49" t="str">
        <f>IFERROR(__xludf.DUMMYFUNCTION("""COMPUTED_VALUE"""),"From this necklace hangs a series of teeth, each one taken from an iguanian assassin's victim.")</f>
        <v>From this necklace hangs a series of teeth, each one taken from an iguanian assassin's victim.</v>
      </c>
      <c r="C864" s="49"/>
      <c r="D864" s="49" t="str">
        <f>IFERROR(__xludf.DUMMYFUNCTION("""COMPUTED_VALUE"""),"Neck")</f>
        <v>Neck</v>
      </c>
      <c r="E864" s="49">
        <f>IFERROR(__xludf.DUMMYFUNCTION("""COMPUTED_VALUE"""),1.0)</f>
        <v>1</v>
      </c>
      <c r="F864" s="49" t="str">
        <f>IFERROR(__xludf.DUMMYFUNCTION("""COMPUTED_VALUE""")," ++For every enemy killed with this item equipped +1 permanent ATK (0/100000)")</f>
        <v> ++For every enemy killed with this item equipped +1 permanent ATK (0/100000)</v>
      </c>
      <c r="G864" s="49">
        <f>IFERROR(__xludf.DUMMYFUNCTION("""COMPUTED_VALUE"""),0.0)</f>
        <v>0</v>
      </c>
      <c r="H864" s="49"/>
      <c r="I864" s="49"/>
      <c r="J864" s="49"/>
      <c r="K864" s="49"/>
      <c r="L864" s="49"/>
      <c r="M864" s="49"/>
      <c r="N864" s="49"/>
      <c r="O864" s="49"/>
      <c r="P864" s="49"/>
      <c r="Q864" s="49"/>
      <c r="R864" s="49"/>
      <c r="S864" s="49"/>
      <c r="T864" s="49"/>
      <c r="U864" s="49"/>
      <c r="V864" s="49"/>
      <c r="W864" s="49"/>
      <c r="X864" s="49"/>
      <c r="Y864" s="49"/>
      <c r="Z864" s="49"/>
    </row>
    <row r="865">
      <c r="A865" s="49" t="str">
        <f>IFERROR(__xludf.DUMMYFUNCTION("""COMPUTED_VALUE"""),"Salamander Boots")</f>
        <v>Salamander Boots</v>
      </c>
      <c r="B865" s="49"/>
      <c r="C865" s="49" t="str">
        <f>IFERROR(__xludf.DUMMYFUNCTION("""COMPUTED_VALUE"""),"Item")</f>
        <v>Item</v>
      </c>
      <c r="D865" s="49" t="str">
        <f>IFERROR(__xludf.DUMMYFUNCTION("""COMPUTED_VALUE"""),"Feet")</f>
        <v>Feet</v>
      </c>
      <c r="E865" s="49">
        <f>IFERROR(__xludf.DUMMYFUNCTION("""COMPUTED_VALUE"""),2000.0)</f>
        <v>2000</v>
      </c>
      <c r="F865" s="49" t="str">
        <f>IFERROR(__xludf.DUMMYFUNCTION("""COMPUTED_VALUE"""),", Fire DEF: +100000")</f>
        <v>, Fire DEF: +100000</v>
      </c>
      <c r="G865" s="49">
        <f>IFERROR(__xludf.DUMMYFUNCTION("""COMPUTED_VALUE"""),1.99E8)</f>
        <v>199000000</v>
      </c>
      <c r="H865" s="49"/>
      <c r="I865" s="49"/>
      <c r="J865" s="49"/>
      <c r="K865" s="49"/>
      <c r="L865" s="49"/>
      <c r="M865" s="49"/>
      <c r="N865" s="49"/>
      <c r="O865" s="49"/>
      <c r="P865" s="49"/>
      <c r="Q865" s="49"/>
      <c r="R865" s="49"/>
      <c r="S865" s="49"/>
      <c r="T865" s="49"/>
      <c r="U865" s="49"/>
      <c r="V865" s="49"/>
      <c r="W865" s="49"/>
      <c r="X865" s="49"/>
      <c r="Y865" s="49"/>
      <c r="Z865" s="49"/>
    </row>
    <row r="866">
      <c r="A866" s="49" t="str">
        <f>IFERROR(__xludf.DUMMYFUNCTION("""COMPUTED_VALUE"""),"Salamanderscale Chainmail")</f>
        <v>Salamanderscale Chainmail</v>
      </c>
      <c r="B866" s="49"/>
      <c r="C866" s="49" t="str">
        <f>IFERROR(__xludf.DUMMYFUNCTION("""COMPUTED_VALUE"""),"Item")</f>
        <v>Item</v>
      </c>
      <c r="D866" s="49" t="str">
        <f>IFERROR(__xludf.DUMMYFUNCTION("""COMPUTED_VALUE"""),"Torso")</f>
        <v>Torso</v>
      </c>
      <c r="E866" s="49">
        <f>IFERROR(__xludf.DUMMYFUNCTION("""COMPUTED_VALUE"""),2000.0)</f>
        <v>2000</v>
      </c>
      <c r="F866" s="49" t="str">
        <f>IFERROR(__xludf.DUMMYFUNCTION("""COMPUTED_VALUE"""),", Fire DEF: +120000, Water DEF: +-10000, Storm DEF: +-10000 +-Water and Storm deal additional 20000 damage to the wearer")</f>
        <v>, Fire DEF: +120000, Water DEF: +-10000, Storm DEF: +-10000 +-Water and Storm deal additional 20000 damage to the wearer</v>
      </c>
      <c r="G866" s="49">
        <f>IFERROR(__xludf.DUMMYFUNCTION("""COMPUTED_VALUE"""),1.99E8)</f>
        <v>199000000</v>
      </c>
      <c r="H866" s="49"/>
      <c r="I866" s="49"/>
      <c r="J866" s="49"/>
      <c r="K866" s="49"/>
      <c r="L866" s="49"/>
      <c r="M866" s="49"/>
      <c r="N866" s="49"/>
      <c r="O866" s="49"/>
      <c r="P866" s="49"/>
      <c r="Q866" s="49"/>
      <c r="R866" s="49"/>
      <c r="S866" s="49"/>
      <c r="T866" s="49"/>
      <c r="U866" s="49"/>
      <c r="V866" s="49"/>
      <c r="W866" s="49"/>
      <c r="X866" s="49"/>
      <c r="Y866" s="49"/>
      <c r="Z866" s="49"/>
    </row>
    <row r="867">
      <c r="A867" s="49" t="str">
        <f>IFERROR(__xludf.DUMMYFUNCTION("""COMPUTED_VALUE"""),"Iguanian Brawler's Headband")</f>
        <v>Iguanian Brawler's Headband</v>
      </c>
      <c r="B867" s="49"/>
      <c r="C867" s="49" t="str">
        <f>IFERROR(__xludf.DUMMYFUNCTION("""COMPUTED_VALUE"""),"Item")</f>
        <v>Item</v>
      </c>
      <c r="D867" s="49" t="str">
        <f>IFERROR(__xludf.DUMMYFUNCTION("""COMPUTED_VALUE"""),"Head")</f>
        <v>Head</v>
      </c>
      <c r="E867" s="49">
        <f>IFERROR(__xludf.DUMMYFUNCTION("""COMPUTED_VALUE"""),3000.0)</f>
        <v>3000</v>
      </c>
      <c r="F867" s="49" t="str">
        <f>IFERROR(__xludf.DUMMYFUNCTION("""COMPUTED_VALUE"""),"DEF: +150000, Water DEF: +50000, Nature DEF: +-50000")</f>
        <v>DEF: +150000, Water DEF: +50000, Nature DEF: +-50000</v>
      </c>
      <c r="G867" s="49">
        <f>IFERROR(__xludf.DUMMYFUNCTION("""COMPUTED_VALUE"""),4.485E8)</f>
        <v>448500000</v>
      </c>
      <c r="H867" s="49"/>
      <c r="I867" s="49"/>
      <c r="J867" s="49"/>
      <c r="K867" s="49"/>
      <c r="L867" s="49"/>
      <c r="M867" s="49"/>
      <c r="N867" s="49"/>
      <c r="O867" s="49"/>
      <c r="P867" s="49"/>
      <c r="Q867" s="49"/>
      <c r="R867" s="49"/>
      <c r="S867" s="49"/>
      <c r="T867" s="49"/>
      <c r="U867" s="49"/>
      <c r="V867" s="49"/>
      <c r="W867" s="49"/>
      <c r="X867" s="49"/>
      <c r="Y867" s="49"/>
      <c r="Z867" s="49"/>
    </row>
    <row r="868">
      <c r="A868" s="49" t="str">
        <f>IFERROR(__xludf.DUMMYFUNCTION("""COMPUTED_VALUE"""),"Iguanian Brawler's Cape")</f>
        <v>Iguanian Brawler's Cape</v>
      </c>
      <c r="B868" s="49"/>
      <c r="C868" s="49" t="str">
        <f>IFERROR(__xludf.DUMMYFUNCTION("""COMPUTED_VALUE"""),"Item")</f>
        <v>Item</v>
      </c>
      <c r="D868" s="49" t="str">
        <f>IFERROR(__xludf.DUMMYFUNCTION("""COMPUTED_VALUE"""),"Shoulders")</f>
        <v>Shoulders</v>
      </c>
      <c r="E868" s="49">
        <f>IFERROR(__xludf.DUMMYFUNCTION("""COMPUTED_VALUE"""),3000.0)</f>
        <v>3000</v>
      </c>
      <c r="F868" s="49" t="str">
        <f>IFERROR(__xludf.DUMMYFUNCTION("""COMPUTED_VALUE"""),"DEF: +150000, Water DEF: +50000, Nature DEF: +-50000")</f>
        <v>DEF: +150000, Water DEF: +50000, Nature DEF: +-50000</v>
      </c>
      <c r="G868" s="49">
        <f>IFERROR(__xludf.DUMMYFUNCTION("""COMPUTED_VALUE"""),4.485E8)</f>
        <v>448500000</v>
      </c>
      <c r="H868" s="49"/>
      <c r="I868" s="49"/>
      <c r="J868" s="49"/>
      <c r="K868" s="49"/>
      <c r="L868" s="49"/>
      <c r="M868" s="49"/>
      <c r="N868" s="49"/>
      <c r="O868" s="49"/>
      <c r="P868" s="49"/>
      <c r="Q868" s="49"/>
      <c r="R868" s="49"/>
      <c r="S868" s="49"/>
      <c r="T868" s="49"/>
      <c r="U868" s="49"/>
      <c r="V868" s="49"/>
      <c r="W868" s="49"/>
      <c r="X868" s="49"/>
      <c r="Y868" s="49"/>
      <c r="Z868" s="49"/>
    </row>
    <row r="869">
      <c r="A869" s="49" t="str">
        <f>IFERROR(__xludf.DUMMYFUNCTION("""COMPUTED_VALUE"""),"Iguanian Brawler's Sash")</f>
        <v>Iguanian Brawler's Sash</v>
      </c>
      <c r="B869" s="49"/>
      <c r="C869" s="49" t="str">
        <f>IFERROR(__xludf.DUMMYFUNCTION("""COMPUTED_VALUE"""),"Item")</f>
        <v>Item</v>
      </c>
      <c r="D869" s="49" t="str">
        <f>IFERROR(__xludf.DUMMYFUNCTION("""COMPUTED_VALUE"""),"Torso")</f>
        <v>Torso</v>
      </c>
      <c r="E869" s="49">
        <f>IFERROR(__xludf.DUMMYFUNCTION("""COMPUTED_VALUE"""),3000.0)</f>
        <v>3000</v>
      </c>
      <c r="F869" s="49" t="str">
        <f>IFERROR(__xludf.DUMMYFUNCTION("""COMPUTED_VALUE"""),"DEF: +150000, Water DEF: +50000, Nature DEF: +-50000")</f>
        <v>DEF: +150000, Water DEF: +50000, Nature DEF: +-50000</v>
      </c>
      <c r="G869" s="49">
        <f>IFERROR(__xludf.DUMMYFUNCTION("""COMPUTED_VALUE"""),4.485E8)</f>
        <v>448500000</v>
      </c>
      <c r="H869" s="49"/>
      <c r="I869" s="49"/>
      <c r="J869" s="49"/>
      <c r="K869" s="49"/>
      <c r="L869" s="49"/>
      <c r="M869" s="49"/>
      <c r="N869" s="49"/>
      <c r="O869" s="49"/>
      <c r="P869" s="49"/>
      <c r="Q869" s="49"/>
      <c r="R869" s="49"/>
      <c r="S869" s="49"/>
      <c r="T869" s="49"/>
      <c r="U869" s="49"/>
      <c r="V869" s="49"/>
      <c r="W869" s="49"/>
      <c r="X869" s="49"/>
      <c r="Y869" s="49"/>
      <c r="Z869" s="49"/>
    </row>
    <row r="870">
      <c r="A870" s="49" t="str">
        <f>IFERROR(__xludf.DUMMYFUNCTION("""COMPUTED_VALUE"""),"Iguanian Brawler's Arm Wraps")</f>
        <v>Iguanian Brawler's Arm Wraps</v>
      </c>
      <c r="B870" s="49"/>
      <c r="C870" s="49" t="str">
        <f>IFERROR(__xludf.DUMMYFUNCTION("""COMPUTED_VALUE"""),"Item")</f>
        <v>Item</v>
      </c>
      <c r="D870" s="49" t="str">
        <f>IFERROR(__xludf.DUMMYFUNCTION("""COMPUTED_VALUE"""),"Arms")</f>
        <v>Arms</v>
      </c>
      <c r="E870" s="49">
        <f>IFERROR(__xludf.DUMMYFUNCTION("""COMPUTED_VALUE"""),3000.0)</f>
        <v>3000</v>
      </c>
      <c r="F870" s="49" t="str">
        <f>IFERROR(__xludf.DUMMYFUNCTION("""COMPUTED_VALUE"""),"DEF: +150000, Water DEF: +50000, Nature DEF: +-50000")</f>
        <v>DEF: +150000, Water DEF: +50000, Nature DEF: +-50000</v>
      </c>
      <c r="G870" s="49">
        <f>IFERROR(__xludf.DUMMYFUNCTION("""COMPUTED_VALUE"""),4.485E8)</f>
        <v>448500000</v>
      </c>
      <c r="H870" s="49"/>
      <c r="I870" s="49"/>
      <c r="J870" s="49"/>
      <c r="K870" s="49"/>
      <c r="L870" s="49"/>
      <c r="M870" s="49"/>
      <c r="N870" s="49"/>
      <c r="O870" s="49"/>
      <c r="P870" s="49"/>
      <c r="Q870" s="49"/>
      <c r="R870" s="49"/>
      <c r="S870" s="49"/>
      <c r="T870" s="49"/>
      <c r="U870" s="49"/>
      <c r="V870" s="49"/>
      <c r="W870" s="49"/>
      <c r="X870" s="49"/>
      <c r="Y870" s="49"/>
      <c r="Z870" s="49"/>
    </row>
    <row r="871">
      <c r="A871" s="49" t="str">
        <f>IFERROR(__xludf.DUMMYFUNCTION("""COMPUTED_VALUE"""),"Iguanian Brawler's Shorts")</f>
        <v>Iguanian Brawler's Shorts</v>
      </c>
      <c r="B871" s="49"/>
      <c r="C871" s="49" t="str">
        <f>IFERROR(__xludf.DUMMYFUNCTION("""COMPUTED_VALUE"""),"Item")</f>
        <v>Item</v>
      </c>
      <c r="D871" s="49" t="str">
        <f>IFERROR(__xludf.DUMMYFUNCTION("""COMPUTED_VALUE"""),"Legs")</f>
        <v>Legs</v>
      </c>
      <c r="E871" s="49">
        <f>IFERROR(__xludf.DUMMYFUNCTION("""COMPUTED_VALUE"""),3000.0)</f>
        <v>3000</v>
      </c>
      <c r="F871" s="49" t="str">
        <f>IFERROR(__xludf.DUMMYFUNCTION("""COMPUTED_VALUE"""),"DEF: +150000, Water DEF: +50000, Nature DEF: +-50000")</f>
        <v>DEF: +150000, Water DEF: +50000, Nature DEF: +-50000</v>
      </c>
      <c r="G871" s="49">
        <f>IFERROR(__xludf.DUMMYFUNCTION("""COMPUTED_VALUE"""),4.485E8)</f>
        <v>448500000</v>
      </c>
      <c r="H871" s="49"/>
      <c r="I871" s="49"/>
      <c r="J871" s="49"/>
      <c r="K871" s="49"/>
      <c r="L871" s="49"/>
      <c r="M871" s="49"/>
      <c r="N871" s="49"/>
      <c r="O871" s="49"/>
      <c r="P871" s="49"/>
      <c r="Q871" s="49"/>
      <c r="R871" s="49"/>
      <c r="S871" s="49"/>
      <c r="T871" s="49"/>
      <c r="U871" s="49"/>
      <c r="V871" s="49"/>
      <c r="W871" s="49"/>
      <c r="X871" s="49"/>
      <c r="Y871" s="49"/>
      <c r="Z871" s="49"/>
    </row>
    <row r="872">
      <c r="A872" s="49" t="str">
        <f>IFERROR(__xludf.DUMMYFUNCTION("""COMPUTED_VALUE"""),"Iguanian Brawler's Sandals")</f>
        <v>Iguanian Brawler's Sandals</v>
      </c>
      <c r="B872" s="49"/>
      <c r="C872" s="49" t="str">
        <f>IFERROR(__xludf.DUMMYFUNCTION("""COMPUTED_VALUE"""),"Item")</f>
        <v>Item</v>
      </c>
      <c r="D872" s="49" t="str">
        <f>IFERROR(__xludf.DUMMYFUNCTION("""COMPUTED_VALUE"""),"Feet")</f>
        <v>Feet</v>
      </c>
      <c r="E872" s="49">
        <f>IFERROR(__xludf.DUMMYFUNCTION("""COMPUTED_VALUE"""),3000.0)</f>
        <v>3000</v>
      </c>
      <c r="F872" s="49" t="str">
        <f>IFERROR(__xludf.DUMMYFUNCTION("""COMPUTED_VALUE"""),"DEF: +150000, Water DEF: +50000, Nature DEF: +-50000")</f>
        <v>DEF: +150000, Water DEF: +50000, Nature DEF: +-50000</v>
      </c>
      <c r="G872" s="49">
        <f>IFERROR(__xludf.DUMMYFUNCTION("""COMPUTED_VALUE"""),4.485E8)</f>
        <v>448500000</v>
      </c>
      <c r="H872" s="49"/>
      <c r="I872" s="49"/>
      <c r="J872" s="49"/>
      <c r="K872" s="49"/>
      <c r="L872" s="49"/>
      <c r="M872" s="49"/>
      <c r="N872" s="49"/>
      <c r="O872" s="49"/>
      <c r="P872" s="49"/>
      <c r="Q872" s="49"/>
      <c r="R872" s="49"/>
      <c r="S872" s="49"/>
      <c r="T872" s="49"/>
      <c r="U872" s="49"/>
      <c r="V872" s="49"/>
      <c r="W872" s="49"/>
      <c r="X872" s="49"/>
      <c r="Y872" s="49"/>
      <c r="Z872" s="49"/>
    </row>
    <row r="873">
      <c r="A873" s="49" t="str">
        <f>IFERROR(__xludf.DUMMYFUNCTION("""COMPUTED_VALUE"""),"Iguanian Brawler's Knuckles")</f>
        <v>Iguanian Brawler's Knuckles</v>
      </c>
      <c r="B873" s="49"/>
      <c r="C873" s="49" t="str">
        <f>IFERROR(__xludf.DUMMYFUNCTION("""COMPUTED_VALUE"""),"Gauntlet")</f>
        <v>Gauntlet</v>
      </c>
      <c r="D873" s="49" t="str">
        <f>IFERROR(__xludf.DUMMYFUNCTION("""COMPUTED_VALUE"""),"Hand")</f>
        <v>Hand</v>
      </c>
      <c r="E873" s="49">
        <f>IFERROR(__xludf.DUMMYFUNCTION("""COMPUTED_VALUE"""),3000.0)</f>
        <v>3000</v>
      </c>
      <c r="F873" s="49" t="str">
        <f>IFERROR(__xludf.DUMMYFUNCTION("""COMPUTED_VALUE"""),"DEF: +100000, Water DEF: +50000")</f>
        <v>DEF: +100000, Water DEF: +50000</v>
      </c>
      <c r="G873" s="49">
        <f>IFERROR(__xludf.DUMMYFUNCTION("""COMPUTED_VALUE"""),4.485E8)</f>
        <v>448500000</v>
      </c>
      <c r="H873" s="49"/>
      <c r="I873" s="49"/>
      <c r="J873" s="49"/>
      <c r="K873" s="49"/>
      <c r="L873" s="49"/>
      <c r="M873" s="49"/>
      <c r="N873" s="49"/>
      <c r="O873" s="49"/>
      <c r="P873" s="49"/>
      <c r="Q873" s="49"/>
      <c r="R873" s="49"/>
      <c r="S873" s="49"/>
      <c r="T873" s="49"/>
      <c r="U873" s="49"/>
      <c r="V873" s="49"/>
      <c r="W873" s="49"/>
      <c r="X873" s="49"/>
      <c r="Y873" s="49"/>
      <c r="Z873" s="49"/>
    </row>
    <row r="874">
      <c r="A874" s="49" t="str">
        <f>IFERROR(__xludf.DUMMYFUNCTION("""COMPUTED_VALUE"""),"Iguanian Brawler's Ring")</f>
        <v>Iguanian Brawler's Ring</v>
      </c>
      <c r="B874" s="49"/>
      <c r="C874" s="49"/>
      <c r="D874" s="49" t="str">
        <f>IFERROR(__xludf.DUMMYFUNCTION("""COMPUTED_VALUE"""),"Finger")</f>
        <v>Finger</v>
      </c>
      <c r="E874" s="49">
        <f>IFERROR(__xludf.DUMMYFUNCTION("""COMPUTED_VALUE"""),1.0)</f>
        <v>1</v>
      </c>
      <c r="F874" s="49" t="str">
        <f>IFERROR(__xludf.DUMMYFUNCTION("""COMPUTED_VALUE""")," ++X10 Natural Attack damage")</f>
        <v> ++X10 Natural Attack damage</v>
      </c>
      <c r="G874" s="49">
        <f>IFERROR(__xludf.DUMMYFUNCTION("""COMPUTED_VALUE"""),0.0)</f>
        <v>0</v>
      </c>
      <c r="H874" s="49"/>
      <c r="I874" s="49"/>
      <c r="J874" s="49"/>
      <c r="K874" s="49"/>
      <c r="L874" s="49"/>
      <c r="M874" s="49"/>
      <c r="N874" s="49"/>
      <c r="O874" s="49"/>
      <c r="P874" s="49"/>
      <c r="Q874" s="49"/>
      <c r="R874" s="49"/>
      <c r="S874" s="49"/>
      <c r="T874" s="49"/>
      <c r="U874" s="49"/>
      <c r="V874" s="49"/>
      <c r="W874" s="49"/>
      <c r="X874" s="49"/>
      <c r="Y874" s="49"/>
      <c r="Z874" s="49"/>
    </row>
    <row r="875">
      <c r="A875" s="49" t="str">
        <f>IFERROR(__xludf.DUMMYFUNCTION("""COMPUTED_VALUE"""),"Cursed Ring of Sudden Death")</f>
        <v>Cursed Ring of Sudden Death</v>
      </c>
      <c r="B875" s="49"/>
      <c r="C875" s="49" t="str">
        <f>IFERROR(__xludf.DUMMYFUNCTION("""COMPUTED_VALUE"""),"Item")</f>
        <v>Item</v>
      </c>
      <c r="D875" s="49" t="str">
        <f>IFERROR(__xludf.DUMMYFUNCTION("""COMPUTED_VALUE"""),"Finger")</f>
        <v>Finger</v>
      </c>
      <c r="E875" s="49">
        <f>IFERROR(__xludf.DUMMYFUNCTION("""COMPUTED_VALUE"""),1.0)</f>
        <v>1</v>
      </c>
      <c r="F875" s="49"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49">
        <f>IFERROR(__xludf.DUMMYFUNCTION("""COMPUTED_VALUE"""),0.0)</f>
        <v>0</v>
      </c>
      <c r="H875" s="49"/>
      <c r="I875" s="49"/>
      <c r="J875" s="49"/>
      <c r="K875" s="49"/>
      <c r="L875" s="49"/>
      <c r="M875" s="49"/>
      <c r="N875" s="49"/>
      <c r="O875" s="49"/>
      <c r="P875" s="49"/>
      <c r="Q875" s="49"/>
      <c r="R875" s="49"/>
      <c r="S875" s="49"/>
      <c r="T875" s="49"/>
      <c r="U875" s="49"/>
      <c r="V875" s="49"/>
      <c r="W875" s="49"/>
      <c r="X875" s="49"/>
      <c r="Y875" s="49"/>
      <c r="Z875" s="49"/>
    </row>
    <row r="876">
      <c r="A876" s="49" t="str">
        <f>IFERROR(__xludf.DUMMYFUNCTION("""COMPUTED_VALUE"""),"Ring of Action")</f>
        <v>Ring of Action</v>
      </c>
      <c r="B876" s="49"/>
      <c r="C876" s="49" t="str">
        <f>IFERROR(__xludf.DUMMYFUNCTION("""COMPUTED_VALUE"""),"Item")</f>
        <v>Item</v>
      </c>
      <c r="D876" s="49" t="str">
        <f>IFERROR(__xludf.DUMMYFUNCTION("""COMPUTED_VALUE"""),"Finger")</f>
        <v>Finger</v>
      </c>
      <c r="E876" s="49">
        <f>IFERROR(__xludf.DUMMYFUNCTION("""COMPUTED_VALUE"""),1.0)</f>
        <v>1</v>
      </c>
      <c r="F876" s="49" t="str">
        <f>IFERROR(__xludf.DUMMYFUNCTION("""COMPUTED_VALUE""")," ++10000 SP")</f>
        <v> ++10000 SP</v>
      </c>
      <c r="G876" s="49">
        <f>IFERROR(__xludf.DUMMYFUNCTION("""COMPUTED_VALUE"""),0.0)</f>
        <v>0</v>
      </c>
      <c r="H876" s="49"/>
      <c r="I876" s="49"/>
      <c r="J876" s="49"/>
      <c r="K876" s="49"/>
      <c r="L876" s="49"/>
      <c r="M876" s="49"/>
      <c r="N876" s="49"/>
      <c r="O876" s="49"/>
      <c r="P876" s="49"/>
      <c r="Q876" s="49"/>
      <c r="R876" s="49"/>
      <c r="S876" s="49"/>
      <c r="T876" s="49"/>
      <c r="U876" s="49"/>
      <c r="V876" s="49"/>
      <c r="W876" s="49"/>
      <c r="X876" s="49"/>
      <c r="Y876" s="49"/>
      <c r="Z876" s="49"/>
    </row>
    <row r="877">
      <c r="A877" s="49" t="str">
        <f>IFERROR(__xludf.DUMMYFUNCTION("""COMPUTED_VALUE"""),"Iguanian Mage Hat")</f>
        <v>Iguanian Mage Hat</v>
      </c>
      <c r="B877" s="49"/>
      <c r="C877" s="49" t="str">
        <f>IFERROR(__xludf.DUMMYFUNCTION("""COMPUTED_VALUE"""),"Item")</f>
        <v>Item</v>
      </c>
      <c r="D877" s="49"/>
      <c r="E877" s="49">
        <f>IFERROR(__xludf.DUMMYFUNCTION("""COMPUTED_VALUE"""),1.0)</f>
        <v>1</v>
      </c>
      <c r="F877" s="49" t="str">
        <f>IFERROR(__xludf.DUMMYFUNCTION("""COMPUTED_VALUE""")," ++10000 hp and sp")</f>
        <v> ++10000 hp and sp</v>
      </c>
      <c r="G877" s="49">
        <f>IFERROR(__xludf.DUMMYFUNCTION("""COMPUTED_VALUE"""),0.0)</f>
        <v>0</v>
      </c>
      <c r="H877" s="49"/>
      <c r="I877" s="49"/>
      <c r="J877" s="49"/>
      <c r="K877" s="49"/>
      <c r="L877" s="49"/>
      <c r="M877" s="49"/>
      <c r="N877" s="49"/>
      <c r="O877" s="49"/>
      <c r="P877" s="49"/>
      <c r="Q877" s="49"/>
      <c r="R877" s="49"/>
      <c r="S877" s="49"/>
      <c r="T877" s="49"/>
      <c r="U877" s="49"/>
      <c r="V877" s="49"/>
      <c r="W877" s="49"/>
      <c r="X877" s="49"/>
      <c r="Y877" s="49"/>
      <c r="Z877" s="49"/>
    </row>
    <row r="878">
      <c r="A878" s="49" t="str">
        <f>IFERROR(__xludf.DUMMYFUNCTION("""COMPUTED_VALUE"""),"Iguanian Mage Robes")</f>
        <v>Iguanian Mage Robes</v>
      </c>
      <c r="B878" s="49"/>
      <c r="C878" s="49" t="str">
        <f>IFERROR(__xludf.DUMMYFUNCTION("""COMPUTED_VALUE"""),"Item")</f>
        <v>Item</v>
      </c>
      <c r="D878" s="49"/>
      <c r="E878" s="49">
        <f>IFERROR(__xludf.DUMMYFUNCTION("""COMPUTED_VALUE"""),1.0)</f>
        <v>1</v>
      </c>
      <c r="F878" s="49" t="str">
        <f>IFERROR(__xludf.DUMMYFUNCTION("""COMPUTED_VALUE""")," ++10000 hp and sp")</f>
        <v> ++10000 hp and sp</v>
      </c>
      <c r="G878" s="49">
        <f>IFERROR(__xludf.DUMMYFUNCTION("""COMPUTED_VALUE"""),0.0)</f>
        <v>0</v>
      </c>
      <c r="H878" s="49"/>
      <c r="I878" s="49"/>
      <c r="J878" s="49"/>
      <c r="K878" s="49"/>
      <c r="L878" s="49"/>
      <c r="M878" s="49"/>
      <c r="N878" s="49"/>
      <c r="O878" s="49"/>
      <c r="P878" s="49"/>
      <c r="Q878" s="49"/>
      <c r="R878" s="49"/>
      <c r="S878" s="49"/>
      <c r="T878" s="49"/>
      <c r="U878" s="49"/>
      <c r="V878" s="49"/>
      <c r="W878" s="49"/>
      <c r="X878" s="49"/>
      <c r="Y878" s="49"/>
      <c r="Z878" s="49"/>
    </row>
    <row r="879">
      <c r="A879" s="49" t="str">
        <f>IFERROR(__xludf.DUMMYFUNCTION("""COMPUTED_VALUE"""),"Iguanian Mage Leggings")</f>
        <v>Iguanian Mage Leggings</v>
      </c>
      <c r="B879" s="49"/>
      <c r="C879" s="49" t="str">
        <f>IFERROR(__xludf.DUMMYFUNCTION("""COMPUTED_VALUE"""),"Item")</f>
        <v>Item</v>
      </c>
      <c r="D879" s="49"/>
      <c r="E879" s="49">
        <f>IFERROR(__xludf.DUMMYFUNCTION("""COMPUTED_VALUE"""),1.0)</f>
        <v>1</v>
      </c>
      <c r="F879" s="49" t="str">
        <f>IFERROR(__xludf.DUMMYFUNCTION("""COMPUTED_VALUE""")," ++10000 hp and sp")</f>
        <v> ++10000 hp and sp</v>
      </c>
      <c r="G879" s="49">
        <f>IFERROR(__xludf.DUMMYFUNCTION("""COMPUTED_VALUE"""),0.0)</f>
        <v>0</v>
      </c>
      <c r="H879" s="49"/>
      <c r="I879" s="49"/>
      <c r="J879" s="49"/>
      <c r="K879" s="49"/>
      <c r="L879" s="49"/>
      <c r="M879" s="49"/>
      <c r="N879" s="49"/>
      <c r="O879" s="49"/>
      <c r="P879" s="49"/>
      <c r="Q879" s="49"/>
      <c r="R879" s="49"/>
      <c r="S879" s="49"/>
      <c r="T879" s="49"/>
      <c r="U879" s="49"/>
      <c r="V879" s="49"/>
      <c r="W879" s="49"/>
      <c r="X879" s="49"/>
      <c r="Y879" s="49"/>
      <c r="Z879" s="49"/>
    </row>
    <row r="880">
      <c r="A880" s="49" t="str">
        <f>IFERROR(__xludf.DUMMYFUNCTION("""COMPUTED_VALUE"""),"Iguanian Mage Pointed Shoes")</f>
        <v>Iguanian Mage Pointed Shoes</v>
      </c>
      <c r="B880" s="49"/>
      <c r="C880" s="49" t="str">
        <f>IFERROR(__xludf.DUMMYFUNCTION("""COMPUTED_VALUE"""),"Item")</f>
        <v>Item</v>
      </c>
      <c r="D880" s="49"/>
      <c r="E880" s="49">
        <f>IFERROR(__xludf.DUMMYFUNCTION("""COMPUTED_VALUE"""),1.0)</f>
        <v>1</v>
      </c>
      <c r="F880" s="49" t="str">
        <f>IFERROR(__xludf.DUMMYFUNCTION("""COMPUTED_VALUE""")," ++10000 hp and sp")</f>
        <v> ++10000 hp and sp</v>
      </c>
      <c r="G880" s="49">
        <f>IFERROR(__xludf.DUMMYFUNCTION("""COMPUTED_VALUE"""),0.0)</f>
        <v>0</v>
      </c>
      <c r="H880" s="49"/>
      <c r="I880" s="49"/>
      <c r="J880" s="49"/>
      <c r="K880" s="49"/>
      <c r="L880" s="49"/>
      <c r="M880" s="49"/>
      <c r="N880" s="49"/>
      <c r="O880" s="49"/>
      <c r="P880" s="49"/>
      <c r="Q880" s="49"/>
      <c r="R880" s="49"/>
      <c r="S880" s="49"/>
      <c r="T880" s="49"/>
      <c r="U880" s="49"/>
      <c r="V880" s="49"/>
      <c r="W880" s="49"/>
      <c r="X880" s="49"/>
      <c r="Y880" s="49"/>
      <c r="Z880" s="49"/>
    </row>
    <row r="881">
      <c r="A881" s="49" t="str">
        <f>IFERROR(__xludf.DUMMYFUNCTION("""COMPUTED_VALUE"""),"Iguanian Mage Staff of Hail")</f>
        <v>Iguanian Mage Staff of Hail</v>
      </c>
      <c r="B881" s="49"/>
      <c r="C881" s="49" t="str">
        <f>IFERROR(__xludf.DUMMYFUNCTION("""COMPUTED_VALUE"""),"Staff")</f>
        <v>Staff</v>
      </c>
      <c r="D881" s="49"/>
      <c r="E881" s="49">
        <f>IFERROR(__xludf.DUMMYFUNCTION("""COMPUTED_VALUE"""),1.0)</f>
        <v>1</v>
      </c>
      <c r="F881" s="49"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49">
        <f>IFERROR(__xludf.DUMMYFUNCTION("""COMPUTED_VALUE"""),0.0)</f>
        <v>0</v>
      </c>
      <c r="H881" s="49"/>
      <c r="I881" s="49"/>
      <c r="J881" s="49"/>
      <c r="K881" s="49"/>
      <c r="L881" s="49"/>
      <c r="M881" s="49"/>
      <c r="N881" s="49"/>
      <c r="O881" s="49"/>
      <c r="P881" s="49"/>
      <c r="Q881" s="49"/>
      <c r="R881" s="49"/>
      <c r="S881" s="49"/>
      <c r="T881" s="49"/>
      <c r="U881" s="49"/>
      <c r="V881" s="49"/>
      <c r="W881" s="49"/>
      <c r="X881" s="49"/>
      <c r="Y881" s="49"/>
      <c r="Z881" s="49"/>
    </row>
    <row r="882">
      <c r="A882" s="49" t="str">
        <f>IFERROR(__xludf.DUMMYFUNCTION("""COMPUTED_VALUE"""),"Blood Finger Ring")</f>
        <v>Blood Finger Ring</v>
      </c>
      <c r="B882" s="49"/>
      <c r="C882" s="49" t="str">
        <f>IFERROR(__xludf.DUMMYFUNCTION("""COMPUTED_VALUE"""),"Item")</f>
        <v>Item</v>
      </c>
      <c r="D882" s="49" t="str">
        <f>IFERROR(__xludf.DUMMYFUNCTION("""COMPUTED_VALUE"""),"Finger")</f>
        <v>Finger</v>
      </c>
      <c r="E882" s="49">
        <f>IFERROR(__xludf.DUMMYFUNCTION("""COMPUTED_VALUE"""),1.0)</f>
        <v>1</v>
      </c>
      <c r="F882" s="49" t="str">
        <f>IFERROR(__xludf.DUMMYFUNCTION("""COMPUTED_VALUE""")," ++Once per battle, if HP&lt;110, heal 10000 HP +-Cannot be forged or duplicated")</f>
        <v> ++Once per battle, if HP&lt;110, heal 10000 HP +-Cannot be forged or duplicated</v>
      </c>
      <c r="G882" s="49">
        <f>IFERROR(__xludf.DUMMYFUNCTION("""COMPUTED_VALUE"""),0.0)</f>
        <v>0</v>
      </c>
      <c r="H882" s="49"/>
      <c r="I882" s="49"/>
      <c r="J882" s="49"/>
      <c r="K882" s="49"/>
      <c r="L882" s="49"/>
      <c r="M882" s="49"/>
      <c r="N882" s="49"/>
      <c r="O882" s="49"/>
      <c r="P882" s="49"/>
      <c r="Q882" s="49"/>
      <c r="R882" s="49"/>
      <c r="S882" s="49"/>
      <c r="T882" s="49"/>
      <c r="U882" s="49"/>
      <c r="V882" s="49"/>
      <c r="W882" s="49"/>
      <c r="X882" s="49"/>
      <c r="Y882" s="49"/>
      <c r="Z882" s="49"/>
    </row>
    <row r="883">
      <c r="A883" s="49" t="str">
        <f>IFERROR(__xludf.DUMMYFUNCTION("""COMPUTED_VALUE"""),"Finger Food Ring")</f>
        <v>Finger Food Ring</v>
      </c>
      <c r="B883" s="49"/>
      <c r="C883" s="49" t="str">
        <f>IFERROR(__xludf.DUMMYFUNCTION("""COMPUTED_VALUE"""),"Item")</f>
        <v>Item</v>
      </c>
      <c r="D883" s="49" t="str">
        <f>IFERROR(__xludf.DUMMYFUNCTION("""COMPUTED_VALUE"""),"Finger")</f>
        <v>Finger</v>
      </c>
      <c r="E883" s="49">
        <f>IFERROR(__xludf.DUMMYFUNCTION("""COMPUTED_VALUE"""),1.0)</f>
        <v>1</v>
      </c>
      <c r="F883" s="49"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49">
        <f>IFERROR(__xludf.DUMMYFUNCTION("""COMPUTED_VALUE"""),0.0)</f>
        <v>0</v>
      </c>
      <c r="H883" s="49"/>
      <c r="I883" s="49"/>
      <c r="J883" s="49"/>
      <c r="K883" s="49"/>
      <c r="L883" s="49"/>
      <c r="M883" s="49"/>
      <c r="N883" s="49"/>
      <c r="O883" s="49"/>
      <c r="P883" s="49"/>
      <c r="Q883" s="49"/>
      <c r="R883" s="49"/>
      <c r="S883" s="49"/>
      <c r="T883" s="49"/>
      <c r="U883" s="49"/>
      <c r="V883" s="49"/>
      <c r="W883" s="49"/>
      <c r="X883" s="49"/>
      <c r="Y883" s="49"/>
      <c r="Z883" s="49"/>
    </row>
    <row r="884">
      <c r="A884" s="49" t="str">
        <f>IFERROR(__xludf.DUMMYFUNCTION("""COMPUTED_VALUE"""),"Ring of Power")</f>
        <v>Ring of Power</v>
      </c>
      <c r="B884" s="49"/>
      <c r="C884" s="49" t="str">
        <f>IFERROR(__xludf.DUMMYFUNCTION("""COMPUTED_VALUE"""),"Item")</f>
        <v>Item</v>
      </c>
      <c r="D884" s="49" t="str">
        <f>IFERROR(__xludf.DUMMYFUNCTION("""COMPUTED_VALUE"""),"Finger")</f>
        <v>Finger</v>
      </c>
      <c r="E884" s="49">
        <f>IFERROR(__xludf.DUMMYFUNCTION("""COMPUTED_VALUE"""),1.0)</f>
        <v>1</v>
      </c>
      <c r="F884" s="49" t="str">
        <f>IFERROR(__xludf.DUMMYFUNCTION("""COMPUTED_VALUE""")," ++1500 ATK and ACC")</f>
        <v> ++1500 ATK and ACC</v>
      </c>
      <c r="G884" s="49">
        <f>IFERROR(__xludf.DUMMYFUNCTION("""COMPUTED_VALUE"""),0.0)</f>
        <v>0</v>
      </c>
      <c r="H884" s="49"/>
      <c r="I884" s="49"/>
      <c r="J884" s="49"/>
      <c r="K884" s="49"/>
      <c r="L884" s="49"/>
      <c r="M884" s="49"/>
      <c r="N884" s="49"/>
      <c r="O884" s="49"/>
      <c r="P884" s="49"/>
      <c r="Q884" s="49"/>
      <c r="R884" s="49"/>
      <c r="S884" s="49"/>
      <c r="T884" s="49"/>
      <c r="U884" s="49"/>
      <c r="V884" s="49"/>
      <c r="W884" s="49"/>
      <c r="X884" s="49"/>
      <c r="Y884" s="49"/>
      <c r="Z884" s="49"/>
    </row>
    <row r="885">
      <c r="A885" s="49" t="str">
        <f>IFERROR(__xludf.DUMMYFUNCTION("""COMPUTED_VALUE"""),"Axe of Red")</f>
        <v>Axe of Red</v>
      </c>
      <c r="B885" s="49"/>
      <c r="C885" s="49" t="str">
        <f>IFERROR(__xludf.DUMMYFUNCTION("""COMPUTED_VALUE"""),"Axe")</f>
        <v>Axe</v>
      </c>
      <c r="D885" s="49" t="str">
        <f>IFERROR(__xludf.DUMMYFUNCTION("""COMPUTED_VALUE"""),"Hand")</f>
        <v>Hand</v>
      </c>
      <c r="E885" s="49">
        <f>IFERROR(__xludf.DUMMYFUNCTION("""COMPUTED_VALUE"""),4500.0)</f>
        <v>4500</v>
      </c>
      <c r="F885" s="49" t="str">
        <f>IFERROR(__xludf.DUMMYFUNCTION("""COMPUTED_VALUE"""),", Fire DMG: +75000, Chaos DMG: +75000, Blood DMG: +75000")</f>
        <v>, Fire DMG: +75000, Chaos DMG: +75000, Blood DMG: +75000</v>
      </c>
      <c r="G885" s="49">
        <f>IFERROR(__xludf.DUMMYFUNCTION("""COMPUTED_VALUE"""),1.01025E9)</f>
        <v>1010250000</v>
      </c>
      <c r="H885" s="49"/>
      <c r="I885" s="49"/>
      <c r="J885" s="49"/>
      <c r="K885" s="49"/>
      <c r="L885" s="49"/>
      <c r="M885" s="49"/>
      <c r="N885" s="49"/>
      <c r="O885" s="49"/>
      <c r="P885" s="49"/>
      <c r="Q885" s="49"/>
      <c r="R885" s="49"/>
      <c r="S885" s="49"/>
      <c r="T885" s="49"/>
      <c r="U885" s="49"/>
      <c r="V885" s="49"/>
      <c r="W885" s="49"/>
      <c r="X885" s="49"/>
      <c r="Y885" s="49"/>
      <c r="Z885" s="49"/>
    </row>
    <row r="886">
      <c r="A886" s="49" t="str">
        <f>IFERROR(__xludf.DUMMYFUNCTION("""COMPUTED_VALUE"""),"Wyrmscale Staff")</f>
        <v>Wyrmscale Staff</v>
      </c>
      <c r="B886" s="49"/>
      <c r="C886" s="49" t="str">
        <f>IFERROR(__xludf.DUMMYFUNCTION("""COMPUTED_VALUE"""),"Staff")</f>
        <v>Staff</v>
      </c>
      <c r="D886" s="49" t="str">
        <f>IFERROR(__xludf.DUMMYFUNCTION("""COMPUTED_VALUE"""),"Hand")</f>
        <v>Hand</v>
      </c>
      <c r="E886" s="49">
        <f>IFERROR(__xludf.DUMMYFUNCTION("""COMPUTED_VALUE"""),1.0)</f>
        <v>1</v>
      </c>
      <c r="F886" s="49" t="str">
        <f>IFERROR(__xludf.DUMMYFUNCTION("""COMPUTED_VALUE""")," ++Spells have double effect when cast on dragons +-Cannot be forged or duplicated")</f>
        <v> ++Spells have double effect when cast on dragons +-Cannot be forged or duplicated</v>
      </c>
      <c r="G886" s="49">
        <f>IFERROR(__xludf.DUMMYFUNCTION("""COMPUTED_VALUE"""),0.0)</f>
        <v>0</v>
      </c>
      <c r="H886" s="49"/>
      <c r="I886" s="49"/>
      <c r="J886" s="49"/>
      <c r="K886" s="49"/>
      <c r="L886" s="49"/>
      <c r="M886" s="49"/>
      <c r="N886" s="49"/>
      <c r="O886" s="49"/>
      <c r="P886" s="49"/>
      <c r="Q886" s="49"/>
      <c r="R886" s="49"/>
      <c r="S886" s="49"/>
      <c r="T886" s="49"/>
      <c r="U886" s="49"/>
      <c r="V886" s="49"/>
      <c r="W886" s="49"/>
      <c r="X886" s="49"/>
      <c r="Y886" s="49"/>
      <c r="Z886" s="49"/>
    </row>
    <row r="887">
      <c r="A887" s="49" t="str">
        <f>IFERROR(__xludf.DUMMYFUNCTION("""COMPUTED_VALUE"""),"Wyrmscale Wand")</f>
        <v>Wyrmscale Wand</v>
      </c>
      <c r="B887" s="49"/>
      <c r="C887" s="49" t="str">
        <f>IFERROR(__xludf.DUMMYFUNCTION("""COMPUTED_VALUE"""),"Wand")</f>
        <v>Wand</v>
      </c>
      <c r="D887" s="49" t="str">
        <f>IFERROR(__xludf.DUMMYFUNCTION("""COMPUTED_VALUE"""),"Hand")</f>
        <v>Hand</v>
      </c>
      <c r="E887" s="49">
        <f>IFERROR(__xludf.DUMMYFUNCTION("""COMPUTED_VALUE"""),1.0)</f>
        <v>1</v>
      </c>
      <c r="F887" s="49" t="str">
        <f>IFERROR(__xludf.DUMMYFUNCTION("""COMPUTED_VALUE""")," ++Half the SP/HP cost of spells when in the presence of a dragon +-Cannot be forged or duplicated")</f>
        <v> ++Half the SP/HP cost of spells when in the presence of a dragon +-Cannot be forged or duplicated</v>
      </c>
      <c r="G887" s="49">
        <f>IFERROR(__xludf.DUMMYFUNCTION("""COMPUTED_VALUE"""),0.0)</f>
        <v>0</v>
      </c>
      <c r="H887" s="49"/>
      <c r="I887" s="49"/>
      <c r="J887" s="49"/>
      <c r="K887" s="49"/>
      <c r="L887" s="49"/>
      <c r="M887" s="49"/>
      <c r="N887" s="49"/>
      <c r="O887" s="49"/>
      <c r="P887" s="49"/>
      <c r="Q887" s="49"/>
      <c r="R887" s="49"/>
      <c r="S887" s="49"/>
      <c r="T887" s="49"/>
      <c r="U887" s="49"/>
      <c r="V887" s="49"/>
      <c r="W887" s="49"/>
      <c r="X887" s="49"/>
      <c r="Y887" s="49"/>
      <c r="Z887" s="49"/>
    </row>
    <row r="888">
      <c r="A888" s="49" t="str">
        <f>IFERROR(__xludf.DUMMYFUNCTION("""COMPUTED_VALUE"""),"Nothing")</f>
        <v>Nothing</v>
      </c>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c r="A889" s="49" t="str">
        <f>IFERROR(__xludf.DUMMYFUNCTION("""COMPUTED_VALUE"""),"Slime core")</f>
        <v>Slime core</v>
      </c>
      <c r="B889" s="49" t="str">
        <f>IFERROR(__xludf.DUMMYFUNCTION("""COMPUTED_VALUE"""),"restores 5 SP; can be used to make mana potions")</f>
        <v>restores 5 SP; can be used to make mana potions</v>
      </c>
      <c r="C889" s="49" t="str">
        <f>IFERROR(__xludf.DUMMYFUNCTION("""COMPUTED_VALUE"""),"Item")</f>
        <v>Item</v>
      </c>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c r="A890" s="49" t="str">
        <f>IFERROR(__xludf.DUMMYFUNCTION("""COMPUTED_VALUE"""),"Mysterious egg")</f>
        <v>Mysterious egg</v>
      </c>
      <c r="B890" s="49" t="str">
        <f>IFERROR(__xludf.DUMMYFUNCTION("""COMPUTED_VALUE"""),"This egg will be determined by DM/GM")</f>
        <v>This egg will be determined by DM/GM</v>
      </c>
      <c r="C890" s="49" t="str">
        <f>IFERROR(__xludf.DUMMYFUNCTION("""COMPUTED_VALUE"""),"Item")</f>
        <v>Item</v>
      </c>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c r="A891" s="49" t="str">
        <f>IFERROR(__xludf.DUMMYFUNCTION("""COMPUTED_VALUE"""),"Emerald of Luck")</f>
        <v>Emerald of Luck</v>
      </c>
      <c r="B891" s="49" t="str">
        <f>IFERROR(__xludf.DUMMYFUNCTION("""COMPUTED_VALUE"""),"It’s said when holding one of these you feel like it's a happy spring day...")</f>
        <v>It’s said when holding one of these you feel like it's a happy spring day...</v>
      </c>
      <c r="C891" s="49" t="str">
        <f>IFERROR(__xludf.DUMMYFUNCTION("""COMPUTED_VALUE"""),"Item")</f>
        <v>Item</v>
      </c>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c r="A892" s="49" t="str">
        <f>IFERROR(__xludf.DUMMYFUNCTION("""COMPUTED_VALUE"""),"Gold")</f>
        <v>Gold</v>
      </c>
      <c r="B892" s="49" t="str">
        <f>IFERROR(__xludf.DUMMYFUNCTION("""COMPUTED_VALUE"""),"Crafting Material, roll a d20 to see how many you get if this is a loot drop.l. Can be used to repair an item.")</f>
        <v>Crafting Material, roll a d20 to see how many you get if this is a loot drop.l. Can be used to repair an item.</v>
      </c>
      <c r="C892" s="49" t="str">
        <f>IFERROR(__xludf.DUMMYFUNCTION("""COMPUTED_VALUE"""),"Item")</f>
        <v>Item</v>
      </c>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c r="A893" s="49" t="str">
        <f>IFERROR(__xludf.DUMMYFUNCTION("""COMPUTED_VALUE"""),"Iron")</f>
        <v>Iron</v>
      </c>
      <c r="B893" s="49" t="str">
        <f>IFERROR(__xludf.DUMMYFUNCTION("""COMPUTED_VALUE"""),"Crafting Material, roll a d20 to see how many you get if this is a loot drop.. Can be used to repair an item.")</f>
        <v>Crafting Material, roll a d20 to see how many you get if this is a loot drop.. Can be used to repair an item.</v>
      </c>
      <c r="C893" s="49" t="str">
        <f>IFERROR(__xludf.DUMMYFUNCTION("""COMPUTED_VALUE"""),"Item")</f>
        <v>Item</v>
      </c>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c r="A894" s="49" t="str">
        <f>IFERROR(__xludf.DUMMYFUNCTION("""COMPUTED_VALUE"""),"Dragon scales")</f>
        <v>Dragon scales</v>
      </c>
      <c r="B894" s="49" t="str">
        <f>IFERROR(__xludf.DUMMYFUNCTION("""COMPUTED_VALUE"""),"Crafting Material, roll a d20 to see how many you get if this is a loot drop.. Can be used to repair an item.")</f>
        <v>Crafting Material, roll a d20 to see how many you get if this is a loot drop.. Can be used to repair an item.</v>
      </c>
      <c r="C894" s="49" t="str">
        <f>IFERROR(__xludf.DUMMYFUNCTION("""COMPUTED_VALUE"""),"Item")</f>
        <v>Item</v>
      </c>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c r="A895" s="49" t="str">
        <f>IFERROR(__xludf.DUMMYFUNCTION("""COMPUTED_VALUE"""),"Desert Emerald")</f>
        <v>Desert Emerald</v>
      </c>
      <c r="B895" s="49" t="str">
        <f>IFERROR(__xludf.DUMMYFUNCTION("""COMPUTED_VALUE"""),"Crafting Material, roll a d20 to see how many you get if this is a loot drop.. Can be used to repair an item.")</f>
        <v>Crafting Material, roll a d20 to see how many you get if this is a loot drop.. Can be used to repair an item.</v>
      </c>
      <c r="C895" s="49" t="str">
        <f>IFERROR(__xludf.DUMMYFUNCTION("""COMPUTED_VALUE"""),"Item")</f>
        <v>Item</v>
      </c>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c r="A896" s="49" t="str">
        <f>IFERROR(__xludf.DUMMYFUNCTION("""COMPUTED_VALUE"""),"Desert Ruby")</f>
        <v>Desert Ruby</v>
      </c>
      <c r="B896" s="49" t="str">
        <f>IFERROR(__xludf.DUMMYFUNCTION("""COMPUTED_VALUE"""),"Crafting Material, roll a d20 to see how many you get if this is a loot drop.. Can be used to repair an item.")</f>
        <v>Crafting Material, roll a d20 to see how many you get if this is a loot drop.. Can be used to repair an item.</v>
      </c>
      <c r="C896" s="49" t="str">
        <f>IFERROR(__xludf.DUMMYFUNCTION("""COMPUTED_VALUE"""),"Item")</f>
        <v>Item</v>
      </c>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c r="A897" s="49" t="str">
        <f>IFERROR(__xludf.DUMMYFUNCTION("""COMPUTED_VALUE"""),"Diamonds")</f>
        <v>Diamonds</v>
      </c>
      <c r="B897" s="49" t="str">
        <f>IFERROR(__xludf.DUMMYFUNCTION("""COMPUTED_VALUE"""),"Crafting Material, roll a d20 to see how many you get if this is a loot drop.. Can be used to repair an item.")</f>
        <v>Crafting Material, roll a d20 to see how many you get if this is a loot drop.. Can be used to repair an item.</v>
      </c>
      <c r="C897" s="49" t="str">
        <f>IFERROR(__xludf.DUMMYFUNCTION("""COMPUTED_VALUE"""),"Item")</f>
        <v>Item</v>
      </c>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c r="A898" s="49" t="str">
        <f>IFERROR(__xludf.DUMMYFUNCTION("""COMPUTED_VALUE"""),"Bricks")</f>
        <v>Bricks</v>
      </c>
      <c r="B898" s="49" t="str">
        <f>IFERROR(__xludf.DUMMYFUNCTION("""COMPUTED_VALUE"""),"Crafting Material, roll a d20 to see how many you get if this is a loot drop.. Can be used to repair an item.")</f>
        <v>Crafting Material, roll a d20 to see how many you get if this is a loot drop.. Can be used to repair an item.</v>
      </c>
      <c r="C898" s="49" t="str">
        <f>IFERROR(__xludf.DUMMYFUNCTION("""COMPUTED_VALUE"""),"Item")</f>
        <v>Item</v>
      </c>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c r="A899" s="49" t="str">
        <f>IFERROR(__xludf.DUMMYFUNCTION("""COMPUTED_VALUE"""),"Obsidian")</f>
        <v>Obsidian</v>
      </c>
      <c r="B899" s="49"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899" s="49" t="str">
        <f>IFERROR(__xludf.DUMMYFUNCTION("""COMPUTED_VALUE"""),"Item")</f>
        <v>Item</v>
      </c>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c r="A900" s="49" t="str">
        <f>IFERROR(__xludf.DUMMYFUNCTION("""COMPUTED_VALUE"""),"Sand")</f>
        <v>Sand</v>
      </c>
      <c r="B900" s="49"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0" s="49" t="str">
        <f>IFERROR(__xludf.DUMMYFUNCTION("""COMPUTED_VALUE"""),"Item")</f>
        <v>Item</v>
      </c>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c r="A901" s="49" t="str">
        <f>IFERROR(__xludf.DUMMYFUNCTION("""COMPUTED_VALUE"""),"Glowing rocks")</f>
        <v>Glowing rocks</v>
      </c>
      <c r="B901" s="49" t="str">
        <f>IFERROR(__xludf.DUMMYFUNCTION("""COMPUTED_VALUE""")," Can be forged into armor or a weapon to give it +200 additional light damage or resistance")</f>
        <v> Can be forged into armor or a weapon to give it +200 additional light damage or resistance</v>
      </c>
      <c r="C901" s="49" t="str">
        <f>IFERROR(__xludf.DUMMYFUNCTION("""COMPUTED_VALUE"""),"Item")</f>
        <v>Item</v>
      </c>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c r="A902" s="49" t="str">
        <f>IFERROR(__xludf.DUMMYFUNCTION("""COMPUTED_VALUE"""),"Steel")</f>
        <v>Steel</v>
      </c>
      <c r="B902" s="49" t="str">
        <f>IFERROR(__xludf.DUMMYFUNCTION("""COMPUTED_VALUE"""),"Crafting Material, roll a d20 to see how many you get if this is a loot drop. Can be used to repair an item. ")</f>
        <v>Crafting Material, roll a d20 to see how many you get if this is a loot drop. Can be used to repair an item. </v>
      </c>
      <c r="C902" s="49" t="str">
        <f>IFERROR(__xludf.DUMMYFUNCTION("""COMPUTED_VALUE"""),"Item")</f>
        <v>Item</v>
      </c>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c r="A903" s="49" t="str">
        <f>IFERROR(__xludf.DUMMYFUNCTION("""COMPUTED_VALUE"""),"Silver")</f>
        <v>Silver</v>
      </c>
      <c r="B903" s="49"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903" s="49" t="str">
        <f>IFERROR(__xludf.DUMMYFUNCTION("""COMPUTED_VALUE"""),"Item")</f>
        <v>Item</v>
      </c>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c r="A904" s="49" t="str">
        <f>IFERROR(__xludf.DUMMYFUNCTION("""COMPUTED_VALUE"""),"Chains")</f>
        <v>Chains</v>
      </c>
      <c r="B904" s="49"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4" s="49" t="str">
        <f>IFERROR(__xludf.DUMMYFUNCTION("""COMPUTED_VALUE"""),"Item")</f>
        <v>Item</v>
      </c>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c r="A905" s="49" t="str">
        <f>IFERROR(__xludf.DUMMYFUNCTION("""COMPUTED_VALUE"""),"Steel Pickaxe ")</f>
        <v>Steel Pickaxe </v>
      </c>
      <c r="B905" s="49" t="str">
        <f>IFERROR(__xludf.DUMMYFUNCTION("""COMPUTED_VALUE"""),"40/40 Uses. Used for mining.")</f>
        <v>40/40 Uses. Used for mining.</v>
      </c>
      <c r="C905" s="49" t="str">
        <f>IFERROR(__xludf.DUMMYFUNCTION("""COMPUTED_VALUE"""),"Item")</f>
        <v>Item</v>
      </c>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c r="A906" s="49" t="str">
        <f>IFERROR(__xludf.DUMMYFUNCTION("""COMPUTED_VALUE"""),"Haggis Bowl")</f>
        <v>Haggis Bowl</v>
      </c>
      <c r="B906" s="49" t="str">
        <f>IFERROR(__xludf.DUMMYFUNCTION("""COMPUTED_VALUE"""),"Restores 75 Hunger +50 energy")</f>
        <v>Restores 75 Hunger +50 energy</v>
      </c>
      <c r="C906" s="49" t="str">
        <f>IFERROR(__xludf.DUMMYFUNCTION("""COMPUTED_VALUE"""),"Crop")</f>
        <v>Crop</v>
      </c>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c r="A907" s="49" t="str">
        <f>IFERROR(__xludf.DUMMYFUNCTION("""COMPUTED_VALUE"""),"Chunk of Salmon")</f>
        <v>Chunk of Salmon</v>
      </c>
      <c r="B907" s="49" t="str">
        <f>IFERROR(__xludf.DUMMYFUNCTION("""COMPUTED_VALUE"""),"Restores 10 Hunger +5 energy")</f>
        <v>Restores 10 Hunger +5 energy</v>
      </c>
      <c r="C907" s="49" t="str">
        <f>IFERROR(__xludf.DUMMYFUNCTION("""COMPUTED_VALUE"""),"Crop")</f>
        <v>Crop</v>
      </c>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c r="A908" s="49" t="str">
        <f>IFERROR(__xludf.DUMMYFUNCTION("""COMPUTED_VALUE"""),"Dragon Jerky")</f>
        <v>Dragon Jerky</v>
      </c>
      <c r="B908" s="49" t="str">
        <f>IFERROR(__xludf.DUMMYFUNCTION("""COMPUTED_VALUE"""),"Restores 100 Hunger + 100 energy")</f>
        <v>Restores 100 Hunger + 100 energy</v>
      </c>
      <c r="C908" s="49" t="str">
        <f>IFERROR(__xludf.DUMMYFUNCTION("""COMPUTED_VALUE"""),"Crop")</f>
        <v>Crop</v>
      </c>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c r="A909" s="49" t="str">
        <f>IFERROR(__xludf.DUMMYFUNCTION("""COMPUTED_VALUE"""),"Bacon Strip")</f>
        <v>Bacon Strip</v>
      </c>
      <c r="B909" s="49" t="str">
        <f>IFERROR(__xludf.DUMMYFUNCTION("""COMPUTED_VALUE"""),"Restores 5 Hunger +4 energy")</f>
        <v>Restores 5 Hunger +4 energy</v>
      </c>
      <c r="C909" s="49" t="str">
        <f>IFERROR(__xludf.DUMMYFUNCTION("""COMPUTED_VALUE"""),"Crop")</f>
        <v>Crop</v>
      </c>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c r="A910" s="49" t="str">
        <f>IFERROR(__xludf.DUMMYFUNCTION("""COMPUTED_VALUE"""),"Smoked Salmon")</f>
        <v>Smoked Salmon</v>
      </c>
      <c r="B910" s="49" t="str">
        <f>IFERROR(__xludf.DUMMYFUNCTION("""COMPUTED_VALUE"""),"Restores 20 Hunger +10 energy")</f>
        <v>Restores 20 Hunger +10 energy</v>
      </c>
      <c r="C910" s="49" t="str">
        <f>IFERROR(__xludf.DUMMYFUNCTION("""COMPUTED_VALUE"""),"Crop")</f>
        <v>Crop</v>
      </c>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c r="A911" s="49" t="str">
        <f>IFERROR(__xludf.DUMMYFUNCTION("""COMPUTED_VALUE"""),"Smoked Lamb")</f>
        <v>Smoked Lamb</v>
      </c>
      <c r="B911" s="49" t="str">
        <f>IFERROR(__xludf.DUMMYFUNCTION("""COMPUTED_VALUE"""),"Restores 25 Hunger")</f>
        <v>Restores 25 Hunger</v>
      </c>
      <c r="C911" s="49" t="str">
        <f>IFERROR(__xludf.DUMMYFUNCTION("""COMPUTED_VALUE"""),"Crop")</f>
        <v>Crop</v>
      </c>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c r="A912" s="49" t="str">
        <f>IFERROR(__xludf.DUMMYFUNCTION("""COMPUTED_VALUE"""),"Volcanic Venison")</f>
        <v>Volcanic Venison</v>
      </c>
      <c r="B912" s="49" t="str">
        <f>IFERROR(__xludf.DUMMYFUNCTION("""COMPUTED_VALUE"""),"Restores 50 Hunger")</f>
        <v>Restores 50 Hunger</v>
      </c>
      <c r="C912" s="49" t="str">
        <f>IFERROR(__xludf.DUMMYFUNCTION("""COMPUTED_VALUE"""),"Crop")</f>
        <v>Crop</v>
      </c>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c r="A913" s="49" t="str">
        <f>IFERROR(__xludf.DUMMYFUNCTION("""COMPUTED_VALUE"""),"Pulled Pork")</f>
        <v>Pulled Pork</v>
      </c>
      <c r="B913" s="49" t="str">
        <f>IFERROR(__xludf.DUMMYFUNCTION("""COMPUTED_VALUE"""),"Restores 40 Hunger")</f>
        <v>Restores 40 Hunger</v>
      </c>
      <c r="C913" s="49" t="str">
        <f>IFERROR(__xludf.DUMMYFUNCTION("""COMPUTED_VALUE"""),"Crop")</f>
        <v>Crop</v>
      </c>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c r="A914" s="49" t="str">
        <f>IFERROR(__xludf.DUMMYFUNCTION("""COMPUTED_VALUE"""),"Honeyed Nordic Mead")</f>
        <v>Honeyed Nordic Mead</v>
      </c>
      <c r="B914" s="49" t="str">
        <f>IFERROR(__xludf.DUMMYFUNCTION("""COMPUTED_VALUE"""),"Restores 100 Thirst +100 energy")</f>
        <v>Restores 100 Thirst +100 energy</v>
      </c>
      <c r="C914" s="49" t="str">
        <f>IFERROR(__xludf.DUMMYFUNCTION("""COMPUTED_VALUE"""),"Item")</f>
        <v>Item</v>
      </c>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c r="A915" s="49" t="str">
        <f>IFERROR(__xludf.DUMMYFUNCTION("""COMPUTED_VALUE"""),"Wine")</f>
        <v>Wine</v>
      </c>
      <c r="B915" s="49" t="str">
        <f>IFERROR(__xludf.DUMMYFUNCTION("""COMPUTED_VALUE"""),"Restores 25 Thirst +15 energy")</f>
        <v>Restores 25 Thirst +15 energy</v>
      </c>
      <c r="C915" s="49" t="str">
        <f>IFERROR(__xludf.DUMMYFUNCTION("""COMPUTED_VALUE"""),"Item")</f>
        <v>Item</v>
      </c>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c r="A916" s="49" t="str">
        <f>IFERROR(__xludf.DUMMYFUNCTION("""COMPUTED_VALUE"""),"Melomel (Mead w/ fruit added)")</f>
        <v>Melomel (Mead w/ fruit added)</v>
      </c>
      <c r="B916" s="49" t="str">
        <f>IFERROR(__xludf.DUMMYFUNCTION("""COMPUTED_VALUE"""),"Restores 50 Thirst and hunger +25 energy")</f>
        <v>Restores 50 Thirst and hunger +25 energy</v>
      </c>
      <c r="C916" s="49" t="str">
        <f>IFERROR(__xludf.DUMMYFUNCTION("""COMPUTED_VALUE"""),"Crop")</f>
        <v>Crop</v>
      </c>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c r="A917" s="49" t="str">
        <f>IFERROR(__xludf.DUMMYFUNCTION("""COMPUTED_VALUE"""),"Docile Desert Djinn Gin")</f>
        <v>Docile Desert Djinn Gin</v>
      </c>
      <c r="B917" s="49"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917" s="49" t="str">
        <f>IFERROR(__xludf.DUMMYFUNCTION("""COMPUTED_VALUE"""),"Item")</f>
        <v>Item</v>
      </c>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c r="A918" s="49" t="str">
        <f>IFERROR(__xludf.DUMMYFUNCTION("""COMPUTED_VALUE"""),"Small Battery")</f>
        <v>Small Battery</v>
      </c>
      <c r="B918" s="49" t="str">
        <f>IFERROR(__xludf.DUMMYFUNCTION("""COMPUTED_VALUE"""),"Restores 100 energy.")</f>
        <v>Restores 100 energy.</v>
      </c>
      <c r="C918" s="49" t="str">
        <f>IFERROR(__xludf.DUMMYFUNCTION("""COMPUTED_VALUE"""),"Item")</f>
        <v>Item</v>
      </c>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c r="A919" s="49" t="str">
        <f>IFERROR(__xludf.DUMMYFUNCTION("""COMPUTED_VALUE"""),"Medium Battery")</f>
        <v>Medium Battery</v>
      </c>
      <c r="B919" s="49" t="str">
        <f>IFERROR(__xludf.DUMMYFUNCTION("""COMPUTED_VALUE"""),"Restores 250 energy.")</f>
        <v>Restores 250 energy.</v>
      </c>
      <c r="C919" s="49" t="str">
        <f>IFERROR(__xludf.DUMMYFUNCTION("""COMPUTED_VALUE"""),"Item")</f>
        <v>Item</v>
      </c>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c r="A920" s="49" t="str">
        <f>IFERROR(__xludf.DUMMYFUNCTION("""COMPUTED_VALUE"""),"Large Battery")</f>
        <v>Large Battery</v>
      </c>
      <c r="B920" s="49" t="str">
        <f>IFERROR(__xludf.DUMMYFUNCTION("""COMPUTED_VALUE"""),"Restores 500 energy.")</f>
        <v>Restores 500 energy.</v>
      </c>
      <c r="C920" s="49" t="str">
        <f>IFERROR(__xludf.DUMMYFUNCTION("""COMPUTED_VALUE"""),"Item")</f>
        <v>Item</v>
      </c>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c r="A921" s="49" t="str">
        <f>IFERROR(__xludf.DUMMYFUNCTION("""COMPUTED_VALUE"""),"Wind Queen's Soul")</f>
        <v>Wind Queen's Soul</v>
      </c>
      <c r="B921" s="49" t="str">
        <f>IFERROR(__xludf.DUMMYFUNCTION("""COMPUTED_VALUE"""),"(Quest Item) It pulses with a dark energy")</f>
        <v>(Quest Item) It pulses with a dark energy</v>
      </c>
      <c r="C921" s="49" t="str">
        <f>IFERROR(__xludf.DUMMYFUNCTION("""COMPUTED_VALUE"""),"Item")</f>
        <v>Item</v>
      </c>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c r="A922" s="49" t="str">
        <f>IFERROR(__xludf.DUMMYFUNCTION("""COMPUTED_VALUE"""),"Wave Queen's Soul")</f>
        <v>Wave Queen's Soul</v>
      </c>
      <c r="B922" s="49" t="str">
        <f>IFERROR(__xludf.DUMMYFUNCTION("""COMPUTED_VALUE"""),"(Quest Item) It pulses with a dark energy")</f>
        <v>(Quest Item) It pulses with a dark energy</v>
      </c>
      <c r="C922" s="49" t="str">
        <f>IFERROR(__xludf.DUMMYFUNCTION("""COMPUTED_VALUE"""),"Item")</f>
        <v>Item</v>
      </c>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c r="A923" s="49" t="str">
        <f>IFERROR(__xludf.DUMMYFUNCTION("""COMPUTED_VALUE"""),"Storm King's Soul")</f>
        <v>Storm King's Soul</v>
      </c>
      <c r="B923" s="49" t="str">
        <f>IFERROR(__xludf.DUMMYFUNCTION("""COMPUTED_VALUE"""),"(Quest Item) It pulses with a dark energy")</f>
        <v>(Quest Item) It pulses with a dark energy</v>
      </c>
      <c r="C923" s="49" t="str">
        <f>IFERROR(__xludf.DUMMYFUNCTION("""COMPUTED_VALUE"""),"Item")</f>
        <v>Item</v>
      </c>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c r="A924" s="49" t="str">
        <f>IFERROR(__xludf.DUMMYFUNCTION("""COMPUTED_VALUE"""),"Stone King's Soul")</f>
        <v>Stone King's Soul</v>
      </c>
      <c r="B924" s="49" t="str">
        <f>IFERROR(__xludf.DUMMYFUNCTION("""COMPUTED_VALUE"""),"(Quest Item) It pulses with a dark energy")</f>
        <v>(Quest Item) It pulses with a dark energy</v>
      </c>
      <c r="C924" s="49" t="str">
        <f>IFERROR(__xludf.DUMMYFUNCTION("""COMPUTED_VALUE"""),"Item")</f>
        <v>Item</v>
      </c>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c r="A925" s="49" t="str">
        <f>IFERROR(__xludf.DUMMYFUNCTION("""COMPUTED_VALUE"""),"Inferno King Soul")</f>
        <v>Inferno King Soul</v>
      </c>
      <c r="B925" s="49" t="str">
        <f>IFERROR(__xludf.DUMMYFUNCTION("""COMPUTED_VALUE"""),"(Quest Item) It pulses with a dark energy")</f>
        <v>(Quest Item) It pulses with a dark energy</v>
      </c>
      <c r="C925" s="49" t="str">
        <f>IFERROR(__xludf.DUMMYFUNCTION("""COMPUTED_VALUE"""),"Item")</f>
        <v>Item</v>
      </c>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c r="A926" s="49" t="str">
        <f>IFERROR(__xludf.DUMMYFUNCTION("""COMPUTED_VALUE"""),"Docile Desert Djinn’s Gin")</f>
        <v>Docile Desert Djinn’s Gin</v>
      </c>
      <c r="B926" s="49"/>
      <c r="C926" s="49" t="str">
        <f>IFERROR(__xludf.DUMMYFUNCTION("""COMPUTED_VALUE"""),"Item")</f>
        <v>Item</v>
      </c>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c r="A927" s="49" t="str">
        <f>IFERROR(__xludf.DUMMYFUNCTION("""COMPUTED_VALUE"""),"Minor Health Potion")</f>
        <v>Minor Health Potion</v>
      </c>
      <c r="B927" s="49" t="str">
        <f>IFERROR(__xludf.DUMMYFUNCTION("""COMPUTED_VALUE"""),"Restores 20HP")</f>
        <v>Restores 20HP</v>
      </c>
      <c r="C927" s="49" t="str">
        <f>IFERROR(__xludf.DUMMYFUNCTION("""COMPUTED_VALUE"""),"Item")</f>
        <v>Item</v>
      </c>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c r="A928" s="49" t="str">
        <f>IFERROR(__xludf.DUMMYFUNCTION("""COMPUTED_VALUE"""),"Medium Health Potion")</f>
        <v>Medium Health Potion</v>
      </c>
      <c r="B928" s="49" t="str">
        <f>IFERROR(__xludf.DUMMYFUNCTION("""COMPUTED_VALUE"""),"Restores 50HP")</f>
        <v>Restores 50HP</v>
      </c>
      <c r="C928" s="49" t="str">
        <f>IFERROR(__xludf.DUMMYFUNCTION("""COMPUTED_VALUE"""),"Item")</f>
        <v>Item</v>
      </c>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c r="A929" s="49" t="str">
        <f>IFERROR(__xludf.DUMMYFUNCTION("""COMPUTED_VALUE"""),"Max Health Potion")</f>
        <v>Max Health Potion</v>
      </c>
      <c r="B929" s="49" t="str">
        <f>IFERROR(__xludf.DUMMYFUNCTION("""COMPUTED_VALUE"""),"Restores 100HP")</f>
        <v>Restores 100HP</v>
      </c>
      <c r="C929" s="49" t="str">
        <f>IFERROR(__xludf.DUMMYFUNCTION("""COMPUTED_VALUE"""),"Item")</f>
        <v>Item</v>
      </c>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c r="A930" s="49" t="str">
        <f>IFERROR(__xludf.DUMMYFUNCTION("""COMPUTED_VALUE"""),"Minor Mana Potion")</f>
        <v>Minor Mana Potion</v>
      </c>
      <c r="B930" s="49" t="str">
        <f>IFERROR(__xludf.DUMMYFUNCTION("""COMPUTED_VALUE"""),"Restores 20SP")</f>
        <v>Restores 20SP</v>
      </c>
      <c r="C930" s="49" t="str">
        <f>IFERROR(__xludf.DUMMYFUNCTION("""COMPUTED_VALUE"""),"Item")</f>
        <v>Item</v>
      </c>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c r="A931" s="49" t="str">
        <f>IFERROR(__xludf.DUMMYFUNCTION("""COMPUTED_VALUE"""),"Medium Mana Potion")</f>
        <v>Medium Mana Potion</v>
      </c>
      <c r="B931" s="49" t="str">
        <f>IFERROR(__xludf.DUMMYFUNCTION("""COMPUTED_VALUE"""),"Restores 50SP")</f>
        <v>Restores 50SP</v>
      </c>
      <c r="C931" s="49" t="str">
        <f>IFERROR(__xludf.DUMMYFUNCTION("""COMPUTED_VALUE"""),"Item")</f>
        <v>Item</v>
      </c>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c r="A932" s="49" t="str">
        <f>IFERROR(__xludf.DUMMYFUNCTION("""COMPUTED_VALUE"""),"Max Mana Potion")</f>
        <v>Max Mana Potion</v>
      </c>
      <c r="B932" s="49" t="str">
        <f>IFERROR(__xludf.DUMMYFUNCTION("""COMPUTED_VALUE"""),"Restores 100SP")</f>
        <v>Restores 100SP</v>
      </c>
      <c r="C932" s="49" t="str">
        <f>IFERROR(__xludf.DUMMYFUNCTION("""COMPUTED_VALUE"""),"Item")</f>
        <v>Item</v>
      </c>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c r="A933" s="49" t="str">
        <f>IFERROR(__xludf.DUMMYFUNCTION("""COMPUTED_VALUE"""),"Potion of Multishot")</f>
        <v>Potion of Multishot</v>
      </c>
      <c r="B933" s="49" t="str">
        <f>IFERROR(__xludf.DUMMYFUNCTION("""COMPUTED_VALUE"""),"Allows multishot use without consuming mana")</f>
        <v>Allows multishot use without consuming mana</v>
      </c>
      <c r="C933" s="49" t="str">
        <f>IFERROR(__xludf.DUMMYFUNCTION("""COMPUTED_VALUE"""),"Item")</f>
        <v>Item</v>
      </c>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c r="A934" s="49" t="str">
        <f>IFERROR(__xludf.DUMMYFUNCTION("""COMPUTED_VALUE"""),"Potion of Eel Nado")</f>
        <v>Potion of Eel Nado</v>
      </c>
      <c r="B934" s="49" t="str">
        <f>IFERROR(__xludf.DUMMYFUNCTION("""COMPUTED_VALUE"""),"Allows use of Eel Nado without consuming mana")</f>
        <v>Allows use of Eel Nado without consuming mana</v>
      </c>
      <c r="C934" s="49" t="str">
        <f>IFERROR(__xludf.DUMMYFUNCTION("""COMPUTED_VALUE"""),"Item")</f>
        <v>Item</v>
      </c>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c r="A935" s="49" t="str">
        <f>IFERROR(__xludf.DUMMYFUNCTION("""COMPUTED_VALUE"""),"Potion of Minor Health")</f>
        <v>Potion of Minor Health</v>
      </c>
      <c r="B935" s="49" t="str">
        <f>IFERROR(__xludf.DUMMYFUNCTION("""COMPUTED_VALUE"""),"Restores 10 Health")</f>
        <v>Restores 10 Health</v>
      </c>
      <c r="C935" s="49" t="str">
        <f>IFERROR(__xludf.DUMMYFUNCTION("""COMPUTED_VALUE"""),"Item")</f>
        <v>Item</v>
      </c>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c r="A936" s="49" t="str">
        <f>IFERROR(__xludf.DUMMYFUNCTION("""COMPUTED_VALUE"""),"Potion of Health")</f>
        <v>Potion of Health</v>
      </c>
      <c r="B936" s="49" t="str">
        <f>IFERROR(__xludf.DUMMYFUNCTION("""COMPUTED_VALUE"""),"Restores 50 Health")</f>
        <v>Restores 50 Health</v>
      </c>
      <c r="C936" s="49" t="str">
        <f>IFERROR(__xludf.DUMMYFUNCTION("""COMPUTED_VALUE"""),"Item")</f>
        <v>Item</v>
      </c>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c r="A937" s="49" t="str">
        <f>IFERROR(__xludf.DUMMYFUNCTION("""COMPUTED_VALUE"""),"Potion of Major Health")</f>
        <v>Potion of Major Health</v>
      </c>
      <c r="B937" s="49" t="str">
        <f>IFERROR(__xludf.DUMMYFUNCTION("""COMPUTED_VALUE"""),"Restores 100 Health")</f>
        <v>Restores 100 Health</v>
      </c>
      <c r="C937" s="49" t="str">
        <f>IFERROR(__xludf.DUMMYFUNCTION("""COMPUTED_VALUE"""),"Item")</f>
        <v>Item</v>
      </c>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c r="A938" s="49" t="str">
        <f>IFERROR(__xludf.DUMMYFUNCTION("""COMPUTED_VALUE"""),"Potion of Minor Mana")</f>
        <v>Potion of Minor Mana</v>
      </c>
      <c r="B938" s="49" t="str">
        <f>IFERROR(__xludf.DUMMYFUNCTION("""COMPUTED_VALUE"""),"Restores 10 SP")</f>
        <v>Restores 10 SP</v>
      </c>
      <c r="C938" s="49" t="str">
        <f>IFERROR(__xludf.DUMMYFUNCTION("""COMPUTED_VALUE"""),"Item")</f>
        <v>Item</v>
      </c>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c r="A939" s="49" t="str">
        <f>IFERROR(__xludf.DUMMYFUNCTION("""COMPUTED_VALUE"""),"Potion of Mana")</f>
        <v>Potion of Mana</v>
      </c>
      <c r="B939" s="49" t="str">
        <f>IFERROR(__xludf.DUMMYFUNCTION("""COMPUTED_VALUE"""),"Restores 50 SP")</f>
        <v>Restores 50 SP</v>
      </c>
      <c r="C939" s="49" t="str">
        <f>IFERROR(__xludf.DUMMYFUNCTION("""COMPUTED_VALUE"""),"Item")</f>
        <v>Item</v>
      </c>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c r="A940" s="49" t="str">
        <f>IFERROR(__xludf.DUMMYFUNCTION("""COMPUTED_VALUE"""),"Potion of Extreme Mana")</f>
        <v>Potion of Extreme Mana</v>
      </c>
      <c r="B940" s="49" t="str">
        <f>IFERROR(__xludf.DUMMYFUNCTION("""COMPUTED_VALUE"""),"Restores 100 SP")</f>
        <v>Restores 100 SP</v>
      </c>
      <c r="C940" s="49" t="str">
        <f>IFERROR(__xludf.DUMMYFUNCTION("""COMPUTED_VALUE"""),"Item")</f>
        <v>Item</v>
      </c>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c r="A941" s="49" t="str">
        <f>IFERROR(__xludf.DUMMYFUNCTION("""COMPUTED_VALUE"""),"Potion of Invigoration")</f>
        <v>Potion of Invigoration</v>
      </c>
      <c r="B941" s="49" t="str">
        <f>IFERROR(__xludf.DUMMYFUNCTION("""COMPUTED_VALUE"""),"Restores 50 SP each turn for 3 rounds")</f>
        <v>Restores 50 SP each turn for 3 rounds</v>
      </c>
      <c r="C941" s="49" t="str">
        <f>IFERROR(__xludf.DUMMYFUNCTION("""COMPUTED_VALUE"""),"Item")</f>
        <v>Item</v>
      </c>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c r="A942" s="49" t="str">
        <f>IFERROR(__xludf.DUMMYFUNCTION("""COMPUTED_VALUE"""),"Potion of Invulnerability")</f>
        <v>Potion of Invulnerability</v>
      </c>
      <c r="B942" s="49" t="str">
        <f>IFERROR(__xludf.DUMMYFUNCTION("""COMPUTED_VALUE"""),"Immune to damage for 3 rounds")</f>
        <v>Immune to damage for 3 rounds</v>
      </c>
      <c r="C942" s="49" t="str">
        <f>IFERROR(__xludf.DUMMYFUNCTION("""COMPUTED_VALUE"""),"Item")</f>
        <v>Item</v>
      </c>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c r="A943" s="49" t="str">
        <f>IFERROR(__xludf.DUMMYFUNCTION("""COMPUTED_VALUE"""),"Potion of Stun Resist")</f>
        <v>Potion of Stun Resist</v>
      </c>
      <c r="B943" s="49" t="str">
        <f>IFERROR(__xludf.DUMMYFUNCTION("""COMPUTED_VALUE"""),"Immune to Stun for 3 rounds")</f>
        <v>Immune to Stun for 3 rounds</v>
      </c>
      <c r="C943" s="49" t="str">
        <f>IFERROR(__xludf.DUMMYFUNCTION("""COMPUTED_VALUE"""),"Item")</f>
        <v>Item</v>
      </c>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c r="A944" s="49" t="str">
        <f>IFERROR(__xludf.DUMMYFUNCTION("""COMPUTED_VALUE"""),"Potion Of Sobriety")</f>
        <v>Potion Of Sobriety</v>
      </c>
      <c r="B944" s="49"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944" s="49" t="str">
        <f>IFERROR(__xludf.DUMMYFUNCTION("""COMPUTED_VALUE"""),"Item")</f>
        <v>Item</v>
      </c>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c r="A945" s="49" t="str">
        <f>IFERROR(__xludf.DUMMYFUNCTION("""COMPUTED_VALUE"""),"Legendary Tome")</f>
        <v>Legendary Tome</v>
      </c>
      <c r="B945" s="49" t="str">
        <f>IFERROR(__xludf.DUMMYFUNCTION("""COMPUTED_VALUE"""),"(Quest item)")</f>
        <v>(Quest item)</v>
      </c>
      <c r="C945" s="49" t="str">
        <f>IFERROR(__xludf.DUMMYFUNCTION("""COMPUTED_VALUE"""),"Item")</f>
        <v>Item</v>
      </c>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c r="A946" s="49" t="str">
        <f>IFERROR(__xludf.DUMMYFUNCTION("""COMPUTED_VALUE"""),"Murky Emerald")</f>
        <v>Murky Emerald</v>
      </c>
      <c r="B946" s="49" t="str">
        <f>IFERROR(__xludf.DUMMYFUNCTION("""COMPUTED_VALUE"""),"Crafting Material, roll a d20 to see how many you get if this is a loot drop.")</f>
        <v>Crafting Material, roll a d20 to see how many you get if this is a loot drop.</v>
      </c>
      <c r="C946" s="49" t="str">
        <f>IFERROR(__xludf.DUMMYFUNCTION("""COMPUTED_VALUE"""),"Item")</f>
        <v>Item</v>
      </c>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c r="A947" s="49" t="str">
        <f>IFERROR(__xludf.DUMMYFUNCTION("""COMPUTED_VALUE"""),"Foul Night Swamp water vile")</f>
        <v>Foul Night Swamp water vile</v>
      </c>
      <c r="B947" s="49" t="str">
        <f>IFERROR(__xludf.DUMMYFUNCTION("""COMPUTED_VALUE"""),"Immunity to Nature for 3 rounds.")</f>
        <v>Immunity to Nature for 3 rounds.</v>
      </c>
      <c r="C947" s="49" t="str">
        <f>IFERROR(__xludf.DUMMYFUNCTION("""COMPUTED_VALUE"""),"Item")</f>
        <v>Item</v>
      </c>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c r="A948" s="49" t="str">
        <f>IFERROR(__xludf.DUMMYFUNCTION("""COMPUTED_VALUE"""),"Foul Night Foul Smelling potion")</f>
        <v>Foul Night Foul Smelling potion</v>
      </c>
      <c r="B948" s="49" t="str">
        <f>IFERROR(__xludf.DUMMYFUNCTION("""COMPUTED_VALUE"""),"2500 damage and 2500 nature damage and 500 poison damage for 3 rounds")</f>
        <v>2500 damage and 2500 nature damage and 500 poison damage for 3 rounds</v>
      </c>
      <c r="C948" s="49" t="str">
        <f>IFERROR(__xludf.DUMMYFUNCTION("""COMPUTED_VALUE"""),"Item")</f>
        <v>Item</v>
      </c>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c r="A949" s="49" t="str">
        <f>IFERROR(__xludf.DUMMYFUNCTION("""COMPUTED_VALUE"""),"Swampy Seaweed")</f>
        <v>Swampy Seaweed</v>
      </c>
      <c r="B949" s="49" t="str">
        <f>IFERROR(__xludf.DUMMYFUNCTION("""COMPUTED_VALUE""")," Restores 5000 HP and SP.")</f>
        <v> Restores 5000 HP and SP.</v>
      </c>
      <c r="C949" s="49" t="str">
        <f>IFERROR(__xludf.DUMMYFUNCTION("""COMPUTED_VALUE"""),"Item")</f>
        <v>Item</v>
      </c>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c r="A950" s="49" t="str">
        <f>IFERROR(__xludf.DUMMYFUNCTION("""COMPUTED_VALUE"""),"Foul Night Swamp Bubble Grenade")</f>
        <v>Foul Night Swamp Bubble Grenade</v>
      </c>
      <c r="B950" s="49" t="str">
        <f>IFERROR(__xludf.DUMMYFUNCTION("""COMPUTED_VALUE"""),"Poison 10,000 for 3 rounds.")</f>
        <v>Poison 10,000 for 3 rounds.</v>
      </c>
      <c r="C950" s="49" t="str">
        <f>IFERROR(__xludf.DUMMYFUNCTION("""COMPUTED_VALUE"""),"Item")</f>
        <v>Item</v>
      </c>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c r="A951" s="49" t="str">
        <f>IFERROR(__xludf.DUMMYFUNCTION("""COMPUTED_VALUE"""),"Block of Ice")</f>
        <v>Block of Ice</v>
      </c>
      <c r="B951" s="49" t="str">
        <f>IFERROR(__xludf.DUMMYFUNCTION("""COMPUTED_VALUE"""),"Crafting Material, roll a d20 to see how many you get if this is a loot drop.")</f>
        <v>Crafting Material, roll a d20 to see how many you get if this is a loot drop.</v>
      </c>
      <c r="C951" s="49" t="str">
        <f>IFERROR(__xludf.DUMMYFUNCTION("""COMPUTED_VALUE"""),"Item")</f>
        <v>Item</v>
      </c>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c r="A952" s="49" t="str">
        <f>IFERROR(__xludf.DUMMYFUNCTION("""COMPUTED_VALUE"""),"Frost Kings Map")</f>
        <v>Frost Kings Map</v>
      </c>
      <c r="B952" s="49" t="str">
        <f>IFERROR(__xludf.DUMMYFUNCTION("""COMPUTED_VALUE"""),"Special quest item. Speak to the frost king for more info.")</f>
        <v>Special quest item. Speak to the frost king for more info.</v>
      </c>
      <c r="C952" s="49" t="str">
        <f>IFERROR(__xludf.DUMMYFUNCTION("""COMPUTED_VALUE"""),"Item")</f>
        <v>Item</v>
      </c>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c r="A953" s="49" t="str">
        <f>IFERROR(__xludf.DUMMYFUNCTION("""COMPUTED_VALUE"""),"Bacon")</f>
        <v>Bacon</v>
      </c>
      <c r="B953" s="49" t="str">
        <f>IFERROR(__xludf.DUMMYFUNCTION("""COMPUTED_VALUE"""),"Restores 5 health and 5 hunger")</f>
        <v>Restores 5 health and 5 hunger</v>
      </c>
      <c r="C953" s="49" t="str">
        <f>IFERROR(__xludf.DUMMYFUNCTION("""COMPUTED_VALUE"""),"Crop")</f>
        <v>Crop</v>
      </c>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c r="A954" s="49" t="str">
        <f>IFERROR(__xludf.DUMMYFUNCTION("""COMPUTED_VALUE"""),"Bread")</f>
        <v>Bread</v>
      </c>
      <c r="B954" s="49" t="str">
        <f>IFERROR(__xludf.DUMMYFUNCTION("""COMPUTED_VALUE"""),"10 Hunger")</f>
        <v>10 Hunger</v>
      </c>
      <c r="C954" s="49" t="str">
        <f>IFERROR(__xludf.DUMMYFUNCTION("""COMPUTED_VALUE"""),"Crop")</f>
        <v>Crop</v>
      </c>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c r="A955" s="49" t="str">
        <f>IFERROR(__xludf.DUMMYFUNCTION("""COMPUTED_VALUE"""),"Unknown dried meat")</f>
        <v>Unknown dried meat</v>
      </c>
      <c r="B955" s="49" t="str">
        <f>IFERROR(__xludf.DUMMYFUNCTION("""COMPUTED_VALUE"""),"15 Hunger, 5% chance to lose 10 HP")</f>
        <v>15 Hunger, 5% chance to lose 10 HP</v>
      </c>
      <c r="C955" s="49" t="str">
        <f>IFERROR(__xludf.DUMMYFUNCTION("""COMPUTED_VALUE"""),"Crop")</f>
        <v>Crop</v>
      </c>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c r="A956" s="49" t="str">
        <f>IFERROR(__xludf.DUMMYFUNCTION("""COMPUTED_VALUE"""),"Water")</f>
        <v>Water</v>
      </c>
      <c r="B956" s="49" t="str">
        <f>IFERROR(__xludf.DUMMYFUNCTION("""COMPUTED_VALUE"""),"10 Thirst")</f>
        <v>10 Thirst</v>
      </c>
      <c r="C956" s="49" t="str">
        <f>IFERROR(__xludf.DUMMYFUNCTION("""COMPUTED_VALUE"""),"Item")</f>
        <v>Item</v>
      </c>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c r="A957" s="49" t="str">
        <f>IFERROR(__xludf.DUMMYFUNCTION("""COMPUTED_VALUE"""),"Rum")</f>
        <v>Rum</v>
      </c>
      <c r="B957" s="49" t="str">
        <f>IFERROR(__xludf.DUMMYFUNCTION("""COMPUTED_VALUE"""),"50 Thirst, -1 SP")</f>
        <v>50 Thirst, -1 SP</v>
      </c>
      <c r="C957" s="49" t="str">
        <f>IFERROR(__xludf.DUMMYFUNCTION("""COMPUTED_VALUE"""),"Item")</f>
        <v>Item</v>
      </c>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c r="A958" s="49" t="str">
        <f>IFERROR(__xludf.DUMMYFUNCTION("""COMPUTED_VALUE"""),"Spirits")</f>
        <v>Spirits</v>
      </c>
      <c r="B958" s="49" t="str">
        <f>IFERROR(__xludf.DUMMYFUNCTION("""COMPUTED_VALUE"""),"20 Thirst, +2 SP")</f>
        <v>20 Thirst, +2 SP</v>
      </c>
      <c r="C958" s="49" t="str">
        <f>IFERROR(__xludf.DUMMYFUNCTION("""COMPUTED_VALUE"""),"Item")</f>
        <v>Item</v>
      </c>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c r="A959" s="49" t="str">
        <f>IFERROR(__xludf.DUMMYFUNCTION("""COMPUTED_VALUE"""),"Yeast")</f>
        <v>Yeast</v>
      </c>
      <c r="B959" s="49" t="str">
        <f>IFERROR(__xludf.DUMMYFUNCTION("""COMPUTED_VALUE"""),"Crafting Material, roll a d20 to see how many you get if this is a loot drop.")</f>
        <v>Crafting Material, roll a d20 to see how many you get if this is a loot drop.</v>
      </c>
      <c r="C959" s="49" t="str">
        <f>IFERROR(__xludf.DUMMYFUNCTION("""COMPUTED_VALUE"""),"Item")</f>
        <v>Item</v>
      </c>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c r="A960" s="49" t="str">
        <f>IFERROR(__xludf.DUMMYFUNCTION("""COMPUTED_VALUE"""),"Mead")</f>
        <v>Mead</v>
      </c>
      <c r="B960" s="49" t="str">
        <f>IFERROR(__xludf.DUMMYFUNCTION("""COMPUTED_VALUE"""),"25 Thirst")</f>
        <v>25 Thirst</v>
      </c>
      <c r="C960" s="49" t="str">
        <f>IFERROR(__xludf.DUMMYFUNCTION("""COMPUTED_VALUE"""),"Item")</f>
        <v>Item</v>
      </c>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c r="A961" s="49" t="str">
        <f>IFERROR(__xludf.DUMMYFUNCTION("""COMPUTED_VALUE"""),"Water Tome Rank 9")</f>
        <v>Water Tome Rank 9</v>
      </c>
      <c r="B961" s="49" t="str">
        <f>IFERROR(__xludf.DUMMYFUNCTION("""COMPUTED_VALUE"""),"Can use up to Rank 9 Water Spells")</f>
        <v>Can use up to Rank 9 Water Spells</v>
      </c>
      <c r="C961" s="49" t="str">
        <f>IFERROR(__xludf.DUMMYFUNCTION("""COMPUTED_VALUE"""),"Item")</f>
        <v>Item</v>
      </c>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c r="A962" s="49" t="str">
        <f>IFERROR(__xludf.DUMMYFUNCTION("""COMPUTED_VALUE"""),"Dragon Flute")</f>
        <v>Dragon Flute</v>
      </c>
      <c r="B962" s="49"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962" s="49" t="str">
        <f>IFERROR(__xludf.DUMMYFUNCTION("""COMPUTED_VALUE"""),"Item")</f>
        <v>Item</v>
      </c>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c r="A963" s="49" t="str">
        <f>IFERROR(__xludf.DUMMYFUNCTION("""COMPUTED_VALUE"""),"Last Resort Potion")</f>
        <v>Last Resort Potion</v>
      </c>
      <c r="B963" s="49"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963" s="49" t="str">
        <f>IFERROR(__xludf.DUMMYFUNCTION("""COMPUTED_VALUE"""),"Item")</f>
        <v>Item</v>
      </c>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c r="A964" s="49" t="str">
        <f>IFERROR(__xludf.DUMMYFUNCTION("""COMPUTED_VALUE"""),"Fish in a Bottle")</f>
        <v>Fish in a Bottle</v>
      </c>
      <c r="B964" s="49" t="str">
        <f>IFERROR(__xludf.DUMMYFUNCTION("""COMPUTED_VALUE"""),"Consume to regain 50HP and 50SP")</f>
        <v>Consume to regain 50HP and 50SP</v>
      </c>
      <c r="C964" s="49" t="str">
        <f>IFERROR(__xludf.DUMMYFUNCTION("""COMPUTED_VALUE"""),"Item")</f>
        <v>Item</v>
      </c>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c r="A965" s="49" t="str">
        <f>IFERROR(__xludf.DUMMYFUNCTION("""COMPUTED_VALUE"""),"Barrel of Poisonous Water")</f>
        <v>Barrel of Poisonous Water</v>
      </c>
      <c r="B965" s="49" t="str">
        <f>IFERROR(__xludf.DUMMYFUNCTION("""COMPUTED_VALUE"""),"POISON THE QUEEN!")</f>
        <v>POISON THE QUEEN!</v>
      </c>
      <c r="C965" s="49" t="str">
        <f>IFERROR(__xludf.DUMMYFUNCTION("""COMPUTED_VALUE"""),"Item")</f>
        <v>Item</v>
      </c>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c r="A966" s="49" t="str">
        <f>IFERROR(__xludf.DUMMYFUNCTION("""COMPUTED_VALUE"""),"Live Worm")</f>
        <v>Live Worm</v>
      </c>
      <c r="B966" s="49" t="str">
        <f>IFERROR(__xludf.DUMMYFUNCTION("""COMPUTED_VALUE"""),"Can be used as bait. 1 use per worm")</f>
        <v>Can be used as bait. 1 use per worm</v>
      </c>
      <c r="C966" s="49" t="str">
        <f>IFERROR(__xludf.DUMMYFUNCTION("""COMPUTED_VALUE"""),"Item")</f>
        <v>Item</v>
      </c>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c r="A967" s="49" t="str">
        <f>IFERROR(__xludf.DUMMYFUNCTION("""COMPUTED_VALUE"""),"Iron Fishing Pole")</f>
        <v>Iron Fishing Pole</v>
      </c>
      <c r="B967" s="49" t="str">
        <f>IFERROR(__xludf.DUMMYFUNCTION("""COMPUTED_VALUE"""),"20/20 Uses. Used for fishing.")</f>
        <v>20/20 Uses. Used for fishing.</v>
      </c>
      <c r="C967" s="49" t="str">
        <f>IFERROR(__xludf.DUMMYFUNCTION("""COMPUTED_VALUE"""),"Item")</f>
        <v>Item</v>
      </c>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c r="A968" s="49" t="str">
        <f>IFERROR(__xludf.DUMMYFUNCTION("""COMPUTED_VALUE"""),"Fishing Lure Beginner")</f>
        <v>Fishing Lure Beginner</v>
      </c>
      <c r="B968" s="49" t="str">
        <f>IFERROR(__xludf.DUMMYFUNCTION("""COMPUTED_VALUE"""),"Used for fishing competition, add a +1 or -1 to your fishing rolls")</f>
        <v>Used for fishing competition, add a +1 or -1 to your fishing rolls</v>
      </c>
      <c r="C968" s="49" t="str">
        <f>IFERROR(__xludf.DUMMYFUNCTION("""COMPUTED_VALUE"""),"Item")</f>
        <v>Item</v>
      </c>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c r="A969" s="49" t="str">
        <f>IFERROR(__xludf.DUMMYFUNCTION("""COMPUTED_VALUE"""),"Fishing Lure Moderate")</f>
        <v>Fishing Lure Moderate</v>
      </c>
      <c r="B969" s="49" t="str">
        <f>IFERROR(__xludf.DUMMYFUNCTION("""COMPUTED_VALUE"""),"Used for fishing competition, add a +3 or -3 to your fishing rolls")</f>
        <v>Used for fishing competition, add a +3 or -3 to your fishing rolls</v>
      </c>
      <c r="C969" s="49" t="str">
        <f>IFERROR(__xludf.DUMMYFUNCTION("""COMPUTED_VALUE"""),"Item")</f>
        <v>Item</v>
      </c>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c r="A970" s="49" t="str">
        <f>IFERROR(__xludf.DUMMYFUNCTION("""COMPUTED_VALUE"""),"Fishing Lure Expert")</f>
        <v>Fishing Lure Expert</v>
      </c>
      <c r="B970" s="49" t="str">
        <f>IFERROR(__xludf.DUMMYFUNCTION("""COMPUTED_VALUE"""),"Used for fishing competition, add a +5 or -5 to your fishing rolls")</f>
        <v>Used for fishing competition, add a +5 or -5 to your fishing rolls</v>
      </c>
      <c r="C970" s="49" t="str">
        <f>IFERROR(__xludf.DUMMYFUNCTION("""COMPUTED_VALUE"""),"Item")</f>
        <v>Item</v>
      </c>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c r="A971" s="49" t="str">
        <f>IFERROR(__xludf.DUMMYFUNCTION("""COMPUTED_VALUE"""),"Fossilized Water Dragon Bones")</f>
        <v>Fossilized Water Dragon Bones</v>
      </c>
      <c r="B971" s="49" t="str">
        <f>IFERROR(__xludf.DUMMYFUNCTION("""COMPUTED_VALUE"""),"Crafting Material, roll a d20 to see how many you get if this is a loot drop.")</f>
        <v>Crafting Material, roll a d20 to see how many you get if this is a loot drop.</v>
      </c>
      <c r="C971" s="49" t="str">
        <f>IFERROR(__xludf.DUMMYFUNCTION("""COMPUTED_VALUE"""),"Item")</f>
        <v>Item</v>
      </c>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c r="A972" s="49" t="str">
        <f>IFERROR(__xludf.DUMMYFUNCTION("""COMPUTED_VALUE"""),"Return Home Gem")</f>
        <v>Return Home Gem</v>
      </c>
      <c r="B972" s="49" t="str">
        <f>IFERROR(__xludf.DUMMYFUNCTION("""COMPUTED_VALUE"""),"Only one per player in backpack. Instantly teleports you to the last town you were at without fail.")</f>
        <v>Only one per player in backpack. Instantly teleports you to the last town you were at without fail.</v>
      </c>
      <c r="C972" s="49" t="str">
        <f>IFERROR(__xludf.DUMMYFUNCTION("""COMPUTED_VALUE"""),"Item")</f>
        <v>Item</v>
      </c>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c r="A973" s="49" t="str">
        <f>IFERROR(__xludf.DUMMYFUNCTION("""COMPUTED_VALUE"""),"Immunity to water potion temp")</f>
        <v>Immunity to water potion temp</v>
      </c>
      <c r="B973" s="49" t="str">
        <f>IFERROR(__xludf.DUMMYFUNCTION("""COMPUTED_VALUE"""),"Immune to water based attacks for one battle (does not count as a turn)")</f>
        <v>Immune to water based attacks for one battle (does not count as a turn)</v>
      </c>
      <c r="C973" s="49" t="str">
        <f>IFERROR(__xludf.DUMMYFUNCTION("""COMPUTED_VALUE"""),"Item")</f>
        <v>Item</v>
      </c>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c r="A974" s="49" t="str">
        <f>IFERROR(__xludf.DUMMYFUNCTION("""COMPUTED_VALUE"""),"Legendary Sea Monster Meat")</f>
        <v>Legendary Sea Monster Meat</v>
      </c>
      <c r="B974" s="49"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74" s="49" t="str">
        <f>IFERROR(__xludf.DUMMYFUNCTION("""COMPUTED_VALUE"""),"Item")</f>
        <v>Item</v>
      </c>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c r="A975" s="49" t="str">
        <f>IFERROR(__xludf.DUMMYFUNCTION("""COMPUTED_VALUE"""),"Scroll of The Sea Monster")</f>
        <v>Scroll of The Sea Monster</v>
      </c>
      <c r="B975" s="49" t="str">
        <f>IFERROR(__xludf.DUMMYFUNCTION("""COMPUTED_VALUE"""),"X2 to water damage for the caster until end of battle, water spells also become unblockable for 3 rounds.")</f>
        <v>X2 to water damage for the caster until end of battle, water spells also become unblockable for 3 rounds.</v>
      </c>
      <c r="C975" s="49" t="str">
        <f>IFERROR(__xludf.DUMMYFUNCTION("""COMPUTED_VALUE"""),"Item")</f>
        <v>Item</v>
      </c>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c r="A976" s="49" t="str">
        <f>IFERROR(__xludf.DUMMYFUNCTION("""COMPUTED_VALUE"""),"Paper scraps")</f>
        <v>Paper scraps</v>
      </c>
      <c r="B976" s="49" t="str">
        <f>IFERROR(__xludf.DUMMYFUNCTION("""COMPUTED_VALUE"""),"Crafting Material, roll a d20 to see how many you get if this is a loot drop.")</f>
        <v>Crafting Material, roll a d20 to see how many you get if this is a loot drop.</v>
      </c>
      <c r="C976" s="49" t="str">
        <f>IFERROR(__xludf.DUMMYFUNCTION("""COMPUTED_VALUE"""),"Item")</f>
        <v>Item</v>
      </c>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c r="A977" s="49" t="str">
        <f>IFERROR(__xludf.DUMMYFUNCTION("""COMPUTED_VALUE"""),"Blank piece of paper")</f>
        <v>Blank piece of paper</v>
      </c>
      <c r="B977" s="49" t="str">
        <f>IFERROR(__xludf.DUMMYFUNCTION("""COMPUTED_VALUE"""),"Crafting Material, roll a d20 to see how many you get if this is a loot drop.")</f>
        <v>Crafting Material, roll a d20 to see how many you get if this is a loot drop.</v>
      </c>
      <c r="C977" s="49" t="str">
        <f>IFERROR(__xludf.DUMMYFUNCTION("""COMPUTED_VALUE"""),"Item")</f>
        <v>Item</v>
      </c>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c r="A978" s="49" t="str">
        <f>IFERROR(__xludf.DUMMYFUNCTION("""COMPUTED_VALUE"""),"Broken pistol")</f>
        <v>Broken pistol</v>
      </c>
      <c r="B978" s="49" t="str">
        <f>IFERROR(__xludf.DUMMYFUNCTION("""COMPUTED_VALUE"""),"Crafting Material, roll a d20 to see how many you get if this is a loot drop.")</f>
        <v>Crafting Material, roll a d20 to see how many you get if this is a loot drop.</v>
      </c>
      <c r="C978" s="49" t="str">
        <f>IFERROR(__xludf.DUMMYFUNCTION("""COMPUTED_VALUE"""),"Item")</f>
        <v>Item</v>
      </c>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c r="A979" s="49" t="str">
        <f>IFERROR(__xludf.DUMMYFUNCTION("""COMPUTED_VALUE"""),"Cannon Ball")</f>
        <v>Cannon Ball</v>
      </c>
      <c r="B979" s="49" t="str">
        <f>IFERROR(__xludf.DUMMYFUNCTION("""COMPUTED_VALUE"""),"Cannon Ammunition, +1000 damage. roll a d20 to see how many you get if this is a loot drop.")</f>
        <v>Cannon Ammunition, +1000 damage. roll a d20 to see how many you get if this is a loot drop.</v>
      </c>
      <c r="C979" s="49" t="str">
        <f>IFERROR(__xludf.DUMMYFUNCTION("""COMPUTED_VALUE"""),"Item")</f>
        <v>Item</v>
      </c>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c r="A980" s="49" t="str">
        <f>IFERROR(__xludf.DUMMYFUNCTION("""COMPUTED_VALUE"""),"Blank Book")</f>
        <v>Blank Book</v>
      </c>
      <c r="B980" s="49" t="str">
        <f>IFERROR(__xludf.DUMMYFUNCTION("""COMPUTED_VALUE"""),"Crafting Material, roll a d20 to see how many you get.")</f>
        <v>Crafting Material, roll a d20 to see how many you get.</v>
      </c>
      <c r="C980" s="49" t="str">
        <f>IFERROR(__xludf.DUMMYFUNCTION("""COMPUTED_VALUE"""),"Item")</f>
        <v>Item</v>
      </c>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c r="A981" s="49" t="str">
        <f>IFERROR(__xludf.DUMMYFUNCTION("""COMPUTED_VALUE"""),"Bronze")</f>
        <v>Bronze</v>
      </c>
      <c r="B981" s="49" t="str">
        <f>IFERROR(__xludf.DUMMYFUNCTION("""COMPUTED_VALUE"""),"Crafting Material, roll a d20 to see how many you get.")</f>
        <v>Crafting Material, roll a d20 to see how many you get.</v>
      </c>
      <c r="C981" s="49" t="str">
        <f>IFERROR(__xludf.DUMMYFUNCTION("""COMPUTED_VALUE"""),"Item")</f>
        <v>Item</v>
      </c>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c r="A982" s="49" t="str">
        <f>IFERROR(__xludf.DUMMYFUNCTION("""COMPUTED_VALUE"""),"Diamond")</f>
        <v>Diamond</v>
      </c>
      <c r="B982" s="49" t="str">
        <f>IFERROR(__xludf.DUMMYFUNCTION("""COMPUTED_VALUE"""),"Crafting Material, roll a d20 to see how many you get.")</f>
        <v>Crafting Material, roll a d20 to see how many you get.</v>
      </c>
      <c r="C982" s="49" t="str">
        <f>IFERROR(__xludf.DUMMYFUNCTION("""COMPUTED_VALUE"""),"Item")</f>
        <v>Item</v>
      </c>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c r="A983" s="49" t="str">
        <f>IFERROR(__xludf.DUMMYFUNCTION("""COMPUTED_VALUE"""),"Wood")</f>
        <v>Wood</v>
      </c>
      <c r="B983" s="49" t="str">
        <f>IFERROR(__xludf.DUMMYFUNCTION("""COMPUTED_VALUE"""),"Crafting Material, roll a d20 to see how many you get.")</f>
        <v>Crafting Material, roll a d20 to see how many you get.</v>
      </c>
      <c r="C983" s="49" t="str">
        <f>IFERROR(__xludf.DUMMYFUNCTION("""COMPUTED_VALUE"""),"Item")</f>
        <v>Item</v>
      </c>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c r="A984" s="49" t="str">
        <f>IFERROR(__xludf.DUMMYFUNCTION("""COMPUTED_VALUE"""),"Stone")</f>
        <v>Stone</v>
      </c>
      <c r="B984" s="49" t="str">
        <f>IFERROR(__xludf.DUMMYFUNCTION("""COMPUTED_VALUE"""),"Crafting Material, roll a d20 to see how many you get.")</f>
        <v>Crafting Material, roll a d20 to see how many you get.</v>
      </c>
      <c r="C984" s="49" t="str">
        <f>IFERROR(__xludf.DUMMYFUNCTION("""COMPUTED_VALUE"""),"Item")</f>
        <v>Item</v>
      </c>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c r="A985" s="49" t="str">
        <f>IFERROR(__xludf.DUMMYFUNCTION("""COMPUTED_VALUE"""),"Raw Meat")</f>
        <v>Raw Meat</v>
      </c>
      <c r="B985" s="49" t="str">
        <f>IFERROR(__xludf.DUMMYFUNCTION("""COMPUTED_VALUE"""),"-100 Hunger")</f>
        <v>-100 Hunger</v>
      </c>
      <c r="C985" s="49" t="str">
        <f>IFERROR(__xludf.DUMMYFUNCTION("""COMPUTED_VALUE"""),"Crop")</f>
        <v>Crop</v>
      </c>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c r="A986" s="49" t="str">
        <f>IFERROR(__xludf.DUMMYFUNCTION("""COMPUTED_VALUE"""),"Cooked Meat")</f>
        <v>Cooked Meat</v>
      </c>
      <c r="B986" s="49" t="str">
        <f>IFERROR(__xludf.DUMMYFUNCTION("""COMPUTED_VALUE"""),"Restores 35 Hunger")</f>
        <v>Restores 35 Hunger</v>
      </c>
      <c r="C986" s="49" t="str">
        <f>IFERROR(__xludf.DUMMYFUNCTION("""COMPUTED_VALUE"""),"Crop")</f>
        <v>Crop</v>
      </c>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c r="A987" s="49" t="str">
        <f>IFERROR(__xludf.DUMMYFUNCTION("""COMPUTED_VALUE"""),"Dried Meat")</f>
        <v>Dried Meat</v>
      </c>
      <c r="B987" s="49" t="str">
        <f>IFERROR(__xludf.DUMMYFUNCTION("""COMPUTED_VALUE"""),"25 Hunger")</f>
        <v>25 Hunger</v>
      </c>
      <c r="C987" s="49" t="str">
        <f>IFERROR(__xludf.DUMMYFUNCTION("""COMPUTED_VALUE"""),"Crop")</f>
        <v>Crop</v>
      </c>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c r="A988" s="49" t="str">
        <f>IFERROR(__xludf.DUMMYFUNCTION("""COMPUTED_VALUE"""),"Medium Rare Steak")</f>
        <v>Medium Rare Steak</v>
      </c>
      <c r="B988" s="49" t="str">
        <f>IFERROR(__xludf.DUMMYFUNCTION("""COMPUTED_VALUE"""),"Restores 30 Hunger and 5 HP")</f>
        <v>Restores 30 Hunger and 5 HP</v>
      </c>
      <c r="C988" s="49" t="str">
        <f>IFERROR(__xludf.DUMMYFUNCTION("""COMPUTED_VALUE"""),"Crop")</f>
        <v>Crop</v>
      </c>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c r="A989" s="49" t="str">
        <f>IFERROR(__xludf.DUMMYFUNCTION("""COMPUTED_VALUE"""),"Well Done Steak")</f>
        <v>Well Done Steak</v>
      </c>
      <c r="B989" s="49" t="str">
        <f>IFERROR(__xludf.DUMMYFUNCTION("""COMPUTED_VALUE"""),"10 Hunger and 3 HP are restored each turn for the next three turns")</f>
        <v>10 Hunger and 3 HP are restored each turn for the next three turns</v>
      </c>
      <c r="C989" s="49" t="str">
        <f>IFERROR(__xludf.DUMMYFUNCTION("""COMPUTED_VALUE"""),"Crop")</f>
        <v>Crop</v>
      </c>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c r="A990" s="49" t="str">
        <f>IFERROR(__xludf.DUMMYFUNCTION("""COMPUTED_VALUE"""),"Kebab")</f>
        <v>Kebab</v>
      </c>
      <c r="B990" s="49" t="str">
        <f>IFERROR(__xludf.DUMMYFUNCTION("""COMPUTED_VALUE"""),"Restores 10 Hunger, 5 HP, and 15 SP")</f>
        <v>Restores 10 Hunger, 5 HP, and 15 SP</v>
      </c>
      <c r="C990" s="49" t="str">
        <f>IFERROR(__xludf.DUMMYFUNCTION("""COMPUTED_VALUE"""),"Crop")</f>
        <v>Crop</v>
      </c>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c r="A991" s="49" t="str">
        <f>IFERROR(__xludf.DUMMYFUNCTION("""COMPUTED_VALUE"""),"Melon Bread")</f>
        <v>Melon Bread</v>
      </c>
      <c r="B991" s="49" t="str">
        <f>IFERROR(__xludf.DUMMYFUNCTION("""COMPUTED_VALUE"""),"15 Hunger")</f>
        <v>15 Hunger</v>
      </c>
      <c r="C991" s="49" t="str">
        <f>IFERROR(__xludf.DUMMYFUNCTION("""COMPUTED_VALUE"""),"Crop")</f>
        <v>Crop</v>
      </c>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c r="A992" s="49" t="str">
        <f>IFERROR(__xludf.DUMMYFUNCTION("""COMPUTED_VALUE"""),"Cake")</f>
        <v>Cake</v>
      </c>
      <c r="B992" s="49" t="str">
        <f>IFERROR(__xludf.DUMMYFUNCTION("""COMPUTED_VALUE"""),"8 uses, each use restores 20 Hunger")</f>
        <v>8 uses, each use restores 20 Hunger</v>
      </c>
      <c r="C992" s="49" t="str">
        <f>IFERROR(__xludf.DUMMYFUNCTION("""COMPUTED_VALUE"""),"Crop")</f>
        <v>Crop</v>
      </c>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c r="A993" s="49" t="str">
        <f>IFERROR(__xludf.DUMMYFUNCTION("""COMPUTED_VALUE"""),"Cherry Pie")</f>
        <v>Cherry Pie</v>
      </c>
      <c r="B993" s="49" t="str">
        <f>IFERROR(__xludf.DUMMYFUNCTION("""COMPUTED_VALUE"""),"4 uses, restores 20 Hunger, 10 HP, and 5 SP with each use")</f>
        <v>4 uses, restores 20 Hunger, 10 HP, and 5 SP with each use</v>
      </c>
      <c r="C993" s="49" t="str">
        <f>IFERROR(__xludf.DUMMYFUNCTION("""COMPUTED_VALUE"""),"Crop")</f>
        <v>Crop</v>
      </c>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c r="A994" s="49" t="str">
        <f>IFERROR(__xludf.DUMMYFUNCTION("""COMPUTED_VALUE"""),"Saltwater")</f>
        <v>Saltwater</v>
      </c>
      <c r="B994" s="49" t="str">
        <f>IFERROR(__xludf.DUMMYFUNCTION("""COMPUTED_VALUE"""),"Crafting Material, roll a d20 to see how many you get if this is a loot drop.")</f>
        <v>Crafting Material, roll a d20 to see how many you get if this is a loot drop.</v>
      </c>
      <c r="C994" s="49" t="str">
        <f>IFERROR(__xludf.DUMMYFUNCTION("""COMPUTED_VALUE"""),"Item")</f>
        <v>Item</v>
      </c>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c r="A995" s="49" t="str">
        <f>IFERROR(__xludf.DUMMYFUNCTION("""COMPUTED_VALUE"""),"Fisherman’s Lucky Totem")</f>
        <v>Fisherman’s Lucky Totem</v>
      </c>
      <c r="B995" s="49" t="str">
        <f>IFERROR(__xludf.DUMMYFUNCTION("""COMPUTED_VALUE"""),"This will Guarantee you 1 fish from a quest")</f>
        <v>This will Guarantee you 1 fish from a quest</v>
      </c>
      <c r="C995" s="49" t="str">
        <f>IFERROR(__xludf.DUMMYFUNCTION("""COMPUTED_VALUE"""),"Item")</f>
        <v>Item</v>
      </c>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c r="A996" s="49" t="str">
        <f>IFERROR(__xludf.DUMMYFUNCTION("""COMPUTED_VALUE"""),"The Fish Pendant")</f>
        <v>The Fish Pendant</v>
      </c>
      <c r="B996" s="49" t="str">
        <f>IFERROR(__xludf.DUMMYFUNCTION("""COMPUTED_VALUE"""),"Choose the rarity of the fish when fishing during a quest.")</f>
        <v>Choose the rarity of the fish when fishing during a quest.</v>
      </c>
      <c r="C996" s="49" t="str">
        <f>IFERROR(__xludf.DUMMYFUNCTION("""COMPUTED_VALUE"""),"Item")</f>
        <v>Item</v>
      </c>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c r="A997" s="49" t="str">
        <f>IFERROR(__xludf.DUMMYFUNCTION("""COMPUTED_VALUE"""),"Fish Stone")</f>
        <v>Fish Stone</v>
      </c>
      <c r="B997" s="49" t="str">
        <f>IFERROR(__xludf.DUMMYFUNCTION("""COMPUTED_VALUE"""),"if you catch this when fishing you get 2 of the fish you caught with this item.")</f>
        <v>if you catch this when fishing you get 2 of the fish you caught with this item.</v>
      </c>
      <c r="C997" s="49" t="str">
        <f>IFERROR(__xludf.DUMMYFUNCTION("""COMPUTED_VALUE"""),"Item")</f>
        <v>Item</v>
      </c>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c r="A998" s="49" t="str">
        <f>IFERROR(__xludf.DUMMYFUNCTION("""COMPUTED_VALUE"""),"Pumpkin")</f>
        <v>Pumpkin</v>
      </c>
      <c r="B998" s="49" t="str">
        <f>IFERROR(__xludf.DUMMYFUNCTION("""COMPUTED_VALUE"""),"100 hunger for self and up to 2 party members.")</f>
        <v>100 hunger for self and up to 2 party members.</v>
      </c>
      <c r="C998" s="49" t="str">
        <f>IFERROR(__xludf.DUMMYFUNCTION("""COMPUTED_VALUE"""),"Crop")</f>
        <v>Crop</v>
      </c>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c r="A999" s="49" t="str">
        <f>IFERROR(__xludf.DUMMYFUNCTION("""COMPUTED_VALUE"""),"Premium Pumpkin")</f>
        <v>Premium Pumpkin</v>
      </c>
      <c r="B999" s="49" t="str">
        <f>IFERROR(__xludf.DUMMYFUNCTION("""COMPUTED_VALUE"""),"200 hunger for self and up to 2 party members.")</f>
        <v>200 hunger for self and up to 2 party members.</v>
      </c>
      <c r="C999" s="49" t="str">
        <f>IFERROR(__xludf.DUMMYFUNCTION("""COMPUTED_VALUE"""),"Crop")</f>
        <v>Crop</v>
      </c>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c r="A1000" s="49" t="str">
        <f>IFERROR(__xludf.DUMMYFUNCTION("""COMPUTED_VALUE"""),"Pumpkin Soup")</f>
        <v>Pumpkin Soup</v>
      </c>
      <c r="B1000" s="49" t="str">
        <f>IFERROR(__xludf.DUMMYFUNCTION("""COMPUTED_VALUE"""),"100 hunger for self and up to 4 party members.")</f>
        <v>100 hunger for self and up to 4 party members.</v>
      </c>
      <c r="C1000" s="49" t="str">
        <f>IFERROR(__xludf.DUMMYFUNCTION("""COMPUTED_VALUE"""),"Crop")</f>
        <v>Crop</v>
      </c>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row r="1001">
      <c r="A1001" s="49" t="str">
        <f>IFERROR(__xludf.DUMMYFUNCTION("""COMPUTED_VALUE"""),"Premium Pumpkin Soup")</f>
        <v>Premium Pumpkin Soup</v>
      </c>
      <c r="B1001" s="49" t="str">
        <f>IFERROR(__xludf.DUMMYFUNCTION("""COMPUTED_VALUE"""),"200 hunger for self and up to 4 party members.")</f>
        <v>200 hunger for self and up to 4 party members.</v>
      </c>
      <c r="C1001" s="49" t="str">
        <f>IFERROR(__xludf.DUMMYFUNCTION("""COMPUTED_VALUE"""),"Crop")</f>
        <v>Crop</v>
      </c>
      <c r="D1001" s="49"/>
      <c r="E1001" s="49"/>
      <c r="F1001" s="49"/>
      <c r="G1001" s="49"/>
      <c r="H1001" s="49"/>
      <c r="I1001" s="49"/>
      <c r="J1001" s="49"/>
      <c r="K1001" s="49"/>
      <c r="L1001" s="49"/>
      <c r="M1001" s="49"/>
      <c r="N1001" s="49"/>
      <c r="O1001" s="49"/>
      <c r="P1001" s="49"/>
      <c r="Q1001" s="49"/>
      <c r="R1001" s="49"/>
      <c r="S1001" s="49"/>
      <c r="T1001" s="49"/>
      <c r="U1001" s="49"/>
      <c r="V1001" s="49"/>
      <c r="W1001" s="49"/>
      <c r="X1001" s="49"/>
      <c r="Y1001" s="49"/>
      <c r="Z1001" s="49"/>
    </row>
    <row r="1002">
      <c r="A1002" s="49" t="str">
        <f>IFERROR(__xludf.DUMMYFUNCTION("""COMPUTED_VALUE"""),"Forbidden Book")</f>
        <v>Forbidden Book</v>
      </c>
      <c r="B1002" s="49" t="str">
        <f>IFERROR(__xludf.DUMMYFUNCTION("""COMPUTED_VALUE"""),"A forbidden book. if the guards see it in your inventory they will autmatically confiscate it and arrest you.")</f>
        <v>A forbidden book. if the guards see it in your inventory they will autmatically confiscate it and arrest you.</v>
      </c>
      <c r="C1002" s="49" t="str">
        <f>IFERROR(__xludf.DUMMYFUNCTION("""COMPUTED_VALUE"""),"Item")</f>
        <v>Item</v>
      </c>
      <c r="D1002" s="49"/>
      <c r="E1002" s="49"/>
      <c r="F1002" s="49"/>
      <c r="G1002" s="49"/>
      <c r="H1002" s="49"/>
      <c r="I1002" s="49"/>
      <c r="J1002" s="49"/>
      <c r="K1002" s="49"/>
      <c r="L1002" s="49"/>
      <c r="M1002" s="49"/>
      <c r="N1002" s="49"/>
      <c r="O1002" s="49"/>
      <c r="P1002" s="49"/>
      <c r="Q1002" s="49"/>
      <c r="R1002" s="49"/>
      <c r="S1002" s="49"/>
      <c r="T1002" s="49"/>
      <c r="U1002" s="49"/>
      <c r="V1002" s="49"/>
      <c r="W1002" s="49"/>
      <c r="X1002" s="49"/>
      <c r="Y1002" s="49"/>
      <c r="Z1002" s="49"/>
    </row>
    <row r="1003">
      <c r="A1003" s="49" t="str">
        <f>IFERROR(__xludf.DUMMYFUNCTION("""COMPUTED_VALUE"""),"a random stick")</f>
        <v>a random stick</v>
      </c>
      <c r="B1003" s="49" t="str">
        <f>IFERROR(__xludf.DUMMYFUNCTION("""COMPUTED_VALUE"""),"A random stick the shopkeeper found out back")</f>
        <v>A random stick the shopkeeper found out back</v>
      </c>
      <c r="C1003" s="49" t="str">
        <f>IFERROR(__xludf.DUMMYFUNCTION("""COMPUTED_VALUE"""),"Item")</f>
        <v>Item</v>
      </c>
      <c r="D1003" s="49"/>
      <c r="E1003" s="49"/>
      <c r="F1003" s="49"/>
      <c r="G1003" s="49"/>
      <c r="H1003" s="49"/>
      <c r="I1003" s="49"/>
      <c r="J1003" s="49"/>
      <c r="K1003" s="49"/>
      <c r="L1003" s="49"/>
      <c r="M1003" s="49"/>
      <c r="N1003" s="49"/>
      <c r="O1003" s="49"/>
      <c r="P1003" s="49"/>
      <c r="Q1003" s="49"/>
      <c r="R1003" s="49"/>
      <c r="S1003" s="49"/>
      <c r="T1003" s="49"/>
      <c r="U1003" s="49"/>
      <c r="V1003" s="49"/>
      <c r="W1003" s="49"/>
      <c r="X1003" s="49"/>
      <c r="Y1003" s="49"/>
      <c r="Z1003" s="49"/>
    </row>
    <row r="1004">
      <c r="A1004" s="49" t="str">
        <f>IFERROR(__xludf.DUMMYFUNCTION("""COMPUTED_VALUE"""),"Rank 9 Storm Tome")</f>
        <v>Rank 9 Storm Tome</v>
      </c>
      <c r="B1004" s="49" t="str">
        <f>IFERROR(__xludf.DUMMYFUNCTION("""COMPUTED_VALUE"""),"Can use up to Rank 9 Storm Spells")</f>
        <v>Can use up to Rank 9 Storm Spells</v>
      </c>
      <c r="C1004" s="49" t="str">
        <f>IFERROR(__xludf.DUMMYFUNCTION("""COMPUTED_VALUE"""),"Item")</f>
        <v>Item</v>
      </c>
      <c r="D1004" s="49"/>
      <c r="E1004" s="49"/>
      <c r="F1004" s="49"/>
      <c r="G1004" s="49"/>
      <c r="H1004" s="49"/>
      <c r="I1004" s="49"/>
      <c r="J1004" s="49"/>
      <c r="K1004" s="49"/>
      <c r="L1004" s="49"/>
      <c r="M1004" s="49"/>
      <c r="N1004" s="49"/>
      <c r="O1004" s="49"/>
      <c r="P1004" s="49"/>
      <c r="Q1004" s="49"/>
      <c r="R1004" s="49"/>
      <c r="S1004" s="49"/>
      <c r="T1004" s="49"/>
      <c r="U1004" s="49"/>
      <c r="V1004" s="49"/>
      <c r="W1004" s="49"/>
      <c r="X1004" s="49"/>
      <c r="Y1004" s="49"/>
      <c r="Z1004" s="49"/>
    </row>
    <row r="1005">
      <c r="A1005" s="49" t="str">
        <f>IFERROR(__xludf.DUMMYFUNCTION("""COMPUTED_VALUE"""),"Common Tree Branch")</f>
        <v>Common Tree Branch</v>
      </c>
      <c r="B1005" s="49" t="str">
        <f>IFERROR(__xludf.DUMMYFUNCTION("""COMPUTED_VALUE"""),"When thrown, each enemy has a 25% chance to be distracted, skipping their next turn")</f>
        <v>When thrown, each enemy has a 25% chance to be distracted, skipping their next turn</v>
      </c>
      <c r="C1005" s="49" t="str">
        <f>IFERROR(__xludf.DUMMYFUNCTION("""COMPUTED_VALUE"""),"Item")</f>
        <v>Item</v>
      </c>
      <c r="D1005" s="49"/>
      <c r="E1005" s="49"/>
      <c r="F1005" s="49"/>
      <c r="G1005" s="49"/>
      <c r="H1005" s="49"/>
      <c r="I1005" s="49"/>
      <c r="J1005" s="49"/>
      <c r="K1005" s="49"/>
      <c r="L1005" s="49"/>
      <c r="M1005" s="49"/>
      <c r="N1005" s="49"/>
      <c r="O1005" s="49"/>
      <c r="P1005" s="49"/>
      <c r="Q1005" s="49"/>
      <c r="R1005" s="49"/>
      <c r="S1005" s="49"/>
      <c r="T1005" s="49"/>
      <c r="U1005" s="49"/>
      <c r="V1005" s="49"/>
      <c r="W1005" s="49"/>
      <c r="X1005" s="49"/>
      <c r="Y1005" s="49"/>
      <c r="Z1005" s="49"/>
    </row>
    <row r="1006">
      <c r="A1006" s="49" t="str">
        <f>IFERROR(__xludf.DUMMYFUNCTION("""COMPUTED_VALUE"""),"Uncommon Tree branch")</f>
        <v>Uncommon Tree branch</v>
      </c>
      <c r="B1006" s="49"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006" s="49" t="str">
        <f>IFERROR(__xludf.DUMMYFUNCTION("""COMPUTED_VALUE"""),"Item")</f>
        <v>Item</v>
      </c>
      <c r="D1006" s="49"/>
      <c r="E1006" s="49"/>
      <c r="F1006" s="49"/>
      <c r="G1006" s="49"/>
      <c r="H1006" s="49"/>
      <c r="I1006" s="49"/>
      <c r="J1006" s="49"/>
      <c r="K1006" s="49"/>
      <c r="L1006" s="49"/>
      <c r="M1006" s="49"/>
      <c r="N1006" s="49"/>
      <c r="O1006" s="49"/>
      <c r="P1006" s="49"/>
      <c r="Q1006" s="49"/>
      <c r="R1006" s="49"/>
      <c r="S1006" s="49"/>
      <c r="T1006" s="49"/>
      <c r="U1006" s="49"/>
      <c r="V1006" s="49"/>
      <c r="W1006" s="49"/>
      <c r="X1006" s="49"/>
      <c r="Y1006" s="49"/>
      <c r="Z1006" s="49"/>
    </row>
    <row r="1007">
      <c r="A1007" s="49" t="str">
        <f>IFERROR(__xludf.DUMMYFUNCTION("""COMPUTED_VALUE"""),"Stale bread")</f>
        <v>Stale bread</v>
      </c>
      <c r="B1007" s="49" t="str">
        <f>IFERROR(__xludf.DUMMYFUNCTION("""COMPUTED_VALUE"""),"Recovers 9 hunger")</f>
        <v>Recovers 9 hunger</v>
      </c>
      <c r="C1007" s="49" t="str">
        <f>IFERROR(__xludf.DUMMYFUNCTION("""COMPUTED_VALUE"""),"Crop")</f>
        <v>Crop</v>
      </c>
      <c r="D1007" s="49"/>
      <c r="E1007" s="49"/>
      <c r="F1007" s="49"/>
      <c r="G1007" s="49"/>
      <c r="H1007" s="49"/>
      <c r="I1007" s="49"/>
      <c r="J1007" s="49"/>
      <c r="K1007" s="49"/>
      <c r="L1007" s="49"/>
      <c r="M1007" s="49"/>
      <c r="N1007" s="49"/>
      <c r="O1007" s="49"/>
      <c r="P1007" s="49"/>
      <c r="Q1007" s="49"/>
      <c r="R1007" s="49"/>
      <c r="S1007" s="49"/>
      <c r="T1007" s="49"/>
      <c r="U1007" s="49"/>
      <c r="V1007" s="49"/>
      <c r="W1007" s="49"/>
      <c r="X1007" s="49"/>
      <c r="Y1007" s="49"/>
      <c r="Z1007" s="49"/>
    </row>
    <row r="1008">
      <c r="A1008" s="49" t="str">
        <f>IFERROR(__xludf.DUMMYFUNCTION("""COMPUTED_VALUE"""),"Coal")</f>
        <v>Coal</v>
      </c>
      <c r="B1008" s="49" t="str">
        <f>IFERROR(__xludf.DUMMYFUNCTION("""COMPUTED_VALUE"""),"Crafting Material, roll a d20 to see how many you get if this is a loot drop.")</f>
        <v>Crafting Material, roll a d20 to see how many you get if this is a loot drop.</v>
      </c>
      <c r="C1008" s="49" t="str">
        <f>IFERROR(__xludf.DUMMYFUNCTION("""COMPUTED_VALUE"""),"Item")</f>
        <v>Item</v>
      </c>
      <c r="D1008" s="49"/>
      <c r="E1008" s="49"/>
      <c r="F1008" s="49"/>
      <c r="G1008" s="49"/>
      <c r="H1008" s="49"/>
      <c r="I1008" s="49"/>
      <c r="J1008" s="49"/>
      <c r="K1008" s="49"/>
      <c r="L1008" s="49"/>
      <c r="M1008" s="49"/>
      <c r="N1008" s="49"/>
      <c r="O1008" s="49"/>
      <c r="P1008" s="49"/>
      <c r="Q1008" s="49"/>
      <c r="R1008" s="49"/>
      <c r="S1008" s="49"/>
      <c r="T1008" s="49"/>
      <c r="U1008" s="49"/>
      <c r="V1008" s="49"/>
      <c r="W1008" s="49"/>
      <c r="X1008" s="49"/>
      <c r="Y1008" s="49"/>
      <c r="Z1008" s="49"/>
    </row>
    <row r="1009">
      <c r="A1009" s="49" t="str">
        <f>IFERROR(__xludf.DUMMYFUNCTION("""COMPUTED_VALUE"""),"Red Coral Gem")</f>
        <v>Red Coral Gem</v>
      </c>
      <c r="B1009" s="49" t="str">
        <f>IFERROR(__xludf.DUMMYFUNCTION("""COMPUTED_VALUE"""),"500 Fire dmg or Resistance")</f>
        <v>500 Fire dmg or Resistance</v>
      </c>
      <c r="C1009" s="49" t="str">
        <f>IFERROR(__xludf.DUMMYFUNCTION("""COMPUTED_VALUE"""),"Item")</f>
        <v>Item</v>
      </c>
      <c r="D1009" s="49"/>
      <c r="E1009" s="49"/>
      <c r="F1009" s="49"/>
      <c r="G1009" s="49"/>
      <c r="H1009" s="49"/>
      <c r="I1009" s="49"/>
      <c r="J1009" s="49"/>
      <c r="K1009" s="49"/>
      <c r="L1009" s="49"/>
      <c r="M1009" s="49"/>
      <c r="N1009" s="49"/>
      <c r="O1009" s="49"/>
      <c r="P1009" s="49"/>
      <c r="Q1009" s="49"/>
      <c r="R1009" s="49"/>
      <c r="S1009" s="49"/>
      <c r="T1009" s="49"/>
      <c r="U1009" s="49"/>
      <c r="V1009" s="49"/>
      <c r="W1009" s="49"/>
      <c r="X1009" s="49"/>
      <c r="Y1009" s="49"/>
      <c r="Z1009" s="49"/>
    </row>
    <row r="1010">
      <c r="A1010" s="49" t="str">
        <f>IFERROR(__xludf.DUMMYFUNCTION("""COMPUTED_VALUE"""),"Blue Coral Gem")</f>
        <v>Blue Coral Gem</v>
      </c>
      <c r="B1010" s="49" t="str">
        <f>IFERROR(__xludf.DUMMYFUNCTION("""COMPUTED_VALUE"""),"500 Water dmg or Resistance")</f>
        <v>500 Water dmg or Resistance</v>
      </c>
      <c r="C1010" s="49" t="str">
        <f>IFERROR(__xludf.DUMMYFUNCTION("""COMPUTED_VALUE"""),"Item")</f>
        <v>Item</v>
      </c>
      <c r="D1010" s="49"/>
      <c r="E1010" s="49"/>
      <c r="F1010" s="49"/>
      <c r="G1010" s="49"/>
      <c r="H1010" s="49"/>
      <c r="I1010" s="49"/>
      <c r="J1010" s="49"/>
      <c r="K1010" s="49"/>
      <c r="L1010" s="49"/>
      <c r="M1010" s="49"/>
      <c r="N1010" s="49"/>
      <c r="O1010" s="49"/>
      <c r="P1010" s="49"/>
      <c r="Q1010" s="49"/>
      <c r="R1010" s="49"/>
      <c r="S1010" s="49"/>
      <c r="T1010" s="49"/>
      <c r="U1010" s="49"/>
      <c r="V1010" s="49"/>
      <c r="W1010" s="49"/>
      <c r="X1010" s="49"/>
      <c r="Y1010" s="49"/>
      <c r="Z1010" s="49"/>
    </row>
    <row r="1011">
      <c r="A1011" s="49" t="str">
        <f>IFERROR(__xludf.DUMMYFUNCTION("""COMPUTED_VALUE"""),"Yellow Coral Gem")</f>
        <v>Yellow Coral Gem</v>
      </c>
      <c r="B1011" s="49" t="str">
        <f>IFERROR(__xludf.DUMMYFUNCTION("""COMPUTED_VALUE"""),"500 Strom dmg or Resistance")</f>
        <v>500 Strom dmg or Resistance</v>
      </c>
      <c r="C1011" s="49" t="str">
        <f>IFERROR(__xludf.DUMMYFUNCTION("""COMPUTED_VALUE"""),"Item")</f>
        <v>Item</v>
      </c>
      <c r="D1011" s="49"/>
      <c r="E1011" s="49"/>
      <c r="F1011" s="49"/>
      <c r="G1011" s="49"/>
      <c r="H1011" s="49"/>
      <c r="I1011" s="49"/>
      <c r="J1011" s="49"/>
      <c r="K1011" s="49"/>
      <c r="L1011" s="49"/>
      <c r="M1011" s="49"/>
      <c r="N1011" s="49"/>
      <c r="O1011" s="49"/>
      <c r="P1011" s="49"/>
      <c r="Q1011" s="49"/>
      <c r="R1011" s="49"/>
      <c r="S1011" s="49"/>
      <c r="T1011" s="49"/>
      <c r="U1011" s="49"/>
      <c r="V1011" s="49"/>
      <c r="W1011" s="49"/>
      <c r="X1011" s="49"/>
      <c r="Y1011" s="49"/>
      <c r="Z1011" s="49"/>
    </row>
    <row r="1012">
      <c r="A1012" s="49" t="str">
        <f>IFERROR(__xludf.DUMMYFUNCTION("""COMPUTED_VALUE"""),"Green Coral Gem")</f>
        <v>Green Coral Gem</v>
      </c>
      <c r="B1012" s="49" t="str">
        <f>IFERROR(__xludf.DUMMYFUNCTION("""COMPUTED_VALUE"""),"500 nature dmg or Resistance")</f>
        <v>500 nature dmg or Resistance</v>
      </c>
      <c r="C1012" s="49" t="str">
        <f>IFERROR(__xludf.DUMMYFUNCTION("""COMPUTED_VALUE"""),"Item")</f>
        <v>Item</v>
      </c>
      <c r="D1012" s="49"/>
      <c r="E1012" s="49"/>
      <c r="F1012" s="49"/>
      <c r="G1012" s="49"/>
      <c r="H1012" s="49"/>
      <c r="I1012" s="49"/>
      <c r="J1012" s="49"/>
      <c r="K1012" s="49"/>
      <c r="L1012" s="49"/>
      <c r="M1012" s="49"/>
      <c r="N1012" s="49"/>
      <c r="O1012" s="49"/>
      <c r="P1012" s="49"/>
      <c r="Q1012" s="49"/>
      <c r="R1012" s="49"/>
      <c r="S1012" s="49"/>
      <c r="T1012" s="49"/>
      <c r="U1012" s="49"/>
      <c r="V1012" s="49"/>
      <c r="W1012" s="49"/>
      <c r="X1012" s="49"/>
      <c r="Y1012" s="49"/>
      <c r="Z1012" s="49"/>
    </row>
    <row r="1013">
      <c r="A1013" s="49" t="str">
        <f>IFERROR(__xludf.DUMMYFUNCTION("""COMPUTED_VALUE"""),"White Coral Gem")</f>
        <v>White Coral Gem</v>
      </c>
      <c r="B1013" s="49" t="str">
        <f>IFERROR(__xludf.DUMMYFUNCTION("""COMPUTED_VALUE"""),"500 Spirit dmg or Resistance")</f>
        <v>500 Spirit dmg or Resistance</v>
      </c>
      <c r="C1013" s="49" t="str">
        <f>IFERROR(__xludf.DUMMYFUNCTION("""COMPUTED_VALUE"""),"Item")</f>
        <v>Item</v>
      </c>
      <c r="D1013" s="49"/>
      <c r="E1013" s="49"/>
      <c r="F1013" s="49"/>
      <c r="G1013" s="49"/>
      <c r="H1013" s="49"/>
      <c r="I1013" s="49"/>
      <c r="J1013" s="49"/>
      <c r="K1013" s="49"/>
      <c r="L1013" s="49"/>
      <c r="M1013" s="49"/>
      <c r="N1013" s="49"/>
      <c r="O1013" s="49"/>
      <c r="P1013" s="49"/>
      <c r="Q1013" s="49"/>
      <c r="R1013" s="49"/>
      <c r="S1013" s="49"/>
      <c r="T1013" s="49"/>
      <c r="U1013" s="49"/>
      <c r="V1013" s="49"/>
      <c r="W1013" s="49"/>
      <c r="X1013" s="49"/>
      <c r="Y1013" s="49"/>
      <c r="Z1013" s="49"/>
    </row>
    <row r="1014">
      <c r="A1014" s="49" t="str">
        <f>IFERROR(__xludf.DUMMYFUNCTION("""COMPUTED_VALUE"""),"Black Coral Gem")</f>
        <v>Black Coral Gem</v>
      </c>
      <c r="B1014" s="49" t="str">
        <f>IFERROR(__xludf.DUMMYFUNCTION("""COMPUTED_VALUE"""),"500 Dark dmg or Resistance")</f>
        <v>500 Dark dmg or Resistance</v>
      </c>
      <c r="C1014" s="49" t="str">
        <f>IFERROR(__xludf.DUMMYFUNCTION("""COMPUTED_VALUE"""),"Item")</f>
        <v>Item</v>
      </c>
      <c r="D1014" s="49"/>
      <c r="E1014" s="49"/>
      <c r="F1014" s="49"/>
      <c r="G1014" s="49"/>
      <c r="H1014" s="49"/>
      <c r="I1014" s="49"/>
      <c r="J1014" s="49"/>
      <c r="K1014" s="49"/>
      <c r="L1014" s="49"/>
      <c r="M1014" s="49"/>
      <c r="N1014" s="49"/>
      <c r="O1014" s="49"/>
      <c r="P1014" s="49"/>
      <c r="Q1014" s="49"/>
      <c r="R1014" s="49"/>
      <c r="S1014" s="49"/>
      <c r="T1014" s="49"/>
      <c r="U1014" s="49"/>
      <c r="V1014" s="49"/>
      <c r="W1014" s="49"/>
      <c r="X1014" s="49"/>
      <c r="Y1014" s="49"/>
      <c r="Z1014" s="49"/>
    </row>
    <row r="1015">
      <c r="A1015" s="49" t="str">
        <f>IFERROR(__xludf.DUMMYFUNCTION("""COMPUTED_VALUE"""),"Pink Coral Gem")</f>
        <v>Pink Coral Gem</v>
      </c>
      <c r="B1015" s="49" t="str">
        <f>IFERROR(__xludf.DUMMYFUNCTION("""COMPUTED_VALUE"""),"500 dmg or resistance")</f>
        <v>500 dmg or resistance</v>
      </c>
      <c r="C1015" s="49" t="str">
        <f>IFERROR(__xludf.DUMMYFUNCTION("""COMPUTED_VALUE"""),"Item")</f>
        <v>Item</v>
      </c>
      <c r="D1015" s="49"/>
      <c r="E1015" s="49"/>
      <c r="F1015" s="49"/>
      <c r="G1015" s="49"/>
      <c r="H1015" s="49"/>
      <c r="I1015" s="49"/>
      <c r="J1015" s="49"/>
      <c r="K1015" s="49"/>
      <c r="L1015" s="49"/>
      <c r="M1015" s="49"/>
      <c r="N1015" s="49"/>
      <c r="O1015" s="49"/>
      <c r="P1015" s="49"/>
      <c r="Q1015" s="49"/>
      <c r="R1015" s="49"/>
      <c r="S1015" s="49"/>
      <c r="T1015" s="49"/>
      <c r="U1015" s="49"/>
      <c r="V1015" s="49"/>
      <c r="W1015" s="49"/>
      <c r="X1015" s="49"/>
      <c r="Y1015" s="49"/>
      <c r="Z1015" s="49"/>
    </row>
    <row r="1016">
      <c r="A1016" s="49" t="str">
        <f>IFERROR(__xludf.DUMMYFUNCTION("""COMPUTED_VALUE"""),"Coral")</f>
        <v>Coral</v>
      </c>
      <c r="B1016" s="49" t="str">
        <f>IFERROR(__xludf.DUMMYFUNCTION("""COMPUTED_VALUE"""),"Crafting Material, roll a d20 to see how many you get if this is a loot drop.")</f>
        <v>Crafting Material, roll a d20 to see how many you get if this is a loot drop.</v>
      </c>
      <c r="C1016" s="49" t="str">
        <f>IFERROR(__xludf.DUMMYFUNCTION("""COMPUTED_VALUE"""),"Item")</f>
        <v>Item</v>
      </c>
      <c r="D1016" s="49"/>
      <c r="E1016" s="49"/>
      <c r="F1016" s="49"/>
      <c r="G1016" s="49"/>
      <c r="H1016" s="49"/>
      <c r="I1016" s="49"/>
      <c r="J1016" s="49"/>
      <c r="K1016" s="49"/>
      <c r="L1016" s="49"/>
      <c r="M1016" s="49"/>
      <c r="N1016" s="49"/>
      <c r="O1016" s="49"/>
      <c r="P1016" s="49"/>
      <c r="Q1016" s="49"/>
      <c r="R1016" s="49"/>
      <c r="S1016" s="49"/>
      <c r="T1016" s="49"/>
      <c r="U1016" s="49"/>
      <c r="V1016" s="49"/>
      <c r="W1016" s="49"/>
      <c r="X1016" s="49"/>
      <c r="Y1016" s="49"/>
      <c r="Z1016" s="49"/>
    </row>
    <row r="1017">
      <c r="A1017" s="49" t="str">
        <f>IFERROR(__xludf.DUMMYFUNCTION("""COMPUTED_VALUE"""),"Ivory")</f>
        <v>Ivory</v>
      </c>
      <c r="B1017" s="49" t="str">
        <f>IFERROR(__xludf.DUMMYFUNCTION("""COMPUTED_VALUE"""),"Crafting Material, roll a d20 to see how many you get if this is a loot drop.")</f>
        <v>Crafting Material, roll a d20 to see how many you get if this is a loot drop.</v>
      </c>
      <c r="C1017" s="49" t="str">
        <f>IFERROR(__xludf.DUMMYFUNCTION("""COMPUTED_VALUE"""),"Item")</f>
        <v>Item</v>
      </c>
      <c r="D1017" s="49"/>
      <c r="E1017" s="49"/>
      <c r="F1017" s="49"/>
      <c r="G1017" s="49"/>
      <c r="H1017" s="49"/>
      <c r="I1017" s="49"/>
      <c r="J1017" s="49"/>
      <c r="K1017" s="49"/>
      <c r="L1017" s="49"/>
      <c r="M1017" s="49"/>
      <c r="N1017" s="49"/>
      <c r="O1017" s="49"/>
      <c r="P1017" s="49"/>
      <c r="Q1017" s="49"/>
      <c r="R1017" s="49"/>
      <c r="S1017" s="49"/>
      <c r="T1017" s="49"/>
      <c r="U1017" s="49"/>
      <c r="V1017" s="49"/>
      <c r="W1017" s="49"/>
      <c r="X1017" s="49"/>
      <c r="Y1017" s="49"/>
      <c r="Z1017" s="49"/>
    </row>
    <row r="1018">
      <c r="A1018" s="49" t="str">
        <f>IFERROR(__xludf.DUMMYFUNCTION("""COMPUTED_VALUE"""),"Onyx")</f>
        <v>Onyx</v>
      </c>
      <c r="B1018" s="49" t="str">
        <f>IFERROR(__xludf.DUMMYFUNCTION("""COMPUTED_VALUE"""),"Crafting Material, roll a d20 to see how many you get if this is a loot drop.")</f>
        <v>Crafting Material, roll a d20 to see how many you get if this is a loot drop.</v>
      </c>
      <c r="C1018" s="49" t="str">
        <f>IFERROR(__xludf.DUMMYFUNCTION("""COMPUTED_VALUE"""),"Item")</f>
        <v>Item</v>
      </c>
      <c r="D1018" s="49"/>
      <c r="E1018" s="49"/>
      <c r="F1018" s="49"/>
      <c r="G1018" s="49"/>
      <c r="H1018" s="49"/>
      <c r="I1018" s="49"/>
      <c r="J1018" s="49"/>
      <c r="K1018" s="49"/>
      <c r="L1018" s="49"/>
      <c r="M1018" s="49"/>
      <c r="N1018" s="49"/>
      <c r="O1018" s="49"/>
      <c r="P1018" s="49"/>
      <c r="Q1018" s="49"/>
      <c r="R1018" s="49"/>
      <c r="S1018" s="49"/>
      <c r="T1018" s="49"/>
      <c r="U1018" s="49"/>
      <c r="V1018" s="49"/>
      <c r="W1018" s="49"/>
      <c r="X1018" s="49"/>
      <c r="Y1018" s="49"/>
      <c r="Z1018" s="49"/>
    </row>
    <row r="1019">
      <c r="A1019" s="49" t="str">
        <f>IFERROR(__xludf.DUMMYFUNCTION("""COMPUTED_VALUE"""),"Jade")</f>
        <v>Jade</v>
      </c>
      <c r="B1019" s="49" t="str">
        <f>IFERROR(__xludf.DUMMYFUNCTION("""COMPUTED_VALUE"""),"Crafting Material, roll a d20 to see how many you get if this is a loot drop.")</f>
        <v>Crafting Material, roll a d20 to see how many you get if this is a loot drop.</v>
      </c>
      <c r="C1019" s="49" t="str">
        <f>IFERROR(__xludf.DUMMYFUNCTION("""COMPUTED_VALUE"""),"Item")</f>
        <v>Item</v>
      </c>
      <c r="D1019" s="49"/>
      <c r="E1019" s="49"/>
      <c r="F1019" s="49"/>
      <c r="G1019" s="49"/>
      <c r="H1019" s="49"/>
      <c r="I1019" s="49"/>
      <c r="J1019" s="49"/>
      <c r="K1019" s="49"/>
      <c r="L1019" s="49"/>
      <c r="M1019" s="49"/>
      <c r="N1019" s="49"/>
      <c r="O1019" s="49"/>
      <c r="P1019" s="49"/>
      <c r="Q1019" s="49"/>
      <c r="R1019" s="49"/>
      <c r="S1019" s="49"/>
      <c r="T1019" s="49"/>
      <c r="U1019" s="49"/>
      <c r="V1019" s="49"/>
      <c r="W1019" s="49"/>
      <c r="X1019" s="49"/>
      <c r="Y1019" s="49"/>
      <c r="Z1019" s="49"/>
    </row>
    <row r="1020">
      <c r="A1020" s="49" t="str">
        <f>IFERROR(__xludf.DUMMYFUNCTION("""COMPUTED_VALUE"""),"Emerald")</f>
        <v>Emerald</v>
      </c>
      <c r="B1020" s="49" t="str">
        <f>IFERROR(__xludf.DUMMYFUNCTION("""COMPUTED_VALUE"""),"Crafting Material, roll a d20 to see how many you get if this is a loot drop.")</f>
        <v>Crafting Material, roll a d20 to see how many you get if this is a loot drop.</v>
      </c>
      <c r="C1020" s="49" t="str">
        <f>IFERROR(__xludf.DUMMYFUNCTION("""COMPUTED_VALUE"""),"Item")</f>
        <v>Item</v>
      </c>
      <c r="D1020" s="49"/>
      <c r="E1020" s="49"/>
      <c r="F1020" s="49"/>
      <c r="G1020" s="49"/>
      <c r="H1020" s="49"/>
      <c r="I1020" s="49"/>
      <c r="J1020" s="49"/>
      <c r="K1020" s="49"/>
      <c r="L1020" s="49"/>
      <c r="M1020" s="49"/>
      <c r="N1020" s="49"/>
      <c r="O1020" s="49"/>
      <c r="P1020" s="49"/>
      <c r="Q1020" s="49"/>
      <c r="R1020" s="49"/>
      <c r="S1020" s="49"/>
      <c r="T1020" s="49"/>
      <c r="U1020" s="49"/>
      <c r="V1020" s="49"/>
      <c r="W1020" s="49"/>
      <c r="X1020" s="49"/>
      <c r="Y1020" s="49"/>
      <c r="Z1020" s="49"/>
    </row>
    <row r="1021">
      <c r="A1021" s="49" t="str">
        <f>IFERROR(__xludf.DUMMYFUNCTION("""COMPUTED_VALUE"""),"Ruby")</f>
        <v>Ruby</v>
      </c>
      <c r="B1021" s="49" t="str">
        <f>IFERROR(__xludf.DUMMYFUNCTION("""COMPUTED_VALUE"""),"Crafting Material, roll a d20 to see how many you get if this is a loot drop.")</f>
        <v>Crafting Material, roll a d20 to see how many you get if this is a loot drop.</v>
      </c>
      <c r="C1021" s="49" t="str">
        <f>IFERROR(__xludf.DUMMYFUNCTION("""COMPUTED_VALUE"""),"Item")</f>
        <v>Item</v>
      </c>
      <c r="D1021" s="49"/>
      <c r="E1021" s="49"/>
      <c r="F1021" s="49"/>
      <c r="G1021" s="49"/>
      <c r="H1021" s="49"/>
      <c r="I1021" s="49"/>
      <c r="J1021" s="49"/>
      <c r="K1021" s="49"/>
      <c r="L1021" s="49"/>
      <c r="M1021" s="49"/>
      <c r="N1021" s="49"/>
      <c r="O1021" s="49"/>
      <c r="P1021" s="49"/>
      <c r="Q1021" s="49"/>
      <c r="R1021" s="49"/>
      <c r="S1021" s="49"/>
      <c r="T1021" s="49"/>
      <c r="U1021" s="49"/>
      <c r="V1021" s="49"/>
      <c r="W1021" s="49"/>
      <c r="X1021" s="49"/>
      <c r="Y1021" s="49"/>
      <c r="Z1021" s="49"/>
    </row>
    <row r="1022">
      <c r="A1022" s="49" t="str">
        <f>IFERROR(__xludf.DUMMYFUNCTION("""COMPUTED_VALUE"""),"Sapphire")</f>
        <v>Sapphire</v>
      </c>
      <c r="B1022" s="49" t="str">
        <f>IFERROR(__xludf.DUMMYFUNCTION("""COMPUTED_VALUE"""),"Crafting Material, roll a d20 to see how many you get if this is a loot drop.")</f>
        <v>Crafting Material, roll a d20 to see how many you get if this is a loot drop.</v>
      </c>
      <c r="C1022" s="49" t="str">
        <f>IFERROR(__xludf.DUMMYFUNCTION("""COMPUTED_VALUE"""),"Item")</f>
        <v>Item</v>
      </c>
      <c r="D1022" s="49"/>
      <c r="E1022" s="49"/>
      <c r="F1022" s="49"/>
      <c r="G1022" s="49"/>
      <c r="H1022" s="49"/>
      <c r="I1022" s="49"/>
      <c r="J1022" s="49"/>
      <c r="K1022" s="49"/>
      <c r="L1022" s="49"/>
      <c r="M1022" s="49"/>
      <c r="N1022" s="49"/>
      <c r="O1022" s="49"/>
      <c r="P1022" s="49"/>
      <c r="Q1022" s="49"/>
      <c r="R1022" s="49"/>
      <c r="S1022" s="49"/>
      <c r="T1022" s="49"/>
      <c r="U1022" s="49"/>
      <c r="V1022" s="49"/>
      <c r="W1022" s="49"/>
      <c r="X1022" s="49"/>
      <c r="Y1022" s="49"/>
      <c r="Z1022" s="49"/>
    </row>
    <row r="1023">
      <c r="A1023" s="49" t="str">
        <f>IFERROR(__xludf.DUMMYFUNCTION("""COMPUTED_VALUE"""),"Candy Corn")</f>
        <v>Candy Corn</v>
      </c>
      <c r="B1023" s="49" t="str">
        <f>IFERROR(__xludf.DUMMYFUNCTION("""COMPUTED_VALUE"""),"Gun ammunition. 5000 damage, +5000 fire damage.")</f>
        <v>Gun ammunition. 5000 damage, +5000 fire damage.</v>
      </c>
      <c r="C1023" s="49" t="str">
        <f>IFERROR(__xludf.DUMMYFUNCTION("""COMPUTED_VALUE"""),"Item")</f>
        <v>Item</v>
      </c>
      <c r="D1023" s="49"/>
      <c r="E1023" s="49"/>
      <c r="F1023" s="49"/>
      <c r="G1023" s="49"/>
      <c r="H1023" s="49"/>
      <c r="I1023" s="49"/>
      <c r="J1023" s="49"/>
      <c r="K1023" s="49"/>
      <c r="L1023" s="49"/>
      <c r="M1023" s="49"/>
      <c r="N1023" s="49"/>
      <c r="O1023" s="49"/>
      <c r="P1023" s="49"/>
      <c r="Q1023" s="49"/>
      <c r="R1023" s="49"/>
      <c r="S1023" s="49"/>
      <c r="T1023" s="49"/>
      <c r="U1023" s="49"/>
      <c r="V1023" s="49"/>
      <c r="W1023" s="49"/>
      <c r="X1023" s="49"/>
      <c r="Y1023" s="49"/>
      <c r="Z1023" s="49"/>
    </row>
    <row r="1024">
      <c r="A1024" s="49" t="str">
        <f>IFERROR(__xludf.DUMMYFUNCTION("""COMPUTED_VALUE"""),"Pumpkin Arrow")</f>
        <v>Pumpkin Arrow</v>
      </c>
      <c r="B1024" s="49" t="str">
        <f>IFERROR(__xludf.DUMMYFUNCTION("""COMPUTED_VALUE"""),"Bow Ammunition. +5000 fire damage. roll a d20 to see how many you get if this is a loot drop.")</f>
        <v>Bow Ammunition. +5000 fire damage. roll a d20 to see how many you get if this is a loot drop.</v>
      </c>
      <c r="C1024" s="49" t="str">
        <f>IFERROR(__xludf.DUMMYFUNCTION("""COMPUTED_VALUE"""),"Item")</f>
        <v>Item</v>
      </c>
      <c r="D1024" s="49"/>
      <c r="E1024" s="49"/>
      <c r="F1024" s="49"/>
      <c r="G1024" s="49"/>
      <c r="H1024" s="49"/>
      <c r="I1024" s="49"/>
      <c r="J1024" s="49"/>
      <c r="K1024" s="49"/>
      <c r="L1024" s="49"/>
      <c r="M1024" s="49"/>
      <c r="N1024" s="49"/>
      <c r="O1024" s="49"/>
      <c r="P1024" s="49"/>
      <c r="Q1024" s="49"/>
      <c r="R1024" s="49"/>
      <c r="S1024" s="49"/>
      <c r="T1024" s="49"/>
      <c r="U1024" s="49"/>
      <c r="V1024" s="49"/>
      <c r="W1024" s="49"/>
      <c r="X1024" s="49"/>
      <c r="Y1024" s="49"/>
      <c r="Z1024" s="49"/>
    </row>
    <row r="1025">
      <c r="A1025" s="49" t="str">
        <f>IFERROR(__xludf.DUMMYFUNCTION("""COMPUTED_VALUE"""),"Candy Corn Gem")</f>
        <v>Candy Corn Gem</v>
      </c>
      <c r="B1025" s="49" t="str">
        <f>IFERROR(__xludf.DUMMYFUNCTION("""COMPUTED_VALUE"""),"(Can be turned in for Halloween Coins Decided by the current DM / GM )")</f>
        <v>(Can be turned in for Halloween Coins Decided by the current DM / GM )</v>
      </c>
      <c r="C1025" s="49" t="str">
        <f>IFERROR(__xludf.DUMMYFUNCTION("""COMPUTED_VALUE"""),"Item")</f>
        <v>Item</v>
      </c>
      <c r="D1025" s="49"/>
      <c r="E1025" s="49"/>
      <c r="F1025" s="49"/>
      <c r="G1025" s="49"/>
      <c r="H1025" s="49"/>
      <c r="I1025" s="49"/>
      <c r="J1025" s="49"/>
      <c r="K1025" s="49"/>
      <c r="L1025" s="49"/>
      <c r="M1025" s="49"/>
      <c r="N1025" s="49"/>
      <c r="O1025" s="49"/>
      <c r="P1025" s="49"/>
      <c r="Q1025" s="49"/>
      <c r="R1025" s="49"/>
      <c r="S1025" s="49"/>
      <c r="T1025" s="49"/>
      <c r="U1025" s="49"/>
      <c r="V1025" s="49"/>
      <c r="W1025" s="49"/>
      <c r="X1025" s="49"/>
      <c r="Y1025" s="49"/>
      <c r="Z1025" s="49"/>
    </row>
    <row r="1026">
      <c r="A1026" s="49" t="str">
        <f>IFERROR(__xludf.DUMMYFUNCTION("""COMPUTED_VALUE"""),"Steel Arrow")</f>
        <v>Steel Arrow</v>
      </c>
      <c r="B1026" s="49" t="str">
        <f>IFERROR(__xludf.DUMMYFUNCTION("""COMPUTED_VALUE"""),"Bow Ammunition. +100 damage. roll a d20 to see how many you get if this is a loot drop.")</f>
        <v>Bow Ammunition. +100 damage. roll a d20 to see how many you get if this is a loot drop.</v>
      </c>
      <c r="C1026" s="49" t="str">
        <f>IFERROR(__xludf.DUMMYFUNCTION("""COMPUTED_VALUE"""),"Item")</f>
        <v>Item</v>
      </c>
      <c r="D1026" s="49"/>
      <c r="E1026" s="49"/>
      <c r="F1026" s="49"/>
      <c r="G1026" s="49"/>
      <c r="H1026" s="49"/>
      <c r="I1026" s="49"/>
      <c r="J1026" s="49"/>
      <c r="K1026" s="49"/>
      <c r="L1026" s="49"/>
      <c r="M1026" s="49"/>
      <c r="N1026" s="49"/>
      <c r="O1026" s="49"/>
      <c r="P1026" s="49"/>
      <c r="Q1026" s="49"/>
      <c r="R1026" s="49"/>
      <c r="S1026" s="49"/>
      <c r="T1026" s="49"/>
      <c r="U1026" s="49"/>
      <c r="V1026" s="49"/>
      <c r="W1026" s="49"/>
      <c r="X1026" s="49"/>
      <c r="Y1026" s="49"/>
      <c r="Z1026" s="49"/>
    </row>
    <row r="1027">
      <c r="A1027" s="49" t="str">
        <f>IFERROR(__xludf.DUMMYFUNCTION("""COMPUTED_VALUE"""),"Bone Key")</f>
        <v>Bone Key</v>
      </c>
      <c r="B1027" s="49" t="str">
        <f>IFERROR(__xludf.DUMMYFUNCTION("""COMPUTED_VALUE"""),"Opens bone chest")</f>
        <v>Opens bone chest</v>
      </c>
      <c r="C1027" s="49" t="str">
        <f>IFERROR(__xludf.DUMMYFUNCTION("""COMPUTED_VALUE"""),"Item")</f>
        <v>Item</v>
      </c>
      <c r="D1027" s="49"/>
      <c r="E1027" s="49"/>
      <c r="F1027" s="49"/>
      <c r="G1027" s="49"/>
      <c r="H1027" s="49"/>
      <c r="I1027" s="49"/>
      <c r="J1027" s="49"/>
      <c r="K1027" s="49"/>
      <c r="L1027" s="49"/>
      <c r="M1027" s="49"/>
      <c r="N1027" s="49"/>
      <c r="O1027" s="49"/>
      <c r="P1027" s="49"/>
      <c r="Q1027" s="49"/>
      <c r="R1027" s="49"/>
      <c r="S1027" s="49"/>
      <c r="T1027" s="49"/>
      <c r="U1027" s="49"/>
      <c r="V1027" s="49"/>
      <c r="W1027" s="49"/>
      <c r="X1027" s="49"/>
      <c r="Y1027" s="49"/>
      <c r="Z1027" s="49"/>
    </row>
    <row r="1028">
      <c r="A1028" s="49" t="str">
        <f>IFERROR(__xludf.DUMMYFUNCTION("""COMPUTED_VALUE"""),"Bone")</f>
        <v>Bone</v>
      </c>
      <c r="B1028" s="49" t="str">
        <f>IFERROR(__xludf.DUMMYFUNCTION("""COMPUTED_VALUE"""),"Crafting Material, roll a d20 to see how many you get if this is a loot drop.")</f>
        <v>Crafting Material, roll a d20 to see how many you get if this is a loot drop.</v>
      </c>
      <c r="C1028" s="49" t="str">
        <f>IFERROR(__xludf.DUMMYFUNCTION("""COMPUTED_VALUE"""),"Item")</f>
        <v>Item</v>
      </c>
      <c r="D1028" s="49"/>
      <c r="E1028" s="49"/>
      <c r="F1028" s="49"/>
      <c r="G1028" s="49"/>
      <c r="H1028" s="49"/>
      <c r="I1028" s="49"/>
      <c r="J1028" s="49"/>
      <c r="K1028" s="49"/>
      <c r="L1028" s="49"/>
      <c r="M1028" s="49"/>
      <c r="N1028" s="49"/>
      <c r="O1028" s="49"/>
      <c r="P1028" s="49"/>
      <c r="Q1028" s="49"/>
      <c r="R1028" s="49"/>
      <c r="S1028" s="49"/>
      <c r="T1028" s="49"/>
      <c r="U1028" s="49"/>
      <c r="V1028" s="49"/>
      <c r="W1028" s="49"/>
      <c r="X1028" s="49"/>
      <c r="Y1028" s="49"/>
      <c r="Z1028" s="49"/>
    </row>
    <row r="1029">
      <c r="A1029" s="49" t="str">
        <f>IFERROR(__xludf.DUMMYFUNCTION("""COMPUTED_VALUE"""),"Bone Chest")</f>
        <v>Bone Chest</v>
      </c>
      <c r="B1029" s="49" t="str">
        <f>IFERROR(__xludf.DUMMYFUNCTION("""COMPUTED_VALUE"""),"Determine the tier by a d10 roll.")</f>
        <v>Determine the tier by a d10 roll.</v>
      </c>
      <c r="C1029" s="49" t="str">
        <f>IFERROR(__xludf.DUMMYFUNCTION("""COMPUTED_VALUE"""),"Item")</f>
        <v>Item</v>
      </c>
      <c r="D1029" s="49"/>
      <c r="E1029" s="49"/>
      <c r="F1029" s="49"/>
      <c r="G1029" s="49"/>
      <c r="H1029" s="49"/>
      <c r="I1029" s="49"/>
      <c r="J1029" s="49"/>
      <c r="K1029" s="49"/>
      <c r="L1029" s="49"/>
      <c r="M1029" s="49"/>
      <c r="N1029" s="49"/>
      <c r="O1029" s="49"/>
      <c r="P1029" s="49"/>
      <c r="Q1029" s="49"/>
      <c r="R1029" s="49"/>
      <c r="S1029" s="49"/>
      <c r="T1029" s="49"/>
      <c r="U1029" s="49"/>
      <c r="V1029" s="49"/>
      <c r="W1029" s="49"/>
      <c r="X1029" s="49"/>
      <c r="Y1029" s="49"/>
      <c r="Z1029" s="49"/>
    </row>
    <row r="1030">
      <c r="A1030" s="49" t="str">
        <f>IFERROR(__xludf.DUMMYFUNCTION("""COMPUTED_VALUE"""),"Viking Key")</f>
        <v>Viking Key</v>
      </c>
      <c r="B1030" s="49" t="str">
        <f>IFERROR(__xludf.DUMMYFUNCTION("""COMPUTED_VALUE"""),"Opens the Viking Chest")</f>
        <v>Opens the Viking Chest</v>
      </c>
      <c r="C1030" s="49" t="str">
        <f>IFERROR(__xludf.DUMMYFUNCTION("""COMPUTED_VALUE"""),"Item")</f>
        <v>Item</v>
      </c>
      <c r="D1030" s="49"/>
      <c r="E1030" s="49"/>
      <c r="F1030" s="49"/>
      <c r="G1030" s="49"/>
      <c r="H1030" s="49"/>
      <c r="I1030" s="49"/>
      <c r="J1030" s="49"/>
      <c r="K1030" s="49"/>
      <c r="L1030" s="49"/>
      <c r="M1030" s="49"/>
      <c r="N1030" s="49"/>
      <c r="O1030" s="49"/>
      <c r="P1030" s="49"/>
      <c r="Q1030" s="49"/>
      <c r="R1030" s="49"/>
      <c r="S1030" s="49"/>
      <c r="T1030" s="49"/>
      <c r="U1030" s="49"/>
      <c r="V1030" s="49"/>
      <c r="W1030" s="49"/>
      <c r="X1030" s="49"/>
      <c r="Y1030" s="49"/>
      <c r="Z1030" s="49"/>
    </row>
    <row r="1031">
      <c r="A1031" s="49" t="str">
        <f>IFERROR(__xludf.DUMMYFUNCTION("""COMPUTED_VALUE"""),"Viking Chest")</f>
        <v>Viking Chest</v>
      </c>
      <c r="B1031" s="49" t="str">
        <f>IFERROR(__xludf.DUMMYFUNCTION("""COMPUTED_VALUE"""),"Determine the tier by a d10 roll.")</f>
        <v>Determine the tier by a d10 roll.</v>
      </c>
      <c r="C1031" s="49" t="str">
        <f>IFERROR(__xludf.DUMMYFUNCTION("""COMPUTED_VALUE"""),"Item")</f>
        <v>Item</v>
      </c>
      <c r="D1031" s="49"/>
      <c r="E1031" s="49"/>
      <c r="F1031" s="49"/>
      <c r="G1031" s="49"/>
      <c r="H1031" s="49"/>
      <c r="I1031" s="49"/>
      <c r="J1031" s="49"/>
      <c r="K1031" s="49"/>
      <c r="L1031" s="49"/>
      <c r="M1031" s="49"/>
      <c r="N1031" s="49"/>
      <c r="O1031" s="49"/>
      <c r="P1031" s="49"/>
      <c r="Q1031" s="49"/>
      <c r="R1031" s="49"/>
      <c r="S1031" s="49"/>
      <c r="T1031" s="49"/>
      <c r="U1031" s="49"/>
      <c r="V1031" s="49"/>
      <c r="W1031" s="49"/>
      <c r="X1031" s="49"/>
      <c r="Y1031" s="49"/>
      <c r="Z1031" s="49"/>
    </row>
    <row r="1032">
      <c r="A1032" s="49" t="str">
        <f>IFERROR(__xludf.DUMMYFUNCTION("""COMPUTED_VALUE"""),"Vikings Cove Key")</f>
        <v>Vikings Cove Key</v>
      </c>
      <c r="B1032" s="49" t="str">
        <f>IFERROR(__xludf.DUMMYFUNCTION("""COMPUTED_VALUE"""),"Gain access to Vikings Cove")</f>
        <v>Gain access to Vikings Cove</v>
      </c>
      <c r="C1032" s="49" t="str">
        <f>IFERROR(__xludf.DUMMYFUNCTION("""COMPUTED_VALUE"""),"Item")</f>
        <v>Item</v>
      </c>
      <c r="D1032" s="49"/>
      <c r="E1032" s="49"/>
      <c r="F1032" s="49"/>
      <c r="G1032" s="49"/>
      <c r="H1032" s="49"/>
      <c r="I1032" s="49"/>
      <c r="J1032" s="49"/>
      <c r="K1032" s="49"/>
      <c r="L1032" s="49"/>
      <c r="M1032" s="49"/>
      <c r="N1032" s="49"/>
      <c r="O1032" s="49"/>
      <c r="P1032" s="49"/>
      <c r="Q1032" s="49"/>
      <c r="R1032" s="49"/>
      <c r="S1032" s="49"/>
      <c r="T1032" s="49"/>
      <c r="U1032" s="49"/>
      <c r="V1032" s="49"/>
      <c r="W1032" s="49"/>
      <c r="X1032" s="49"/>
      <c r="Y1032" s="49"/>
      <c r="Z1032" s="49"/>
    </row>
    <row r="1033">
      <c r="A1033" s="49" t="str">
        <f>IFERROR(__xludf.DUMMYFUNCTION("""COMPUTED_VALUE"""),"Baboon meat")</f>
        <v>Baboon meat</v>
      </c>
      <c r="B1033" s="49" t="str">
        <f>IFERROR(__xludf.DUMMYFUNCTION("""COMPUTED_VALUE""")," +2 hunger")</f>
        <v> +2 hunger</v>
      </c>
      <c r="C1033" s="49" t="str">
        <f>IFERROR(__xludf.DUMMYFUNCTION("""COMPUTED_VALUE"""),"Crop")</f>
        <v>Crop</v>
      </c>
      <c r="D1033" s="49"/>
      <c r="E1033" s="49"/>
      <c r="F1033" s="49"/>
      <c r="G1033" s="49"/>
      <c r="H1033" s="49"/>
      <c r="I1033" s="49"/>
      <c r="J1033" s="49"/>
      <c r="K1033" s="49"/>
      <c r="L1033" s="49"/>
      <c r="M1033" s="49"/>
      <c r="N1033" s="49"/>
      <c r="O1033" s="49"/>
      <c r="P1033" s="49"/>
      <c r="Q1033" s="49"/>
      <c r="R1033" s="49"/>
      <c r="S1033" s="49"/>
      <c r="T1033" s="49"/>
      <c r="U1033" s="49"/>
      <c r="V1033" s="49"/>
      <c r="W1033" s="49"/>
      <c r="X1033" s="49"/>
      <c r="Y1033" s="49"/>
      <c r="Z1033" s="49"/>
    </row>
    <row r="1034">
      <c r="A1034" s="49" t="str">
        <f>IFERROR(__xludf.DUMMYFUNCTION("""COMPUTED_VALUE"""),"Eagle Feathers")</f>
        <v>Eagle Feathers</v>
      </c>
      <c r="B1034" s="49" t="str">
        <f>IFERROR(__xludf.DUMMYFUNCTION("""COMPUTED_VALUE"""),"Crafting Material, roll a d20 to see how many you get if this is a loot drop.")</f>
        <v>Crafting Material, roll a d20 to see how many you get if this is a loot drop.</v>
      </c>
      <c r="C1034" s="49" t="str">
        <f>IFERROR(__xludf.DUMMYFUNCTION("""COMPUTED_VALUE"""),"Item")</f>
        <v>Item</v>
      </c>
      <c r="D1034" s="49"/>
      <c r="E1034" s="49"/>
      <c r="F1034" s="49"/>
      <c r="G1034" s="49"/>
      <c r="H1034" s="49"/>
      <c r="I1034" s="49"/>
      <c r="J1034" s="49"/>
      <c r="K1034" s="49"/>
      <c r="L1034" s="49"/>
      <c r="M1034" s="49"/>
      <c r="N1034" s="49"/>
      <c r="O1034" s="49"/>
      <c r="P1034" s="49"/>
      <c r="Q1034" s="49"/>
      <c r="R1034" s="49"/>
      <c r="S1034" s="49"/>
      <c r="T1034" s="49"/>
      <c r="U1034" s="49"/>
      <c r="V1034" s="49"/>
      <c r="W1034" s="49"/>
      <c r="X1034" s="49"/>
      <c r="Y1034" s="49"/>
      <c r="Z1034" s="49"/>
    </row>
    <row r="1035">
      <c r="A1035" s="49" t="str">
        <f>IFERROR(__xludf.DUMMYFUNCTION("""COMPUTED_VALUE"""),"The Cycle")</f>
        <v>The Cycle</v>
      </c>
      <c r="B1035" s="49"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035" s="49" t="str">
        <f>IFERROR(__xludf.DUMMYFUNCTION("""COMPUTED_VALUE"""),"Item")</f>
        <v>Item</v>
      </c>
      <c r="D1035" s="49"/>
      <c r="E1035" s="49"/>
      <c r="F1035" s="49"/>
      <c r="G1035" s="49"/>
      <c r="H1035" s="49"/>
      <c r="I1035" s="49"/>
      <c r="J1035" s="49"/>
      <c r="K1035" s="49"/>
      <c r="L1035" s="49"/>
      <c r="M1035" s="49"/>
      <c r="N1035" s="49"/>
      <c r="O1035" s="49"/>
      <c r="P1035" s="49"/>
      <c r="Q1035" s="49"/>
      <c r="R1035" s="49"/>
      <c r="S1035" s="49"/>
      <c r="T1035" s="49"/>
      <c r="U1035" s="49"/>
      <c r="V1035" s="49"/>
      <c r="W1035" s="49"/>
      <c r="X1035" s="49"/>
      <c r="Y1035" s="49"/>
      <c r="Z1035" s="49"/>
    </row>
    <row r="1036">
      <c r="A1036" s="49" t="str">
        <f>IFERROR(__xludf.DUMMYFUNCTION("""COMPUTED_VALUE"""),"Scale")</f>
        <v>Scale</v>
      </c>
      <c r="B1036" s="49" t="str">
        <f>IFERROR(__xludf.DUMMYFUNCTION("""COMPUTED_VALUE"""),"can be added to armor to give it +1 Earth resistance, once added to armor it can’t be removed")</f>
        <v>can be added to armor to give it +1 Earth resistance, once added to armor it can’t be removed</v>
      </c>
      <c r="C1036" s="49" t="str">
        <f>IFERROR(__xludf.DUMMYFUNCTION("""COMPUTED_VALUE"""),"Item")</f>
        <v>Item</v>
      </c>
      <c r="D1036" s="49"/>
      <c r="E1036" s="49"/>
      <c r="F1036" s="49"/>
      <c r="G1036" s="49"/>
      <c r="H1036" s="49"/>
      <c r="I1036" s="49"/>
      <c r="J1036" s="49"/>
      <c r="K1036" s="49"/>
      <c r="L1036" s="49"/>
      <c r="M1036" s="49"/>
      <c r="N1036" s="49"/>
      <c r="O1036" s="49"/>
      <c r="P1036" s="49"/>
      <c r="Q1036" s="49"/>
      <c r="R1036" s="49"/>
      <c r="S1036" s="49"/>
      <c r="T1036" s="49"/>
      <c r="U1036" s="49"/>
      <c r="V1036" s="49"/>
      <c r="W1036" s="49"/>
      <c r="X1036" s="49"/>
      <c r="Y1036" s="49"/>
      <c r="Z1036" s="49"/>
    </row>
    <row r="1037">
      <c r="A1037" s="49" t="str">
        <f>IFERROR(__xludf.DUMMYFUNCTION("""COMPUTED_VALUE"""),"Egg")</f>
        <v>Egg</v>
      </c>
      <c r="B1037" s="49" t="str">
        <f>IFERROR(__xludf.DUMMYFUNCTION("""COMPUTED_VALUE"""),"Will hatch in X/X days.")</f>
        <v>Will hatch in X/X days.</v>
      </c>
      <c r="C1037" s="49" t="str">
        <f>IFERROR(__xludf.DUMMYFUNCTION("""COMPUTED_VALUE"""),"Item")</f>
        <v>Item</v>
      </c>
      <c r="D1037" s="49"/>
      <c r="E1037" s="49"/>
      <c r="F1037" s="49"/>
      <c r="G1037" s="49"/>
      <c r="H1037" s="49"/>
      <c r="I1037" s="49"/>
      <c r="J1037" s="49"/>
      <c r="K1037" s="49"/>
      <c r="L1037" s="49"/>
      <c r="M1037" s="49"/>
      <c r="N1037" s="49"/>
      <c r="O1037" s="49"/>
      <c r="P1037" s="49"/>
      <c r="Q1037" s="49"/>
      <c r="R1037" s="49"/>
      <c r="S1037" s="49"/>
      <c r="T1037" s="49"/>
      <c r="U1037" s="49"/>
      <c r="V1037" s="49"/>
      <c r="W1037" s="49"/>
      <c r="X1037" s="49"/>
      <c r="Y1037" s="49"/>
      <c r="Z1037" s="49"/>
    </row>
    <row r="1038">
      <c r="A1038" s="49" t="str">
        <f>IFERROR(__xludf.DUMMYFUNCTION("""COMPUTED_VALUE"""),"Soul")</f>
        <v>Soul</v>
      </c>
      <c r="B1038" s="49"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038" s="49" t="str">
        <f>IFERROR(__xludf.DUMMYFUNCTION("""COMPUTED_VALUE"""),"Item")</f>
        <v>Item</v>
      </c>
      <c r="D1038" s="49"/>
      <c r="E1038" s="49"/>
      <c r="F1038" s="49"/>
      <c r="G1038" s="49"/>
      <c r="H1038" s="49"/>
      <c r="I1038" s="49"/>
      <c r="J1038" s="49"/>
      <c r="K1038" s="49"/>
      <c r="L1038" s="49"/>
      <c r="M1038" s="49"/>
      <c r="N1038" s="49"/>
      <c r="O1038" s="49"/>
      <c r="P1038" s="49"/>
      <c r="Q1038" s="49"/>
      <c r="R1038" s="49"/>
      <c r="S1038" s="49"/>
      <c r="T1038" s="49"/>
      <c r="U1038" s="49"/>
      <c r="V1038" s="49"/>
      <c r="W1038" s="49"/>
      <c r="X1038" s="49"/>
      <c r="Y1038" s="49"/>
      <c r="Z1038" s="49"/>
    </row>
    <row r="1039">
      <c r="A1039" s="49" t="str">
        <f>IFERROR(__xludf.DUMMYFUNCTION("""COMPUTED_VALUE"""),"Crystal")</f>
        <v>Crystal</v>
      </c>
      <c r="B1039" s="49" t="str">
        <f>IFERROR(__xludf.DUMMYFUNCTION("""COMPUTED_VALUE"""),"Crafting Material, roll a d20 to see how many you get if this is a loot drop.")</f>
        <v>Crafting Material, roll a d20 to see how many you get if this is a loot drop.</v>
      </c>
      <c r="C1039" s="49" t="str">
        <f>IFERROR(__xludf.DUMMYFUNCTION("""COMPUTED_VALUE"""),"Item")</f>
        <v>Item</v>
      </c>
      <c r="D1039" s="49"/>
      <c r="E1039" s="49"/>
      <c r="F1039" s="49"/>
      <c r="G1039" s="49"/>
      <c r="H1039" s="49"/>
      <c r="I1039" s="49"/>
      <c r="J1039" s="49"/>
      <c r="K1039" s="49"/>
      <c r="L1039" s="49"/>
      <c r="M1039" s="49"/>
      <c r="N1039" s="49"/>
      <c r="O1039" s="49"/>
      <c r="P1039" s="49"/>
      <c r="Q1039" s="49"/>
      <c r="R1039" s="49"/>
      <c r="S1039" s="49"/>
      <c r="T1039" s="49"/>
      <c r="U1039" s="49"/>
      <c r="V1039" s="49"/>
      <c r="W1039" s="49"/>
      <c r="X1039" s="49"/>
      <c r="Y1039" s="49"/>
      <c r="Z1039" s="49"/>
    </row>
    <row r="1040">
      <c r="A1040" s="49" t="str">
        <f>IFERROR(__xludf.DUMMYFUNCTION("""COMPUTED_VALUE"""),"Delta Gems")</f>
        <v>Delta Gems</v>
      </c>
      <c r="B1040" s="49" t="str">
        <f>IFERROR(__xludf.DUMMYFUNCTION("""COMPUTED_VALUE"""),"Crafting Material, roll a d20 to see how many you get if this is a loot drop.")</f>
        <v>Crafting Material, roll a d20 to see how many you get if this is a loot drop.</v>
      </c>
      <c r="C1040" s="49" t="str">
        <f>IFERROR(__xludf.DUMMYFUNCTION("""COMPUTED_VALUE"""),"Item")</f>
        <v>Item</v>
      </c>
      <c r="D1040" s="49"/>
      <c r="E1040" s="49"/>
      <c r="F1040" s="49"/>
      <c r="G1040" s="49"/>
      <c r="H1040" s="49"/>
      <c r="I1040" s="49"/>
      <c r="J1040" s="49"/>
      <c r="K1040" s="49"/>
      <c r="L1040" s="49"/>
      <c r="M1040" s="49"/>
      <c r="N1040" s="49"/>
      <c r="O1040" s="49"/>
      <c r="P1040" s="49"/>
      <c r="Q1040" s="49"/>
      <c r="R1040" s="49"/>
      <c r="S1040" s="49"/>
      <c r="T1040" s="49"/>
      <c r="U1040" s="49"/>
      <c r="V1040" s="49"/>
      <c r="W1040" s="49"/>
      <c r="X1040" s="49"/>
      <c r="Y1040" s="49"/>
      <c r="Z1040" s="49"/>
    </row>
    <row r="1041">
      <c r="A1041" s="49" t="str">
        <f>IFERROR(__xludf.DUMMYFUNCTION("""COMPUTED_VALUE"""),"Fire Diamonds")</f>
        <v>Fire Diamonds</v>
      </c>
      <c r="B1041" s="49" t="str">
        <f>IFERROR(__xludf.DUMMYFUNCTION("""COMPUTED_VALUE"""),"Crafting Material, roll a d20 to see how many you get if this is a loot drop.")</f>
        <v>Crafting Material, roll a d20 to see how many you get if this is a loot drop.</v>
      </c>
      <c r="C1041" s="49" t="str">
        <f>IFERROR(__xludf.DUMMYFUNCTION("""COMPUTED_VALUE"""),"Item")</f>
        <v>Item</v>
      </c>
      <c r="D1041" s="49"/>
      <c r="E1041" s="49"/>
      <c r="F1041" s="49"/>
      <c r="G1041" s="49"/>
      <c r="H1041" s="49"/>
      <c r="I1041" s="49"/>
      <c r="J1041" s="49"/>
      <c r="K1041" s="49"/>
      <c r="L1041" s="49"/>
      <c r="M1041" s="49"/>
      <c r="N1041" s="49"/>
      <c r="O1041" s="49"/>
      <c r="P1041" s="49"/>
      <c r="Q1041" s="49"/>
      <c r="R1041" s="49"/>
      <c r="S1041" s="49"/>
      <c r="T1041" s="49"/>
      <c r="U1041" s="49"/>
      <c r="V1041" s="49"/>
      <c r="W1041" s="49"/>
      <c r="X1041" s="49"/>
      <c r="Y1041" s="49"/>
      <c r="Z1041" s="49"/>
    </row>
    <row r="1042">
      <c r="A1042" s="49" t="str">
        <f>IFERROR(__xludf.DUMMYFUNCTION("""COMPUTED_VALUE"""),"plant containing the ‘instant death status effect’")</f>
        <v>plant containing the ‘instant death status effect’</v>
      </c>
      <c r="B1042" s="49" t="str">
        <f>IFERROR(__xludf.DUMMYFUNCTION("""COMPUTED_VALUE"""),"Quest item")</f>
        <v>Quest item</v>
      </c>
      <c r="C1042" s="49" t="str">
        <f>IFERROR(__xludf.DUMMYFUNCTION("""COMPUTED_VALUE"""),"Item")</f>
        <v>Item</v>
      </c>
      <c r="D1042" s="49"/>
      <c r="E1042" s="49"/>
      <c r="F1042" s="49"/>
      <c r="G1042" s="49"/>
      <c r="H1042" s="49"/>
      <c r="I1042" s="49"/>
      <c r="J1042" s="49"/>
      <c r="K1042" s="49"/>
      <c r="L1042" s="49"/>
      <c r="M1042" s="49"/>
      <c r="N1042" s="49"/>
      <c r="O1042" s="49"/>
      <c r="P1042" s="49"/>
      <c r="Q1042" s="49"/>
      <c r="R1042" s="49"/>
      <c r="S1042" s="49"/>
      <c r="T1042" s="49"/>
      <c r="U1042" s="49"/>
      <c r="V1042" s="49"/>
      <c r="W1042" s="49"/>
      <c r="X1042" s="49"/>
      <c r="Y1042" s="49"/>
      <c r="Z1042" s="49"/>
    </row>
    <row r="1043">
      <c r="A1043" s="49" t="str">
        <f>IFERROR(__xludf.DUMMYFUNCTION("""COMPUTED_VALUE"""),"Potion of Cure Curse")</f>
        <v>Potion of Cure Curse</v>
      </c>
      <c r="B1043" s="49" t="str">
        <f>IFERROR(__xludf.DUMMYFUNCTION("""COMPUTED_VALUE"""),"Curse Antidote")</f>
        <v>Curse Antidote</v>
      </c>
      <c r="C1043" s="49" t="str">
        <f>IFERROR(__xludf.DUMMYFUNCTION("""COMPUTED_VALUE"""),"Item")</f>
        <v>Item</v>
      </c>
      <c r="D1043" s="49"/>
      <c r="E1043" s="49"/>
      <c r="F1043" s="49"/>
      <c r="G1043" s="49"/>
      <c r="H1043" s="49"/>
      <c r="I1043" s="49"/>
      <c r="J1043" s="49"/>
      <c r="K1043" s="49"/>
      <c r="L1043" s="49"/>
      <c r="M1043" s="49"/>
      <c r="N1043" s="49"/>
      <c r="O1043" s="49"/>
      <c r="P1043" s="49"/>
      <c r="Q1043" s="49"/>
      <c r="R1043" s="49"/>
      <c r="S1043" s="49"/>
      <c r="T1043" s="49"/>
      <c r="U1043" s="49"/>
      <c r="V1043" s="49"/>
      <c r="W1043" s="49"/>
      <c r="X1043" s="49"/>
      <c r="Y1043" s="49"/>
      <c r="Z1043" s="49"/>
    </row>
    <row r="1044">
      <c r="A1044" s="49" t="str">
        <f>IFERROR(__xludf.DUMMYFUNCTION("""COMPUTED_VALUE"""),"Glowing Blue Jelly")</f>
        <v>Glowing Blue Jelly</v>
      </c>
      <c r="B1044" s="49" t="str">
        <f>IFERROR(__xludf.DUMMYFUNCTION("""COMPUTED_VALUE"""),"Crafting Material, roll a d20 to see how many you get if this is a loot drop.")</f>
        <v>Crafting Material, roll a d20 to see how many you get if this is a loot drop.</v>
      </c>
      <c r="C1044" s="49" t="str">
        <f>IFERROR(__xludf.DUMMYFUNCTION("""COMPUTED_VALUE"""),"Item")</f>
        <v>Item</v>
      </c>
      <c r="D1044" s="49"/>
      <c r="E1044" s="49"/>
      <c r="F1044" s="49"/>
      <c r="G1044" s="49"/>
      <c r="H1044" s="49"/>
      <c r="I1044" s="49"/>
      <c r="J1044" s="49"/>
      <c r="K1044" s="49"/>
      <c r="L1044" s="49"/>
      <c r="M1044" s="49"/>
      <c r="N1044" s="49"/>
      <c r="O1044" s="49"/>
      <c r="P1044" s="49"/>
      <c r="Q1044" s="49"/>
      <c r="R1044" s="49"/>
      <c r="S1044" s="49"/>
      <c r="T1044" s="49"/>
      <c r="U1044" s="49"/>
      <c r="V1044" s="49"/>
      <c r="W1044" s="49"/>
      <c r="X1044" s="49"/>
      <c r="Y1044" s="49"/>
      <c r="Z1044" s="49"/>
    </row>
    <row r="1045">
      <c r="A1045" s="49" t="str">
        <f>IFERROR(__xludf.DUMMYFUNCTION("""COMPUTED_VALUE"""),"Feather")</f>
        <v>Feather</v>
      </c>
      <c r="B1045" s="49" t="str">
        <f>IFERROR(__xludf.DUMMYFUNCTION("""COMPUTED_VALUE"""),"Crafting Material, roll a d20 to see how many you get if this is a loot drop.")</f>
        <v>Crafting Material, roll a d20 to see how many you get if this is a loot drop.</v>
      </c>
      <c r="C1045" s="49" t="str">
        <f>IFERROR(__xludf.DUMMYFUNCTION("""COMPUTED_VALUE"""),"Item")</f>
        <v>Item</v>
      </c>
      <c r="D1045" s="49"/>
      <c r="E1045" s="49"/>
      <c r="F1045" s="49"/>
      <c r="G1045" s="49"/>
      <c r="H1045" s="49"/>
      <c r="I1045" s="49"/>
      <c r="J1045" s="49"/>
      <c r="K1045" s="49"/>
      <c r="L1045" s="49"/>
      <c r="M1045" s="49"/>
      <c r="N1045" s="49"/>
      <c r="O1045" s="49"/>
      <c r="P1045" s="49"/>
      <c r="Q1045" s="49"/>
      <c r="R1045" s="49"/>
      <c r="S1045" s="49"/>
      <c r="T1045" s="49"/>
      <c r="U1045" s="49"/>
      <c r="V1045" s="49"/>
      <c r="W1045" s="49"/>
      <c r="X1045" s="49"/>
      <c r="Y1045" s="49"/>
      <c r="Z1045" s="49"/>
    </row>
    <row r="1046">
      <c r="A1046" s="49" t="str">
        <f>IFERROR(__xludf.DUMMYFUNCTION("""COMPUTED_VALUE"""),"Talon")</f>
        <v>Talon</v>
      </c>
      <c r="B1046" s="49" t="str">
        <f>IFERROR(__xludf.DUMMYFUNCTION("""COMPUTED_VALUE"""),"Crafting Material, roll a d20 to see how many you get if this is a loot drop.")</f>
        <v>Crafting Material, roll a d20 to see how many you get if this is a loot drop.</v>
      </c>
      <c r="C1046" s="49" t="str">
        <f>IFERROR(__xludf.DUMMYFUNCTION("""COMPUTED_VALUE"""),"Item")</f>
        <v>Item</v>
      </c>
      <c r="D1046" s="49"/>
      <c r="E1046" s="49"/>
      <c r="F1046" s="49"/>
      <c r="G1046" s="49"/>
      <c r="H1046" s="49"/>
      <c r="I1046" s="49"/>
      <c r="J1046" s="49"/>
      <c r="K1046" s="49"/>
      <c r="L1046" s="49"/>
      <c r="M1046" s="49"/>
      <c r="N1046" s="49"/>
      <c r="O1046" s="49"/>
      <c r="P1046" s="49"/>
      <c r="Q1046" s="49"/>
      <c r="R1046" s="49"/>
      <c r="S1046" s="49"/>
      <c r="T1046" s="49"/>
      <c r="U1046" s="49"/>
      <c r="V1046" s="49"/>
      <c r="W1046" s="49"/>
      <c r="X1046" s="49"/>
      <c r="Y1046" s="49"/>
      <c r="Z1046" s="49"/>
    </row>
    <row r="1047">
      <c r="A1047" s="49" t="str">
        <f>IFERROR(__xludf.DUMMYFUNCTION("""COMPUTED_VALUE"""),"Eyeball")</f>
        <v>Eyeball</v>
      </c>
      <c r="B1047" s="49" t="str">
        <f>IFERROR(__xludf.DUMMYFUNCTION("""COMPUTED_VALUE"""),"Crafting Material, roll a d20 to see how many you get if this is a loot drop.")</f>
        <v>Crafting Material, roll a d20 to see how many you get if this is a loot drop.</v>
      </c>
      <c r="C1047" s="49" t="str">
        <f>IFERROR(__xludf.DUMMYFUNCTION("""COMPUTED_VALUE"""),"Item")</f>
        <v>Item</v>
      </c>
      <c r="D1047" s="49"/>
      <c r="E1047" s="49"/>
      <c r="F1047" s="49"/>
      <c r="G1047" s="49"/>
      <c r="H1047" s="49"/>
      <c r="I1047" s="49"/>
      <c r="J1047" s="49"/>
      <c r="K1047" s="49"/>
      <c r="L1047" s="49"/>
      <c r="M1047" s="49"/>
      <c r="N1047" s="49"/>
      <c r="O1047" s="49"/>
      <c r="P1047" s="49"/>
      <c r="Q1047" s="49"/>
      <c r="R1047" s="49"/>
      <c r="S1047" s="49"/>
      <c r="T1047" s="49"/>
      <c r="U1047" s="49"/>
      <c r="V1047" s="49"/>
      <c r="W1047" s="49"/>
      <c r="X1047" s="49"/>
      <c r="Y1047" s="49"/>
      <c r="Z1047" s="49"/>
    </row>
    <row r="1048">
      <c r="A1048" s="49" t="str">
        <f>IFERROR(__xludf.DUMMYFUNCTION("""COMPUTED_VALUE"""),"Spider Egg")</f>
        <v>Spider Egg</v>
      </c>
      <c r="B1048" s="49" t="str">
        <f>IFERROR(__xludf.DUMMYFUNCTION("""COMPUTED_VALUE"""),"Crafting Material, roll a d20 to see how many you get if this is a loot drop.")</f>
        <v>Crafting Material, roll a d20 to see how many you get if this is a loot drop.</v>
      </c>
      <c r="C1048" s="49" t="str">
        <f>IFERROR(__xludf.DUMMYFUNCTION("""COMPUTED_VALUE"""),"Item")</f>
        <v>Item</v>
      </c>
      <c r="D1048" s="49"/>
      <c r="E1048" s="49"/>
      <c r="F1048" s="49"/>
      <c r="G1048" s="49"/>
      <c r="H1048" s="49"/>
      <c r="I1048" s="49"/>
      <c r="J1048" s="49"/>
      <c r="K1048" s="49"/>
      <c r="L1048" s="49"/>
      <c r="M1048" s="49"/>
      <c r="N1048" s="49"/>
      <c r="O1048" s="49"/>
      <c r="P1048" s="49"/>
      <c r="Q1048" s="49"/>
      <c r="R1048" s="49"/>
      <c r="S1048" s="49"/>
      <c r="T1048" s="49"/>
      <c r="U1048" s="49"/>
      <c r="V1048" s="49"/>
      <c r="W1048" s="49"/>
      <c r="X1048" s="49"/>
      <c r="Y1048" s="49"/>
      <c r="Z1048" s="49"/>
    </row>
    <row r="1049">
      <c r="A1049" s="49" t="str">
        <f>IFERROR(__xludf.DUMMYFUNCTION("""COMPUTED_VALUE"""),"Giant Spider Exoskeleton")</f>
        <v>Giant Spider Exoskeleton</v>
      </c>
      <c r="B1049" s="49" t="str">
        <f>IFERROR(__xludf.DUMMYFUNCTION("""COMPUTED_VALUE"""),"Crafting Material, roll a d20 to see how many you get if this is a loot drop.")</f>
        <v>Crafting Material, roll a d20 to see how many you get if this is a loot drop.</v>
      </c>
      <c r="C1049" s="49" t="str">
        <f>IFERROR(__xludf.DUMMYFUNCTION("""COMPUTED_VALUE"""),"Item")</f>
        <v>Item</v>
      </c>
      <c r="D1049" s="49"/>
      <c r="E1049" s="49"/>
      <c r="F1049" s="49"/>
      <c r="G1049" s="49"/>
      <c r="H1049" s="49"/>
      <c r="I1049" s="49"/>
      <c r="J1049" s="49"/>
      <c r="K1049" s="49"/>
      <c r="L1049" s="49"/>
      <c r="M1049" s="49"/>
      <c r="N1049" s="49"/>
      <c r="O1049" s="49"/>
      <c r="P1049" s="49"/>
      <c r="Q1049" s="49"/>
      <c r="R1049" s="49"/>
      <c r="S1049" s="49"/>
      <c r="T1049" s="49"/>
      <c r="U1049" s="49"/>
      <c r="V1049" s="49"/>
      <c r="W1049" s="49"/>
      <c r="X1049" s="49"/>
      <c r="Y1049" s="49"/>
      <c r="Z1049" s="49"/>
    </row>
    <row r="1050">
      <c r="A1050" s="49" t="str">
        <f>IFERROR(__xludf.DUMMYFUNCTION("""COMPUTED_VALUE"""),"Giant Spider Poison")</f>
        <v>Giant Spider Poison</v>
      </c>
      <c r="B1050" s="49" t="str">
        <f>IFERROR(__xludf.DUMMYFUNCTION("""COMPUTED_VALUE"""),"Crafting Material, roll a d20 to see how many you get if this is a loot drop.")</f>
        <v>Crafting Material, roll a d20 to see how many you get if this is a loot drop.</v>
      </c>
      <c r="C1050" s="49" t="str">
        <f>IFERROR(__xludf.DUMMYFUNCTION("""COMPUTED_VALUE"""),"Item")</f>
        <v>Item</v>
      </c>
      <c r="D1050" s="49"/>
      <c r="E1050" s="49"/>
      <c r="F1050" s="49"/>
      <c r="G1050" s="49"/>
      <c r="H1050" s="49"/>
      <c r="I1050" s="49"/>
      <c r="J1050" s="49"/>
      <c r="K1050" s="49"/>
      <c r="L1050" s="49"/>
      <c r="M1050" s="49"/>
      <c r="N1050" s="49"/>
      <c r="O1050" s="49"/>
      <c r="P1050" s="49"/>
      <c r="Q1050" s="49"/>
      <c r="R1050" s="49"/>
      <c r="S1050" s="49"/>
      <c r="T1050" s="49"/>
      <c r="U1050" s="49"/>
      <c r="V1050" s="49"/>
      <c r="W1050" s="49"/>
      <c r="X1050" s="49"/>
      <c r="Y1050" s="49"/>
      <c r="Z1050" s="49"/>
    </row>
    <row r="1051">
      <c r="A1051" s="49" t="str">
        <f>IFERROR(__xludf.DUMMYFUNCTION("""COMPUTED_VALUE"""),"Poison Gem")</f>
        <v>Poison Gem</v>
      </c>
      <c r="B1051" s="49" t="str">
        <f>IFERROR(__xludf.DUMMYFUNCTION("""COMPUTED_VALUE"""),"Crafting Material, roll a d20 to see how many you get if this is a loot drop.")</f>
        <v>Crafting Material, roll a d20 to see how many you get if this is a loot drop.</v>
      </c>
      <c r="C1051" s="49" t="str">
        <f>IFERROR(__xludf.DUMMYFUNCTION("""COMPUTED_VALUE"""),"Item")</f>
        <v>Item</v>
      </c>
      <c r="D1051" s="49"/>
      <c r="E1051" s="49"/>
      <c r="F1051" s="49"/>
      <c r="G1051" s="49"/>
      <c r="H1051" s="49"/>
      <c r="I1051" s="49"/>
      <c r="J1051" s="49"/>
      <c r="K1051" s="49"/>
      <c r="L1051" s="49"/>
      <c r="M1051" s="49"/>
      <c r="N1051" s="49"/>
      <c r="O1051" s="49"/>
      <c r="P1051" s="49"/>
      <c r="Q1051" s="49"/>
      <c r="R1051" s="49"/>
      <c r="S1051" s="49"/>
      <c r="T1051" s="49"/>
      <c r="U1051" s="49"/>
      <c r="V1051" s="49"/>
      <c r="W1051" s="49"/>
      <c r="X1051" s="49"/>
      <c r="Y1051" s="49"/>
      <c r="Z1051" s="49"/>
    </row>
    <row r="1052">
      <c r="A1052" s="49" t="str">
        <f>IFERROR(__xludf.DUMMYFUNCTION("""COMPUTED_VALUE"""),"Returning Arrow")</f>
        <v>Returning Arrow</v>
      </c>
      <c r="B1052" s="49" t="str">
        <f>IFERROR(__xludf.DUMMYFUNCTION("""COMPUTED_VALUE"""),"Bow Ammunition. +500 damage.  returns to the user. roll a d20 to see how many you get if this is a loot drop.")</f>
        <v>Bow Ammunition. +500 damage.  returns to the user. roll a d20 to see how many you get if this is a loot drop.</v>
      </c>
      <c r="C1052" s="49" t="str">
        <f>IFERROR(__xludf.DUMMYFUNCTION("""COMPUTED_VALUE"""),"Item")</f>
        <v>Item</v>
      </c>
      <c r="D1052" s="49"/>
      <c r="E1052" s="49"/>
      <c r="F1052" s="49"/>
      <c r="G1052" s="49"/>
      <c r="H1052" s="49"/>
      <c r="I1052" s="49"/>
      <c r="J1052" s="49"/>
      <c r="K1052" s="49"/>
      <c r="L1052" s="49"/>
      <c r="M1052" s="49"/>
      <c r="N1052" s="49"/>
      <c r="O1052" s="49"/>
      <c r="P1052" s="49"/>
      <c r="Q1052" s="49"/>
      <c r="R1052" s="49"/>
      <c r="S1052" s="49"/>
      <c r="T1052" s="49"/>
      <c r="U1052" s="49"/>
      <c r="V1052" s="49"/>
      <c r="W1052" s="49"/>
      <c r="X1052" s="49"/>
      <c r="Y1052" s="49"/>
      <c r="Z1052" s="49"/>
    </row>
    <row r="1053">
      <c r="A1053" s="49" t="str">
        <f>IFERROR(__xludf.DUMMYFUNCTION("""COMPUTED_VALUE"""),"Shadow Fluid")</f>
        <v>Shadow Fluid</v>
      </c>
      <c r="B1053" s="49" t="str">
        <f>IFERROR(__xludf.DUMMYFUNCTION("""COMPUTED_VALUE"""),"Crafting Material, roll a d20 to see how many you get if this is a loot drop.")</f>
        <v>Crafting Material, roll a d20 to see how many you get if this is a loot drop.</v>
      </c>
      <c r="C1053" s="49" t="str">
        <f>IFERROR(__xludf.DUMMYFUNCTION("""COMPUTED_VALUE"""),"Item")</f>
        <v>Item</v>
      </c>
      <c r="D1053" s="49"/>
      <c r="E1053" s="49"/>
      <c r="F1053" s="49"/>
      <c r="G1053" s="49"/>
      <c r="H1053" s="49"/>
      <c r="I1053" s="49"/>
      <c r="J1053" s="49"/>
      <c r="K1053" s="49"/>
      <c r="L1053" s="49"/>
      <c r="M1053" s="49"/>
      <c r="N1053" s="49"/>
      <c r="O1053" s="49"/>
      <c r="P1053" s="49"/>
      <c r="Q1053" s="49"/>
      <c r="R1053" s="49"/>
      <c r="S1053" s="49"/>
      <c r="T1053" s="49"/>
      <c r="U1053" s="49"/>
      <c r="V1053" s="49"/>
      <c r="W1053" s="49"/>
      <c r="X1053" s="49"/>
      <c r="Y1053" s="49"/>
      <c r="Z1053" s="49"/>
    </row>
    <row r="1054">
      <c r="A1054" s="49" t="str">
        <f>IFERROR(__xludf.DUMMYFUNCTION("""COMPUTED_VALUE"""),"Skull")</f>
        <v>Skull</v>
      </c>
      <c r="B1054" s="49" t="str">
        <f>IFERROR(__xludf.DUMMYFUNCTION("""COMPUTED_VALUE"""),"Crafting Material, roll a d20 to see how many you get if this is a loot drop.")</f>
        <v>Crafting Material, roll a d20 to see how many you get if this is a loot drop.</v>
      </c>
      <c r="C1054" s="49" t="str">
        <f>IFERROR(__xludf.DUMMYFUNCTION("""COMPUTED_VALUE"""),"Item")</f>
        <v>Item</v>
      </c>
      <c r="D1054" s="49"/>
      <c r="E1054" s="49"/>
      <c r="F1054" s="49"/>
      <c r="G1054" s="49"/>
      <c r="H1054" s="49"/>
      <c r="I1054" s="49"/>
      <c r="J1054" s="49"/>
      <c r="K1054" s="49"/>
      <c r="L1054" s="49"/>
      <c r="M1054" s="49"/>
      <c r="N1054" s="49"/>
      <c r="O1054" s="49"/>
      <c r="P1054" s="49"/>
      <c r="Q1054" s="49"/>
      <c r="R1054" s="49"/>
      <c r="S1054" s="49"/>
      <c r="T1054" s="49"/>
      <c r="U1054" s="49"/>
      <c r="V1054" s="49"/>
      <c r="W1054" s="49"/>
      <c r="X1054" s="49"/>
      <c r="Y1054" s="49"/>
      <c r="Z1054" s="49"/>
    </row>
    <row r="1055">
      <c r="A1055" s="49" t="str">
        <f>IFERROR(__xludf.DUMMYFUNCTION("""COMPUTED_VALUE"""),"pumpkin gem")</f>
        <v>pumpkin gem</v>
      </c>
      <c r="B1055" s="49" t="str">
        <f>IFERROR(__xludf.DUMMYFUNCTION("""COMPUTED_VALUE"""),"Crafting Material, roll a d20 to see how many you get if this is a loot drop.")</f>
        <v>Crafting Material, roll a d20 to see how many you get if this is a loot drop.</v>
      </c>
      <c r="C1055" s="49" t="str">
        <f>IFERROR(__xludf.DUMMYFUNCTION("""COMPUTED_VALUE"""),"Item")</f>
        <v>Item</v>
      </c>
      <c r="D1055" s="49"/>
      <c r="E1055" s="49"/>
      <c r="F1055" s="49"/>
      <c r="G1055" s="49"/>
      <c r="H1055" s="49"/>
      <c r="I1055" s="49"/>
      <c r="J1055" s="49"/>
      <c r="K1055" s="49"/>
      <c r="L1055" s="49"/>
      <c r="M1055" s="49"/>
      <c r="N1055" s="49"/>
      <c r="O1055" s="49"/>
      <c r="P1055" s="49"/>
      <c r="Q1055" s="49"/>
      <c r="R1055" s="49"/>
      <c r="S1055" s="49"/>
      <c r="T1055" s="49"/>
      <c r="U1055" s="49"/>
      <c r="V1055" s="49"/>
      <c r="W1055" s="49"/>
      <c r="X1055" s="49"/>
      <c r="Y1055" s="49"/>
      <c r="Z1055" s="49"/>
    </row>
    <row r="1056">
      <c r="A1056" s="49" t="str">
        <f>IFERROR(__xludf.DUMMYFUNCTION("""COMPUTED_VALUE"""),"Rotton Flesh")</f>
        <v>Rotton Flesh</v>
      </c>
      <c r="B1056" s="49" t="str">
        <f>IFERROR(__xludf.DUMMYFUNCTION("""COMPUTED_VALUE"""),"-100 Hunger if you are not undead. +200 hunger and energy if you are undead.")</f>
        <v>-100 Hunger if you are not undead. +200 hunger and energy if you are undead.</v>
      </c>
      <c r="C1056" s="49" t="str">
        <f>IFERROR(__xludf.DUMMYFUNCTION("""COMPUTED_VALUE"""),"Crop")</f>
        <v>Crop</v>
      </c>
      <c r="D1056" s="49"/>
      <c r="E1056" s="49"/>
      <c r="F1056" s="49"/>
      <c r="G1056" s="49"/>
      <c r="H1056" s="49"/>
      <c r="I1056" s="49"/>
      <c r="J1056" s="49"/>
      <c r="K1056" s="49"/>
      <c r="L1056" s="49"/>
      <c r="M1056" s="49"/>
      <c r="N1056" s="49"/>
      <c r="O1056" s="49"/>
      <c r="P1056" s="49"/>
      <c r="Q1056" s="49"/>
      <c r="R1056" s="49"/>
      <c r="S1056" s="49"/>
      <c r="T1056" s="49"/>
      <c r="U1056" s="49"/>
      <c r="V1056" s="49"/>
      <c r="W1056" s="49"/>
      <c r="X1056" s="49"/>
      <c r="Y1056" s="49"/>
      <c r="Z1056" s="49"/>
    </row>
    <row r="1057">
      <c r="A1057" s="49" t="str">
        <f>IFERROR(__xludf.DUMMYFUNCTION("""COMPUTED_VALUE"""),"Bag of Sand")</f>
        <v>Bag of Sand</v>
      </c>
      <c r="B1057" s="49" t="str">
        <f>IFERROR(__xludf.DUMMYFUNCTION("""COMPUTED_VALUE"""),"Crafting Material, roll a d20 to see how many you get if this is a loot drop.")</f>
        <v>Crafting Material, roll a d20 to see how many you get if this is a loot drop.</v>
      </c>
      <c r="C1057" s="49" t="str">
        <f>IFERROR(__xludf.DUMMYFUNCTION("""COMPUTED_VALUE"""),"Item")</f>
        <v>Item</v>
      </c>
      <c r="D1057" s="49"/>
      <c r="E1057" s="49"/>
      <c r="F1057" s="49"/>
      <c r="G1057" s="49"/>
      <c r="H1057" s="49"/>
      <c r="I1057" s="49"/>
      <c r="J1057" s="49"/>
      <c r="K1057" s="49"/>
      <c r="L1057" s="49"/>
      <c r="M1057" s="49"/>
      <c r="N1057" s="49"/>
      <c r="O1057" s="49"/>
      <c r="P1057" s="49"/>
      <c r="Q1057" s="49"/>
      <c r="R1057" s="49"/>
      <c r="S1057" s="49"/>
      <c r="T1057" s="49"/>
      <c r="U1057" s="49"/>
      <c r="V1057" s="49"/>
      <c r="W1057" s="49"/>
      <c r="X1057" s="49"/>
      <c r="Y1057" s="49"/>
      <c r="Z1057" s="49"/>
    </row>
    <row r="1058">
      <c r="A1058" s="49" t="str">
        <f>IFERROR(__xludf.DUMMYFUNCTION("""COMPUTED_VALUE"""),"Glowing Red eye")</f>
        <v>Glowing Red eye</v>
      </c>
      <c r="B1058" s="49" t="str">
        <f>IFERROR(__xludf.DUMMYFUNCTION("""COMPUTED_VALUE""")," +10SP")</f>
        <v> +10SP</v>
      </c>
      <c r="C1058" s="49" t="str">
        <f>IFERROR(__xludf.DUMMYFUNCTION("""COMPUTED_VALUE"""),"Item")</f>
        <v>Item</v>
      </c>
      <c r="D1058" s="49"/>
      <c r="E1058" s="49"/>
      <c r="F1058" s="49"/>
      <c r="G1058" s="49"/>
      <c r="H1058" s="49"/>
      <c r="I1058" s="49"/>
      <c r="J1058" s="49"/>
      <c r="K1058" s="49"/>
      <c r="L1058" s="49"/>
      <c r="M1058" s="49"/>
      <c r="N1058" s="49"/>
      <c r="O1058" s="49"/>
      <c r="P1058" s="49"/>
      <c r="Q1058" s="49"/>
      <c r="R1058" s="49"/>
      <c r="S1058" s="49"/>
      <c r="T1058" s="49"/>
      <c r="U1058" s="49"/>
      <c r="V1058" s="49"/>
      <c r="W1058" s="49"/>
      <c r="X1058" s="49"/>
      <c r="Y1058" s="49"/>
      <c r="Z1058" s="49"/>
    </row>
    <row r="1059">
      <c r="A1059" s="49" t="str">
        <f>IFERROR(__xludf.DUMMYFUNCTION("""COMPUTED_VALUE"""),"Sand Gem")</f>
        <v>Sand Gem</v>
      </c>
      <c r="B1059" s="49" t="str">
        <f>IFERROR(__xludf.DUMMYFUNCTION("""COMPUTED_VALUE"""),"Crafting Material, roll a d20 to see how many you get if this is a loot drop.")</f>
        <v>Crafting Material, roll a d20 to see how many you get if this is a loot drop.</v>
      </c>
      <c r="C1059" s="49" t="str">
        <f>IFERROR(__xludf.DUMMYFUNCTION("""COMPUTED_VALUE"""),"Item")</f>
        <v>Item</v>
      </c>
      <c r="D1059" s="49"/>
      <c r="E1059" s="49"/>
      <c r="F1059" s="49"/>
      <c r="G1059" s="49"/>
      <c r="H1059" s="49"/>
      <c r="I1059" s="49"/>
      <c r="J1059" s="49"/>
      <c r="K1059" s="49"/>
      <c r="L1059" s="49"/>
      <c r="M1059" s="49"/>
      <c r="N1059" s="49"/>
      <c r="O1059" s="49"/>
      <c r="P1059" s="49"/>
      <c r="Q1059" s="49"/>
      <c r="R1059" s="49"/>
      <c r="S1059" s="49"/>
      <c r="T1059" s="49"/>
      <c r="U1059" s="49"/>
      <c r="V1059" s="49"/>
      <c r="W1059" s="49"/>
      <c r="X1059" s="49"/>
      <c r="Y1059" s="49"/>
      <c r="Z1059" s="49"/>
    </row>
    <row r="1060">
      <c r="A1060" s="49" t="str">
        <f>IFERROR(__xludf.DUMMYFUNCTION("""COMPUTED_VALUE"""),"Poison water")</f>
        <v>Poison water</v>
      </c>
      <c r="B1060" s="49"/>
      <c r="C1060" s="49" t="str">
        <f>IFERROR(__xludf.DUMMYFUNCTION("""COMPUTED_VALUE"""),"Item")</f>
        <v>Item</v>
      </c>
      <c r="D1060" s="49"/>
      <c r="E1060" s="49"/>
      <c r="F1060" s="49"/>
      <c r="G1060" s="49"/>
      <c r="H1060" s="49"/>
      <c r="I1060" s="49"/>
      <c r="J1060" s="49"/>
      <c r="K1060" s="49"/>
      <c r="L1060" s="49"/>
      <c r="M1060" s="49"/>
      <c r="N1060" s="49"/>
      <c r="O1060" s="49"/>
      <c r="P1060" s="49"/>
      <c r="Q1060" s="49"/>
      <c r="R1060" s="49"/>
      <c r="S1060" s="49"/>
      <c r="T1060" s="49"/>
      <c r="U1060" s="49"/>
      <c r="V1060" s="49"/>
      <c r="W1060" s="49"/>
      <c r="X1060" s="49"/>
      <c r="Y1060" s="49"/>
      <c r="Z1060" s="49"/>
    </row>
    <row r="1061">
      <c r="A1061" s="49" t="str">
        <f>IFERROR(__xludf.DUMMYFUNCTION("""COMPUTED_VALUE"""),"Poison Mushroom")</f>
        <v>Poison Mushroom</v>
      </c>
      <c r="B1061" s="49" t="str">
        <f>IFERROR(__xludf.DUMMYFUNCTION("""COMPUTED_VALUE"""),"-100 Hunger, Causes poison 100 for 10 days of travel.")</f>
        <v>-100 Hunger, Causes poison 100 for 10 days of travel.</v>
      </c>
      <c r="C1061" s="49" t="str">
        <f>IFERROR(__xludf.DUMMYFUNCTION("""COMPUTED_VALUE"""),"Crop")</f>
        <v>Crop</v>
      </c>
      <c r="D1061" s="49"/>
      <c r="E1061" s="49"/>
      <c r="F1061" s="49"/>
      <c r="G1061" s="49"/>
      <c r="H1061" s="49"/>
      <c r="I1061" s="49"/>
      <c r="J1061" s="49"/>
      <c r="K1061" s="49"/>
      <c r="L1061" s="49"/>
      <c r="M1061" s="49"/>
      <c r="N1061" s="49"/>
      <c r="O1061" s="49"/>
      <c r="P1061" s="49"/>
      <c r="Q1061" s="49"/>
      <c r="R1061" s="49"/>
      <c r="S1061" s="49"/>
      <c r="T1061" s="49"/>
      <c r="U1061" s="49"/>
      <c r="V1061" s="49"/>
      <c r="W1061" s="49"/>
      <c r="X1061" s="49"/>
      <c r="Y1061" s="49"/>
      <c r="Z1061" s="49"/>
    </row>
    <row r="1062">
      <c r="A1062" s="49" t="str">
        <f>IFERROR(__xludf.DUMMYFUNCTION("""COMPUTED_VALUE"""),"Vile of Poison")</f>
        <v>Vile of Poison</v>
      </c>
      <c r="B1062" s="49" t="str">
        <f>IFERROR(__xludf.DUMMYFUNCTION("""COMPUTED_VALUE"""),"Crafting Material, roll a d20 to see how many you get if this is a loot drop.")</f>
        <v>Crafting Material, roll a d20 to see how many you get if this is a loot drop.</v>
      </c>
      <c r="C1062" s="49" t="str">
        <f>IFERROR(__xludf.DUMMYFUNCTION("""COMPUTED_VALUE"""),"Item")</f>
        <v>Item</v>
      </c>
      <c r="D1062" s="49"/>
      <c r="E1062" s="49"/>
      <c r="F1062" s="49"/>
      <c r="G1062" s="49"/>
      <c r="H1062" s="49"/>
      <c r="I1062" s="49"/>
      <c r="J1062" s="49"/>
      <c r="K1062" s="49"/>
      <c r="L1062" s="49"/>
      <c r="M1062" s="49"/>
      <c r="N1062" s="49"/>
      <c r="O1062" s="49"/>
      <c r="P1062" s="49"/>
      <c r="Q1062" s="49"/>
      <c r="R1062" s="49"/>
      <c r="S1062" s="49"/>
      <c r="T1062" s="49"/>
      <c r="U1062" s="49"/>
      <c r="V1062" s="49"/>
      <c r="W1062" s="49"/>
      <c r="X1062" s="49"/>
      <c r="Y1062" s="49"/>
      <c r="Z1062" s="49"/>
    </row>
    <row r="1063">
      <c r="A1063" s="49" t="str">
        <f>IFERROR(__xludf.DUMMYFUNCTION("""COMPUTED_VALUE"""),"Explosive Arrow")</f>
        <v>Explosive Arrow</v>
      </c>
      <c r="B1063" s="49"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063" s="49" t="str">
        <f>IFERROR(__xludf.DUMMYFUNCTION("""COMPUTED_VALUE"""),"Item")</f>
        <v>Item</v>
      </c>
      <c r="D1063" s="49"/>
      <c r="E1063" s="49"/>
      <c r="F1063" s="49"/>
      <c r="G1063" s="49"/>
      <c r="H1063" s="49"/>
      <c r="I1063" s="49"/>
      <c r="J1063" s="49"/>
      <c r="K1063" s="49"/>
      <c r="L1063" s="49"/>
      <c r="M1063" s="49"/>
      <c r="N1063" s="49"/>
      <c r="O1063" s="49"/>
      <c r="P1063" s="49"/>
      <c r="Q1063" s="49"/>
      <c r="R1063" s="49"/>
      <c r="S1063" s="49"/>
      <c r="T1063" s="49"/>
      <c r="U1063" s="49"/>
      <c r="V1063" s="49"/>
      <c r="W1063" s="49"/>
      <c r="X1063" s="49"/>
      <c r="Y1063" s="49"/>
      <c r="Z1063" s="49"/>
    </row>
    <row r="1064">
      <c r="A1064" s="49" t="str">
        <f>IFERROR(__xludf.DUMMYFUNCTION("""COMPUTED_VALUE"""),"Frost diamond")</f>
        <v>Frost diamond</v>
      </c>
      <c r="B1064" s="49" t="str">
        <f>IFERROR(__xludf.DUMMYFUNCTION("""COMPUTED_VALUE"""),"Crafting Material, roll a d20 to see how many you get if this is a loot drop.")</f>
        <v>Crafting Material, roll a d20 to see how many you get if this is a loot drop.</v>
      </c>
      <c r="C1064" s="49" t="str">
        <f>IFERROR(__xludf.DUMMYFUNCTION("""COMPUTED_VALUE"""),"Item")</f>
        <v>Item</v>
      </c>
      <c r="D1064" s="49"/>
      <c r="E1064" s="49"/>
      <c r="F1064" s="49"/>
      <c r="G1064" s="49"/>
      <c r="H1064" s="49"/>
      <c r="I1064" s="49"/>
      <c r="J1064" s="49"/>
      <c r="K1064" s="49"/>
      <c r="L1064" s="49"/>
      <c r="M1064" s="49"/>
      <c r="N1064" s="49"/>
      <c r="O1064" s="49"/>
      <c r="P1064" s="49"/>
      <c r="Q1064" s="49"/>
      <c r="R1064" s="49"/>
      <c r="S1064" s="49"/>
      <c r="T1064" s="49"/>
      <c r="U1064" s="49"/>
      <c r="V1064" s="49"/>
      <c r="W1064" s="49"/>
      <c r="X1064" s="49"/>
      <c r="Y1064" s="49"/>
      <c r="Z1064" s="49"/>
    </row>
    <row r="1065">
      <c r="A1065" s="49" t="str">
        <f>IFERROR(__xludf.DUMMYFUNCTION("""COMPUTED_VALUE"""),"Big Frost Owl Feathers")</f>
        <v>Big Frost Owl Feathers</v>
      </c>
      <c r="B1065" s="49" t="str">
        <f>IFERROR(__xludf.DUMMYFUNCTION("""COMPUTED_VALUE"""),"Crafting Material, roll a d20 to see how many you get if this is a loot drop.")</f>
        <v>Crafting Material, roll a d20 to see how many you get if this is a loot drop.</v>
      </c>
      <c r="C1065" s="49" t="str">
        <f>IFERROR(__xludf.DUMMYFUNCTION("""COMPUTED_VALUE"""),"Item")</f>
        <v>Item</v>
      </c>
      <c r="D1065" s="49"/>
      <c r="E1065" s="49"/>
      <c r="F1065" s="49"/>
      <c r="G1065" s="49"/>
      <c r="H1065" s="49"/>
      <c r="I1065" s="49"/>
      <c r="J1065" s="49"/>
      <c r="K1065" s="49"/>
      <c r="L1065" s="49"/>
      <c r="M1065" s="49"/>
      <c r="N1065" s="49"/>
      <c r="O1065" s="49"/>
      <c r="P1065" s="49"/>
      <c r="Q1065" s="49"/>
      <c r="R1065" s="49"/>
      <c r="S1065" s="49"/>
      <c r="T1065" s="49"/>
      <c r="U1065" s="49"/>
      <c r="V1065" s="49"/>
      <c r="W1065" s="49"/>
      <c r="X1065" s="49"/>
      <c r="Y1065" s="49"/>
      <c r="Z1065" s="49"/>
    </row>
    <row r="1066">
      <c r="A1066" s="49" t="str">
        <f>IFERROR(__xludf.DUMMYFUNCTION("""COMPUTED_VALUE"""),"Big Frost Owl egg")</f>
        <v>Big Frost Owl egg</v>
      </c>
      <c r="B1066" s="49"/>
      <c r="C1066" s="49" t="str">
        <f>IFERROR(__xludf.DUMMYFUNCTION("""COMPUTED_VALUE"""),"Item")</f>
        <v>Item</v>
      </c>
      <c r="D1066" s="49"/>
      <c r="E1066" s="49"/>
      <c r="F1066" s="49"/>
      <c r="G1066" s="49"/>
      <c r="H1066" s="49"/>
      <c r="I1066" s="49"/>
      <c r="J1066" s="49"/>
      <c r="K1066" s="49"/>
      <c r="L1066" s="49"/>
      <c r="M1066" s="49"/>
      <c r="N1066" s="49"/>
      <c r="O1066" s="49"/>
      <c r="P1066" s="49"/>
      <c r="Q1066" s="49"/>
      <c r="R1066" s="49"/>
      <c r="S1066" s="49"/>
      <c r="T1066" s="49"/>
      <c r="U1066" s="49"/>
      <c r="V1066" s="49"/>
      <c r="W1066" s="49"/>
      <c r="X1066" s="49"/>
      <c r="Y1066" s="49"/>
      <c r="Z1066" s="49"/>
    </row>
    <row r="1067">
      <c r="A1067" s="49" t="str">
        <f>IFERROR(__xludf.DUMMYFUNCTION("""COMPUTED_VALUE"""),"Giant Frost Diamond")</f>
        <v>Giant Frost Diamond</v>
      </c>
      <c r="B1067" s="49" t="str">
        <f>IFERROR(__xludf.DUMMYFUNCTION("""COMPUTED_VALUE"""),"Crafting Material, roll a d20 to see how many you get if this is a loot drop.")</f>
        <v>Crafting Material, roll a d20 to see how many you get if this is a loot drop.</v>
      </c>
      <c r="C1067" s="49" t="str">
        <f>IFERROR(__xludf.DUMMYFUNCTION("""COMPUTED_VALUE"""),"Item")</f>
        <v>Item</v>
      </c>
      <c r="D1067" s="49"/>
      <c r="E1067" s="49"/>
      <c r="F1067" s="49"/>
      <c r="G1067" s="49"/>
      <c r="H1067" s="49"/>
      <c r="I1067" s="49"/>
      <c r="J1067" s="49"/>
      <c r="K1067" s="49"/>
      <c r="L1067" s="49"/>
      <c r="M1067" s="49"/>
      <c r="N1067" s="49"/>
      <c r="O1067" s="49"/>
      <c r="P1067" s="49"/>
      <c r="Q1067" s="49"/>
      <c r="R1067" s="49"/>
      <c r="S1067" s="49"/>
      <c r="T1067" s="49"/>
      <c r="U1067" s="49"/>
      <c r="V1067" s="49"/>
      <c r="W1067" s="49"/>
      <c r="X1067" s="49"/>
      <c r="Y1067" s="49"/>
      <c r="Z1067" s="49"/>
    </row>
    <row r="1068">
      <c r="A1068" s="49" t="str">
        <f>IFERROR(__xludf.DUMMYFUNCTION("""COMPUTED_VALUE"""),"Gold Brick")</f>
        <v>Gold Brick</v>
      </c>
      <c r="B1068" s="49" t="str">
        <f>IFERROR(__xludf.DUMMYFUNCTION("""COMPUTED_VALUE"""),"Crafting Material, roll a d20 to see how many you get if this is a loot drop.")</f>
        <v>Crafting Material, roll a d20 to see how many you get if this is a loot drop.</v>
      </c>
      <c r="C1068" s="49" t="str">
        <f>IFERROR(__xludf.DUMMYFUNCTION("""COMPUTED_VALUE"""),"Item")</f>
        <v>Item</v>
      </c>
      <c r="D1068" s="49"/>
      <c r="E1068" s="49"/>
      <c r="F1068" s="49"/>
      <c r="G1068" s="49"/>
      <c r="H1068" s="49"/>
      <c r="I1068" s="49"/>
      <c r="J1068" s="49"/>
      <c r="K1068" s="49"/>
      <c r="L1068" s="49"/>
      <c r="M1068" s="49"/>
      <c r="N1068" s="49"/>
      <c r="O1068" s="49"/>
      <c r="P1068" s="49"/>
      <c r="Q1068" s="49"/>
      <c r="R1068" s="49"/>
      <c r="S1068" s="49"/>
      <c r="T1068" s="49"/>
      <c r="U1068" s="49"/>
      <c r="V1068" s="49"/>
      <c r="W1068" s="49"/>
      <c r="X1068" s="49"/>
      <c r="Y1068" s="49"/>
      <c r="Z1068" s="49"/>
    </row>
    <row r="1069">
      <c r="A1069" s="49" t="str">
        <f>IFERROR(__xludf.DUMMYFUNCTION("""COMPUTED_VALUE"""),"Arrow of Mutiplying ")</f>
        <v>Arrow of Mutiplying </v>
      </c>
      <c r="B1069" s="49"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069" s="49" t="str">
        <f>IFERROR(__xludf.DUMMYFUNCTION("""COMPUTED_VALUE"""),"Item")</f>
        <v>Item</v>
      </c>
      <c r="D1069" s="49"/>
      <c r="E1069" s="49"/>
      <c r="F1069" s="49"/>
      <c r="G1069" s="49"/>
      <c r="H1069" s="49"/>
      <c r="I1069" s="49"/>
      <c r="J1069" s="49"/>
      <c r="K1069" s="49"/>
      <c r="L1069" s="49"/>
      <c r="M1069" s="49"/>
      <c r="N1069" s="49"/>
      <c r="O1069" s="49"/>
      <c r="P1069" s="49"/>
      <c r="Q1069" s="49"/>
      <c r="R1069" s="49"/>
      <c r="S1069" s="49"/>
      <c r="T1069" s="49"/>
      <c r="U1069" s="49"/>
      <c r="V1069" s="49"/>
      <c r="W1069" s="49"/>
      <c r="X1069" s="49"/>
      <c r="Y1069" s="49"/>
      <c r="Z1069" s="49"/>
    </row>
    <row r="1070">
      <c r="A1070" s="49" t="str">
        <f>IFERROR(__xludf.DUMMYFUNCTION("""COMPUTED_VALUE"""),"Water Gem")</f>
        <v>Water Gem</v>
      </c>
      <c r="B1070" s="49" t="str">
        <f>IFERROR(__xludf.DUMMYFUNCTION("""COMPUTED_VALUE"""),"Crafting Material, roll a d20 to see how many you get if this is a loot drop.")</f>
        <v>Crafting Material, roll a d20 to see how many you get if this is a loot drop.</v>
      </c>
      <c r="C1070" s="49" t="str">
        <f>IFERROR(__xludf.DUMMYFUNCTION("""COMPUTED_VALUE"""),"Item")</f>
        <v>Item</v>
      </c>
      <c r="D1070" s="49"/>
      <c r="E1070" s="49"/>
      <c r="F1070" s="49"/>
      <c r="G1070" s="49"/>
      <c r="H1070" s="49"/>
      <c r="I1070" s="49"/>
      <c r="J1070" s="49"/>
      <c r="K1070" s="49"/>
      <c r="L1070" s="49"/>
      <c r="M1070" s="49"/>
      <c r="N1070" s="49"/>
      <c r="O1070" s="49"/>
      <c r="P1070" s="49"/>
      <c r="Q1070" s="49"/>
      <c r="R1070" s="49"/>
      <c r="S1070" s="49"/>
      <c r="T1070" s="49"/>
      <c r="U1070" s="49"/>
      <c r="V1070" s="49"/>
      <c r="W1070" s="49"/>
      <c r="X1070" s="49"/>
      <c r="Y1070" s="49"/>
      <c r="Z1070" s="49"/>
    </row>
    <row r="1071">
      <c r="A1071" s="49" t="str">
        <f>IFERROR(__xludf.DUMMYFUNCTION("""COMPUTED_VALUE"""),"Goose Meat")</f>
        <v>Goose Meat</v>
      </c>
      <c r="B1071" s="49" t="str">
        <f>IFERROR(__xludf.DUMMYFUNCTION("""COMPUTED_VALUE"""),"-200 hunger to any character that is not owner by Hunter Gooseman. +500 Hunger to any character Hunter Owns.")</f>
        <v>-200 hunger to any character that is not owner by Hunter Gooseman. +500 Hunger to any character Hunter Owns.</v>
      </c>
      <c r="C1071" s="49" t="str">
        <f>IFERROR(__xludf.DUMMYFUNCTION("""COMPUTED_VALUE"""),"Crop")</f>
        <v>Crop</v>
      </c>
      <c r="D1071" s="49"/>
      <c r="E1071" s="49"/>
      <c r="F1071" s="49"/>
      <c r="G1071" s="49"/>
      <c r="H1071" s="49"/>
      <c r="I1071" s="49"/>
      <c r="J1071" s="49"/>
      <c r="K1071" s="49"/>
      <c r="L1071" s="49"/>
      <c r="M1071" s="49"/>
      <c r="N1071" s="49"/>
      <c r="O1071" s="49"/>
      <c r="P1071" s="49"/>
      <c r="Q1071" s="49"/>
      <c r="R1071" s="49"/>
      <c r="S1071" s="49"/>
      <c r="T1071" s="49"/>
      <c r="U1071" s="49"/>
      <c r="V1071" s="49"/>
      <c r="W1071" s="49"/>
      <c r="X1071" s="49"/>
      <c r="Y1071" s="49"/>
      <c r="Z1071" s="49"/>
    </row>
    <row r="1072">
      <c r="A1072" s="49" t="str">
        <f>IFERROR(__xludf.DUMMYFUNCTION("""COMPUTED_VALUE"""),"Mysterious Gem")</f>
        <v>Mysterious Gem</v>
      </c>
      <c r="B1072" s="49" t="str">
        <f>IFERROR(__xludf.DUMMYFUNCTION("""COMPUTED_VALUE"""),"Crafting Material, roll a d20 to see how many you get if this is a loot drop.")</f>
        <v>Crafting Material, roll a d20 to see how many you get if this is a loot drop.</v>
      </c>
      <c r="C1072" s="49" t="str">
        <f>IFERROR(__xludf.DUMMYFUNCTION("""COMPUTED_VALUE"""),"Item")</f>
        <v>Item</v>
      </c>
      <c r="D1072" s="49"/>
      <c r="E1072" s="49"/>
      <c r="F1072" s="49"/>
      <c r="G1072" s="49"/>
      <c r="H1072" s="49"/>
      <c r="I1072" s="49"/>
      <c r="J1072" s="49"/>
      <c r="K1072" s="49"/>
      <c r="L1072" s="49"/>
      <c r="M1072" s="49"/>
      <c r="N1072" s="49"/>
      <c r="O1072" s="49"/>
      <c r="P1072" s="49"/>
      <c r="Q1072" s="49"/>
      <c r="R1072" s="49"/>
      <c r="S1072" s="49"/>
      <c r="T1072" s="49"/>
      <c r="U1072" s="49"/>
      <c r="V1072" s="49"/>
      <c r="W1072" s="49"/>
      <c r="X1072" s="49"/>
      <c r="Y1072" s="49"/>
      <c r="Z1072" s="49"/>
    </row>
    <row r="1073">
      <c r="A1073" s="49" t="str">
        <f>IFERROR(__xludf.DUMMYFUNCTION("""COMPUTED_VALUE"""),"Turtle Shell")</f>
        <v>Turtle Shell</v>
      </c>
      <c r="B1073" s="49" t="str">
        <f>IFERROR(__xludf.DUMMYFUNCTION("""COMPUTED_VALUE"""),"Crafting Material, roll a d20 to see how many you get if this is a loot drop.")</f>
        <v>Crafting Material, roll a d20 to see how many you get if this is a loot drop.</v>
      </c>
      <c r="C1073" s="49" t="str">
        <f>IFERROR(__xludf.DUMMYFUNCTION("""COMPUTED_VALUE"""),"Item")</f>
        <v>Item</v>
      </c>
      <c r="D1073" s="49"/>
      <c r="E1073" s="49"/>
      <c r="F1073" s="49"/>
      <c r="G1073" s="49"/>
      <c r="H1073" s="49"/>
      <c r="I1073" s="49"/>
      <c r="J1073" s="49"/>
      <c r="K1073" s="49"/>
      <c r="L1073" s="49"/>
      <c r="M1073" s="49"/>
      <c r="N1073" s="49"/>
      <c r="O1073" s="49"/>
      <c r="P1073" s="49"/>
      <c r="Q1073" s="49"/>
      <c r="R1073" s="49"/>
      <c r="S1073" s="49"/>
      <c r="T1073" s="49"/>
      <c r="U1073" s="49"/>
      <c r="V1073" s="49"/>
      <c r="W1073" s="49"/>
      <c r="X1073" s="49"/>
      <c r="Y1073" s="49"/>
      <c r="Z1073" s="49"/>
    </row>
    <row r="1074">
      <c r="A1074" s="49" t="str">
        <f>IFERROR(__xludf.DUMMYFUNCTION("""COMPUTED_VALUE"""),"Pumpkin Diamond")</f>
        <v>Pumpkin Diamond</v>
      </c>
      <c r="B1074" s="49" t="str">
        <f>IFERROR(__xludf.DUMMYFUNCTION("""COMPUTED_VALUE"""),"Crafting Material, roll a d20 to see how many you get if this is a loot drop.")</f>
        <v>Crafting Material, roll a d20 to see how many you get if this is a loot drop.</v>
      </c>
      <c r="C1074" s="49" t="str">
        <f>IFERROR(__xludf.DUMMYFUNCTION("""COMPUTED_VALUE"""),"Item")</f>
        <v>Item</v>
      </c>
      <c r="D1074" s="49"/>
      <c r="E1074" s="49"/>
      <c r="F1074" s="49"/>
      <c r="G1074" s="49"/>
      <c r="H1074" s="49"/>
      <c r="I1074" s="49"/>
      <c r="J1074" s="49"/>
      <c r="K1074" s="49"/>
      <c r="L1074" s="49"/>
      <c r="M1074" s="49"/>
      <c r="N1074" s="49"/>
      <c r="O1074" s="49"/>
      <c r="P1074" s="49"/>
      <c r="Q1074" s="49"/>
      <c r="R1074" s="49"/>
      <c r="S1074" s="49"/>
      <c r="T1074" s="49"/>
      <c r="U1074" s="49"/>
      <c r="V1074" s="49"/>
      <c r="W1074" s="49"/>
      <c r="X1074" s="49"/>
      <c r="Y1074" s="49"/>
      <c r="Z1074" s="49"/>
    </row>
    <row r="1075">
      <c r="A1075" s="49" t="str">
        <f>IFERROR(__xludf.DUMMYFUNCTION("""COMPUTED_VALUE"""),"Shadow Diamond")</f>
        <v>Shadow Diamond</v>
      </c>
      <c r="B1075" s="49" t="str">
        <f>IFERROR(__xludf.DUMMYFUNCTION("""COMPUTED_VALUE"""),"Crafting Material, roll a d20 to see how many you get if this is a loot drop.")</f>
        <v>Crafting Material, roll a d20 to see how many you get if this is a loot drop.</v>
      </c>
      <c r="C1075" s="49" t="str">
        <f>IFERROR(__xludf.DUMMYFUNCTION("""COMPUTED_VALUE"""),"Item")</f>
        <v>Item</v>
      </c>
      <c r="D1075" s="49"/>
      <c r="E1075" s="49"/>
      <c r="F1075" s="49"/>
      <c r="G1075" s="49"/>
      <c r="H1075" s="49"/>
      <c r="I1075" s="49"/>
      <c r="J1075" s="49"/>
      <c r="K1075" s="49"/>
      <c r="L1075" s="49"/>
      <c r="M1075" s="49"/>
      <c r="N1075" s="49"/>
      <c r="O1075" s="49"/>
      <c r="P1075" s="49"/>
      <c r="Q1075" s="49"/>
      <c r="R1075" s="49"/>
      <c r="S1075" s="49"/>
      <c r="T1075" s="49"/>
      <c r="U1075" s="49"/>
      <c r="V1075" s="49"/>
      <c r="W1075" s="49"/>
      <c r="X1075" s="49"/>
      <c r="Y1075" s="49"/>
      <c r="Z1075" s="49"/>
    </row>
    <row r="1076">
      <c r="A1076" s="49" t="str">
        <f>IFERROR(__xludf.DUMMYFUNCTION("""COMPUTED_VALUE"""),"Rank 6 Earth tome")</f>
        <v>Rank 6 Earth tome</v>
      </c>
      <c r="B1076" s="49" t="str">
        <f>IFERROR(__xludf.DUMMYFUNCTION("""COMPUTED_VALUE"""),"Allows use of up to Rank 6 Earth Powers")</f>
        <v>Allows use of up to Rank 6 Earth Powers</v>
      </c>
      <c r="C1076" s="49" t="str">
        <f>IFERROR(__xludf.DUMMYFUNCTION("""COMPUTED_VALUE"""),"Item")</f>
        <v>Item</v>
      </c>
      <c r="D1076" s="49"/>
      <c r="E1076" s="49"/>
      <c r="F1076" s="49"/>
      <c r="G1076" s="49"/>
      <c r="H1076" s="49"/>
      <c r="I1076" s="49"/>
      <c r="J1076" s="49"/>
      <c r="K1076" s="49"/>
      <c r="L1076" s="49"/>
      <c r="M1076" s="49"/>
      <c r="N1076" s="49"/>
      <c r="O1076" s="49"/>
      <c r="P1076" s="49"/>
      <c r="Q1076" s="49"/>
      <c r="R1076" s="49"/>
      <c r="S1076" s="49"/>
      <c r="T1076" s="49"/>
      <c r="U1076" s="49"/>
      <c r="V1076" s="49"/>
      <c r="W1076" s="49"/>
      <c r="X1076" s="49"/>
      <c r="Y1076" s="49"/>
      <c r="Z1076" s="49"/>
    </row>
    <row r="1077">
      <c r="A1077" s="49" t="str">
        <f>IFERROR(__xludf.DUMMYFUNCTION("""COMPUTED_VALUE"""),"Demon Claw")</f>
        <v>Demon Claw</v>
      </c>
      <c r="B1077" s="49" t="str">
        <f>IFERROR(__xludf.DUMMYFUNCTION("""COMPUTED_VALUE"""),"Crafting Material, roll a d20 to see how many you get if this is a loot drop.")</f>
        <v>Crafting Material, roll a d20 to see how many you get if this is a loot drop.</v>
      </c>
      <c r="C1077" s="49" t="str">
        <f>IFERROR(__xludf.DUMMYFUNCTION("""COMPUTED_VALUE"""),"Item")</f>
        <v>Item</v>
      </c>
      <c r="D1077" s="49"/>
      <c r="E1077" s="49"/>
      <c r="F1077" s="49"/>
      <c r="G1077" s="49"/>
      <c r="H1077" s="49"/>
      <c r="I1077" s="49"/>
      <c r="J1077" s="49"/>
      <c r="K1077" s="49"/>
      <c r="L1077" s="49"/>
      <c r="M1077" s="49"/>
      <c r="N1077" s="49"/>
      <c r="O1077" s="49"/>
      <c r="P1077" s="49"/>
      <c r="Q1077" s="49"/>
      <c r="R1077" s="49"/>
      <c r="S1077" s="49"/>
      <c r="T1077" s="49"/>
      <c r="U1077" s="49"/>
      <c r="V1077" s="49"/>
      <c r="W1077" s="49"/>
      <c r="X1077" s="49"/>
      <c r="Y1077" s="49"/>
      <c r="Z1077" s="49"/>
    </row>
    <row r="1078">
      <c r="A1078" s="49" t="str">
        <f>IFERROR(__xludf.DUMMYFUNCTION("""COMPUTED_VALUE"""),"Golden Bug")</f>
        <v>Golden Bug</v>
      </c>
      <c r="B1078" s="49" t="str">
        <f>IFERROR(__xludf.DUMMYFUNCTION("""COMPUTED_VALUE"""),"Crafting Material, roll a d20 to see how many you get if this is a loot drop.")</f>
        <v>Crafting Material, roll a d20 to see how many you get if this is a loot drop.</v>
      </c>
      <c r="C1078" s="49" t="str">
        <f>IFERROR(__xludf.DUMMYFUNCTION("""COMPUTED_VALUE"""),"Item")</f>
        <v>Item</v>
      </c>
      <c r="D1078" s="49"/>
      <c r="E1078" s="49"/>
      <c r="F1078" s="49"/>
      <c r="G1078" s="49"/>
      <c r="H1078" s="49"/>
      <c r="I1078" s="49"/>
      <c r="J1078" s="49"/>
      <c r="K1078" s="49"/>
      <c r="L1078" s="49"/>
      <c r="M1078" s="49"/>
      <c r="N1078" s="49"/>
      <c r="O1078" s="49"/>
      <c r="P1078" s="49"/>
      <c r="Q1078" s="49"/>
      <c r="R1078" s="49"/>
      <c r="S1078" s="49"/>
      <c r="T1078" s="49"/>
      <c r="U1078" s="49"/>
      <c r="V1078" s="49"/>
      <c r="W1078" s="49"/>
      <c r="X1078" s="49"/>
      <c r="Y1078" s="49"/>
      <c r="Z1078" s="49"/>
    </row>
    <row r="1079">
      <c r="A1079" s="49" t="str">
        <f>IFERROR(__xludf.DUMMYFUNCTION("""COMPUTED_VALUE"""),"Dragon Orb")</f>
        <v>Dragon Orb</v>
      </c>
      <c r="B1079" s="49" t="str">
        <f>IFERROR(__xludf.DUMMYFUNCTION("""COMPUTED_VALUE"""),"Crafting Material, roll a d20 to see how many you get if this is a loot drop.")</f>
        <v>Crafting Material, roll a d20 to see how many you get if this is a loot drop.</v>
      </c>
      <c r="C1079" s="49" t="str">
        <f>IFERROR(__xludf.DUMMYFUNCTION("""COMPUTED_VALUE"""),"Item")</f>
        <v>Item</v>
      </c>
      <c r="D1079" s="49"/>
      <c r="E1079" s="49"/>
      <c r="F1079" s="49"/>
      <c r="G1079" s="49"/>
      <c r="H1079" s="49"/>
      <c r="I1079" s="49"/>
      <c r="J1079" s="49"/>
      <c r="K1079" s="49"/>
      <c r="L1079" s="49"/>
      <c r="M1079" s="49"/>
      <c r="N1079" s="49"/>
      <c r="O1079" s="49"/>
      <c r="P1079" s="49"/>
      <c r="Q1079" s="49"/>
      <c r="R1079" s="49"/>
      <c r="S1079" s="49"/>
      <c r="T1079" s="49"/>
      <c r="U1079" s="49"/>
      <c r="V1079" s="49"/>
      <c r="W1079" s="49"/>
      <c r="X1079" s="49"/>
      <c r="Y1079" s="49"/>
      <c r="Z1079" s="49"/>
    </row>
    <row r="1080">
      <c r="A1080" s="49" t="str">
        <f>IFERROR(__xludf.DUMMYFUNCTION("""COMPUTED_VALUE"""),"Water potion")</f>
        <v>Water potion</v>
      </c>
      <c r="B1080" s="49" t="str">
        <f>IFERROR(__xludf.DUMMYFUNCTION("""COMPUTED_VALUE"""),"Gives water immunity for 1 round")</f>
        <v>Gives water immunity for 1 round</v>
      </c>
      <c r="C1080" s="49" t="str">
        <f>IFERROR(__xludf.DUMMYFUNCTION("""COMPUTED_VALUE"""),"Item")</f>
        <v>Item</v>
      </c>
      <c r="D1080" s="49"/>
      <c r="E1080" s="49"/>
      <c r="F1080" s="49"/>
      <c r="G1080" s="49"/>
      <c r="H1080" s="49"/>
      <c r="I1080" s="49"/>
      <c r="J1080" s="49"/>
      <c r="K1080" s="49"/>
      <c r="L1080" s="49"/>
      <c r="M1080" s="49"/>
      <c r="N1080" s="49"/>
      <c r="O1080" s="49"/>
      <c r="P1080" s="49"/>
      <c r="Q1080" s="49"/>
      <c r="R1080" s="49"/>
      <c r="S1080" s="49"/>
      <c r="T1080" s="49"/>
      <c r="U1080" s="49"/>
      <c r="V1080" s="49"/>
      <c r="W1080" s="49"/>
      <c r="X1080" s="49"/>
      <c r="Y1080" s="49"/>
      <c r="Z1080" s="49"/>
    </row>
    <row r="1081">
      <c r="A1081" s="49" t="str">
        <f>IFERROR(__xludf.DUMMYFUNCTION("""COMPUTED_VALUE"""),"Jellyfish Stinger")</f>
        <v>Jellyfish Stinger</v>
      </c>
      <c r="B1081" s="49" t="str">
        <f>IFERROR(__xludf.DUMMYFUNCTION("""COMPUTED_VALUE"""),"Crafting Material, roll a d20 to see how many you get if this is a loot drop.")</f>
        <v>Crafting Material, roll a d20 to see how many you get if this is a loot drop.</v>
      </c>
      <c r="C1081" s="49" t="str">
        <f>IFERROR(__xludf.DUMMYFUNCTION("""COMPUTED_VALUE"""),"Item")</f>
        <v>Item</v>
      </c>
      <c r="D1081" s="49"/>
      <c r="E1081" s="49"/>
      <c r="F1081" s="49"/>
      <c r="G1081" s="49"/>
      <c r="H1081" s="49"/>
      <c r="I1081" s="49"/>
      <c r="J1081" s="49"/>
      <c r="K1081" s="49"/>
      <c r="L1081" s="49"/>
      <c r="M1081" s="49"/>
      <c r="N1081" s="49"/>
      <c r="O1081" s="49"/>
      <c r="P1081" s="49"/>
      <c r="Q1081" s="49"/>
      <c r="R1081" s="49"/>
      <c r="S1081" s="49"/>
      <c r="T1081" s="49"/>
      <c r="U1081" s="49"/>
      <c r="V1081" s="49"/>
      <c r="W1081" s="49"/>
      <c r="X1081" s="49"/>
      <c r="Y1081" s="49"/>
      <c r="Z1081" s="49"/>
    </row>
    <row r="1082">
      <c r="A1082" s="49" t="str">
        <f>IFERROR(__xludf.DUMMYFUNCTION("""COMPUTED_VALUE"""),"Bee Stinger ")</f>
        <v>Bee Stinger </v>
      </c>
      <c r="B1082" s="49" t="str">
        <f>IFERROR(__xludf.DUMMYFUNCTION("""COMPUTED_VALUE"""),"Crafting Material, roll a d20 to see how many you get if this is a loot drop.")</f>
        <v>Crafting Material, roll a d20 to see how many you get if this is a loot drop.</v>
      </c>
      <c r="C1082" s="49" t="str">
        <f>IFERROR(__xludf.DUMMYFUNCTION("""COMPUTED_VALUE"""),"Item")</f>
        <v>Item</v>
      </c>
      <c r="D1082" s="49"/>
      <c r="E1082" s="49"/>
      <c r="F1082" s="49"/>
      <c r="G1082" s="49"/>
      <c r="H1082" s="49"/>
      <c r="I1082" s="49"/>
      <c r="J1082" s="49"/>
      <c r="K1082" s="49"/>
      <c r="L1082" s="49"/>
      <c r="M1082" s="49"/>
      <c r="N1082" s="49"/>
      <c r="O1082" s="49"/>
      <c r="P1082" s="49"/>
      <c r="Q1082" s="49"/>
      <c r="R1082" s="49"/>
      <c r="S1082" s="49"/>
      <c r="T1082" s="49"/>
      <c r="U1082" s="49"/>
      <c r="V1082" s="49"/>
      <c r="W1082" s="49"/>
      <c r="X1082" s="49"/>
      <c r="Y1082" s="49"/>
      <c r="Z1082" s="49"/>
    </row>
    <row r="1083">
      <c r="A1083" s="49" t="str">
        <f>IFERROR(__xludf.DUMMYFUNCTION("""COMPUTED_VALUE"""),"Squid Ink")</f>
        <v>Squid Ink</v>
      </c>
      <c r="B1083" s="49" t="str">
        <f>IFERROR(__xludf.DUMMYFUNCTION("""COMPUTED_VALUE"""),"Crafting Material, roll a d20 to see how many you get if this is a loot drop.")</f>
        <v>Crafting Material, roll a d20 to see how many you get if this is a loot drop.</v>
      </c>
      <c r="C1083" s="49" t="str">
        <f>IFERROR(__xludf.DUMMYFUNCTION("""COMPUTED_VALUE"""),"Item")</f>
        <v>Item</v>
      </c>
      <c r="D1083" s="49"/>
      <c r="E1083" s="49"/>
      <c r="F1083" s="49"/>
      <c r="G1083" s="49"/>
      <c r="H1083" s="49"/>
      <c r="I1083" s="49"/>
      <c r="J1083" s="49"/>
      <c r="K1083" s="49"/>
      <c r="L1083" s="49"/>
      <c r="M1083" s="49"/>
      <c r="N1083" s="49"/>
      <c r="O1083" s="49"/>
      <c r="P1083" s="49"/>
      <c r="Q1083" s="49"/>
      <c r="R1083" s="49"/>
      <c r="S1083" s="49"/>
      <c r="T1083" s="49"/>
      <c r="U1083" s="49"/>
      <c r="V1083" s="49"/>
      <c r="W1083" s="49"/>
      <c r="X1083" s="49"/>
      <c r="Y1083" s="49"/>
      <c r="Z1083" s="49"/>
    </row>
    <row r="1084">
      <c r="A1084" s="49" t="str">
        <f>IFERROR(__xludf.DUMMYFUNCTION("""COMPUTED_VALUE"""),"Potion of Water Breathing")</f>
        <v>Potion of Water Breathing</v>
      </c>
      <c r="B1084" s="49" t="str">
        <f>IFERROR(__xludf.DUMMYFUNCTION("""COMPUTED_VALUE"""),"Immune to water for for 3 rounds in battle or 3 days of travel.")</f>
        <v>Immune to water for for 3 rounds in battle or 3 days of travel.</v>
      </c>
      <c r="C1084" s="49" t="str">
        <f>IFERROR(__xludf.DUMMYFUNCTION("""COMPUTED_VALUE"""),"Item")</f>
        <v>Item</v>
      </c>
      <c r="D1084" s="49"/>
      <c r="E1084" s="49"/>
      <c r="F1084" s="49"/>
      <c r="G1084" s="49"/>
      <c r="H1084" s="49"/>
      <c r="I1084" s="49"/>
      <c r="J1084" s="49"/>
      <c r="K1084" s="49"/>
      <c r="L1084" s="49"/>
      <c r="M1084" s="49"/>
      <c r="N1084" s="49"/>
      <c r="O1084" s="49"/>
      <c r="P1084" s="49"/>
      <c r="Q1084" s="49"/>
      <c r="R1084" s="49"/>
      <c r="S1084" s="49"/>
      <c r="T1084" s="49"/>
      <c r="U1084" s="49"/>
      <c r="V1084" s="49"/>
      <c r="W1084" s="49"/>
      <c r="X1084" s="49"/>
      <c r="Y1084" s="49"/>
      <c r="Z1084" s="49"/>
    </row>
    <row r="1085">
      <c r="A1085" s="49" t="str">
        <f>IFERROR(__xludf.DUMMYFUNCTION("""COMPUTED_VALUE"""),"Shark Fin")</f>
        <v>Shark Fin</v>
      </c>
      <c r="B1085" s="49" t="str">
        <f>IFERROR(__xludf.DUMMYFUNCTION("""COMPUTED_VALUE"""),"Restores 10 Hunger, +1 ATK until rest")</f>
        <v>Restores 10 Hunger, +1 ATK until rest</v>
      </c>
      <c r="C1085" s="49" t="str">
        <f>IFERROR(__xludf.DUMMYFUNCTION("""COMPUTED_VALUE"""),"Crop")</f>
        <v>Crop</v>
      </c>
      <c r="D1085" s="49"/>
      <c r="E1085" s="49"/>
      <c r="F1085" s="49"/>
      <c r="G1085" s="49"/>
      <c r="H1085" s="49"/>
      <c r="I1085" s="49"/>
      <c r="J1085" s="49"/>
      <c r="K1085" s="49"/>
      <c r="L1085" s="49"/>
      <c r="M1085" s="49"/>
      <c r="N1085" s="49"/>
      <c r="O1085" s="49"/>
      <c r="P1085" s="49"/>
      <c r="Q1085" s="49"/>
      <c r="R1085" s="49"/>
      <c r="S1085" s="49"/>
      <c r="T1085" s="49"/>
      <c r="U1085" s="49"/>
      <c r="V1085" s="49"/>
      <c r="W1085" s="49"/>
      <c r="X1085" s="49"/>
      <c r="Y1085" s="49"/>
      <c r="Z1085" s="49"/>
    </row>
    <row r="1086">
      <c r="A1086" s="49" t="str">
        <f>IFERROR(__xludf.DUMMYFUNCTION("""COMPUTED_VALUE"""),"Shark Teeth")</f>
        <v>Shark Teeth</v>
      </c>
      <c r="B1086" s="49" t="str">
        <f>IFERROR(__xludf.DUMMYFUNCTION("""COMPUTED_VALUE"""),"100 = permanently increase Atk by 1")</f>
        <v>100 = permanently increase Atk by 1</v>
      </c>
      <c r="C1086" s="49" t="str">
        <f>IFERROR(__xludf.DUMMYFUNCTION("""COMPUTED_VALUE"""),"Item")</f>
        <v>Item</v>
      </c>
      <c r="D1086" s="49"/>
      <c r="E1086" s="49"/>
      <c r="F1086" s="49"/>
      <c r="G1086" s="49"/>
      <c r="H1086" s="49"/>
      <c r="I1086" s="49"/>
      <c r="J1086" s="49"/>
      <c r="K1086" s="49"/>
      <c r="L1086" s="49"/>
      <c r="M1086" s="49"/>
      <c r="N1086" s="49"/>
      <c r="O1086" s="49"/>
      <c r="P1086" s="49"/>
      <c r="Q1086" s="49"/>
      <c r="R1086" s="49"/>
      <c r="S1086" s="49"/>
      <c r="T1086" s="49"/>
      <c r="U1086" s="49"/>
      <c r="V1086" s="49"/>
      <c r="W1086" s="49"/>
      <c r="X1086" s="49"/>
      <c r="Y1086" s="49"/>
      <c r="Z1086" s="49"/>
    </row>
    <row r="1087">
      <c r="A1087" s="49" t="str">
        <f>IFERROR(__xludf.DUMMYFUNCTION("""COMPUTED_VALUE"""),"Fish")</f>
        <v>Fish</v>
      </c>
      <c r="B1087" s="49" t="str">
        <f>IFERROR(__xludf.DUMMYFUNCTION("""COMPUTED_VALUE"""),"5 Hunger, +100 water Resist until rest")</f>
        <v>5 Hunger, +100 water Resist until rest</v>
      </c>
      <c r="C1087" s="49" t="str">
        <f>IFERROR(__xludf.DUMMYFUNCTION("""COMPUTED_VALUE"""),"Crop")</f>
        <v>Crop</v>
      </c>
      <c r="D1087" s="49"/>
      <c r="E1087" s="49"/>
      <c r="F1087" s="49"/>
      <c r="G1087" s="49"/>
      <c r="H1087" s="49"/>
      <c r="I1087" s="49"/>
      <c r="J1087" s="49"/>
      <c r="K1087" s="49"/>
      <c r="L1087" s="49"/>
      <c r="M1087" s="49"/>
      <c r="N1087" s="49"/>
      <c r="O1087" s="49"/>
      <c r="P1087" s="49"/>
      <c r="Q1087" s="49"/>
      <c r="R1087" s="49"/>
      <c r="S1087" s="49"/>
      <c r="T1087" s="49"/>
      <c r="U1087" s="49"/>
      <c r="V1087" s="49"/>
      <c r="W1087" s="49"/>
      <c r="X1087" s="49"/>
      <c r="Y1087" s="49"/>
      <c r="Z1087" s="49"/>
    </row>
    <row r="1088">
      <c r="A1088" s="49" t="str">
        <f>IFERROR(__xludf.DUMMYFUNCTION("""COMPUTED_VALUE"""),"Huge Teeth")</f>
        <v>Huge Teeth</v>
      </c>
      <c r="B1088" s="49" t="str">
        <f>IFERROR(__xludf.DUMMYFUNCTION("""COMPUTED_VALUE"""),"Worth 1000G at a shop.")</f>
        <v>Worth 1000G at a shop.</v>
      </c>
      <c r="C1088" s="49" t="str">
        <f>IFERROR(__xludf.DUMMYFUNCTION("""COMPUTED_VALUE"""),"Item")</f>
        <v>Item</v>
      </c>
      <c r="D1088" s="49"/>
      <c r="E1088" s="49"/>
      <c r="F1088" s="49"/>
      <c r="G1088" s="49"/>
      <c r="H1088" s="49"/>
      <c r="I1088" s="49"/>
      <c r="J1088" s="49"/>
      <c r="K1088" s="49"/>
      <c r="L1088" s="49"/>
      <c r="M1088" s="49"/>
      <c r="N1088" s="49"/>
      <c r="O1088" s="49"/>
      <c r="P1088" s="49"/>
      <c r="Q1088" s="49"/>
      <c r="R1088" s="49"/>
      <c r="S1088" s="49"/>
      <c r="T1088" s="49"/>
      <c r="U1088" s="49"/>
      <c r="V1088" s="49"/>
      <c r="W1088" s="49"/>
      <c r="X1088" s="49"/>
      <c r="Y1088" s="49"/>
      <c r="Z1088" s="49"/>
    </row>
    <row r="1089">
      <c r="A1089" s="49" t="str">
        <f>IFERROR(__xludf.DUMMYFUNCTION("""COMPUTED_VALUE"""),"Enchanted Teeth")</f>
        <v>Enchanted Teeth</v>
      </c>
      <c r="B1089" s="49" t="str">
        <f>IFERROR(__xludf.DUMMYFUNCTION("""COMPUTED_VALUE"""),"Worth 5000G at a shop.")</f>
        <v>Worth 5000G at a shop.</v>
      </c>
      <c r="C1089" s="49" t="str">
        <f>IFERROR(__xludf.DUMMYFUNCTION("""COMPUTED_VALUE"""),"Item")</f>
        <v>Item</v>
      </c>
      <c r="D1089" s="49"/>
      <c r="E1089" s="49"/>
      <c r="F1089" s="49"/>
      <c r="G1089" s="49"/>
      <c r="H1089" s="49"/>
      <c r="I1089" s="49"/>
      <c r="J1089" s="49"/>
      <c r="K1089" s="49"/>
      <c r="L1089" s="49"/>
      <c r="M1089" s="49"/>
      <c r="N1089" s="49"/>
      <c r="O1089" s="49"/>
      <c r="P1089" s="49"/>
      <c r="Q1089" s="49"/>
      <c r="R1089" s="49"/>
      <c r="S1089" s="49"/>
      <c r="T1089" s="49"/>
      <c r="U1089" s="49"/>
      <c r="V1089" s="49"/>
      <c r="W1089" s="49"/>
      <c r="X1089" s="49"/>
      <c r="Y1089" s="49"/>
      <c r="Z1089" s="49"/>
    </row>
    <row r="1090">
      <c r="A1090" s="49" t="str">
        <f>IFERROR(__xludf.DUMMYFUNCTION("""COMPUTED_VALUE"""),"Sea Dinosaur Bones")</f>
        <v>Sea Dinosaur Bones</v>
      </c>
      <c r="B1090" s="49" t="str">
        <f>IFERROR(__xludf.DUMMYFUNCTION("""COMPUTED_VALUE"""),"Crafting Material, roll a d20 to see how many you get if this is a loot drop.")</f>
        <v>Crafting Material, roll a d20 to see how many you get if this is a loot drop.</v>
      </c>
      <c r="C1090" s="49" t="str">
        <f>IFERROR(__xludf.DUMMYFUNCTION("""COMPUTED_VALUE"""),"Item")</f>
        <v>Item</v>
      </c>
      <c r="D1090" s="49"/>
      <c r="E1090" s="49"/>
      <c r="F1090" s="49"/>
      <c r="G1090" s="49"/>
      <c r="H1090" s="49"/>
      <c r="I1090" s="49"/>
      <c r="J1090" s="49"/>
      <c r="K1090" s="49"/>
      <c r="L1090" s="49"/>
      <c r="M1090" s="49"/>
      <c r="N1090" s="49"/>
      <c r="O1090" s="49"/>
      <c r="P1090" s="49"/>
      <c r="Q1090" s="49"/>
      <c r="R1090" s="49"/>
      <c r="S1090" s="49"/>
      <c r="T1090" s="49"/>
      <c r="U1090" s="49"/>
      <c r="V1090" s="49"/>
      <c r="W1090" s="49"/>
      <c r="X1090" s="49"/>
      <c r="Y1090" s="49"/>
      <c r="Z1090" s="49"/>
    </row>
    <row r="1091">
      <c r="A1091" s="49" t="str">
        <f>IFERROR(__xludf.DUMMYFUNCTION("""COMPUTED_VALUE"""),"Ancient Sea Dinosaur Egg")</f>
        <v>Ancient Sea Dinosaur Egg</v>
      </c>
      <c r="B1091" s="49"/>
      <c r="C1091" s="49" t="str">
        <f>IFERROR(__xludf.DUMMYFUNCTION("""COMPUTED_VALUE"""),"Item")</f>
        <v>Item</v>
      </c>
      <c r="D1091" s="49"/>
      <c r="E1091" s="49"/>
      <c r="F1091" s="49"/>
      <c r="G1091" s="49"/>
      <c r="H1091" s="49"/>
      <c r="I1091" s="49"/>
      <c r="J1091" s="49"/>
      <c r="K1091" s="49"/>
      <c r="L1091" s="49"/>
      <c r="M1091" s="49"/>
      <c r="N1091" s="49"/>
      <c r="O1091" s="49"/>
      <c r="P1091" s="49"/>
      <c r="Q1091" s="49"/>
      <c r="R1091" s="49"/>
      <c r="S1091" s="49"/>
      <c r="T1091" s="49"/>
      <c r="U1091" s="49"/>
      <c r="V1091" s="49"/>
      <c r="W1091" s="49"/>
      <c r="X1091" s="49"/>
      <c r="Y1091" s="49"/>
      <c r="Z1091" s="49"/>
    </row>
    <row r="1092">
      <c r="A1092" s="49" t="str">
        <f>IFERROR(__xludf.DUMMYFUNCTION("""COMPUTED_VALUE"""),"Water Abyss Key")</f>
        <v>Water Abyss Key</v>
      </c>
      <c r="B1092" s="49" t="str">
        <f>IFERROR(__xludf.DUMMYFUNCTION("""COMPUTED_VALUE"""),"Gain access to the Abyss Dungeon. Cannot be duplicated")</f>
        <v>Gain access to the Abyss Dungeon. Cannot be duplicated</v>
      </c>
      <c r="C1092" s="49" t="str">
        <f>IFERROR(__xludf.DUMMYFUNCTION("""COMPUTED_VALUE"""),"Item")</f>
        <v>Item</v>
      </c>
      <c r="D1092" s="49"/>
      <c r="E1092" s="49"/>
      <c r="F1092" s="49"/>
      <c r="G1092" s="49"/>
      <c r="H1092" s="49"/>
      <c r="I1092" s="49"/>
      <c r="J1092" s="49"/>
      <c r="K1092" s="49"/>
      <c r="L1092" s="49"/>
      <c r="M1092" s="49"/>
      <c r="N1092" s="49"/>
      <c r="O1092" s="49"/>
      <c r="P1092" s="49"/>
      <c r="Q1092" s="49"/>
      <c r="R1092" s="49"/>
      <c r="S1092" s="49"/>
      <c r="T1092" s="49"/>
      <c r="U1092" s="49"/>
      <c r="V1092" s="49"/>
      <c r="W1092" s="49"/>
      <c r="X1092" s="49"/>
      <c r="Y1092" s="49"/>
      <c r="Z1092" s="49"/>
    </row>
    <row r="1093">
      <c r="A1093" s="49" t="str">
        <f>IFERROR(__xludf.DUMMYFUNCTION("""COMPUTED_VALUE"""),"Fire Diamond")</f>
        <v>Fire Diamond</v>
      </c>
      <c r="B1093" s="49" t="str">
        <f>IFERROR(__xludf.DUMMYFUNCTION("""COMPUTED_VALUE"""),"Crafting Material, roll a d20 to see how many you get if this is a loot drop.")</f>
        <v>Crafting Material, roll a d20 to see how many you get if this is a loot drop.</v>
      </c>
      <c r="C1093" s="49" t="str">
        <f>IFERROR(__xludf.DUMMYFUNCTION("""COMPUTED_VALUE"""),"Item")</f>
        <v>Item</v>
      </c>
      <c r="D1093" s="49"/>
      <c r="E1093" s="49"/>
      <c r="F1093" s="49"/>
      <c r="G1093" s="49"/>
      <c r="H1093" s="49"/>
      <c r="I1093" s="49"/>
      <c r="J1093" s="49"/>
      <c r="K1093" s="49"/>
      <c r="L1093" s="49"/>
      <c r="M1093" s="49"/>
      <c r="N1093" s="49"/>
      <c r="O1093" s="49"/>
      <c r="P1093" s="49"/>
      <c r="Q1093" s="49"/>
      <c r="R1093" s="49"/>
      <c r="S1093" s="49"/>
      <c r="T1093" s="49"/>
      <c r="U1093" s="49"/>
      <c r="V1093" s="49"/>
      <c r="W1093" s="49"/>
      <c r="X1093" s="49"/>
      <c r="Y1093" s="49"/>
      <c r="Z1093" s="49"/>
    </row>
    <row r="1094">
      <c r="A1094" s="49" t="str">
        <f>IFERROR(__xludf.DUMMYFUNCTION("""COMPUTED_VALUE"""),"Giant Fire Diamond")</f>
        <v>Giant Fire Diamond</v>
      </c>
      <c r="B1094" s="49" t="str">
        <f>IFERROR(__xludf.DUMMYFUNCTION("""COMPUTED_VALUE"""),"Crafting Material, roll a d20 to see how many you get if this is a loot drop.")</f>
        <v>Crafting Material, roll a d20 to see how many you get if this is a loot drop.</v>
      </c>
      <c r="C1094" s="49" t="str">
        <f>IFERROR(__xludf.DUMMYFUNCTION("""COMPUTED_VALUE"""),"Item")</f>
        <v>Item</v>
      </c>
      <c r="D1094" s="49"/>
      <c r="E1094" s="49"/>
      <c r="F1094" s="49"/>
      <c r="G1094" s="49"/>
      <c r="H1094" s="49"/>
      <c r="I1094" s="49"/>
      <c r="J1094" s="49"/>
      <c r="K1094" s="49"/>
      <c r="L1094" s="49"/>
      <c r="M1094" s="49"/>
      <c r="N1094" s="49"/>
      <c r="O1094" s="49"/>
      <c r="P1094" s="49"/>
      <c r="Q1094" s="49"/>
      <c r="R1094" s="49"/>
      <c r="S1094" s="49"/>
      <c r="T1094" s="49"/>
      <c r="U1094" s="49"/>
      <c r="V1094" s="49"/>
      <c r="W1094" s="49"/>
      <c r="X1094" s="49"/>
      <c r="Y1094" s="49"/>
      <c r="Z1094" s="49"/>
    </row>
    <row r="1095">
      <c r="A1095" s="49" t="str">
        <f>IFERROR(__xludf.DUMMYFUNCTION("""COMPUTED_VALUE"""),"Heatmore Flame Golem Soul")</f>
        <v>Heatmore Flame Golem Soul</v>
      </c>
      <c r="B1095" s="49"/>
      <c r="C1095" s="49" t="str">
        <f>IFERROR(__xludf.DUMMYFUNCTION("""COMPUTED_VALUE"""),"Item")</f>
        <v>Item</v>
      </c>
      <c r="D1095" s="49"/>
      <c r="E1095" s="49"/>
      <c r="F1095" s="49"/>
      <c r="G1095" s="49"/>
      <c r="H1095" s="49"/>
      <c r="I1095" s="49"/>
      <c r="J1095" s="49"/>
      <c r="K1095" s="49"/>
      <c r="L1095" s="49"/>
      <c r="M1095" s="49"/>
      <c r="N1095" s="49"/>
      <c r="O1095" s="49"/>
      <c r="P1095" s="49"/>
      <c r="Q1095" s="49"/>
      <c r="R1095" s="49"/>
      <c r="S1095" s="49"/>
      <c r="T1095" s="49"/>
      <c r="U1095" s="49"/>
      <c r="V1095" s="49"/>
      <c r="W1095" s="49"/>
      <c r="X1095" s="49"/>
      <c r="Y1095" s="49"/>
      <c r="Z1095" s="49"/>
    </row>
    <row r="1096">
      <c r="A1096" s="49" t="str">
        <f>IFERROR(__xludf.DUMMYFUNCTION("""COMPUTED_VALUE"""),"Flaming Feathers")</f>
        <v>Flaming Feathers</v>
      </c>
      <c r="B1096" s="49" t="str">
        <f>IFERROR(__xludf.DUMMYFUNCTION("""COMPUTED_VALUE"""),"Crafting Material, roll a d20 to see how many you get if this is a loot drop.")</f>
        <v>Crafting Material, roll a d20 to see how many you get if this is a loot drop.</v>
      </c>
      <c r="C1096" s="49" t="str">
        <f>IFERROR(__xludf.DUMMYFUNCTION("""COMPUTED_VALUE"""),"Item")</f>
        <v>Item</v>
      </c>
      <c r="D1096" s="49"/>
      <c r="E1096" s="49"/>
      <c r="F1096" s="49"/>
      <c r="G1096" s="49"/>
      <c r="H1096" s="49"/>
      <c r="I1096" s="49"/>
      <c r="J1096" s="49"/>
      <c r="K1096" s="49"/>
      <c r="L1096" s="49"/>
      <c r="M1096" s="49"/>
      <c r="N1096" s="49"/>
      <c r="O1096" s="49"/>
      <c r="P1096" s="49"/>
      <c r="Q1096" s="49"/>
      <c r="R1096" s="49"/>
      <c r="S1096" s="49"/>
      <c r="T1096" s="49"/>
      <c r="U1096" s="49"/>
      <c r="V1096" s="49"/>
      <c r="W1096" s="49"/>
      <c r="X1096" s="49"/>
      <c r="Y1096" s="49"/>
      <c r="Z1096" s="49"/>
    </row>
    <row r="1097">
      <c r="A1097" s="49" t="str">
        <f>IFERROR(__xludf.DUMMYFUNCTION("""COMPUTED_VALUE"""),"Flaming Horns")</f>
        <v>Flaming Horns</v>
      </c>
      <c r="B1097" s="49" t="str">
        <f>IFERROR(__xludf.DUMMYFUNCTION("""COMPUTED_VALUE"""),"Crafting Material, roll a d20 to see how many you get if this is a loot drop.")</f>
        <v>Crafting Material, roll a d20 to see how many you get if this is a loot drop.</v>
      </c>
      <c r="C1097" s="49" t="str">
        <f>IFERROR(__xludf.DUMMYFUNCTION("""COMPUTED_VALUE"""),"Item")</f>
        <v>Item</v>
      </c>
      <c r="D1097" s="49"/>
      <c r="E1097" s="49"/>
      <c r="F1097" s="49"/>
      <c r="G1097" s="49"/>
      <c r="H1097" s="49"/>
      <c r="I1097" s="49"/>
      <c r="J1097" s="49"/>
      <c r="K1097" s="49"/>
      <c r="L1097" s="49"/>
      <c r="M1097" s="49"/>
      <c r="N1097" s="49"/>
      <c r="O1097" s="49"/>
      <c r="P1097" s="49"/>
      <c r="Q1097" s="49"/>
      <c r="R1097" s="49"/>
      <c r="S1097" s="49"/>
      <c r="T1097" s="49"/>
      <c r="U1097" s="49"/>
      <c r="V1097" s="49"/>
      <c r="W1097" s="49"/>
      <c r="X1097" s="49"/>
      <c r="Y1097" s="49"/>
      <c r="Z1097" s="49"/>
    </row>
    <row r="1098">
      <c r="A1098" s="49" t="str">
        <f>IFERROR(__xludf.DUMMYFUNCTION("""COMPUTED_VALUE"""),"Cooked Yak Meat")</f>
        <v>Cooked Yak Meat</v>
      </c>
      <c r="B1098" s="49" t="str">
        <f>IFERROR(__xludf.DUMMYFUNCTION("""COMPUTED_VALUE"""),"Restores 10 hunger and energy")</f>
        <v>Restores 10 hunger and energy</v>
      </c>
      <c r="C1098" s="49" t="str">
        <f>IFERROR(__xludf.DUMMYFUNCTION("""COMPUTED_VALUE"""),"Crop")</f>
        <v>Crop</v>
      </c>
      <c r="D1098" s="49"/>
      <c r="E1098" s="49"/>
      <c r="F1098" s="49"/>
      <c r="G1098" s="49"/>
      <c r="H1098" s="49"/>
      <c r="I1098" s="49"/>
      <c r="J1098" s="49"/>
      <c r="K1098" s="49"/>
      <c r="L1098" s="49"/>
      <c r="M1098" s="49"/>
      <c r="N1098" s="49"/>
      <c r="O1098" s="49"/>
      <c r="P1098" s="49"/>
      <c r="Q1098" s="49"/>
      <c r="R1098" s="49"/>
      <c r="S1098" s="49"/>
      <c r="T1098" s="49"/>
      <c r="U1098" s="49"/>
      <c r="V1098" s="49"/>
      <c r="W1098" s="49"/>
      <c r="X1098" s="49"/>
      <c r="Y1098" s="49"/>
      <c r="Z1098" s="49"/>
    </row>
    <row r="1099">
      <c r="A1099" s="49" t="str">
        <f>IFERROR(__xludf.DUMMYFUNCTION("""COMPUTED_VALUE"""),"Leaf Of The Ancient Tree Of Flames")</f>
        <v>Leaf Of The Ancient Tree Of Flames</v>
      </c>
      <c r="B1099" s="49" t="str">
        <f>IFERROR(__xludf.DUMMYFUNCTION("""COMPUTED_VALUE"""),"Gain 1 free fire power of choosing. (Can only be obtained once per player)")</f>
        <v>Gain 1 free fire power of choosing. (Can only be obtained once per player)</v>
      </c>
      <c r="C1099" s="49" t="str">
        <f>IFERROR(__xludf.DUMMYFUNCTION("""COMPUTED_VALUE"""),"Item")</f>
        <v>Item</v>
      </c>
      <c r="D1099" s="49"/>
      <c r="E1099" s="49"/>
      <c r="F1099" s="49"/>
      <c r="G1099" s="49"/>
      <c r="H1099" s="49"/>
      <c r="I1099" s="49"/>
      <c r="J1099" s="49"/>
      <c r="K1099" s="49"/>
      <c r="L1099" s="49"/>
      <c r="M1099" s="49"/>
      <c r="N1099" s="49"/>
      <c r="O1099" s="49"/>
      <c r="P1099" s="49"/>
      <c r="Q1099" s="49"/>
      <c r="R1099" s="49"/>
      <c r="S1099" s="49"/>
      <c r="T1099" s="49"/>
      <c r="U1099" s="49"/>
      <c r="V1099" s="49"/>
      <c r="W1099" s="49"/>
      <c r="X1099" s="49"/>
      <c r="Y1099" s="49"/>
      <c r="Z1099" s="49"/>
    </row>
    <row r="1100">
      <c r="A1100" s="49" t="str">
        <f>IFERROR(__xludf.DUMMYFUNCTION("""COMPUTED_VALUE"""),"Ancient Volcanic Worm Egg")</f>
        <v>Ancient Volcanic Worm Egg</v>
      </c>
      <c r="B1100" s="49"/>
      <c r="C1100" s="49" t="str">
        <f>IFERROR(__xludf.DUMMYFUNCTION("""COMPUTED_VALUE"""),"Item")</f>
        <v>Item</v>
      </c>
      <c r="D1100" s="49"/>
      <c r="E1100" s="49"/>
      <c r="F1100" s="49"/>
      <c r="G1100" s="49"/>
      <c r="H1100" s="49"/>
      <c r="I1100" s="49"/>
      <c r="J1100" s="49"/>
      <c r="K1100" s="49"/>
      <c r="L1100" s="49"/>
      <c r="M1100" s="49"/>
      <c r="N1100" s="49"/>
      <c r="O1100" s="49"/>
      <c r="P1100" s="49"/>
      <c r="Q1100" s="49"/>
      <c r="R1100" s="49"/>
      <c r="S1100" s="49"/>
      <c r="T1100" s="49"/>
      <c r="U1100" s="49"/>
      <c r="V1100" s="49"/>
      <c r="W1100" s="49"/>
      <c r="X1100" s="49"/>
      <c r="Y1100" s="49"/>
      <c r="Z1100" s="49"/>
    </row>
    <row r="1101">
      <c r="A1101" s="49" t="str">
        <f>IFERROR(__xludf.DUMMYFUNCTION("""COMPUTED_VALUE"""),"Ancient Volcanic Worm Core")</f>
        <v>Ancient Volcanic Worm Core</v>
      </c>
      <c r="B1101" s="49" t="str">
        <f>IFERROR(__xludf.DUMMYFUNCTION("""COMPUTED_VALUE"""),"Consume to gain permanent 2000 fire resistance. (Can only obtain 1 per player)")</f>
        <v>Consume to gain permanent 2000 fire resistance. (Can only obtain 1 per player)</v>
      </c>
      <c r="C1101" s="49" t="str">
        <f>IFERROR(__xludf.DUMMYFUNCTION("""COMPUTED_VALUE"""),"Item")</f>
        <v>Item</v>
      </c>
      <c r="D1101" s="49"/>
      <c r="E1101" s="49"/>
      <c r="F1101" s="49"/>
      <c r="G1101" s="49"/>
      <c r="H1101" s="49"/>
      <c r="I1101" s="49"/>
      <c r="J1101" s="49"/>
      <c r="K1101" s="49"/>
      <c r="L1101" s="49"/>
      <c r="M1101" s="49"/>
      <c r="N1101" s="49"/>
      <c r="O1101" s="49"/>
      <c r="P1101" s="49"/>
      <c r="Q1101" s="49"/>
      <c r="R1101" s="49"/>
      <c r="S1101" s="49"/>
      <c r="T1101" s="49"/>
      <c r="U1101" s="49"/>
      <c r="V1101" s="49"/>
      <c r="W1101" s="49"/>
      <c r="X1101" s="49"/>
      <c r="Y1101" s="49"/>
      <c r="Z1101" s="49"/>
    </row>
    <row r="1102">
      <c r="A1102" s="49" t="str">
        <f>IFERROR(__xludf.DUMMYFUNCTION("""COMPUTED_VALUE"""),"Lava Tiger Skin")</f>
        <v>Lava Tiger Skin</v>
      </c>
      <c r="B1102" s="49" t="str">
        <f>IFERROR(__xludf.DUMMYFUNCTION("""COMPUTED_VALUE"""),"Crafting Material, roll a d20 to see how many you get if this is a loot drop.")</f>
        <v>Crafting Material, roll a d20 to see how many you get if this is a loot drop.</v>
      </c>
      <c r="C1102" s="49" t="str">
        <f>IFERROR(__xludf.DUMMYFUNCTION("""COMPUTED_VALUE"""),"Item")</f>
        <v>Item</v>
      </c>
      <c r="D1102" s="49"/>
      <c r="E1102" s="49"/>
      <c r="F1102" s="49"/>
      <c r="G1102" s="49"/>
      <c r="H1102" s="49"/>
      <c r="I1102" s="49"/>
      <c r="J1102" s="49"/>
      <c r="K1102" s="49"/>
      <c r="L1102" s="49"/>
      <c r="M1102" s="49"/>
      <c r="N1102" s="49"/>
      <c r="O1102" s="49"/>
      <c r="P1102" s="49"/>
      <c r="Q1102" s="49"/>
      <c r="R1102" s="49"/>
      <c r="S1102" s="49"/>
      <c r="T1102" s="49"/>
      <c r="U1102" s="49"/>
      <c r="V1102" s="49"/>
      <c r="W1102" s="49"/>
      <c r="X1102" s="49"/>
      <c r="Y1102" s="49"/>
      <c r="Z1102" s="49"/>
    </row>
    <row r="1103">
      <c r="A1103" s="49" t="str">
        <f>IFERROR(__xludf.DUMMYFUNCTION("""COMPUTED_VALUE"""),"Cooked Tiger Meat")</f>
        <v>Cooked Tiger Meat</v>
      </c>
      <c r="B1103" s="49" t="str">
        <f>IFERROR(__xludf.DUMMYFUNCTION("""COMPUTED_VALUE"""),"restores 20 hunger and energy")</f>
        <v>restores 20 hunger and energy</v>
      </c>
      <c r="C1103" s="49" t="str">
        <f>IFERROR(__xludf.DUMMYFUNCTION("""COMPUTED_VALUE"""),"Crop")</f>
        <v>Crop</v>
      </c>
      <c r="D1103" s="49"/>
      <c r="E1103" s="49"/>
      <c r="F1103" s="49"/>
      <c r="G1103" s="49"/>
      <c r="H1103" s="49"/>
      <c r="I1103" s="49"/>
      <c r="J1103" s="49"/>
      <c r="K1103" s="49"/>
      <c r="L1103" s="49"/>
      <c r="M1103" s="49"/>
      <c r="N1103" s="49"/>
      <c r="O1103" s="49"/>
      <c r="P1103" s="49"/>
      <c r="Q1103" s="49"/>
      <c r="R1103" s="49"/>
      <c r="S1103" s="49"/>
      <c r="T1103" s="49"/>
      <c r="U1103" s="49"/>
      <c r="V1103" s="49"/>
      <c r="W1103" s="49"/>
      <c r="X1103" s="49"/>
      <c r="Y1103" s="49"/>
      <c r="Z1103" s="49"/>
    </row>
    <row r="1104">
      <c r="A1104" s="49" t="str">
        <f>IFERROR(__xludf.DUMMYFUNCTION("""COMPUTED_VALUE"""),"Liches Eye")</f>
        <v>Liches Eye</v>
      </c>
      <c r="B1104" s="49" t="str">
        <f>IFERROR(__xludf.DUMMYFUNCTION("""COMPUTED_VALUE"""),"Consumable, 100= permanent +5 to accuracy")</f>
        <v>Consumable, 100= permanent +5 to accuracy</v>
      </c>
      <c r="C1104" s="49" t="str">
        <f>IFERROR(__xludf.DUMMYFUNCTION("""COMPUTED_VALUE"""),"Item")</f>
        <v>Item</v>
      </c>
      <c r="D1104" s="49"/>
      <c r="E1104" s="49"/>
      <c r="F1104" s="49"/>
      <c r="G1104" s="49"/>
      <c r="H1104" s="49"/>
      <c r="I1104" s="49"/>
      <c r="J1104" s="49"/>
      <c r="K1104" s="49"/>
      <c r="L1104" s="49"/>
      <c r="M1104" s="49"/>
      <c r="N1104" s="49"/>
      <c r="O1104" s="49"/>
      <c r="P1104" s="49"/>
      <c r="Q1104" s="49"/>
      <c r="R1104" s="49"/>
      <c r="S1104" s="49"/>
      <c r="T1104" s="49"/>
      <c r="U1104" s="49"/>
      <c r="V1104" s="49"/>
      <c r="W1104" s="49"/>
      <c r="X1104" s="49"/>
      <c r="Y1104" s="49"/>
      <c r="Z1104" s="49"/>
    </row>
    <row r="1105">
      <c r="A1105" s="49" t="str">
        <f>IFERROR(__xludf.DUMMYFUNCTION("""COMPUTED_VALUE"""),"Rank 9 Fire Tome")</f>
        <v>Rank 9 Fire Tome</v>
      </c>
      <c r="B1105" s="49" t="str">
        <f>IFERROR(__xludf.DUMMYFUNCTION("""COMPUTED_VALUE"""),"Can only obtain 1 per player")</f>
        <v>Can only obtain 1 per player</v>
      </c>
      <c r="C1105" s="49" t="str">
        <f>IFERROR(__xludf.DUMMYFUNCTION("""COMPUTED_VALUE"""),"Item")</f>
        <v>Item</v>
      </c>
      <c r="D1105" s="49"/>
      <c r="E1105" s="49"/>
      <c r="F1105" s="49"/>
      <c r="G1105" s="49"/>
      <c r="H1105" s="49"/>
      <c r="I1105" s="49"/>
      <c r="J1105" s="49"/>
      <c r="K1105" s="49"/>
      <c r="L1105" s="49"/>
      <c r="M1105" s="49"/>
      <c r="N1105" s="49"/>
      <c r="O1105" s="49"/>
      <c r="P1105" s="49"/>
      <c r="Q1105" s="49"/>
      <c r="R1105" s="49"/>
      <c r="S1105" s="49"/>
      <c r="T1105" s="49"/>
      <c r="U1105" s="49"/>
      <c r="V1105" s="49"/>
      <c r="W1105" s="49"/>
      <c r="X1105" s="49"/>
      <c r="Y1105" s="49"/>
      <c r="Z1105" s="49"/>
    </row>
    <row r="1106">
      <c r="A1106" s="49" t="str">
        <f>IFERROR(__xludf.DUMMYFUNCTION("""COMPUTED_VALUE"""),"Ancient Fire Serpent Egg")</f>
        <v>Ancient Fire Serpent Egg</v>
      </c>
      <c r="B1106" s="49"/>
      <c r="C1106" s="49" t="str">
        <f>IFERROR(__xludf.DUMMYFUNCTION("""COMPUTED_VALUE"""),"Item")</f>
        <v>Item</v>
      </c>
      <c r="D1106" s="49"/>
      <c r="E1106" s="49"/>
      <c r="F1106" s="49"/>
      <c r="G1106" s="49"/>
      <c r="H1106" s="49"/>
      <c r="I1106" s="49"/>
      <c r="J1106" s="49"/>
      <c r="K1106" s="49"/>
      <c r="L1106" s="49"/>
      <c r="M1106" s="49"/>
      <c r="N1106" s="49"/>
      <c r="O1106" s="49"/>
      <c r="P1106" s="49"/>
      <c r="Q1106" s="49"/>
      <c r="R1106" s="49"/>
      <c r="S1106" s="49"/>
      <c r="T1106" s="49"/>
      <c r="U1106" s="49"/>
      <c r="V1106" s="49"/>
      <c r="W1106" s="49"/>
      <c r="X1106" s="49"/>
      <c r="Y1106" s="49"/>
      <c r="Z1106" s="49"/>
    </row>
    <row r="1107">
      <c r="A1107" s="49" t="str">
        <f>IFERROR(__xludf.DUMMYFUNCTION("""COMPUTED_VALUE"""),"Demons Eye")</f>
        <v>Demons Eye</v>
      </c>
      <c r="B1107" s="49" t="str">
        <f>IFERROR(__xludf.DUMMYFUNCTION("""COMPUTED_VALUE"""),"Crafting Material, roll a d20 to see how many you get if this is a loot drop.")</f>
        <v>Crafting Material, roll a d20 to see how many you get if this is a loot drop.</v>
      </c>
      <c r="C1107" s="49" t="str">
        <f>IFERROR(__xludf.DUMMYFUNCTION("""COMPUTED_VALUE"""),"Item")</f>
        <v>Item</v>
      </c>
      <c r="D1107" s="49"/>
      <c r="E1107" s="49"/>
      <c r="F1107" s="49"/>
      <c r="G1107" s="49"/>
      <c r="H1107" s="49"/>
      <c r="I1107" s="49"/>
      <c r="J1107" s="49"/>
      <c r="K1107" s="49"/>
      <c r="L1107" s="49"/>
      <c r="M1107" s="49"/>
      <c r="N1107" s="49"/>
      <c r="O1107" s="49"/>
      <c r="P1107" s="49"/>
      <c r="Q1107" s="49"/>
      <c r="R1107" s="49"/>
      <c r="S1107" s="49"/>
      <c r="T1107" s="49"/>
      <c r="U1107" s="49"/>
      <c r="V1107" s="49"/>
      <c r="W1107" s="49"/>
      <c r="X1107" s="49"/>
      <c r="Y1107" s="49"/>
      <c r="Z1107" s="49"/>
    </row>
    <row r="1108">
      <c r="A1108" s="49" t="str">
        <f>IFERROR(__xludf.DUMMYFUNCTION("""COMPUTED_VALUE"""),"Demon Core")</f>
        <v>Demon Core</v>
      </c>
      <c r="B1108" s="49" t="str">
        <f>IFERROR(__xludf.DUMMYFUNCTION("""COMPUTED_VALUE"""),"Consumable, 1 free chaos power of choice. (Can only obtain 1 per player)")</f>
        <v>Consumable, 1 free chaos power of choice. (Can only obtain 1 per player)</v>
      </c>
      <c r="C1108" s="49" t="str">
        <f>IFERROR(__xludf.DUMMYFUNCTION("""COMPUTED_VALUE"""),"Item")</f>
        <v>Item</v>
      </c>
      <c r="D1108" s="49"/>
      <c r="E1108" s="49"/>
      <c r="F1108" s="49"/>
      <c r="G1108" s="49"/>
      <c r="H1108" s="49"/>
      <c r="I1108" s="49"/>
      <c r="J1108" s="49"/>
      <c r="K1108" s="49"/>
      <c r="L1108" s="49"/>
      <c r="M1108" s="49"/>
      <c r="N1108" s="49"/>
      <c r="O1108" s="49"/>
      <c r="P1108" s="49"/>
      <c r="Q1108" s="49"/>
      <c r="R1108" s="49"/>
      <c r="S1108" s="49"/>
      <c r="T1108" s="49"/>
      <c r="U1108" s="49"/>
      <c r="V1108" s="49"/>
      <c r="W1108" s="49"/>
      <c r="X1108" s="49"/>
      <c r="Y1108" s="49"/>
      <c r="Z1108" s="49"/>
    </row>
    <row r="1109">
      <c r="A1109" s="49" t="str">
        <f>IFERROR(__xludf.DUMMYFUNCTION("""COMPUTED_VALUE"""),"Sentinel Core")</f>
        <v>Sentinel Core</v>
      </c>
      <c r="B1109" s="49" t="str">
        <f>IFERROR(__xludf.DUMMYFUNCTION("""COMPUTED_VALUE"""),"Summon an Ancient Fire Sentinel to battle, Level determined by DM/GM. Can only be used once.")</f>
        <v>Summon an Ancient Fire Sentinel to battle, Level determined by DM/GM. Can only be used once.</v>
      </c>
      <c r="C1109" s="49" t="str">
        <f>IFERROR(__xludf.DUMMYFUNCTION("""COMPUTED_VALUE"""),"Item")</f>
        <v>Item</v>
      </c>
      <c r="D1109" s="49"/>
      <c r="E1109" s="49"/>
      <c r="F1109" s="49"/>
      <c r="G1109" s="49"/>
      <c r="H1109" s="49"/>
      <c r="I1109" s="49"/>
      <c r="J1109" s="49"/>
      <c r="K1109" s="49"/>
      <c r="L1109" s="49"/>
      <c r="M1109" s="49"/>
      <c r="N1109" s="49"/>
      <c r="O1109" s="49"/>
      <c r="P1109" s="49"/>
      <c r="Q1109" s="49"/>
      <c r="R1109" s="49"/>
      <c r="S1109" s="49"/>
      <c r="T1109" s="49"/>
      <c r="U1109" s="49"/>
      <c r="V1109" s="49"/>
      <c r="W1109" s="49"/>
      <c r="X1109" s="49"/>
      <c r="Y1109" s="49"/>
      <c r="Z1109" s="49"/>
    </row>
    <row r="1110">
      <c r="A1110" s="49" t="str">
        <f>IFERROR(__xludf.DUMMYFUNCTION("""COMPUTED_VALUE"""),"Fire Gem")</f>
        <v>Fire Gem</v>
      </c>
      <c r="B1110" s="49" t="str">
        <f>IFERROR(__xludf.DUMMYFUNCTION("""COMPUTED_VALUE"""),"Crafting Material, roll a d20 to see how many you get if this is a loot drop.")</f>
        <v>Crafting Material, roll a d20 to see how many you get if this is a loot drop.</v>
      </c>
      <c r="C1110" s="49" t="str">
        <f>IFERROR(__xludf.DUMMYFUNCTION("""COMPUTED_VALUE"""),"Item")</f>
        <v>Item</v>
      </c>
      <c r="D1110" s="49"/>
      <c r="E1110" s="49"/>
      <c r="F1110" s="49"/>
      <c r="G1110" s="49"/>
      <c r="H1110" s="49"/>
      <c r="I1110" s="49"/>
      <c r="J1110" s="49"/>
      <c r="K1110" s="49"/>
      <c r="L1110" s="49"/>
      <c r="M1110" s="49"/>
      <c r="N1110" s="49"/>
      <c r="O1110" s="49"/>
      <c r="P1110" s="49"/>
      <c r="Q1110" s="49"/>
      <c r="R1110" s="49"/>
      <c r="S1110" s="49"/>
      <c r="T1110" s="49"/>
      <c r="U1110" s="49"/>
      <c r="V1110" s="49"/>
      <c r="W1110" s="49"/>
      <c r="X1110" s="49"/>
      <c r="Y1110" s="49"/>
      <c r="Z1110" s="49"/>
    </row>
    <row r="1111">
      <c r="A1111" s="49" t="str">
        <f>IFERROR(__xludf.DUMMYFUNCTION("""COMPUTED_VALUE"""),"Aquatic Diamond")</f>
        <v>Aquatic Diamond</v>
      </c>
      <c r="B1111" s="49" t="str">
        <f>IFERROR(__xludf.DUMMYFUNCTION("""COMPUTED_VALUE"""),"Crafting Material, roll a d20 to see how many you get if this is a loot drop.")</f>
        <v>Crafting Material, roll a d20 to see how many you get if this is a loot drop.</v>
      </c>
      <c r="C1111" s="49" t="str">
        <f>IFERROR(__xludf.DUMMYFUNCTION("""COMPUTED_VALUE"""),"Item")</f>
        <v>Item</v>
      </c>
      <c r="D1111" s="49"/>
      <c r="E1111" s="49"/>
      <c r="F1111" s="49"/>
      <c r="G1111" s="49"/>
      <c r="H1111" s="49"/>
      <c r="I1111" s="49"/>
      <c r="J1111" s="49"/>
      <c r="K1111" s="49"/>
      <c r="L1111" s="49"/>
      <c r="M1111" s="49"/>
      <c r="N1111" s="49"/>
      <c r="O1111" s="49"/>
      <c r="P1111" s="49"/>
      <c r="Q1111" s="49"/>
      <c r="R1111" s="49"/>
      <c r="S1111" s="49"/>
      <c r="T1111" s="49"/>
      <c r="U1111" s="49"/>
      <c r="V1111" s="49"/>
      <c r="W1111" s="49"/>
      <c r="X1111" s="49"/>
      <c r="Y1111" s="49"/>
      <c r="Z1111" s="49"/>
    </row>
    <row r="1112">
      <c r="A1112" s="49" t="str">
        <f>IFERROR(__xludf.DUMMYFUNCTION("""COMPUTED_VALUE"""),"Corrupted Twilight Knight Soul")</f>
        <v>Corrupted Twilight Knight Soul</v>
      </c>
      <c r="B1112" s="49"/>
      <c r="C1112" s="49" t="str">
        <f>IFERROR(__xludf.DUMMYFUNCTION("""COMPUTED_VALUE"""),"Item")</f>
        <v>Item</v>
      </c>
      <c r="D1112" s="49"/>
      <c r="E1112" s="49"/>
      <c r="F1112" s="49"/>
      <c r="G1112" s="49"/>
      <c r="H1112" s="49"/>
      <c r="I1112" s="49"/>
      <c r="J1112" s="49"/>
      <c r="K1112" s="49"/>
      <c r="L1112" s="49"/>
      <c r="M1112" s="49"/>
      <c r="N1112" s="49"/>
      <c r="O1112" s="49"/>
      <c r="P1112" s="49"/>
      <c r="Q1112" s="49"/>
      <c r="R1112" s="49"/>
      <c r="S1112" s="49"/>
      <c r="T1112" s="49"/>
      <c r="U1112" s="49"/>
      <c r="V1112" s="49"/>
      <c r="W1112" s="49"/>
      <c r="X1112" s="49"/>
      <c r="Y1112" s="49"/>
      <c r="Z1112" s="49"/>
    </row>
    <row r="1113">
      <c r="A1113" s="49" t="str">
        <f>IFERROR(__xludf.DUMMYFUNCTION("""COMPUTED_VALUE"""),"Hay")</f>
        <v>Hay</v>
      </c>
      <c r="B1113" s="49" t="str">
        <f>IFERROR(__xludf.DUMMYFUNCTION("""COMPUTED_VALUE"""),"Restores 5 hunger.")</f>
        <v>Restores 5 hunger.</v>
      </c>
      <c r="C1113" s="49" t="str">
        <f>IFERROR(__xludf.DUMMYFUNCTION("""COMPUTED_VALUE"""),"Crop")</f>
        <v>Crop</v>
      </c>
      <c r="D1113" s="49"/>
      <c r="E1113" s="49"/>
      <c r="F1113" s="49"/>
      <c r="G1113" s="49"/>
      <c r="H1113" s="49"/>
      <c r="I1113" s="49"/>
      <c r="J1113" s="49"/>
      <c r="K1113" s="49"/>
      <c r="L1113" s="49"/>
      <c r="M1113" s="49"/>
      <c r="N1113" s="49"/>
      <c r="O1113" s="49"/>
      <c r="P1113" s="49"/>
      <c r="Q1113" s="49"/>
      <c r="R1113" s="49"/>
      <c r="S1113" s="49"/>
      <c r="T1113" s="49"/>
      <c r="U1113" s="49"/>
      <c r="V1113" s="49"/>
      <c r="W1113" s="49"/>
      <c r="X1113" s="49"/>
      <c r="Y1113" s="49"/>
      <c r="Z1113" s="49"/>
    </row>
    <row r="1114">
      <c r="A1114" s="49" t="str">
        <f>IFERROR(__xludf.DUMMYFUNCTION("""COMPUTED_VALUE"""),"Shadow Suit of armor Soul")</f>
        <v>Shadow Suit of armor Soul</v>
      </c>
      <c r="B1114" s="49"/>
      <c r="C1114" s="49" t="str">
        <f>IFERROR(__xludf.DUMMYFUNCTION("""COMPUTED_VALUE"""),"Item")</f>
        <v>Item</v>
      </c>
      <c r="D1114" s="49"/>
      <c r="E1114" s="49"/>
      <c r="F1114" s="49"/>
      <c r="G1114" s="49"/>
      <c r="H1114" s="49"/>
      <c r="I1114" s="49"/>
      <c r="J1114" s="49"/>
      <c r="K1114" s="49"/>
      <c r="L1114" s="49"/>
      <c r="M1114" s="49"/>
      <c r="N1114" s="49"/>
      <c r="O1114" s="49"/>
      <c r="P1114" s="49"/>
      <c r="Q1114" s="49"/>
      <c r="R1114" s="49"/>
      <c r="S1114" s="49"/>
      <c r="T1114" s="49"/>
      <c r="U1114" s="49"/>
      <c r="V1114" s="49"/>
      <c r="W1114" s="49"/>
      <c r="X1114" s="49"/>
      <c r="Y1114" s="49"/>
      <c r="Z1114" s="49"/>
    </row>
    <row r="1115">
      <c r="A1115" s="49" t="str">
        <f>IFERROR(__xludf.DUMMYFUNCTION("""COMPUTED_VALUE"""),"Mana Potion")</f>
        <v>Mana Potion</v>
      </c>
      <c r="B1115" s="49" t="str">
        <f>IFERROR(__xludf.DUMMYFUNCTION("""COMPUTED_VALUE"""),"Regain 10 SP")</f>
        <v>Regain 10 SP</v>
      </c>
      <c r="C1115" s="49" t="str">
        <f>IFERROR(__xludf.DUMMYFUNCTION("""COMPUTED_VALUE"""),"Item")</f>
        <v>Item</v>
      </c>
      <c r="D1115" s="49"/>
      <c r="E1115" s="49"/>
      <c r="F1115" s="49"/>
      <c r="G1115" s="49"/>
      <c r="H1115" s="49"/>
      <c r="I1115" s="49"/>
      <c r="J1115" s="49"/>
      <c r="K1115" s="49"/>
      <c r="L1115" s="49"/>
      <c r="M1115" s="49"/>
      <c r="N1115" s="49"/>
      <c r="O1115" s="49"/>
      <c r="P1115" s="49"/>
      <c r="Q1115" s="49"/>
      <c r="R1115" s="49"/>
      <c r="S1115" s="49"/>
      <c r="T1115" s="49"/>
      <c r="U1115" s="49"/>
      <c r="V1115" s="49"/>
      <c r="W1115" s="49"/>
      <c r="X1115" s="49"/>
      <c r="Y1115" s="49"/>
      <c r="Z1115" s="49"/>
    </row>
    <row r="1116">
      <c r="A1116" s="49" t="str">
        <f>IFERROR(__xludf.DUMMYFUNCTION("""COMPUTED_VALUE"""),"Werewolf Pelt")</f>
        <v>Werewolf Pelt</v>
      </c>
      <c r="B1116" s="49" t="str">
        <f>IFERROR(__xludf.DUMMYFUNCTION("""COMPUTED_VALUE"""),"Crafting Material, roll a d20 to see how many you get if this is a loot drop.")</f>
        <v>Crafting Material, roll a d20 to see how many you get if this is a loot drop.</v>
      </c>
      <c r="C1116" s="49" t="str">
        <f>IFERROR(__xludf.DUMMYFUNCTION("""COMPUTED_VALUE"""),"Item")</f>
        <v>Item</v>
      </c>
      <c r="D1116" s="49"/>
      <c r="E1116" s="49"/>
      <c r="F1116" s="49"/>
      <c r="G1116" s="49"/>
      <c r="H1116" s="49"/>
      <c r="I1116" s="49"/>
      <c r="J1116" s="49"/>
      <c r="K1116" s="49"/>
      <c r="L1116" s="49"/>
      <c r="M1116" s="49"/>
      <c r="N1116" s="49"/>
      <c r="O1116" s="49"/>
      <c r="P1116" s="49"/>
      <c r="Q1116" s="49"/>
      <c r="R1116" s="49"/>
      <c r="S1116" s="49"/>
      <c r="T1116" s="49"/>
      <c r="U1116" s="49"/>
      <c r="V1116" s="49"/>
      <c r="W1116" s="49"/>
      <c r="X1116" s="49"/>
      <c r="Y1116" s="49"/>
      <c r="Z1116" s="49"/>
    </row>
    <row r="1117">
      <c r="A1117" s="49" t="str">
        <f>IFERROR(__xludf.DUMMYFUNCTION("""COMPUTED_VALUE"""),"Halloween Emerald")</f>
        <v>Halloween Emerald</v>
      </c>
      <c r="B1117" s="49" t="str">
        <f>IFERROR(__xludf.DUMMYFUNCTION("""COMPUTED_VALUE"""),"Crafting Material, roll a d20 to see how many you get if this is a loot drop.")</f>
        <v>Crafting Material, roll a d20 to see how many you get if this is a loot drop.</v>
      </c>
      <c r="C1117" s="49" t="str">
        <f>IFERROR(__xludf.DUMMYFUNCTION("""COMPUTED_VALUE"""),"Item")</f>
        <v>Item</v>
      </c>
      <c r="D1117" s="49"/>
      <c r="E1117" s="49"/>
      <c r="F1117" s="49"/>
      <c r="G1117" s="49"/>
      <c r="H1117" s="49"/>
      <c r="I1117" s="49"/>
      <c r="J1117" s="49"/>
      <c r="K1117" s="49"/>
      <c r="L1117" s="49"/>
      <c r="M1117" s="49"/>
      <c r="N1117" s="49"/>
      <c r="O1117" s="49"/>
      <c r="P1117" s="49"/>
      <c r="Q1117" s="49"/>
      <c r="R1117" s="49"/>
      <c r="S1117" s="49"/>
      <c r="T1117" s="49"/>
      <c r="U1117" s="49"/>
      <c r="V1117" s="49"/>
      <c r="W1117" s="49"/>
      <c r="X1117" s="49"/>
      <c r="Y1117" s="49"/>
      <c r="Z1117" s="49"/>
    </row>
    <row r="1118">
      <c r="A1118" s="49" t="str">
        <f>IFERROR(__xludf.DUMMYFUNCTION("""COMPUTED_VALUE"""),"Giant Halloween Diamond")</f>
        <v>Giant Halloween Diamond</v>
      </c>
      <c r="B1118" s="49" t="str">
        <f>IFERROR(__xludf.DUMMYFUNCTION("""COMPUTED_VALUE"""),"Crafting Material, roll a d20 to see how many you get if this is a loot drop.")</f>
        <v>Crafting Material, roll a d20 to see how many you get if this is a loot drop.</v>
      </c>
      <c r="C1118" s="49" t="str">
        <f>IFERROR(__xludf.DUMMYFUNCTION("""COMPUTED_VALUE"""),"Item")</f>
        <v>Item</v>
      </c>
      <c r="D1118" s="49"/>
      <c r="E1118" s="49"/>
      <c r="F1118" s="49"/>
      <c r="G1118" s="49"/>
      <c r="H1118" s="49"/>
      <c r="I1118" s="49"/>
      <c r="J1118" s="49"/>
      <c r="K1118" s="49"/>
      <c r="L1118" s="49"/>
      <c r="M1118" s="49"/>
      <c r="N1118" s="49"/>
      <c r="O1118" s="49"/>
      <c r="P1118" s="49"/>
      <c r="Q1118" s="49"/>
      <c r="R1118" s="49"/>
      <c r="S1118" s="49"/>
      <c r="T1118" s="49"/>
      <c r="U1118" s="49"/>
      <c r="V1118" s="49"/>
      <c r="W1118" s="49"/>
      <c r="X1118" s="49"/>
      <c r="Y1118" s="49"/>
      <c r="Z1118" s="49"/>
    </row>
    <row r="1119">
      <c r="A1119" s="49" t="str">
        <f>IFERROR(__xludf.DUMMYFUNCTION("""COMPUTED_VALUE"""),"Rank 9 Twilight Tome")</f>
        <v>Rank 9 Twilight Tome</v>
      </c>
      <c r="B1119" s="49" t="str">
        <f>IFERROR(__xludf.DUMMYFUNCTION("""COMPUTED_VALUE"""),"Allows use of up to Rank 9 Twilight Powers")</f>
        <v>Allows use of up to Rank 9 Twilight Powers</v>
      </c>
      <c r="C1119" s="49" t="str">
        <f>IFERROR(__xludf.DUMMYFUNCTION("""COMPUTED_VALUE"""),"Item")</f>
        <v>Item</v>
      </c>
      <c r="D1119" s="49"/>
      <c r="E1119" s="49"/>
      <c r="F1119" s="49"/>
      <c r="G1119" s="49"/>
      <c r="H1119" s="49"/>
      <c r="I1119" s="49"/>
      <c r="J1119" s="49"/>
      <c r="K1119" s="49"/>
      <c r="L1119" s="49"/>
      <c r="M1119" s="49"/>
      <c r="N1119" s="49"/>
      <c r="O1119" s="49"/>
      <c r="P1119" s="49"/>
      <c r="Q1119" s="49"/>
      <c r="R1119" s="49"/>
      <c r="S1119" s="49"/>
      <c r="T1119" s="49"/>
      <c r="U1119" s="49"/>
      <c r="V1119" s="49"/>
      <c r="W1119" s="49"/>
      <c r="X1119" s="49"/>
      <c r="Y1119" s="49"/>
      <c r="Z1119" s="49"/>
    </row>
    <row r="1120">
      <c r="A1120" s="49" t="str">
        <f>IFERROR(__xludf.DUMMYFUNCTION("""COMPUTED_VALUE"""),"Stasis Tome Rank 9")</f>
        <v>Stasis Tome Rank 9</v>
      </c>
      <c r="B1120" s="49" t="str">
        <f>IFERROR(__xludf.DUMMYFUNCTION("""COMPUTED_VALUE"""),"Allows use of up to Rank 9 Stasis Powers")</f>
        <v>Allows use of up to Rank 9 Stasis Powers</v>
      </c>
      <c r="C1120" s="49" t="str">
        <f>IFERROR(__xludf.DUMMYFUNCTION("""COMPUTED_VALUE"""),"Item")</f>
        <v>Item</v>
      </c>
      <c r="D1120" s="49"/>
      <c r="E1120" s="49"/>
      <c r="F1120" s="49"/>
      <c r="G1120" s="49"/>
      <c r="H1120" s="49"/>
      <c r="I1120" s="49"/>
      <c r="J1120" s="49"/>
      <c r="K1120" s="49"/>
      <c r="L1120" s="49"/>
      <c r="M1120" s="49"/>
      <c r="N1120" s="49"/>
      <c r="O1120" s="49"/>
      <c r="P1120" s="49"/>
      <c r="Q1120" s="49"/>
      <c r="R1120" s="49"/>
      <c r="S1120" s="49"/>
      <c r="T1120" s="49"/>
      <c r="U1120" s="49"/>
      <c r="V1120" s="49"/>
      <c r="W1120" s="49"/>
      <c r="X1120" s="49"/>
      <c r="Y1120" s="49"/>
      <c r="Z1120" s="49"/>
    </row>
    <row r="1121">
      <c r="A1121" s="49" t="str">
        <f>IFERROR(__xludf.DUMMYFUNCTION("""COMPUTED_VALUE"""),"Celestial Core")</f>
        <v>Celestial Core</v>
      </c>
      <c r="B1121" s="49" t="str">
        <f>IFERROR(__xludf.DUMMYFUNCTION("""COMPUTED_VALUE"""),"Crafting Material, roll a d20 to see how many you get if this is a loot drop.")</f>
        <v>Crafting Material, roll a d20 to see how many you get if this is a loot drop.</v>
      </c>
      <c r="C1121" s="49" t="str">
        <f>IFERROR(__xludf.DUMMYFUNCTION("""COMPUTED_VALUE"""),"Item")</f>
        <v>Item</v>
      </c>
      <c r="D1121" s="49"/>
      <c r="E1121" s="49"/>
      <c r="F1121" s="49"/>
      <c r="G1121" s="49"/>
      <c r="H1121" s="49"/>
      <c r="I1121" s="49"/>
      <c r="J1121" s="49"/>
      <c r="K1121" s="49"/>
      <c r="L1121" s="49"/>
      <c r="M1121" s="49"/>
      <c r="N1121" s="49"/>
      <c r="O1121" s="49"/>
      <c r="P1121" s="49"/>
      <c r="Q1121" s="49"/>
      <c r="R1121" s="49"/>
      <c r="S1121" s="49"/>
      <c r="T1121" s="49"/>
      <c r="U1121" s="49"/>
      <c r="V1121" s="49"/>
      <c r="W1121" s="49"/>
      <c r="X1121" s="49"/>
      <c r="Y1121" s="49"/>
      <c r="Z1121" s="49"/>
    </row>
    <row r="1122">
      <c r="A1122" s="49" t="str">
        <f>IFERROR(__xludf.DUMMYFUNCTION("""COMPUTED_VALUE"""),"Vampires Tooth")</f>
        <v>Vampires Tooth</v>
      </c>
      <c r="B1122" s="49" t="str">
        <f>IFERROR(__xludf.DUMMYFUNCTION("""COMPUTED_VALUE"""),"Crafting Material, roll a d20 to see how many you get if this is a loot drop.")</f>
        <v>Crafting Material, roll a d20 to see how many you get if this is a loot drop.</v>
      </c>
      <c r="C1122" s="49" t="str">
        <f>IFERROR(__xludf.DUMMYFUNCTION("""COMPUTED_VALUE"""),"Item")</f>
        <v>Item</v>
      </c>
      <c r="D1122" s="49"/>
      <c r="E1122" s="49"/>
      <c r="F1122" s="49"/>
      <c r="G1122" s="49"/>
      <c r="H1122" s="49"/>
      <c r="I1122" s="49"/>
      <c r="J1122" s="49"/>
      <c r="K1122" s="49"/>
      <c r="L1122" s="49"/>
      <c r="M1122" s="49"/>
      <c r="N1122" s="49"/>
      <c r="O1122" s="49"/>
      <c r="P1122" s="49"/>
      <c r="Q1122" s="49"/>
      <c r="R1122" s="49"/>
      <c r="S1122" s="49"/>
      <c r="T1122" s="49"/>
      <c r="U1122" s="49"/>
      <c r="V1122" s="49"/>
      <c r="W1122" s="49"/>
      <c r="X1122" s="49"/>
      <c r="Y1122" s="49"/>
      <c r="Z1122" s="49"/>
    </row>
    <row r="1123">
      <c r="A1123" s="49" t="str">
        <f>IFERROR(__xludf.DUMMYFUNCTION("""COMPUTED_VALUE"""),"Cursed Statue Of Knowing")</f>
        <v>Cursed Statue Of Knowing</v>
      </c>
      <c r="B1123" s="49" t="str">
        <f>IFERROR(__xludf.DUMMYFUNCTION("""COMPUTED_VALUE"""),"Quest item.")</f>
        <v>Quest item.</v>
      </c>
      <c r="C1123" s="49" t="str">
        <f>IFERROR(__xludf.DUMMYFUNCTION("""COMPUTED_VALUE"""),"Item")</f>
        <v>Item</v>
      </c>
      <c r="D1123" s="49"/>
      <c r="E1123" s="49"/>
      <c r="F1123" s="49"/>
      <c r="G1123" s="49"/>
      <c r="H1123" s="49"/>
      <c r="I1123" s="49"/>
      <c r="J1123" s="49"/>
      <c r="K1123" s="49"/>
      <c r="L1123" s="49"/>
      <c r="M1123" s="49"/>
      <c r="N1123" s="49"/>
      <c r="O1123" s="49"/>
      <c r="P1123" s="49"/>
      <c r="Q1123" s="49"/>
      <c r="R1123" s="49"/>
      <c r="S1123" s="49"/>
      <c r="T1123" s="49"/>
      <c r="U1123" s="49"/>
      <c r="V1123" s="49"/>
      <c r="W1123" s="49"/>
      <c r="X1123" s="49"/>
      <c r="Y1123" s="49"/>
      <c r="Z1123" s="49"/>
    </row>
    <row r="1124">
      <c r="A1124" s="49" t="str">
        <f>IFERROR(__xludf.DUMMYFUNCTION("""COMPUTED_VALUE"""),"Orb Of Shadows")</f>
        <v>Orb Of Shadows</v>
      </c>
      <c r="B1124" s="49" t="str">
        <f>IFERROR(__xludf.DUMMYFUNCTION("""COMPUTED_VALUE"""),"Quest item.")</f>
        <v>Quest item.</v>
      </c>
      <c r="C1124" s="49" t="str">
        <f>IFERROR(__xludf.DUMMYFUNCTION("""COMPUTED_VALUE"""),"Item")</f>
        <v>Item</v>
      </c>
      <c r="D1124" s="49"/>
      <c r="E1124" s="49"/>
      <c r="F1124" s="49"/>
      <c r="G1124" s="49"/>
      <c r="H1124" s="49"/>
      <c r="I1124" s="49"/>
      <c r="J1124" s="49"/>
      <c r="K1124" s="49"/>
      <c r="L1124" s="49"/>
      <c r="M1124" s="49"/>
      <c r="N1124" s="49"/>
      <c r="O1124" s="49"/>
      <c r="P1124" s="49"/>
      <c r="Q1124" s="49"/>
      <c r="R1124" s="49"/>
      <c r="S1124" s="49"/>
      <c r="T1124" s="49"/>
      <c r="U1124" s="49"/>
      <c r="V1124" s="49"/>
      <c r="W1124" s="49"/>
      <c r="X1124" s="49"/>
      <c r="Y1124" s="49"/>
      <c r="Z1124" s="49"/>
    </row>
    <row r="1125">
      <c r="A1125" s="49" t="str">
        <f>IFERROR(__xludf.DUMMYFUNCTION("""COMPUTED_VALUE"""),"Blessed Torch")</f>
        <v>Blessed Torch</v>
      </c>
      <c r="B1125" s="49" t="str">
        <f>IFERROR(__xludf.DUMMYFUNCTION("""COMPUTED_VALUE"""),"Lights a bonfire. (guaranteed drop)")</f>
        <v>Lights a bonfire. (guaranteed drop)</v>
      </c>
      <c r="C1125" s="49" t="str">
        <f>IFERROR(__xludf.DUMMYFUNCTION("""COMPUTED_VALUE"""),"Item")</f>
        <v>Item</v>
      </c>
      <c r="D1125" s="49"/>
      <c r="E1125" s="49"/>
      <c r="F1125" s="49"/>
      <c r="G1125" s="49"/>
      <c r="H1125" s="49"/>
      <c r="I1125" s="49"/>
      <c r="J1125" s="49"/>
      <c r="K1125" s="49"/>
      <c r="L1125" s="49"/>
      <c r="M1125" s="49"/>
      <c r="N1125" s="49"/>
      <c r="O1125" s="49"/>
      <c r="P1125" s="49"/>
      <c r="Q1125" s="49"/>
      <c r="R1125" s="49"/>
      <c r="S1125" s="49"/>
      <c r="T1125" s="49"/>
      <c r="U1125" s="49"/>
      <c r="V1125" s="49"/>
      <c r="W1125" s="49"/>
      <c r="X1125" s="49"/>
      <c r="Y1125" s="49"/>
      <c r="Z1125" s="49"/>
    </row>
    <row r="1126">
      <c r="A1126" s="49" t="str">
        <f>IFERROR(__xludf.DUMMYFUNCTION("""COMPUTED_VALUE"""),"Pebble of Fertility")</f>
        <v>Pebble of Fertility</v>
      </c>
      <c r="B1126" s="49" t="str">
        <f>IFERROR(__xludf.DUMMYFUNCTION("""COMPUTED_VALUE"""),"double the loot when consumed before battle.")</f>
        <v>double the loot when consumed before battle.</v>
      </c>
      <c r="C1126" s="49" t="str">
        <f>IFERROR(__xludf.DUMMYFUNCTION("""COMPUTED_VALUE"""),"Item")</f>
        <v>Item</v>
      </c>
      <c r="D1126" s="49"/>
      <c r="E1126" s="49"/>
      <c r="F1126" s="49"/>
      <c r="G1126" s="49"/>
      <c r="H1126" s="49"/>
      <c r="I1126" s="49"/>
      <c r="J1126" s="49"/>
      <c r="K1126" s="49"/>
      <c r="L1126" s="49"/>
      <c r="M1126" s="49"/>
      <c r="N1126" s="49"/>
      <c r="O1126" s="49"/>
      <c r="P1126" s="49"/>
      <c r="Q1126" s="49"/>
      <c r="R1126" s="49"/>
      <c r="S1126" s="49"/>
      <c r="T1126" s="49"/>
      <c r="U1126" s="49"/>
      <c r="V1126" s="49"/>
      <c r="W1126" s="49"/>
      <c r="X1126" s="49"/>
      <c r="Y1126" s="49"/>
      <c r="Z1126" s="49"/>
    </row>
    <row r="1127">
      <c r="A1127" s="49" t="str">
        <f>IFERROR(__xludf.DUMMYFUNCTION("""COMPUTED_VALUE"""),"Forest Faery Egg")</f>
        <v>Forest Faery Egg</v>
      </c>
      <c r="B1127" s="49" t="str">
        <f>IFERROR(__xludf.DUMMYFUNCTION("""COMPUTED_VALUE"""),"Gives a Faery companion (60) (must be in a forest for the egg to hatch)")</f>
        <v>Gives a Faery companion (60) (must be in a forest for the egg to hatch)</v>
      </c>
      <c r="C1127" s="49" t="str">
        <f>IFERROR(__xludf.DUMMYFUNCTION("""COMPUTED_VALUE"""),"Item")</f>
        <v>Item</v>
      </c>
      <c r="D1127" s="49"/>
      <c r="E1127" s="49"/>
      <c r="F1127" s="49"/>
      <c r="G1127" s="49"/>
      <c r="H1127" s="49"/>
      <c r="I1127" s="49"/>
      <c r="J1127" s="49"/>
      <c r="K1127" s="49"/>
      <c r="L1127" s="49"/>
      <c r="M1127" s="49"/>
      <c r="N1127" s="49"/>
      <c r="O1127" s="49"/>
      <c r="P1127" s="49"/>
      <c r="Q1127" s="49"/>
      <c r="R1127" s="49"/>
      <c r="S1127" s="49"/>
      <c r="T1127" s="49"/>
      <c r="U1127" s="49"/>
      <c r="V1127" s="49"/>
      <c r="W1127" s="49"/>
      <c r="X1127" s="49"/>
      <c r="Y1127" s="49"/>
      <c r="Z1127" s="49"/>
    </row>
    <row r="1128">
      <c r="A1128" s="49" t="str">
        <f>IFERROR(__xludf.DUMMYFUNCTION("""COMPUTED_VALUE"""),"Pandan flower")</f>
        <v>Pandan flower</v>
      </c>
      <c r="B1128" s="49" t="str">
        <f>IFERROR(__xludf.DUMMYFUNCTION("""COMPUTED_VALUE"""),"Cures 1 curse")</f>
        <v>Cures 1 curse</v>
      </c>
      <c r="C1128" s="49" t="str">
        <f>IFERROR(__xludf.DUMMYFUNCTION("""COMPUTED_VALUE"""),"Item")</f>
        <v>Item</v>
      </c>
      <c r="D1128" s="49"/>
      <c r="E1128" s="49"/>
      <c r="F1128" s="49"/>
      <c r="G1128" s="49"/>
      <c r="H1128" s="49"/>
      <c r="I1128" s="49"/>
      <c r="J1128" s="49"/>
      <c r="K1128" s="49"/>
      <c r="L1128" s="49"/>
      <c r="M1128" s="49"/>
      <c r="N1128" s="49"/>
      <c r="O1128" s="49"/>
      <c r="P1128" s="49"/>
      <c r="Q1128" s="49"/>
      <c r="R1128" s="49"/>
      <c r="S1128" s="49"/>
      <c r="T1128" s="49"/>
      <c r="U1128" s="49"/>
      <c r="V1128" s="49"/>
      <c r="W1128" s="49"/>
      <c r="X1128" s="49"/>
      <c r="Y1128" s="49"/>
      <c r="Z1128" s="49"/>
    </row>
    <row r="1129">
      <c r="A1129" s="49" t="str">
        <f>IFERROR(__xludf.DUMMYFUNCTION("""COMPUTED_VALUE"""),"Rank 5 Earth Tome")</f>
        <v>Rank 5 Earth Tome</v>
      </c>
      <c r="B1129" s="49" t="str">
        <f>IFERROR(__xludf.DUMMYFUNCTION("""COMPUTED_VALUE"""),"Allows use of up to Rank 5 Earth Powers")</f>
        <v>Allows use of up to Rank 5 Earth Powers</v>
      </c>
      <c r="C1129" s="49" t="str">
        <f>IFERROR(__xludf.DUMMYFUNCTION("""COMPUTED_VALUE"""),"Item")</f>
        <v>Item</v>
      </c>
      <c r="D1129" s="49"/>
      <c r="E1129" s="49"/>
      <c r="F1129" s="49"/>
      <c r="G1129" s="49"/>
      <c r="H1129" s="49"/>
      <c r="I1129" s="49"/>
      <c r="J1129" s="49"/>
      <c r="K1129" s="49"/>
      <c r="L1129" s="49"/>
      <c r="M1129" s="49"/>
      <c r="N1129" s="49"/>
      <c r="O1129" s="49"/>
      <c r="P1129" s="49"/>
      <c r="Q1129" s="49"/>
      <c r="R1129" s="49"/>
      <c r="S1129" s="49"/>
      <c r="T1129" s="49"/>
      <c r="U1129" s="49"/>
      <c r="V1129" s="49"/>
      <c r="W1129" s="49"/>
      <c r="X1129" s="49"/>
      <c r="Y1129" s="49"/>
      <c r="Z1129" s="49"/>
    </row>
    <row r="1130">
      <c r="A1130" s="49" t="str">
        <f>IFERROR(__xludf.DUMMYFUNCTION("""COMPUTED_VALUE"""),"Earth Gem")</f>
        <v>Earth Gem</v>
      </c>
      <c r="B1130" s="49" t="str">
        <f>IFERROR(__xludf.DUMMYFUNCTION("""COMPUTED_VALUE"""),"Crafting Material, roll a d20 to see how many you get if this is a loot drop.")</f>
        <v>Crafting Material, roll a d20 to see how many you get if this is a loot drop.</v>
      </c>
      <c r="C1130" s="49" t="str">
        <f>IFERROR(__xludf.DUMMYFUNCTION("""COMPUTED_VALUE"""),"Item")</f>
        <v>Item</v>
      </c>
      <c r="D1130" s="49"/>
      <c r="E1130" s="49"/>
      <c r="F1130" s="49"/>
      <c r="G1130" s="49"/>
      <c r="H1130" s="49"/>
      <c r="I1130" s="49"/>
      <c r="J1130" s="49"/>
      <c r="K1130" s="49"/>
      <c r="L1130" s="49"/>
      <c r="M1130" s="49"/>
      <c r="N1130" s="49"/>
      <c r="O1130" s="49"/>
      <c r="P1130" s="49"/>
      <c r="Q1130" s="49"/>
      <c r="R1130" s="49"/>
      <c r="S1130" s="49"/>
      <c r="T1130" s="49"/>
      <c r="U1130" s="49"/>
      <c r="V1130" s="49"/>
      <c r="W1130" s="49"/>
      <c r="X1130" s="49"/>
      <c r="Y1130" s="49"/>
      <c r="Z1130" s="49"/>
    </row>
    <row r="1131">
      <c r="A1131" s="49" t="str">
        <f>IFERROR(__xludf.DUMMYFUNCTION("""COMPUTED_VALUE"""),"Key Of Knowledge")</f>
        <v>Key Of Knowledge</v>
      </c>
      <c r="B1131" s="49" t="str">
        <f>IFERROR(__xludf.DUMMYFUNCTION("""COMPUTED_VALUE"""),"grants access to the room of knowledge")</f>
        <v>grants access to the room of knowledge</v>
      </c>
      <c r="C1131" s="49" t="str">
        <f>IFERROR(__xludf.DUMMYFUNCTION("""COMPUTED_VALUE"""),"Item")</f>
        <v>Item</v>
      </c>
      <c r="D1131" s="49"/>
      <c r="E1131" s="49"/>
      <c r="F1131" s="49"/>
      <c r="G1131" s="49"/>
      <c r="H1131" s="49"/>
      <c r="I1131" s="49"/>
      <c r="J1131" s="49"/>
      <c r="K1131" s="49"/>
      <c r="L1131" s="49"/>
      <c r="M1131" s="49"/>
      <c r="N1131" s="49"/>
      <c r="O1131" s="49"/>
      <c r="P1131" s="49"/>
      <c r="Q1131" s="49"/>
      <c r="R1131" s="49"/>
      <c r="S1131" s="49"/>
      <c r="T1131" s="49"/>
      <c r="U1131" s="49"/>
      <c r="V1131" s="49"/>
      <c r="W1131" s="49"/>
      <c r="X1131" s="49"/>
      <c r="Y1131" s="49"/>
      <c r="Z1131" s="49"/>
    </row>
    <row r="1132">
      <c r="A1132" s="49" t="str">
        <f>IFERROR(__xludf.DUMMYFUNCTION("""COMPUTED_VALUE"""),"Medallion 1")</f>
        <v>Medallion 1</v>
      </c>
      <c r="B1132" s="49" t="str">
        <f>IFERROR(__xludf.DUMMYFUNCTION("""COMPUTED_VALUE"""),"Grants access to the Ruins of Mana.")</f>
        <v>Grants access to the Ruins of Mana.</v>
      </c>
      <c r="C1132" s="49" t="str">
        <f>IFERROR(__xludf.DUMMYFUNCTION("""COMPUTED_VALUE"""),"Item")</f>
        <v>Item</v>
      </c>
      <c r="D1132" s="49"/>
      <c r="E1132" s="49"/>
      <c r="F1132" s="49"/>
      <c r="G1132" s="49"/>
      <c r="H1132" s="49"/>
      <c r="I1132" s="49"/>
      <c r="J1132" s="49"/>
      <c r="K1132" s="49"/>
      <c r="L1132" s="49"/>
      <c r="M1132" s="49"/>
      <c r="N1132" s="49"/>
      <c r="O1132" s="49"/>
      <c r="P1132" s="49"/>
      <c r="Q1132" s="49"/>
      <c r="R1132" s="49"/>
      <c r="S1132" s="49"/>
      <c r="T1132" s="49"/>
      <c r="U1132" s="49"/>
      <c r="V1132" s="49"/>
      <c r="W1132" s="49"/>
      <c r="X1132" s="49"/>
      <c r="Y1132" s="49"/>
      <c r="Z1132" s="49"/>
    </row>
    <row r="1133">
      <c r="A1133" s="49" t="str">
        <f>IFERROR(__xludf.DUMMYFUNCTION("""COMPUTED_VALUE"""),"Medallion 2")</f>
        <v>Medallion 2</v>
      </c>
      <c r="B1133" s="49" t="str">
        <f>IFERROR(__xludf.DUMMYFUNCTION("""COMPUTED_VALUE"""),"Grants access to the Ruins of Mana.")</f>
        <v>Grants access to the Ruins of Mana.</v>
      </c>
      <c r="C1133" s="49" t="str">
        <f>IFERROR(__xludf.DUMMYFUNCTION("""COMPUTED_VALUE"""),"Item")</f>
        <v>Item</v>
      </c>
      <c r="D1133" s="49"/>
      <c r="E1133" s="49"/>
      <c r="F1133" s="49"/>
      <c r="G1133" s="49"/>
      <c r="H1133" s="49"/>
      <c r="I1133" s="49"/>
      <c r="J1133" s="49"/>
      <c r="K1133" s="49"/>
      <c r="L1133" s="49"/>
      <c r="M1133" s="49"/>
      <c r="N1133" s="49"/>
      <c r="O1133" s="49"/>
      <c r="P1133" s="49"/>
      <c r="Q1133" s="49"/>
      <c r="R1133" s="49"/>
      <c r="S1133" s="49"/>
      <c r="T1133" s="49"/>
      <c r="U1133" s="49"/>
      <c r="V1133" s="49"/>
      <c r="W1133" s="49"/>
      <c r="X1133" s="49"/>
      <c r="Y1133" s="49"/>
      <c r="Z1133" s="49"/>
    </row>
    <row r="1134">
      <c r="A1134" s="49" t="str">
        <f>IFERROR(__xludf.DUMMYFUNCTION("""COMPUTED_VALUE"""),"Medallion 3")</f>
        <v>Medallion 3</v>
      </c>
      <c r="B1134" s="49" t="str">
        <f>IFERROR(__xludf.DUMMYFUNCTION("""COMPUTED_VALUE"""),"Grants access to the Ruins of Mana.")</f>
        <v>Grants access to the Ruins of Mana.</v>
      </c>
      <c r="C1134" s="49" t="str">
        <f>IFERROR(__xludf.DUMMYFUNCTION("""COMPUTED_VALUE"""),"Item")</f>
        <v>Item</v>
      </c>
      <c r="D1134" s="49"/>
      <c r="E1134" s="49"/>
      <c r="F1134" s="49"/>
      <c r="G1134" s="49"/>
      <c r="H1134" s="49"/>
      <c r="I1134" s="49"/>
      <c r="J1134" s="49"/>
      <c r="K1134" s="49"/>
      <c r="L1134" s="49"/>
      <c r="M1134" s="49"/>
      <c r="N1134" s="49"/>
      <c r="O1134" s="49"/>
      <c r="P1134" s="49"/>
      <c r="Q1134" s="49"/>
      <c r="R1134" s="49"/>
      <c r="S1134" s="49"/>
      <c r="T1134" s="49"/>
      <c r="U1134" s="49"/>
      <c r="V1134" s="49"/>
      <c r="W1134" s="49"/>
      <c r="X1134" s="49"/>
      <c r="Y1134" s="49"/>
      <c r="Z1134" s="49"/>
    </row>
    <row r="1135">
      <c r="A1135" s="49" t="str">
        <f>IFERROR(__xludf.DUMMYFUNCTION("""COMPUTED_VALUE"""),"Medallion 4")</f>
        <v>Medallion 4</v>
      </c>
      <c r="B1135" s="49" t="str">
        <f>IFERROR(__xludf.DUMMYFUNCTION("""COMPUTED_VALUE"""),"Grants access to the Ruins of Mana.")</f>
        <v>Grants access to the Ruins of Mana.</v>
      </c>
      <c r="C1135" s="49" t="str">
        <f>IFERROR(__xludf.DUMMYFUNCTION("""COMPUTED_VALUE"""),"Item")</f>
        <v>Item</v>
      </c>
      <c r="D1135" s="49"/>
      <c r="E1135" s="49"/>
      <c r="F1135" s="49"/>
      <c r="G1135" s="49"/>
      <c r="H1135" s="49"/>
      <c r="I1135" s="49"/>
      <c r="J1135" s="49"/>
      <c r="K1135" s="49"/>
      <c r="L1135" s="49"/>
      <c r="M1135" s="49"/>
      <c r="N1135" s="49"/>
      <c r="O1135" s="49"/>
      <c r="P1135" s="49"/>
      <c r="Q1135" s="49"/>
      <c r="R1135" s="49"/>
      <c r="S1135" s="49"/>
      <c r="T1135" s="49"/>
      <c r="U1135" s="49"/>
      <c r="V1135" s="49"/>
      <c r="W1135" s="49"/>
      <c r="X1135" s="49"/>
      <c r="Y1135" s="49"/>
      <c r="Z1135" s="49"/>
    </row>
    <row r="1136">
      <c r="A1136" s="49" t="str">
        <f>IFERROR(__xludf.DUMMYFUNCTION("""COMPUTED_VALUE"""),"Enchanted Ice Gem")</f>
        <v>Enchanted Ice Gem</v>
      </c>
      <c r="B1136" s="49"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1136" s="49" t="str">
        <f>IFERROR(__xludf.DUMMYFUNCTION("""COMPUTED_VALUE"""),"Item")</f>
        <v>Item</v>
      </c>
      <c r="D1136" s="49"/>
      <c r="E1136" s="49"/>
      <c r="F1136" s="49"/>
      <c r="G1136" s="49"/>
      <c r="H1136" s="49"/>
      <c r="I1136" s="49"/>
      <c r="J1136" s="49"/>
      <c r="K1136" s="49"/>
      <c r="L1136" s="49"/>
      <c r="M1136" s="49"/>
      <c r="N1136" s="49"/>
      <c r="O1136" s="49"/>
      <c r="P1136" s="49"/>
      <c r="Q1136" s="49"/>
      <c r="R1136" s="49"/>
      <c r="S1136" s="49"/>
      <c r="T1136" s="49"/>
      <c r="U1136" s="49"/>
      <c r="V1136" s="49"/>
      <c r="W1136" s="49"/>
      <c r="X1136" s="49"/>
      <c r="Y1136" s="49"/>
      <c r="Z1136" s="49"/>
    </row>
    <row r="1137">
      <c r="A1137" s="49" t="str">
        <f>IFERROR(__xludf.DUMMYFUNCTION("""COMPUTED_VALUE"""),"Carnelian Crystal")</f>
        <v>Carnelian Crystal</v>
      </c>
      <c r="B1137" s="49" t="str">
        <f>IFERROR(__xludf.DUMMYFUNCTION("""COMPUTED_VALUE"""),"Can be forged into armor, one crystal max inside forged equipment. +2 Mobility  ")</f>
        <v>Can be forged into armor, one crystal max inside forged equipment. +2 Mobility  </v>
      </c>
      <c r="C1137" s="49" t="str">
        <f>IFERROR(__xludf.DUMMYFUNCTION("""COMPUTED_VALUE"""),"Item")</f>
        <v>Item</v>
      </c>
      <c r="D1137" s="49"/>
      <c r="E1137" s="49"/>
      <c r="F1137" s="49"/>
      <c r="G1137" s="49"/>
      <c r="H1137" s="49"/>
      <c r="I1137" s="49"/>
      <c r="J1137" s="49"/>
      <c r="K1137" s="49"/>
      <c r="L1137" s="49"/>
      <c r="M1137" s="49"/>
      <c r="N1137" s="49"/>
      <c r="O1137" s="49"/>
      <c r="P1137" s="49"/>
      <c r="Q1137" s="49"/>
      <c r="R1137" s="49"/>
      <c r="S1137" s="49"/>
      <c r="T1137" s="49"/>
      <c r="U1137" s="49"/>
      <c r="V1137" s="49"/>
      <c r="W1137" s="49"/>
      <c r="X1137" s="49"/>
      <c r="Y1137" s="49"/>
      <c r="Z1137" s="49"/>
    </row>
    <row r="1138">
      <c r="A1138" s="49" t="str">
        <f>IFERROR(__xludf.DUMMYFUNCTION("""COMPUTED_VALUE"""),"Citrine Crystal")</f>
        <v>Citrine Crystal</v>
      </c>
      <c r="B1138" s="49"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1138" s="49" t="str">
        <f>IFERROR(__xludf.DUMMYFUNCTION("""COMPUTED_VALUE"""),"Item")</f>
        <v>Item</v>
      </c>
      <c r="D1138" s="49"/>
      <c r="E1138" s="49"/>
      <c r="F1138" s="49"/>
      <c r="G1138" s="49"/>
      <c r="H1138" s="49"/>
      <c r="I1138" s="49"/>
      <c r="J1138" s="49"/>
      <c r="K1138" s="49"/>
      <c r="L1138" s="49"/>
      <c r="M1138" s="49"/>
      <c r="N1138" s="49"/>
      <c r="O1138" s="49"/>
      <c r="P1138" s="49"/>
      <c r="Q1138" s="49"/>
      <c r="R1138" s="49"/>
      <c r="S1138" s="49"/>
      <c r="T1138" s="49"/>
      <c r="U1138" s="49"/>
      <c r="V1138" s="49"/>
      <c r="W1138" s="49"/>
      <c r="X1138" s="49"/>
      <c r="Y1138" s="49"/>
      <c r="Z1138" s="49"/>
    </row>
    <row r="1139">
      <c r="A1139" s="49" t="str">
        <f>IFERROR(__xludf.DUMMYFUNCTION("""COMPUTED_VALUE"""),"Tiger's Eye Crystal")</f>
        <v>Tiger's Eye Crystal</v>
      </c>
      <c r="B1139" s="49"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1139" s="49" t="str">
        <f>IFERROR(__xludf.DUMMYFUNCTION("""COMPUTED_VALUE"""),"Item")</f>
        <v>Item</v>
      </c>
      <c r="D1139" s="49"/>
      <c r="E1139" s="49"/>
      <c r="F1139" s="49"/>
      <c r="G1139" s="49"/>
      <c r="H1139" s="49"/>
      <c r="I1139" s="49"/>
      <c r="J1139" s="49"/>
      <c r="K1139" s="49"/>
      <c r="L1139" s="49"/>
      <c r="M1139" s="49"/>
      <c r="N1139" s="49"/>
      <c r="O1139" s="49"/>
      <c r="P1139" s="49"/>
      <c r="Q1139" s="49"/>
      <c r="R1139" s="49"/>
      <c r="S1139" s="49"/>
      <c r="T1139" s="49"/>
      <c r="U1139" s="49"/>
      <c r="V1139" s="49"/>
      <c r="W1139" s="49"/>
      <c r="X1139" s="49"/>
      <c r="Y1139" s="49"/>
      <c r="Z1139" s="49"/>
    </row>
    <row r="1140">
      <c r="A1140" s="49" t="str">
        <f>IFERROR(__xludf.DUMMYFUNCTION("""COMPUTED_VALUE"""),"Lodestone Crystal")</f>
        <v>Lodestone Crystal</v>
      </c>
      <c r="B1140" s="49" t="str">
        <f>IFERROR(__xludf.DUMMYFUNCTION("""COMPUTED_VALUE"""),"Can be forged into a weapon, one crystal max inside forged equipment. absorbs the first attack of each battle.")</f>
        <v>Can be forged into a weapon, one crystal max inside forged equipment. absorbs the first attack of each battle.</v>
      </c>
      <c r="C1140" s="49" t="str">
        <f>IFERROR(__xludf.DUMMYFUNCTION("""COMPUTED_VALUE"""),"Item")</f>
        <v>Item</v>
      </c>
      <c r="D1140" s="49"/>
      <c r="E1140" s="49"/>
      <c r="F1140" s="49"/>
      <c r="G1140" s="49"/>
      <c r="H1140" s="49"/>
      <c r="I1140" s="49"/>
      <c r="J1140" s="49"/>
      <c r="K1140" s="49"/>
      <c r="L1140" s="49"/>
      <c r="M1140" s="49"/>
      <c r="N1140" s="49"/>
      <c r="O1140" s="49"/>
      <c r="P1140" s="49"/>
      <c r="Q1140" s="49"/>
      <c r="R1140" s="49"/>
      <c r="S1140" s="49"/>
      <c r="T1140" s="49"/>
      <c r="U1140" s="49"/>
      <c r="V1140" s="49"/>
      <c r="W1140" s="49"/>
      <c r="X1140" s="49"/>
      <c r="Y1140" s="49"/>
      <c r="Z1140" s="49"/>
    </row>
    <row r="1141">
      <c r="A1141" s="49" t="str">
        <f>IFERROR(__xludf.DUMMYFUNCTION("""COMPUTED_VALUE"""),"Peridot Crystal")</f>
        <v>Peridot Crystal</v>
      </c>
      <c r="B1141" s="49" t="str">
        <f>IFERROR(__xludf.DUMMYFUNCTION("""COMPUTED_VALUE"""),"Can be forged into a armor, one crystal max inside forged equipment. +300HP per round.")</f>
        <v>Can be forged into a armor, one crystal max inside forged equipment. +300HP per round.</v>
      </c>
      <c r="C1141" s="49" t="str">
        <f>IFERROR(__xludf.DUMMYFUNCTION("""COMPUTED_VALUE"""),"Item")</f>
        <v>Item</v>
      </c>
      <c r="D1141" s="49"/>
      <c r="E1141" s="49"/>
      <c r="F1141" s="49"/>
      <c r="G1141" s="49"/>
      <c r="H1141" s="49"/>
      <c r="I1141" s="49"/>
      <c r="J1141" s="49"/>
      <c r="K1141" s="49"/>
      <c r="L1141" s="49"/>
      <c r="M1141" s="49"/>
      <c r="N1141" s="49"/>
      <c r="O1141" s="49"/>
      <c r="P1141" s="49"/>
      <c r="Q1141" s="49"/>
      <c r="R1141" s="49"/>
      <c r="S1141" s="49"/>
      <c r="T1141" s="49"/>
      <c r="U1141" s="49"/>
      <c r="V1141" s="49"/>
      <c r="W1141" s="49"/>
      <c r="X1141" s="49"/>
      <c r="Y1141" s="49"/>
      <c r="Z1141" s="49"/>
    </row>
    <row r="1142">
      <c r="A1142" s="49" t="str">
        <f>IFERROR(__xludf.DUMMYFUNCTION("""COMPUTED_VALUE"""),"Golden Topaz")</f>
        <v>Golden Topaz</v>
      </c>
      <c r="B1142" s="49"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1142" s="49" t="str">
        <f>IFERROR(__xludf.DUMMYFUNCTION("""COMPUTED_VALUE"""),"Item")</f>
        <v>Item</v>
      </c>
      <c r="D1142" s="49"/>
      <c r="E1142" s="49"/>
      <c r="F1142" s="49"/>
      <c r="G1142" s="49"/>
      <c r="H1142" s="49"/>
      <c r="I1142" s="49"/>
      <c r="J1142" s="49"/>
      <c r="K1142" s="49"/>
      <c r="L1142" s="49"/>
      <c r="M1142" s="49"/>
      <c r="N1142" s="49"/>
      <c r="O1142" s="49"/>
      <c r="P1142" s="49"/>
      <c r="Q1142" s="49"/>
      <c r="R1142" s="49"/>
      <c r="S1142" s="49"/>
      <c r="T1142" s="49"/>
      <c r="U1142" s="49"/>
      <c r="V1142" s="49"/>
      <c r="W1142" s="49"/>
      <c r="X1142" s="49"/>
      <c r="Y1142" s="49"/>
      <c r="Z1142" s="49"/>
    </row>
    <row r="1143">
      <c r="A1143" s="49" t="str">
        <f>IFERROR(__xludf.DUMMYFUNCTION("""COMPUTED_VALUE"""),"Sea Crystal ")</f>
        <v>Sea Crystal </v>
      </c>
      <c r="B1143" s="49"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1143" s="49" t="str">
        <f>IFERROR(__xludf.DUMMYFUNCTION("""COMPUTED_VALUE"""),"Item")</f>
        <v>Item</v>
      </c>
      <c r="D1143" s="49"/>
      <c r="E1143" s="49"/>
      <c r="F1143" s="49"/>
      <c r="G1143" s="49"/>
      <c r="H1143" s="49"/>
      <c r="I1143" s="49"/>
      <c r="J1143" s="49"/>
      <c r="K1143" s="49"/>
      <c r="L1143" s="49"/>
      <c r="M1143" s="49"/>
      <c r="N1143" s="49"/>
      <c r="O1143" s="49"/>
      <c r="P1143" s="49"/>
      <c r="Q1143" s="49"/>
      <c r="R1143" s="49"/>
      <c r="S1143" s="49"/>
      <c r="T1143" s="49"/>
      <c r="U1143" s="49"/>
      <c r="V1143" s="49"/>
      <c r="W1143" s="49"/>
      <c r="X1143" s="49"/>
      <c r="Y1143" s="49"/>
      <c r="Z1143" s="49"/>
    </row>
    <row r="1144">
      <c r="A1144" s="49" t="str">
        <f>IFERROR(__xludf.DUMMYFUNCTION("""COMPUTED_VALUE"""),"The Root Of Nature")</f>
        <v>The Root Of Nature</v>
      </c>
      <c r="B1144" s="49"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1144" s="49" t="str">
        <f>IFERROR(__xludf.DUMMYFUNCTION("""COMPUTED_VALUE"""),"Item")</f>
        <v>Item</v>
      </c>
      <c r="D1144" s="49"/>
      <c r="E1144" s="49"/>
      <c r="F1144" s="49"/>
      <c r="G1144" s="49"/>
      <c r="H1144" s="49"/>
      <c r="I1144" s="49"/>
      <c r="J1144" s="49"/>
      <c r="K1144" s="49"/>
      <c r="L1144" s="49"/>
      <c r="M1144" s="49"/>
      <c r="N1144" s="49"/>
      <c r="O1144" s="49"/>
      <c r="P1144" s="49"/>
      <c r="Q1144" s="49"/>
      <c r="R1144" s="49"/>
      <c r="S1144" s="49"/>
      <c r="T1144" s="49"/>
      <c r="U1144" s="49"/>
      <c r="V1144" s="49"/>
      <c r="W1144" s="49"/>
      <c r="X1144" s="49"/>
      <c r="Y1144" s="49"/>
      <c r="Z1144" s="49"/>
    </row>
    <row r="1145">
      <c r="A1145" s="49" t="str">
        <f>IFERROR(__xludf.DUMMYFUNCTION("""COMPUTED_VALUE"""),"Rich Sand")</f>
        <v>Rich Sand</v>
      </c>
      <c r="B1145" s="49" t="str">
        <f>IFERROR(__xludf.DUMMYFUNCTION("""COMPUTED_VALUE"""),"can be forged into armor to give the user an immunity to earth and X10 earth damage. Cannot be duplicated.")</f>
        <v>can be forged into armor to give the user an immunity to earth and X10 earth damage. Cannot be duplicated.</v>
      </c>
      <c r="C1145" s="49" t="str">
        <f>IFERROR(__xludf.DUMMYFUNCTION("""COMPUTED_VALUE"""),"Item")</f>
        <v>Item</v>
      </c>
      <c r="D1145" s="49"/>
      <c r="E1145" s="49"/>
      <c r="F1145" s="49"/>
      <c r="G1145" s="49"/>
      <c r="H1145" s="49"/>
      <c r="I1145" s="49"/>
      <c r="J1145" s="49"/>
      <c r="K1145" s="49"/>
      <c r="L1145" s="49"/>
      <c r="M1145" s="49"/>
      <c r="N1145" s="49"/>
      <c r="O1145" s="49"/>
      <c r="P1145" s="49"/>
      <c r="Q1145" s="49"/>
      <c r="R1145" s="49"/>
      <c r="S1145" s="49"/>
      <c r="T1145" s="49"/>
      <c r="U1145" s="49"/>
      <c r="V1145" s="49"/>
      <c r="W1145" s="49"/>
      <c r="X1145" s="49"/>
      <c r="Y1145" s="49"/>
      <c r="Z1145" s="49"/>
    </row>
    <row r="1146">
      <c r="A1146" s="49" t="str">
        <f>IFERROR(__xludf.DUMMYFUNCTION("""COMPUTED_VALUE"""),"Sacred Sap")</f>
        <v>Sacred Sap</v>
      </c>
      <c r="B1146" s="49" t="str">
        <f>IFERROR(__xludf.DUMMYFUNCTION("""COMPUTED_VALUE"""),"Can be brewed into a potion then consumed to gain 200 levels. Cannot be duplicated.")</f>
        <v>Can be brewed into a potion then consumed to gain 200 levels. Cannot be duplicated.</v>
      </c>
      <c r="C1146" s="49" t="str">
        <f>IFERROR(__xludf.DUMMYFUNCTION("""COMPUTED_VALUE"""),"Item")</f>
        <v>Item</v>
      </c>
      <c r="D1146" s="49"/>
      <c r="E1146" s="49"/>
      <c r="F1146" s="49"/>
      <c r="G1146" s="49"/>
      <c r="H1146" s="49"/>
      <c r="I1146" s="49"/>
      <c r="J1146" s="49"/>
      <c r="K1146" s="49"/>
      <c r="L1146" s="49"/>
      <c r="M1146" s="49"/>
      <c r="N1146" s="49"/>
      <c r="O1146" s="49"/>
      <c r="P1146" s="49"/>
      <c r="Q1146" s="49"/>
      <c r="R1146" s="49"/>
      <c r="S1146" s="49"/>
      <c r="T1146" s="49"/>
      <c r="U1146" s="49"/>
      <c r="V1146" s="49"/>
      <c r="W1146" s="49"/>
      <c r="X1146" s="49"/>
      <c r="Y1146" s="49"/>
      <c r="Z1146" s="49"/>
    </row>
    <row r="1147">
      <c r="A1147" s="49" t="str">
        <f>IFERROR(__xludf.DUMMYFUNCTION("""COMPUTED_VALUE"""),"Frozen Shard")</f>
        <v>Frozen Shard</v>
      </c>
      <c r="B1147" s="49"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1147" s="49" t="str">
        <f>IFERROR(__xludf.DUMMYFUNCTION("""COMPUTED_VALUE"""),"Item")</f>
        <v>Item</v>
      </c>
      <c r="D1147" s="49"/>
      <c r="E1147" s="49"/>
      <c r="F1147" s="49"/>
      <c r="G1147" s="49"/>
      <c r="H1147" s="49"/>
      <c r="I1147" s="49"/>
      <c r="J1147" s="49"/>
      <c r="K1147" s="49"/>
      <c r="L1147" s="49"/>
      <c r="M1147" s="49"/>
      <c r="N1147" s="49"/>
      <c r="O1147" s="49"/>
      <c r="P1147" s="49"/>
      <c r="Q1147" s="49"/>
      <c r="R1147" s="49"/>
      <c r="S1147" s="49"/>
      <c r="T1147" s="49"/>
      <c r="U1147" s="49"/>
      <c r="V1147" s="49"/>
      <c r="W1147" s="49"/>
      <c r="X1147" s="49"/>
      <c r="Y1147" s="49"/>
      <c r="Z1147" s="49"/>
    </row>
    <row r="1148">
      <c r="A1148" s="49" t="str">
        <f>IFERROR(__xludf.DUMMYFUNCTION("""COMPUTED_VALUE"""),"Tome of Chaotic Darkness")</f>
        <v>Tome of Chaotic Darkness</v>
      </c>
      <c r="B1148" s="49" t="str">
        <f>IFERROR(__xludf.DUMMYFUNCTION("""COMPUTED_VALUE"""),"Allows use of up to Rank 9 Dark and Chaos Powers.")</f>
        <v>Allows use of up to Rank 9 Dark and Chaos Powers.</v>
      </c>
      <c r="C1148" s="49" t="str">
        <f>IFERROR(__xludf.DUMMYFUNCTION("""COMPUTED_VALUE"""),"Item")</f>
        <v>Item</v>
      </c>
      <c r="D1148" s="49"/>
      <c r="E1148" s="49"/>
      <c r="F1148" s="49"/>
      <c r="G1148" s="49"/>
      <c r="H1148" s="49"/>
      <c r="I1148" s="49"/>
      <c r="J1148" s="49"/>
      <c r="K1148" s="49"/>
      <c r="L1148" s="49"/>
      <c r="M1148" s="49"/>
      <c r="N1148" s="49"/>
      <c r="O1148" s="49"/>
      <c r="P1148" s="49"/>
      <c r="Q1148" s="49"/>
      <c r="R1148" s="49"/>
      <c r="S1148" s="49"/>
      <c r="T1148" s="49"/>
      <c r="U1148" s="49"/>
      <c r="V1148" s="49"/>
      <c r="W1148" s="49"/>
      <c r="X1148" s="49"/>
      <c r="Y1148" s="49"/>
      <c r="Z1148" s="49"/>
    </row>
    <row r="1149">
      <c r="A1149" s="49" t="str">
        <f>IFERROR(__xludf.DUMMYFUNCTION("""COMPUTED_VALUE"""),"The Land of The Forgotten Map")</f>
        <v>The Land of The Forgotten Map</v>
      </c>
      <c r="B1149" s="49" t="str">
        <f>IFERROR(__xludf.DUMMYFUNCTION("""COMPUTED_VALUE"""),"Shows you where to find The Land of The Forgotten.")</f>
        <v>Shows you where to find The Land of The Forgotten.</v>
      </c>
      <c r="C1149" s="49" t="str">
        <f>IFERROR(__xludf.DUMMYFUNCTION("""COMPUTED_VALUE"""),"Item")</f>
        <v>Item</v>
      </c>
      <c r="D1149" s="49"/>
      <c r="E1149" s="49"/>
      <c r="F1149" s="49"/>
      <c r="G1149" s="49"/>
      <c r="H1149" s="49"/>
      <c r="I1149" s="49"/>
      <c r="J1149" s="49"/>
      <c r="K1149" s="49"/>
      <c r="L1149" s="49"/>
      <c r="M1149" s="49"/>
      <c r="N1149" s="49"/>
      <c r="O1149" s="49"/>
      <c r="P1149" s="49"/>
      <c r="Q1149" s="49"/>
      <c r="R1149" s="49"/>
      <c r="S1149" s="49"/>
      <c r="T1149" s="49"/>
      <c r="U1149" s="49"/>
      <c r="V1149" s="49"/>
      <c r="W1149" s="49"/>
      <c r="X1149" s="49"/>
      <c r="Y1149" s="49"/>
      <c r="Z1149" s="49"/>
    </row>
    <row r="1150">
      <c r="A1150" s="49" t="str">
        <f>IFERROR(__xludf.DUMMYFUNCTION("""COMPUTED_VALUE"""),"Corn On The Cob")</f>
        <v>Corn On The Cob</v>
      </c>
      <c r="B1150" s="49" t="str">
        <f>IFERROR(__xludf.DUMMYFUNCTION("""COMPUTED_VALUE"""),"Restores 10 hunger.")</f>
        <v>Restores 10 hunger.</v>
      </c>
      <c r="C1150" s="49" t="str">
        <f>IFERROR(__xludf.DUMMYFUNCTION("""COMPUTED_VALUE"""),"Crop")</f>
        <v>Crop</v>
      </c>
      <c r="D1150" s="49"/>
      <c r="E1150" s="49"/>
      <c r="F1150" s="49"/>
      <c r="G1150" s="49"/>
      <c r="H1150" s="49"/>
      <c r="I1150" s="49"/>
      <c r="J1150" s="49"/>
      <c r="K1150" s="49"/>
      <c r="L1150" s="49"/>
      <c r="M1150" s="49"/>
      <c r="N1150" s="49"/>
      <c r="O1150" s="49"/>
      <c r="P1150" s="49"/>
      <c r="Q1150" s="49"/>
      <c r="R1150" s="49"/>
      <c r="S1150" s="49"/>
      <c r="T1150" s="49"/>
      <c r="U1150" s="49"/>
      <c r="V1150" s="49"/>
      <c r="W1150" s="49"/>
      <c r="X1150" s="49"/>
      <c r="Y1150" s="49"/>
      <c r="Z1150" s="49"/>
    </row>
    <row r="1151">
      <c r="A1151" s="49" t="str">
        <f>IFERROR(__xludf.DUMMYFUNCTION("""COMPUTED_VALUE"""),"Festival Bread Loaf")</f>
        <v>Festival Bread Loaf</v>
      </c>
      <c r="B1151" s="49" t="str">
        <f>IFERROR(__xludf.DUMMYFUNCTION("""COMPUTED_VALUE"""),"Restores 30 hunger and decreases 10 thirst.")</f>
        <v>Restores 30 hunger and decreases 10 thirst.</v>
      </c>
      <c r="C1151" s="49" t="str">
        <f>IFERROR(__xludf.DUMMYFUNCTION("""COMPUTED_VALUE"""),"Crop")</f>
        <v>Crop</v>
      </c>
      <c r="D1151" s="49"/>
      <c r="E1151" s="49"/>
      <c r="F1151" s="49"/>
      <c r="G1151" s="49"/>
      <c r="H1151" s="49"/>
      <c r="I1151" s="49"/>
      <c r="J1151" s="49"/>
      <c r="K1151" s="49"/>
      <c r="L1151" s="49"/>
      <c r="M1151" s="49"/>
      <c r="N1151" s="49"/>
      <c r="O1151" s="49"/>
      <c r="P1151" s="49"/>
      <c r="Q1151" s="49"/>
      <c r="R1151" s="49"/>
      <c r="S1151" s="49"/>
      <c r="T1151" s="49"/>
      <c r="U1151" s="49"/>
      <c r="V1151" s="49"/>
      <c r="W1151" s="49"/>
      <c r="X1151" s="49"/>
      <c r="Y1151" s="49"/>
      <c r="Z1151" s="49"/>
    </row>
    <row r="1152">
      <c r="A1152" s="49" t="str">
        <f>IFERROR(__xludf.DUMMYFUNCTION("""COMPUTED_VALUE"""),"Fruit Cake")</f>
        <v>Fruit Cake</v>
      </c>
      <c r="B1152" s="49" t="str">
        <f>IFERROR(__xludf.DUMMYFUNCTION("""COMPUTED_VALUE"""),"Restores 20 energy and hunger")</f>
        <v>Restores 20 energy and hunger</v>
      </c>
      <c r="C1152" s="49" t="str">
        <f>IFERROR(__xludf.DUMMYFUNCTION("""COMPUTED_VALUE"""),"Crop")</f>
        <v>Crop</v>
      </c>
      <c r="D1152" s="49"/>
      <c r="E1152" s="49"/>
      <c r="F1152" s="49"/>
      <c r="G1152" s="49"/>
      <c r="H1152" s="49"/>
      <c r="I1152" s="49"/>
      <c r="J1152" s="49"/>
      <c r="K1152" s="49"/>
      <c r="L1152" s="49"/>
      <c r="M1152" s="49"/>
      <c r="N1152" s="49"/>
      <c r="O1152" s="49"/>
      <c r="P1152" s="49"/>
      <c r="Q1152" s="49"/>
      <c r="R1152" s="49"/>
      <c r="S1152" s="49"/>
      <c r="T1152" s="49"/>
      <c r="U1152" s="49"/>
      <c r="V1152" s="49"/>
      <c r="W1152" s="49"/>
      <c r="X1152" s="49"/>
      <c r="Y1152" s="49"/>
      <c r="Z1152" s="49"/>
    </row>
    <row r="1153">
      <c r="A1153" s="49" t="str">
        <f>IFERROR(__xludf.DUMMYFUNCTION("""COMPUTED_VALUE"""),"Festival Mead")</f>
        <v>Festival Mead</v>
      </c>
      <c r="B1153" s="49" t="str">
        <f>IFERROR(__xludf.DUMMYFUNCTION("""COMPUTED_VALUE"""),"Restores 20 thirst.")</f>
        <v>Restores 20 thirst.</v>
      </c>
      <c r="C1153" s="49" t="str">
        <f>IFERROR(__xludf.DUMMYFUNCTION("""COMPUTED_VALUE"""),"Item")</f>
        <v>Item</v>
      </c>
      <c r="D1153" s="49"/>
      <c r="E1153" s="49"/>
      <c r="F1153" s="49"/>
      <c r="G1153" s="49"/>
      <c r="H1153" s="49"/>
      <c r="I1153" s="49"/>
      <c r="J1153" s="49"/>
      <c r="K1153" s="49"/>
      <c r="L1153" s="49"/>
      <c r="M1153" s="49"/>
      <c r="N1153" s="49"/>
      <c r="O1153" s="49"/>
      <c r="P1153" s="49"/>
      <c r="Q1153" s="49"/>
      <c r="R1153" s="49"/>
      <c r="S1153" s="49"/>
      <c r="T1153" s="49"/>
      <c r="U1153" s="49"/>
      <c r="V1153" s="49"/>
      <c r="W1153" s="49"/>
      <c r="X1153" s="49"/>
      <c r="Y1153" s="49"/>
      <c r="Z1153" s="49"/>
    </row>
    <row r="1154">
      <c r="A1154" s="49" t="str">
        <f>IFERROR(__xludf.DUMMYFUNCTION("""COMPUTED_VALUE"""),"Lemonade")</f>
        <v>Lemonade</v>
      </c>
      <c r="B1154" s="49" t="str">
        <f>IFERROR(__xludf.DUMMYFUNCTION("""COMPUTED_VALUE"""),"Restores 10 thirst and energy.")</f>
        <v>Restores 10 thirst and energy.</v>
      </c>
      <c r="C1154" s="49" t="str">
        <f>IFERROR(__xludf.DUMMYFUNCTION("""COMPUTED_VALUE"""),"Item")</f>
        <v>Item</v>
      </c>
      <c r="D1154" s="49"/>
      <c r="E1154" s="49"/>
      <c r="F1154" s="49"/>
      <c r="G1154" s="49"/>
      <c r="H1154" s="49"/>
      <c r="I1154" s="49"/>
      <c r="J1154" s="49"/>
      <c r="K1154" s="49"/>
      <c r="L1154" s="49"/>
      <c r="M1154" s="49"/>
      <c r="N1154" s="49"/>
      <c r="O1154" s="49"/>
      <c r="P1154" s="49"/>
      <c r="Q1154" s="49"/>
      <c r="R1154" s="49"/>
      <c r="S1154" s="49"/>
      <c r="T1154" s="49"/>
      <c r="U1154" s="49"/>
      <c r="V1154" s="49"/>
      <c r="W1154" s="49"/>
      <c r="X1154" s="49"/>
      <c r="Y1154" s="49"/>
      <c r="Z1154" s="49"/>
    </row>
    <row r="1155">
      <c r="A1155" s="49" t="str">
        <f>IFERROR(__xludf.DUMMYFUNCTION("""COMPUTED_VALUE"""),"Forbidden Amulet Shard")</f>
        <v>Forbidden Amulet Shard</v>
      </c>
      <c r="B1155" s="49"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1155" s="49" t="str">
        <f>IFERROR(__xludf.DUMMYFUNCTION("""COMPUTED_VALUE"""),"Item")</f>
        <v>Item</v>
      </c>
      <c r="D1155" s="49"/>
      <c r="E1155" s="49"/>
      <c r="F1155" s="49"/>
      <c r="G1155" s="49"/>
      <c r="H1155" s="49"/>
      <c r="I1155" s="49"/>
      <c r="J1155" s="49"/>
      <c r="K1155" s="49"/>
      <c r="L1155" s="49"/>
      <c r="M1155" s="49"/>
      <c r="N1155" s="49"/>
      <c r="O1155" s="49"/>
      <c r="P1155" s="49"/>
      <c r="Q1155" s="49"/>
      <c r="R1155" s="49"/>
      <c r="S1155" s="49"/>
      <c r="T1155" s="49"/>
      <c r="U1155" s="49"/>
      <c r="V1155" s="49"/>
      <c r="W1155" s="49"/>
      <c r="X1155" s="49"/>
      <c r="Y1155" s="49"/>
      <c r="Z1155" s="49"/>
    </row>
    <row r="1156">
      <c r="A1156" s="49" t="str">
        <f>IFERROR(__xludf.DUMMYFUNCTION("""COMPUTED_VALUE"""),"The Forbidden Amulet of The Halloween Kingdom.")</f>
        <v>The Forbidden Amulet of The Halloween Kingdom.</v>
      </c>
      <c r="B1156" s="49" t="str">
        <f>IFERROR(__xludf.DUMMYFUNCTION("""COMPUTED_VALUE"""),"An amulet used to break the barrier on Lord Dreadfuls castle in the Halloween Kingdom.")</f>
        <v>An amulet used to break the barrier on Lord Dreadfuls castle in the Halloween Kingdom.</v>
      </c>
      <c r="C1156" s="49" t="str">
        <f>IFERROR(__xludf.DUMMYFUNCTION("""COMPUTED_VALUE"""),"Item")</f>
        <v>Item</v>
      </c>
      <c r="D1156" s="49"/>
      <c r="E1156" s="49"/>
      <c r="F1156" s="49"/>
      <c r="G1156" s="49"/>
      <c r="H1156" s="49"/>
      <c r="I1156" s="49"/>
      <c r="J1156" s="49"/>
      <c r="K1156" s="49"/>
      <c r="L1156" s="49"/>
      <c r="M1156" s="49"/>
      <c r="N1156" s="49"/>
      <c r="O1156" s="49"/>
      <c r="P1156" s="49"/>
      <c r="Q1156" s="49"/>
      <c r="R1156" s="49"/>
      <c r="S1156" s="49"/>
      <c r="T1156" s="49"/>
      <c r="U1156" s="49"/>
      <c r="V1156" s="49"/>
      <c r="W1156" s="49"/>
      <c r="X1156" s="49"/>
      <c r="Y1156" s="49"/>
      <c r="Z1156" s="49"/>
    </row>
    <row r="1157">
      <c r="A1157" s="49" t="str">
        <f>IFERROR(__xludf.DUMMYFUNCTION("""COMPUTED_VALUE"""),"Slime Jelly")</f>
        <v>Slime Jelly</v>
      </c>
      <c r="B1157" s="49" t="str">
        <f>IFERROR(__xludf.DUMMYFUNCTION("""COMPUTED_VALUE"""),"Restores 50 HP, 75 Mana, 50 Hunger, and 50 Thirst, -30 Energy cause it tastes bad")</f>
        <v>Restores 50 HP, 75 Mana, 50 Hunger, and 50 Thirst, -30 Energy cause it tastes bad</v>
      </c>
      <c r="C1157" s="49" t="str">
        <f>IFERROR(__xludf.DUMMYFUNCTION("""COMPUTED_VALUE"""),"Crop")</f>
        <v>Crop</v>
      </c>
      <c r="D1157" s="49"/>
      <c r="E1157" s="49"/>
      <c r="F1157" s="49"/>
      <c r="G1157" s="49"/>
      <c r="H1157" s="49"/>
      <c r="I1157" s="49"/>
      <c r="J1157" s="49"/>
      <c r="K1157" s="49"/>
      <c r="L1157" s="49"/>
      <c r="M1157" s="49"/>
      <c r="N1157" s="49"/>
      <c r="O1157" s="49"/>
      <c r="P1157" s="49"/>
      <c r="Q1157" s="49"/>
      <c r="R1157" s="49"/>
      <c r="S1157" s="49"/>
      <c r="T1157" s="49"/>
      <c r="U1157" s="49"/>
      <c r="V1157" s="49"/>
      <c r="W1157" s="49"/>
      <c r="X1157" s="49"/>
      <c r="Y1157" s="49"/>
      <c r="Z1157" s="49"/>
    </row>
    <row r="1158">
      <c r="A1158" s="49" t="str">
        <f>IFERROR(__xludf.DUMMYFUNCTION("""COMPUTED_VALUE"""),"Broken Robot")</f>
        <v>Broken Robot</v>
      </c>
      <c r="B1158" s="49" t="str">
        <f>IFERROR(__xludf.DUMMYFUNCTION("""COMPUTED_VALUE"""),"An item that is purchased and given to a mysterious cloaked figure. ")</f>
        <v>An item that is purchased and given to a mysterious cloaked figure. </v>
      </c>
      <c r="C1158" s="49" t="str">
        <f>IFERROR(__xludf.DUMMYFUNCTION("""COMPUTED_VALUE"""),"Item")</f>
        <v>Item</v>
      </c>
      <c r="D1158" s="49"/>
      <c r="E1158" s="49"/>
      <c r="F1158" s="49"/>
      <c r="G1158" s="49"/>
      <c r="H1158" s="49"/>
      <c r="I1158" s="49"/>
      <c r="J1158" s="49"/>
      <c r="K1158" s="49"/>
      <c r="L1158" s="49"/>
      <c r="M1158" s="49"/>
      <c r="N1158" s="49"/>
      <c r="O1158" s="49"/>
      <c r="P1158" s="49"/>
      <c r="Q1158" s="49"/>
      <c r="R1158" s="49"/>
      <c r="S1158" s="49"/>
      <c r="T1158" s="49"/>
      <c r="U1158" s="49"/>
      <c r="V1158" s="49"/>
      <c r="W1158" s="49"/>
      <c r="X1158" s="49"/>
      <c r="Y1158" s="49"/>
      <c r="Z1158" s="49"/>
    </row>
    <row r="1159">
      <c r="A1159" s="49" t="str">
        <f>IFERROR(__xludf.DUMMYFUNCTION("""COMPUTED_VALUE"""),"Boar Hide")</f>
        <v>Boar Hide</v>
      </c>
      <c r="B1159" s="49" t="str">
        <f>IFERROR(__xludf.DUMMYFUNCTION("""COMPUTED_VALUE"""),"Crafting Material, roll a d20 to see how many you get if this is a loot drop.")</f>
        <v>Crafting Material, roll a d20 to see how many you get if this is a loot drop.</v>
      </c>
      <c r="C1159" s="49" t="str">
        <f>IFERROR(__xludf.DUMMYFUNCTION("""COMPUTED_VALUE"""),"Item")</f>
        <v>Item</v>
      </c>
      <c r="D1159" s="49"/>
      <c r="E1159" s="49"/>
      <c r="F1159" s="49"/>
      <c r="G1159" s="49"/>
      <c r="H1159" s="49"/>
      <c r="I1159" s="49"/>
      <c r="J1159" s="49"/>
      <c r="K1159" s="49"/>
      <c r="L1159" s="49"/>
      <c r="M1159" s="49"/>
      <c r="N1159" s="49"/>
      <c r="O1159" s="49"/>
      <c r="P1159" s="49"/>
      <c r="Q1159" s="49"/>
      <c r="R1159" s="49"/>
      <c r="S1159" s="49"/>
      <c r="T1159" s="49"/>
      <c r="U1159" s="49"/>
      <c r="V1159" s="49"/>
      <c r="W1159" s="49"/>
      <c r="X1159" s="49"/>
      <c r="Y1159" s="49"/>
      <c r="Z1159" s="49"/>
    </row>
    <row r="1160">
      <c r="A1160" s="49" t="str">
        <f>IFERROR(__xludf.DUMMYFUNCTION("""COMPUTED_VALUE"""),"Bullet")</f>
        <v>Bullet</v>
      </c>
      <c r="B1160" s="49" t="str">
        <f>IFERROR(__xludf.DUMMYFUNCTION("""COMPUTED_VALUE"""),"Firearm Ammunition. +100 damage. roll a d20 to see how many you get if this is a loot drop.")</f>
        <v>Firearm Ammunition. +100 damage. roll a d20 to see how many you get if this is a loot drop.</v>
      </c>
      <c r="C1160" s="49" t="str">
        <f>IFERROR(__xludf.DUMMYFUNCTION("""COMPUTED_VALUE"""),"Item")</f>
        <v>Item</v>
      </c>
      <c r="D1160" s="49"/>
      <c r="E1160" s="49"/>
      <c r="F1160" s="49"/>
      <c r="G1160" s="49"/>
      <c r="H1160" s="49"/>
      <c r="I1160" s="49"/>
      <c r="J1160" s="49"/>
      <c r="K1160" s="49"/>
      <c r="L1160" s="49"/>
      <c r="M1160" s="49"/>
      <c r="N1160" s="49"/>
      <c r="O1160" s="49"/>
      <c r="P1160" s="49"/>
      <c r="Q1160" s="49"/>
      <c r="R1160" s="49"/>
      <c r="S1160" s="49"/>
      <c r="T1160" s="49"/>
      <c r="U1160" s="49"/>
      <c r="V1160" s="49"/>
      <c r="W1160" s="49"/>
      <c r="X1160" s="49"/>
      <c r="Y1160" s="49"/>
      <c r="Z1160" s="49"/>
    </row>
    <row r="1161">
      <c r="A1161" s="49" t="str">
        <f>IFERROR(__xludf.DUMMYFUNCTION("""COMPUTED_VALUE"""),"The Ancient Medallion of Frost")</f>
        <v>The Ancient Medallion of Frost</v>
      </c>
      <c r="B1161" s="49" t="str">
        <f>IFERROR(__xludf.DUMMYFUNCTION("""COMPUTED_VALUE"""),"The key to getting into the final tower of the winter event.")</f>
        <v>The key to getting into the final tower of the winter event.</v>
      </c>
      <c r="C1161" s="49" t="str">
        <f>IFERROR(__xludf.DUMMYFUNCTION("""COMPUTED_VALUE"""),"Item")</f>
        <v>Item</v>
      </c>
      <c r="D1161" s="49"/>
      <c r="E1161" s="49"/>
      <c r="F1161" s="49"/>
      <c r="G1161" s="49"/>
      <c r="H1161" s="49"/>
      <c r="I1161" s="49"/>
      <c r="J1161" s="49"/>
      <c r="K1161" s="49"/>
      <c r="L1161" s="49"/>
      <c r="M1161" s="49"/>
      <c r="N1161" s="49"/>
      <c r="O1161" s="49"/>
      <c r="P1161" s="49"/>
      <c r="Q1161" s="49"/>
      <c r="R1161" s="49"/>
      <c r="S1161" s="49"/>
      <c r="T1161" s="49"/>
      <c r="U1161" s="49"/>
      <c r="V1161" s="49"/>
      <c r="W1161" s="49"/>
      <c r="X1161" s="49"/>
      <c r="Y1161" s="49"/>
      <c r="Z1161" s="49"/>
    </row>
    <row r="1162">
      <c r="A1162" s="49" t="str">
        <f>IFERROR(__xludf.DUMMYFUNCTION("""COMPUTED_VALUE"""),"Gargoyle Stone Tablet")</f>
        <v>Gargoyle Stone Tablet</v>
      </c>
      <c r="B1162" s="49" t="str">
        <f>IFERROR(__xludf.DUMMYFUNCTION("""COMPUTED_VALUE"""),"Tells you the Location of 3 Tiny Gargoyles. This item can only be used once.")</f>
        <v>Tells you the Location of 3 Tiny Gargoyles. This item can only be used once.</v>
      </c>
      <c r="C1162" s="49" t="str">
        <f>IFERROR(__xludf.DUMMYFUNCTION("""COMPUTED_VALUE"""),"Item")</f>
        <v>Item</v>
      </c>
      <c r="D1162" s="49"/>
      <c r="E1162" s="49"/>
      <c r="F1162" s="49"/>
      <c r="G1162" s="49"/>
      <c r="H1162" s="49"/>
      <c r="I1162" s="49"/>
      <c r="J1162" s="49"/>
      <c r="K1162" s="49"/>
      <c r="L1162" s="49"/>
      <c r="M1162" s="49"/>
      <c r="N1162" s="49"/>
      <c r="O1162" s="49"/>
      <c r="P1162" s="49"/>
      <c r="Q1162" s="49"/>
      <c r="R1162" s="49"/>
      <c r="S1162" s="49"/>
      <c r="T1162" s="49"/>
      <c r="U1162" s="49"/>
      <c r="V1162" s="49"/>
      <c r="W1162" s="49"/>
      <c r="X1162" s="49"/>
      <c r="Y1162" s="49"/>
      <c r="Z1162" s="49"/>
    </row>
    <row r="1163">
      <c r="A1163" s="49" t="str">
        <f>IFERROR(__xludf.DUMMYFUNCTION("""COMPUTED_VALUE"""),"Map of the Gargoyle’s")</f>
        <v>Map of the Gargoyle’s</v>
      </c>
      <c r="B1163" s="49" t="str">
        <f>IFERROR(__xludf.DUMMYFUNCTION("""COMPUTED_VALUE"""),"Allows Use to see Special Gargoyle’s")</f>
        <v>Allows Use to see Special Gargoyle’s</v>
      </c>
      <c r="C1163" s="49" t="str">
        <f>IFERROR(__xludf.DUMMYFUNCTION("""COMPUTED_VALUE"""),"Item")</f>
        <v>Item</v>
      </c>
      <c r="D1163" s="49"/>
      <c r="E1163" s="49"/>
      <c r="F1163" s="49"/>
      <c r="G1163" s="49"/>
      <c r="H1163" s="49"/>
      <c r="I1163" s="49"/>
      <c r="J1163" s="49"/>
      <c r="K1163" s="49"/>
      <c r="L1163" s="49"/>
      <c r="M1163" s="49"/>
      <c r="N1163" s="49"/>
      <c r="O1163" s="49"/>
      <c r="P1163" s="49"/>
      <c r="Q1163" s="49"/>
      <c r="R1163" s="49"/>
      <c r="S1163" s="49"/>
      <c r="T1163" s="49"/>
      <c r="U1163" s="49"/>
      <c r="V1163" s="49"/>
      <c r="W1163" s="49"/>
      <c r="X1163" s="49"/>
      <c r="Y1163" s="49"/>
      <c r="Z1163" s="49"/>
    </row>
    <row r="1164">
      <c r="A1164" s="49" t="str">
        <f>IFERROR(__xludf.DUMMYFUNCTION("""COMPUTED_VALUE"""),"The Tome of Abstara")</f>
        <v>The Tome of Abstara</v>
      </c>
      <c r="B1164" s="49" t="str">
        <f>IFERROR(__xludf.DUMMYFUNCTION("""COMPUTED_VALUE"""),"Can use up to Rank 9 Fire, Chaos, and Dark spells.")</f>
        <v>Can use up to Rank 9 Fire, Chaos, and Dark spells.</v>
      </c>
      <c r="C1164" s="49" t="str">
        <f>IFERROR(__xludf.DUMMYFUNCTION("""COMPUTED_VALUE"""),"Item")</f>
        <v>Item</v>
      </c>
      <c r="D1164" s="49"/>
      <c r="E1164" s="49"/>
      <c r="F1164" s="49"/>
      <c r="G1164" s="49"/>
      <c r="H1164" s="49"/>
      <c r="I1164" s="49"/>
      <c r="J1164" s="49"/>
      <c r="K1164" s="49"/>
      <c r="L1164" s="49"/>
      <c r="M1164" s="49"/>
      <c r="N1164" s="49"/>
      <c r="O1164" s="49"/>
      <c r="P1164" s="49"/>
      <c r="Q1164" s="49"/>
      <c r="R1164" s="49"/>
      <c r="S1164" s="49"/>
      <c r="T1164" s="49"/>
      <c r="U1164" s="49"/>
      <c r="V1164" s="49"/>
      <c r="W1164" s="49"/>
      <c r="X1164" s="49"/>
      <c r="Y1164" s="49"/>
      <c r="Z1164" s="49"/>
    </row>
    <row r="1165">
      <c r="A1165" s="49" t="str">
        <f>IFERROR(__xludf.DUMMYFUNCTION("""COMPUTED_VALUE"""),"Gargoyle’s Fishing Pole")</f>
        <v>Gargoyle’s Fishing Pole</v>
      </c>
      <c r="B1165" s="49" t="str">
        <f>IFERROR(__xludf.DUMMYFUNCTION("""COMPUTED_VALUE"""),"500/500 Uses. Used for lava fishing. Made of Stone.")</f>
        <v>500/500 Uses. Used for lava fishing. Made of Stone.</v>
      </c>
      <c r="C1165" s="49" t="str">
        <f>IFERROR(__xludf.DUMMYFUNCTION("""COMPUTED_VALUE"""),"Item")</f>
        <v>Item</v>
      </c>
      <c r="D1165" s="49"/>
      <c r="E1165" s="49"/>
      <c r="F1165" s="49"/>
      <c r="G1165" s="49"/>
      <c r="H1165" s="49"/>
      <c r="I1165" s="49"/>
      <c r="J1165" s="49"/>
      <c r="K1165" s="49"/>
      <c r="L1165" s="49"/>
      <c r="M1165" s="49"/>
      <c r="N1165" s="49"/>
      <c r="O1165" s="49"/>
      <c r="P1165" s="49"/>
      <c r="Q1165" s="49"/>
      <c r="R1165" s="49"/>
      <c r="S1165" s="49"/>
      <c r="T1165" s="49"/>
      <c r="U1165" s="49"/>
      <c r="V1165" s="49"/>
      <c r="W1165" s="49"/>
      <c r="X1165" s="49"/>
      <c r="Y1165" s="49"/>
      <c r="Z1165" s="49"/>
    </row>
    <row r="1166">
      <c r="A1166" s="49" t="str">
        <f>IFERROR(__xludf.DUMMYFUNCTION("""COMPUTED_VALUE"""),"Stone Worm")</f>
        <v>Stone Worm</v>
      </c>
      <c r="B1166" s="49" t="str">
        <f>IFERROR(__xludf.DUMMYFUNCTION("""COMPUTED_VALUE"""),"Fishing bait. Used for lava fishing.")</f>
        <v>Fishing bait. Used for lava fishing.</v>
      </c>
      <c r="C1166" s="49" t="str">
        <f>IFERROR(__xludf.DUMMYFUNCTION("""COMPUTED_VALUE"""),"Item")</f>
        <v>Item</v>
      </c>
      <c r="D1166" s="49"/>
      <c r="E1166" s="49"/>
      <c r="F1166" s="49"/>
      <c r="G1166" s="49"/>
      <c r="H1166" s="49"/>
      <c r="I1166" s="49"/>
      <c r="J1166" s="49"/>
      <c r="K1166" s="49"/>
      <c r="L1166" s="49"/>
      <c r="M1166" s="49"/>
      <c r="N1166" s="49"/>
      <c r="O1166" s="49"/>
      <c r="P1166" s="49"/>
      <c r="Q1166" s="49"/>
      <c r="R1166" s="49"/>
      <c r="S1166" s="49"/>
      <c r="T1166" s="49"/>
      <c r="U1166" s="49"/>
      <c r="V1166" s="49"/>
      <c r="W1166" s="49"/>
      <c r="X1166" s="49"/>
      <c r="Y1166" s="49"/>
      <c r="Z1166" s="49"/>
    </row>
    <row r="1167">
      <c r="A1167" s="49" t="str">
        <f>IFERROR(__xludf.DUMMYFUNCTION("""COMPUTED_VALUE"""),"Rock Soup")</f>
        <v>Rock Soup</v>
      </c>
      <c r="B1167" s="49" t="str">
        <f>IFERROR(__xludf.DUMMYFUNCTION("""COMPUTED_VALUE"""),"25 Hunger and +15 Thirst")</f>
        <v>25 Hunger and +15 Thirst</v>
      </c>
      <c r="C1167" s="49" t="str">
        <f>IFERROR(__xludf.DUMMYFUNCTION("""COMPUTED_VALUE"""),"Crop")</f>
        <v>Crop</v>
      </c>
      <c r="D1167" s="49"/>
      <c r="E1167" s="49"/>
      <c r="F1167" s="49"/>
      <c r="G1167" s="49"/>
      <c r="H1167" s="49"/>
      <c r="I1167" s="49"/>
      <c r="J1167" s="49"/>
      <c r="K1167" s="49"/>
      <c r="L1167" s="49"/>
      <c r="M1167" s="49"/>
      <c r="N1167" s="49"/>
      <c r="O1167" s="49"/>
      <c r="P1167" s="49"/>
      <c r="Q1167" s="49"/>
      <c r="R1167" s="49"/>
      <c r="S1167" s="49"/>
      <c r="T1167" s="49"/>
      <c r="U1167" s="49"/>
      <c r="V1167" s="49"/>
      <c r="W1167" s="49"/>
      <c r="X1167" s="49"/>
      <c r="Y1167" s="49"/>
      <c r="Z1167" s="49"/>
    </row>
    <row r="1168">
      <c r="A1168" s="49" t="str">
        <f>IFERROR(__xludf.DUMMYFUNCTION("""COMPUTED_VALUE"""),"Gargoyle’s slumbering mead")</f>
        <v>Gargoyle’s slumbering mead</v>
      </c>
      <c r="B1168" s="49" t="str">
        <f>IFERROR(__xludf.DUMMYFUNCTION("""COMPUTED_VALUE"""),"100 Thirst +100 Energy")</f>
        <v>100 Thirst +100 Energy</v>
      </c>
      <c r="C1168" s="49" t="str">
        <f>IFERROR(__xludf.DUMMYFUNCTION("""COMPUTED_VALUE"""),"Item")</f>
        <v>Item</v>
      </c>
      <c r="D1168" s="49"/>
      <c r="E1168" s="49"/>
      <c r="F1168" s="49"/>
      <c r="G1168" s="49"/>
      <c r="H1168" s="49"/>
      <c r="I1168" s="49"/>
      <c r="J1168" s="49"/>
      <c r="K1168" s="49"/>
      <c r="L1168" s="49"/>
      <c r="M1168" s="49"/>
      <c r="N1168" s="49"/>
      <c r="O1168" s="49"/>
      <c r="P1168" s="49"/>
      <c r="Q1168" s="49"/>
      <c r="R1168" s="49"/>
      <c r="S1168" s="49"/>
      <c r="T1168" s="49"/>
      <c r="U1168" s="49"/>
      <c r="V1168" s="49"/>
      <c r="W1168" s="49"/>
      <c r="X1168" s="49"/>
      <c r="Y1168" s="49"/>
      <c r="Z1168" s="49"/>
    </row>
    <row r="1169">
      <c r="A1169" s="49" t="str">
        <f>IFERROR(__xludf.DUMMYFUNCTION("""COMPUTED_VALUE"""),"Dark rum")</f>
        <v>Dark rum</v>
      </c>
      <c r="B1169" s="49" t="str">
        <f>IFERROR(__xludf.DUMMYFUNCTION("""COMPUTED_VALUE"""),"200 Thirst +200 Energy")</f>
        <v>200 Thirst +200 Energy</v>
      </c>
      <c r="C1169" s="49" t="str">
        <f>IFERROR(__xludf.DUMMYFUNCTION("""COMPUTED_VALUE"""),"Item")</f>
        <v>Item</v>
      </c>
      <c r="D1169" s="49"/>
      <c r="E1169" s="49"/>
      <c r="F1169" s="49"/>
      <c r="G1169" s="49"/>
      <c r="H1169" s="49"/>
      <c r="I1169" s="49"/>
      <c r="J1169" s="49"/>
      <c r="K1169" s="49"/>
      <c r="L1169" s="49"/>
      <c r="M1169" s="49"/>
      <c r="N1169" s="49"/>
      <c r="O1169" s="49"/>
      <c r="P1169" s="49"/>
      <c r="Q1169" s="49"/>
      <c r="R1169" s="49"/>
      <c r="S1169" s="49"/>
      <c r="T1169" s="49"/>
      <c r="U1169" s="49"/>
      <c r="V1169" s="49"/>
      <c r="W1169" s="49"/>
      <c r="X1169" s="49"/>
      <c r="Y1169" s="49"/>
      <c r="Z1169" s="49"/>
    </row>
    <row r="1170">
      <c r="A1170" s="49" t="str">
        <f>IFERROR(__xludf.DUMMYFUNCTION("""COMPUTED_VALUE"""),"Blank steak")</f>
        <v>Blank steak</v>
      </c>
      <c r="B1170" s="49" t="str">
        <f>IFERROR(__xludf.DUMMYFUNCTION("""COMPUTED_VALUE"""),"25 Hunger")</f>
        <v>25 Hunger</v>
      </c>
      <c r="C1170" s="49" t="str">
        <f>IFERROR(__xludf.DUMMYFUNCTION("""COMPUTED_VALUE"""),"Crop")</f>
        <v>Crop</v>
      </c>
      <c r="D1170" s="49"/>
      <c r="E1170" s="49"/>
      <c r="F1170" s="49"/>
      <c r="G1170" s="49"/>
      <c r="H1170" s="49"/>
      <c r="I1170" s="49"/>
      <c r="J1170" s="49"/>
      <c r="K1170" s="49"/>
      <c r="L1170" s="49"/>
      <c r="M1170" s="49"/>
      <c r="N1170" s="49"/>
      <c r="O1170" s="49"/>
      <c r="P1170" s="49"/>
      <c r="Q1170" s="49"/>
      <c r="R1170" s="49"/>
      <c r="S1170" s="49"/>
      <c r="T1170" s="49"/>
      <c r="U1170" s="49"/>
      <c r="V1170" s="49"/>
      <c r="W1170" s="49"/>
      <c r="X1170" s="49"/>
      <c r="Y1170" s="49"/>
      <c r="Z1170" s="49"/>
    </row>
    <row r="1171">
      <c r="A1171" s="49" t="str">
        <f>IFERROR(__xludf.DUMMYFUNCTION("""COMPUTED_VALUE"""),"Geode jello")</f>
        <v>Geode jello</v>
      </c>
      <c r="B1171" s="49" t="str">
        <f>IFERROR(__xludf.DUMMYFUNCTION("""COMPUTED_VALUE"""),"20 Thirst")</f>
        <v>20 Thirst</v>
      </c>
      <c r="C1171" s="49" t="str">
        <f>IFERROR(__xludf.DUMMYFUNCTION("""COMPUTED_VALUE"""),"Item")</f>
        <v>Item</v>
      </c>
      <c r="D1171" s="49"/>
      <c r="E1171" s="49"/>
      <c r="F1171" s="49"/>
      <c r="G1171" s="49"/>
      <c r="H1171" s="49"/>
      <c r="I1171" s="49"/>
      <c r="J1171" s="49"/>
      <c r="K1171" s="49"/>
      <c r="L1171" s="49"/>
      <c r="M1171" s="49"/>
      <c r="N1171" s="49"/>
      <c r="O1171" s="49"/>
      <c r="P1171" s="49"/>
      <c r="Q1171" s="49"/>
      <c r="R1171" s="49"/>
      <c r="S1171" s="49"/>
      <c r="T1171" s="49"/>
      <c r="U1171" s="49"/>
      <c r="V1171" s="49"/>
      <c r="W1171" s="49"/>
      <c r="X1171" s="49"/>
      <c r="Y1171" s="49"/>
      <c r="Z1171" s="49"/>
    </row>
    <row r="1172">
      <c r="A1172" s="49" t="str">
        <f>IFERROR(__xludf.DUMMYFUNCTION("""COMPUTED_VALUE"""),"Black baked potatoes")</f>
        <v>Black baked potatoes</v>
      </c>
      <c r="B1172" s="49" t="str">
        <f>IFERROR(__xludf.DUMMYFUNCTION("""COMPUTED_VALUE"""),"50 Hunger")</f>
        <v>50 Hunger</v>
      </c>
      <c r="C1172" s="49" t="str">
        <f>IFERROR(__xludf.DUMMYFUNCTION("""COMPUTED_VALUE"""),"Crop")</f>
        <v>Crop</v>
      </c>
      <c r="D1172" s="49"/>
      <c r="E1172" s="49"/>
      <c r="F1172" s="49"/>
      <c r="G1172" s="49"/>
      <c r="H1172" s="49"/>
      <c r="I1172" s="49"/>
      <c r="J1172" s="49"/>
      <c r="K1172" s="49"/>
      <c r="L1172" s="49"/>
      <c r="M1172" s="49"/>
      <c r="N1172" s="49"/>
      <c r="O1172" s="49"/>
      <c r="P1172" s="49"/>
      <c r="Q1172" s="49"/>
      <c r="R1172" s="49"/>
      <c r="S1172" s="49"/>
      <c r="T1172" s="49"/>
      <c r="U1172" s="49"/>
      <c r="V1172" s="49"/>
      <c r="W1172" s="49"/>
      <c r="X1172" s="49"/>
      <c r="Y1172" s="49"/>
      <c r="Z1172" s="49"/>
    </row>
    <row r="1173">
      <c r="A1173" s="49" t="str">
        <f>IFERROR(__xludf.DUMMYFUNCTION("""COMPUTED_VALUE"""),"Human Steak")</f>
        <v>Human Steak</v>
      </c>
      <c r="B1173" s="49" t="str">
        <f>IFERROR(__xludf.DUMMYFUNCTION("""COMPUTED_VALUE"""),"300 Hunger")</f>
        <v>300 Hunger</v>
      </c>
      <c r="C1173" s="49" t="str">
        <f>IFERROR(__xludf.DUMMYFUNCTION("""COMPUTED_VALUE"""),"Crop")</f>
        <v>Crop</v>
      </c>
      <c r="D1173" s="49"/>
      <c r="E1173" s="49"/>
      <c r="F1173" s="49"/>
      <c r="G1173" s="49"/>
      <c r="H1173" s="49"/>
      <c r="I1173" s="49"/>
      <c r="J1173" s="49"/>
      <c r="K1173" s="49"/>
      <c r="L1173" s="49"/>
      <c r="M1173" s="49"/>
      <c r="N1173" s="49"/>
      <c r="O1173" s="49"/>
      <c r="P1173" s="49"/>
      <c r="Q1173" s="49"/>
      <c r="R1173" s="49"/>
      <c r="S1173" s="49"/>
      <c r="T1173" s="49"/>
      <c r="U1173" s="49"/>
      <c r="V1173" s="49"/>
      <c r="W1173" s="49"/>
      <c r="X1173" s="49"/>
      <c r="Y1173" s="49"/>
      <c r="Z1173" s="49"/>
    </row>
    <row r="1174">
      <c r="A1174" s="49" t="str">
        <f>IFERROR(__xludf.DUMMYFUNCTION("""COMPUTED_VALUE"""),"Black Sheep mutton")</f>
        <v>Black Sheep mutton</v>
      </c>
      <c r="B1174" s="49" t="str">
        <f>IFERROR(__xludf.DUMMYFUNCTION("""COMPUTED_VALUE"""),"250 Hunger")</f>
        <v>250 Hunger</v>
      </c>
      <c r="C1174" s="49" t="str">
        <f>IFERROR(__xludf.DUMMYFUNCTION("""COMPUTED_VALUE"""),"Crop")</f>
        <v>Crop</v>
      </c>
      <c r="D1174" s="49"/>
      <c r="E1174" s="49"/>
      <c r="F1174" s="49"/>
      <c r="G1174" s="49"/>
      <c r="H1174" s="49"/>
      <c r="I1174" s="49"/>
      <c r="J1174" s="49"/>
      <c r="K1174" s="49"/>
      <c r="L1174" s="49"/>
      <c r="M1174" s="49"/>
      <c r="N1174" s="49"/>
      <c r="O1174" s="49"/>
      <c r="P1174" s="49"/>
      <c r="Q1174" s="49"/>
      <c r="R1174" s="49"/>
      <c r="S1174" s="49"/>
      <c r="T1174" s="49"/>
      <c r="U1174" s="49"/>
      <c r="V1174" s="49"/>
      <c r="W1174" s="49"/>
      <c r="X1174" s="49"/>
      <c r="Y1174" s="49"/>
      <c r="Z1174" s="49"/>
    </row>
    <row r="1175">
      <c r="A1175" s="49" t="str">
        <f>IFERROR(__xludf.DUMMYFUNCTION("""COMPUTED_VALUE"""),"Ebony Caviar")</f>
        <v>Ebony Caviar</v>
      </c>
      <c r="B1175" s="49" t="str">
        <f>IFERROR(__xludf.DUMMYFUNCTION("""COMPUTED_VALUE"""),"100 Hunger +105 Energy")</f>
        <v>100 Hunger +105 Energy</v>
      </c>
      <c r="C1175" s="49" t="str">
        <f>IFERROR(__xludf.DUMMYFUNCTION("""COMPUTED_VALUE"""),"Crop")</f>
        <v>Crop</v>
      </c>
      <c r="D1175" s="49"/>
      <c r="E1175" s="49"/>
      <c r="F1175" s="49"/>
      <c r="G1175" s="49"/>
      <c r="H1175" s="49"/>
      <c r="I1175" s="49"/>
      <c r="J1175" s="49"/>
      <c r="K1175" s="49"/>
      <c r="L1175" s="49"/>
      <c r="M1175" s="49"/>
      <c r="N1175" s="49"/>
      <c r="O1175" s="49"/>
      <c r="P1175" s="49"/>
      <c r="Q1175" s="49"/>
      <c r="R1175" s="49"/>
      <c r="S1175" s="49"/>
      <c r="T1175" s="49"/>
      <c r="U1175" s="49"/>
      <c r="V1175" s="49"/>
      <c r="W1175" s="49"/>
      <c r="X1175" s="49"/>
      <c r="Y1175" s="49"/>
      <c r="Z1175" s="49"/>
    </row>
    <row r="1176">
      <c r="A1176" s="49" t="str">
        <f>IFERROR(__xludf.DUMMYFUNCTION("""COMPUTED_VALUE"""),"Black Kale")</f>
        <v>Black Kale</v>
      </c>
      <c r="B1176" s="49" t="str">
        <f>IFERROR(__xludf.DUMMYFUNCTION("""COMPUTED_VALUE"""),"140 Hunger")</f>
        <v>140 Hunger</v>
      </c>
      <c r="C1176" s="49" t="str">
        <f>IFERROR(__xludf.DUMMYFUNCTION("""COMPUTED_VALUE"""),"Crop")</f>
        <v>Crop</v>
      </c>
      <c r="D1176" s="49"/>
      <c r="E1176" s="49"/>
      <c r="F1176" s="49"/>
      <c r="G1176" s="49"/>
      <c r="H1176" s="49"/>
      <c r="I1176" s="49"/>
      <c r="J1176" s="49"/>
      <c r="K1176" s="49"/>
      <c r="L1176" s="49"/>
      <c r="M1176" s="49"/>
      <c r="N1176" s="49"/>
      <c r="O1176" s="49"/>
      <c r="P1176" s="49"/>
      <c r="Q1176" s="49"/>
      <c r="R1176" s="49"/>
      <c r="S1176" s="49"/>
      <c r="T1176" s="49"/>
      <c r="U1176" s="49"/>
      <c r="V1176" s="49"/>
      <c r="W1176" s="49"/>
      <c r="X1176" s="49"/>
      <c r="Y1176" s="49"/>
      <c r="Z1176" s="49"/>
    </row>
    <row r="1177">
      <c r="A1177" s="49" t="str">
        <f>IFERROR(__xludf.DUMMYFUNCTION("""COMPUTED_VALUE"""),"Smokey Champagne")</f>
        <v>Smokey Champagne</v>
      </c>
      <c r="B1177" s="49" t="str">
        <f>IFERROR(__xludf.DUMMYFUNCTION("""COMPUTED_VALUE"""),"140 Thirst")</f>
        <v>140 Thirst</v>
      </c>
      <c r="C1177" s="49" t="str">
        <f>IFERROR(__xludf.DUMMYFUNCTION("""COMPUTED_VALUE"""),"Item")</f>
        <v>Item</v>
      </c>
      <c r="D1177" s="49"/>
      <c r="E1177" s="49"/>
      <c r="F1177" s="49"/>
      <c r="G1177" s="49"/>
      <c r="H1177" s="49"/>
      <c r="I1177" s="49"/>
      <c r="J1177" s="49"/>
      <c r="K1177" s="49"/>
      <c r="L1177" s="49"/>
      <c r="M1177" s="49"/>
      <c r="N1177" s="49"/>
      <c r="O1177" s="49"/>
      <c r="P1177" s="49"/>
      <c r="Q1177" s="49"/>
      <c r="R1177" s="49"/>
      <c r="S1177" s="49"/>
      <c r="T1177" s="49"/>
      <c r="U1177" s="49"/>
      <c r="V1177" s="49"/>
      <c r="W1177" s="49"/>
      <c r="X1177" s="49"/>
      <c r="Y1177" s="49"/>
      <c r="Z1177" s="49"/>
    </row>
    <row r="1178">
      <c r="A1178" s="49" t="str">
        <f>IFERROR(__xludf.DUMMYFUNCTION("""COMPUTED_VALUE"""),"Dead Island iced tea")</f>
        <v>Dead Island iced tea</v>
      </c>
      <c r="B1178" s="49" t="str">
        <f>IFERROR(__xludf.DUMMYFUNCTION("""COMPUTED_VALUE"""),"150 Thirst +125 Energy")</f>
        <v>150 Thirst +125 Energy</v>
      </c>
      <c r="C1178" s="49" t="str">
        <f>IFERROR(__xludf.DUMMYFUNCTION("""COMPUTED_VALUE"""),"Item")</f>
        <v>Item</v>
      </c>
      <c r="D1178" s="49"/>
      <c r="E1178" s="49"/>
      <c r="F1178" s="49"/>
      <c r="G1178" s="49"/>
      <c r="H1178" s="49"/>
      <c r="I1178" s="49"/>
      <c r="J1178" s="49"/>
      <c r="K1178" s="49"/>
      <c r="L1178" s="49"/>
      <c r="M1178" s="49"/>
      <c r="N1178" s="49"/>
      <c r="O1178" s="49"/>
      <c r="P1178" s="49"/>
      <c r="Q1178" s="49"/>
      <c r="R1178" s="49"/>
      <c r="S1178" s="49"/>
      <c r="T1178" s="49"/>
      <c r="U1178" s="49"/>
      <c r="V1178" s="49"/>
      <c r="W1178" s="49"/>
      <c r="X1178" s="49"/>
      <c r="Y1178" s="49"/>
      <c r="Z1178" s="49"/>
    </row>
    <row r="1179">
      <c r="A1179" s="49" t="str">
        <f>IFERROR(__xludf.DUMMYFUNCTION("""COMPUTED_VALUE"""),"Black russian")</f>
        <v>Black russian</v>
      </c>
      <c r="B1179" s="49" t="str">
        <f>IFERROR(__xludf.DUMMYFUNCTION("""COMPUTED_VALUE"""),"200 Thirst +200 Energy")</f>
        <v>200 Thirst +200 Energy</v>
      </c>
      <c r="C1179" s="49" t="str">
        <f>IFERROR(__xludf.DUMMYFUNCTION("""COMPUTED_VALUE"""),"Item")</f>
        <v>Item</v>
      </c>
      <c r="D1179" s="49"/>
      <c r="E1179" s="49"/>
      <c r="F1179" s="49"/>
      <c r="G1179" s="49"/>
      <c r="H1179" s="49"/>
      <c r="I1179" s="49"/>
      <c r="J1179" s="49"/>
      <c r="K1179" s="49"/>
      <c r="L1179" s="49"/>
      <c r="M1179" s="49"/>
      <c r="N1179" s="49"/>
      <c r="O1179" s="49"/>
      <c r="P1179" s="49"/>
      <c r="Q1179" s="49"/>
      <c r="R1179" s="49"/>
      <c r="S1179" s="49"/>
      <c r="T1179" s="49"/>
      <c r="U1179" s="49"/>
      <c r="V1179" s="49"/>
      <c r="W1179" s="49"/>
      <c r="X1179" s="49"/>
      <c r="Y1179" s="49"/>
      <c r="Z1179" s="49"/>
    </row>
    <row r="1180">
      <c r="A1180" s="49" t="str">
        <f>IFERROR(__xludf.DUMMYFUNCTION("""COMPUTED_VALUE"""),"Obsidian Lobster")</f>
        <v>Obsidian Lobster</v>
      </c>
      <c r="B1180" s="49" t="str">
        <f>IFERROR(__xludf.DUMMYFUNCTION("""COMPUTED_VALUE"""),"200 Hunger +200 Energy")</f>
        <v>200 Hunger +200 Energy</v>
      </c>
      <c r="C1180" s="49" t="str">
        <f>IFERROR(__xludf.DUMMYFUNCTION("""COMPUTED_VALUE"""),"Crop")</f>
        <v>Crop</v>
      </c>
      <c r="D1180" s="49"/>
      <c r="E1180" s="49"/>
      <c r="F1180" s="49"/>
      <c r="G1180" s="49"/>
      <c r="H1180" s="49"/>
      <c r="I1180" s="49"/>
      <c r="J1180" s="49"/>
      <c r="K1180" s="49"/>
      <c r="L1180" s="49"/>
      <c r="M1180" s="49"/>
      <c r="N1180" s="49"/>
      <c r="O1180" s="49"/>
      <c r="P1180" s="49"/>
      <c r="Q1180" s="49"/>
      <c r="R1180" s="49"/>
      <c r="S1180" s="49"/>
      <c r="T1180" s="49"/>
      <c r="U1180" s="49"/>
      <c r="V1180" s="49"/>
      <c r="W1180" s="49"/>
      <c r="X1180" s="49"/>
      <c r="Y1180" s="49"/>
      <c r="Z1180" s="49"/>
    </row>
    <row r="1181">
      <c r="A1181" s="49" t="str">
        <f>IFERROR(__xludf.DUMMYFUNCTION("""COMPUTED_VALUE"""),"Charcoal Truffles")</f>
        <v>Charcoal Truffles</v>
      </c>
      <c r="B1181" s="49" t="str">
        <f>IFERROR(__xludf.DUMMYFUNCTION("""COMPUTED_VALUE"""),"100 Hunger +100 Energy")</f>
        <v>100 Hunger +100 Energy</v>
      </c>
      <c r="C1181" s="49" t="str">
        <f>IFERROR(__xludf.DUMMYFUNCTION("""COMPUTED_VALUE"""),"Crop")</f>
        <v>Crop</v>
      </c>
      <c r="D1181" s="49"/>
      <c r="E1181" s="49"/>
      <c r="F1181" s="49"/>
      <c r="G1181" s="49"/>
      <c r="H1181" s="49"/>
      <c r="I1181" s="49"/>
      <c r="J1181" s="49"/>
      <c r="K1181" s="49"/>
      <c r="L1181" s="49"/>
      <c r="M1181" s="49"/>
      <c r="N1181" s="49"/>
      <c r="O1181" s="49"/>
      <c r="P1181" s="49"/>
      <c r="Q1181" s="49"/>
      <c r="R1181" s="49"/>
      <c r="S1181" s="49"/>
      <c r="T1181" s="49"/>
      <c r="U1181" s="49"/>
      <c r="V1181" s="49"/>
      <c r="W1181" s="49"/>
      <c r="X1181" s="49"/>
      <c r="Y1181" s="49"/>
      <c r="Z1181" s="49"/>
    </row>
    <row r="1182">
      <c r="A1182" s="49" t="str">
        <f>IFERROR(__xludf.DUMMYFUNCTION("""COMPUTED_VALUE"""),"Italian spaghetti and meatballs")</f>
        <v>Italian spaghetti and meatballs</v>
      </c>
      <c r="B1182" s="49" t="str">
        <f>IFERROR(__xludf.DUMMYFUNCTION("""COMPUTED_VALUE"""),"Full HP, Energy, Hunger, Thirst")</f>
        <v>Full HP, Energy, Hunger, Thirst</v>
      </c>
      <c r="C1182" s="49" t="str">
        <f>IFERROR(__xludf.DUMMYFUNCTION("""COMPUTED_VALUE"""),"Crop")</f>
        <v>Crop</v>
      </c>
      <c r="D1182" s="49"/>
      <c r="E1182" s="49"/>
      <c r="F1182" s="49"/>
      <c r="G1182" s="49"/>
      <c r="H1182" s="49"/>
      <c r="I1182" s="49"/>
      <c r="J1182" s="49"/>
      <c r="K1182" s="49"/>
      <c r="L1182" s="49"/>
      <c r="M1182" s="49"/>
      <c r="N1182" s="49"/>
      <c r="O1182" s="49"/>
      <c r="P1182" s="49"/>
      <c r="Q1182" s="49"/>
      <c r="R1182" s="49"/>
      <c r="S1182" s="49"/>
      <c r="T1182" s="49"/>
      <c r="U1182" s="49"/>
      <c r="V1182" s="49"/>
      <c r="W1182" s="49"/>
      <c r="X1182" s="49"/>
      <c r="Y1182" s="49"/>
      <c r="Z1182" s="49"/>
    </row>
    <row r="1183">
      <c r="A1183" s="49" t="str">
        <f>IFERROR(__xludf.DUMMYFUNCTION("""COMPUTED_VALUE"""),"Enclosed Spirits (enchantment)")</f>
        <v>Enclosed Spirits (enchantment)</v>
      </c>
      <c r="B1183" s="49" t="str">
        <f>IFERROR(__xludf.DUMMYFUNCTION("""COMPUTED_VALUE"""),"Add 1000 Spirit damage or resistance to any Spirit related Weapon or armor.")</f>
        <v>Add 1000 Spirit damage or resistance to any Spirit related Weapon or armor.</v>
      </c>
      <c r="C1183" s="49" t="str">
        <f>IFERROR(__xludf.DUMMYFUNCTION("""COMPUTED_VALUE"""),"Item")</f>
        <v>Item</v>
      </c>
      <c r="D1183" s="49"/>
      <c r="E1183" s="49"/>
      <c r="F1183" s="49"/>
      <c r="G1183" s="49"/>
      <c r="H1183" s="49"/>
      <c r="I1183" s="49"/>
      <c r="J1183" s="49"/>
      <c r="K1183" s="49"/>
      <c r="L1183" s="49"/>
      <c r="M1183" s="49"/>
      <c r="N1183" s="49"/>
      <c r="O1183" s="49"/>
      <c r="P1183" s="49"/>
      <c r="Q1183" s="49"/>
      <c r="R1183" s="49"/>
      <c r="S1183" s="49"/>
      <c r="T1183" s="49"/>
      <c r="U1183" s="49"/>
      <c r="V1183" s="49"/>
      <c r="W1183" s="49"/>
      <c r="X1183" s="49"/>
      <c r="Y1183" s="49"/>
      <c r="Z1183" s="49"/>
    </row>
    <row r="1184">
      <c r="A1184" s="49" t="str">
        <f>IFERROR(__xludf.DUMMYFUNCTION("""COMPUTED_VALUE"""),"Goat’s eye")</f>
        <v>Goat’s eye</v>
      </c>
      <c r="B1184" s="49" t="str">
        <f>IFERROR(__xludf.DUMMYFUNCTION("""COMPUTED_VALUE"""),"Crafting Material, roll a d20 to see how many you get if this is a loot drop.")</f>
        <v>Crafting Material, roll a d20 to see how many you get if this is a loot drop.</v>
      </c>
      <c r="C1184" s="49" t="str">
        <f>IFERROR(__xludf.DUMMYFUNCTION("""COMPUTED_VALUE"""),"Item")</f>
        <v>Item</v>
      </c>
      <c r="D1184" s="49"/>
      <c r="E1184" s="49"/>
      <c r="F1184" s="49"/>
      <c r="G1184" s="49"/>
      <c r="H1184" s="49"/>
      <c r="I1184" s="49"/>
      <c r="J1184" s="49"/>
      <c r="K1184" s="49"/>
      <c r="L1184" s="49"/>
      <c r="M1184" s="49"/>
      <c r="N1184" s="49"/>
      <c r="O1184" s="49"/>
      <c r="P1184" s="49"/>
      <c r="Q1184" s="49"/>
      <c r="R1184" s="49"/>
      <c r="S1184" s="49"/>
      <c r="T1184" s="49"/>
      <c r="U1184" s="49"/>
      <c r="V1184" s="49"/>
      <c r="W1184" s="49"/>
      <c r="X1184" s="49"/>
      <c r="Y1184" s="49"/>
      <c r="Z1184" s="49"/>
    </row>
    <row r="1185">
      <c r="A1185" s="49" t="str">
        <f>IFERROR(__xludf.DUMMYFUNCTION("""COMPUTED_VALUE"""),"Heart of the Demon")</f>
        <v>Heart of the Demon</v>
      </c>
      <c r="B1185" s="49" t="str">
        <f>IFERROR(__xludf.DUMMYFUNCTION("""COMPUTED_VALUE"""),"Crafting Material, roll a d20 to see how many you get if this is a loot drop.")</f>
        <v>Crafting Material, roll a d20 to see how many you get if this is a loot drop.</v>
      </c>
      <c r="C1185" s="49" t="str">
        <f>IFERROR(__xludf.DUMMYFUNCTION("""COMPUTED_VALUE"""),"Item")</f>
        <v>Item</v>
      </c>
      <c r="D1185" s="49"/>
      <c r="E1185" s="49"/>
      <c r="F1185" s="49"/>
      <c r="G1185" s="49"/>
      <c r="H1185" s="49"/>
      <c r="I1185" s="49"/>
      <c r="J1185" s="49"/>
      <c r="K1185" s="49"/>
      <c r="L1185" s="49"/>
      <c r="M1185" s="49"/>
      <c r="N1185" s="49"/>
      <c r="O1185" s="49"/>
      <c r="P1185" s="49"/>
      <c r="Q1185" s="49"/>
      <c r="R1185" s="49"/>
      <c r="S1185" s="49"/>
      <c r="T1185" s="49"/>
      <c r="U1185" s="49"/>
      <c r="V1185" s="49"/>
      <c r="W1185" s="49"/>
      <c r="X1185" s="49"/>
      <c r="Y1185" s="49"/>
      <c r="Z1185" s="49"/>
    </row>
    <row r="1186">
      <c r="A1186" s="49" t="str">
        <f>IFERROR(__xludf.DUMMYFUNCTION("""COMPUTED_VALUE"""),"Tooth of the Volcanic Serpent")</f>
        <v>Tooth of the Volcanic Serpent</v>
      </c>
      <c r="B1186" s="49" t="str">
        <f>IFERROR(__xludf.DUMMYFUNCTION("""COMPUTED_VALUE"""),"Crafting Material, roll a d20 to see how many you get if this is a loot drop.")</f>
        <v>Crafting Material, roll a d20 to see how many you get if this is a loot drop.</v>
      </c>
      <c r="C1186" s="49" t="str">
        <f>IFERROR(__xludf.DUMMYFUNCTION("""COMPUTED_VALUE"""),"Item")</f>
        <v>Item</v>
      </c>
      <c r="D1186" s="49"/>
      <c r="E1186" s="49"/>
      <c r="F1186" s="49"/>
      <c r="G1186" s="49"/>
      <c r="H1186" s="49"/>
      <c r="I1186" s="49"/>
      <c r="J1186" s="49"/>
      <c r="K1186" s="49"/>
      <c r="L1186" s="49"/>
      <c r="M1186" s="49"/>
      <c r="N1186" s="49"/>
      <c r="O1186" s="49"/>
      <c r="P1186" s="49"/>
      <c r="Q1186" s="49"/>
      <c r="R1186" s="49"/>
      <c r="S1186" s="49"/>
      <c r="T1186" s="49"/>
      <c r="U1186" s="49"/>
      <c r="V1186" s="49"/>
      <c r="W1186" s="49"/>
      <c r="X1186" s="49"/>
      <c r="Y1186" s="49"/>
      <c r="Z1186" s="49"/>
    </row>
    <row r="1187">
      <c r="A1187" s="49" t="str">
        <f>IFERROR(__xludf.DUMMYFUNCTION("""COMPUTED_VALUE"""),"Fire Jaguars Leather Skin")</f>
        <v>Fire Jaguars Leather Skin</v>
      </c>
      <c r="B1187" s="49" t="str">
        <f>IFERROR(__xludf.DUMMYFUNCTION("""COMPUTED_VALUE"""),"Crafting Material, roll a d20 to see how many you get if this is a loot drop.")</f>
        <v>Crafting Material, roll a d20 to see how many you get if this is a loot drop.</v>
      </c>
      <c r="C1187" s="49" t="str">
        <f>IFERROR(__xludf.DUMMYFUNCTION("""COMPUTED_VALUE"""),"Item")</f>
        <v>Item</v>
      </c>
      <c r="D1187" s="49"/>
      <c r="E1187" s="49"/>
      <c r="F1187" s="49"/>
      <c r="G1187" s="49"/>
      <c r="H1187" s="49"/>
      <c r="I1187" s="49"/>
      <c r="J1187" s="49"/>
      <c r="K1187" s="49"/>
      <c r="L1187" s="49"/>
      <c r="M1187" s="49"/>
      <c r="N1187" s="49"/>
      <c r="O1187" s="49"/>
      <c r="P1187" s="49"/>
      <c r="Q1187" s="49"/>
      <c r="R1187" s="49"/>
      <c r="S1187" s="49"/>
      <c r="T1187" s="49"/>
      <c r="U1187" s="49"/>
      <c r="V1187" s="49"/>
      <c r="W1187" s="49"/>
      <c r="X1187" s="49"/>
      <c r="Y1187" s="49"/>
      <c r="Z1187" s="49"/>
    </row>
    <row r="1188">
      <c r="A1188" s="49" t="str">
        <f>IFERROR(__xludf.DUMMYFUNCTION("""COMPUTED_VALUE"""),"Black Lake Soup")</f>
        <v>Black Lake Soup</v>
      </c>
      <c r="B1188" s="49" t="str">
        <f>IFERROR(__xludf.DUMMYFUNCTION("""COMPUTED_VALUE"""),"500 Thirst and 400 Hunger")</f>
        <v>500 Thirst and 400 Hunger</v>
      </c>
      <c r="C1188" s="49" t="str">
        <f>IFERROR(__xludf.DUMMYFUNCTION("""COMPUTED_VALUE"""),"Crop")</f>
        <v>Crop</v>
      </c>
      <c r="D1188" s="49"/>
      <c r="E1188" s="49"/>
      <c r="F1188" s="49"/>
      <c r="G1188" s="49"/>
      <c r="H1188" s="49"/>
      <c r="I1188" s="49"/>
      <c r="J1188" s="49"/>
      <c r="K1188" s="49"/>
      <c r="L1188" s="49"/>
      <c r="M1188" s="49"/>
      <c r="N1188" s="49"/>
      <c r="O1188" s="49"/>
      <c r="P1188" s="49"/>
      <c r="Q1188" s="49"/>
      <c r="R1188" s="49"/>
      <c r="S1188" s="49"/>
      <c r="T1188" s="49"/>
      <c r="U1188" s="49"/>
      <c r="V1188" s="49"/>
      <c r="W1188" s="49"/>
      <c r="X1188" s="49"/>
      <c r="Y1188" s="49"/>
      <c r="Z1188" s="49"/>
    </row>
    <row r="1189">
      <c r="A1189" s="49" t="str">
        <f>IFERROR(__xludf.DUMMYFUNCTION("""COMPUTED_VALUE"""),"Basilisk Veal")</f>
        <v>Basilisk Veal</v>
      </c>
      <c r="B1189" s="49" t="str">
        <f>IFERROR(__xludf.DUMMYFUNCTION("""COMPUTED_VALUE"""),"500 Hunger")</f>
        <v>500 Hunger</v>
      </c>
      <c r="C1189" s="49" t="str">
        <f>IFERROR(__xludf.DUMMYFUNCTION("""COMPUTED_VALUE"""),"Crop")</f>
        <v>Crop</v>
      </c>
      <c r="D1189" s="49"/>
      <c r="E1189" s="49"/>
      <c r="F1189" s="49"/>
      <c r="G1189" s="49"/>
      <c r="H1189" s="49"/>
      <c r="I1189" s="49"/>
      <c r="J1189" s="49"/>
      <c r="K1189" s="49"/>
      <c r="L1189" s="49"/>
      <c r="M1189" s="49"/>
      <c r="N1189" s="49"/>
      <c r="O1189" s="49"/>
      <c r="P1189" s="49"/>
      <c r="Q1189" s="49"/>
      <c r="R1189" s="49"/>
      <c r="S1189" s="49"/>
      <c r="T1189" s="49"/>
      <c r="U1189" s="49"/>
      <c r="V1189" s="49"/>
      <c r="W1189" s="49"/>
      <c r="X1189" s="49"/>
      <c r="Y1189" s="49"/>
      <c r="Z1189" s="49"/>
    </row>
    <row r="1190">
      <c r="A1190" s="49" t="str">
        <f>IFERROR(__xludf.DUMMYFUNCTION("""COMPUTED_VALUE"""),"Black Cactus juice")</f>
        <v>Black Cactus juice</v>
      </c>
      <c r="B1190" s="49" t="str">
        <f>IFERROR(__xludf.DUMMYFUNCTION("""COMPUTED_VALUE"""),"500 Thirst")</f>
        <v>500 Thirst</v>
      </c>
      <c r="C1190" s="49" t="str">
        <f>IFERROR(__xludf.DUMMYFUNCTION("""COMPUTED_VALUE"""),"Item")</f>
        <v>Item</v>
      </c>
      <c r="D1190" s="49"/>
      <c r="E1190" s="49"/>
      <c r="F1190" s="49"/>
      <c r="G1190" s="49"/>
      <c r="H1190" s="49"/>
      <c r="I1190" s="49"/>
      <c r="J1190" s="49"/>
      <c r="K1190" s="49"/>
      <c r="L1190" s="49"/>
      <c r="M1190" s="49"/>
      <c r="N1190" s="49"/>
      <c r="O1190" s="49"/>
      <c r="P1190" s="49"/>
      <c r="Q1190" s="49"/>
      <c r="R1190" s="49"/>
      <c r="S1190" s="49"/>
      <c r="T1190" s="49"/>
      <c r="U1190" s="49"/>
      <c r="V1190" s="49"/>
      <c r="W1190" s="49"/>
      <c r="X1190" s="49"/>
      <c r="Y1190" s="49"/>
      <c r="Z1190" s="49"/>
    </row>
    <row r="1191">
      <c r="A1191" s="49" t="str">
        <f>IFERROR(__xludf.DUMMYFUNCTION("""COMPUTED_VALUE"""),"Black Lake Purified Water")</f>
        <v>Black Lake Purified Water</v>
      </c>
      <c r="B1191" s="49" t="str">
        <f>IFERROR(__xludf.DUMMYFUNCTION("""COMPUTED_VALUE"""),"650 Thirst")</f>
        <v>650 Thirst</v>
      </c>
      <c r="C1191" s="49" t="str">
        <f>IFERROR(__xludf.DUMMYFUNCTION("""COMPUTED_VALUE"""),"Item")</f>
        <v>Item</v>
      </c>
      <c r="D1191" s="49"/>
      <c r="E1191" s="49"/>
      <c r="F1191" s="49"/>
      <c r="G1191" s="49"/>
      <c r="H1191" s="49"/>
      <c r="I1191" s="49"/>
      <c r="J1191" s="49"/>
      <c r="K1191" s="49"/>
      <c r="L1191" s="49"/>
      <c r="M1191" s="49"/>
      <c r="N1191" s="49"/>
      <c r="O1191" s="49"/>
      <c r="P1191" s="49"/>
      <c r="Q1191" s="49"/>
      <c r="R1191" s="49"/>
      <c r="S1191" s="49"/>
      <c r="T1191" s="49"/>
      <c r="U1191" s="49"/>
      <c r="V1191" s="49"/>
      <c r="W1191" s="49"/>
      <c r="X1191" s="49"/>
      <c r="Y1191" s="49"/>
      <c r="Z1191" s="49"/>
    </row>
    <row r="1192">
      <c r="A1192" s="49" t="str">
        <f>IFERROR(__xludf.DUMMYFUNCTION("""COMPUTED_VALUE"""),"Neutralized Basilisk Venom Shot")</f>
        <v>Neutralized Basilisk Venom Shot</v>
      </c>
      <c r="B1192" s="49" t="str">
        <f>IFERROR(__xludf.DUMMYFUNCTION("""COMPUTED_VALUE"""),"1000 Thirst")</f>
        <v>1000 Thirst</v>
      </c>
      <c r="C1192" s="49" t="str">
        <f>IFERROR(__xludf.DUMMYFUNCTION("""COMPUTED_VALUE"""),"Item")</f>
        <v>Item</v>
      </c>
      <c r="D1192" s="49"/>
      <c r="E1192" s="49"/>
      <c r="F1192" s="49"/>
      <c r="G1192" s="49"/>
      <c r="H1192" s="49"/>
      <c r="I1192" s="49"/>
      <c r="J1192" s="49"/>
      <c r="K1192" s="49"/>
      <c r="L1192" s="49"/>
      <c r="M1192" s="49"/>
      <c r="N1192" s="49"/>
      <c r="O1192" s="49"/>
      <c r="P1192" s="49"/>
      <c r="Q1192" s="49"/>
      <c r="R1192" s="49"/>
      <c r="S1192" s="49"/>
      <c r="T1192" s="49"/>
      <c r="U1192" s="49"/>
      <c r="V1192" s="49"/>
      <c r="W1192" s="49"/>
      <c r="X1192" s="49"/>
      <c r="Y1192" s="49"/>
      <c r="Z1192" s="49"/>
    </row>
    <row r="1193">
      <c r="A1193" s="49" t="str">
        <f>IFERROR(__xludf.DUMMYFUNCTION("""COMPUTED_VALUE"""),"Ebony Mushrooms")</f>
        <v>Ebony Mushrooms</v>
      </c>
      <c r="B1193" s="49" t="str">
        <f>IFERROR(__xludf.DUMMYFUNCTION("""COMPUTED_VALUE"""),"250 Hunger")</f>
        <v>250 Hunger</v>
      </c>
      <c r="C1193" s="49" t="str">
        <f>IFERROR(__xludf.DUMMYFUNCTION("""COMPUTED_VALUE"""),"Crop")</f>
        <v>Crop</v>
      </c>
      <c r="D1193" s="49"/>
      <c r="E1193" s="49"/>
      <c r="F1193" s="49"/>
      <c r="G1193" s="49"/>
      <c r="H1193" s="49"/>
      <c r="I1193" s="49"/>
      <c r="J1193" s="49"/>
      <c r="K1193" s="49"/>
      <c r="L1193" s="49"/>
      <c r="M1193" s="49"/>
      <c r="N1193" s="49"/>
      <c r="O1193" s="49"/>
      <c r="P1193" s="49"/>
      <c r="Q1193" s="49"/>
      <c r="R1193" s="49"/>
      <c r="S1193" s="49"/>
      <c r="T1193" s="49"/>
      <c r="U1193" s="49"/>
      <c r="V1193" s="49"/>
      <c r="W1193" s="49"/>
      <c r="X1193" s="49"/>
      <c r="Y1193" s="49"/>
      <c r="Z1193" s="49"/>
    </row>
    <row r="1194">
      <c r="A1194" s="49" t="str">
        <f>IFERROR(__xludf.DUMMYFUNCTION("""COMPUTED_VALUE"""),"Black Sludge")</f>
        <v>Black Sludge</v>
      </c>
      <c r="B1194" s="49" t="str">
        <f>IFERROR(__xludf.DUMMYFUNCTION("""COMPUTED_VALUE"""),"Make a fail/succeed roll
Success - +500 Hunger and Thirst
Fail - -250 Hunger and Thirst From Vomiting.")</f>
        <v>Make a fail/succeed roll
Success - +500 Hunger and Thirst
Fail - -250 Hunger and Thirst From Vomiting.</v>
      </c>
      <c r="C1194" s="49" t="str">
        <f>IFERROR(__xludf.DUMMYFUNCTION("""COMPUTED_VALUE"""),"Crop")</f>
        <v>Crop</v>
      </c>
      <c r="D1194" s="49"/>
      <c r="E1194" s="49"/>
      <c r="F1194" s="49"/>
      <c r="G1194" s="49"/>
      <c r="H1194" s="49"/>
      <c r="I1194" s="49"/>
      <c r="J1194" s="49"/>
      <c r="K1194" s="49"/>
      <c r="L1194" s="49"/>
      <c r="M1194" s="49"/>
      <c r="N1194" s="49"/>
      <c r="O1194" s="49"/>
      <c r="P1194" s="49"/>
      <c r="Q1194" s="49"/>
      <c r="R1194" s="49"/>
      <c r="S1194" s="49"/>
      <c r="T1194" s="49"/>
      <c r="U1194" s="49"/>
      <c r="V1194" s="49"/>
      <c r="W1194" s="49"/>
      <c r="X1194" s="49"/>
      <c r="Y1194" s="49"/>
      <c r="Z1194" s="49"/>
    </row>
    <row r="1195">
      <c r="A1195" s="49" t="str">
        <f>IFERROR(__xludf.DUMMYFUNCTION("""COMPUTED_VALUE"""),"Black Sepent Dragon Scales")</f>
        <v>Black Sepent Dragon Scales</v>
      </c>
      <c r="B1195" s="49" t="str">
        <f>IFERROR(__xludf.DUMMYFUNCTION("""COMPUTED_VALUE"""),"Crafting Material, roll a d20 to see how many you get if this is a loot drop.")</f>
        <v>Crafting Material, roll a d20 to see how many you get if this is a loot drop.</v>
      </c>
      <c r="C1195" s="49" t="str">
        <f>IFERROR(__xludf.DUMMYFUNCTION("""COMPUTED_VALUE"""),"Item")</f>
        <v>Item</v>
      </c>
      <c r="D1195" s="49"/>
      <c r="E1195" s="49"/>
      <c r="F1195" s="49"/>
      <c r="G1195" s="49"/>
      <c r="H1195" s="49"/>
      <c r="I1195" s="49"/>
      <c r="J1195" s="49"/>
      <c r="K1195" s="49"/>
      <c r="L1195" s="49"/>
      <c r="M1195" s="49"/>
      <c r="N1195" s="49"/>
      <c r="O1195" s="49"/>
      <c r="P1195" s="49"/>
      <c r="Q1195" s="49"/>
      <c r="R1195" s="49"/>
      <c r="S1195" s="49"/>
      <c r="T1195" s="49"/>
      <c r="U1195" s="49"/>
      <c r="V1195" s="49"/>
      <c r="W1195" s="49"/>
      <c r="X1195" s="49"/>
      <c r="Y1195" s="49"/>
      <c r="Z1195" s="49"/>
    </row>
    <row r="1196">
      <c r="A1196" s="49" t="str">
        <f>IFERROR(__xludf.DUMMYFUNCTION("""COMPUTED_VALUE"""),"Chaotic Shadow Dragon Scales")</f>
        <v>Chaotic Shadow Dragon Scales</v>
      </c>
      <c r="B1196" s="49" t="str">
        <f>IFERROR(__xludf.DUMMYFUNCTION("""COMPUTED_VALUE"""),"Crafting Material, roll a d20 to see how many you get if this is a loot drop.")</f>
        <v>Crafting Material, roll a d20 to see how many you get if this is a loot drop.</v>
      </c>
      <c r="C1196" s="49" t="str">
        <f>IFERROR(__xludf.DUMMYFUNCTION("""COMPUTED_VALUE"""),"Item")</f>
        <v>Item</v>
      </c>
      <c r="D1196" s="49"/>
      <c r="E1196" s="49"/>
      <c r="F1196" s="49"/>
      <c r="G1196" s="49"/>
      <c r="H1196" s="49"/>
      <c r="I1196" s="49"/>
      <c r="J1196" s="49"/>
      <c r="K1196" s="49"/>
      <c r="L1196" s="49"/>
      <c r="M1196" s="49"/>
      <c r="N1196" s="49"/>
      <c r="O1196" s="49"/>
      <c r="P1196" s="49"/>
      <c r="Q1196" s="49"/>
      <c r="R1196" s="49"/>
      <c r="S1196" s="49"/>
      <c r="T1196" s="49"/>
      <c r="U1196" s="49"/>
      <c r="V1196" s="49"/>
      <c r="W1196" s="49"/>
      <c r="X1196" s="49"/>
      <c r="Y1196" s="49"/>
      <c r="Z1196" s="49"/>
    </row>
    <row r="1197">
      <c r="A1197" s="49" t="str">
        <f>IFERROR(__xludf.DUMMYFUNCTION("""COMPUTED_VALUE"""),"Chaotic Shadow Dragon Skull")</f>
        <v>Chaotic Shadow Dragon Skull</v>
      </c>
      <c r="B1197" s="49" t="str">
        <f>IFERROR(__xludf.DUMMYFUNCTION("""COMPUTED_VALUE"""),"can be consumed to obtain 1 free dark or chaos power. (Only one per character)")</f>
        <v>can be consumed to obtain 1 free dark or chaos power. (Only one per character)</v>
      </c>
      <c r="C1197" s="49" t="str">
        <f>IFERROR(__xludf.DUMMYFUNCTION("""COMPUTED_VALUE"""),"Item")</f>
        <v>Item</v>
      </c>
      <c r="D1197" s="49"/>
      <c r="E1197" s="49"/>
      <c r="F1197" s="49"/>
      <c r="G1197" s="49"/>
      <c r="H1197" s="49"/>
      <c r="I1197" s="49"/>
      <c r="J1197" s="49"/>
      <c r="K1197" s="49"/>
      <c r="L1197" s="49"/>
      <c r="M1197" s="49"/>
      <c r="N1197" s="49"/>
      <c r="O1197" s="49"/>
      <c r="P1197" s="49"/>
      <c r="Q1197" s="49"/>
      <c r="R1197" s="49"/>
      <c r="S1197" s="49"/>
      <c r="T1197" s="49"/>
      <c r="U1197" s="49"/>
      <c r="V1197" s="49"/>
      <c r="W1197" s="49"/>
      <c r="X1197" s="49"/>
      <c r="Y1197" s="49"/>
      <c r="Z1197" s="49"/>
    </row>
    <row r="1198">
      <c r="A1198" s="49" t="str">
        <f>IFERROR(__xludf.DUMMYFUNCTION("""COMPUTED_VALUE"""),"Sharp Teeth")</f>
        <v>Sharp Teeth</v>
      </c>
      <c r="B1198" s="49" t="str">
        <f>IFERROR(__xludf.DUMMYFUNCTION("""COMPUTED_VALUE"""),"Consumable, 100 sharp teeth = permanantly increase attack by 1.")</f>
        <v>Consumable, 100 sharp teeth = permanantly increase attack by 1.</v>
      </c>
      <c r="C1198" s="49" t="str">
        <f>IFERROR(__xludf.DUMMYFUNCTION("""COMPUTED_VALUE"""),"Item")</f>
        <v>Item</v>
      </c>
      <c r="D1198" s="49"/>
      <c r="E1198" s="49"/>
      <c r="F1198" s="49"/>
      <c r="G1198" s="49"/>
      <c r="H1198" s="49"/>
      <c r="I1198" s="49"/>
      <c r="J1198" s="49"/>
      <c r="K1198" s="49"/>
      <c r="L1198" s="49"/>
      <c r="M1198" s="49"/>
      <c r="N1198" s="49"/>
      <c r="O1198" s="49"/>
      <c r="P1198" s="49"/>
      <c r="Q1198" s="49"/>
      <c r="R1198" s="49"/>
      <c r="S1198" s="49"/>
      <c r="T1198" s="49"/>
      <c r="U1198" s="49"/>
      <c r="V1198" s="49"/>
      <c r="W1198" s="49"/>
      <c r="X1198" s="49"/>
      <c r="Y1198" s="49"/>
      <c r="Z1198" s="49"/>
    </row>
    <row r="1199">
      <c r="A1199" s="49" t="str">
        <f>IFERROR(__xludf.DUMMYFUNCTION("""COMPUTED_VALUE"""),"Letter from the Warden")</f>
        <v>Letter from the Warden</v>
      </c>
      <c r="B1199" s="49" t="str">
        <f>IFERROR(__xludf.DUMMYFUNCTION("""COMPUTED_VALUE"""),"Get out of jail for free. Can only be used once, Cannot be duplicated.")</f>
        <v>Get out of jail for free. Can only be used once, Cannot be duplicated.</v>
      </c>
      <c r="C1199" s="49" t="str">
        <f>IFERROR(__xludf.DUMMYFUNCTION("""COMPUTED_VALUE"""),"Item")</f>
        <v>Item</v>
      </c>
      <c r="D1199" s="49"/>
      <c r="E1199" s="49"/>
      <c r="F1199" s="49"/>
      <c r="G1199" s="49"/>
      <c r="H1199" s="49"/>
      <c r="I1199" s="49"/>
      <c r="J1199" s="49"/>
      <c r="K1199" s="49"/>
      <c r="L1199" s="49"/>
      <c r="M1199" s="49"/>
      <c r="N1199" s="49"/>
      <c r="O1199" s="49"/>
      <c r="P1199" s="49"/>
      <c r="Q1199" s="49"/>
      <c r="R1199" s="49"/>
      <c r="S1199" s="49"/>
      <c r="T1199" s="49"/>
      <c r="U1199" s="49"/>
      <c r="V1199" s="49"/>
      <c r="W1199" s="49"/>
      <c r="X1199" s="49"/>
      <c r="Y1199" s="49"/>
      <c r="Z1199" s="49"/>
    </row>
    <row r="1200">
      <c r="A1200" s="49" t="str">
        <f>IFERROR(__xludf.DUMMYFUNCTION("""COMPUTED_VALUE"""),"Rank 9 Light Tome")</f>
        <v>Rank 9 Light Tome</v>
      </c>
      <c r="B1200" s="49" t="str">
        <f>IFERROR(__xludf.DUMMYFUNCTION("""COMPUTED_VALUE"""),"Allows you to use up to Rank 9 Light Powers.")</f>
        <v>Allows you to use up to Rank 9 Light Powers.</v>
      </c>
      <c r="C1200" s="49" t="str">
        <f>IFERROR(__xludf.DUMMYFUNCTION("""COMPUTED_VALUE"""),"Item")</f>
        <v>Item</v>
      </c>
      <c r="D1200" s="49"/>
      <c r="E1200" s="49"/>
      <c r="F1200" s="49"/>
      <c r="G1200" s="49"/>
      <c r="H1200" s="49"/>
      <c r="I1200" s="49"/>
      <c r="J1200" s="49"/>
      <c r="K1200" s="49"/>
      <c r="L1200" s="49"/>
      <c r="M1200" s="49"/>
      <c r="N1200" s="49"/>
      <c r="O1200" s="49"/>
      <c r="P1200" s="49"/>
      <c r="Q1200" s="49"/>
      <c r="R1200" s="49"/>
      <c r="S1200" s="49"/>
      <c r="T1200" s="49"/>
      <c r="U1200" s="49"/>
      <c r="V1200" s="49"/>
      <c r="W1200" s="49"/>
      <c r="X1200" s="49"/>
      <c r="Y1200" s="49"/>
      <c r="Z1200" s="49"/>
    </row>
    <row r="1201">
      <c r="A1201" s="49" t="str">
        <f>IFERROR(__xludf.DUMMYFUNCTION("""COMPUTED_VALUE"""),"Lesser Healing Potion")</f>
        <v>Lesser Healing Potion</v>
      </c>
      <c r="B1201" s="49" t="str">
        <f>IFERROR(__xludf.DUMMYFUNCTION("""COMPUTED_VALUE"""),": + +25HP")</f>
        <v>: + +25HP</v>
      </c>
      <c r="C1201" s="49" t="str">
        <f>IFERROR(__xludf.DUMMYFUNCTION("""COMPUTED_VALUE"""),"Item")</f>
        <v>Item</v>
      </c>
      <c r="D1201" s="49"/>
      <c r="E1201" s="49"/>
      <c r="F1201" s="49"/>
      <c r="G1201" s="49"/>
      <c r="H1201" s="49"/>
      <c r="I1201" s="49"/>
      <c r="J1201" s="49"/>
      <c r="K1201" s="49"/>
      <c r="L1201" s="49"/>
      <c r="M1201" s="49"/>
      <c r="N1201" s="49"/>
      <c r="O1201" s="49"/>
      <c r="P1201" s="49"/>
      <c r="Q1201" s="49"/>
      <c r="R1201" s="49"/>
      <c r="S1201" s="49"/>
      <c r="T1201" s="49"/>
      <c r="U1201" s="49"/>
      <c r="V1201" s="49"/>
      <c r="W1201" s="49"/>
      <c r="X1201" s="49"/>
      <c r="Y1201" s="49"/>
      <c r="Z1201" s="49"/>
    </row>
    <row r="1202">
      <c r="A1202" s="49" t="str">
        <f>IFERROR(__xludf.DUMMYFUNCTION("""COMPUTED_VALUE"""),"Blackhorn Healing Potion")</f>
        <v>Blackhorn Healing Potion</v>
      </c>
      <c r="B1202" s="49" t="str">
        <f>IFERROR(__xludf.DUMMYFUNCTION("""COMPUTED_VALUE"""),": + +75HP")</f>
        <v>: + +75HP</v>
      </c>
      <c r="C1202" s="49" t="str">
        <f>IFERROR(__xludf.DUMMYFUNCTION("""COMPUTED_VALUE"""),"Item")</f>
        <v>Item</v>
      </c>
      <c r="D1202" s="49"/>
      <c r="E1202" s="49"/>
      <c r="F1202" s="49"/>
      <c r="G1202" s="49"/>
      <c r="H1202" s="49"/>
      <c r="I1202" s="49"/>
      <c r="J1202" s="49"/>
      <c r="K1202" s="49"/>
      <c r="L1202" s="49"/>
      <c r="M1202" s="49"/>
      <c r="N1202" s="49"/>
      <c r="O1202" s="49"/>
      <c r="P1202" s="49"/>
      <c r="Q1202" s="49"/>
      <c r="R1202" s="49"/>
      <c r="S1202" s="49"/>
      <c r="T1202" s="49"/>
      <c r="U1202" s="49"/>
      <c r="V1202" s="49"/>
      <c r="W1202" s="49"/>
      <c r="X1202" s="49"/>
      <c r="Y1202" s="49"/>
      <c r="Z1202" s="49"/>
    </row>
    <row r="1203">
      <c r="A1203" s="49" t="str">
        <f>IFERROR(__xludf.DUMMYFUNCTION("""COMPUTED_VALUE"""),"Greater Healing Potion")</f>
        <v>Greater Healing Potion</v>
      </c>
      <c r="B1203" s="49" t="str">
        <f>IFERROR(__xludf.DUMMYFUNCTION("""COMPUTED_VALUE"""),": + +100HP")</f>
        <v>: + +100HP</v>
      </c>
      <c r="C1203" s="49" t="str">
        <f>IFERROR(__xludf.DUMMYFUNCTION("""COMPUTED_VALUE"""),"Item")</f>
        <v>Item</v>
      </c>
      <c r="D1203" s="49"/>
      <c r="E1203" s="49"/>
      <c r="F1203" s="49"/>
      <c r="G1203" s="49"/>
      <c r="H1203" s="49"/>
      <c r="I1203" s="49"/>
      <c r="J1203" s="49"/>
      <c r="K1203" s="49"/>
      <c r="L1203" s="49"/>
      <c r="M1203" s="49"/>
      <c r="N1203" s="49"/>
      <c r="O1203" s="49"/>
      <c r="P1203" s="49"/>
      <c r="Q1203" s="49"/>
      <c r="R1203" s="49"/>
      <c r="S1203" s="49"/>
      <c r="T1203" s="49"/>
      <c r="U1203" s="49"/>
      <c r="V1203" s="49"/>
      <c r="W1203" s="49"/>
      <c r="X1203" s="49"/>
      <c r="Y1203" s="49"/>
      <c r="Z1203" s="49"/>
    </row>
    <row r="1204">
      <c r="A1204" s="49" t="str">
        <f>IFERROR(__xludf.DUMMYFUNCTION("""COMPUTED_VALUE"""),"Awkward Potion")</f>
        <v>Awkward Potion</v>
      </c>
      <c r="B1204" s="49" t="str">
        <f>IFERROR(__xludf.DUMMYFUNCTION("""COMPUTED_VALUE"""),": + +100HP And 100 SP")</f>
        <v>: + +100HP And 100 SP</v>
      </c>
      <c r="C1204" s="49" t="str">
        <f>IFERROR(__xludf.DUMMYFUNCTION("""COMPUTED_VALUE"""),"Item")</f>
        <v>Item</v>
      </c>
      <c r="D1204" s="49"/>
      <c r="E1204" s="49"/>
      <c r="F1204" s="49"/>
      <c r="G1204" s="49"/>
      <c r="H1204" s="49"/>
      <c r="I1204" s="49"/>
      <c r="J1204" s="49"/>
      <c r="K1204" s="49"/>
      <c r="L1204" s="49"/>
      <c r="M1204" s="49"/>
      <c r="N1204" s="49"/>
      <c r="O1204" s="49"/>
      <c r="P1204" s="49"/>
      <c r="Q1204" s="49"/>
      <c r="R1204" s="49"/>
      <c r="S1204" s="49"/>
      <c r="T1204" s="49"/>
      <c r="U1204" s="49"/>
      <c r="V1204" s="49"/>
      <c r="W1204" s="49"/>
      <c r="X1204" s="49"/>
      <c r="Y1204" s="49"/>
      <c r="Z1204" s="49"/>
    </row>
    <row r="1205">
      <c r="A1205" s="49" t="str">
        <f>IFERROR(__xludf.DUMMYFUNCTION("""COMPUTED_VALUE"""),"Defensive Potion")</f>
        <v>Defensive Potion</v>
      </c>
      <c r="B1205" s="49" t="str">
        <f>IFERROR(__xludf.DUMMYFUNCTION("""COMPUTED_VALUE"""),": + +1000 def for 3 rounds")</f>
        <v>: + +1000 def for 3 rounds</v>
      </c>
      <c r="C1205" s="49" t="str">
        <f>IFERROR(__xludf.DUMMYFUNCTION("""COMPUTED_VALUE"""),"Item")</f>
        <v>Item</v>
      </c>
      <c r="D1205" s="49"/>
      <c r="E1205" s="49"/>
      <c r="F1205" s="49"/>
      <c r="G1205" s="49"/>
      <c r="H1205" s="49"/>
      <c r="I1205" s="49"/>
      <c r="J1205" s="49"/>
      <c r="K1205" s="49"/>
      <c r="L1205" s="49"/>
      <c r="M1205" s="49"/>
      <c r="N1205" s="49"/>
      <c r="O1205" s="49"/>
      <c r="P1205" s="49"/>
      <c r="Q1205" s="49"/>
      <c r="R1205" s="49"/>
      <c r="S1205" s="49"/>
      <c r="T1205" s="49"/>
      <c r="U1205" s="49"/>
      <c r="V1205" s="49"/>
      <c r="W1205" s="49"/>
      <c r="X1205" s="49"/>
      <c r="Y1205" s="49"/>
      <c r="Z1205" s="49"/>
    </row>
    <row r="1206">
      <c r="A1206" s="49" t="str">
        <f>IFERROR(__xludf.DUMMYFUNCTION("""COMPUTED_VALUE"""),"Offensive Potion")</f>
        <v>Offensive Potion</v>
      </c>
      <c r="B1206" s="49" t="str">
        <f>IFERROR(__xludf.DUMMYFUNCTION("""COMPUTED_VALUE"""),": + +1000 atk for 3 rounds")</f>
        <v>: + +1000 atk for 3 rounds</v>
      </c>
      <c r="C1206" s="49" t="str">
        <f>IFERROR(__xludf.DUMMYFUNCTION("""COMPUTED_VALUE"""),"Item")</f>
        <v>Item</v>
      </c>
      <c r="D1206" s="49"/>
      <c r="E1206" s="49"/>
      <c r="F1206" s="49"/>
      <c r="G1206" s="49"/>
      <c r="H1206" s="49"/>
      <c r="I1206" s="49"/>
      <c r="J1206" s="49"/>
      <c r="K1206" s="49"/>
      <c r="L1206" s="49"/>
      <c r="M1206" s="49"/>
      <c r="N1206" s="49"/>
      <c r="O1206" s="49"/>
      <c r="P1206" s="49"/>
      <c r="Q1206" s="49"/>
      <c r="R1206" s="49"/>
      <c r="S1206" s="49"/>
      <c r="T1206" s="49"/>
      <c r="U1206" s="49"/>
      <c r="V1206" s="49"/>
      <c r="W1206" s="49"/>
      <c r="X1206" s="49"/>
      <c r="Y1206" s="49"/>
      <c r="Z1206" s="49"/>
    </row>
    <row r="1207">
      <c r="A1207" s="49" t="str">
        <f>IFERROR(__xludf.DUMMYFUNCTION("""COMPUTED_VALUE"""),"Potion of Swift")</f>
        <v>Potion of Swift</v>
      </c>
      <c r="B1207" s="49" t="str">
        <f>IFERROR(__xludf.DUMMYFUNCTION("""COMPUTED_VALUE"""),": + +add 5 evasion for 3 rounds")</f>
        <v>: + +add 5 evasion for 3 rounds</v>
      </c>
      <c r="C1207" s="49" t="str">
        <f>IFERROR(__xludf.DUMMYFUNCTION("""COMPUTED_VALUE"""),"Item")</f>
        <v>Item</v>
      </c>
      <c r="D1207" s="49"/>
      <c r="E1207" s="49"/>
      <c r="F1207" s="49"/>
      <c r="G1207" s="49"/>
      <c r="H1207" s="49"/>
      <c r="I1207" s="49"/>
      <c r="J1207" s="49"/>
      <c r="K1207" s="49"/>
      <c r="L1207" s="49"/>
      <c r="M1207" s="49"/>
      <c r="N1207" s="49"/>
      <c r="O1207" s="49"/>
      <c r="P1207" s="49"/>
      <c r="Q1207" s="49"/>
      <c r="R1207" s="49"/>
      <c r="S1207" s="49"/>
      <c r="T1207" s="49"/>
      <c r="U1207" s="49"/>
      <c r="V1207" s="49"/>
      <c r="W1207" s="49"/>
      <c r="X1207" s="49"/>
      <c r="Y1207" s="49"/>
      <c r="Z1207" s="49"/>
    </row>
    <row r="1208">
      <c r="A1208" s="49" t="str">
        <f>IFERROR(__xludf.DUMMYFUNCTION("""COMPUTED_VALUE"""),"Potion of Mana Regeneration")</f>
        <v>Potion of Mana Regeneration</v>
      </c>
      <c r="B1208" s="49" t="str">
        <f>IFERROR(__xludf.DUMMYFUNCTION("""COMPUTED_VALUE"""),": + +500SP p/r for 3 rounds")</f>
        <v>: + +500SP p/r for 3 rounds</v>
      </c>
      <c r="C1208" s="49" t="str">
        <f>IFERROR(__xludf.DUMMYFUNCTION("""COMPUTED_VALUE"""),"Item")</f>
        <v>Item</v>
      </c>
      <c r="D1208" s="49"/>
      <c r="E1208" s="49"/>
      <c r="F1208" s="49"/>
      <c r="G1208" s="49"/>
      <c r="H1208" s="49"/>
      <c r="I1208" s="49"/>
      <c r="J1208" s="49"/>
      <c r="K1208" s="49"/>
      <c r="L1208" s="49"/>
      <c r="M1208" s="49"/>
      <c r="N1208" s="49"/>
      <c r="O1208" s="49"/>
      <c r="P1208" s="49"/>
      <c r="Q1208" s="49"/>
      <c r="R1208" s="49"/>
      <c r="S1208" s="49"/>
      <c r="T1208" s="49"/>
      <c r="U1208" s="49"/>
      <c r="V1208" s="49"/>
      <c r="W1208" s="49"/>
      <c r="X1208" s="49"/>
      <c r="Y1208" s="49"/>
      <c r="Z1208" s="49"/>
    </row>
    <row r="1209">
      <c r="A1209" s="49" t="str">
        <f>IFERROR(__xludf.DUMMYFUNCTION("""COMPUTED_VALUE"""),"Potion of Thorns")</f>
        <v>Potion of Thorns</v>
      </c>
      <c r="B1209" s="49" t="str">
        <f>IFERROR(__xludf.DUMMYFUNCTION("""COMPUTED_VALUE"""),": + +When a target deals damage to you they take the same amount of damage back.")</f>
        <v>: + +When a target deals damage to you they take the same amount of damage back.</v>
      </c>
      <c r="C1209" s="49" t="str">
        <f>IFERROR(__xludf.DUMMYFUNCTION("""COMPUTED_VALUE"""),"Item")</f>
        <v>Item</v>
      </c>
      <c r="D1209" s="49"/>
      <c r="E1209" s="49"/>
      <c r="F1209" s="49"/>
      <c r="G1209" s="49"/>
      <c r="H1209" s="49"/>
      <c r="I1209" s="49"/>
      <c r="J1209" s="49"/>
      <c r="K1209" s="49"/>
      <c r="L1209" s="49"/>
      <c r="M1209" s="49"/>
      <c r="N1209" s="49"/>
      <c r="O1209" s="49"/>
      <c r="P1209" s="49"/>
      <c r="Q1209" s="49"/>
      <c r="R1209" s="49"/>
      <c r="S1209" s="49"/>
      <c r="T1209" s="49"/>
      <c r="U1209" s="49"/>
      <c r="V1209" s="49"/>
      <c r="W1209" s="49"/>
      <c r="X1209" s="49"/>
      <c r="Y1209" s="49"/>
      <c r="Z1209" s="49"/>
    </row>
    <row r="1210">
      <c r="A1210" s="49" t="str">
        <f>IFERROR(__xludf.DUMMYFUNCTION("""COMPUTED_VALUE"""),"Potion of Resistance")</f>
        <v>Potion of Resistance</v>
      </c>
      <c r="B1210" s="49" t="str">
        <f>IFERROR(__xludf.DUMMYFUNCTION("""COMPUTED_VALUE"""),": + +1000 resistance to all attacks for 3 rounds.")</f>
        <v>: + +1000 resistance to all attacks for 3 rounds.</v>
      </c>
      <c r="C1210" s="49" t="str">
        <f>IFERROR(__xludf.DUMMYFUNCTION("""COMPUTED_VALUE"""),"Item")</f>
        <v>Item</v>
      </c>
      <c r="D1210" s="49"/>
      <c r="E1210" s="49"/>
      <c r="F1210" s="49"/>
      <c r="G1210" s="49"/>
      <c r="H1210" s="49"/>
      <c r="I1210" s="49"/>
      <c r="J1210" s="49"/>
      <c r="K1210" s="49"/>
      <c r="L1210" s="49"/>
      <c r="M1210" s="49"/>
      <c r="N1210" s="49"/>
      <c r="O1210" s="49"/>
      <c r="P1210" s="49"/>
      <c r="Q1210" s="49"/>
      <c r="R1210" s="49"/>
      <c r="S1210" s="49"/>
      <c r="T1210" s="49"/>
      <c r="U1210" s="49"/>
      <c r="V1210" s="49"/>
      <c r="W1210" s="49"/>
      <c r="X1210" s="49"/>
      <c r="Y1210" s="49"/>
      <c r="Z1210" s="49"/>
    </row>
    <row r="1211">
      <c r="A1211" s="49" t="str">
        <f>IFERROR(__xludf.DUMMYFUNCTION("""COMPUTED_VALUE"""),"Potion of Speed")</f>
        <v>Potion of Speed</v>
      </c>
      <c r="B1211" s="49" t="str">
        <f>IFERROR(__xludf.DUMMYFUNCTION("""COMPUTED_VALUE"""),": + +Allows 2 additional turns in one on your next turn.")</f>
        <v>: + +Allows 2 additional turns in one on your next turn.</v>
      </c>
      <c r="C1211" s="49" t="str">
        <f>IFERROR(__xludf.DUMMYFUNCTION("""COMPUTED_VALUE"""),"Item")</f>
        <v>Item</v>
      </c>
      <c r="D1211" s="49"/>
      <c r="E1211" s="49"/>
      <c r="F1211" s="49"/>
      <c r="G1211" s="49"/>
      <c r="H1211" s="49"/>
      <c r="I1211" s="49"/>
      <c r="J1211" s="49"/>
      <c r="K1211" s="49"/>
      <c r="L1211" s="49"/>
      <c r="M1211" s="49"/>
      <c r="N1211" s="49"/>
      <c r="O1211" s="49"/>
      <c r="P1211" s="49"/>
      <c r="Q1211" s="49"/>
      <c r="R1211" s="49"/>
      <c r="S1211" s="49"/>
      <c r="T1211" s="49"/>
      <c r="U1211" s="49"/>
      <c r="V1211" s="49"/>
      <c r="W1211" s="49"/>
      <c r="X1211" s="49"/>
      <c r="Y1211" s="49"/>
      <c r="Z1211" s="49"/>
    </row>
    <row r="1212">
      <c r="A1212" s="49" t="str">
        <f>IFERROR(__xludf.DUMMYFUNCTION("""COMPUTED_VALUE"""),"Potion of Luck")</f>
        <v>Potion of Luck</v>
      </c>
      <c r="B1212" s="49" t="str">
        <f>IFERROR(__xludf.DUMMYFUNCTION("""COMPUTED_VALUE"""),": + +Allows you to get an enemies highest loot role (Must be used during battle)")</f>
        <v>: + +Allows you to get an enemies highest loot role (Must be used during battle)</v>
      </c>
      <c r="C1212" s="49" t="str">
        <f>IFERROR(__xludf.DUMMYFUNCTION("""COMPUTED_VALUE"""),"Item")</f>
        <v>Item</v>
      </c>
      <c r="D1212" s="49"/>
      <c r="E1212" s="49"/>
      <c r="F1212" s="49"/>
      <c r="G1212" s="49"/>
      <c r="H1212" s="49"/>
      <c r="I1212" s="49"/>
      <c r="J1212" s="49"/>
      <c r="K1212" s="49"/>
      <c r="L1212" s="49"/>
      <c r="M1212" s="49"/>
      <c r="N1212" s="49"/>
      <c r="O1212" s="49"/>
      <c r="P1212" s="49"/>
      <c r="Q1212" s="49"/>
      <c r="R1212" s="49"/>
      <c r="S1212" s="49"/>
      <c r="T1212" s="49"/>
      <c r="U1212" s="49"/>
      <c r="V1212" s="49"/>
      <c r="W1212" s="49"/>
      <c r="X1212" s="49"/>
      <c r="Y1212" s="49"/>
      <c r="Z1212" s="49"/>
    </row>
    <row r="1213">
      <c r="A1213" s="49" t="str">
        <f>IFERROR(__xludf.DUMMYFUNCTION("""COMPUTED_VALUE"""),"Potion of Regeneration")</f>
        <v>Potion of Regeneration</v>
      </c>
      <c r="B1213" s="49" t="str">
        <f>IFERROR(__xludf.DUMMYFUNCTION("""COMPUTED_VALUE"""),": + +500HP p/r for 3 rounds.")</f>
        <v>: + +500HP p/r for 3 rounds.</v>
      </c>
      <c r="C1213" s="49" t="str">
        <f>IFERROR(__xludf.DUMMYFUNCTION("""COMPUTED_VALUE"""),"Item")</f>
        <v>Item</v>
      </c>
      <c r="D1213" s="49"/>
      <c r="E1213" s="49"/>
      <c r="F1213" s="49"/>
      <c r="G1213" s="49"/>
      <c r="H1213" s="49"/>
      <c r="I1213" s="49"/>
      <c r="J1213" s="49"/>
      <c r="K1213" s="49"/>
      <c r="L1213" s="49"/>
      <c r="M1213" s="49"/>
      <c r="N1213" s="49"/>
      <c r="O1213" s="49"/>
      <c r="P1213" s="49"/>
      <c r="Q1213" s="49"/>
      <c r="R1213" s="49"/>
      <c r="S1213" s="49"/>
      <c r="T1213" s="49"/>
      <c r="U1213" s="49"/>
      <c r="V1213" s="49"/>
      <c r="W1213" s="49"/>
      <c r="X1213" s="49"/>
      <c r="Y1213" s="49"/>
      <c r="Z1213" s="49"/>
    </row>
    <row r="1214">
      <c r="A1214" s="49" t="str">
        <f>IFERROR(__xludf.DUMMYFUNCTION("""COMPUTED_VALUE"""),"Potion of Immunity")</f>
        <v>Potion of Immunity</v>
      </c>
      <c r="B1214" s="49" t="str">
        <f>IFERROR(__xludf.DUMMYFUNCTION("""COMPUTED_VALUE"""),": + +Gain immunity to all attacks for 3 rounds.")</f>
        <v>: + +Gain immunity to all attacks for 3 rounds.</v>
      </c>
      <c r="C1214" s="49" t="str">
        <f>IFERROR(__xludf.DUMMYFUNCTION("""COMPUTED_VALUE"""),"Item")</f>
        <v>Item</v>
      </c>
      <c r="D1214" s="49"/>
      <c r="E1214" s="49"/>
      <c r="F1214" s="49"/>
      <c r="G1214" s="49"/>
      <c r="H1214" s="49"/>
      <c r="I1214" s="49"/>
      <c r="J1214" s="49"/>
      <c r="K1214" s="49"/>
      <c r="L1214" s="49"/>
      <c r="M1214" s="49"/>
      <c r="N1214" s="49"/>
      <c r="O1214" s="49"/>
      <c r="P1214" s="49"/>
      <c r="Q1214" s="49"/>
      <c r="R1214" s="49"/>
      <c r="S1214" s="49"/>
      <c r="T1214" s="49"/>
      <c r="U1214" s="49"/>
      <c r="V1214" s="49"/>
      <c r="W1214" s="49"/>
      <c r="X1214" s="49"/>
      <c r="Y1214" s="49"/>
      <c r="Z1214" s="49"/>
    </row>
    <row r="1215">
      <c r="A1215" s="49" t="str">
        <f>IFERROR(__xludf.DUMMYFUNCTION("""COMPUTED_VALUE"""),"Apple")</f>
        <v>Apple</v>
      </c>
      <c r="B1215" s="49" t="str">
        <f>IFERROR(__xludf.DUMMYFUNCTION("""COMPUTED_VALUE"""),"5 hunger and thirst.")</f>
        <v>5 hunger and thirst.</v>
      </c>
      <c r="C1215" s="49" t="str">
        <f>IFERROR(__xludf.DUMMYFUNCTION("""COMPUTED_VALUE"""),"Crop")</f>
        <v>Crop</v>
      </c>
      <c r="D1215" s="49"/>
      <c r="E1215" s="49"/>
      <c r="F1215" s="49"/>
      <c r="G1215" s="49"/>
      <c r="H1215" s="49"/>
      <c r="I1215" s="49"/>
      <c r="J1215" s="49"/>
      <c r="K1215" s="49"/>
      <c r="L1215" s="49"/>
      <c r="M1215" s="49"/>
      <c r="N1215" s="49"/>
      <c r="O1215" s="49"/>
      <c r="P1215" s="49"/>
      <c r="Q1215" s="49"/>
      <c r="R1215" s="49"/>
      <c r="S1215" s="49"/>
      <c r="T1215" s="49"/>
      <c r="U1215" s="49"/>
      <c r="V1215" s="49"/>
      <c r="W1215" s="49"/>
      <c r="X1215" s="49"/>
      <c r="Y1215" s="49"/>
      <c r="Z1215" s="49"/>
    </row>
    <row r="1216">
      <c r="A1216" s="49" t="str">
        <f>IFERROR(__xludf.DUMMYFUNCTION("""COMPUTED_VALUE"""),"Watermelon")</f>
        <v>Watermelon</v>
      </c>
      <c r="B1216" s="49" t="str">
        <f>IFERROR(__xludf.DUMMYFUNCTION("""COMPUTED_VALUE"""),"100 hunger, thirst, and energy. Feeds self and up to 2 party members.")</f>
        <v>100 hunger, thirst, and energy. Feeds self and up to 2 party members.</v>
      </c>
      <c r="C1216" s="49" t="str">
        <f>IFERROR(__xludf.DUMMYFUNCTION("""COMPUTED_VALUE"""),"Crop")</f>
        <v>Crop</v>
      </c>
      <c r="D1216" s="49"/>
      <c r="E1216" s="49"/>
      <c r="F1216" s="49"/>
      <c r="G1216" s="49"/>
      <c r="H1216" s="49"/>
      <c r="I1216" s="49"/>
      <c r="J1216" s="49"/>
      <c r="K1216" s="49"/>
      <c r="L1216" s="49"/>
      <c r="M1216" s="49"/>
      <c r="N1216" s="49"/>
      <c r="O1216" s="49"/>
      <c r="P1216" s="49"/>
      <c r="Q1216" s="49"/>
      <c r="R1216" s="49"/>
      <c r="S1216" s="49"/>
      <c r="T1216" s="49"/>
      <c r="U1216" s="49"/>
      <c r="V1216" s="49"/>
      <c r="W1216" s="49"/>
      <c r="X1216" s="49"/>
      <c r="Y1216" s="49"/>
      <c r="Z1216" s="49"/>
    </row>
    <row r="1217">
      <c r="A1217" s="49" t="str">
        <f>IFERROR(__xludf.DUMMYFUNCTION("""COMPUTED_VALUE"""),"Orange")</f>
        <v>Orange</v>
      </c>
      <c r="B1217" s="49" t="str">
        <f>IFERROR(__xludf.DUMMYFUNCTION("""COMPUTED_VALUE"""),"5 hunger and thirst.")</f>
        <v>5 hunger and thirst.</v>
      </c>
      <c r="C1217" s="49" t="str">
        <f>IFERROR(__xludf.DUMMYFUNCTION("""COMPUTED_VALUE"""),"Crop")</f>
        <v>Crop</v>
      </c>
      <c r="D1217" s="49"/>
      <c r="E1217" s="49"/>
      <c r="F1217" s="49"/>
      <c r="G1217" s="49"/>
      <c r="H1217" s="49"/>
      <c r="I1217" s="49"/>
      <c r="J1217" s="49"/>
      <c r="K1217" s="49"/>
      <c r="L1217" s="49"/>
      <c r="M1217" s="49"/>
      <c r="N1217" s="49"/>
      <c r="O1217" s="49"/>
      <c r="P1217" s="49"/>
      <c r="Q1217" s="49"/>
      <c r="R1217" s="49"/>
      <c r="S1217" s="49"/>
      <c r="T1217" s="49"/>
      <c r="U1217" s="49"/>
      <c r="V1217" s="49"/>
      <c r="W1217" s="49"/>
      <c r="X1217" s="49"/>
      <c r="Y1217" s="49"/>
      <c r="Z1217" s="49"/>
    </row>
    <row r="1218">
      <c r="A1218" s="49" t="str">
        <f>IFERROR(__xludf.DUMMYFUNCTION("""COMPUTED_VALUE"""),"Pear")</f>
        <v>Pear</v>
      </c>
      <c r="B1218" s="49" t="str">
        <f>IFERROR(__xludf.DUMMYFUNCTION("""COMPUTED_VALUE"""),"5 hunger and thirst.")</f>
        <v>5 hunger and thirst.</v>
      </c>
      <c r="C1218" s="49" t="str">
        <f>IFERROR(__xludf.DUMMYFUNCTION("""COMPUTED_VALUE"""),"Crop")</f>
        <v>Crop</v>
      </c>
      <c r="D1218" s="49"/>
      <c r="E1218" s="49"/>
      <c r="F1218" s="49"/>
      <c r="G1218" s="49"/>
      <c r="H1218" s="49"/>
      <c r="I1218" s="49"/>
      <c r="J1218" s="49"/>
      <c r="K1218" s="49"/>
      <c r="L1218" s="49"/>
      <c r="M1218" s="49"/>
      <c r="N1218" s="49"/>
      <c r="O1218" s="49"/>
      <c r="P1218" s="49"/>
      <c r="Q1218" s="49"/>
      <c r="R1218" s="49"/>
      <c r="S1218" s="49"/>
      <c r="T1218" s="49"/>
      <c r="U1218" s="49"/>
      <c r="V1218" s="49"/>
      <c r="W1218" s="49"/>
      <c r="X1218" s="49"/>
      <c r="Y1218" s="49"/>
      <c r="Z1218" s="49"/>
    </row>
    <row r="1219">
      <c r="A1219" s="49" t="str">
        <f>IFERROR(__xludf.DUMMYFUNCTION("""COMPUTED_VALUE"""),"Cherry")</f>
        <v>Cherry</v>
      </c>
      <c r="B1219" s="49" t="str">
        <f>IFERROR(__xludf.DUMMYFUNCTION("""COMPUTED_VALUE"""),"5 hunger and thirst.")</f>
        <v>5 hunger and thirst.</v>
      </c>
      <c r="C1219" s="49" t="str">
        <f>IFERROR(__xludf.DUMMYFUNCTION("""COMPUTED_VALUE"""),"Crop")</f>
        <v>Crop</v>
      </c>
      <c r="D1219" s="49"/>
      <c r="E1219" s="49"/>
      <c r="F1219" s="49"/>
      <c r="G1219" s="49"/>
      <c r="H1219" s="49"/>
      <c r="I1219" s="49"/>
      <c r="J1219" s="49"/>
      <c r="K1219" s="49"/>
      <c r="L1219" s="49"/>
      <c r="M1219" s="49"/>
      <c r="N1219" s="49"/>
      <c r="O1219" s="49"/>
      <c r="P1219" s="49"/>
      <c r="Q1219" s="49"/>
      <c r="R1219" s="49"/>
      <c r="S1219" s="49"/>
      <c r="T1219" s="49"/>
      <c r="U1219" s="49"/>
      <c r="V1219" s="49"/>
      <c r="W1219" s="49"/>
      <c r="X1219" s="49"/>
      <c r="Y1219" s="49"/>
      <c r="Z1219" s="49"/>
    </row>
    <row r="1220">
      <c r="A1220" s="49" t="str">
        <f>IFERROR(__xludf.DUMMYFUNCTION("""COMPUTED_VALUE"""),"Strawberries")</f>
        <v>Strawberries</v>
      </c>
      <c r="B1220" s="49" t="str">
        <f>IFERROR(__xludf.DUMMYFUNCTION("""COMPUTED_VALUE"""),"5 hunger and thirst.")</f>
        <v>5 hunger and thirst.</v>
      </c>
      <c r="C1220" s="49" t="str">
        <f>IFERROR(__xludf.DUMMYFUNCTION("""COMPUTED_VALUE"""),"Crop")</f>
        <v>Crop</v>
      </c>
      <c r="D1220" s="49"/>
      <c r="E1220" s="49"/>
      <c r="F1220" s="49"/>
      <c r="G1220" s="49"/>
      <c r="H1220" s="49"/>
      <c r="I1220" s="49"/>
      <c r="J1220" s="49"/>
      <c r="K1220" s="49"/>
      <c r="L1220" s="49"/>
      <c r="M1220" s="49"/>
      <c r="N1220" s="49"/>
      <c r="O1220" s="49"/>
      <c r="P1220" s="49"/>
      <c r="Q1220" s="49"/>
      <c r="R1220" s="49"/>
      <c r="S1220" s="49"/>
      <c r="T1220" s="49"/>
      <c r="U1220" s="49"/>
      <c r="V1220" s="49"/>
      <c r="W1220" s="49"/>
      <c r="X1220" s="49"/>
      <c r="Y1220" s="49"/>
      <c r="Z1220" s="49"/>
    </row>
    <row r="1221">
      <c r="A1221" s="49" t="str">
        <f>IFERROR(__xludf.DUMMYFUNCTION("""COMPUTED_VALUE"""),"Nectarine")</f>
        <v>Nectarine</v>
      </c>
      <c r="B1221" s="49" t="str">
        <f>IFERROR(__xludf.DUMMYFUNCTION("""COMPUTED_VALUE"""),"5 hunger and thirst.")</f>
        <v>5 hunger and thirst.</v>
      </c>
      <c r="C1221" s="49" t="str">
        <f>IFERROR(__xludf.DUMMYFUNCTION("""COMPUTED_VALUE"""),"Crop")</f>
        <v>Crop</v>
      </c>
      <c r="D1221" s="49"/>
      <c r="E1221" s="49"/>
      <c r="F1221" s="49"/>
      <c r="G1221" s="49"/>
      <c r="H1221" s="49"/>
      <c r="I1221" s="49"/>
      <c r="J1221" s="49"/>
      <c r="K1221" s="49"/>
      <c r="L1221" s="49"/>
      <c r="M1221" s="49"/>
      <c r="N1221" s="49"/>
      <c r="O1221" s="49"/>
      <c r="P1221" s="49"/>
      <c r="Q1221" s="49"/>
      <c r="R1221" s="49"/>
      <c r="S1221" s="49"/>
      <c r="T1221" s="49"/>
      <c r="U1221" s="49"/>
      <c r="V1221" s="49"/>
      <c r="W1221" s="49"/>
      <c r="X1221" s="49"/>
      <c r="Y1221" s="49"/>
      <c r="Z1221" s="49"/>
    </row>
    <row r="1222">
      <c r="A1222" s="49" t="str">
        <f>IFERROR(__xludf.DUMMYFUNCTION("""COMPUTED_VALUE"""),"Grapes")</f>
        <v>Grapes</v>
      </c>
      <c r="B1222" s="49" t="str">
        <f>IFERROR(__xludf.DUMMYFUNCTION("""COMPUTED_VALUE"""),"5 hunger and thirst.")</f>
        <v>5 hunger and thirst.</v>
      </c>
      <c r="C1222" s="49" t="str">
        <f>IFERROR(__xludf.DUMMYFUNCTION("""COMPUTED_VALUE"""),"Crop")</f>
        <v>Crop</v>
      </c>
      <c r="D1222" s="49"/>
      <c r="E1222" s="49"/>
      <c r="F1222" s="49"/>
      <c r="G1222" s="49"/>
      <c r="H1222" s="49"/>
      <c r="I1222" s="49"/>
      <c r="J1222" s="49"/>
      <c r="K1222" s="49"/>
      <c r="L1222" s="49"/>
      <c r="M1222" s="49"/>
      <c r="N1222" s="49"/>
      <c r="O1222" s="49"/>
      <c r="P1222" s="49"/>
      <c r="Q1222" s="49"/>
      <c r="R1222" s="49"/>
      <c r="S1222" s="49"/>
      <c r="T1222" s="49"/>
      <c r="U1222" s="49"/>
      <c r="V1222" s="49"/>
      <c r="W1222" s="49"/>
      <c r="X1222" s="49"/>
      <c r="Y1222" s="49"/>
      <c r="Z1222" s="49"/>
    </row>
    <row r="1223">
      <c r="A1223" s="49" t="str">
        <f>IFERROR(__xludf.DUMMYFUNCTION("""COMPUTED_VALUE"""),"Mango")</f>
        <v>Mango</v>
      </c>
      <c r="B1223" s="49" t="str">
        <f>IFERROR(__xludf.DUMMYFUNCTION("""COMPUTED_VALUE"""),"5 hunger and thirst.")</f>
        <v>5 hunger and thirst.</v>
      </c>
      <c r="C1223" s="49" t="str">
        <f>IFERROR(__xludf.DUMMYFUNCTION("""COMPUTED_VALUE"""),"Crop")</f>
        <v>Crop</v>
      </c>
      <c r="D1223" s="49"/>
      <c r="E1223" s="49"/>
      <c r="F1223" s="49"/>
      <c r="G1223" s="49"/>
      <c r="H1223" s="49"/>
      <c r="I1223" s="49"/>
      <c r="J1223" s="49"/>
      <c r="K1223" s="49"/>
      <c r="L1223" s="49"/>
      <c r="M1223" s="49"/>
      <c r="N1223" s="49"/>
      <c r="O1223" s="49"/>
      <c r="P1223" s="49"/>
      <c r="Q1223" s="49"/>
      <c r="R1223" s="49"/>
      <c r="S1223" s="49"/>
      <c r="T1223" s="49"/>
      <c r="U1223" s="49"/>
      <c r="V1223" s="49"/>
      <c r="W1223" s="49"/>
      <c r="X1223" s="49"/>
      <c r="Y1223" s="49"/>
      <c r="Z1223" s="49"/>
    </row>
    <row r="1224">
      <c r="A1224" s="49" t="str">
        <f>IFERROR(__xludf.DUMMYFUNCTION("""COMPUTED_VALUE"""),"Blueberries")</f>
        <v>Blueberries</v>
      </c>
      <c r="B1224" s="49" t="str">
        <f>IFERROR(__xludf.DUMMYFUNCTION("""COMPUTED_VALUE"""),"5 hunger and thirst.")</f>
        <v>5 hunger and thirst.</v>
      </c>
      <c r="C1224" s="49" t="str">
        <f>IFERROR(__xludf.DUMMYFUNCTION("""COMPUTED_VALUE"""),"Crop")</f>
        <v>Crop</v>
      </c>
      <c r="D1224" s="49"/>
      <c r="E1224" s="49"/>
      <c r="F1224" s="49"/>
      <c r="G1224" s="49"/>
      <c r="H1224" s="49"/>
      <c r="I1224" s="49"/>
      <c r="J1224" s="49"/>
      <c r="K1224" s="49"/>
      <c r="L1224" s="49"/>
      <c r="M1224" s="49"/>
      <c r="N1224" s="49"/>
      <c r="O1224" s="49"/>
      <c r="P1224" s="49"/>
      <c r="Q1224" s="49"/>
      <c r="R1224" s="49"/>
      <c r="S1224" s="49"/>
      <c r="T1224" s="49"/>
      <c r="U1224" s="49"/>
      <c r="V1224" s="49"/>
      <c r="W1224" s="49"/>
      <c r="X1224" s="49"/>
      <c r="Y1224" s="49"/>
      <c r="Z1224" s="49"/>
    </row>
    <row r="1225">
      <c r="A1225" s="49" t="str">
        <f>IFERROR(__xludf.DUMMYFUNCTION("""COMPUTED_VALUE"""),"Pomegranate")</f>
        <v>Pomegranate</v>
      </c>
      <c r="B1225" s="49" t="str">
        <f>IFERROR(__xludf.DUMMYFUNCTION("""COMPUTED_VALUE"""),"10 hunger and thirst.")</f>
        <v>10 hunger and thirst.</v>
      </c>
      <c r="C1225" s="49" t="str">
        <f>IFERROR(__xludf.DUMMYFUNCTION("""COMPUTED_VALUE"""),"Crop")</f>
        <v>Crop</v>
      </c>
      <c r="D1225" s="49"/>
      <c r="E1225" s="49"/>
      <c r="F1225" s="49"/>
      <c r="G1225" s="49"/>
      <c r="H1225" s="49"/>
      <c r="I1225" s="49"/>
      <c r="J1225" s="49"/>
      <c r="K1225" s="49"/>
      <c r="L1225" s="49"/>
      <c r="M1225" s="49"/>
      <c r="N1225" s="49"/>
      <c r="O1225" s="49"/>
      <c r="P1225" s="49"/>
      <c r="Q1225" s="49"/>
      <c r="R1225" s="49"/>
      <c r="S1225" s="49"/>
      <c r="T1225" s="49"/>
      <c r="U1225" s="49"/>
      <c r="V1225" s="49"/>
      <c r="W1225" s="49"/>
      <c r="X1225" s="49"/>
      <c r="Y1225" s="49"/>
      <c r="Z1225" s="49"/>
    </row>
    <row r="1226">
      <c r="A1226" s="49" t="str">
        <f>IFERROR(__xludf.DUMMYFUNCTION("""COMPUTED_VALUE"""),"StarFruit")</f>
        <v>StarFruit</v>
      </c>
      <c r="B1226" s="49" t="str">
        <f>IFERROR(__xludf.DUMMYFUNCTION("""COMPUTED_VALUE"""),"5 hunger and thirst.")</f>
        <v>5 hunger and thirst.</v>
      </c>
      <c r="C1226" s="49" t="str">
        <f>IFERROR(__xludf.DUMMYFUNCTION("""COMPUTED_VALUE"""),"Crop")</f>
        <v>Crop</v>
      </c>
      <c r="D1226" s="49"/>
      <c r="E1226" s="49"/>
      <c r="F1226" s="49"/>
      <c r="G1226" s="49"/>
      <c r="H1226" s="49"/>
      <c r="I1226" s="49"/>
      <c r="J1226" s="49"/>
      <c r="K1226" s="49"/>
      <c r="L1226" s="49"/>
      <c r="M1226" s="49"/>
      <c r="N1226" s="49"/>
      <c r="O1226" s="49"/>
      <c r="P1226" s="49"/>
      <c r="Q1226" s="49"/>
      <c r="R1226" s="49"/>
      <c r="S1226" s="49"/>
      <c r="T1226" s="49"/>
      <c r="U1226" s="49"/>
      <c r="V1226" s="49"/>
      <c r="W1226" s="49"/>
      <c r="X1226" s="49"/>
      <c r="Y1226" s="49"/>
      <c r="Z1226" s="49"/>
    </row>
    <row r="1227">
      <c r="A1227" s="49" t="str">
        <f>IFERROR(__xludf.DUMMYFUNCTION("""COMPUTED_VALUE"""),"Plum")</f>
        <v>Plum</v>
      </c>
      <c r="B1227" s="49" t="str">
        <f>IFERROR(__xludf.DUMMYFUNCTION("""COMPUTED_VALUE"""),"5 hunger and thirst.")</f>
        <v>5 hunger and thirst.</v>
      </c>
      <c r="C1227" s="49" t="str">
        <f>IFERROR(__xludf.DUMMYFUNCTION("""COMPUTED_VALUE"""),"Crop")</f>
        <v>Crop</v>
      </c>
      <c r="D1227" s="49"/>
      <c r="E1227" s="49"/>
      <c r="F1227" s="49"/>
      <c r="G1227" s="49"/>
      <c r="H1227" s="49"/>
      <c r="I1227" s="49"/>
      <c r="J1227" s="49"/>
      <c r="K1227" s="49"/>
      <c r="L1227" s="49"/>
      <c r="M1227" s="49"/>
      <c r="N1227" s="49"/>
      <c r="O1227" s="49"/>
      <c r="P1227" s="49"/>
      <c r="Q1227" s="49"/>
      <c r="R1227" s="49"/>
      <c r="S1227" s="49"/>
      <c r="T1227" s="49"/>
      <c r="U1227" s="49"/>
      <c r="V1227" s="49"/>
      <c r="W1227" s="49"/>
      <c r="X1227" s="49"/>
      <c r="Y1227" s="49"/>
      <c r="Z1227" s="49"/>
    </row>
    <row r="1228">
      <c r="A1228" s="49" t="str">
        <f>IFERROR(__xludf.DUMMYFUNCTION("""COMPUTED_VALUE"""),"Bananas")</f>
        <v>Bananas</v>
      </c>
      <c r="B1228" s="49" t="str">
        <f>IFERROR(__xludf.DUMMYFUNCTION("""COMPUTED_VALUE"""),"10 hunger.")</f>
        <v>10 hunger.</v>
      </c>
      <c r="C1228" s="49" t="str">
        <f>IFERROR(__xludf.DUMMYFUNCTION("""COMPUTED_VALUE"""),"Crop")</f>
        <v>Crop</v>
      </c>
      <c r="D1228" s="49"/>
      <c r="E1228" s="49"/>
      <c r="F1228" s="49"/>
      <c r="G1228" s="49"/>
      <c r="H1228" s="49"/>
      <c r="I1228" s="49"/>
      <c r="J1228" s="49"/>
      <c r="K1228" s="49"/>
      <c r="L1228" s="49"/>
      <c r="M1228" s="49"/>
      <c r="N1228" s="49"/>
      <c r="O1228" s="49"/>
      <c r="P1228" s="49"/>
      <c r="Q1228" s="49"/>
      <c r="R1228" s="49"/>
      <c r="S1228" s="49"/>
      <c r="T1228" s="49"/>
      <c r="U1228" s="49"/>
      <c r="V1228" s="49"/>
      <c r="W1228" s="49"/>
      <c r="X1228" s="49"/>
      <c r="Y1228" s="49"/>
      <c r="Z1228" s="49"/>
    </row>
    <row r="1229">
      <c r="A1229" s="49" t="str">
        <f>IFERROR(__xludf.DUMMYFUNCTION("""COMPUTED_VALUE"""),"Raspberry")</f>
        <v>Raspberry</v>
      </c>
      <c r="B1229" s="49" t="str">
        <f>IFERROR(__xludf.DUMMYFUNCTION("""COMPUTED_VALUE"""),"5 hunger and thirst.")</f>
        <v>5 hunger and thirst.</v>
      </c>
      <c r="C1229" s="49" t="str">
        <f>IFERROR(__xludf.DUMMYFUNCTION("""COMPUTED_VALUE"""),"Crop")</f>
        <v>Crop</v>
      </c>
      <c r="D1229" s="49"/>
      <c r="E1229" s="49"/>
      <c r="F1229" s="49"/>
      <c r="G1229" s="49"/>
      <c r="H1229" s="49"/>
      <c r="I1229" s="49"/>
      <c r="J1229" s="49"/>
      <c r="K1229" s="49"/>
      <c r="L1229" s="49"/>
      <c r="M1229" s="49"/>
      <c r="N1229" s="49"/>
      <c r="O1229" s="49"/>
      <c r="P1229" s="49"/>
      <c r="Q1229" s="49"/>
      <c r="R1229" s="49"/>
      <c r="S1229" s="49"/>
      <c r="T1229" s="49"/>
      <c r="U1229" s="49"/>
      <c r="V1229" s="49"/>
      <c r="W1229" s="49"/>
      <c r="X1229" s="49"/>
      <c r="Y1229" s="49"/>
      <c r="Z1229" s="49"/>
    </row>
    <row r="1230">
      <c r="A1230" s="49" t="str">
        <f>IFERROR(__xludf.DUMMYFUNCTION("""COMPUTED_VALUE"""),"Mandarin")</f>
        <v>Mandarin</v>
      </c>
      <c r="B1230" s="49" t="str">
        <f>IFERROR(__xludf.DUMMYFUNCTION("""COMPUTED_VALUE"""),"5 hunger and thirst.")</f>
        <v>5 hunger and thirst.</v>
      </c>
      <c r="C1230" s="49" t="str">
        <f>IFERROR(__xludf.DUMMYFUNCTION("""COMPUTED_VALUE"""),"Crop")</f>
        <v>Crop</v>
      </c>
      <c r="D1230" s="49"/>
      <c r="E1230" s="49"/>
      <c r="F1230" s="49"/>
      <c r="G1230" s="49"/>
      <c r="H1230" s="49"/>
      <c r="I1230" s="49"/>
      <c r="J1230" s="49"/>
      <c r="K1230" s="49"/>
      <c r="L1230" s="49"/>
      <c r="M1230" s="49"/>
      <c r="N1230" s="49"/>
      <c r="O1230" s="49"/>
      <c r="P1230" s="49"/>
      <c r="Q1230" s="49"/>
      <c r="R1230" s="49"/>
      <c r="S1230" s="49"/>
      <c r="T1230" s="49"/>
      <c r="U1230" s="49"/>
      <c r="V1230" s="49"/>
      <c r="W1230" s="49"/>
      <c r="X1230" s="49"/>
      <c r="Y1230" s="49"/>
      <c r="Z1230" s="49"/>
    </row>
    <row r="1231">
      <c r="A1231" s="49" t="str">
        <f>IFERROR(__xludf.DUMMYFUNCTION("""COMPUTED_VALUE"""),"Jackfruit")</f>
        <v>Jackfruit</v>
      </c>
      <c r="B1231" s="49" t="str">
        <f>IFERROR(__xludf.DUMMYFUNCTION("""COMPUTED_VALUE"""),"5 hunger and thirst.")</f>
        <v>5 hunger and thirst.</v>
      </c>
      <c r="C1231" s="49" t="str">
        <f>IFERROR(__xludf.DUMMYFUNCTION("""COMPUTED_VALUE"""),"Crop")</f>
        <v>Crop</v>
      </c>
      <c r="D1231" s="49"/>
      <c r="E1231" s="49"/>
      <c r="F1231" s="49"/>
      <c r="G1231" s="49"/>
      <c r="H1231" s="49"/>
      <c r="I1231" s="49"/>
      <c r="J1231" s="49"/>
      <c r="K1231" s="49"/>
      <c r="L1231" s="49"/>
      <c r="M1231" s="49"/>
      <c r="N1231" s="49"/>
      <c r="O1231" s="49"/>
      <c r="P1231" s="49"/>
      <c r="Q1231" s="49"/>
      <c r="R1231" s="49"/>
      <c r="S1231" s="49"/>
      <c r="T1231" s="49"/>
      <c r="U1231" s="49"/>
      <c r="V1231" s="49"/>
      <c r="W1231" s="49"/>
      <c r="X1231" s="49"/>
      <c r="Y1231" s="49"/>
      <c r="Z1231" s="49"/>
    </row>
    <row r="1232">
      <c r="A1232" s="49" t="str">
        <f>IFERROR(__xludf.DUMMYFUNCTION("""COMPUTED_VALUE"""),"Papaya")</f>
        <v>Papaya</v>
      </c>
      <c r="B1232" s="49" t="str">
        <f>IFERROR(__xludf.DUMMYFUNCTION("""COMPUTED_VALUE"""),"10 hunger and thirst.")</f>
        <v>10 hunger and thirst.</v>
      </c>
      <c r="C1232" s="49" t="str">
        <f>IFERROR(__xludf.DUMMYFUNCTION("""COMPUTED_VALUE"""),"Crop")</f>
        <v>Crop</v>
      </c>
      <c r="D1232" s="49"/>
      <c r="E1232" s="49"/>
      <c r="F1232" s="49"/>
      <c r="G1232" s="49"/>
      <c r="H1232" s="49"/>
      <c r="I1232" s="49"/>
      <c r="J1232" s="49"/>
      <c r="K1232" s="49"/>
      <c r="L1232" s="49"/>
      <c r="M1232" s="49"/>
      <c r="N1232" s="49"/>
      <c r="O1232" s="49"/>
      <c r="P1232" s="49"/>
      <c r="Q1232" s="49"/>
      <c r="R1232" s="49"/>
      <c r="S1232" s="49"/>
      <c r="T1232" s="49"/>
      <c r="U1232" s="49"/>
      <c r="V1232" s="49"/>
      <c r="W1232" s="49"/>
      <c r="X1232" s="49"/>
      <c r="Y1232" s="49"/>
      <c r="Z1232" s="49"/>
    </row>
    <row r="1233">
      <c r="A1233" s="49" t="str">
        <f>IFERROR(__xludf.DUMMYFUNCTION("""COMPUTED_VALUE"""),"Kiwi")</f>
        <v>Kiwi</v>
      </c>
      <c r="B1233" s="49" t="str">
        <f>IFERROR(__xludf.DUMMYFUNCTION("""COMPUTED_VALUE"""),"5 hunger and thirst.")</f>
        <v>5 hunger and thirst.</v>
      </c>
      <c r="C1233" s="49" t="str">
        <f>IFERROR(__xludf.DUMMYFUNCTION("""COMPUTED_VALUE"""),"Crop")</f>
        <v>Crop</v>
      </c>
      <c r="D1233" s="49"/>
      <c r="E1233" s="49"/>
      <c r="F1233" s="49"/>
      <c r="G1233" s="49"/>
      <c r="H1233" s="49"/>
      <c r="I1233" s="49"/>
      <c r="J1233" s="49"/>
      <c r="K1233" s="49"/>
      <c r="L1233" s="49"/>
      <c r="M1233" s="49"/>
      <c r="N1233" s="49"/>
      <c r="O1233" s="49"/>
      <c r="P1233" s="49"/>
      <c r="Q1233" s="49"/>
      <c r="R1233" s="49"/>
      <c r="S1233" s="49"/>
      <c r="T1233" s="49"/>
      <c r="U1233" s="49"/>
      <c r="V1233" s="49"/>
      <c r="W1233" s="49"/>
      <c r="X1233" s="49"/>
      <c r="Y1233" s="49"/>
      <c r="Z1233" s="49"/>
    </row>
    <row r="1234">
      <c r="A1234" s="49" t="str">
        <f>IFERROR(__xludf.DUMMYFUNCTION("""COMPUTED_VALUE"""),"Pineapple")</f>
        <v>Pineapple</v>
      </c>
      <c r="B1234" s="49" t="str">
        <f>IFERROR(__xludf.DUMMYFUNCTION("""COMPUTED_VALUE"""),"20 hunger and thirst.")</f>
        <v>20 hunger and thirst.</v>
      </c>
      <c r="C1234" s="49" t="str">
        <f>IFERROR(__xludf.DUMMYFUNCTION("""COMPUTED_VALUE"""),"Crop")</f>
        <v>Crop</v>
      </c>
      <c r="D1234" s="49"/>
      <c r="E1234" s="49"/>
      <c r="F1234" s="49"/>
      <c r="G1234" s="49"/>
      <c r="H1234" s="49"/>
      <c r="I1234" s="49"/>
      <c r="J1234" s="49"/>
      <c r="K1234" s="49"/>
      <c r="L1234" s="49"/>
      <c r="M1234" s="49"/>
      <c r="N1234" s="49"/>
      <c r="O1234" s="49"/>
      <c r="P1234" s="49"/>
      <c r="Q1234" s="49"/>
      <c r="R1234" s="49"/>
      <c r="S1234" s="49"/>
      <c r="T1234" s="49"/>
      <c r="U1234" s="49"/>
      <c r="V1234" s="49"/>
      <c r="W1234" s="49"/>
      <c r="X1234" s="49"/>
      <c r="Y1234" s="49"/>
      <c r="Z1234" s="49"/>
    </row>
    <row r="1235">
      <c r="A1235" s="49" t="str">
        <f>IFERROR(__xludf.DUMMYFUNCTION("""COMPUTED_VALUE"""),"Lime")</f>
        <v>Lime</v>
      </c>
      <c r="B1235" s="49" t="str">
        <f>IFERROR(__xludf.DUMMYFUNCTION("""COMPUTED_VALUE"""),"5 hunger and thirst or 25% chance to lose 10 hunger and thirst.")</f>
        <v>5 hunger and thirst or 25% chance to lose 10 hunger and thirst.</v>
      </c>
      <c r="C1235" s="49" t="str">
        <f>IFERROR(__xludf.DUMMYFUNCTION("""COMPUTED_VALUE"""),"Crop")</f>
        <v>Crop</v>
      </c>
      <c r="D1235" s="49"/>
      <c r="E1235" s="49"/>
      <c r="F1235" s="49"/>
      <c r="G1235" s="49"/>
      <c r="H1235" s="49"/>
      <c r="I1235" s="49"/>
      <c r="J1235" s="49"/>
      <c r="K1235" s="49"/>
      <c r="L1235" s="49"/>
      <c r="M1235" s="49"/>
      <c r="N1235" s="49"/>
      <c r="O1235" s="49"/>
      <c r="P1235" s="49"/>
      <c r="Q1235" s="49"/>
      <c r="R1235" s="49"/>
      <c r="S1235" s="49"/>
      <c r="T1235" s="49"/>
      <c r="U1235" s="49"/>
      <c r="V1235" s="49"/>
      <c r="W1235" s="49"/>
      <c r="X1235" s="49"/>
      <c r="Y1235" s="49"/>
      <c r="Z1235" s="49"/>
    </row>
    <row r="1236">
      <c r="A1236" s="49" t="str">
        <f>IFERROR(__xludf.DUMMYFUNCTION("""COMPUTED_VALUE"""),"Lemon")</f>
        <v>Lemon</v>
      </c>
      <c r="B1236" s="49" t="str">
        <f>IFERROR(__xludf.DUMMYFUNCTION("""COMPUTED_VALUE"""),"5 hunger and thirst or 50% chance to lose 10 hunger and thirst.")</f>
        <v>5 hunger and thirst or 50% chance to lose 10 hunger and thirst.</v>
      </c>
      <c r="C1236" s="49" t="str">
        <f>IFERROR(__xludf.DUMMYFUNCTION("""COMPUTED_VALUE"""),"Crop")</f>
        <v>Crop</v>
      </c>
      <c r="D1236" s="49"/>
      <c r="E1236" s="49"/>
      <c r="F1236" s="49"/>
      <c r="G1236" s="49"/>
      <c r="H1236" s="49"/>
      <c r="I1236" s="49"/>
      <c r="J1236" s="49"/>
      <c r="K1236" s="49"/>
      <c r="L1236" s="49"/>
      <c r="M1236" s="49"/>
      <c r="N1236" s="49"/>
      <c r="O1236" s="49"/>
      <c r="P1236" s="49"/>
      <c r="Q1236" s="49"/>
      <c r="R1236" s="49"/>
      <c r="S1236" s="49"/>
      <c r="T1236" s="49"/>
      <c r="U1236" s="49"/>
      <c r="V1236" s="49"/>
      <c r="W1236" s="49"/>
      <c r="X1236" s="49"/>
      <c r="Y1236" s="49"/>
      <c r="Z1236" s="49"/>
    </row>
    <row r="1237">
      <c r="A1237" s="49" t="str">
        <f>IFERROR(__xludf.DUMMYFUNCTION("""COMPUTED_VALUE"""),"Apricot")</f>
        <v>Apricot</v>
      </c>
      <c r="B1237" s="49" t="str">
        <f>IFERROR(__xludf.DUMMYFUNCTION("""COMPUTED_VALUE"""),"5 hunger and thirst.")</f>
        <v>5 hunger and thirst.</v>
      </c>
      <c r="C1237" s="49" t="str">
        <f>IFERROR(__xludf.DUMMYFUNCTION("""COMPUTED_VALUE"""),"Crop")</f>
        <v>Crop</v>
      </c>
      <c r="D1237" s="49"/>
      <c r="E1237" s="49"/>
      <c r="F1237" s="49"/>
      <c r="G1237" s="49"/>
      <c r="H1237" s="49"/>
      <c r="I1237" s="49"/>
      <c r="J1237" s="49"/>
      <c r="K1237" s="49"/>
      <c r="L1237" s="49"/>
      <c r="M1237" s="49"/>
      <c r="N1237" s="49"/>
      <c r="O1237" s="49"/>
      <c r="P1237" s="49"/>
      <c r="Q1237" s="49"/>
      <c r="R1237" s="49"/>
      <c r="S1237" s="49"/>
      <c r="T1237" s="49"/>
      <c r="U1237" s="49"/>
      <c r="V1237" s="49"/>
      <c r="W1237" s="49"/>
      <c r="X1237" s="49"/>
      <c r="Y1237" s="49"/>
      <c r="Z1237" s="49"/>
    </row>
    <row r="1238">
      <c r="A1238" s="49" t="str">
        <f>IFERROR(__xludf.DUMMYFUNCTION("""COMPUTED_VALUE"""),"Grapefruit")</f>
        <v>Grapefruit</v>
      </c>
      <c r="B1238" s="49" t="str">
        <f>IFERROR(__xludf.DUMMYFUNCTION("""COMPUTED_VALUE"""),"10 hunger and thirst.")</f>
        <v>10 hunger and thirst.</v>
      </c>
      <c r="C1238" s="49" t="str">
        <f>IFERROR(__xludf.DUMMYFUNCTION("""COMPUTED_VALUE"""),"Crop")</f>
        <v>Crop</v>
      </c>
      <c r="D1238" s="49"/>
      <c r="E1238" s="49"/>
      <c r="F1238" s="49"/>
      <c r="G1238" s="49"/>
      <c r="H1238" s="49"/>
      <c r="I1238" s="49"/>
      <c r="J1238" s="49"/>
      <c r="K1238" s="49"/>
      <c r="L1238" s="49"/>
      <c r="M1238" s="49"/>
      <c r="N1238" s="49"/>
      <c r="O1238" s="49"/>
      <c r="P1238" s="49"/>
      <c r="Q1238" s="49"/>
      <c r="R1238" s="49"/>
      <c r="S1238" s="49"/>
      <c r="T1238" s="49"/>
      <c r="U1238" s="49"/>
      <c r="V1238" s="49"/>
      <c r="W1238" s="49"/>
      <c r="X1238" s="49"/>
      <c r="Y1238" s="49"/>
      <c r="Z1238" s="49"/>
    </row>
    <row r="1239">
      <c r="A1239" s="49" t="str">
        <f>IFERROR(__xludf.DUMMYFUNCTION("""COMPUTED_VALUE"""),"Coconut")</f>
        <v>Coconut</v>
      </c>
      <c r="B1239" s="49" t="str">
        <f>IFERROR(__xludf.DUMMYFUNCTION("""COMPUTED_VALUE"""),"10 hunger and thirst.")</f>
        <v>10 hunger and thirst.</v>
      </c>
      <c r="C1239" s="49" t="str">
        <f>IFERROR(__xludf.DUMMYFUNCTION("""COMPUTED_VALUE"""),"Crop")</f>
        <v>Crop</v>
      </c>
      <c r="D1239" s="49"/>
      <c r="E1239" s="49"/>
      <c r="F1239" s="49"/>
      <c r="G1239" s="49"/>
      <c r="H1239" s="49"/>
      <c r="I1239" s="49"/>
      <c r="J1239" s="49"/>
      <c r="K1239" s="49"/>
      <c r="L1239" s="49"/>
      <c r="M1239" s="49"/>
      <c r="N1239" s="49"/>
      <c r="O1239" s="49"/>
      <c r="P1239" s="49"/>
      <c r="Q1239" s="49"/>
      <c r="R1239" s="49"/>
      <c r="S1239" s="49"/>
      <c r="T1239" s="49"/>
      <c r="U1239" s="49"/>
      <c r="V1239" s="49"/>
      <c r="W1239" s="49"/>
      <c r="X1239" s="49"/>
      <c r="Y1239" s="49"/>
      <c r="Z1239" s="49"/>
    </row>
    <row r="1240">
      <c r="A1240" s="49" t="str">
        <f>IFERROR(__xludf.DUMMYFUNCTION("""COMPUTED_VALUE"""),"Avocado")</f>
        <v>Avocado</v>
      </c>
      <c r="B1240" s="49" t="str">
        <f>IFERROR(__xludf.DUMMYFUNCTION("""COMPUTED_VALUE"""),"5 hunger.")</f>
        <v>5 hunger.</v>
      </c>
      <c r="C1240" s="49" t="str">
        <f>IFERROR(__xludf.DUMMYFUNCTION("""COMPUTED_VALUE"""),"Crop")</f>
        <v>Crop</v>
      </c>
      <c r="D1240" s="49"/>
      <c r="E1240" s="49"/>
      <c r="F1240" s="49"/>
      <c r="G1240" s="49"/>
      <c r="H1240" s="49"/>
      <c r="I1240" s="49"/>
      <c r="J1240" s="49"/>
      <c r="K1240" s="49"/>
      <c r="L1240" s="49"/>
      <c r="M1240" s="49"/>
      <c r="N1240" s="49"/>
      <c r="O1240" s="49"/>
      <c r="P1240" s="49"/>
      <c r="Q1240" s="49"/>
      <c r="R1240" s="49"/>
      <c r="S1240" s="49"/>
      <c r="T1240" s="49"/>
      <c r="U1240" s="49"/>
      <c r="V1240" s="49"/>
      <c r="W1240" s="49"/>
      <c r="X1240" s="49"/>
      <c r="Y1240" s="49"/>
      <c r="Z1240" s="49"/>
    </row>
    <row r="1241">
      <c r="A1241" s="49" t="str">
        <f>IFERROR(__xludf.DUMMYFUNCTION("""COMPUTED_VALUE"""),"Peach")</f>
        <v>Peach</v>
      </c>
      <c r="B1241" s="49" t="str">
        <f>IFERROR(__xludf.DUMMYFUNCTION("""COMPUTED_VALUE"""),"5 hunger and thirst.")</f>
        <v>5 hunger and thirst.</v>
      </c>
      <c r="C1241" s="49" t="str">
        <f>IFERROR(__xludf.DUMMYFUNCTION("""COMPUTED_VALUE"""),"Crop")</f>
        <v>Crop</v>
      </c>
      <c r="D1241" s="49"/>
      <c r="E1241" s="49"/>
      <c r="F1241" s="49"/>
      <c r="G1241" s="49"/>
      <c r="H1241" s="49"/>
      <c r="I1241" s="49"/>
      <c r="J1241" s="49"/>
      <c r="K1241" s="49"/>
      <c r="L1241" s="49"/>
      <c r="M1241" s="49"/>
      <c r="N1241" s="49"/>
      <c r="O1241" s="49"/>
      <c r="P1241" s="49"/>
      <c r="Q1241" s="49"/>
      <c r="R1241" s="49"/>
      <c r="S1241" s="49"/>
      <c r="T1241" s="49"/>
      <c r="U1241" s="49"/>
      <c r="V1241" s="49"/>
      <c r="W1241" s="49"/>
      <c r="X1241" s="49"/>
      <c r="Y1241" s="49"/>
      <c r="Z1241" s="49"/>
    </row>
    <row r="1242">
      <c r="A1242" s="49" t="str">
        <f>IFERROR(__xludf.DUMMYFUNCTION("""COMPUTED_VALUE"""),"Corn")</f>
        <v>Corn</v>
      </c>
      <c r="B1242" s="49" t="str">
        <f>IFERROR(__xludf.DUMMYFUNCTION("""COMPUTED_VALUE"""),"10 hunger.")</f>
        <v>10 hunger.</v>
      </c>
      <c r="C1242" s="49" t="str">
        <f>IFERROR(__xludf.DUMMYFUNCTION("""COMPUTED_VALUE"""),"Crop")</f>
        <v>Crop</v>
      </c>
      <c r="D1242" s="49"/>
      <c r="E1242" s="49"/>
      <c r="F1242" s="49"/>
      <c r="G1242" s="49"/>
      <c r="H1242" s="49"/>
      <c r="I1242" s="49"/>
      <c r="J1242" s="49"/>
      <c r="K1242" s="49"/>
      <c r="L1242" s="49"/>
      <c r="M1242" s="49"/>
      <c r="N1242" s="49"/>
      <c r="O1242" s="49"/>
      <c r="P1242" s="49"/>
      <c r="Q1242" s="49"/>
      <c r="R1242" s="49"/>
      <c r="S1242" s="49"/>
      <c r="T1242" s="49"/>
      <c r="U1242" s="49"/>
      <c r="V1242" s="49"/>
      <c r="W1242" s="49"/>
      <c r="X1242" s="49"/>
      <c r="Y1242" s="49"/>
      <c r="Z1242" s="49"/>
    </row>
    <row r="1243">
      <c r="A1243" s="49" t="str">
        <f>IFERROR(__xludf.DUMMYFUNCTION("""COMPUTED_VALUE"""),"Mushroom")</f>
        <v>Mushroom</v>
      </c>
      <c r="B1243" s="49" t="str">
        <f>IFERROR(__xludf.DUMMYFUNCTION("""COMPUTED_VALUE"""),"10 hunger, 25% chance of wandering away from the party.")</f>
        <v>10 hunger, 25% chance of wandering away from the party.</v>
      </c>
      <c r="C1243" s="49" t="str">
        <f>IFERROR(__xludf.DUMMYFUNCTION("""COMPUTED_VALUE"""),"Crop")</f>
        <v>Crop</v>
      </c>
      <c r="D1243" s="49"/>
      <c r="E1243" s="49"/>
      <c r="F1243" s="49"/>
      <c r="G1243" s="49"/>
      <c r="H1243" s="49"/>
      <c r="I1243" s="49"/>
      <c r="J1243" s="49"/>
      <c r="K1243" s="49"/>
      <c r="L1243" s="49"/>
      <c r="M1243" s="49"/>
      <c r="N1243" s="49"/>
      <c r="O1243" s="49"/>
      <c r="P1243" s="49"/>
      <c r="Q1243" s="49"/>
      <c r="R1243" s="49"/>
      <c r="S1243" s="49"/>
      <c r="T1243" s="49"/>
      <c r="U1243" s="49"/>
      <c r="V1243" s="49"/>
      <c r="W1243" s="49"/>
      <c r="X1243" s="49"/>
      <c r="Y1243" s="49"/>
      <c r="Z1243" s="49"/>
    </row>
    <row r="1244">
      <c r="A1244" s="49" t="str">
        <f>IFERROR(__xludf.DUMMYFUNCTION("""COMPUTED_VALUE"""),"Broccoli")</f>
        <v>Broccoli</v>
      </c>
      <c r="B1244" s="49" t="str">
        <f>IFERROR(__xludf.DUMMYFUNCTION("""COMPUTED_VALUE"""),"5 hunger")</f>
        <v>5 hunger</v>
      </c>
      <c r="C1244" s="49" t="str">
        <f>IFERROR(__xludf.DUMMYFUNCTION("""COMPUTED_VALUE"""),"Crop")</f>
        <v>Crop</v>
      </c>
      <c r="D1244" s="49"/>
      <c r="E1244" s="49"/>
      <c r="F1244" s="49"/>
      <c r="G1244" s="49"/>
      <c r="H1244" s="49"/>
      <c r="I1244" s="49"/>
      <c r="J1244" s="49"/>
      <c r="K1244" s="49"/>
      <c r="L1244" s="49"/>
      <c r="M1244" s="49"/>
      <c r="N1244" s="49"/>
      <c r="O1244" s="49"/>
      <c r="P1244" s="49"/>
      <c r="Q1244" s="49"/>
      <c r="R1244" s="49"/>
      <c r="S1244" s="49"/>
      <c r="T1244" s="49"/>
      <c r="U1244" s="49"/>
      <c r="V1244" s="49"/>
      <c r="W1244" s="49"/>
      <c r="X1244" s="49"/>
      <c r="Y1244" s="49"/>
      <c r="Z1244" s="49"/>
    </row>
    <row r="1245">
      <c r="A1245" s="49" t="str">
        <f>IFERROR(__xludf.DUMMYFUNCTION("""COMPUTED_VALUE"""),"Cucumber")</f>
        <v>Cucumber</v>
      </c>
      <c r="B1245" s="49" t="str">
        <f>IFERROR(__xludf.DUMMYFUNCTION("""COMPUTED_VALUE"""),"5 hunger")</f>
        <v>5 hunger</v>
      </c>
      <c r="C1245" s="49" t="str">
        <f>IFERROR(__xludf.DUMMYFUNCTION("""COMPUTED_VALUE"""),"Crop")</f>
        <v>Crop</v>
      </c>
      <c r="D1245" s="49"/>
      <c r="E1245" s="49"/>
      <c r="F1245" s="49"/>
      <c r="G1245" s="49"/>
      <c r="H1245" s="49"/>
      <c r="I1245" s="49"/>
      <c r="J1245" s="49"/>
      <c r="K1245" s="49"/>
      <c r="L1245" s="49"/>
      <c r="M1245" s="49"/>
      <c r="N1245" s="49"/>
      <c r="O1245" s="49"/>
      <c r="P1245" s="49"/>
      <c r="Q1245" s="49"/>
      <c r="R1245" s="49"/>
      <c r="S1245" s="49"/>
      <c r="T1245" s="49"/>
      <c r="U1245" s="49"/>
      <c r="V1245" s="49"/>
      <c r="W1245" s="49"/>
      <c r="X1245" s="49"/>
      <c r="Y1245" s="49"/>
      <c r="Z1245" s="49"/>
    </row>
    <row r="1246">
      <c r="A1246" s="49" t="str">
        <f>IFERROR(__xludf.DUMMYFUNCTION("""COMPUTED_VALUE"""),"Red Pepper/Red Bell Pepper")</f>
        <v>Red Pepper/Red Bell Pepper</v>
      </c>
      <c r="B1246" s="49" t="str">
        <f>IFERROR(__xludf.DUMMYFUNCTION("""COMPUTED_VALUE"""),"5 hunger")</f>
        <v>5 hunger</v>
      </c>
      <c r="C1246" s="49" t="str">
        <f>IFERROR(__xludf.DUMMYFUNCTION("""COMPUTED_VALUE"""),"Crop")</f>
        <v>Crop</v>
      </c>
      <c r="D1246" s="49"/>
      <c r="E1246" s="49"/>
      <c r="F1246" s="49"/>
      <c r="G1246" s="49"/>
      <c r="H1246" s="49"/>
      <c r="I1246" s="49"/>
      <c r="J1246" s="49"/>
      <c r="K1246" s="49"/>
      <c r="L1246" s="49"/>
      <c r="M1246" s="49"/>
      <c r="N1246" s="49"/>
      <c r="O1246" s="49"/>
      <c r="P1246" s="49"/>
      <c r="Q1246" s="49"/>
      <c r="R1246" s="49"/>
      <c r="S1246" s="49"/>
      <c r="T1246" s="49"/>
      <c r="U1246" s="49"/>
      <c r="V1246" s="49"/>
      <c r="W1246" s="49"/>
      <c r="X1246" s="49"/>
      <c r="Y1246" s="49"/>
      <c r="Z1246" s="49"/>
    </row>
    <row r="1247">
      <c r="A1247" s="49" t="str">
        <f>IFERROR(__xludf.DUMMYFUNCTION("""COMPUTED_VALUE"""),"Tomato")</f>
        <v>Tomato</v>
      </c>
      <c r="B1247" s="49" t="str">
        <f>IFERROR(__xludf.DUMMYFUNCTION("""COMPUTED_VALUE"""),"5 hunger and thirst")</f>
        <v>5 hunger and thirst</v>
      </c>
      <c r="C1247" s="49" t="str">
        <f>IFERROR(__xludf.DUMMYFUNCTION("""COMPUTED_VALUE"""),"Crop")</f>
        <v>Crop</v>
      </c>
      <c r="D1247" s="49"/>
      <c r="E1247" s="49"/>
      <c r="F1247" s="49"/>
      <c r="G1247" s="49"/>
      <c r="H1247" s="49"/>
      <c r="I1247" s="49"/>
      <c r="J1247" s="49"/>
      <c r="K1247" s="49"/>
      <c r="L1247" s="49"/>
      <c r="M1247" s="49"/>
      <c r="N1247" s="49"/>
      <c r="O1247" s="49"/>
      <c r="P1247" s="49"/>
      <c r="Q1247" s="49"/>
      <c r="R1247" s="49"/>
      <c r="S1247" s="49"/>
      <c r="T1247" s="49"/>
      <c r="U1247" s="49"/>
      <c r="V1247" s="49"/>
      <c r="W1247" s="49"/>
      <c r="X1247" s="49"/>
      <c r="Y1247" s="49"/>
      <c r="Z1247" s="49"/>
    </row>
    <row r="1248">
      <c r="A1248" s="49" t="str">
        <f>IFERROR(__xludf.DUMMYFUNCTION("""COMPUTED_VALUE"""),"Carrot")</f>
        <v>Carrot</v>
      </c>
      <c r="B1248" s="49" t="str">
        <f>IFERROR(__xludf.DUMMYFUNCTION("""COMPUTED_VALUE"""),"5 hunger")</f>
        <v>5 hunger</v>
      </c>
      <c r="C1248" s="49" t="str">
        <f>IFERROR(__xludf.DUMMYFUNCTION("""COMPUTED_VALUE"""),"Crop")</f>
        <v>Crop</v>
      </c>
      <c r="D1248" s="49"/>
      <c r="E1248" s="49"/>
      <c r="F1248" s="49"/>
      <c r="G1248" s="49"/>
      <c r="H1248" s="49"/>
      <c r="I1248" s="49"/>
      <c r="J1248" s="49"/>
      <c r="K1248" s="49"/>
      <c r="L1248" s="49"/>
      <c r="M1248" s="49"/>
      <c r="N1248" s="49"/>
      <c r="O1248" s="49"/>
      <c r="P1248" s="49"/>
      <c r="Q1248" s="49"/>
      <c r="R1248" s="49"/>
      <c r="S1248" s="49"/>
      <c r="T1248" s="49"/>
      <c r="U1248" s="49"/>
      <c r="V1248" s="49"/>
      <c r="W1248" s="49"/>
      <c r="X1248" s="49"/>
      <c r="Y1248" s="49"/>
      <c r="Z1248" s="49"/>
    </row>
    <row r="1249">
      <c r="A1249" s="49" t="str">
        <f>IFERROR(__xludf.DUMMYFUNCTION("""COMPUTED_VALUE"""),"Brussels Sprout")</f>
        <v>Brussels Sprout</v>
      </c>
      <c r="B1249" s="49" t="str">
        <f>IFERROR(__xludf.DUMMYFUNCTION("""COMPUTED_VALUE"""),"5 hunger")</f>
        <v>5 hunger</v>
      </c>
      <c r="C1249" s="49" t="str">
        <f>IFERROR(__xludf.DUMMYFUNCTION("""COMPUTED_VALUE"""),"Crop")</f>
        <v>Crop</v>
      </c>
      <c r="D1249" s="49"/>
      <c r="E1249" s="49"/>
      <c r="F1249" s="49"/>
      <c r="G1249" s="49"/>
      <c r="H1249" s="49"/>
      <c r="I1249" s="49"/>
      <c r="J1249" s="49"/>
      <c r="K1249" s="49"/>
      <c r="L1249" s="49"/>
      <c r="M1249" s="49"/>
      <c r="N1249" s="49"/>
      <c r="O1249" s="49"/>
      <c r="P1249" s="49"/>
      <c r="Q1249" s="49"/>
      <c r="R1249" s="49"/>
      <c r="S1249" s="49"/>
      <c r="T1249" s="49"/>
      <c r="U1249" s="49"/>
      <c r="V1249" s="49"/>
      <c r="W1249" s="49"/>
      <c r="X1249" s="49"/>
      <c r="Y1249" s="49"/>
      <c r="Z1249" s="49"/>
    </row>
    <row r="1250">
      <c r="A1250" s="49" t="str">
        <f>IFERROR(__xludf.DUMMYFUNCTION("""COMPUTED_VALUE"""),"Cabbage")</f>
        <v>Cabbage</v>
      </c>
      <c r="B1250" s="49" t="str">
        <f>IFERROR(__xludf.DUMMYFUNCTION("""COMPUTED_VALUE"""),"10 hunger")</f>
        <v>10 hunger</v>
      </c>
      <c r="C1250" s="49" t="str">
        <f>IFERROR(__xludf.DUMMYFUNCTION("""COMPUTED_VALUE"""),"Crop")</f>
        <v>Crop</v>
      </c>
      <c r="D1250" s="49"/>
      <c r="E1250" s="49"/>
      <c r="F1250" s="49"/>
      <c r="G1250" s="49"/>
      <c r="H1250" s="49"/>
      <c r="I1250" s="49"/>
      <c r="J1250" s="49"/>
      <c r="K1250" s="49"/>
      <c r="L1250" s="49"/>
      <c r="M1250" s="49"/>
      <c r="N1250" s="49"/>
      <c r="O1250" s="49"/>
      <c r="P1250" s="49"/>
      <c r="Q1250" s="49"/>
      <c r="R1250" s="49"/>
      <c r="S1250" s="49"/>
      <c r="T1250" s="49"/>
      <c r="U1250" s="49"/>
      <c r="V1250" s="49"/>
      <c r="W1250" s="49"/>
      <c r="X1250" s="49"/>
      <c r="Y1250" s="49"/>
      <c r="Z1250" s="49"/>
    </row>
    <row r="1251">
      <c r="A1251" s="49" t="str">
        <f>IFERROR(__xludf.DUMMYFUNCTION("""COMPUTED_VALUE"""),"Potato")</f>
        <v>Potato</v>
      </c>
      <c r="B1251" s="49" t="str">
        <f>IFERROR(__xludf.DUMMYFUNCTION("""COMPUTED_VALUE"""),"5 hunger")</f>
        <v>5 hunger</v>
      </c>
      <c r="C1251" s="49" t="str">
        <f>IFERROR(__xludf.DUMMYFUNCTION("""COMPUTED_VALUE"""),"Crop")</f>
        <v>Crop</v>
      </c>
      <c r="D1251" s="49"/>
      <c r="E1251" s="49"/>
      <c r="F1251" s="49"/>
      <c r="G1251" s="49"/>
      <c r="H1251" s="49"/>
      <c r="I1251" s="49"/>
      <c r="J1251" s="49"/>
      <c r="K1251" s="49"/>
      <c r="L1251" s="49"/>
      <c r="M1251" s="49"/>
      <c r="N1251" s="49"/>
      <c r="O1251" s="49"/>
      <c r="P1251" s="49"/>
      <c r="Q1251" s="49"/>
      <c r="R1251" s="49"/>
      <c r="S1251" s="49"/>
      <c r="T1251" s="49"/>
      <c r="U1251" s="49"/>
      <c r="V1251" s="49"/>
      <c r="W1251" s="49"/>
      <c r="X1251" s="49"/>
      <c r="Y1251" s="49"/>
      <c r="Z1251" s="49"/>
    </row>
    <row r="1252">
      <c r="A1252" s="49" t="str">
        <f>IFERROR(__xludf.DUMMYFUNCTION("""COMPUTED_VALUE"""),"Eggplant")</f>
        <v>Eggplant</v>
      </c>
      <c r="B1252" s="49" t="str">
        <f>IFERROR(__xludf.DUMMYFUNCTION("""COMPUTED_VALUE"""),"10 hunger")</f>
        <v>10 hunger</v>
      </c>
      <c r="C1252" s="49" t="str">
        <f>IFERROR(__xludf.DUMMYFUNCTION("""COMPUTED_VALUE"""),"Crop")</f>
        <v>Crop</v>
      </c>
      <c r="D1252" s="49"/>
      <c r="E1252" s="49"/>
      <c r="F1252" s="49"/>
      <c r="G1252" s="49"/>
      <c r="H1252" s="49"/>
      <c r="I1252" s="49"/>
      <c r="J1252" s="49"/>
      <c r="K1252" s="49"/>
      <c r="L1252" s="49"/>
      <c r="M1252" s="49"/>
      <c r="N1252" s="49"/>
      <c r="O1252" s="49"/>
      <c r="P1252" s="49"/>
      <c r="Q1252" s="49"/>
      <c r="R1252" s="49"/>
      <c r="S1252" s="49"/>
      <c r="T1252" s="49"/>
      <c r="U1252" s="49"/>
      <c r="V1252" s="49"/>
      <c r="W1252" s="49"/>
      <c r="X1252" s="49"/>
      <c r="Y1252" s="49"/>
      <c r="Z1252" s="49"/>
    </row>
    <row r="1253">
      <c r="A1253" s="49" t="str">
        <f>IFERROR(__xludf.DUMMYFUNCTION("""COMPUTED_VALUE"""),"Sweet Potato")</f>
        <v>Sweet Potato</v>
      </c>
      <c r="B1253" s="49" t="str">
        <f>IFERROR(__xludf.DUMMYFUNCTION("""COMPUTED_VALUE"""),"5 hunger")</f>
        <v>5 hunger</v>
      </c>
      <c r="C1253" s="49" t="str">
        <f>IFERROR(__xludf.DUMMYFUNCTION("""COMPUTED_VALUE"""),"Crop")</f>
        <v>Crop</v>
      </c>
      <c r="D1253" s="49"/>
      <c r="E1253" s="49"/>
      <c r="F1253" s="49"/>
      <c r="G1253" s="49"/>
      <c r="H1253" s="49"/>
      <c r="I1253" s="49"/>
      <c r="J1253" s="49"/>
      <c r="K1253" s="49"/>
      <c r="L1253" s="49"/>
      <c r="M1253" s="49"/>
      <c r="N1253" s="49"/>
      <c r="O1253" s="49"/>
      <c r="P1253" s="49"/>
      <c r="Q1253" s="49"/>
      <c r="R1253" s="49"/>
      <c r="S1253" s="49"/>
      <c r="T1253" s="49"/>
      <c r="U1253" s="49"/>
      <c r="V1253" s="49"/>
      <c r="W1253" s="49"/>
      <c r="X1253" s="49"/>
      <c r="Y1253" s="49"/>
      <c r="Z1253" s="49"/>
    </row>
    <row r="1254">
      <c r="A1254" s="49" t="str">
        <f>IFERROR(__xludf.DUMMYFUNCTION("""COMPUTED_VALUE"""),"Turnip")</f>
        <v>Turnip</v>
      </c>
      <c r="B1254" s="49" t="str">
        <f>IFERROR(__xludf.DUMMYFUNCTION("""COMPUTED_VALUE"""),"5 hunger")</f>
        <v>5 hunger</v>
      </c>
      <c r="C1254" s="49" t="str">
        <f>IFERROR(__xludf.DUMMYFUNCTION("""COMPUTED_VALUE"""),"Crop")</f>
        <v>Crop</v>
      </c>
      <c r="D1254" s="49"/>
      <c r="E1254" s="49"/>
      <c r="F1254" s="49"/>
      <c r="G1254" s="49"/>
      <c r="H1254" s="49"/>
      <c r="I1254" s="49"/>
      <c r="J1254" s="49"/>
      <c r="K1254" s="49"/>
      <c r="L1254" s="49"/>
      <c r="M1254" s="49"/>
      <c r="N1254" s="49"/>
      <c r="O1254" s="49"/>
      <c r="P1254" s="49"/>
      <c r="Q1254" s="49"/>
      <c r="R1254" s="49"/>
      <c r="S1254" s="49"/>
      <c r="T1254" s="49"/>
      <c r="U1254" s="49"/>
      <c r="V1254" s="49"/>
      <c r="W1254" s="49"/>
      <c r="X1254" s="49"/>
      <c r="Y1254" s="49"/>
      <c r="Z1254" s="49"/>
    </row>
    <row r="1255">
      <c r="A1255" s="49" t="str">
        <f>IFERROR(__xludf.DUMMYFUNCTION("""COMPUTED_VALUE"""),"Green Chilli")</f>
        <v>Green Chilli</v>
      </c>
      <c r="B1255" s="49" t="str">
        <f>IFERROR(__xludf.DUMMYFUNCTION("""COMPUTED_VALUE"""),"5 hunger")</f>
        <v>5 hunger</v>
      </c>
      <c r="C1255" s="49" t="str">
        <f>IFERROR(__xludf.DUMMYFUNCTION("""COMPUTED_VALUE"""),"Crop")</f>
        <v>Crop</v>
      </c>
      <c r="D1255" s="49"/>
      <c r="E1255" s="49"/>
      <c r="F1255" s="49"/>
      <c r="G1255" s="49"/>
      <c r="H1255" s="49"/>
      <c r="I1255" s="49"/>
      <c r="J1255" s="49"/>
      <c r="K1255" s="49"/>
      <c r="L1255" s="49"/>
      <c r="M1255" s="49"/>
      <c r="N1255" s="49"/>
      <c r="O1255" s="49"/>
      <c r="P1255" s="49"/>
      <c r="Q1255" s="49"/>
      <c r="R1255" s="49"/>
      <c r="S1255" s="49"/>
      <c r="T1255" s="49"/>
      <c r="U1255" s="49"/>
      <c r="V1255" s="49"/>
      <c r="W1255" s="49"/>
      <c r="X1255" s="49"/>
      <c r="Y1255" s="49"/>
      <c r="Z1255" s="49"/>
    </row>
    <row r="1256">
      <c r="A1256" s="49" t="str">
        <f>IFERROR(__xludf.DUMMYFUNCTION("""COMPUTED_VALUE"""),"Onion")</f>
        <v>Onion</v>
      </c>
      <c r="B1256" s="49" t="str">
        <f>IFERROR(__xludf.DUMMYFUNCTION("""COMPUTED_VALUE"""),"5 hunger, 50% Blindness 3 during the next battle.")</f>
        <v>5 hunger, 50% Blindness 3 during the next battle.</v>
      </c>
      <c r="C1256" s="49" t="str">
        <f>IFERROR(__xludf.DUMMYFUNCTION("""COMPUTED_VALUE"""),"Crop")</f>
        <v>Crop</v>
      </c>
      <c r="D1256" s="49"/>
      <c r="E1256" s="49"/>
      <c r="F1256" s="49"/>
      <c r="G1256" s="49"/>
      <c r="H1256" s="49"/>
      <c r="I1256" s="49"/>
      <c r="J1256" s="49"/>
      <c r="K1256" s="49"/>
      <c r="L1256" s="49"/>
      <c r="M1256" s="49"/>
      <c r="N1256" s="49"/>
      <c r="O1256" s="49"/>
      <c r="P1256" s="49"/>
      <c r="Q1256" s="49"/>
      <c r="R1256" s="49"/>
      <c r="S1256" s="49"/>
      <c r="T1256" s="49"/>
      <c r="U1256" s="49"/>
      <c r="V1256" s="49"/>
      <c r="W1256" s="49"/>
      <c r="X1256" s="49"/>
      <c r="Y1256" s="49"/>
      <c r="Z1256" s="49"/>
    </row>
    <row r="1257">
      <c r="A1257" s="49" t="str">
        <f>IFERROR(__xludf.DUMMYFUNCTION("""COMPUTED_VALUE"""),"Lettuce")</f>
        <v>Lettuce</v>
      </c>
      <c r="B1257" s="49" t="str">
        <f>IFERROR(__xludf.DUMMYFUNCTION("""COMPUTED_VALUE"""),"5 hunger")</f>
        <v>5 hunger</v>
      </c>
      <c r="C1257" s="49" t="str">
        <f>IFERROR(__xludf.DUMMYFUNCTION("""COMPUTED_VALUE"""),"Crop")</f>
        <v>Crop</v>
      </c>
      <c r="D1257" s="49"/>
      <c r="E1257" s="49"/>
      <c r="F1257" s="49"/>
      <c r="G1257" s="49"/>
      <c r="H1257" s="49"/>
      <c r="I1257" s="49"/>
      <c r="J1257" s="49"/>
      <c r="K1257" s="49"/>
      <c r="L1257" s="49"/>
      <c r="M1257" s="49"/>
      <c r="N1257" s="49"/>
      <c r="O1257" s="49"/>
      <c r="P1257" s="49"/>
      <c r="Q1257" s="49"/>
      <c r="R1257" s="49"/>
      <c r="S1257" s="49"/>
      <c r="T1257" s="49"/>
      <c r="U1257" s="49"/>
      <c r="V1257" s="49"/>
      <c r="W1257" s="49"/>
      <c r="X1257" s="49"/>
      <c r="Y1257" s="49"/>
      <c r="Z1257" s="49"/>
    </row>
    <row r="1258">
      <c r="A1258" s="49" t="str">
        <f>IFERROR(__xludf.DUMMYFUNCTION("""COMPUTED_VALUE"""),"Radish")</f>
        <v>Radish</v>
      </c>
      <c r="B1258" s="49" t="str">
        <f>IFERROR(__xludf.DUMMYFUNCTION("""COMPUTED_VALUE"""),"5 hunger")</f>
        <v>5 hunger</v>
      </c>
      <c r="C1258" s="49" t="str">
        <f>IFERROR(__xludf.DUMMYFUNCTION("""COMPUTED_VALUE"""),"Crop")</f>
        <v>Crop</v>
      </c>
      <c r="D1258" s="49"/>
      <c r="E1258" s="49"/>
      <c r="F1258" s="49"/>
      <c r="G1258" s="49"/>
      <c r="H1258" s="49"/>
      <c r="I1258" s="49"/>
      <c r="J1258" s="49"/>
      <c r="K1258" s="49"/>
      <c r="L1258" s="49"/>
      <c r="M1258" s="49"/>
      <c r="N1258" s="49"/>
      <c r="O1258" s="49"/>
      <c r="P1258" s="49"/>
      <c r="Q1258" s="49"/>
      <c r="R1258" s="49"/>
      <c r="S1258" s="49"/>
      <c r="T1258" s="49"/>
      <c r="U1258" s="49"/>
      <c r="V1258" s="49"/>
      <c r="W1258" s="49"/>
      <c r="X1258" s="49"/>
      <c r="Y1258" s="49"/>
      <c r="Z1258" s="49"/>
    </row>
    <row r="1259">
      <c r="A1259" s="49" t="str">
        <f>IFERROR(__xludf.DUMMYFUNCTION("""COMPUTED_VALUE"""),"Peas")</f>
        <v>Peas</v>
      </c>
      <c r="B1259" s="49" t="str">
        <f>IFERROR(__xludf.DUMMYFUNCTION("""COMPUTED_VALUE"""),"5 hunger")</f>
        <v>5 hunger</v>
      </c>
      <c r="C1259" s="49" t="str">
        <f>IFERROR(__xludf.DUMMYFUNCTION("""COMPUTED_VALUE"""),"Crop")</f>
        <v>Crop</v>
      </c>
      <c r="D1259" s="49"/>
      <c r="E1259" s="49"/>
      <c r="F1259" s="49"/>
      <c r="G1259" s="49"/>
      <c r="H1259" s="49"/>
      <c r="I1259" s="49"/>
      <c r="J1259" s="49"/>
      <c r="K1259" s="49"/>
      <c r="L1259" s="49"/>
      <c r="M1259" s="49"/>
      <c r="N1259" s="49"/>
      <c r="O1259" s="49"/>
      <c r="P1259" s="49"/>
      <c r="Q1259" s="49"/>
      <c r="R1259" s="49"/>
      <c r="S1259" s="49"/>
      <c r="T1259" s="49"/>
      <c r="U1259" s="49"/>
      <c r="V1259" s="49"/>
      <c r="W1259" s="49"/>
      <c r="X1259" s="49"/>
      <c r="Y1259" s="49"/>
      <c r="Z1259" s="49"/>
    </row>
    <row r="1260">
      <c r="A1260" s="49" t="str">
        <f>IFERROR(__xludf.DUMMYFUNCTION("""COMPUTED_VALUE"""),"Asparagus")</f>
        <v>Asparagus</v>
      </c>
      <c r="B1260" s="49" t="str">
        <f>IFERROR(__xludf.DUMMYFUNCTION("""COMPUTED_VALUE"""),"5 hunger")</f>
        <v>5 hunger</v>
      </c>
      <c r="C1260" s="49" t="str">
        <f>IFERROR(__xludf.DUMMYFUNCTION("""COMPUTED_VALUE"""),"Crop")</f>
        <v>Crop</v>
      </c>
      <c r="D1260" s="49"/>
      <c r="E1260" s="49"/>
      <c r="F1260" s="49"/>
      <c r="G1260" s="49"/>
      <c r="H1260" s="49"/>
      <c r="I1260" s="49"/>
      <c r="J1260" s="49"/>
      <c r="K1260" s="49"/>
      <c r="L1260" s="49"/>
      <c r="M1260" s="49"/>
      <c r="N1260" s="49"/>
      <c r="O1260" s="49"/>
      <c r="P1260" s="49"/>
      <c r="Q1260" s="49"/>
      <c r="R1260" s="49"/>
      <c r="S1260" s="49"/>
      <c r="T1260" s="49"/>
      <c r="U1260" s="49"/>
      <c r="V1260" s="49"/>
      <c r="W1260" s="49"/>
      <c r="X1260" s="49"/>
      <c r="Y1260" s="49"/>
      <c r="Z1260" s="49"/>
    </row>
    <row r="1261">
      <c r="A1261" s="49" t="str">
        <f>IFERROR(__xludf.DUMMYFUNCTION("""COMPUTED_VALUE"""),"Celery")</f>
        <v>Celery</v>
      </c>
      <c r="B1261" s="49" t="str">
        <f>IFERROR(__xludf.DUMMYFUNCTION("""COMPUTED_VALUE"""),"5 hunger")</f>
        <v>5 hunger</v>
      </c>
      <c r="C1261" s="49" t="str">
        <f>IFERROR(__xludf.DUMMYFUNCTION("""COMPUTED_VALUE"""),"Crop")</f>
        <v>Crop</v>
      </c>
      <c r="D1261" s="49"/>
      <c r="E1261" s="49"/>
      <c r="F1261" s="49"/>
      <c r="G1261" s="49"/>
      <c r="H1261" s="49"/>
      <c r="I1261" s="49"/>
      <c r="J1261" s="49"/>
      <c r="K1261" s="49"/>
      <c r="L1261" s="49"/>
      <c r="M1261" s="49"/>
      <c r="N1261" s="49"/>
      <c r="O1261" s="49"/>
      <c r="P1261" s="49"/>
      <c r="Q1261" s="49"/>
      <c r="R1261" s="49"/>
      <c r="S1261" s="49"/>
      <c r="T1261" s="49"/>
      <c r="U1261" s="49"/>
      <c r="V1261" s="49"/>
      <c r="W1261" s="49"/>
      <c r="X1261" s="49"/>
      <c r="Y1261" s="49"/>
      <c r="Z1261" s="49"/>
    </row>
    <row r="1262">
      <c r="A1262" s="49" t="str">
        <f>IFERROR(__xludf.DUMMYFUNCTION("""COMPUTED_VALUE"""),"Green Pepper")</f>
        <v>Green Pepper</v>
      </c>
      <c r="B1262" s="49" t="str">
        <f>IFERROR(__xludf.DUMMYFUNCTION("""COMPUTED_VALUE"""),"5 hunger")</f>
        <v>5 hunger</v>
      </c>
      <c r="C1262" s="49" t="str">
        <f>IFERROR(__xludf.DUMMYFUNCTION("""COMPUTED_VALUE"""),"Crop")</f>
        <v>Crop</v>
      </c>
      <c r="D1262" s="49"/>
      <c r="E1262" s="49"/>
      <c r="F1262" s="49"/>
      <c r="G1262" s="49"/>
      <c r="H1262" s="49"/>
      <c r="I1262" s="49"/>
      <c r="J1262" s="49"/>
      <c r="K1262" s="49"/>
      <c r="L1262" s="49"/>
      <c r="M1262" s="49"/>
      <c r="N1262" s="49"/>
      <c r="O1262" s="49"/>
      <c r="P1262" s="49"/>
      <c r="Q1262" s="49"/>
      <c r="R1262" s="49"/>
      <c r="S1262" s="49"/>
      <c r="T1262" s="49"/>
      <c r="U1262" s="49"/>
      <c r="V1262" s="49"/>
      <c r="W1262" s="49"/>
      <c r="X1262" s="49"/>
      <c r="Y1262" s="49"/>
      <c r="Z1262" s="49"/>
    </row>
    <row r="1263">
      <c r="A1263" s="49" t="str">
        <f>IFERROR(__xludf.DUMMYFUNCTION("""COMPUTED_VALUE"""),"French Beans")</f>
        <v>French Beans</v>
      </c>
      <c r="B1263" s="49" t="str">
        <f>IFERROR(__xludf.DUMMYFUNCTION("""COMPUTED_VALUE"""),"5 hunger")</f>
        <v>5 hunger</v>
      </c>
      <c r="C1263" s="49" t="str">
        <f>IFERROR(__xludf.DUMMYFUNCTION("""COMPUTED_VALUE"""),"Crop")</f>
        <v>Crop</v>
      </c>
      <c r="D1263" s="49"/>
      <c r="E1263" s="49"/>
      <c r="F1263" s="49"/>
      <c r="G1263" s="49"/>
      <c r="H1263" s="49"/>
      <c r="I1263" s="49"/>
      <c r="J1263" s="49"/>
      <c r="K1263" s="49"/>
      <c r="L1263" s="49"/>
      <c r="M1263" s="49"/>
      <c r="N1263" s="49"/>
      <c r="O1263" s="49"/>
      <c r="P1263" s="49"/>
      <c r="Q1263" s="49"/>
      <c r="R1263" s="49"/>
      <c r="S1263" s="49"/>
      <c r="T1263" s="49"/>
      <c r="U1263" s="49"/>
      <c r="V1263" s="49"/>
      <c r="W1263" s="49"/>
      <c r="X1263" s="49"/>
      <c r="Y1263" s="49"/>
      <c r="Z1263" s="49"/>
    </row>
    <row r="1264">
      <c r="A1264" s="49" t="str">
        <f>IFERROR(__xludf.DUMMYFUNCTION("""COMPUTED_VALUE"""),"Spinach")</f>
        <v>Spinach</v>
      </c>
      <c r="B1264" s="49" t="str">
        <f>IFERROR(__xludf.DUMMYFUNCTION("""COMPUTED_VALUE"""),"5 hunger")</f>
        <v>5 hunger</v>
      </c>
      <c r="C1264" s="49" t="str">
        <f>IFERROR(__xludf.DUMMYFUNCTION("""COMPUTED_VALUE"""),"Crop")</f>
        <v>Crop</v>
      </c>
      <c r="D1264" s="49"/>
      <c r="E1264" s="49"/>
      <c r="F1264" s="49"/>
      <c r="G1264" s="49"/>
      <c r="H1264" s="49"/>
      <c r="I1264" s="49"/>
      <c r="J1264" s="49"/>
      <c r="K1264" s="49"/>
      <c r="L1264" s="49"/>
      <c r="M1264" s="49"/>
      <c r="N1264" s="49"/>
      <c r="O1264" s="49"/>
      <c r="P1264" s="49"/>
      <c r="Q1264" s="49"/>
      <c r="R1264" s="49"/>
      <c r="S1264" s="49"/>
      <c r="T1264" s="49"/>
      <c r="U1264" s="49"/>
      <c r="V1264" s="49"/>
      <c r="W1264" s="49"/>
      <c r="X1264" s="49"/>
      <c r="Y1264" s="49"/>
      <c r="Z1264" s="49"/>
    </row>
    <row r="1265">
      <c r="A1265" s="49" t="str">
        <f>IFERROR(__xludf.DUMMYFUNCTION("""COMPUTED_VALUE"""),"Beetroot")</f>
        <v>Beetroot</v>
      </c>
      <c r="B1265" s="49" t="str">
        <f>IFERROR(__xludf.DUMMYFUNCTION("""COMPUTED_VALUE"""),"5 hunger")</f>
        <v>5 hunger</v>
      </c>
      <c r="C1265" s="49" t="str">
        <f>IFERROR(__xludf.DUMMYFUNCTION("""COMPUTED_VALUE"""),"Crop")</f>
        <v>Crop</v>
      </c>
      <c r="D1265" s="49"/>
      <c r="E1265" s="49"/>
      <c r="F1265" s="49"/>
      <c r="G1265" s="49"/>
      <c r="H1265" s="49"/>
      <c r="I1265" s="49"/>
      <c r="J1265" s="49"/>
      <c r="K1265" s="49"/>
      <c r="L1265" s="49"/>
      <c r="M1265" s="49"/>
      <c r="N1265" s="49"/>
      <c r="O1265" s="49"/>
      <c r="P1265" s="49"/>
      <c r="Q1265" s="49"/>
      <c r="R1265" s="49"/>
      <c r="S1265" s="49"/>
      <c r="T1265" s="49"/>
      <c r="U1265" s="49"/>
      <c r="V1265" s="49"/>
      <c r="W1265" s="49"/>
      <c r="X1265" s="49"/>
      <c r="Y1265" s="49"/>
      <c r="Z1265" s="49"/>
    </row>
    <row r="1266">
      <c r="A1266" s="49" t="str">
        <f>IFERROR(__xludf.DUMMYFUNCTION("""COMPUTED_VALUE"""),"Red Chili Peppers ")</f>
        <v>Red Chili Peppers </v>
      </c>
      <c r="B1266" s="49" t="str">
        <f>IFERROR(__xludf.DUMMYFUNCTION("""COMPUTED_VALUE"""),"5 hunger")</f>
        <v>5 hunger</v>
      </c>
      <c r="C1266" s="49" t="str">
        <f>IFERROR(__xludf.DUMMYFUNCTION("""COMPUTED_VALUE"""),"Crop")</f>
        <v>Crop</v>
      </c>
      <c r="D1266" s="49"/>
      <c r="E1266" s="49"/>
      <c r="F1266" s="49"/>
      <c r="G1266" s="49"/>
      <c r="H1266" s="49"/>
      <c r="I1266" s="49"/>
      <c r="J1266" s="49"/>
      <c r="K1266" s="49"/>
      <c r="L1266" s="49"/>
      <c r="M1266" s="49"/>
      <c r="N1266" s="49"/>
      <c r="O1266" s="49"/>
      <c r="P1266" s="49"/>
      <c r="Q1266" s="49"/>
      <c r="R1266" s="49"/>
      <c r="S1266" s="49"/>
      <c r="T1266" s="49"/>
      <c r="U1266" s="49"/>
      <c r="V1266" s="49"/>
      <c r="W1266" s="49"/>
      <c r="X1266" s="49"/>
      <c r="Y1266" s="49"/>
      <c r="Z1266" s="49"/>
    </row>
    <row r="1267">
      <c r="A1267" s="49" t="str">
        <f>IFERROR(__xludf.DUMMYFUNCTION("""COMPUTED_VALUE"""),"Crystal Apple")</f>
        <v>Crystal Apple</v>
      </c>
      <c r="B1267" s="49" t="str">
        <f>IFERROR(__xludf.DUMMYFUNCTION("""COMPUTED_VALUE"""),"When consumed X2 additional Damage towards the users weapons. (Can only use 1 per battle)")</f>
        <v>When consumed X2 additional Damage towards the users weapons. (Can only use 1 per battle)</v>
      </c>
      <c r="C1267" s="49" t="str">
        <f>IFERROR(__xludf.DUMMYFUNCTION("""COMPUTED_VALUE"""),"Item")</f>
        <v>Item</v>
      </c>
      <c r="D1267" s="49"/>
      <c r="E1267" s="49"/>
      <c r="F1267" s="49"/>
      <c r="G1267" s="49"/>
      <c r="H1267" s="49"/>
      <c r="I1267" s="49"/>
      <c r="J1267" s="49"/>
      <c r="K1267" s="49"/>
      <c r="L1267" s="49"/>
      <c r="M1267" s="49"/>
      <c r="N1267" s="49"/>
      <c r="O1267" s="49"/>
      <c r="P1267" s="49"/>
      <c r="Q1267" s="49"/>
      <c r="R1267" s="49"/>
      <c r="S1267" s="49"/>
      <c r="T1267" s="49"/>
      <c r="U1267" s="49"/>
      <c r="V1267" s="49"/>
      <c r="W1267" s="49"/>
      <c r="X1267" s="49"/>
      <c r="Y1267" s="49"/>
      <c r="Z1267" s="49"/>
    </row>
    <row r="1268">
      <c r="A1268" s="49" t="str">
        <f>IFERROR(__xludf.DUMMYFUNCTION("""COMPUTED_VALUE"""),"Dark Crystal Shard")</f>
        <v>Dark Crystal Shard</v>
      </c>
      <c r="B1268" s="49" t="str">
        <f>IFERROR(__xludf.DUMMYFUNCTION("""COMPUTED_VALUE"""),"Quest item, Crafting Material, roll a d20 to see how many you get if this is a loot drop.")</f>
        <v>Quest item, Crafting Material, roll a d20 to see how many you get if this is a loot drop.</v>
      </c>
      <c r="C1268" s="49" t="str">
        <f>IFERROR(__xludf.DUMMYFUNCTION("""COMPUTED_VALUE"""),"Item")</f>
        <v>Item</v>
      </c>
      <c r="D1268" s="49"/>
      <c r="E1268" s="49"/>
      <c r="F1268" s="49"/>
      <c r="G1268" s="49"/>
      <c r="H1268" s="49"/>
      <c r="I1268" s="49"/>
      <c r="J1268" s="49"/>
      <c r="K1268" s="49"/>
      <c r="L1268" s="49"/>
      <c r="M1268" s="49"/>
      <c r="N1268" s="49"/>
      <c r="O1268" s="49"/>
      <c r="P1268" s="49"/>
      <c r="Q1268" s="49"/>
      <c r="R1268" s="49"/>
      <c r="S1268" s="49"/>
      <c r="T1268" s="49"/>
      <c r="U1268" s="49"/>
      <c r="V1268" s="49"/>
      <c r="W1268" s="49"/>
      <c r="X1268" s="49"/>
      <c r="Y1268" s="49"/>
      <c r="Z1268" s="49"/>
    </row>
    <row r="1269">
      <c r="A1269" s="49" t="str">
        <f>IFERROR(__xludf.DUMMYFUNCTION("""COMPUTED_VALUE"""),"Small Fuel Canister")</f>
        <v>Small Fuel Canister</v>
      </c>
      <c r="B1269" s="49" t="str">
        <f>IFERROR(__xludf.DUMMYFUNCTION("""COMPUTED_VALUE"""),"Restores 100 Fuel")</f>
        <v>Restores 100 Fuel</v>
      </c>
      <c r="C1269" s="49" t="str">
        <f>IFERROR(__xludf.DUMMYFUNCTION("""COMPUTED_VALUE"""),"Item")</f>
        <v>Item</v>
      </c>
      <c r="D1269" s="49"/>
      <c r="E1269" s="49"/>
      <c r="F1269" s="49"/>
      <c r="G1269" s="49"/>
      <c r="H1269" s="49"/>
      <c r="I1269" s="49"/>
      <c r="J1269" s="49"/>
      <c r="K1269" s="49"/>
      <c r="L1269" s="49"/>
      <c r="M1269" s="49"/>
      <c r="N1269" s="49"/>
      <c r="O1269" s="49"/>
      <c r="P1269" s="49"/>
      <c r="Q1269" s="49"/>
      <c r="R1269" s="49"/>
      <c r="S1269" s="49"/>
      <c r="T1269" s="49"/>
      <c r="U1269" s="49"/>
      <c r="V1269" s="49"/>
      <c r="W1269" s="49"/>
      <c r="X1269" s="49"/>
      <c r="Y1269" s="49"/>
      <c r="Z1269" s="49"/>
    </row>
    <row r="1270">
      <c r="A1270" s="49" t="str">
        <f>IFERROR(__xludf.DUMMYFUNCTION("""COMPUTED_VALUE"""),"Medium Fuel Canister")</f>
        <v>Medium Fuel Canister</v>
      </c>
      <c r="B1270" s="49" t="str">
        <f>IFERROR(__xludf.DUMMYFUNCTION("""COMPUTED_VALUE"""),"Restores 250 Fuel")</f>
        <v>Restores 250 Fuel</v>
      </c>
      <c r="C1270" s="49" t="str">
        <f>IFERROR(__xludf.DUMMYFUNCTION("""COMPUTED_VALUE"""),"Item")</f>
        <v>Item</v>
      </c>
      <c r="D1270" s="49"/>
      <c r="E1270" s="49"/>
      <c r="F1270" s="49"/>
      <c r="G1270" s="49"/>
      <c r="H1270" s="49"/>
      <c r="I1270" s="49"/>
      <c r="J1270" s="49"/>
      <c r="K1270" s="49"/>
      <c r="L1270" s="49"/>
      <c r="M1270" s="49"/>
      <c r="N1270" s="49"/>
      <c r="O1270" s="49"/>
      <c r="P1270" s="49"/>
      <c r="Q1270" s="49"/>
      <c r="R1270" s="49"/>
      <c r="S1270" s="49"/>
      <c r="T1270" s="49"/>
      <c r="U1270" s="49"/>
      <c r="V1270" s="49"/>
      <c r="W1270" s="49"/>
      <c r="X1270" s="49"/>
      <c r="Y1270" s="49"/>
      <c r="Z1270" s="49"/>
    </row>
    <row r="1271">
      <c r="A1271" s="49" t="str">
        <f>IFERROR(__xludf.DUMMYFUNCTION("""COMPUTED_VALUE"""),"Large Fuel Canister")</f>
        <v>Large Fuel Canister</v>
      </c>
      <c r="B1271" s="49" t="str">
        <f>IFERROR(__xludf.DUMMYFUNCTION("""COMPUTED_VALUE"""),"Restores 500 Fuel")</f>
        <v>Restores 500 Fuel</v>
      </c>
      <c r="C1271" s="49" t="str">
        <f>IFERROR(__xludf.DUMMYFUNCTION("""COMPUTED_VALUE"""),"Item")</f>
        <v>Item</v>
      </c>
      <c r="D1271" s="49"/>
      <c r="E1271" s="49"/>
      <c r="F1271" s="49"/>
      <c r="G1271" s="49"/>
      <c r="H1271" s="49"/>
      <c r="I1271" s="49"/>
      <c r="J1271" s="49"/>
      <c r="K1271" s="49"/>
      <c r="L1271" s="49"/>
      <c r="M1271" s="49"/>
      <c r="N1271" s="49"/>
      <c r="O1271" s="49"/>
      <c r="P1271" s="49"/>
      <c r="Q1271" s="49"/>
      <c r="R1271" s="49"/>
      <c r="S1271" s="49"/>
      <c r="T1271" s="49"/>
      <c r="U1271" s="49"/>
      <c r="V1271" s="49"/>
      <c r="W1271" s="49"/>
      <c r="X1271" s="49"/>
      <c r="Y1271" s="49"/>
      <c r="Z1271" s="49"/>
    </row>
    <row r="1272">
      <c r="A1272" s="49" t="str">
        <f>IFERROR(__xludf.DUMMYFUNCTION("""COMPUTED_VALUE"""),"Letter from the Lord of Spira")</f>
        <v>Letter from the Lord of Spira</v>
      </c>
      <c r="B1272" s="49" t="str">
        <f>IFERROR(__xludf.DUMMYFUNCTION("""COMPUTED_VALUE"""),"Absolved from all crimes whitin The Land of Spira. Can only be used once, Cannot be duplicated")</f>
        <v>Absolved from all crimes whitin The Land of Spira. Can only be used once, Cannot be duplicated</v>
      </c>
      <c r="C1272" s="49" t="str">
        <f>IFERROR(__xludf.DUMMYFUNCTION("""COMPUTED_VALUE"""),"Item")</f>
        <v>Item</v>
      </c>
      <c r="D1272" s="49"/>
      <c r="E1272" s="49"/>
      <c r="F1272" s="49"/>
      <c r="G1272" s="49"/>
      <c r="H1272" s="49"/>
      <c r="I1272" s="49"/>
      <c r="J1272" s="49"/>
      <c r="K1272" s="49"/>
      <c r="L1272" s="49"/>
      <c r="M1272" s="49"/>
      <c r="N1272" s="49"/>
      <c r="O1272" s="49"/>
      <c r="P1272" s="49"/>
      <c r="Q1272" s="49"/>
      <c r="R1272" s="49"/>
      <c r="S1272" s="49"/>
      <c r="T1272" s="49"/>
      <c r="U1272" s="49"/>
      <c r="V1272" s="49"/>
      <c r="W1272" s="49"/>
      <c r="X1272" s="49"/>
      <c r="Y1272" s="49"/>
      <c r="Z1272" s="49"/>
    </row>
    <row r="1273">
      <c r="A1273" s="49" t="str">
        <f>IFERROR(__xludf.DUMMYFUNCTION("""COMPUTED_VALUE"""),"Scroll of Bad Dreams")</f>
        <v>Scroll of Bad Dreams</v>
      </c>
      <c r="B1273" s="49"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1273" s="49" t="str">
        <f>IFERROR(__xludf.DUMMYFUNCTION("""COMPUTED_VALUE"""),"Item")</f>
        <v>Item</v>
      </c>
      <c r="D1273" s="49"/>
      <c r="E1273" s="49"/>
      <c r="F1273" s="49"/>
      <c r="G1273" s="49"/>
      <c r="H1273" s="49"/>
      <c r="I1273" s="49"/>
      <c r="J1273" s="49"/>
      <c r="K1273" s="49"/>
      <c r="L1273" s="49"/>
      <c r="M1273" s="49"/>
      <c r="N1273" s="49"/>
      <c r="O1273" s="49"/>
      <c r="P1273" s="49"/>
      <c r="Q1273" s="49"/>
      <c r="R1273" s="49"/>
      <c r="S1273" s="49"/>
      <c r="T1273" s="49"/>
      <c r="U1273" s="49"/>
      <c r="V1273" s="49"/>
      <c r="W1273" s="49"/>
      <c r="X1273" s="49"/>
      <c r="Y1273" s="49"/>
      <c r="Z1273" s="49"/>
    </row>
    <row r="1274">
      <c r="A1274" s="49" t="str">
        <f>IFERROR(__xludf.DUMMYFUNCTION("""COMPUTED_VALUE"""),"A Jar of Blood")</f>
        <v>A Jar of Blood</v>
      </c>
      <c r="B1274" s="49" t="str">
        <f>IFERROR(__xludf.DUMMYFUNCTION("""COMPUTED_VALUE"""),"Crafting Material, roll a d20 to see how many you get if this is a loot drop.")</f>
        <v>Crafting Material, roll a d20 to see how many you get if this is a loot drop.</v>
      </c>
      <c r="C1274" s="49" t="str">
        <f>IFERROR(__xludf.DUMMYFUNCTION("""COMPUTED_VALUE"""),"Item")</f>
        <v>Item</v>
      </c>
      <c r="D1274" s="49"/>
      <c r="E1274" s="49"/>
      <c r="F1274" s="49"/>
      <c r="G1274" s="49"/>
      <c r="H1274" s="49"/>
      <c r="I1274" s="49"/>
      <c r="J1274" s="49"/>
      <c r="K1274" s="49"/>
      <c r="L1274" s="49"/>
      <c r="M1274" s="49"/>
      <c r="N1274" s="49"/>
      <c r="O1274" s="49"/>
      <c r="P1274" s="49"/>
      <c r="Q1274" s="49"/>
      <c r="R1274" s="49"/>
      <c r="S1274" s="49"/>
      <c r="T1274" s="49"/>
      <c r="U1274" s="49"/>
      <c r="V1274" s="49"/>
      <c r="W1274" s="49"/>
      <c r="X1274" s="49"/>
      <c r="Y1274" s="49"/>
      <c r="Z1274" s="49"/>
    </row>
    <row r="1275">
      <c r="A1275" s="49" t="str">
        <f>IFERROR(__xludf.DUMMYFUNCTION("""COMPUTED_VALUE"""),"Demon Blood")</f>
        <v>Demon Blood</v>
      </c>
      <c r="B1275" s="49" t="str">
        <f>IFERROR(__xludf.DUMMYFUNCTION("""COMPUTED_VALUE"""),"Crafting Material, roll a d20 to see how many you get if this is a loot drop.")</f>
        <v>Crafting Material, roll a d20 to see how many you get if this is a loot drop.</v>
      </c>
      <c r="C1275" s="49" t="str">
        <f>IFERROR(__xludf.DUMMYFUNCTION("""COMPUTED_VALUE"""),"Item")</f>
        <v>Item</v>
      </c>
      <c r="D1275" s="49"/>
      <c r="E1275" s="49"/>
      <c r="F1275" s="49"/>
      <c r="G1275" s="49"/>
      <c r="H1275" s="49"/>
      <c r="I1275" s="49"/>
      <c r="J1275" s="49"/>
      <c r="K1275" s="49"/>
      <c r="L1275" s="49"/>
      <c r="M1275" s="49"/>
      <c r="N1275" s="49"/>
      <c r="O1275" s="49"/>
      <c r="P1275" s="49"/>
      <c r="Q1275" s="49"/>
      <c r="R1275" s="49"/>
      <c r="S1275" s="49"/>
      <c r="T1275" s="49"/>
      <c r="U1275" s="49"/>
      <c r="V1275" s="49"/>
      <c r="W1275" s="49"/>
      <c r="X1275" s="49"/>
      <c r="Y1275" s="49"/>
      <c r="Z1275" s="49"/>
    </row>
    <row r="1276">
      <c r="A1276" s="49" t="str">
        <f>IFERROR(__xludf.DUMMYFUNCTION("""COMPUTED_VALUE"""),"Demon Skull")</f>
        <v>Demon Skull</v>
      </c>
      <c r="B1276" s="49" t="str">
        <f>IFERROR(__xludf.DUMMYFUNCTION("""COMPUTED_VALUE"""),"Crafting Material, roll a d20 to see how many you get if this is a loot drop.")</f>
        <v>Crafting Material, roll a d20 to see how many you get if this is a loot drop.</v>
      </c>
      <c r="C1276" s="49" t="str">
        <f>IFERROR(__xludf.DUMMYFUNCTION("""COMPUTED_VALUE"""),"Item")</f>
        <v>Item</v>
      </c>
      <c r="D1276" s="49"/>
      <c r="E1276" s="49"/>
      <c r="F1276" s="49"/>
      <c r="G1276" s="49"/>
      <c r="H1276" s="49"/>
      <c r="I1276" s="49"/>
      <c r="J1276" s="49"/>
      <c r="K1276" s="49"/>
      <c r="L1276" s="49"/>
      <c r="M1276" s="49"/>
      <c r="N1276" s="49"/>
      <c r="O1276" s="49"/>
      <c r="P1276" s="49"/>
      <c r="Q1276" s="49"/>
      <c r="R1276" s="49"/>
      <c r="S1276" s="49"/>
      <c r="T1276" s="49"/>
      <c r="U1276" s="49"/>
      <c r="V1276" s="49"/>
      <c r="W1276" s="49"/>
      <c r="X1276" s="49"/>
      <c r="Y1276" s="49"/>
      <c r="Z1276" s="49"/>
    </row>
    <row r="1277">
      <c r="A1277" s="49" t="str">
        <f>IFERROR(__xludf.DUMMYFUNCTION("""COMPUTED_VALUE"""),"Volcanic Teeth")</f>
        <v>Volcanic Teeth</v>
      </c>
      <c r="B1277" s="49" t="str">
        <f>IFERROR(__xludf.DUMMYFUNCTION("""COMPUTED_VALUE"""),"Crafting Material, roll a d20 to see how many you get if this is a loot drop.")</f>
        <v>Crafting Material, roll a d20 to see how many you get if this is a loot drop.</v>
      </c>
      <c r="C1277" s="49" t="str">
        <f>IFERROR(__xludf.DUMMYFUNCTION("""COMPUTED_VALUE"""),"Item")</f>
        <v>Item</v>
      </c>
      <c r="D1277" s="49"/>
      <c r="E1277" s="49"/>
      <c r="F1277" s="49"/>
      <c r="G1277" s="49"/>
      <c r="H1277" s="49"/>
      <c r="I1277" s="49"/>
      <c r="J1277" s="49"/>
      <c r="K1277" s="49"/>
      <c r="L1277" s="49"/>
      <c r="M1277" s="49"/>
      <c r="N1277" s="49"/>
      <c r="O1277" s="49"/>
      <c r="P1277" s="49"/>
      <c r="Q1277" s="49"/>
      <c r="R1277" s="49"/>
      <c r="S1277" s="49"/>
      <c r="T1277" s="49"/>
      <c r="U1277" s="49"/>
      <c r="V1277" s="49"/>
      <c r="W1277" s="49"/>
      <c r="X1277" s="49"/>
      <c r="Y1277" s="49"/>
      <c r="Z1277" s="49"/>
    </row>
    <row r="1278">
      <c r="A1278" s="49" t="str">
        <f>IFERROR(__xludf.DUMMYFUNCTION("""COMPUTED_VALUE"""),"Volcanic Serpent Teeth ")</f>
        <v>Volcanic Serpent Teeth </v>
      </c>
      <c r="B1278" s="49" t="str">
        <f>IFERROR(__xludf.DUMMYFUNCTION("""COMPUTED_VALUE"""),"Crafting Material, roll a d20 to see how many you get if this is a loot drop.")</f>
        <v>Crafting Material, roll a d20 to see how many you get if this is a loot drop.</v>
      </c>
      <c r="C1278" s="49" t="str">
        <f>IFERROR(__xludf.DUMMYFUNCTION("""COMPUTED_VALUE"""),"Item")</f>
        <v>Item</v>
      </c>
      <c r="D1278" s="49"/>
      <c r="E1278" s="49"/>
      <c r="F1278" s="49"/>
      <c r="G1278" s="49"/>
      <c r="H1278" s="49"/>
      <c r="I1278" s="49"/>
      <c r="J1278" s="49"/>
      <c r="K1278" s="49"/>
      <c r="L1278" s="49"/>
      <c r="M1278" s="49"/>
      <c r="N1278" s="49"/>
      <c r="O1278" s="49"/>
      <c r="P1278" s="49"/>
      <c r="Q1278" s="49"/>
      <c r="R1278" s="49"/>
      <c r="S1278" s="49"/>
      <c r="T1278" s="49"/>
      <c r="U1278" s="49"/>
      <c r="V1278" s="49"/>
      <c r="W1278" s="49"/>
      <c r="X1278" s="49"/>
      <c r="Y1278" s="49"/>
      <c r="Z1278" s="49"/>
    </row>
    <row r="1279">
      <c r="A1279" s="49" t="str">
        <f>IFERROR(__xludf.DUMMYFUNCTION("""COMPUTED_VALUE"""),"Volcanic Serpent Scales")</f>
        <v>Volcanic Serpent Scales</v>
      </c>
      <c r="B1279" s="49" t="str">
        <f>IFERROR(__xludf.DUMMYFUNCTION("""COMPUTED_VALUE"""),"Crafting Material, roll a d20 to see how many you get if this is a loot drop.")</f>
        <v>Crafting Material, roll a d20 to see how many you get if this is a loot drop.</v>
      </c>
      <c r="C1279" s="49" t="str">
        <f>IFERROR(__xludf.DUMMYFUNCTION("""COMPUTED_VALUE"""),"Item")</f>
        <v>Item</v>
      </c>
      <c r="D1279" s="49"/>
      <c r="E1279" s="49"/>
      <c r="F1279" s="49"/>
      <c r="G1279" s="49"/>
      <c r="H1279" s="49"/>
      <c r="I1279" s="49"/>
      <c r="J1279" s="49"/>
      <c r="K1279" s="49"/>
      <c r="L1279" s="49"/>
      <c r="M1279" s="49"/>
      <c r="N1279" s="49"/>
      <c r="O1279" s="49"/>
      <c r="P1279" s="49"/>
      <c r="Q1279" s="49"/>
      <c r="R1279" s="49"/>
      <c r="S1279" s="49"/>
      <c r="T1279" s="49"/>
      <c r="U1279" s="49"/>
      <c r="V1279" s="49"/>
      <c r="W1279" s="49"/>
      <c r="X1279" s="49"/>
      <c r="Y1279" s="49"/>
      <c r="Z1279" s="49"/>
    </row>
    <row r="1280">
      <c r="A1280" s="49" t="str">
        <f>IFERROR(__xludf.DUMMYFUNCTION("""COMPUTED_VALUE"""),"Lava Panther Leather")</f>
        <v>Lava Panther Leather</v>
      </c>
      <c r="B1280" s="49" t="str">
        <f>IFERROR(__xludf.DUMMYFUNCTION("""COMPUTED_VALUE"""),"Crafting Material, roll a d20 to see how many you get if this is a loot drop.")</f>
        <v>Crafting Material, roll a d20 to see how many you get if this is a loot drop.</v>
      </c>
      <c r="C1280" s="49" t="str">
        <f>IFERROR(__xludf.DUMMYFUNCTION("""COMPUTED_VALUE"""),"Item")</f>
        <v>Item</v>
      </c>
      <c r="D1280" s="49"/>
      <c r="E1280" s="49"/>
      <c r="F1280" s="49"/>
      <c r="G1280" s="49"/>
      <c r="H1280" s="49"/>
      <c r="I1280" s="49"/>
      <c r="J1280" s="49"/>
      <c r="K1280" s="49"/>
      <c r="L1280" s="49"/>
      <c r="M1280" s="49"/>
      <c r="N1280" s="49"/>
      <c r="O1280" s="49"/>
      <c r="P1280" s="49"/>
      <c r="Q1280" s="49"/>
      <c r="R1280" s="49"/>
      <c r="S1280" s="49"/>
      <c r="T1280" s="49"/>
      <c r="U1280" s="49"/>
      <c r="V1280" s="49"/>
      <c r="W1280" s="49"/>
      <c r="X1280" s="49"/>
      <c r="Y1280" s="49"/>
      <c r="Z1280" s="49"/>
    </row>
    <row r="1281">
      <c r="A1281" s="49" t="str">
        <f>IFERROR(__xludf.DUMMYFUNCTION("""COMPUTED_VALUE"""),"Endless Dark Core")</f>
        <v>Endless Dark Core</v>
      </c>
      <c r="B1281" s="49" t="str">
        <f>IFERROR(__xludf.DUMMYFUNCTION("""COMPUTED_VALUE"""),"Return a banished character from banishment without having to fight the Keeper of the Banished. (1 use)")</f>
        <v>Return a banished character from banishment without having to fight the Keeper of the Banished. (1 use)</v>
      </c>
      <c r="C1281" s="49" t="str">
        <f>IFERROR(__xludf.DUMMYFUNCTION("""COMPUTED_VALUE"""),"Item")</f>
        <v>Item</v>
      </c>
      <c r="D1281" s="49"/>
      <c r="E1281" s="49"/>
      <c r="F1281" s="49"/>
      <c r="G1281" s="49"/>
      <c r="H1281" s="49"/>
      <c r="I1281" s="49"/>
      <c r="J1281" s="49"/>
      <c r="K1281" s="49"/>
      <c r="L1281" s="49"/>
      <c r="M1281" s="49"/>
      <c r="N1281" s="49"/>
      <c r="O1281" s="49"/>
      <c r="P1281" s="49"/>
      <c r="Q1281" s="49"/>
      <c r="R1281" s="49"/>
      <c r="S1281" s="49"/>
      <c r="T1281" s="49"/>
      <c r="U1281" s="49"/>
      <c r="V1281" s="49"/>
      <c r="W1281" s="49"/>
      <c r="X1281" s="49"/>
      <c r="Y1281" s="49"/>
      <c r="Z1281" s="49"/>
    </row>
    <row r="1282">
      <c r="A1282" s="49" t="str">
        <f>IFERROR(__xludf.DUMMYFUNCTION("""COMPUTED_VALUE"""),"Endless Dark Dragon Scales")</f>
        <v>Endless Dark Dragon Scales</v>
      </c>
      <c r="B1282" s="49" t="str">
        <f>IFERROR(__xludf.DUMMYFUNCTION("""COMPUTED_VALUE"""),"Crafting Material, roll a d20 to see how many you get if this is a loot drop.")</f>
        <v>Crafting Material, roll a d20 to see how many you get if this is a loot drop.</v>
      </c>
      <c r="C1282" s="49" t="str">
        <f>IFERROR(__xludf.DUMMYFUNCTION("""COMPUTED_VALUE"""),"Item")</f>
        <v>Item</v>
      </c>
      <c r="D1282" s="49"/>
      <c r="E1282" s="49"/>
      <c r="F1282" s="49"/>
      <c r="G1282" s="49"/>
      <c r="H1282" s="49"/>
      <c r="I1282" s="49"/>
      <c r="J1282" s="49"/>
      <c r="K1282" s="49"/>
      <c r="L1282" s="49"/>
      <c r="M1282" s="49"/>
      <c r="N1282" s="49"/>
      <c r="O1282" s="49"/>
      <c r="P1282" s="49"/>
      <c r="Q1282" s="49"/>
      <c r="R1282" s="49"/>
      <c r="S1282" s="49"/>
      <c r="T1282" s="49"/>
      <c r="U1282" s="49"/>
      <c r="V1282" s="49"/>
      <c r="W1282" s="49"/>
      <c r="X1282" s="49"/>
      <c r="Y1282" s="49"/>
      <c r="Z1282" s="49"/>
    </row>
    <row r="1283">
      <c r="A1283" s="49" t="str">
        <f>IFERROR(__xludf.DUMMYFUNCTION("""COMPUTED_VALUE"""),"Magma Stone")</f>
        <v>Magma Stone</v>
      </c>
      <c r="B1283" s="49" t="str">
        <f>IFERROR(__xludf.DUMMYFUNCTION("""COMPUTED_VALUE"""),"Crafting Material, roll a d20 to see how many you get if this is a loot drop.")</f>
        <v>Crafting Material, roll a d20 to see how many you get if this is a loot drop.</v>
      </c>
      <c r="C1283" s="49" t="str">
        <f>IFERROR(__xludf.DUMMYFUNCTION("""COMPUTED_VALUE"""),"Item")</f>
        <v>Item</v>
      </c>
      <c r="D1283" s="49"/>
      <c r="E1283" s="49"/>
      <c r="F1283" s="49"/>
      <c r="G1283" s="49"/>
      <c r="H1283" s="49"/>
      <c r="I1283" s="49"/>
      <c r="J1283" s="49"/>
      <c r="K1283" s="49"/>
      <c r="L1283" s="49"/>
      <c r="M1283" s="49"/>
      <c r="N1283" s="49"/>
      <c r="O1283" s="49"/>
      <c r="P1283" s="49"/>
      <c r="Q1283" s="49"/>
      <c r="R1283" s="49"/>
      <c r="S1283" s="49"/>
      <c r="T1283" s="49"/>
      <c r="U1283" s="49"/>
      <c r="V1283" s="49"/>
      <c r="W1283" s="49"/>
      <c r="X1283" s="49"/>
      <c r="Y1283" s="49"/>
      <c r="Z1283" s="49"/>
    </row>
    <row r="1284">
      <c r="A1284" s="49" t="str">
        <f>IFERROR(__xludf.DUMMYFUNCTION("""COMPUTED_VALUE"""),"Inferno Feather")</f>
        <v>Inferno Feather</v>
      </c>
      <c r="B1284" s="49" t="str">
        <f>IFERROR(__xludf.DUMMYFUNCTION("""COMPUTED_VALUE"""),"Crafting Material, roll a d20 to see how many you get if this is a loot drop.")</f>
        <v>Crafting Material, roll a d20 to see how many you get if this is a loot drop.</v>
      </c>
      <c r="C1284" s="49" t="str">
        <f>IFERROR(__xludf.DUMMYFUNCTION("""COMPUTED_VALUE"""),"Item")</f>
        <v>Item</v>
      </c>
      <c r="D1284" s="49"/>
      <c r="E1284" s="49"/>
      <c r="F1284" s="49"/>
      <c r="G1284" s="49"/>
      <c r="H1284" s="49"/>
      <c r="I1284" s="49"/>
      <c r="J1284" s="49"/>
      <c r="K1284" s="49"/>
      <c r="L1284" s="49"/>
      <c r="M1284" s="49"/>
      <c r="N1284" s="49"/>
      <c r="O1284" s="49"/>
      <c r="P1284" s="49"/>
      <c r="Q1284" s="49"/>
      <c r="R1284" s="49"/>
      <c r="S1284" s="49"/>
      <c r="T1284" s="49"/>
      <c r="U1284" s="49"/>
      <c r="V1284" s="49"/>
      <c r="W1284" s="49"/>
      <c r="X1284" s="49"/>
      <c r="Y1284" s="49"/>
      <c r="Z1284" s="49"/>
    </row>
    <row r="1285">
      <c r="A1285" s="49" t="str">
        <f>IFERROR(__xludf.DUMMYFUNCTION("""COMPUTED_VALUE"""),"Ancient Stone Medallion")</f>
        <v>Ancient Stone Medallion</v>
      </c>
      <c r="B1285" s="49" t="str">
        <f>IFERROR(__xludf.DUMMYFUNCTION("""COMPUTED_VALUE"""),"Allows access to the Ruins of Mana.")</f>
        <v>Allows access to the Ruins of Mana.</v>
      </c>
      <c r="C1285" s="49" t="str">
        <f>IFERROR(__xludf.DUMMYFUNCTION("""COMPUTED_VALUE"""),"Item")</f>
        <v>Item</v>
      </c>
      <c r="D1285" s="49"/>
      <c r="E1285" s="49"/>
      <c r="F1285" s="49"/>
      <c r="G1285" s="49"/>
      <c r="H1285" s="49"/>
      <c r="I1285" s="49"/>
      <c r="J1285" s="49"/>
      <c r="K1285" s="49"/>
      <c r="L1285" s="49"/>
      <c r="M1285" s="49"/>
      <c r="N1285" s="49"/>
      <c r="O1285" s="49"/>
      <c r="P1285" s="49"/>
      <c r="Q1285" s="49"/>
      <c r="R1285" s="49"/>
      <c r="S1285" s="49"/>
      <c r="T1285" s="49"/>
      <c r="U1285" s="49"/>
      <c r="V1285" s="49"/>
      <c r="W1285" s="49"/>
      <c r="X1285" s="49"/>
      <c r="Y1285" s="49"/>
      <c r="Z1285" s="49"/>
    </row>
    <row r="1286">
      <c r="A1286" s="49" t="str">
        <f>IFERROR(__xludf.DUMMYFUNCTION("""COMPUTED_VALUE"""),"Vial of Unknown Liquid")</f>
        <v>Vial of Unknown Liquid</v>
      </c>
      <c r="B1286" s="49" t="str">
        <f>IFERROR(__xludf.DUMMYFUNCTION("""COMPUTED_VALUE"""),"When consumed, roll a d20. For the next 3 rounds, lose the result d20x100 health and gain the result d20x500SP.")</f>
        <v>When consumed, roll a d20. For the next 3 rounds, lose the result d20x100 health and gain the result d20x500SP.</v>
      </c>
      <c r="C1286" s="49" t="str">
        <f>IFERROR(__xludf.DUMMYFUNCTION("""COMPUTED_VALUE"""),"Item")</f>
        <v>Item</v>
      </c>
      <c r="D1286" s="49"/>
      <c r="E1286" s="49"/>
      <c r="F1286" s="49"/>
      <c r="G1286" s="49"/>
      <c r="H1286" s="49"/>
      <c r="I1286" s="49"/>
      <c r="J1286" s="49"/>
      <c r="K1286" s="49"/>
      <c r="L1286" s="49"/>
      <c r="M1286" s="49"/>
      <c r="N1286" s="49"/>
      <c r="O1286" s="49"/>
      <c r="P1286" s="49"/>
      <c r="Q1286" s="49"/>
      <c r="R1286" s="49"/>
      <c r="S1286" s="49"/>
      <c r="T1286" s="49"/>
      <c r="U1286" s="49"/>
      <c r="V1286" s="49"/>
      <c r="W1286" s="49"/>
      <c r="X1286" s="49"/>
      <c r="Y1286" s="49"/>
      <c r="Z1286" s="49"/>
    </row>
    <row r="1287">
      <c r="A1287" s="49" t="str">
        <f>IFERROR(__xludf.DUMMYFUNCTION("""COMPUTED_VALUE"""),"Diamond Fishing Pole ")</f>
        <v>Diamond Fishing Pole </v>
      </c>
      <c r="B1287" s="49" t="str">
        <f>IFERROR(__xludf.DUMMYFUNCTION("""COMPUTED_VALUE"""),"100/100 Uses. Used for fishing.")</f>
        <v>100/100 Uses. Used for fishing.</v>
      </c>
      <c r="C1287" s="49" t="str">
        <f>IFERROR(__xludf.DUMMYFUNCTION("""COMPUTED_VALUE"""),"Item")</f>
        <v>Item</v>
      </c>
      <c r="D1287" s="49"/>
      <c r="E1287" s="49"/>
      <c r="F1287" s="49"/>
      <c r="G1287" s="49"/>
      <c r="H1287" s="49"/>
      <c r="I1287" s="49"/>
      <c r="J1287" s="49"/>
      <c r="K1287" s="49"/>
      <c r="L1287" s="49"/>
      <c r="M1287" s="49"/>
      <c r="N1287" s="49"/>
      <c r="O1287" s="49"/>
      <c r="P1287" s="49"/>
      <c r="Q1287" s="49"/>
      <c r="R1287" s="49"/>
      <c r="S1287" s="49"/>
      <c r="T1287" s="49"/>
      <c r="U1287" s="49"/>
      <c r="V1287" s="49"/>
      <c r="W1287" s="49"/>
      <c r="X1287" s="49"/>
      <c r="Y1287" s="49"/>
      <c r="Z1287" s="49"/>
    </row>
    <row r="1288">
      <c r="A1288" s="49" t="str">
        <f>IFERROR(__xludf.DUMMYFUNCTION("""COMPUTED_VALUE"""),"Obsidian Fishing Pole ")</f>
        <v>Obsidian Fishing Pole </v>
      </c>
      <c r="B1288" s="49" t="str">
        <f>IFERROR(__xludf.DUMMYFUNCTION("""COMPUTED_VALUE"""),"120/120 Uses. Used for fishing.")</f>
        <v>120/120 Uses. Used for fishing.</v>
      </c>
      <c r="C1288" s="49" t="str">
        <f>IFERROR(__xludf.DUMMYFUNCTION("""COMPUTED_VALUE"""),"Item")</f>
        <v>Item</v>
      </c>
      <c r="D1288" s="49"/>
      <c r="E1288" s="49"/>
      <c r="F1288" s="49"/>
      <c r="G1288" s="49"/>
      <c r="H1288" s="49"/>
      <c r="I1288" s="49"/>
      <c r="J1288" s="49"/>
      <c r="K1288" s="49"/>
      <c r="L1288" s="49"/>
      <c r="M1288" s="49"/>
      <c r="N1288" s="49"/>
      <c r="O1288" s="49"/>
      <c r="P1288" s="49"/>
      <c r="Q1288" s="49"/>
      <c r="R1288" s="49"/>
      <c r="S1288" s="49"/>
      <c r="T1288" s="49"/>
      <c r="U1288" s="49"/>
      <c r="V1288" s="49"/>
      <c r="W1288" s="49"/>
      <c r="X1288" s="49"/>
      <c r="Y1288" s="49"/>
      <c r="Z1288" s="49"/>
    </row>
    <row r="1289">
      <c r="A1289" s="49" t="str">
        <f>IFERROR(__xludf.DUMMYFUNCTION("""COMPUTED_VALUE"""),"Golden Pickaxe")</f>
        <v>Golden Pickaxe</v>
      </c>
      <c r="B1289" s="49" t="str">
        <f>IFERROR(__xludf.DUMMYFUNCTION("""COMPUTED_VALUE"""),"80/80 Uses. Used for mining.")</f>
        <v>80/80 Uses. Used for mining.</v>
      </c>
      <c r="C1289" s="49" t="str">
        <f>IFERROR(__xludf.DUMMYFUNCTION("""COMPUTED_VALUE"""),"Item")</f>
        <v>Item</v>
      </c>
      <c r="D1289" s="49"/>
      <c r="E1289" s="49"/>
      <c r="F1289" s="49"/>
      <c r="G1289" s="49"/>
      <c r="H1289" s="49"/>
      <c r="I1289" s="49"/>
      <c r="J1289" s="49"/>
      <c r="K1289" s="49"/>
      <c r="L1289" s="49"/>
      <c r="M1289" s="49"/>
      <c r="N1289" s="49"/>
      <c r="O1289" s="49"/>
      <c r="P1289" s="49"/>
      <c r="Q1289" s="49"/>
      <c r="R1289" s="49"/>
      <c r="S1289" s="49"/>
      <c r="T1289" s="49"/>
      <c r="U1289" s="49"/>
      <c r="V1289" s="49"/>
      <c r="W1289" s="49"/>
      <c r="X1289" s="49"/>
      <c r="Y1289" s="49"/>
      <c r="Z1289" s="49"/>
    </row>
    <row r="1290">
      <c r="A1290" s="49" t="str">
        <f>IFERROR(__xludf.DUMMYFUNCTION("""COMPUTED_VALUE"""),"Wooden Pickaxe")</f>
        <v>Wooden Pickaxe</v>
      </c>
      <c r="B1290" s="49" t="str">
        <f>IFERROR(__xludf.DUMMYFUNCTION("""COMPUTED_VALUE"""),"10/10 Uses. Used for mining.")</f>
        <v>10/10 Uses. Used for mining.</v>
      </c>
      <c r="C1290" s="49" t="str">
        <f>IFERROR(__xludf.DUMMYFUNCTION("""COMPUTED_VALUE"""),"Item")</f>
        <v>Item</v>
      </c>
      <c r="D1290" s="49"/>
      <c r="E1290" s="49"/>
      <c r="F1290" s="49"/>
      <c r="G1290" s="49"/>
      <c r="H1290" s="49"/>
      <c r="I1290" s="49"/>
      <c r="J1290" s="49"/>
      <c r="K1290" s="49"/>
      <c r="L1290" s="49"/>
      <c r="M1290" s="49"/>
      <c r="N1290" s="49"/>
      <c r="O1290" s="49"/>
      <c r="P1290" s="49"/>
      <c r="Q1290" s="49"/>
      <c r="R1290" s="49"/>
      <c r="S1290" s="49"/>
      <c r="T1290" s="49"/>
      <c r="U1290" s="49"/>
      <c r="V1290" s="49"/>
      <c r="W1290" s="49"/>
      <c r="X1290" s="49"/>
      <c r="Y1290" s="49"/>
      <c r="Z1290" s="49"/>
    </row>
    <row r="1291">
      <c r="A1291" s="49" t="str">
        <f>IFERROR(__xludf.DUMMYFUNCTION("""COMPUTED_VALUE"""),"Iron Pickaxe")</f>
        <v>Iron Pickaxe</v>
      </c>
      <c r="B1291" s="49" t="str">
        <f>IFERROR(__xludf.DUMMYFUNCTION("""COMPUTED_VALUE"""),"20/20 Uses. Used for mining.")</f>
        <v>20/20 Uses. Used for mining.</v>
      </c>
      <c r="C1291" s="49" t="str">
        <f>IFERROR(__xludf.DUMMYFUNCTION("""COMPUTED_VALUE"""),"Item")</f>
        <v>Item</v>
      </c>
      <c r="D1291" s="49"/>
      <c r="E1291" s="49"/>
      <c r="F1291" s="49"/>
      <c r="G1291" s="49"/>
      <c r="H1291" s="49"/>
      <c r="I1291" s="49"/>
      <c r="J1291" s="49"/>
      <c r="K1291" s="49"/>
      <c r="L1291" s="49"/>
      <c r="M1291" s="49"/>
      <c r="N1291" s="49"/>
      <c r="O1291" s="49"/>
      <c r="P1291" s="49"/>
      <c r="Q1291" s="49"/>
      <c r="R1291" s="49"/>
      <c r="S1291" s="49"/>
      <c r="T1291" s="49"/>
      <c r="U1291" s="49"/>
      <c r="V1291" s="49"/>
      <c r="W1291" s="49"/>
      <c r="X1291" s="49"/>
      <c r="Y1291" s="49"/>
      <c r="Z1291" s="49"/>
    </row>
    <row r="1292">
      <c r="A1292" s="49" t="str">
        <f>IFERROR(__xludf.DUMMYFUNCTION("""COMPUTED_VALUE"""),"Silver Pickaxe")</f>
        <v>Silver Pickaxe</v>
      </c>
      <c r="B1292" s="49" t="str">
        <f>IFERROR(__xludf.DUMMYFUNCTION("""COMPUTED_VALUE"""),"60/60 Uses. Used for mining.")</f>
        <v>60/60 Uses. Used for mining.</v>
      </c>
      <c r="C1292" s="49" t="str">
        <f>IFERROR(__xludf.DUMMYFUNCTION("""COMPUTED_VALUE"""),"Item")</f>
        <v>Item</v>
      </c>
      <c r="D1292" s="49"/>
      <c r="E1292" s="49"/>
      <c r="F1292" s="49"/>
      <c r="G1292" s="49"/>
      <c r="H1292" s="49"/>
      <c r="I1292" s="49"/>
      <c r="J1292" s="49"/>
      <c r="K1292" s="49"/>
      <c r="L1292" s="49"/>
      <c r="M1292" s="49"/>
      <c r="N1292" s="49"/>
      <c r="O1292" s="49"/>
      <c r="P1292" s="49"/>
      <c r="Q1292" s="49"/>
      <c r="R1292" s="49"/>
      <c r="S1292" s="49"/>
      <c r="T1292" s="49"/>
      <c r="U1292" s="49"/>
      <c r="V1292" s="49"/>
      <c r="W1292" s="49"/>
      <c r="X1292" s="49"/>
      <c r="Y1292" s="49"/>
      <c r="Z1292" s="49"/>
    </row>
    <row r="1293">
      <c r="A1293" s="49" t="str">
        <f>IFERROR(__xludf.DUMMYFUNCTION("""COMPUTED_VALUE"""),"Diamond Pickaxe")</f>
        <v>Diamond Pickaxe</v>
      </c>
      <c r="B1293" s="49" t="str">
        <f>IFERROR(__xludf.DUMMYFUNCTION("""COMPUTED_VALUE"""),"100/100 Uses. Used for mining.")</f>
        <v>100/100 Uses. Used for mining.</v>
      </c>
      <c r="C1293" s="49" t="str">
        <f>IFERROR(__xludf.DUMMYFUNCTION("""COMPUTED_VALUE"""),"Item")</f>
        <v>Item</v>
      </c>
      <c r="D1293" s="49"/>
      <c r="E1293" s="49"/>
      <c r="F1293" s="49"/>
      <c r="G1293" s="49"/>
      <c r="H1293" s="49"/>
      <c r="I1293" s="49"/>
      <c r="J1293" s="49"/>
      <c r="K1293" s="49"/>
      <c r="L1293" s="49"/>
      <c r="M1293" s="49"/>
      <c r="N1293" s="49"/>
      <c r="O1293" s="49"/>
      <c r="P1293" s="49"/>
      <c r="Q1293" s="49"/>
      <c r="R1293" s="49"/>
      <c r="S1293" s="49"/>
      <c r="T1293" s="49"/>
      <c r="U1293" s="49"/>
      <c r="V1293" s="49"/>
      <c r="W1293" s="49"/>
      <c r="X1293" s="49"/>
      <c r="Y1293" s="49"/>
      <c r="Z1293" s="49"/>
    </row>
    <row r="1294">
      <c r="A1294" s="49" t="str">
        <f>IFERROR(__xludf.DUMMYFUNCTION("""COMPUTED_VALUE"""),"Obsidian Pickaxe")</f>
        <v>Obsidian Pickaxe</v>
      </c>
      <c r="B1294" s="49" t="str">
        <f>IFERROR(__xludf.DUMMYFUNCTION("""COMPUTED_VALUE"""),"120/120 Uses. Used for mining.")</f>
        <v>120/120 Uses. Used for mining.</v>
      </c>
      <c r="C1294" s="49" t="str">
        <f>IFERROR(__xludf.DUMMYFUNCTION("""COMPUTED_VALUE"""),"Item")</f>
        <v>Item</v>
      </c>
      <c r="D1294" s="49"/>
      <c r="E1294" s="49"/>
      <c r="F1294" s="49"/>
      <c r="G1294" s="49"/>
      <c r="H1294" s="49"/>
      <c r="I1294" s="49"/>
      <c r="J1294" s="49"/>
      <c r="K1294" s="49"/>
      <c r="L1294" s="49"/>
      <c r="M1294" s="49"/>
      <c r="N1294" s="49"/>
      <c r="O1294" s="49"/>
      <c r="P1294" s="49"/>
      <c r="Q1294" s="49"/>
      <c r="R1294" s="49"/>
      <c r="S1294" s="49"/>
      <c r="T1294" s="49"/>
      <c r="U1294" s="49"/>
      <c r="V1294" s="49"/>
      <c r="W1294" s="49"/>
      <c r="X1294" s="49"/>
      <c r="Y1294" s="49"/>
      <c r="Z1294" s="49"/>
    </row>
    <row r="1295">
      <c r="A1295" s="49" t="str">
        <f>IFERROR(__xludf.DUMMYFUNCTION("""COMPUTED_VALUE"""),"Fire Fishing Pole ")</f>
        <v>Fire Fishing Pole </v>
      </c>
      <c r="B1295" s="49" t="str">
        <f>IFERROR(__xludf.DUMMYFUNCTION("""COMPUTED_VALUE"""),"Made out of Iron. 20/20 Uses. Will cook fish caught giving them an additional hunger. Used for fishing.")</f>
        <v>Made out of Iron. 20/20 Uses. Will cook fish caught giving them an additional hunger. Used for fishing.</v>
      </c>
      <c r="C1295" s="49" t="str">
        <f>IFERROR(__xludf.DUMMYFUNCTION("""COMPUTED_VALUE"""),"Crop")</f>
        <v>Crop</v>
      </c>
      <c r="D1295" s="49"/>
      <c r="E1295" s="49"/>
      <c r="F1295" s="49"/>
      <c r="G1295" s="49"/>
      <c r="H1295" s="49"/>
      <c r="I1295" s="49"/>
      <c r="J1295" s="49"/>
      <c r="K1295" s="49"/>
      <c r="L1295" s="49"/>
      <c r="M1295" s="49"/>
      <c r="N1295" s="49"/>
      <c r="O1295" s="49"/>
      <c r="P1295" s="49"/>
      <c r="Q1295" s="49"/>
      <c r="R1295" s="49"/>
      <c r="S1295" s="49"/>
      <c r="T1295" s="49"/>
      <c r="U1295" s="49"/>
      <c r="V1295" s="49"/>
      <c r="W1295" s="49"/>
      <c r="X1295" s="49"/>
      <c r="Y1295" s="49"/>
      <c r="Z1295" s="49"/>
    </row>
    <row r="1296">
      <c r="A1296" s="49" t="str">
        <f>IFERROR(__xludf.DUMMYFUNCTION("""COMPUTED_VALUE"""),"Golden Fishing Pole ")</f>
        <v>Golden Fishing Pole </v>
      </c>
      <c r="B1296" s="49" t="str">
        <f>IFERROR(__xludf.DUMMYFUNCTION("""COMPUTED_VALUE"""),"80/80 uses. Used for fishing.")</f>
        <v>80/80 uses. Used for fishing.</v>
      </c>
      <c r="C1296" s="49" t="str">
        <f>IFERROR(__xludf.DUMMYFUNCTION("""COMPUTED_VALUE"""),"Item")</f>
        <v>Item</v>
      </c>
      <c r="D1296" s="49"/>
      <c r="E1296" s="49"/>
      <c r="F1296" s="49"/>
      <c r="G1296" s="49"/>
      <c r="H1296" s="49"/>
      <c r="I1296" s="49"/>
      <c r="J1296" s="49"/>
      <c r="K1296" s="49"/>
      <c r="L1296" s="49"/>
      <c r="M1296" s="49"/>
      <c r="N1296" s="49"/>
      <c r="O1296" s="49"/>
      <c r="P1296" s="49"/>
      <c r="Q1296" s="49"/>
      <c r="R1296" s="49"/>
      <c r="S1296" s="49"/>
      <c r="T1296" s="49"/>
      <c r="U1296" s="49"/>
      <c r="V1296" s="49"/>
      <c r="W1296" s="49"/>
      <c r="X1296" s="49"/>
      <c r="Y1296" s="49"/>
      <c r="Z1296" s="49"/>
    </row>
    <row r="1297">
      <c r="A1297" s="49" t="str">
        <f>IFERROR(__xludf.DUMMYFUNCTION("""COMPUTED_VALUE"""),"Wooden Fishing Pole ")</f>
        <v>Wooden Fishing Pole </v>
      </c>
      <c r="B1297" s="49" t="str">
        <f>IFERROR(__xludf.DUMMYFUNCTION("""COMPUTED_VALUE"""),"10/10 uses. Used for fishing.")</f>
        <v>10/10 uses. Used for fishing.</v>
      </c>
      <c r="C1297" s="49" t="str">
        <f>IFERROR(__xludf.DUMMYFUNCTION("""COMPUTED_VALUE"""),"Item")</f>
        <v>Item</v>
      </c>
      <c r="D1297" s="49"/>
      <c r="E1297" s="49"/>
      <c r="F1297" s="49"/>
      <c r="G1297" s="49"/>
      <c r="H1297" s="49"/>
      <c r="I1297" s="49"/>
      <c r="J1297" s="49"/>
      <c r="K1297" s="49"/>
      <c r="L1297" s="49"/>
      <c r="M1297" s="49"/>
      <c r="N1297" s="49"/>
      <c r="O1297" s="49"/>
      <c r="P1297" s="49"/>
      <c r="Q1297" s="49"/>
      <c r="R1297" s="49"/>
      <c r="S1297" s="49"/>
      <c r="T1297" s="49"/>
      <c r="U1297" s="49"/>
      <c r="V1297" s="49"/>
      <c r="W1297" s="49"/>
      <c r="X1297" s="49"/>
      <c r="Y1297" s="49"/>
      <c r="Z1297" s="49"/>
    </row>
    <row r="1298">
      <c r="A1298" s="49" t="str">
        <f>IFERROR(__xludf.DUMMYFUNCTION("""COMPUTED_VALUE"""),"Steel Fishing Pole ")</f>
        <v>Steel Fishing Pole </v>
      </c>
      <c r="B1298" s="49" t="str">
        <f>IFERROR(__xludf.DUMMYFUNCTION("""COMPUTED_VALUE"""),"40/40 Uses. Used for fishing.")</f>
        <v>40/40 Uses. Used for fishing.</v>
      </c>
      <c r="C1298" s="49" t="str">
        <f>IFERROR(__xludf.DUMMYFUNCTION("""COMPUTED_VALUE"""),"Item")</f>
        <v>Item</v>
      </c>
      <c r="D1298" s="49"/>
      <c r="E1298" s="49"/>
      <c r="F1298" s="49"/>
      <c r="G1298" s="49"/>
      <c r="H1298" s="49"/>
      <c r="I1298" s="49"/>
      <c r="J1298" s="49"/>
      <c r="K1298" s="49"/>
      <c r="L1298" s="49"/>
      <c r="M1298" s="49"/>
      <c r="N1298" s="49"/>
      <c r="O1298" s="49"/>
      <c r="P1298" s="49"/>
      <c r="Q1298" s="49"/>
      <c r="R1298" s="49"/>
      <c r="S1298" s="49"/>
      <c r="T1298" s="49"/>
      <c r="U1298" s="49"/>
      <c r="V1298" s="49"/>
      <c r="W1298" s="49"/>
      <c r="X1298" s="49"/>
      <c r="Y1298" s="49"/>
      <c r="Z1298" s="49"/>
    </row>
    <row r="1299">
      <c r="A1299" s="49" t="str">
        <f>IFERROR(__xludf.DUMMYFUNCTION("""COMPUTED_VALUE"""),"Silver Fishing Pole ")</f>
        <v>Silver Fishing Pole </v>
      </c>
      <c r="B1299" s="49" t="str">
        <f>IFERROR(__xludf.DUMMYFUNCTION("""COMPUTED_VALUE"""),"60/60 Uses. Used for fishing.")</f>
        <v>60/60 Uses. Used for fishing.</v>
      </c>
      <c r="C1299" s="49" t="str">
        <f>IFERROR(__xludf.DUMMYFUNCTION("""COMPUTED_VALUE"""),"Item")</f>
        <v>Item</v>
      </c>
      <c r="D1299" s="49"/>
      <c r="E1299" s="49"/>
      <c r="F1299" s="49"/>
      <c r="G1299" s="49"/>
      <c r="H1299" s="49"/>
      <c r="I1299" s="49"/>
      <c r="J1299" s="49"/>
      <c r="K1299" s="49"/>
      <c r="L1299" s="49"/>
      <c r="M1299" s="49"/>
      <c r="N1299" s="49"/>
      <c r="O1299" s="49"/>
      <c r="P1299" s="49"/>
      <c r="Q1299" s="49"/>
      <c r="R1299" s="49"/>
      <c r="S1299" s="49"/>
      <c r="T1299" s="49"/>
      <c r="U1299" s="49"/>
      <c r="V1299" s="49"/>
      <c r="W1299" s="49"/>
      <c r="X1299" s="49"/>
      <c r="Y1299" s="49"/>
      <c r="Z1299" s="49"/>
    </row>
    <row r="1300">
      <c r="A1300" s="49" t="str">
        <f>IFERROR(__xludf.DUMMYFUNCTION("""COMPUTED_VALUE"""),"Iron Fishing Pole ")</f>
        <v>Iron Fishing Pole </v>
      </c>
      <c r="B1300" s="49" t="str">
        <f>IFERROR(__xludf.DUMMYFUNCTION("""COMPUTED_VALUE"""),"20/20 Uses. Used for fishing.")</f>
        <v>20/20 Uses. Used for fishing.</v>
      </c>
      <c r="C1300" s="49" t="str">
        <f>IFERROR(__xludf.DUMMYFUNCTION("""COMPUTED_VALUE"""),"Item")</f>
        <v>Item</v>
      </c>
      <c r="D1300" s="49"/>
      <c r="E1300" s="49"/>
      <c r="F1300" s="49"/>
      <c r="G1300" s="49"/>
      <c r="H1300" s="49"/>
      <c r="I1300" s="49"/>
      <c r="J1300" s="49"/>
      <c r="K1300" s="49"/>
      <c r="L1300" s="49"/>
      <c r="M1300" s="49"/>
      <c r="N1300" s="49"/>
      <c r="O1300" s="49"/>
      <c r="P1300" s="49"/>
      <c r="Q1300" s="49"/>
      <c r="R1300" s="49"/>
      <c r="S1300" s="49"/>
      <c r="T1300" s="49"/>
      <c r="U1300" s="49"/>
      <c r="V1300" s="49"/>
      <c r="W1300" s="49"/>
      <c r="X1300" s="49"/>
      <c r="Y1300" s="49"/>
      <c r="Z1300" s="49"/>
    </row>
    <row r="1301">
      <c r="A1301" s="49" t="str">
        <f>IFERROR(__xludf.DUMMYFUNCTION("""COMPUTED_VALUE"""),"Elemental Crystal")</f>
        <v>Elemental Crystal</v>
      </c>
      <c r="B1301" s="49" t="str">
        <f>IFERROR(__xludf.DUMMYFUNCTION("""COMPUTED_VALUE"""),"Crafting Material, roll a d20 to see how many you get if this is a loot drop.")</f>
        <v>Crafting Material, roll a d20 to see how many you get if this is a loot drop.</v>
      </c>
      <c r="C1301" s="49" t="str">
        <f>IFERROR(__xludf.DUMMYFUNCTION("""COMPUTED_VALUE"""),"Item")</f>
        <v>Item</v>
      </c>
      <c r="D1301" s="49"/>
      <c r="E1301" s="49"/>
      <c r="F1301" s="49"/>
      <c r="G1301" s="49"/>
      <c r="H1301" s="49"/>
      <c r="I1301" s="49"/>
      <c r="J1301" s="49"/>
      <c r="K1301" s="49"/>
      <c r="L1301" s="49"/>
      <c r="M1301" s="49"/>
      <c r="N1301" s="49"/>
      <c r="O1301" s="49"/>
      <c r="P1301" s="49"/>
      <c r="Q1301" s="49"/>
      <c r="R1301" s="49"/>
      <c r="S1301" s="49"/>
      <c r="T1301" s="49"/>
      <c r="U1301" s="49"/>
      <c r="V1301" s="49"/>
      <c r="W1301" s="49"/>
      <c r="X1301" s="49"/>
      <c r="Y1301" s="49"/>
      <c r="Z1301" s="49"/>
    </row>
    <row r="1302">
      <c r="A1302" s="49" t="str">
        <f>IFERROR(__xludf.DUMMYFUNCTION("""COMPUTED_VALUE"""),"Leather")</f>
        <v>Leather</v>
      </c>
      <c r="B1302" s="49" t="str">
        <f>IFERROR(__xludf.DUMMYFUNCTION("""COMPUTED_VALUE"""),"Crafting Material, roll a d20 to see how many you get if this is a loot drop.")</f>
        <v>Crafting Material, roll a d20 to see how many you get if this is a loot drop.</v>
      </c>
      <c r="C1302" s="49" t="str">
        <f>IFERROR(__xludf.DUMMYFUNCTION("""COMPUTED_VALUE"""),"Item")</f>
        <v>Item</v>
      </c>
      <c r="D1302" s="49"/>
      <c r="E1302" s="49"/>
      <c r="F1302" s="49"/>
      <c r="G1302" s="49"/>
      <c r="H1302" s="49"/>
      <c r="I1302" s="49"/>
      <c r="J1302" s="49"/>
      <c r="K1302" s="49"/>
      <c r="L1302" s="49"/>
      <c r="M1302" s="49"/>
      <c r="N1302" s="49"/>
      <c r="O1302" s="49"/>
      <c r="P1302" s="49"/>
      <c r="Q1302" s="49"/>
      <c r="R1302" s="49"/>
      <c r="S1302" s="49"/>
      <c r="T1302" s="49"/>
      <c r="U1302" s="49"/>
      <c r="V1302" s="49"/>
      <c r="W1302" s="49"/>
      <c r="X1302" s="49"/>
      <c r="Y1302" s="49"/>
      <c r="Z1302" s="49"/>
    </row>
    <row r="1303">
      <c r="A1303" s="49" t="str">
        <f>IFERROR(__xludf.DUMMYFUNCTION("""COMPUTED_VALUE"""),"Pearlescent Fishing Rod ")</f>
        <v>Pearlescent Fishing Rod </v>
      </c>
      <c r="B1303" s="49" t="str">
        <f>IFERROR(__xludf.DUMMYFUNCTION("""COMPUTED_VALUE"""),"Allows lava fishing, Unbreakable.")</f>
        <v>Allows lava fishing, Unbreakable.</v>
      </c>
      <c r="C1303" s="49" t="str">
        <f>IFERROR(__xludf.DUMMYFUNCTION("""COMPUTED_VALUE"""),"Item")</f>
        <v>Item</v>
      </c>
      <c r="D1303" s="49"/>
      <c r="E1303" s="49"/>
      <c r="F1303" s="49"/>
      <c r="G1303" s="49"/>
      <c r="H1303" s="49"/>
      <c r="I1303" s="49"/>
      <c r="J1303" s="49"/>
      <c r="K1303" s="49"/>
      <c r="L1303" s="49"/>
      <c r="M1303" s="49"/>
      <c r="N1303" s="49"/>
      <c r="O1303" s="49"/>
      <c r="P1303" s="49"/>
      <c r="Q1303" s="49"/>
      <c r="R1303" s="49"/>
      <c r="S1303" s="49"/>
      <c r="T1303" s="49"/>
      <c r="U1303" s="49"/>
      <c r="V1303" s="49"/>
      <c r="W1303" s="49"/>
      <c r="X1303" s="49"/>
      <c r="Y1303" s="49"/>
      <c r="Z1303" s="49"/>
    </row>
    <row r="1304">
      <c r="A1304" s="49" t="str">
        <f>IFERROR(__xludf.DUMMYFUNCTION("""COMPUTED_VALUE"""),"Mithril")</f>
        <v>Mithril</v>
      </c>
      <c r="B1304" s="49"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1304" s="49" t="str">
        <f>IFERROR(__xludf.DUMMYFUNCTION("""COMPUTED_VALUE"""),"Item")</f>
        <v>Item</v>
      </c>
      <c r="D1304" s="49"/>
      <c r="E1304" s="49"/>
      <c r="F1304" s="49"/>
      <c r="G1304" s="49"/>
      <c r="H1304" s="49"/>
      <c r="I1304" s="49"/>
      <c r="J1304" s="49"/>
      <c r="K1304" s="49"/>
      <c r="L1304" s="49"/>
      <c r="M1304" s="49"/>
      <c r="N1304" s="49"/>
      <c r="O1304" s="49"/>
      <c r="P1304" s="49"/>
      <c r="Q1304" s="49"/>
      <c r="R1304" s="49"/>
      <c r="S1304" s="49"/>
      <c r="T1304" s="49"/>
      <c r="U1304" s="49"/>
      <c r="V1304" s="49"/>
      <c r="W1304" s="49"/>
      <c r="X1304" s="49"/>
      <c r="Y1304" s="49"/>
      <c r="Z1304" s="49"/>
    </row>
    <row r="1305">
      <c r="A1305" s="49" t="str">
        <f>IFERROR(__xludf.DUMMYFUNCTION("""COMPUTED_VALUE"""),"Enchanted Leather")</f>
        <v>Enchanted Leather</v>
      </c>
      <c r="B1305" s="49" t="str">
        <f>IFERROR(__xludf.DUMMYFUNCTION("""COMPUTED_VALUE"""),"Crafting Material, roll a d20 to see how many you get if this is a loot drop.")</f>
        <v>Crafting Material, roll a d20 to see how many you get if this is a loot drop.</v>
      </c>
      <c r="C1305" s="49" t="str">
        <f>IFERROR(__xludf.DUMMYFUNCTION("""COMPUTED_VALUE"""),"Item")</f>
        <v>Item</v>
      </c>
      <c r="D1305" s="49"/>
      <c r="E1305" s="49"/>
      <c r="F1305" s="49"/>
      <c r="G1305" s="49"/>
      <c r="H1305" s="49"/>
      <c r="I1305" s="49"/>
      <c r="J1305" s="49"/>
      <c r="K1305" s="49"/>
      <c r="L1305" s="49"/>
      <c r="M1305" s="49"/>
      <c r="N1305" s="49"/>
      <c r="O1305" s="49"/>
      <c r="P1305" s="49"/>
      <c r="Q1305" s="49"/>
      <c r="R1305" s="49"/>
      <c r="S1305" s="49"/>
      <c r="T1305" s="49"/>
      <c r="U1305" s="49"/>
      <c r="V1305" s="49"/>
      <c r="W1305" s="49"/>
      <c r="X1305" s="49"/>
      <c r="Y1305" s="49"/>
      <c r="Z1305" s="49"/>
    </row>
    <row r="1306">
      <c r="A1306" s="49" t="str">
        <f>IFERROR(__xludf.DUMMYFUNCTION("""COMPUTED_VALUE"""),"Dart")</f>
        <v>Dart</v>
      </c>
      <c r="B1306" s="49" t="str">
        <f>IFERROR(__xludf.DUMMYFUNCTION("""COMPUTED_VALUE"""),"Ammo")</f>
        <v>Ammo</v>
      </c>
      <c r="C1306" s="49" t="str">
        <f>IFERROR(__xludf.DUMMYFUNCTION("""COMPUTED_VALUE"""),"Item")</f>
        <v>Item</v>
      </c>
      <c r="D1306" s="49"/>
      <c r="E1306" s="49"/>
      <c r="F1306" s="49"/>
      <c r="G1306" s="49"/>
      <c r="H1306" s="49"/>
      <c r="I1306" s="49"/>
      <c r="J1306" s="49"/>
      <c r="K1306" s="49"/>
      <c r="L1306" s="49"/>
      <c r="M1306" s="49"/>
      <c r="N1306" s="49"/>
      <c r="O1306" s="49"/>
      <c r="P1306" s="49"/>
      <c r="Q1306" s="49"/>
      <c r="R1306" s="49"/>
      <c r="S1306" s="49"/>
      <c r="T1306" s="49"/>
      <c r="U1306" s="49"/>
      <c r="V1306" s="49"/>
      <c r="W1306" s="49"/>
      <c r="X1306" s="49"/>
      <c r="Y1306" s="49"/>
      <c r="Z1306" s="49"/>
    </row>
    <row r="1307">
      <c r="A1307" s="49" t="str">
        <f>IFERROR(__xludf.DUMMYFUNCTION("""COMPUTED_VALUE"""),"Golden Coin")</f>
        <v>Golden Coin</v>
      </c>
      <c r="B1307" s="49"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1307" s="49" t="str">
        <f>IFERROR(__xludf.DUMMYFUNCTION("""COMPUTED_VALUE"""),"Item")</f>
        <v>Item</v>
      </c>
      <c r="D1307" s="49"/>
      <c r="E1307" s="49"/>
      <c r="F1307" s="49"/>
      <c r="G1307" s="49"/>
      <c r="H1307" s="49"/>
      <c r="I1307" s="49"/>
      <c r="J1307" s="49"/>
      <c r="K1307" s="49"/>
      <c r="L1307" s="49"/>
      <c r="M1307" s="49"/>
      <c r="N1307" s="49"/>
      <c r="O1307" s="49"/>
      <c r="P1307" s="49"/>
      <c r="Q1307" s="49"/>
      <c r="R1307" s="49"/>
      <c r="S1307" s="49"/>
      <c r="T1307" s="49"/>
      <c r="U1307" s="49"/>
      <c r="V1307" s="49"/>
      <c r="W1307" s="49"/>
      <c r="X1307" s="49"/>
      <c r="Y1307" s="49"/>
      <c r="Z1307" s="49"/>
    </row>
    <row r="1308">
      <c r="A1308" s="49" t="str">
        <f>IFERROR(__xludf.DUMMYFUNCTION("""COMPUTED_VALUE"""),"Oil lamp")</f>
        <v>Oil lamp</v>
      </c>
      <c r="B1308" s="49" t="str">
        <f>IFERROR(__xludf.DUMMYFUNCTION("""COMPUTED_VALUE"""),"Illuminates your path or any room your in")</f>
        <v>Illuminates your path or any room your in</v>
      </c>
      <c r="C1308" s="49" t="str">
        <f>IFERROR(__xludf.DUMMYFUNCTION("""COMPUTED_VALUE"""),"Item")</f>
        <v>Item</v>
      </c>
      <c r="D1308" s="49"/>
      <c r="E1308" s="49"/>
      <c r="F1308" s="49"/>
      <c r="G1308" s="49"/>
      <c r="H1308" s="49"/>
      <c r="I1308" s="49"/>
      <c r="J1308" s="49"/>
      <c r="K1308" s="49"/>
      <c r="L1308" s="49"/>
      <c r="M1308" s="49"/>
      <c r="N1308" s="49"/>
      <c r="O1308" s="49"/>
      <c r="P1308" s="49"/>
      <c r="Q1308" s="49"/>
      <c r="R1308" s="49"/>
      <c r="S1308" s="49"/>
      <c r="T1308" s="49"/>
      <c r="U1308" s="49"/>
      <c r="V1308" s="49"/>
      <c r="W1308" s="49"/>
      <c r="X1308" s="49"/>
      <c r="Y1308" s="49"/>
      <c r="Z1308" s="49"/>
    </row>
    <row r="1309">
      <c r="A1309" s="49" t="str">
        <f>IFERROR(__xludf.DUMMYFUNCTION("""COMPUTED_VALUE"""),"Seed")</f>
        <v>Seed</v>
      </c>
      <c r="B1309" s="49" t="str">
        <f>IFERROR(__xludf.DUMMYFUNCTION("""COMPUTED_VALUE"""),"Can harvest in X/X days.")</f>
        <v>Can harvest in X/X days.</v>
      </c>
      <c r="C1309" s="49" t="str">
        <f>IFERROR(__xludf.DUMMYFUNCTION("""COMPUTED_VALUE"""),"Item")</f>
        <v>Item</v>
      </c>
      <c r="D1309" s="49"/>
      <c r="E1309" s="49"/>
      <c r="F1309" s="49"/>
      <c r="G1309" s="49"/>
      <c r="H1309" s="49"/>
      <c r="I1309" s="49"/>
      <c r="J1309" s="49"/>
      <c r="K1309" s="49"/>
      <c r="L1309" s="49"/>
      <c r="M1309" s="49"/>
      <c r="N1309" s="49"/>
      <c r="O1309" s="49"/>
      <c r="P1309" s="49"/>
      <c r="Q1309" s="49"/>
      <c r="R1309" s="49"/>
      <c r="S1309" s="49"/>
      <c r="T1309" s="49"/>
      <c r="U1309" s="49"/>
      <c r="V1309" s="49"/>
      <c r="W1309" s="49"/>
      <c r="X1309" s="49"/>
      <c r="Y1309" s="49"/>
      <c r="Z1309" s="49"/>
    </row>
    <row r="1310">
      <c r="A1310" s="49" t="str">
        <f>IFERROR(__xludf.DUMMYFUNCTION("""COMPUTED_VALUE"""),"Potion of Cure Disease")</f>
        <v>Potion of Cure Disease</v>
      </c>
      <c r="B1310" s="49" t="str">
        <f>IFERROR(__xludf.DUMMYFUNCTION("""COMPUTED_VALUE"""),"Disease Antidote.")</f>
        <v>Disease Antidote.</v>
      </c>
      <c r="C1310" s="49" t="str">
        <f>IFERROR(__xludf.DUMMYFUNCTION("""COMPUTED_VALUE"""),"Item")</f>
        <v>Item</v>
      </c>
      <c r="D1310" s="49"/>
      <c r="E1310" s="49"/>
      <c r="F1310" s="49"/>
      <c r="G1310" s="49"/>
      <c r="H1310" s="49"/>
      <c r="I1310" s="49"/>
      <c r="J1310" s="49"/>
      <c r="K1310" s="49"/>
      <c r="L1310" s="49"/>
      <c r="M1310" s="49"/>
      <c r="N1310" s="49"/>
      <c r="O1310" s="49"/>
      <c r="P1310" s="49"/>
      <c r="Q1310" s="49"/>
      <c r="R1310" s="49"/>
      <c r="S1310" s="49"/>
      <c r="T1310" s="49"/>
      <c r="U1310" s="49"/>
      <c r="V1310" s="49"/>
      <c r="W1310" s="49"/>
      <c r="X1310" s="49"/>
      <c r="Y1310" s="49"/>
      <c r="Z1310" s="49"/>
    </row>
    <row r="1311">
      <c r="A1311" s="49" t="str">
        <f>IFERROR(__xludf.DUMMYFUNCTION("""COMPUTED_VALUE"""),"Poison Vial")</f>
        <v>Poison Vial</v>
      </c>
      <c r="B1311" s="49" t="str">
        <f>IFERROR(__xludf.DUMMYFUNCTION("""COMPUTED_VALUE"""),"Using this will make all your weapon or natural attacks inflict an enemy with Poison 500 for 3 rounds.")</f>
        <v>Using this will make all your weapon or natural attacks inflict an enemy with Poison 500 for 3 rounds.</v>
      </c>
      <c r="C1311" s="49" t="str">
        <f>IFERROR(__xludf.DUMMYFUNCTION("""COMPUTED_VALUE"""),"Item")</f>
        <v>Item</v>
      </c>
      <c r="D1311" s="49"/>
      <c r="E1311" s="49"/>
      <c r="F1311" s="49"/>
      <c r="G1311" s="49"/>
      <c r="H1311" s="49"/>
      <c r="I1311" s="49"/>
      <c r="J1311" s="49"/>
      <c r="K1311" s="49"/>
      <c r="L1311" s="49"/>
      <c r="M1311" s="49"/>
      <c r="N1311" s="49"/>
      <c r="O1311" s="49"/>
      <c r="P1311" s="49"/>
      <c r="Q1311" s="49"/>
      <c r="R1311" s="49"/>
      <c r="S1311" s="49"/>
      <c r="T1311" s="49"/>
      <c r="U1311" s="49"/>
      <c r="V1311" s="49"/>
      <c r="W1311" s="49"/>
      <c r="X1311" s="49"/>
      <c r="Y1311" s="49"/>
      <c r="Z1311" s="49"/>
    </row>
    <row r="1312">
      <c r="A1312" s="49" t="str">
        <f>IFERROR(__xludf.DUMMYFUNCTION("""COMPUTED_VALUE"""),"Stag Meat")</f>
        <v>Stag Meat</v>
      </c>
      <c r="B1312" s="49" t="str">
        <f>IFERROR(__xludf.DUMMYFUNCTION("""COMPUTED_VALUE"""),"Restores 20 hunger")</f>
        <v>Restores 20 hunger</v>
      </c>
      <c r="C1312" s="49" t="str">
        <f>IFERROR(__xludf.DUMMYFUNCTION("""COMPUTED_VALUE"""),"Crop")</f>
        <v>Crop</v>
      </c>
      <c r="D1312" s="49"/>
      <c r="E1312" s="49"/>
      <c r="F1312" s="49"/>
      <c r="G1312" s="49"/>
      <c r="H1312" s="49"/>
      <c r="I1312" s="49"/>
      <c r="J1312" s="49"/>
      <c r="K1312" s="49"/>
      <c r="L1312" s="49"/>
      <c r="M1312" s="49"/>
      <c r="N1312" s="49"/>
      <c r="O1312" s="49"/>
      <c r="P1312" s="49"/>
      <c r="Q1312" s="49"/>
      <c r="R1312" s="49"/>
      <c r="S1312" s="49"/>
      <c r="T1312" s="49"/>
      <c r="U1312" s="49"/>
      <c r="V1312" s="49"/>
      <c r="W1312" s="49"/>
      <c r="X1312" s="49"/>
      <c r="Y1312" s="49"/>
      <c r="Z1312" s="49"/>
    </row>
    <row r="1313">
      <c r="A1313" s="49" t="str">
        <f>IFERROR(__xludf.DUMMYFUNCTION("""COMPUTED_VALUE"""),"Steed Meat")</f>
        <v>Steed Meat</v>
      </c>
      <c r="B1313" s="49" t="str">
        <f>IFERROR(__xludf.DUMMYFUNCTION("""COMPUTED_VALUE"""),"Restores 20 hunger")</f>
        <v>Restores 20 hunger</v>
      </c>
      <c r="C1313" s="49" t="str">
        <f>IFERROR(__xludf.DUMMYFUNCTION("""COMPUTED_VALUE"""),"Crop")</f>
        <v>Crop</v>
      </c>
      <c r="D1313" s="49"/>
      <c r="E1313" s="49"/>
      <c r="F1313" s="49"/>
      <c r="G1313" s="49"/>
      <c r="H1313" s="49"/>
      <c r="I1313" s="49"/>
      <c r="J1313" s="49"/>
      <c r="K1313" s="49"/>
      <c r="L1313" s="49"/>
      <c r="M1313" s="49"/>
      <c r="N1313" s="49"/>
      <c r="O1313" s="49"/>
      <c r="P1313" s="49"/>
      <c r="Q1313" s="49"/>
      <c r="R1313" s="49"/>
      <c r="S1313" s="49"/>
      <c r="T1313" s="49"/>
      <c r="U1313" s="49"/>
      <c r="V1313" s="49"/>
      <c r="W1313" s="49"/>
      <c r="X1313" s="49"/>
      <c r="Y1313" s="49"/>
      <c r="Z1313" s="49"/>
    </row>
    <row r="1314">
      <c r="A1314" s="49" t="str">
        <f>IFERROR(__xludf.DUMMYFUNCTION("""COMPUTED_VALUE"""),"Moonstone")</f>
        <v>Moonstone</v>
      </c>
      <c r="B1314" s="49" t="str">
        <f>IFERROR(__xludf.DUMMYFUNCTION("""COMPUTED_VALUE"""),"Crafting Material, roll a d20 to see how many you get if this is a loot drop.")</f>
        <v>Crafting Material, roll a d20 to see how many you get if this is a loot drop.</v>
      </c>
      <c r="C1314" s="49" t="str">
        <f>IFERROR(__xludf.DUMMYFUNCTION("""COMPUTED_VALUE"""),"Item")</f>
        <v>Item</v>
      </c>
      <c r="D1314" s="49"/>
      <c r="E1314" s="49"/>
      <c r="F1314" s="49"/>
      <c r="G1314" s="49"/>
      <c r="H1314" s="49"/>
      <c r="I1314" s="49"/>
      <c r="J1314" s="49"/>
      <c r="K1314" s="49"/>
      <c r="L1314" s="49"/>
      <c r="M1314" s="49"/>
      <c r="N1314" s="49"/>
      <c r="O1314" s="49"/>
      <c r="P1314" s="49"/>
      <c r="Q1314" s="49"/>
      <c r="R1314" s="49"/>
      <c r="S1314" s="49"/>
      <c r="T1314" s="49"/>
      <c r="U1314" s="49"/>
      <c r="V1314" s="49"/>
      <c r="W1314" s="49"/>
      <c r="X1314" s="49"/>
      <c r="Y1314" s="49"/>
      <c r="Z1314" s="49"/>
    </row>
    <row r="1315">
      <c r="A1315" s="49" t="str">
        <f>IFERROR(__xludf.DUMMYFUNCTION("""COMPUTED_VALUE"""),"Sunstone")</f>
        <v>Sunstone</v>
      </c>
      <c r="B1315" s="49" t="str">
        <f>IFERROR(__xludf.DUMMYFUNCTION("""COMPUTED_VALUE"""),"Crafting Material, roll a d20 to see how many you get if this is a loot drop.")</f>
        <v>Crafting Material, roll a d20 to see how many you get if this is a loot drop.</v>
      </c>
      <c r="C1315" s="49" t="str">
        <f>IFERROR(__xludf.DUMMYFUNCTION("""COMPUTED_VALUE"""),"Item")</f>
        <v>Item</v>
      </c>
      <c r="D1315" s="49"/>
      <c r="E1315" s="49"/>
      <c r="F1315" s="49"/>
      <c r="G1315" s="49"/>
      <c r="H1315" s="49"/>
      <c r="I1315" s="49"/>
      <c r="J1315" s="49"/>
      <c r="K1315" s="49"/>
      <c r="L1315" s="49"/>
      <c r="M1315" s="49"/>
      <c r="N1315" s="49"/>
      <c r="O1315" s="49"/>
      <c r="P1315" s="49"/>
      <c r="Q1315" s="49"/>
      <c r="R1315" s="49"/>
      <c r="S1315" s="49"/>
      <c r="T1315" s="49"/>
      <c r="U1315" s="49"/>
      <c r="V1315" s="49"/>
      <c r="W1315" s="49"/>
      <c r="X1315" s="49"/>
      <c r="Y1315" s="49"/>
      <c r="Z1315" s="49"/>
    </row>
    <row r="1316">
      <c r="A1316" s="49" t="str">
        <f>IFERROR(__xludf.DUMMYFUNCTION("""COMPUTED_VALUE"""),"Tier 1 Treasure Chest (Non-Magical)")</f>
        <v>Tier 1 Treasure Chest (Non-Magical)</v>
      </c>
      <c r="B1316" s="49" t="str">
        <f>IFERROR(__xludf.DUMMYFUNCTION("""COMPUTED_VALUE"""),"Requires a Treasure Chest key to open")</f>
        <v>Requires a Treasure Chest key to open</v>
      </c>
      <c r="C1316" s="49" t="str">
        <f>IFERROR(__xludf.DUMMYFUNCTION("""COMPUTED_VALUE"""),"Item")</f>
        <v>Item</v>
      </c>
      <c r="D1316" s="49"/>
      <c r="E1316" s="49"/>
      <c r="F1316" s="49"/>
      <c r="G1316" s="49"/>
      <c r="H1316" s="49"/>
      <c r="I1316" s="49"/>
      <c r="J1316" s="49"/>
      <c r="K1316" s="49"/>
      <c r="L1316" s="49"/>
      <c r="M1316" s="49"/>
      <c r="N1316" s="49"/>
      <c r="O1316" s="49"/>
      <c r="P1316" s="49"/>
      <c r="Q1316" s="49"/>
      <c r="R1316" s="49"/>
      <c r="S1316" s="49"/>
      <c r="T1316" s="49"/>
      <c r="U1316" s="49"/>
      <c r="V1316" s="49"/>
      <c r="W1316" s="49"/>
      <c r="X1316" s="49"/>
      <c r="Y1316" s="49"/>
      <c r="Z1316" s="49"/>
    </row>
    <row r="1317">
      <c r="A1317" s="49" t="str">
        <f>IFERROR(__xludf.DUMMYFUNCTION("""COMPUTED_VALUE"""),"Tier 2 Treasure Chest (Non-Magical)")</f>
        <v>Tier 2 Treasure Chest (Non-Magical)</v>
      </c>
      <c r="B1317" s="49" t="str">
        <f>IFERROR(__xludf.DUMMYFUNCTION("""COMPUTED_VALUE"""),"Requires a Treasure Chest key to open")</f>
        <v>Requires a Treasure Chest key to open</v>
      </c>
      <c r="C1317" s="49" t="str">
        <f>IFERROR(__xludf.DUMMYFUNCTION("""COMPUTED_VALUE"""),"Item")</f>
        <v>Item</v>
      </c>
      <c r="D1317" s="49"/>
      <c r="E1317" s="49"/>
      <c r="F1317" s="49"/>
      <c r="G1317" s="49"/>
      <c r="H1317" s="49"/>
      <c r="I1317" s="49"/>
      <c r="J1317" s="49"/>
      <c r="K1317" s="49"/>
      <c r="L1317" s="49"/>
      <c r="M1317" s="49"/>
      <c r="N1317" s="49"/>
      <c r="O1317" s="49"/>
      <c r="P1317" s="49"/>
      <c r="Q1317" s="49"/>
      <c r="R1317" s="49"/>
      <c r="S1317" s="49"/>
      <c r="T1317" s="49"/>
      <c r="U1317" s="49"/>
      <c r="V1317" s="49"/>
      <c r="W1317" s="49"/>
      <c r="X1317" s="49"/>
      <c r="Y1317" s="49"/>
      <c r="Z1317" s="49"/>
    </row>
    <row r="1318">
      <c r="A1318" s="49" t="str">
        <f>IFERROR(__xludf.DUMMYFUNCTION("""COMPUTED_VALUE"""),"Tier 3 Treasure Chest (Non-Magical)")</f>
        <v>Tier 3 Treasure Chest (Non-Magical)</v>
      </c>
      <c r="B1318" s="49" t="str">
        <f>IFERROR(__xludf.DUMMYFUNCTION("""COMPUTED_VALUE"""),"Requires a Treasure Chest key to open")</f>
        <v>Requires a Treasure Chest key to open</v>
      </c>
      <c r="C1318" s="49" t="str">
        <f>IFERROR(__xludf.DUMMYFUNCTION("""COMPUTED_VALUE"""),"Item")</f>
        <v>Item</v>
      </c>
      <c r="D1318" s="49"/>
      <c r="E1318" s="49"/>
      <c r="F1318" s="49"/>
      <c r="G1318" s="49"/>
      <c r="H1318" s="49"/>
      <c r="I1318" s="49"/>
      <c r="J1318" s="49"/>
      <c r="K1318" s="49"/>
      <c r="L1318" s="49"/>
      <c r="M1318" s="49"/>
      <c r="N1318" s="49"/>
      <c r="O1318" s="49"/>
      <c r="P1318" s="49"/>
      <c r="Q1318" s="49"/>
      <c r="R1318" s="49"/>
      <c r="S1318" s="49"/>
      <c r="T1318" s="49"/>
      <c r="U1318" s="49"/>
      <c r="V1318" s="49"/>
      <c r="W1318" s="49"/>
      <c r="X1318" s="49"/>
      <c r="Y1318" s="49"/>
      <c r="Z1318" s="49"/>
    </row>
    <row r="1319">
      <c r="A1319" s="49" t="str">
        <f>IFERROR(__xludf.DUMMYFUNCTION("""COMPUTED_VALUE"""),"Treasure Chest Key (Non-Magical)")</f>
        <v>Treasure Chest Key (Non-Magical)</v>
      </c>
      <c r="B1319" s="49" t="str">
        <f>IFERROR(__xludf.DUMMYFUNCTION("""COMPUTED_VALUE"""),"Unlocks Tier 1-3 Treasure Chests.")</f>
        <v>Unlocks Tier 1-3 Treasure Chests.</v>
      </c>
      <c r="C1319" s="49" t="str">
        <f>IFERROR(__xludf.DUMMYFUNCTION("""COMPUTED_VALUE"""),"Item")</f>
        <v>Item</v>
      </c>
      <c r="D1319" s="49"/>
      <c r="E1319" s="49"/>
      <c r="F1319" s="49"/>
      <c r="G1319" s="49"/>
      <c r="H1319" s="49"/>
      <c r="I1319" s="49"/>
      <c r="J1319" s="49"/>
      <c r="K1319" s="49"/>
      <c r="L1319" s="49"/>
      <c r="M1319" s="49"/>
      <c r="N1319" s="49"/>
      <c r="O1319" s="49"/>
      <c r="P1319" s="49"/>
      <c r="Q1319" s="49"/>
      <c r="R1319" s="49"/>
      <c r="S1319" s="49"/>
      <c r="T1319" s="49"/>
      <c r="U1319" s="49"/>
      <c r="V1319" s="49"/>
      <c r="W1319" s="49"/>
      <c r="X1319" s="49"/>
      <c r="Y1319" s="49"/>
      <c r="Z1319" s="49"/>
    </row>
    <row r="1320">
      <c r="A1320" s="49" t="str">
        <f>IFERROR(__xludf.DUMMYFUNCTION("""COMPUTED_VALUE"""),"Random Dragon Egg")</f>
        <v>Random Dragon Egg</v>
      </c>
      <c r="B1320" s="49" t="str">
        <f>IFERROR(__xludf.DUMMYFUNCTION("""COMPUTED_VALUE"""),"determined by DM/GM")</f>
        <v>determined by DM/GM</v>
      </c>
      <c r="C1320" s="49" t="str">
        <f>IFERROR(__xludf.DUMMYFUNCTION("""COMPUTED_VALUE"""),"Item")</f>
        <v>Item</v>
      </c>
      <c r="D1320" s="49"/>
      <c r="E1320" s="49"/>
      <c r="F1320" s="49"/>
      <c r="G1320" s="49"/>
      <c r="H1320" s="49"/>
      <c r="I1320" s="49"/>
      <c r="J1320" s="49"/>
      <c r="K1320" s="49"/>
      <c r="L1320" s="49"/>
      <c r="M1320" s="49"/>
      <c r="N1320" s="49"/>
      <c r="O1320" s="49"/>
      <c r="P1320" s="49"/>
      <c r="Q1320" s="49"/>
      <c r="R1320" s="49"/>
      <c r="S1320" s="49"/>
      <c r="T1320" s="49"/>
      <c r="U1320" s="49"/>
      <c r="V1320" s="49"/>
      <c r="W1320" s="49"/>
      <c r="X1320" s="49"/>
      <c r="Y1320" s="49"/>
      <c r="Z1320" s="49"/>
    </row>
    <row r="1321">
      <c r="A1321" s="49" t="str">
        <f>IFERROR(__xludf.DUMMYFUNCTION("""COMPUTED_VALUE"""),"Poisoned Bolts")</f>
        <v>Poisoned Bolts</v>
      </c>
      <c r="B1321" s="49" t="str">
        <f>IFERROR(__xludf.DUMMYFUNCTION("""COMPUTED_VALUE"""),"+5000 poison damage per round for 3 rounds")</f>
        <v>+5000 poison damage per round for 3 rounds</v>
      </c>
      <c r="C1321" s="49" t="str">
        <f>IFERROR(__xludf.DUMMYFUNCTION("""COMPUTED_VALUE"""),"Item")</f>
        <v>Item</v>
      </c>
      <c r="D1321" s="49"/>
      <c r="E1321" s="49"/>
      <c r="F1321" s="49"/>
      <c r="G1321" s="49"/>
      <c r="H1321" s="49"/>
      <c r="I1321" s="49"/>
      <c r="J1321" s="49"/>
      <c r="K1321" s="49"/>
      <c r="L1321" s="49"/>
      <c r="M1321" s="49"/>
      <c r="N1321" s="49"/>
      <c r="O1321" s="49"/>
      <c r="P1321" s="49"/>
      <c r="Q1321" s="49"/>
      <c r="R1321" s="49"/>
      <c r="S1321" s="49"/>
      <c r="T1321" s="49"/>
      <c r="U1321" s="49"/>
      <c r="V1321" s="49"/>
      <c r="W1321" s="49"/>
      <c r="X1321" s="49"/>
      <c r="Y1321" s="49"/>
      <c r="Z1321" s="49"/>
    </row>
    <row r="1322">
      <c r="A1322" s="49" t="str">
        <f>IFERROR(__xludf.DUMMYFUNCTION("""COMPUTED_VALUE"""),"Standard Missile")</f>
        <v>Standard Missile</v>
      </c>
      <c r="B1322" s="49"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1322" s="49" t="str">
        <f>IFERROR(__xludf.DUMMYFUNCTION("""COMPUTED_VALUE"""),"Item")</f>
        <v>Item</v>
      </c>
      <c r="D1322" s="49"/>
      <c r="E1322" s="49"/>
      <c r="F1322" s="49"/>
      <c r="G1322" s="49"/>
      <c r="H1322" s="49"/>
      <c r="I1322" s="49"/>
      <c r="J1322" s="49"/>
      <c r="K1322" s="49"/>
      <c r="L1322" s="49"/>
      <c r="M1322" s="49"/>
      <c r="N1322" s="49"/>
      <c r="O1322" s="49"/>
      <c r="P1322" s="49"/>
      <c r="Q1322" s="49"/>
      <c r="R1322" s="49"/>
      <c r="S1322" s="49"/>
      <c r="T1322" s="49"/>
      <c r="U1322" s="49"/>
      <c r="V1322" s="49"/>
      <c r="W1322" s="49"/>
      <c r="X1322" s="49"/>
      <c r="Y1322" s="49"/>
      <c r="Z1322" s="49"/>
    </row>
    <row r="1323">
      <c r="A1323" s="49" t="str">
        <f>IFERROR(__xludf.DUMMYFUNCTION("""COMPUTED_VALUE"""),"Nuclear Missile")</f>
        <v>Nuclear Missile</v>
      </c>
      <c r="B1323" s="49"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1323" s="49" t="str">
        <f>IFERROR(__xludf.DUMMYFUNCTION("""COMPUTED_VALUE"""),"Item")</f>
        <v>Item</v>
      </c>
      <c r="D1323" s="49"/>
      <c r="E1323" s="49"/>
      <c r="F1323" s="49"/>
      <c r="G1323" s="49"/>
      <c r="H1323" s="49"/>
      <c r="I1323" s="49"/>
      <c r="J1323" s="49"/>
      <c r="K1323" s="49"/>
      <c r="L1323" s="49"/>
      <c r="M1323" s="49"/>
      <c r="N1323" s="49"/>
      <c r="O1323" s="49"/>
      <c r="P1323" s="49"/>
      <c r="Q1323" s="49"/>
      <c r="R1323" s="49"/>
      <c r="S1323" s="49"/>
      <c r="T1323" s="49"/>
      <c r="U1323" s="49"/>
      <c r="V1323" s="49"/>
      <c r="W1323" s="49"/>
      <c r="X1323" s="49"/>
      <c r="Y1323" s="49"/>
      <c r="Z1323" s="49"/>
    </row>
    <row r="1324">
      <c r="A1324" s="49" t="str">
        <f>IFERROR(__xludf.DUMMYFUNCTION("""COMPUTED_VALUE"""),"EMP Missile")</f>
        <v>EMP Missile</v>
      </c>
      <c r="B1324" s="49"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1324" s="49" t="str">
        <f>IFERROR(__xludf.DUMMYFUNCTION("""COMPUTED_VALUE"""),"Item")</f>
        <v>Item</v>
      </c>
      <c r="D1324" s="49"/>
      <c r="E1324" s="49"/>
      <c r="F1324" s="49"/>
      <c r="G1324" s="49"/>
      <c r="H1324" s="49"/>
      <c r="I1324" s="49"/>
      <c r="J1324" s="49"/>
      <c r="K1324" s="49"/>
      <c r="L1324" s="49"/>
      <c r="M1324" s="49"/>
      <c r="N1324" s="49"/>
      <c r="O1324" s="49"/>
      <c r="P1324" s="49"/>
      <c r="Q1324" s="49"/>
      <c r="R1324" s="49"/>
      <c r="S1324" s="49"/>
      <c r="T1324" s="49"/>
      <c r="U1324" s="49"/>
      <c r="V1324" s="49"/>
      <c r="W1324" s="49"/>
      <c r="X1324" s="49"/>
      <c r="Y1324" s="49"/>
      <c r="Z1324" s="49"/>
    </row>
    <row r="1325">
      <c r="A1325" s="49" t="str">
        <f>IFERROR(__xludf.DUMMYFUNCTION("""COMPUTED_VALUE"""),"Chaos Bullet")</f>
        <v>Chaos Bullet</v>
      </c>
      <c r="B1325" s="49" t="str">
        <f>IFERROR(__xludf.DUMMYFUNCTION("""COMPUTED_VALUE"""),"Firearm Ammunition. +100 chaos damage. roll a d20 to see how many you get if this is a loot drop.")</f>
        <v>Firearm Ammunition. +100 chaos damage. roll a d20 to see how many you get if this is a loot drop.</v>
      </c>
      <c r="C1325" s="49" t="str">
        <f>IFERROR(__xludf.DUMMYFUNCTION("""COMPUTED_VALUE"""),"Item")</f>
        <v>Item</v>
      </c>
      <c r="D1325" s="49"/>
      <c r="E1325" s="49"/>
      <c r="F1325" s="49"/>
      <c r="G1325" s="49"/>
      <c r="H1325" s="49"/>
      <c r="I1325" s="49"/>
      <c r="J1325" s="49"/>
      <c r="K1325" s="49"/>
      <c r="L1325" s="49"/>
      <c r="M1325" s="49"/>
      <c r="N1325" s="49"/>
      <c r="O1325" s="49"/>
      <c r="P1325" s="49"/>
      <c r="Q1325" s="49"/>
      <c r="R1325" s="49"/>
      <c r="S1325" s="49"/>
      <c r="T1325" s="49"/>
      <c r="U1325" s="49"/>
      <c r="V1325" s="49"/>
      <c r="W1325" s="49"/>
      <c r="X1325" s="49"/>
      <c r="Y1325" s="49"/>
      <c r="Z1325" s="49"/>
    </row>
    <row r="1326">
      <c r="A1326" s="49" t="str">
        <f>IFERROR(__xludf.DUMMYFUNCTION("""COMPUTED_VALUE"""),"Dark Bullet")</f>
        <v>Dark Bullet</v>
      </c>
      <c r="B1326" s="49" t="str">
        <f>IFERROR(__xludf.DUMMYFUNCTION("""COMPUTED_VALUE"""),"Firearm Ammunition. +100 dark damage. roll a d20 to see how many you get if this is a loot drop.")</f>
        <v>Firearm Ammunition. +100 dark damage. roll a d20 to see how many you get if this is a loot drop.</v>
      </c>
      <c r="C1326" s="49" t="str">
        <f>IFERROR(__xludf.DUMMYFUNCTION("""COMPUTED_VALUE"""),"Item")</f>
        <v>Item</v>
      </c>
      <c r="D1326" s="49"/>
      <c r="E1326" s="49"/>
      <c r="F1326" s="49"/>
      <c r="G1326" s="49"/>
      <c r="H1326" s="49"/>
      <c r="I1326" s="49"/>
      <c r="J1326" s="49"/>
      <c r="K1326" s="49"/>
      <c r="L1326" s="49"/>
      <c r="M1326" s="49"/>
      <c r="N1326" s="49"/>
      <c r="O1326" s="49"/>
      <c r="P1326" s="49"/>
      <c r="Q1326" s="49"/>
      <c r="R1326" s="49"/>
      <c r="S1326" s="49"/>
      <c r="T1326" s="49"/>
      <c r="U1326" s="49"/>
      <c r="V1326" s="49"/>
      <c r="W1326" s="49"/>
      <c r="X1326" s="49"/>
      <c r="Y1326" s="49"/>
      <c r="Z1326" s="49"/>
    </row>
    <row r="1327">
      <c r="A1327" s="49" t="str">
        <f>IFERROR(__xludf.DUMMYFUNCTION("""COMPUTED_VALUE"""),"Earth Bullet")</f>
        <v>Earth Bullet</v>
      </c>
      <c r="B1327" s="49" t="str">
        <f>IFERROR(__xludf.DUMMYFUNCTION("""COMPUTED_VALUE"""),"Firearm Ammunition. +100 earth damage. roll a d20 to see how many you get if this is a loot drop.")</f>
        <v>Firearm Ammunition. +100 earth damage. roll a d20 to see how many you get if this is a loot drop.</v>
      </c>
      <c r="C1327" s="49" t="str">
        <f>IFERROR(__xludf.DUMMYFUNCTION("""COMPUTED_VALUE"""),"Item")</f>
        <v>Item</v>
      </c>
      <c r="D1327" s="49"/>
      <c r="E1327" s="49"/>
      <c r="F1327" s="49"/>
      <c r="G1327" s="49"/>
      <c r="H1327" s="49"/>
      <c r="I1327" s="49"/>
      <c r="J1327" s="49"/>
      <c r="K1327" s="49"/>
      <c r="L1327" s="49"/>
      <c r="M1327" s="49"/>
      <c r="N1327" s="49"/>
      <c r="O1327" s="49"/>
      <c r="P1327" s="49"/>
      <c r="Q1327" s="49"/>
      <c r="R1327" s="49"/>
      <c r="S1327" s="49"/>
      <c r="T1327" s="49"/>
      <c r="U1327" s="49"/>
      <c r="V1327" s="49"/>
      <c r="W1327" s="49"/>
      <c r="X1327" s="49"/>
      <c r="Y1327" s="49"/>
      <c r="Z1327" s="49"/>
    </row>
    <row r="1328">
      <c r="A1328" s="49" t="str">
        <f>IFERROR(__xludf.DUMMYFUNCTION("""COMPUTED_VALUE"""),"Fire Bullet")</f>
        <v>Fire Bullet</v>
      </c>
      <c r="B1328" s="49" t="str">
        <f>IFERROR(__xludf.DUMMYFUNCTION("""COMPUTED_VALUE"""),"Firearm Ammunition. +100 fire damage. roll a d20 to see how many you get if this is a loot drop.")</f>
        <v>Firearm Ammunition. +100 fire damage. roll a d20 to see how many you get if this is a loot drop.</v>
      </c>
      <c r="C1328" s="49" t="str">
        <f>IFERROR(__xludf.DUMMYFUNCTION("""COMPUTED_VALUE"""),"Item")</f>
        <v>Item</v>
      </c>
      <c r="D1328" s="49"/>
      <c r="E1328" s="49"/>
      <c r="F1328" s="49"/>
      <c r="G1328" s="49"/>
      <c r="H1328" s="49"/>
      <c r="I1328" s="49"/>
      <c r="J1328" s="49"/>
      <c r="K1328" s="49"/>
      <c r="L1328" s="49"/>
      <c r="M1328" s="49"/>
      <c r="N1328" s="49"/>
      <c r="O1328" s="49"/>
      <c r="P1328" s="49"/>
      <c r="Q1328" s="49"/>
      <c r="R1328" s="49"/>
      <c r="S1328" s="49"/>
      <c r="T1328" s="49"/>
      <c r="U1328" s="49"/>
      <c r="V1328" s="49"/>
      <c r="W1328" s="49"/>
      <c r="X1328" s="49"/>
      <c r="Y1328" s="49"/>
      <c r="Z1328" s="49"/>
    </row>
    <row r="1329">
      <c r="A1329" s="49" t="str">
        <f>IFERROR(__xludf.DUMMYFUNCTION("""COMPUTED_VALUE"""),"Light Bullet")</f>
        <v>Light Bullet</v>
      </c>
      <c r="B1329" s="49" t="str">
        <f>IFERROR(__xludf.DUMMYFUNCTION("""COMPUTED_VALUE"""),"Firearm Ammunition. +100 light damage. roll a d20 to see how many you get if this is a loot drop.")</f>
        <v>Firearm Ammunition. +100 light damage. roll a d20 to see how many you get if this is a loot drop.</v>
      </c>
      <c r="C1329" s="49" t="str">
        <f>IFERROR(__xludf.DUMMYFUNCTION("""COMPUTED_VALUE"""),"Item")</f>
        <v>Item</v>
      </c>
      <c r="D1329" s="49"/>
      <c r="E1329" s="49"/>
      <c r="F1329" s="49"/>
      <c r="G1329" s="49"/>
      <c r="H1329" s="49"/>
      <c r="I1329" s="49"/>
      <c r="J1329" s="49"/>
      <c r="K1329" s="49"/>
      <c r="L1329" s="49"/>
      <c r="M1329" s="49"/>
      <c r="N1329" s="49"/>
      <c r="O1329" s="49"/>
      <c r="P1329" s="49"/>
      <c r="Q1329" s="49"/>
      <c r="R1329" s="49"/>
      <c r="S1329" s="49"/>
      <c r="T1329" s="49"/>
      <c r="U1329" s="49"/>
      <c r="V1329" s="49"/>
      <c r="W1329" s="49"/>
      <c r="X1329" s="49"/>
      <c r="Y1329" s="49"/>
      <c r="Z1329" s="49"/>
    </row>
    <row r="1330">
      <c r="A1330" s="49" t="str">
        <f>IFERROR(__xludf.DUMMYFUNCTION("""COMPUTED_VALUE"""),"Spectral Bullet")</f>
        <v>Spectral Bullet</v>
      </c>
      <c r="B1330" s="49" t="str">
        <f>IFERROR(__xludf.DUMMYFUNCTION("""COMPUTED_VALUE"""),"Firearm Ammunition. +100 spirit damage. roll a d20 to see how many you get if this is a loot drop.")</f>
        <v>Firearm Ammunition. +100 spirit damage. roll a d20 to see how many you get if this is a loot drop.</v>
      </c>
      <c r="C1330" s="49" t="str">
        <f>IFERROR(__xludf.DUMMYFUNCTION("""COMPUTED_VALUE"""),"Item")</f>
        <v>Item</v>
      </c>
      <c r="D1330" s="49"/>
      <c r="E1330" s="49"/>
      <c r="F1330" s="49"/>
      <c r="G1330" s="49"/>
      <c r="H1330" s="49"/>
      <c r="I1330" s="49"/>
      <c r="J1330" s="49"/>
      <c r="K1330" s="49"/>
      <c r="L1330" s="49"/>
      <c r="M1330" s="49"/>
      <c r="N1330" s="49"/>
      <c r="O1330" s="49"/>
      <c r="P1330" s="49"/>
      <c r="Q1330" s="49"/>
      <c r="R1330" s="49"/>
      <c r="S1330" s="49"/>
      <c r="T1330" s="49"/>
      <c r="U1330" s="49"/>
      <c r="V1330" s="49"/>
      <c r="W1330" s="49"/>
      <c r="X1330" s="49"/>
      <c r="Y1330" s="49"/>
      <c r="Z1330" s="49"/>
    </row>
    <row r="1331">
      <c r="A1331" s="49" t="str">
        <f>IFERROR(__xludf.DUMMYFUNCTION("""COMPUTED_VALUE"""),"Stunning Bullet")</f>
        <v>Stunning Bullet</v>
      </c>
      <c r="B1331" s="49"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1331" s="49" t="str">
        <f>IFERROR(__xludf.DUMMYFUNCTION("""COMPUTED_VALUE"""),"Item")</f>
        <v>Item</v>
      </c>
      <c r="D1331" s="49"/>
      <c r="E1331" s="49"/>
      <c r="F1331" s="49"/>
      <c r="G1331" s="49"/>
      <c r="H1331" s="49"/>
      <c r="I1331" s="49"/>
      <c r="J1331" s="49"/>
      <c r="K1331" s="49"/>
      <c r="L1331" s="49"/>
      <c r="M1331" s="49"/>
      <c r="N1331" s="49"/>
      <c r="O1331" s="49"/>
      <c r="P1331" s="49"/>
      <c r="Q1331" s="49"/>
      <c r="R1331" s="49"/>
      <c r="S1331" s="49"/>
      <c r="T1331" s="49"/>
      <c r="U1331" s="49"/>
      <c r="V1331" s="49"/>
      <c r="W1331" s="49"/>
      <c r="X1331" s="49"/>
      <c r="Y1331" s="49"/>
      <c r="Z1331" s="49"/>
    </row>
    <row r="1332">
      <c r="A1332" s="49" t="str">
        <f>IFERROR(__xludf.DUMMYFUNCTION("""COMPUTED_VALUE"""),"Freezing Bullet")</f>
        <v>Freezing Bullet</v>
      </c>
      <c r="B1332" s="49"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1332" s="49" t="str">
        <f>IFERROR(__xludf.DUMMYFUNCTION("""COMPUTED_VALUE"""),"Item")</f>
        <v>Item</v>
      </c>
      <c r="D1332" s="49"/>
      <c r="E1332" s="49"/>
      <c r="F1332" s="49"/>
      <c r="G1332" s="49"/>
      <c r="H1332" s="49"/>
      <c r="I1332" s="49"/>
      <c r="J1332" s="49"/>
      <c r="K1332" s="49"/>
      <c r="L1332" s="49"/>
      <c r="M1332" s="49"/>
      <c r="N1332" s="49"/>
      <c r="O1332" s="49"/>
      <c r="P1332" s="49"/>
      <c r="Q1332" s="49"/>
      <c r="R1332" s="49"/>
      <c r="S1332" s="49"/>
      <c r="T1332" s="49"/>
      <c r="U1332" s="49"/>
      <c r="V1332" s="49"/>
      <c r="W1332" s="49"/>
      <c r="X1332" s="49"/>
      <c r="Y1332" s="49"/>
      <c r="Z1332" s="49"/>
    </row>
    <row r="1333">
      <c r="A1333" s="49" t="str">
        <f>IFERROR(__xludf.DUMMYFUNCTION("""COMPUTED_VALUE"""),"Healing Bullet")</f>
        <v>Healing Bullet</v>
      </c>
      <c r="B1333" s="49"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1333" s="49" t="str">
        <f>IFERROR(__xludf.DUMMYFUNCTION("""COMPUTED_VALUE"""),"Item")</f>
        <v>Item</v>
      </c>
      <c r="D1333" s="49"/>
      <c r="E1333" s="49"/>
      <c r="F1333" s="49"/>
      <c r="G1333" s="49"/>
      <c r="H1333" s="49"/>
      <c r="I1333" s="49"/>
      <c r="J1333" s="49"/>
      <c r="K1333" s="49"/>
      <c r="L1333" s="49"/>
      <c r="M1333" s="49"/>
      <c r="N1333" s="49"/>
      <c r="O1333" s="49"/>
      <c r="P1333" s="49"/>
      <c r="Q1333" s="49"/>
      <c r="R1333" s="49"/>
      <c r="S1333" s="49"/>
      <c r="T1333" s="49"/>
      <c r="U1333" s="49"/>
      <c r="V1333" s="49"/>
      <c r="W1333" s="49"/>
      <c r="X1333" s="49"/>
      <c r="Y1333" s="49"/>
      <c r="Z1333" s="49"/>
    </row>
    <row r="1334">
      <c r="A1334" s="49" t="str">
        <f>IFERROR(__xludf.DUMMYFUNCTION("""COMPUTED_VALUE"""),"Celestial Arrow")</f>
        <v>Celestial Arrow</v>
      </c>
      <c r="B1334" s="49" t="str">
        <f>IFERROR(__xludf.DUMMYFUNCTION("""COMPUTED_VALUE"""),"Bow Ammunition. +500 celestial damage. roll a d20 to see how many you get if this is a loot drop.")</f>
        <v>Bow Ammunition. +500 celestial damage. roll a d20 to see how many you get if this is a loot drop.</v>
      </c>
      <c r="C1334" s="49" t="str">
        <f>IFERROR(__xludf.DUMMYFUNCTION("""COMPUTED_VALUE"""),"Item")</f>
        <v>Item</v>
      </c>
      <c r="D1334" s="49"/>
      <c r="E1334" s="49"/>
      <c r="F1334" s="49"/>
      <c r="G1334" s="49"/>
      <c r="H1334" s="49"/>
      <c r="I1334" s="49"/>
      <c r="J1334" s="49"/>
      <c r="K1334" s="49"/>
      <c r="L1334" s="49"/>
      <c r="M1334" s="49"/>
      <c r="N1334" s="49"/>
      <c r="O1334" s="49"/>
      <c r="P1334" s="49"/>
      <c r="Q1334" s="49"/>
      <c r="R1334" s="49"/>
      <c r="S1334" s="49"/>
      <c r="T1334" s="49"/>
      <c r="U1334" s="49"/>
      <c r="V1334" s="49"/>
      <c r="W1334" s="49"/>
      <c r="X1334" s="49"/>
      <c r="Y1334" s="49"/>
      <c r="Z1334" s="49"/>
    </row>
    <row r="1335">
      <c r="A1335" s="49" t="str">
        <f>IFERROR(__xludf.DUMMYFUNCTION("""COMPUTED_VALUE"""),"Chaos Arrow")</f>
        <v>Chaos Arrow</v>
      </c>
      <c r="B1335" s="49" t="str">
        <f>IFERROR(__xludf.DUMMYFUNCTION("""COMPUTED_VALUE"""),"Bow Ammunition. +500 chaos damage. roll a d20 to see how many you get if this is a loot drop.")</f>
        <v>Bow Ammunition. +500 chaos damage. roll a d20 to see how many you get if this is a loot drop.</v>
      </c>
      <c r="C1335" s="49" t="str">
        <f>IFERROR(__xludf.DUMMYFUNCTION("""COMPUTED_VALUE"""),"Item")</f>
        <v>Item</v>
      </c>
      <c r="D1335" s="49"/>
      <c r="E1335" s="49"/>
      <c r="F1335" s="49"/>
      <c r="G1335" s="49"/>
      <c r="H1335" s="49"/>
      <c r="I1335" s="49"/>
      <c r="J1335" s="49"/>
      <c r="K1335" s="49"/>
      <c r="L1335" s="49"/>
      <c r="M1335" s="49"/>
      <c r="N1335" s="49"/>
      <c r="O1335" s="49"/>
      <c r="P1335" s="49"/>
      <c r="Q1335" s="49"/>
      <c r="R1335" s="49"/>
      <c r="S1335" s="49"/>
      <c r="T1335" s="49"/>
      <c r="U1335" s="49"/>
      <c r="V1335" s="49"/>
      <c r="W1335" s="49"/>
      <c r="X1335" s="49"/>
      <c r="Y1335" s="49"/>
      <c r="Z1335" s="49"/>
    </row>
    <row r="1336">
      <c r="A1336" s="49" t="str">
        <f>IFERROR(__xludf.DUMMYFUNCTION("""COMPUTED_VALUE"""),"Dark Arrow")</f>
        <v>Dark Arrow</v>
      </c>
      <c r="B1336" s="49" t="str">
        <f>IFERROR(__xludf.DUMMYFUNCTION("""COMPUTED_VALUE"""),"Bow Ammunition. +500 dark damage. roll a d20 to see how many you get if this is a loot drop.")</f>
        <v>Bow Ammunition. +500 dark damage. roll a d20 to see how many you get if this is a loot drop.</v>
      </c>
      <c r="C1336" s="49" t="str">
        <f>IFERROR(__xludf.DUMMYFUNCTION("""COMPUTED_VALUE"""),"Item")</f>
        <v>Item</v>
      </c>
      <c r="D1336" s="49"/>
      <c r="E1336" s="49"/>
      <c r="F1336" s="49"/>
      <c r="G1336" s="49"/>
      <c r="H1336" s="49"/>
      <c r="I1336" s="49"/>
      <c r="J1336" s="49"/>
      <c r="K1336" s="49"/>
      <c r="L1336" s="49"/>
      <c r="M1336" s="49"/>
      <c r="N1336" s="49"/>
      <c r="O1336" s="49"/>
      <c r="P1336" s="49"/>
      <c r="Q1336" s="49"/>
      <c r="R1336" s="49"/>
      <c r="S1336" s="49"/>
      <c r="T1336" s="49"/>
      <c r="U1336" s="49"/>
      <c r="V1336" s="49"/>
      <c r="W1336" s="49"/>
      <c r="X1336" s="49"/>
      <c r="Y1336" s="49"/>
      <c r="Z1336" s="49"/>
    </row>
    <row r="1337">
      <c r="A1337" s="49" t="str">
        <f>IFERROR(__xludf.DUMMYFUNCTION("""COMPUTED_VALUE"""),"Earth Arrow")</f>
        <v>Earth Arrow</v>
      </c>
      <c r="B1337" s="49" t="str">
        <f>IFERROR(__xludf.DUMMYFUNCTION("""COMPUTED_VALUE"""),"Bow Ammunition. +500 earth damage. roll a d20 to see how many you get if this is a loot drop.")</f>
        <v>Bow Ammunition. +500 earth damage. roll a d20 to see how many you get if this is a loot drop.</v>
      </c>
      <c r="C1337" s="49" t="str">
        <f>IFERROR(__xludf.DUMMYFUNCTION("""COMPUTED_VALUE"""),"Item")</f>
        <v>Item</v>
      </c>
      <c r="D1337" s="49"/>
      <c r="E1337" s="49"/>
      <c r="F1337" s="49"/>
      <c r="G1337" s="49"/>
      <c r="H1337" s="49"/>
      <c r="I1337" s="49"/>
      <c r="J1337" s="49"/>
      <c r="K1337" s="49"/>
      <c r="L1337" s="49"/>
      <c r="M1337" s="49"/>
      <c r="N1337" s="49"/>
      <c r="O1337" s="49"/>
      <c r="P1337" s="49"/>
      <c r="Q1337" s="49"/>
      <c r="R1337" s="49"/>
      <c r="S1337" s="49"/>
      <c r="T1337" s="49"/>
      <c r="U1337" s="49"/>
      <c r="V1337" s="49"/>
      <c r="W1337" s="49"/>
      <c r="X1337" s="49"/>
      <c r="Y1337" s="49"/>
      <c r="Z1337" s="49"/>
    </row>
    <row r="1338">
      <c r="A1338" s="49" t="str">
        <f>IFERROR(__xludf.DUMMYFUNCTION("""COMPUTED_VALUE"""),"Fire Arrow")</f>
        <v>Fire Arrow</v>
      </c>
      <c r="B1338" s="49" t="str">
        <f>IFERROR(__xludf.DUMMYFUNCTION("""COMPUTED_VALUE"""),"Bow Ammunition. +500 fire damage. roll a d20 to see how many you get if this is a loot drop.")</f>
        <v>Bow Ammunition. +500 fire damage. roll a d20 to see how many you get if this is a loot drop.</v>
      </c>
      <c r="C1338" s="49" t="str">
        <f>IFERROR(__xludf.DUMMYFUNCTION("""COMPUTED_VALUE"""),"Item")</f>
        <v>Item</v>
      </c>
      <c r="D1338" s="49"/>
      <c r="E1338" s="49"/>
      <c r="F1338" s="49"/>
      <c r="G1338" s="49"/>
      <c r="H1338" s="49"/>
      <c r="I1338" s="49"/>
      <c r="J1338" s="49"/>
      <c r="K1338" s="49"/>
      <c r="L1338" s="49"/>
      <c r="M1338" s="49"/>
      <c r="N1338" s="49"/>
      <c r="O1338" s="49"/>
      <c r="P1338" s="49"/>
      <c r="Q1338" s="49"/>
      <c r="R1338" s="49"/>
      <c r="S1338" s="49"/>
      <c r="T1338" s="49"/>
      <c r="U1338" s="49"/>
      <c r="V1338" s="49"/>
      <c r="W1338" s="49"/>
      <c r="X1338" s="49"/>
      <c r="Y1338" s="49"/>
      <c r="Z1338" s="49"/>
    </row>
    <row r="1339">
      <c r="A1339" s="49" t="str">
        <f>IFERROR(__xludf.DUMMYFUNCTION("""COMPUTED_VALUE"""),"Light Arrow")</f>
        <v>Light Arrow</v>
      </c>
      <c r="B1339" s="49" t="str">
        <f>IFERROR(__xludf.DUMMYFUNCTION("""COMPUTED_VALUE"""),"Bow Ammunition. +500 light damage. roll a d20 to see how many you get if this is a loot drop.")</f>
        <v>Bow Ammunition. +500 light damage. roll a d20 to see how many you get if this is a loot drop.</v>
      </c>
      <c r="C1339" s="49" t="str">
        <f>IFERROR(__xludf.DUMMYFUNCTION("""COMPUTED_VALUE"""),"Item")</f>
        <v>Item</v>
      </c>
      <c r="D1339" s="49"/>
      <c r="E1339" s="49"/>
      <c r="F1339" s="49"/>
      <c r="G1339" s="49"/>
      <c r="H1339" s="49"/>
      <c r="I1339" s="49"/>
      <c r="J1339" s="49"/>
      <c r="K1339" s="49"/>
      <c r="L1339" s="49"/>
      <c r="M1339" s="49"/>
      <c r="N1339" s="49"/>
      <c r="O1339" s="49"/>
      <c r="P1339" s="49"/>
      <c r="Q1339" s="49"/>
      <c r="R1339" s="49"/>
      <c r="S1339" s="49"/>
      <c r="T1339" s="49"/>
      <c r="U1339" s="49"/>
      <c r="V1339" s="49"/>
      <c r="W1339" s="49"/>
      <c r="X1339" s="49"/>
      <c r="Y1339" s="49"/>
      <c r="Z1339" s="49"/>
    </row>
    <row r="1340">
      <c r="A1340" s="49" t="str">
        <f>IFERROR(__xludf.DUMMYFUNCTION("""COMPUTED_VALUE"""),"Spectral Arrow")</f>
        <v>Spectral Arrow</v>
      </c>
      <c r="B1340" s="49" t="str">
        <f>IFERROR(__xludf.DUMMYFUNCTION("""COMPUTED_VALUE"""),"Bow Ammunition. +500 spirit damage. roll a d20 to see how many you get if this is a loot drop.")</f>
        <v>Bow Ammunition. +500 spirit damage. roll a d20 to see how many you get if this is a loot drop.</v>
      </c>
      <c r="C1340" s="49" t="str">
        <f>IFERROR(__xludf.DUMMYFUNCTION("""COMPUTED_VALUE"""),"Item")</f>
        <v>Item</v>
      </c>
      <c r="D1340" s="49"/>
      <c r="E1340" s="49"/>
      <c r="F1340" s="49"/>
      <c r="G1340" s="49"/>
      <c r="H1340" s="49"/>
      <c r="I1340" s="49"/>
      <c r="J1340" s="49"/>
      <c r="K1340" s="49"/>
      <c r="L1340" s="49"/>
      <c r="M1340" s="49"/>
      <c r="N1340" s="49"/>
      <c r="O1340" s="49"/>
      <c r="P1340" s="49"/>
      <c r="Q1340" s="49"/>
      <c r="R1340" s="49"/>
      <c r="S1340" s="49"/>
      <c r="T1340" s="49"/>
      <c r="U1340" s="49"/>
      <c r="V1340" s="49"/>
      <c r="W1340" s="49"/>
      <c r="X1340" s="49"/>
      <c r="Y1340" s="49"/>
      <c r="Z1340" s="49"/>
    </row>
    <row r="1341">
      <c r="A1341" s="49" t="str">
        <f>IFERROR(__xludf.DUMMYFUNCTION("""COMPUTED_VALUE"""),"Stunning Arrow")</f>
        <v>Stunning Arrow</v>
      </c>
      <c r="B1341" s="49" t="str">
        <f>IFERROR(__xludf.DUMMYFUNCTION("""COMPUTED_VALUE"""),"Bow Ammunition. +500 storm damage. +25% chance of Stun 3. roll a d20 to see how many you get if this is a loot drop.")</f>
        <v>Bow Ammunition. +500 storm damage. +25% chance of Stun 3. roll a d20 to see how many you get if this is a loot drop.</v>
      </c>
      <c r="C1341" s="49" t="str">
        <f>IFERROR(__xludf.DUMMYFUNCTION("""COMPUTED_VALUE"""),"Item")</f>
        <v>Item</v>
      </c>
      <c r="D1341" s="49"/>
      <c r="E1341" s="49"/>
      <c r="F1341" s="49"/>
      <c r="G1341" s="49"/>
      <c r="H1341" s="49"/>
      <c r="I1341" s="49"/>
      <c r="J1341" s="49"/>
      <c r="K1341" s="49"/>
      <c r="L1341" s="49"/>
      <c r="M1341" s="49"/>
      <c r="N1341" s="49"/>
      <c r="O1341" s="49"/>
      <c r="P1341" s="49"/>
      <c r="Q1341" s="49"/>
      <c r="R1341" s="49"/>
      <c r="S1341" s="49"/>
      <c r="T1341" s="49"/>
      <c r="U1341" s="49"/>
      <c r="V1341" s="49"/>
      <c r="W1341" s="49"/>
      <c r="X1341" s="49"/>
      <c r="Y1341" s="49"/>
      <c r="Z1341" s="49"/>
    </row>
    <row r="1342">
      <c r="A1342" s="49" t="str">
        <f>IFERROR(__xludf.DUMMYFUNCTION("""COMPUTED_VALUE"""),"Freezing Arrow")</f>
        <v>Freezing Arrow</v>
      </c>
      <c r="B1342" s="49"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1342" s="49" t="str">
        <f>IFERROR(__xludf.DUMMYFUNCTION("""COMPUTED_VALUE"""),"Item")</f>
        <v>Item</v>
      </c>
      <c r="D1342" s="49"/>
      <c r="E1342" s="49"/>
      <c r="F1342" s="49"/>
      <c r="G1342" s="49"/>
      <c r="H1342" s="49"/>
      <c r="I1342" s="49"/>
      <c r="J1342" s="49"/>
      <c r="K1342" s="49"/>
      <c r="L1342" s="49"/>
      <c r="M1342" s="49"/>
      <c r="N1342" s="49"/>
      <c r="O1342" s="49"/>
      <c r="P1342" s="49"/>
      <c r="Q1342" s="49"/>
      <c r="R1342" s="49"/>
      <c r="S1342" s="49"/>
      <c r="T1342" s="49"/>
      <c r="U1342" s="49"/>
      <c r="V1342" s="49"/>
      <c r="W1342" s="49"/>
      <c r="X1342" s="49"/>
      <c r="Y1342" s="49"/>
      <c r="Z1342" s="49"/>
    </row>
    <row r="1343">
      <c r="A1343" s="49" t="str">
        <f>IFERROR(__xludf.DUMMYFUNCTION("""COMPUTED_VALUE"""),"Healing Arrow")</f>
        <v>Healing Arrow</v>
      </c>
      <c r="B1343" s="49" t="str">
        <f>IFERROR(__xludf.DUMMYFUNCTION("""COMPUTED_VALUE"""),"Bow Ammunition. +Restores 1000 HP and SP to the target. roll a d20 to see how many you get if this is a loot drop.")</f>
        <v>Bow Ammunition. +Restores 1000 HP and SP to the target. roll a d20 to see how many you get if this is a loot drop.</v>
      </c>
      <c r="C1343" s="49" t="str">
        <f>IFERROR(__xludf.DUMMYFUNCTION("""COMPUTED_VALUE"""),"Item")</f>
        <v>Item</v>
      </c>
      <c r="D1343" s="49"/>
      <c r="E1343" s="49"/>
      <c r="F1343" s="49"/>
      <c r="G1343" s="49"/>
      <c r="H1343" s="49"/>
      <c r="I1343" s="49"/>
      <c r="J1343" s="49"/>
      <c r="K1343" s="49"/>
      <c r="L1343" s="49"/>
      <c r="M1343" s="49"/>
      <c r="N1343" s="49"/>
      <c r="O1343" s="49"/>
      <c r="P1343" s="49"/>
      <c r="Q1343" s="49"/>
      <c r="R1343" s="49"/>
      <c r="S1343" s="49"/>
      <c r="T1343" s="49"/>
      <c r="U1343" s="49"/>
      <c r="V1343" s="49"/>
      <c r="W1343" s="49"/>
      <c r="X1343" s="49"/>
      <c r="Y1343" s="49"/>
      <c r="Z1343" s="49"/>
    </row>
    <row r="1344">
      <c r="A1344" s="49" t="str">
        <f>IFERROR(__xludf.DUMMYFUNCTION("""COMPUTED_VALUE"""),"Celestial Bullet")</f>
        <v>Celestial Bullet</v>
      </c>
      <c r="B1344" s="49" t="str">
        <f>IFERROR(__xludf.DUMMYFUNCTION("""COMPUTED_VALUE"""),"Firearm Ammunition. +100 celestial damage. roll a d20 to see how many you get if this is a loot drop.")</f>
        <v>Firearm Ammunition. +100 celestial damage. roll a d20 to see how many you get if this is a loot drop.</v>
      </c>
      <c r="C1344" s="49" t="str">
        <f>IFERROR(__xludf.DUMMYFUNCTION("""COMPUTED_VALUE"""),"Item")</f>
        <v>Item</v>
      </c>
      <c r="D1344" s="49"/>
      <c r="E1344" s="49"/>
      <c r="F1344" s="49"/>
      <c r="G1344" s="49"/>
      <c r="H1344" s="49"/>
      <c r="I1344" s="49"/>
      <c r="J1344" s="49"/>
      <c r="K1344" s="49"/>
      <c r="L1344" s="49"/>
      <c r="M1344" s="49"/>
      <c r="N1344" s="49"/>
      <c r="O1344" s="49"/>
      <c r="P1344" s="49"/>
      <c r="Q1344" s="49"/>
      <c r="R1344" s="49"/>
      <c r="S1344" s="49"/>
      <c r="T1344" s="49"/>
      <c r="U1344" s="49"/>
      <c r="V1344" s="49"/>
      <c r="W1344" s="49"/>
      <c r="X1344" s="49"/>
      <c r="Y1344" s="49"/>
      <c r="Z1344" s="49"/>
    </row>
    <row r="1345">
      <c r="A1345" s="49" t="str">
        <f>IFERROR(__xludf.DUMMYFUNCTION("""COMPUTED_VALUE"""),"Fire Cannon Ball")</f>
        <v>Fire Cannon Ball</v>
      </c>
      <c r="B1345" s="49" t="str">
        <f>IFERROR(__xludf.DUMMYFUNCTION("""COMPUTED_VALUE"""),"Fireball Cannon Ammunition, +5000 fire damage. roll a d20 to see how many you get if this is a loot drop.")</f>
        <v>Fireball Cannon Ammunition, +5000 fire damage. roll a d20 to see how many you get if this is a loot drop.</v>
      </c>
      <c r="C1345" s="49" t="str">
        <f>IFERROR(__xludf.DUMMYFUNCTION("""COMPUTED_VALUE"""),"Item")</f>
        <v>Item</v>
      </c>
      <c r="D1345" s="49"/>
      <c r="E1345" s="49"/>
      <c r="F1345" s="49"/>
      <c r="G1345" s="49"/>
      <c r="H1345" s="49"/>
      <c r="I1345" s="49"/>
      <c r="J1345" s="49"/>
      <c r="K1345" s="49"/>
      <c r="L1345" s="49"/>
      <c r="M1345" s="49"/>
      <c r="N1345" s="49"/>
      <c r="O1345" s="49"/>
      <c r="P1345" s="49"/>
      <c r="Q1345" s="49"/>
      <c r="R1345" s="49"/>
      <c r="S1345" s="49"/>
      <c r="T1345" s="49"/>
      <c r="U1345" s="49"/>
      <c r="V1345" s="49"/>
      <c r="W1345" s="49"/>
      <c r="X1345" s="49"/>
      <c r="Y1345" s="49"/>
      <c r="Z1345" s="49"/>
    </row>
    <row r="1346">
      <c r="A1346" s="49" t="str">
        <f>IFERROR(__xludf.DUMMYFUNCTION("""COMPUTED_VALUE"""),"Torpedo")</f>
        <v>Torpedo</v>
      </c>
      <c r="B1346" s="49" t="str">
        <f>IFERROR(__xludf.DUMMYFUNCTION("""COMPUTED_VALUE"""),"Torpedo Launcher Ammunition. +10,000 damage. roll a d20 to see how many you get if this is a loot drop.")</f>
        <v>Torpedo Launcher Ammunition. +10,000 damage. roll a d20 to see how many you get if this is a loot drop.</v>
      </c>
      <c r="C1346" s="49" t="str">
        <f>IFERROR(__xludf.DUMMYFUNCTION("""COMPUTED_VALUE"""),"Item")</f>
        <v>Item</v>
      </c>
      <c r="D1346" s="49"/>
      <c r="E1346" s="49"/>
      <c r="F1346" s="49"/>
      <c r="G1346" s="49"/>
      <c r="H1346" s="49"/>
      <c r="I1346" s="49"/>
      <c r="J1346" s="49"/>
      <c r="K1346" s="49"/>
      <c r="L1346" s="49"/>
      <c r="M1346" s="49"/>
      <c r="N1346" s="49"/>
      <c r="O1346" s="49"/>
      <c r="P1346" s="49"/>
      <c r="Q1346" s="49"/>
      <c r="R1346" s="49"/>
      <c r="S1346" s="49"/>
      <c r="T1346" s="49"/>
      <c r="U1346" s="49"/>
      <c r="V1346" s="49"/>
      <c r="W1346" s="49"/>
      <c r="X1346" s="49"/>
      <c r="Y1346" s="49"/>
      <c r="Z1346" s="49"/>
    </row>
    <row r="1347">
      <c r="A1347" s="49" t="str">
        <f>IFERROR(__xludf.DUMMYFUNCTION("""COMPUTED_VALUE"""),"Fragmentation Grenade")</f>
        <v>Fragmentation Grenade</v>
      </c>
      <c r="B1347" s="49" t="str">
        <f>IFERROR(__xludf.DUMMYFUNCTION("""COMPUTED_VALUE"""),"Deals 10000 damage to all enemies.")</f>
        <v>Deals 10000 damage to all enemies.</v>
      </c>
      <c r="C1347" s="49" t="str">
        <f>IFERROR(__xludf.DUMMYFUNCTION("""COMPUTED_VALUE"""),"Grenade")</f>
        <v>Grenade</v>
      </c>
      <c r="D1347" s="49"/>
      <c r="E1347" s="49"/>
      <c r="F1347" s="49"/>
      <c r="G1347" s="49"/>
      <c r="H1347" s="49"/>
      <c r="I1347" s="49"/>
      <c r="J1347" s="49"/>
      <c r="K1347" s="49"/>
      <c r="L1347" s="49"/>
      <c r="M1347" s="49"/>
      <c r="N1347" s="49"/>
      <c r="O1347" s="49"/>
      <c r="P1347" s="49"/>
      <c r="Q1347" s="49"/>
      <c r="R1347" s="49"/>
      <c r="S1347" s="49"/>
      <c r="T1347" s="49"/>
      <c r="U1347" s="49"/>
      <c r="V1347" s="49"/>
      <c r="W1347" s="49"/>
      <c r="X1347" s="49"/>
      <c r="Y1347" s="49"/>
      <c r="Z1347" s="49"/>
    </row>
    <row r="1348">
      <c r="A1348" s="49" t="str">
        <f>IFERROR(__xludf.DUMMYFUNCTION("""COMPUTED_VALUE"""),"Flashbang")</f>
        <v>Flashbang</v>
      </c>
      <c r="B1348" s="49" t="str">
        <f>IFERROR(__xludf.DUMMYFUNCTION("""COMPUTED_VALUE"""),"Deals 5000 Light damage and has a 15% chance to inflict Blindness 2 to all enemies.")</f>
        <v>Deals 5000 Light damage and has a 15% chance to inflict Blindness 2 to all enemies.</v>
      </c>
      <c r="C1348" s="49" t="str">
        <f>IFERROR(__xludf.DUMMYFUNCTION("""COMPUTED_VALUE"""),"Grenade")</f>
        <v>Grenade</v>
      </c>
      <c r="D1348" s="49"/>
      <c r="E1348" s="49"/>
      <c r="F1348" s="49"/>
      <c r="G1348" s="49"/>
      <c r="H1348" s="49"/>
      <c r="I1348" s="49"/>
      <c r="J1348" s="49"/>
      <c r="K1348" s="49"/>
      <c r="L1348" s="49"/>
      <c r="M1348" s="49"/>
      <c r="N1348" s="49"/>
      <c r="O1348" s="49"/>
      <c r="P1348" s="49"/>
      <c r="Q1348" s="49"/>
      <c r="R1348" s="49"/>
      <c r="S1348" s="49"/>
      <c r="T1348" s="49"/>
      <c r="U1348" s="49"/>
      <c r="V1348" s="49"/>
      <c r="W1348" s="49"/>
      <c r="X1348" s="49"/>
      <c r="Y1348" s="49"/>
      <c r="Z1348" s="49"/>
    </row>
    <row r="1349">
      <c r="A1349" s="49" t="str">
        <f>IFERROR(__xludf.DUMMYFUNCTION("""COMPUTED_VALUE"""),"Earth Golem Core")</f>
        <v>Earth Golem Core</v>
      </c>
      <c r="B1349" s="49" t="str">
        <f>IFERROR(__xludf.DUMMYFUNCTION("""COMPUTED_VALUE"""),"Summons an Earth Golem to battle (Can only be used once)")</f>
        <v>Summons an Earth Golem to battle (Can only be used once)</v>
      </c>
      <c r="C1349" s="49" t="str">
        <f>IFERROR(__xludf.DUMMYFUNCTION("""COMPUTED_VALUE"""),"Item")</f>
        <v>Item</v>
      </c>
      <c r="D1349" s="49"/>
      <c r="E1349" s="49"/>
      <c r="F1349" s="49"/>
      <c r="G1349" s="49"/>
      <c r="H1349" s="49"/>
      <c r="I1349" s="49"/>
      <c r="J1349" s="49"/>
      <c r="K1349" s="49"/>
      <c r="L1349" s="49"/>
      <c r="M1349" s="49"/>
      <c r="N1349" s="49"/>
      <c r="O1349" s="49"/>
      <c r="P1349" s="49"/>
      <c r="Q1349" s="49"/>
      <c r="R1349" s="49"/>
      <c r="S1349" s="49"/>
      <c r="T1349" s="49"/>
      <c r="U1349" s="49"/>
      <c r="V1349" s="49"/>
      <c r="W1349" s="49"/>
      <c r="X1349" s="49"/>
      <c r="Y1349" s="49"/>
      <c r="Z1349" s="49"/>
    </row>
    <row r="1350">
      <c r="A1350" s="49" t="str">
        <f>IFERROR(__xludf.DUMMYFUNCTION("""COMPUTED_VALUE"""),"Nailbomb")</f>
        <v>Nailbomb</v>
      </c>
      <c r="B1350" s="49" t="str">
        <f>IFERROR(__xludf.DUMMYFUNCTION("""COMPUTED_VALUE"""),"Deals 5000 bleed damage and has a 25% chance of inflicting bleed 2500 for 3 rounds to all enemies.")</f>
        <v>Deals 5000 bleed damage and has a 25% chance of inflicting bleed 2500 for 3 rounds to all enemies.</v>
      </c>
      <c r="C1350" s="49" t="str">
        <f>IFERROR(__xludf.DUMMYFUNCTION("""COMPUTED_VALUE"""),"Grenade")</f>
        <v>Grenade</v>
      </c>
      <c r="D1350" s="49"/>
      <c r="E1350" s="49"/>
      <c r="F1350" s="49"/>
      <c r="G1350" s="49"/>
      <c r="H1350" s="49"/>
      <c r="I1350" s="49"/>
      <c r="J1350" s="49"/>
      <c r="K1350" s="49"/>
      <c r="L1350" s="49"/>
      <c r="M1350" s="49"/>
      <c r="N1350" s="49"/>
      <c r="O1350" s="49"/>
      <c r="P1350" s="49"/>
      <c r="Q1350" s="49"/>
      <c r="R1350" s="49"/>
      <c r="S1350" s="49"/>
      <c r="T1350" s="49"/>
      <c r="U1350" s="49"/>
      <c r="V1350" s="49"/>
      <c r="W1350" s="49"/>
      <c r="X1350" s="49"/>
      <c r="Y1350" s="49"/>
      <c r="Z1350" s="49"/>
    </row>
    <row r="1351">
      <c r="A1351" s="49" t="str">
        <f>IFERROR(__xludf.DUMMYFUNCTION("""COMPUTED_VALUE"""),"Molotov")</f>
        <v>Molotov</v>
      </c>
      <c r="B1351" s="49" t="str">
        <f>IFERROR(__xludf.DUMMYFUNCTION("""COMPUTED_VALUE"""),"Deals 5000 fire damage and has a 25% chance of inflicting burn 2500 for 3 rounds to all enemies.")</f>
        <v>Deals 5000 fire damage and has a 25% chance of inflicting burn 2500 for 3 rounds to all enemies.</v>
      </c>
      <c r="C1351" s="49" t="str">
        <f>IFERROR(__xludf.DUMMYFUNCTION("""COMPUTED_VALUE"""),"Grenade")</f>
        <v>Grenade</v>
      </c>
      <c r="D1351" s="49"/>
      <c r="E1351" s="49"/>
      <c r="F1351" s="49"/>
      <c r="G1351" s="49"/>
      <c r="H1351" s="49"/>
      <c r="I1351" s="49"/>
      <c r="J1351" s="49"/>
      <c r="K1351" s="49"/>
      <c r="L1351" s="49"/>
      <c r="M1351" s="49"/>
      <c r="N1351" s="49"/>
      <c r="O1351" s="49"/>
      <c r="P1351" s="49"/>
      <c r="Q1351" s="49"/>
      <c r="R1351" s="49"/>
      <c r="S1351" s="49"/>
      <c r="T1351" s="49"/>
      <c r="U1351" s="49"/>
      <c r="V1351" s="49"/>
      <c r="W1351" s="49"/>
      <c r="X1351" s="49"/>
      <c r="Y1351" s="49"/>
      <c r="Z1351" s="49"/>
    </row>
    <row r="1352">
      <c r="A1352" s="49" t="str">
        <f>IFERROR(__xludf.DUMMYFUNCTION("""COMPUTED_VALUE"""),"Smoke Bomb")</f>
        <v>Smoke Bomb</v>
      </c>
      <c r="B1352" s="49" t="str">
        <f>IFERROR(__xludf.DUMMYFUNCTION("""COMPUTED_VALUE"""),"Conceals you and gives you +5 mobility when fleeing.")</f>
        <v>Conceals you and gives you +5 mobility when fleeing.</v>
      </c>
      <c r="C1352" s="49" t="str">
        <f>IFERROR(__xludf.DUMMYFUNCTION("""COMPUTED_VALUE"""),"Grenade")</f>
        <v>Grenade</v>
      </c>
      <c r="D1352" s="49"/>
      <c r="E1352" s="49"/>
      <c r="F1352" s="49"/>
      <c r="G1352" s="49"/>
      <c r="H1352" s="49"/>
      <c r="I1352" s="49"/>
      <c r="J1352" s="49"/>
      <c r="K1352" s="49"/>
      <c r="L1352" s="49"/>
      <c r="M1352" s="49"/>
      <c r="N1352" s="49"/>
      <c r="O1352" s="49"/>
      <c r="P1352" s="49"/>
      <c r="Q1352" s="49"/>
      <c r="R1352" s="49"/>
      <c r="S1352" s="49"/>
      <c r="T1352" s="49"/>
      <c r="U1352" s="49"/>
      <c r="V1352" s="49"/>
      <c r="W1352" s="49"/>
      <c r="X1352" s="49"/>
      <c r="Y1352" s="49"/>
      <c r="Z1352" s="49"/>
    </row>
    <row r="1353">
      <c r="A1353" s="49" t="str">
        <f>IFERROR(__xludf.DUMMYFUNCTION("""COMPUTED_VALUE"""),"Gas Grenade")</f>
        <v>Gas Grenade</v>
      </c>
      <c r="B1353" s="49" t="str">
        <f>IFERROR(__xludf.DUMMYFUNCTION("""COMPUTED_VALUE"""),"Inflicts poison 5000 for 3 rounds to all enemies.")</f>
        <v>Inflicts poison 5000 for 3 rounds to all enemies.</v>
      </c>
      <c r="C1353" s="49" t="str">
        <f>IFERROR(__xludf.DUMMYFUNCTION("""COMPUTED_VALUE"""),"Grenade")</f>
        <v>Grenade</v>
      </c>
      <c r="D1353" s="49"/>
      <c r="E1353" s="49"/>
      <c r="F1353" s="49"/>
      <c r="G1353" s="49"/>
      <c r="H1353" s="49"/>
      <c r="I1353" s="49"/>
      <c r="J1353" s="49"/>
      <c r="K1353" s="49"/>
      <c r="L1353" s="49"/>
      <c r="M1353" s="49"/>
      <c r="N1353" s="49"/>
      <c r="O1353" s="49"/>
      <c r="P1353" s="49"/>
      <c r="Q1353" s="49"/>
      <c r="R1353" s="49"/>
      <c r="S1353" s="49"/>
      <c r="T1353" s="49"/>
      <c r="U1353" s="49"/>
      <c r="V1353" s="49"/>
      <c r="W1353" s="49"/>
      <c r="X1353" s="49"/>
      <c r="Y1353" s="49"/>
      <c r="Z1353" s="49"/>
    </row>
    <row r="1354">
      <c r="A1354" s="49" t="str">
        <f>IFERROR(__xludf.DUMMYFUNCTION("""COMPUTED_VALUE"""),"Booze Bomb")</f>
        <v>Booze Bomb</v>
      </c>
      <c r="B1354" s="49" t="str">
        <f>IFERROR(__xludf.DUMMYFUNCTION("""COMPUTED_VALUE"""),"75% to inflict disoriented 5 to all enemies.")</f>
        <v>75% to inflict disoriented 5 to all enemies.</v>
      </c>
      <c r="C1354" s="49" t="str">
        <f>IFERROR(__xludf.DUMMYFUNCTION("""COMPUTED_VALUE"""),"Grenade")</f>
        <v>Grenade</v>
      </c>
      <c r="D1354" s="49"/>
      <c r="E1354" s="49"/>
      <c r="F1354" s="49"/>
      <c r="G1354" s="49"/>
      <c r="H1354" s="49"/>
      <c r="I1354" s="49"/>
      <c r="J1354" s="49"/>
      <c r="K1354" s="49"/>
      <c r="L1354" s="49"/>
      <c r="M1354" s="49"/>
      <c r="N1354" s="49"/>
      <c r="O1354" s="49"/>
      <c r="P1354" s="49"/>
      <c r="Q1354" s="49"/>
      <c r="R1354" s="49"/>
      <c r="S1354" s="49"/>
      <c r="T1354" s="49"/>
      <c r="U1354" s="49"/>
      <c r="V1354" s="49"/>
      <c r="W1354" s="49"/>
      <c r="X1354" s="49"/>
      <c r="Y1354" s="49"/>
      <c r="Z1354" s="49"/>
    </row>
    <row r="1355">
      <c r="A1355" s="49" t="str">
        <f>IFERROR(__xludf.DUMMYFUNCTION("""COMPUTED_VALUE"""),"Ice bomb")</f>
        <v>Ice bomb</v>
      </c>
      <c r="B1355" s="49" t="str">
        <f>IFERROR(__xludf.DUMMYFUNCTION("""COMPUTED_VALUE"""),"50% chance to freeze targets to all enemies.")</f>
        <v>50% chance to freeze targets to all enemies.</v>
      </c>
      <c r="C1355" s="49" t="str">
        <f>IFERROR(__xludf.DUMMYFUNCTION("""COMPUTED_VALUE"""),"Grenade")</f>
        <v>Grenade</v>
      </c>
      <c r="D1355" s="49"/>
      <c r="E1355" s="49"/>
      <c r="F1355" s="49"/>
      <c r="G1355" s="49"/>
      <c r="H1355" s="49"/>
      <c r="I1355" s="49"/>
      <c r="J1355" s="49"/>
      <c r="K1355" s="49"/>
      <c r="L1355" s="49"/>
      <c r="M1355" s="49"/>
      <c r="N1355" s="49"/>
      <c r="O1355" s="49"/>
      <c r="P1355" s="49"/>
      <c r="Q1355" s="49"/>
      <c r="R1355" s="49"/>
      <c r="S1355" s="49"/>
      <c r="T1355" s="49"/>
      <c r="U1355" s="49"/>
      <c r="V1355" s="49"/>
      <c r="W1355" s="49"/>
      <c r="X1355" s="49"/>
      <c r="Y1355" s="49"/>
      <c r="Z1355" s="49"/>
    </row>
    <row r="1356">
      <c r="A1356" s="49" t="str">
        <f>IFERROR(__xludf.DUMMYFUNCTION("""COMPUTED_VALUE"""),"Holy Water")</f>
        <v>Holy Water</v>
      </c>
      <c r="B1356" s="49" t="str">
        <f>IFERROR(__xludf.DUMMYFUNCTION("""COMPUTED_VALUE"""),"Deals 10000 Light Damage")</f>
        <v>Deals 10000 Light Damage</v>
      </c>
      <c r="C1356" s="49" t="str">
        <f>IFERROR(__xludf.DUMMYFUNCTION("""COMPUTED_VALUE"""),"Grenade")</f>
        <v>Grenade</v>
      </c>
      <c r="D1356" s="49"/>
      <c r="E1356" s="49"/>
      <c r="F1356" s="49"/>
      <c r="G1356" s="49"/>
      <c r="H1356" s="49"/>
      <c r="I1356" s="49"/>
      <c r="J1356" s="49"/>
      <c r="K1356" s="49"/>
      <c r="L1356" s="49"/>
      <c r="M1356" s="49"/>
      <c r="N1356" s="49"/>
      <c r="O1356" s="49"/>
      <c r="P1356" s="49"/>
      <c r="Q1356" s="49"/>
      <c r="R1356" s="49"/>
      <c r="S1356" s="49"/>
      <c r="T1356" s="49"/>
      <c r="U1356" s="49"/>
      <c r="V1356" s="49"/>
      <c r="W1356" s="49"/>
      <c r="X1356" s="49"/>
      <c r="Y1356" s="49"/>
      <c r="Z1356" s="49"/>
    </row>
    <row r="1357">
      <c r="A1357" s="49" t="str">
        <f>IFERROR(__xludf.DUMMYFUNCTION("""COMPUTED_VALUE"""),"Salve Grenade")</f>
        <v>Salve Grenade</v>
      </c>
      <c r="B1357" s="49" t="str">
        <f>IFERROR(__xludf.DUMMYFUNCTION("""COMPUTED_VALUE"""),"Heals 2500 Hp")</f>
        <v>Heals 2500 Hp</v>
      </c>
      <c r="C1357" s="49" t="str">
        <f>IFERROR(__xludf.DUMMYFUNCTION("""COMPUTED_VALUE"""),"Grenade")</f>
        <v>Grenade</v>
      </c>
      <c r="D1357" s="49"/>
      <c r="E1357" s="49"/>
      <c r="F1357" s="49"/>
      <c r="G1357" s="49"/>
      <c r="H1357" s="49"/>
      <c r="I1357" s="49"/>
      <c r="J1357" s="49"/>
      <c r="K1357" s="49"/>
      <c r="L1357" s="49"/>
      <c r="M1357" s="49"/>
      <c r="N1357" s="49"/>
      <c r="O1357" s="49"/>
      <c r="P1357" s="49"/>
      <c r="Q1357" s="49"/>
      <c r="R1357" s="49"/>
      <c r="S1357" s="49"/>
      <c r="T1357" s="49"/>
      <c r="U1357" s="49"/>
      <c r="V1357" s="49"/>
      <c r="W1357" s="49"/>
      <c r="X1357" s="49"/>
      <c r="Y1357" s="49"/>
      <c r="Z1357" s="49"/>
    </row>
    <row r="1358">
      <c r="A1358" s="49" t="str">
        <f>IFERROR(__xludf.DUMMYFUNCTION("""COMPUTED_VALUE"""),"Potion of Banishment")</f>
        <v>Potion of Banishment</v>
      </c>
      <c r="B1358" s="49" t="str">
        <f>IFERROR(__xludf.DUMMYFUNCTION("""COMPUTED_VALUE"""),"Banishes an enemy")</f>
        <v>Banishes an enemy</v>
      </c>
      <c r="C1358" s="49" t="str">
        <f>IFERROR(__xludf.DUMMYFUNCTION("""COMPUTED_VALUE"""),"Item")</f>
        <v>Item</v>
      </c>
      <c r="D1358" s="49"/>
      <c r="E1358" s="49"/>
      <c r="F1358" s="49"/>
      <c r="G1358" s="49"/>
      <c r="H1358" s="49"/>
      <c r="I1358" s="49"/>
      <c r="J1358" s="49"/>
      <c r="K1358" s="49"/>
      <c r="L1358" s="49"/>
      <c r="M1358" s="49"/>
      <c r="N1358" s="49"/>
      <c r="O1358" s="49"/>
      <c r="P1358" s="49"/>
      <c r="Q1358" s="49"/>
      <c r="R1358" s="49"/>
      <c r="S1358" s="49"/>
      <c r="T1358" s="49"/>
      <c r="U1358" s="49"/>
      <c r="V1358" s="49"/>
      <c r="W1358" s="49"/>
      <c r="X1358" s="49"/>
      <c r="Y1358" s="49"/>
      <c r="Z1358" s="49"/>
    </row>
    <row r="1359">
      <c r="A1359" s="49" t="str">
        <f>IFERROR(__xludf.DUMMYFUNCTION("""COMPUTED_VALUE"""),"Wooden Arrow")</f>
        <v>Wooden Arrow</v>
      </c>
      <c r="B1359" s="49" t="str">
        <f>IFERROR(__xludf.DUMMYFUNCTION("""COMPUTED_VALUE"""),"Bow Ammunition +50 Damage. roll a d20 to see how many you get if this is a loot drop.")</f>
        <v>Bow Ammunition +50 Damage. roll a d20 to see how many you get if this is a loot drop.</v>
      </c>
      <c r="C1359" s="49" t="str">
        <f>IFERROR(__xludf.DUMMYFUNCTION("""COMPUTED_VALUE"""),"Item")</f>
        <v>Item</v>
      </c>
      <c r="D1359" s="49"/>
      <c r="E1359" s="49"/>
      <c r="F1359" s="49"/>
      <c r="G1359" s="49"/>
      <c r="H1359" s="49"/>
      <c r="I1359" s="49"/>
      <c r="J1359" s="49"/>
      <c r="K1359" s="49"/>
      <c r="L1359" s="49"/>
      <c r="M1359" s="49"/>
      <c r="N1359" s="49"/>
      <c r="O1359" s="49"/>
      <c r="P1359" s="49"/>
      <c r="Q1359" s="49"/>
      <c r="R1359" s="49"/>
      <c r="S1359" s="49"/>
      <c r="T1359" s="49"/>
      <c r="U1359" s="49"/>
      <c r="V1359" s="49"/>
      <c r="W1359" s="49"/>
      <c r="X1359" s="49"/>
      <c r="Y1359" s="49"/>
      <c r="Z1359" s="49"/>
    </row>
    <row r="1360">
      <c r="A1360" s="49" t="str">
        <f>IFERROR(__xludf.DUMMYFUNCTION("""COMPUTED_VALUE"""),"Bone Tipped Arrow")</f>
        <v>Bone Tipped Arrow</v>
      </c>
      <c r="B1360" s="49" t="str">
        <f>IFERROR(__xludf.DUMMYFUNCTION("""COMPUTED_VALUE"""),"Bow Ammunition +250 Blood damage. roll a d20 to see how many you get if this is a loot drop")</f>
        <v>Bow Ammunition +250 Blood damage. roll a d20 to see how many you get if this is a loot drop</v>
      </c>
      <c r="C1360" s="49" t="str">
        <f>IFERROR(__xludf.DUMMYFUNCTION("""COMPUTED_VALUE"""),"Item")</f>
        <v>Item</v>
      </c>
      <c r="D1360" s="49"/>
      <c r="E1360" s="49"/>
      <c r="F1360" s="49"/>
      <c r="G1360" s="49"/>
      <c r="H1360" s="49"/>
      <c r="I1360" s="49"/>
      <c r="J1360" s="49"/>
      <c r="K1360" s="49"/>
      <c r="L1360" s="49"/>
      <c r="M1360" s="49"/>
      <c r="N1360" s="49"/>
      <c r="O1360" s="49"/>
      <c r="P1360" s="49"/>
      <c r="Q1360" s="49"/>
      <c r="R1360" s="49"/>
      <c r="S1360" s="49"/>
      <c r="T1360" s="49"/>
      <c r="U1360" s="49"/>
      <c r="V1360" s="49"/>
      <c r="W1360" s="49"/>
      <c r="X1360" s="49"/>
      <c r="Y1360" s="49"/>
      <c r="Z1360" s="49"/>
    </row>
    <row r="1361">
      <c r="A1361" s="49" t="str">
        <f>IFERROR(__xludf.DUMMYFUNCTION("""COMPUTED_VALUE"""),"Holy Arrow")</f>
        <v>Holy Arrow</v>
      </c>
      <c r="B1361" s="49"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1361" s="49" t="str">
        <f>IFERROR(__xludf.DUMMYFUNCTION("""COMPUTED_VALUE"""),"Item")</f>
        <v>Item</v>
      </c>
      <c r="D1361" s="49"/>
      <c r="E1361" s="49"/>
      <c r="F1361" s="49"/>
      <c r="G1361" s="49"/>
      <c r="H1361" s="49"/>
      <c r="I1361" s="49"/>
      <c r="J1361" s="49"/>
      <c r="K1361" s="49"/>
      <c r="L1361" s="49"/>
      <c r="M1361" s="49"/>
      <c r="N1361" s="49"/>
      <c r="O1361" s="49"/>
      <c r="P1361" s="49"/>
      <c r="Q1361" s="49"/>
      <c r="R1361" s="49"/>
      <c r="S1361" s="49"/>
      <c r="T1361" s="49"/>
      <c r="U1361" s="49"/>
      <c r="V1361" s="49"/>
      <c r="W1361" s="49"/>
      <c r="X1361" s="49"/>
      <c r="Y1361" s="49"/>
      <c r="Z1361" s="49"/>
    </row>
    <row r="1362">
      <c r="A1362" s="49" t="str">
        <f>IFERROR(__xludf.DUMMYFUNCTION("""COMPUTED_VALUE"""),"Small Bang")</f>
        <v>Small Bang</v>
      </c>
      <c r="B1362" s="49" t="str">
        <f>IFERROR(__xludf.DUMMYFUNCTION("""COMPUTED_VALUE"""),"500,000 Damage")</f>
        <v>500,000 Damage</v>
      </c>
      <c r="C1362" s="49" t="str">
        <f>IFERROR(__xludf.DUMMYFUNCTION("""COMPUTED_VALUE"""),"Grenade")</f>
        <v>Grenade</v>
      </c>
      <c r="D1362" s="49"/>
      <c r="E1362" s="49"/>
      <c r="F1362" s="49"/>
      <c r="G1362" s="49"/>
      <c r="H1362" s="49"/>
      <c r="I1362" s="49"/>
      <c r="J1362" s="49"/>
      <c r="K1362" s="49"/>
      <c r="L1362" s="49"/>
      <c r="M1362" s="49"/>
      <c r="N1362" s="49"/>
      <c r="O1362" s="49"/>
      <c r="P1362" s="49"/>
      <c r="Q1362" s="49"/>
      <c r="R1362" s="49"/>
      <c r="S1362" s="49"/>
      <c r="T1362" s="49"/>
      <c r="U1362" s="49"/>
      <c r="V1362" s="49"/>
      <c r="W1362" s="49"/>
      <c r="X1362" s="49"/>
      <c r="Y1362" s="49"/>
      <c r="Z1362" s="49"/>
    </row>
    <row r="1363">
      <c r="A1363" s="49" t="str">
        <f>IFERROR(__xludf.DUMMYFUNCTION("""COMPUTED_VALUE"""),"Dragon Burst")</f>
        <v>Dragon Burst</v>
      </c>
      <c r="B1363" s="49" t="str">
        <f>IFERROR(__xludf.DUMMYFUNCTION("""COMPUTED_VALUE"""),"250,000 Damage")</f>
        <v>250,000 Damage</v>
      </c>
      <c r="C1363" s="49" t="str">
        <f>IFERROR(__xludf.DUMMYFUNCTION("""COMPUTED_VALUE"""),"Grenade")</f>
        <v>Grenade</v>
      </c>
      <c r="D1363" s="49"/>
      <c r="E1363" s="49"/>
      <c r="F1363" s="49"/>
      <c r="G1363" s="49"/>
      <c r="H1363" s="49"/>
      <c r="I1363" s="49"/>
      <c r="J1363" s="49"/>
      <c r="K1363" s="49"/>
      <c r="L1363" s="49"/>
      <c r="M1363" s="49"/>
      <c r="N1363" s="49"/>
      <c r="O1363" s="49"/>
      <c r="P1363" s="49"/>
      <c r="Q1363" s="49"/>
      <c r="R1363" s="49"/>
      <c r="S1363" s="49"/>
      <c r="T1363" s="49"/>
      <c r="U1363" s="49"/>
      <c r="V1363" s="49"/>
      <c r="W1363" s="49"/>
      <c r="X1363" s="49"/>
      <c r="Y1363" s="49"/>
      <c r="Z1363" s="49"/>
    </row>
    <row r="1364">
      <c r="A1364" s="49" t="str">
        <f>IFERROR(__xludf.DUMMYFUNCTION("""COMPUTED_VALUE"""),"Iguanian Assassin's Box")</f>
        <v>Iguanian Assassin's Box</v>
      </c>
      <c r="B1364" s="49"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1364" s="49" t="str">
        <f>IFERROR(__xludf.DUMMYFUNCTION("""COMPUTED_VALUE"""),"Item")</f>
        <v>Item</v>
      </c>
      <c r="D1364" s="49"/>
      <c r="E1364" s="49"/>
      <c r="F1364" s="49"/>
      <c r="G1364" s="49"/>
      <c r="H1364" s="49"/>
      <c r="I1364" s="49"/>
      <c r="J1364" s="49"/>
      <c r="K1364" s="49"/>
      <c r="L1364" s="49"/>
      <c r="M1364" s="49"/>
      <c r="N1364" s="49"/>
      <c r="O1364" s="49"/>
      <c r="P1364" s="49"/>
      <c r="Q1364" s="49"/>
      <c r="R1364" s="49"/>
      <c r="S1364" s="49"/>
      <c r="T1364" s="49"/>
      <c r="U1364" s="49"/>
      <c r="V1364" s="49"/>
      <c r="W1364" s="49"/>
      <c r="X1364" s="49"/>
      <c r="Y1364" s="49"/>
      <c r="Z1364" s="49"/>
    </row>
    <row r="1365">
      <c r="A1365" s="49" t="str">
        <f>IFERROR(__xludf.DUMMYFUNCTION("""COMPUTED_VALUE"""),"Lizardfolk Warrior's Box")</f>
        <v>Lizardfolk Warrior's Box</v>
      </c>
      <c r="B1365" s="49"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1365" s="49" t="str">
        <f>IFERROR(__xludf.DUMMYFUNCTION("""COMPUTED_VALUE"""),"Item")</f>
        <v>Item</v>
      </c>
      <c r="D1365" s="49"/>
      <c r="E1365" s="49"/>
      <c r="F1365" s="49"/>
      <c r="G1365" s="49"/>
      <c r="H1365" s="49"/>
      <c r="I1365" s="49"/>
      <c r="J1365" s="49"/>
      <c r="K1365" s="49"/>
      <c r="L1365" s="49"/>
      <c r="M1365" s="49"/>
      <c r="N1365" s="49"/>
      <c r="O1365" s="49"/>
      <c r="P1365" s="49"/>
      <c r="Q1365" s="49"/>
      <c r="R1365" s="49"/>
      <c r="S1365" s="49"/>
      <c r="T1365" s="49"/>
      <c r="U1365" s="49"/>
      <c r="V1365" s="49"/>
      <c r="W1365" s="49"/>
      <c r="X1365" s="49"/>
      <c r="Y1365" s="49"/>
      <c r="Z1365" s="49"/>
    </row>
    <row r="1366">
      <c r="A1366" s="49" t="str">
        <f>IFERROR(__xludf.DUMMYFUNCTION("""COMPUTED_VALUE"""),"Lizard Thief's Box")</f>
        <v>Lizard Thief's Box</v>
      </c>
      <c r="B1366" s="49"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1366" s="49" t="str">
        <f>IFERROR(__xludf.DUMMYFUNCTION("""COMPUTED_VALUE"""),"Item")</f>
        <v>Item</v>
      </c>
      <c r="D1366" s="49"/>
      <c r="E1366" s="49"/>
      <c r="F1366" s="49"/>
      <c r="G1366" s="49"/>
      <c r="H1366" s="49"/>
      <c r="I1366" s="49"/>
      <c r="J1366" s="49"/>
      <c r="K1366" s="49"/>
      <c r="L1366" s="49"/>
      <c r="M1366" s="49"/>
      <c r="N1366" s="49"/>
      <c r="O1366" s="49"/>
      <c r="P1366" s="49"/>
      <c r="Q1366" s="49"/>
      <c r="R1366" s="49"/>
      <c r="S1366" s="49"/>
      <c r="T1366" s="49"/>
      <c r="U1366" s="49"/>
      <c r="V1366" s="49"/>
      <c r="W1366" s="49"/>
      <c r="X1366" s="49"/>
      <c r="Y1366" s="49"/>
      <c r="Z1366" s="49"/>
    </row>
    <row r="1367">
      <c r="A1367" s="49" t="str">
        <f>IFERROR(__xludf.DUMMYFUNCTION("""COMPUTED_VALUE"""),"Lizard Wizard's Box")</f>
        <v>Lizard Wizard's Box</v>
      </c>
      <c r="B1367" s="49"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1367" s="49" t="str">
        <f>IFERROR(__xludf.DUMMYFUNCTION("""COMPUTED_VALUE"""),"Item")</f>
        <v>Item</v>
      </c>
      <c r="D1367" s="49"/>
      <c r="E1367" s="49"/>
      <c r="F1367" s="49"/>
      <c r="G1367" s="49"/>
      <c r="H1367" s="49"/>
      <c r="I1367" s="49"/>
      <c r="J1367" s="49"/>
      <c r="K1367" s="49"/>
      <c r="L1367" s="49"/>
      <c r="M1367" s="49"/>
      <c r="N1367" s="49"/>
      <c r="O1367" s="49"/>
      <c r="P1367" s="49"/>
      <c r="Q1367" s="49"/>
      <c r="R1367" s="49"/>
      <c r="S1367" s="49"/>
      <c r="T1367" s="49"/>
      <c r="U1367" s="49"/>
      <c r="V1367" s="49"/>
      <c r="W1367" s="49"/>
      <c r="X1367" s="49"/>
      <c r="Y1367" s="49"/>
      <c r="Z1367" s="49"/>
    </row>
    <row r="1368">
      <c r="A1368" s="49" t="str">
        <f>IFERROR(__xludf.DUMMYFUNCTION("""COMPUTED_VALUE"""),"Iguanian Brawler's Box")</f>
        <v>Iguanian Brawler's Box</v>
      </c>
      <c r="B1368" s="49"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1368" s="49" t="str">
        <f>IFERROR(__xludf.DUMMYFUNCTION("""COMPUTED_VALUE"""),"Item")</f>
        <v>Item</v>
      </c>
      <c r="D1368" s="49"/>
      <c r="E1368" s="49"/>
      <c r="F1368" s="49"/>
      <c r="G1368" s="49"/>
      <c r="H1368" s="49"/>
      <c r="I1368" s="49"/>
      <c r="J1368" s="49"/>
      <c r="K1368" s="49"/>
      <c r="L1368" s="49"/>
      <c r="M1368" s="49"/>
      <c r="N1368" s="49"/>
      <c r="O1368" s="49"/>
      <c r="P1368" s="49"/>
      <c r="Q1368" s="49"/>
      <c r="R1368" s="49"/>
      <c r="S1368" s="49"/>
      <c r="T1368" s="49"/>
      <c r="U1368" s="49"/>
      <c r="V1368" s="49"/>
      <c r="W1368" s="49"/>
      <c r="X1368" s="49"/>
      <c r="Y1368" s="49"/>
      <c r="Z1368" s="49"/>
    </row>
    <row r="1369">
      <c r="A1369" s="49" t="str">
        <f>IFERROR(__xludf.DUMMYFUNCTION("""COMPUTED_VALUE"""),"Iguanian Mage's Box")</f>
        <v>Iguanian Mage's Box</v>
      </c>
      <c r="B1369" s="49"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1369" s="49" t="str">
        <f>IFERROR(__xludf.DUMMYFUNCTION("""COMPUTED_VALUE"""),"Item")</f>
        <v>Item</v>
      </c>
      <c r="D1369" s="49"/>
      <c r="E1369" s="49"/>
      <c r="F1369" s="49"/>
      <c r="G1369" s="49"/>
      <c r="H1369" s="49"/>
      <c r="I1369" s="49"/>
      <c r="J1369" s="49"/>
      <c r="K1369" s="49"/>
      <c r="L1369" s="49"/>
      <c r="M1369" s="49"/>
      <c r="N1369" s="49"/>
      <c r="O1369" s="49"/>
      <c r="P1369" s="49"/>
      <c r="Q1369" s="49"/>
      <c r="R1369" s="49"/>
      <c r="S1369" s="49"/>
      <c r="T1369" s="49"/>
      <c r="U1369" s="49"/>
      <c r="V1369" s="49"/>
      <c r="W1369" s="49"/>
      <c r="X1369" s="49"/>
      <c r="Y1369" s="49"/>
      <c r="Z1369" s="49"/>
    </row>
    <row r="1370">
      <c r="A1370" s="49"/>
      <c r="B1370" s="49"/>
      <c r="C1370" s="49"/>
      <c r="D1370" s="49"/>
      <c r="E1370" s="49"/>
      <c r="F1370" s="49"/>
      <c r="G1370" s="49"/>
      <c r="H1370" s="49"/>
      <c r="I1370" s="49"/>
      <c r="J1370" s="49"/>
      <c r="K1370" s="49"/>
      <c r="L1370" s="49"/>
      <c r="M1370" s="49"/>
      <c r="N1370" s="49"/>
      <c r="O1370" s="49"/>
      <c r="P1370" s="49"/>
      <c r="Q1370" s="49"/>
      <c r="R1370" s="49"/>
      <c r="S1370" s="49"/>
      <c r="T1370" s="49"/>
      <c r="U1370" s="49"/>
      <c r="V1370" s="49"/>
      <c r="W1370" s="49"/>
      <c r="X1370" s="49"/>
      <c r="Y1370" s="49"/>
      <c r="Z1370" s="49"/>
    </row>
    <row r="1371">
      <c r="A1371" s="49"/>
      <c r="B1371" s="49"/>
      <c r="C1371" s="49"/>
      <c r="D1371" s="49"/>
      <c r="E1371" s="49"/>
      <c r="F1371" s="49"/>
      <c r="G1371" s="49"/>
      <c r="H1371" s="49"/>
      <c r="I1371" s="49"/>
      <c r="J1371" s="49"/>
      <c r="K1371" s="49"/>
      <c r="L1371" s="49"/>
      <c r="M1371" s="49"/>
      <c r="N1371" s="49"/>
      <c r="O1371" s="49"/>
      <c r="P1371" s="49"/>
      <c r="Q1371" s="49"/>
      <c r="R1371" s="49"/>
      <c r="S1371" s="49"/>
      <c r="T1371" s="49"/>
      <c r="U1371" s="49"/>
      <c r="V1371" s="49"/>
      <c r="W1371" s="49"/>
      <c r="X1371" s="49"/>
      <c r="Y1371" s="49"/>
      <c r="Z1371" s="49"/>
    </row>
    <row r="1372">
      <c r="A1372" s="49"/>
      <c r="B1372" s="49"/>
      <c r="C1372" s="49"/>
      <c r="D1372" s="49"/>
      <c r="E1372" s="49"/>
      <c r="F1372" s="49"/>
      <c r="G1372" s="49"/>
      <c r="H1372" s="49"/>
      <c r="I1372" s="49"/>
      <c r="J1372" s="49"/>
      <c r="K1372" s="49"/>
      <c r="L1372" s="49"/>
      <c r="M1372" s="49"/>
      <c r="N1372" s="49"/>
      <c r="O1372" s="49"/>
      <c r="P1372" s="49"/>
      <c r="Q1372" s="49"/>
      <c r="R1372" s="49"/>
      <c r="S1372" s="49"/>
      <c r="T1372" s="49"/>
      <c r="U1372" s="49"/>
      <c r="V1372" s="49"/>
      <c r="W1372" s="49"/>
      <c r="X1372" s="49"/>
      <c r="Y1372" s="49"/>
      <c r="Z1372" s="49"/>
    </row>
    <row r="1373">
      <c r="A1373" s="49"/>
      <c r="B1373" s="49"/>
      <c r="C1373" s="49"/>
      <c r="D1373" s="49"/>
      <c r="E1373" s="49"/>
      <c r="F1373" s="49"/>
      <c r="G1373" s="49"/>
      <c r="H1373" s="49"/>
      <c r="I1373" s="49"/>
      <c r="J1373" s="49"/>
      <c r="K1373" s="49"/>
      <c r="L1373" s="49"/>
      <c r="M1373" s="49"/>
      <c r="N1373" s="49"/>
      <c r="O1373" s="49"/>
      <c r="P1373" s="49"/>
      <c r="Q1373" s="49"/>
      <c r="R1373" s="49"/>
      <c r="S1373" s="49"/>
      <c r="T1373" s="49"/>
      <c r="U1373" s="49"/>
      <c r="V1373" s="49"/>
      <c r="W1373" s="49"/>
      <c r="X1373" s="49"/>
      <c r="Y1373" s="49"/>
      <c r="Z1373" s="49"/>
    </row>
    <row r="1374">
      <c r="A1374" s="49"/>
      <c r="B1374" s="49"/>
      <c r="C1374" s="49"/>
      <c r="D1374" s="49"/>
      <c r="E1374" s="49"/>
      <c r="F1374" s="49"/>
      <c r="G1374" s="49"/>
      <c r="H1374" s="49"/>
      <c r="I1374" s="49"/>
      <c r="J1374" s="49"/>
      <c r="K1374" s="49"/>
      <c r="L1374" s="49"/>
      <c r="M1374" s="49"/>
      <c r="N1374" s="49"/>
      <c r="O1374" s="49"/>
      <c r="P1374" s="49"/>
      <c r="Q1374" s="49"/>
      <c r="R1374" s="49"/>
      <c r="S1374" s="49"/>
      <c r="T1374" s="49"/>
      <c r="U1374" s="49"/>
      <c r="V1374" s="49"/>
      <c r="W1374" s="49"/>
      <c r="X1374" s="49"/>
      <c r="Y1374" s="49"/>
      <c r="Z1374" s="49"/>
    </row>
    <row r="1375">
      <c r="A1375" s="49"/>
      <c r="B1375" s="49"/>
      <c r="C1375" s="49"/>
      <c r="D1375" s="49"/>
      <c r="E1375" s="49"/>
      <c r="F1375" s="49"/>
      <c r="G1375" s="49"/>
      <c r="H1375" s="49"/>
      <c r="I1375" s="49"/>
      <c r="J1375" s="49"/>
      <c r="K1375" s="49"/>
      <c r="L1375" s="49"/>
      <c r="M1375" s="49"/>
      <c r="N1375" s="49"/>
      <c r="O1375" s="49"/>
      <c r="P1375" s="49"/>
      <c r="Q1375" s="49"/>
      <c r="R1375" s="49"/>
      <c r="S1375" s="49"/>
      <c r="T1375" s="49"/>
      <c r="U1375" s="49"/>
      <c r="V1375" s="49"/>
      <c r="W1375" s="49"/>
      <c r="X1375" s="49"/>
      <c r="Y1375" s="49"/>
      <c r="Z1375" s="49"/>
    </row>
    <row r="1376">
      <c r="A1376" s="49"/>
      <c r="B1376" s="49"/>
      <c r="C1376" s="49"/>
      <c r="D1376" s="49"/>
      <c r="E1376" s="49"/>
      <c r="F1376" s="49"/>
      <c r="G1376" s="49"/>
      <c r="H1376" s="49"/>
      <c r="I1376" s="49"/>
      <c r="J1376" s="49"/>
      <c r="K1376" s="49"/>
      <c r="L1376" s="49"/>
      <c r="M1376" s="49"/>
      <c r="N1376" s="49"/>
      <c r="O1376" s="49"/>
      <c r="P1376" s="49"/>
      <c r="Q1376" s="49"/>
      <c r="R1376" s="49"/>
      <c r="S1376" s="49"/>
      <c r="T1376" s="49"/>
      <c r="U1376" s="49"/>
      <c r="V1376" s="49"/>
      <c r="W1376" s="49"/>
      <c r="X1376" s="49"/>
      <c r="Y1376" s="49"/>
      <c r="Z1376" s="49"/>
    </row>
    <row r="1377">
      <c r="A1377" s="49"/>
      <c r="B1377" s="49"/>
      <c r="C1377" s="49"/>
      <c r="D1377" s="49"/>
      <c r="E1377" s="49"/>
      <c r="F1377" s="49"/>
      <c r="G1377" s="49"/>
      <c r="H1377" s="49"/>
      <c r="I1377" s="49"/>
      <c r="J1377" s="49"/>
      <c r="K1377" s="49"/>
      <c r="L1377" s="49"/>
      <c r="M1377" s="49"/>
      <c r="N1377" s="49"/>
      <c r="O1377" s="49"/>
      <c r="P1377" s="49"/>
      <c r="Q1377" s="49"/>
      <c r="R1377" s="49"/>
      <c r="S1377" s="49"/>
      <c r="T1377" s="49"/>
      <c r="U1377" s="49"/>
      <c r="V1377" s="49"/>
      <c r="W1377" s="49"/>
      <c r="X1377" s="49"/>
      <c r="Y1377" s="49"/>
      <c r="Z1377" s="49"/>
    </row>
    <row r="1378">
      <c r="A1378" s="49"/>
      <c r="B1378" s="49"/>
      <c r="C1378" s="49"/>
      <c r="D1378" s="49"/>
      <c r="E1378" s="49"/>
      <c r="F1378" s="49"/>
      <c r="G1378" s="49"/>
      <c r="H1378" s="49"/>
      <c r="I1378" s="49"/>
      <c r="J1378" s="49"/>
      <c r="K1378" s="49"/>
      <c r="L1378" s="49"/>
      <c r="M1378" s="49"/>
      <c r="N1378" s="49"/>
      <c r="O1378" s="49"/>
      <c r="P1378" s="49"/>
      <c r="Q1378" s="49"/>
      <c r="R1378" s="49"/>
      <c r="S1378" s="49"/>
      <c r="T1378" s="49"/>
      <c r="U1378" s="49"/>
      <c r="V1378" s="49"/>
      <c r="W1378" s="49"/>
      <c r="X1378" s="49"/>
      <c r="Y1378" s="49"/>
      <c r="Z1378" s="49"/>
    </row>
    <row r="1379">
      <c r="A1379" s="49"/>
      <c r="B1379" s="49"/>
      <c r="C1379" s="49"/>
      <c r="D1379" s="49"/>
      <c r="E1379" s="49"/>
      <c r="F1379" s="49"/>
      <c r="G1379" s="49"/>
      <c r="H1379" s="49"/>
      <c r="I1379" s="49"/>
      <c r="J1379" s="49"/>
      <c r="K1379" s="49"/>
      <c r="L1379" s="49"/>
      <c r="M1379" s="49"/>
      <c r="N1379" s="49"/>
      <c r="O1379" s="49"/>
      <c r="P1379" s="49"/>
      <c r="Q1379" s="49"/>
      <c r="R1379" s="49"/>
      <c r="S1379" s="49"/>
      <c r="T1379" s="49"/>
      <c r="U1379" s="49"/>
      <c r="V1379" s="49"/>
      <c r="W1379" s="49"/>
      <c r="X1379" s="49"/>
      <c r="Y1379" s="49"/>
      <c r="Z1379" s="49"/>
    </row>
    <row r="1380">
      <c r="A1380" s="49"/>
      <c r="B1380" s="49"/>
      <c r="C1380" s="49"/>
      <c r="D1380" s="49"/>
      <c r="E1380" s="49"/>
      <c r="F1380" s="49"/>
      <c r="G1380" s="49"/>
      <c r="H1380" s="49"/>
      <c r="I1380" s="49"/>
      <c r="J1380" s="49"/>
      <c r="K1380" s="49"/>
      <c r="L1380" s="49"/>
      <c r="M1380" s="49"/>
      <c r="N1380" s="49"/>
      <c r="O1380" s="49"/>
      <c r="P1380" s="49"/>
      <c r="Q1380" s="49"/>
      <c r="R1380" s="49"/>
      <c r="S1380" s="49"/>
      <c r="T1380" s="49"/>
      <c r="U1380" s="49"/>
      <c r="V1380" s="49"/>
      <c r="W1380" s="49"/>
      <c r="X1380" s="49"/>
      <c r="Y1380" s="49"/>
      <c r="Z1380" s="49"/>
    </row>
    <row r="1381">
      <c r="A1381" s="49"/>
      <c r="B1381" s="49"/>
      <c r="C1381" s="49"/>
      <c r="D1381" s="49"/>
      <c r="E1381" s="49"/>
      <c r="F1381" s="49"/>
      <c r="G1381" s="49"/>
      <c r="H1381" s="49"/>
      <c r="I1381" s="49"/>
      <c r="J1381" s="49"/>
      <c r="K1381" s="49"/>
      <c r="L1381" s="49"/>
      <c r="M1381" s="49"/>
      <c r="N1381" s="49"/>
      <c r="O1381" s="49"/>
      <c r="P1381" s="49"/>
      <c r="Q1381" s="49"/>
      <c r="R1381" s="49"/>
      <c r="S1381" s="49"/>
      <c r="T1381" s="49"/>
      <c r="U1381" s="49"/>
      <c r="V1381" s="49"/>
      <c r="W1381" s="49"/>
      <c r="X1381" s="49"/>
      <c r="Y1381" s="49"/>
      <c r="Z1381" s="49"/>
    </row>
    <row r="1382">
      <c r="A1382" s="49"/>
      <c r="B1382" s="49"/>
      <c r="C1382" s="49"/>
      <c r="D1382" s="49"/>
      <c r="E1382" s="49"/>
      <c r="F1382" s="49"/>
      <c r="G1382" s="49"/>
      <c r="H1382" s="49"/>
      <c r="I1382" s="49"/>
      <c r="J1382" s="49"/>
      <c r="K1382" s="49"/>
      <c r="L1382" s="49"/>
      <c r="M1382" s="49"/>
      <c r="N1382" s="49"/>
      <c r="O1382" s="49"/>
      <c r="P1382" s="49"/>
      <c r="Q1382" s="49"/>
      <c r="R1382" s="49"/>
      <c r="S1382" s="49"/>
      <c r="T1382" s="49"/>
      <c r="U1382" s="49"/>
      <c r="V1382" s="49"/>
      <c r="W1382" s="49"/>
      <c r="X1382" s="49"/>
      <c r="Y1382" s="49"/>
      <c r="Z1382" s="49"/>
    </row>
    <row r="1383">
      <c r="A1383" s="49"/>
      <c r="B1383" s="49"/>
      <c r="C1383" s="49"/>
      <c r="D1383" s="49"/>
      <c r="E1383" s="49"/>
      <c r="F1383" s="49"/>
      <c r="G1383" s="49"/>
      <c r="H1383" s="49"/>
      <c r="I1383" s="49"/>
      <c r="J1383" s="49"/>
      <c r="K1383" s="49"/>
      <c r="L1383" s="49"/>
      <c r="M1383" s="49"/>
      <c r="N1383" s="49"/>
      <c r="O1383" s="49"/>
      <c r="P1383" s="49"/>
      <c r="Q1383" s="49"/>
      <c r="R1383" s="49"/>
      <c r="S1383" s="49"/>
      <c r="T1383" s="49"/>
      <c r="U1383" s="49"/>
      <c r="V1383" s="49"/>
      <c r="W1383" s="49"/>
      <c r="X1383" s="49"/>
      <c r="Y1383" s="49"/>
      <c r="Z1383" s="49"/>
    </row>
    <row r="1384">
      <c r="A1384" s="49"/>
      <c r="B1384" s="49"/>
      <c r="C1384" s="49"/>
      <c r="D1384" s="49"/>
      <c r="E1384" s="49"/>
      <c r="F1384" s="49"/>
      <c r="G1384" s="49"/>
      <c r="H1384" s="49"/>
      <c r="I1384" s="49"/>
      <c r="J1384" s="49"/>
      <c r="K1384" s="49"/>
      <c r="L1384" s="49"/>
      <c r="M1384" s="49"/>
      <c r="N1384" s="49"/>
      <c r="O1384" s="49"/>
      <c r="P1384" s="49"/>
      <c r="Q1384" s="49"/>
      <c r="R1384" s="49"/>
      <c r="S1384" s="49"/>
      <c r="T1384" s="49"/>
      <c r="U1384" s="49"/>
      <c r="V1384" s="49"/>
      <c r="W1384" s="49"/>
      <c r="X1384" s="49"/>
      <c r="Y1384" s="49"/>
      <c r="Z1384" s="49"/>
    </row>
    <row r="1385">
      <c r="A1385" s="49"/>
      <c r="B1385" s="49"/>
      <c r="C1385" s="49"/>
      <c r="D1385" s="49"/>
      <c r="E1385" s="49"/>
      <c r="F1385" s="49"/>
      <c r="G1385" s="49"/>
      <c r="H1385" s="49"/>
      <c r="I1385" s="49"/>
      <c r="J1385" s="49"/>
      <c r="K1385" s="49"/>
      <c r="L1385" s="49"/>
      <c r="M1385" s="49"/>
      <c r="N1385" s="49"/>
      <c r="O1385" s="49"/>
      <c r="P1385" s="49"/>
      <c r="Q1385" s="49"/>
      <c r="R1385" s="49"/>
      <c r="S1385" s="49"/>
      <c r="T1385" s="49"/>
      <c r="U1385" s="49"/>
      <c r="V1385" s="49"/>
      <c r="W1385" s="49"/>
      <c r="X1385" s="49"/>
      <c r="Y1385" s="49"/>
      <c r="Z1385" s="49"/>
    </row>
    <row r="1386">
      <c r="A1386" s="49"/>
      <c r="B1386" s="49"/>
      <c r="C1386" s="49"/>
      <c r="D1386" s="49"/>
      <c r="E1386" s="49"/>
      <c r="F1386" s="49"/>
      <c r="G1386" s="49"/>
      <c r="H1386" s="49"/>
      <c r="I1386" s="49"/>
      <c r="J1386" s="49"/>
      <c r="K1386" s="49"/>
      <c r="L1386" s="49"/>
      <c r="M1386" s="49"/>
      <c r="N1386" s="49"/>
      <c r="O1386" s="49"/>
      <c r="P1386" s="49"/>
      <c r="Q1386" s="49"/>
      <c r="R1386" s="49"/>
      <c r="S1386" s="49"/>
      <c r="T1386" s="49"/>
      <c r="U1386" s="49"/>
      <c r="V1386" s="49"/>
      <c r="W1386" s="49"/>
      <c r="X1386" s="49"/>
      <c r="Y1386" s="49"/>
      <c r="Z1386" s="49"/>
    </row>
    <row r="1387">
      <c r="A1387" s="49"/>
      <c r="B1387" s="49"/>
      <c r="C1387" s="49"/>
      <c r="D1387" s="49"/>
      <c r="E1387" s="49"/>
      <c r="F1387" s="49"/>
      <c r="G1387" s="49"/>
      <c r="H1387" s="49"/>
      <c r="I1387" s="49"/>
      <c r="J1387" s="49"/>
      <c r="K1387" s="49"/>
      <c r="L1387" s="49"/>
      <c r="M1387" s="49"/>
      <c r="N1387" s="49"/>
      <c r="O1387" s="49"/>
      <c r="P1387" s="49"/>
      <c r="Q1387" s="49"/>
      <c r="R1387" s="49"/>
      <c r="S1387" s="49"/>
      <c r="T1387" s="49"/>
      <c r="U1387" s="49"/>
      <c r="V1387" s="49"/>
      <c r="W1387" s="49"/>
      <c r="X1387" s="49"/>
      <c r="Y1387" s="49"/>
      <c r="Z1387" s="49"/>
    </row>
    <row r="1388">
      <c r="A1388" s="49"/>
      <c r="B1388" s="49"/>
      <c r="C1388" s="49"/>
      <c r="D1388" s="49"/>
      <c r="E1388" s="49"/>
      <c r="F1388" s="49"/>
      <c r="G1388" s="49"/>
      <c r="H1388" s="49"/>
      <c r="I1388" s="49"/>
      <c r="J1388" s="49"/>
      <c r="K1388" s="49"/>
      <c r="L1388" s="49"/>
      <c r="M1388" s="49"/>
      <c r="N1388" s="49"/>
      <c r="O1388" s="49"/>
      <c r="P1388" s="49"/>
      <c r="Q1388" s="49"/>
      <c r="R1388" s="49"/>
      <c r="S1388" s="49"/>
      <c r="T1388" s="49"/>
      <c r="U1388" s="49"/>
      <c r="V1388" s="49"/>
      <c r="W1388" s="49"/>
      <c r="X1388" s="49"/>
      <c r="Y1388" s="49"/>
      <c r="Z1388" s="49"/>
    </row>
    <row r="1389">
      <c r="A1389" s="49"/>
      <c r="B1389" s="49"/>
      <c r="C1389" s="49"/>
      <c r="D1389" s="49"/>
      <c r="E1389" s="49"/>
      <c r="F1389" s="49"/>
      <c r="G1389" s="49"/>
      <c r="H1389" s="49"/>
      <c r="I1389" s="49"/>
      <c r="J1389" s="49"/>
      <c r="K1389" s="49"/>
      <c r="L1389" s="49"/>
      <c r="M1389" s="49"/>
      <c r="N1389" s="49"/>
      <c r="O1389" s="49"/>
      <c r="P1389" s="49"/>
      <c r="Q1389" s="49"/>
      <c r="R1389" s="49"/>
      <c r="S1389" s="49"/>
      <c r="T1389" s="49"/>
      <c r="U1389" s="49"/>
      <c r="V1389" s="49"/>
      <c r="W1389" s="49"/>
      <c r="X1389" s="49"/>
      <c r="Y1389" s="49"/>
      <c r="Z1389" s="49"/>
    </row>
    <row r="1390">
      <c r="A1390" s="49"/>
      <c r="B1390" s="49"/>
      <c r="C1390" s="49"/>
      <c r="D1390" s="49"/>
      <c r="E1390" s="49"/>
      <c r="F1390" s="49"/>
      <c r="G1390" s="49"/>
      <c r="H1390" s="49"/>
      <c r="I1390" s="49"/>
      <c r="J1390" s="49"/>
      <c r="K1390" s="49"/>
      <c r="L1390" s="49"/>
      <c r="M1390" s="49"/>
      <c r="N1390" s="49"/>
      <c r="O1390" s="49"/>
      <c r="P1390" s="49"/>
      <c r="Q1390" s="49"/>
      <c r="R1390" s="49"/>
      <c r="S1390" s="49"/>
      <c r="T1390" s="49"/>
      <c r="U1390" s="49"/>
      <c r="V1390" s="49"/>
      <c r="W1390" s="49"/>
      <c r="X1390" s="49"/>
      <c r="Y1390" s="49"/>
      <c r="Z1390" s="49"/>
    </row>
    <row r="1391">
      <c r="A1391" s="49"/>
      <c r="B1391" s="49"/>
      <c r="C1391" s="49"/>
      <c r="D1391" s="49"/>
      <c r="E1391" s="49"/>
      <c r="F1391" s="49"/>
      <c r="G1391" s="49"/>
      <c r="H1391" s="49"/>
      <c r="I1391" s="49"/>
      <c r="J1391" s="49"/>
      <c r="K1391" s="49"/>
      <c r="L1391" s="49"/>
      <c r="M1391" s="49"/>
      <c r="N1391" s="49"/>
      <c r="O1391" s="49"/>
      <c r="P1391" s="49"/>
      <c r="Q1391" s="49"/>
      <c r="R1391" s="49"/>
      <c r="S1391" s="49"/>
      <c r="T1391" s="49"/>
      <c r="U1391" s="49"/>
      <c r="V1391" s="49"/>
      <c r="W1391" s="49"/>
      <c r="X1391" s="49"/>
      <c r="Y1391" s="49"/>
      <c r="Z1391" s="49"/>
    </row>
    <row r="1392">
      <c r="A1392" s="49"/>
      <c r="B1392" s="49"/>
      <c r="C1392" s="49"/>
      <c r="D1392" s="49"/>
      <c r="E1392" s="49"/>
      <c r="F1392" s="49"/>
      <c r="G1392" s="49"/>
      <c r="H1392" s="49"/>
      <c r="I1392" s="49"/>
      <c r="J1392" s="49"/>
      <c r="K1392" s="49"/>
      <c r="L1392" s="49"/>
      <c r="M1392" s="49"/>
      <c r="N1392" s="49"/>
      <c r="O1392" s="49"/>
      <c r="P1392" s="49"/>
      <c r="Q1392" s="49"/>
      <c r="R1392" s="49"/>
      <c r="S1392" s="49"/>
      <c r="T1392" s="49"/>
      <c r="U1392" s="49"/>
      <c r="V1392" s="49"/>
      <c r="W1392" s="49"/>
      <c r="X1392" s="49"/>
      <c r="Y1392" s="49"/>
      <c r="Z1392" s="49"/>
    </row>
    <row r="1393">
      <c r="A1393" s="49"/>
      <c r="B1393" s="49"/>
      <c r="C1393" s="49"/>
      <c r="D1393" s="49"/>
      <c r="E1393" s="49"/>
      <c r="F1393" s="49"/>
      <c r="G1393" s="49"/>
      <c r="H1393" s="49"/>
      <c r="I1393" s="49"/>
      <c r="J1393" s="49"/>
      <c r="K1393" s="49"/>
      <c r="L1393" s="49"/>
      <c r="M1393" s="49"/>
      <c r="N1393" s="49"/>
      <c r="O1393" s="49"/>
      <c r="P1393" s="49"/>
      <c r="Q1393" s="49"/>
      <c r="R1393" s="49"/>
      <c r="S1393" s="49"/>
      <c r="T1393" s="49"/>
      <c r="U1393" s="49"/>
      <c r="V1393" s="49"/>
      <c r="W1393" s="49"/>
      <c r="X1393" s="49"/>
      <c r="Y1393" s="49"/>
      <c r="Z1393" s="49"/>
    </row>
    <row r="1394">
      <c r="A1394" s="49"/>
      <c r="B1394" s="49"/>
      <c r="C1394" s="49"/>
      <c r="D1394" s="49"/>
      <c r="E1394" s="49"/>
      <c r="F1394" s="49"/>
      <c r="G1394" s="49"/>
      <c r="H1394" s="49"/>
      <c r="I1394" s="49"/>
      <c r="J1394" s="49"/>
      <c r="K1394" s="49"/>
      <c r="L1394" s="49"/>
      <c r="M1394" s="49"/>
      <c r="N1394" s="49"/>
      <c r="O1394" s="49"/>
      <c r="P1394" s="49"/>
      <c r="Q1394" s="49"/>
      <c r="R1394" s="49"/>
      <c r="S1394" s="49"/>
      <c r="T1394" s="49"/>
      <c r="U1394" s="49"/>
      <c r="V1394" s="49"/>
      <c r="W1394" s="49"/>
      <c r="X1394" s="49"/>
      <c r="Y1394" s="49"/>
      <c r="Z1394" s="49"/>
    </row>
    <row r="1395">
      <c r="A1395" s="49"/>
      <c r="B1395" s="49"/>
      <c r="C1395" s="49"/>
      <c r="D1395" s="49"/>
      <c r="E1395" s="49"/>
      <c r="F1395" s="49"/>
      <c r="G1395" s="49"/>
      <c r="H1395" s="49"/>
      <c r="I1395" s="49"/>
      <c r="J1395" s="49"/>
      <c r="K1395" s="49"/>
      <c r="L1395" s="49"/>
      <c r="M1395" s="49"/>
      <c r="N1395" s="49"/>
      <c r="O1395" s="49"/>
      <c r="P1395" s="49"/>
      <c r="Q1395" s="49"/>
      <c r="R1395" s="49"/>
      <c r="S1395" s="49"/>
      <c r="T1395" s="49"/>
      <c r="U1395" s="49"/>
      <c r="V1395" s="49"/>
      <c r="W1395" s="49"/>
      <c r="X1395" s="49"/>
      <c r="Y1395" s="49"/>
      <c r="Z1395" s="49"/>
    </row>
    <row r="1396">
      <c r="A1396" s="49"/>
      <c r="B1396" s="49"/>
      <c r="C1396" s="49"/>
      <c r="D1396" s="49"/>
      <c r="E1396" s="49"/>
      <c r="F1396" s="49"/>
      <c r="G1396" s="49"/>
      <c r="H1396" s="49"/>
      <c r="I1396" s="49"/>
      <c r="J1396" s="49"/>
      <c r="K1396" s="49"/>
      <c r="L1396" s="49"/>
      <c r="M1396" s="49"/>
      <c r="N1396" s="49"/>
      <c r="O1396" s="49"/>
      <c r="P1396" s="49"/>
      <c r="Q1396" s="49"/>
      <c r="R1396" s="49"/>
      <c r="S1396" s="49"/>
      <c r="T1396" s="49"/>
      <c r="U1396" s="49"/>
      <c r="V1396" s="49"/>
      <c r="W1396" s="49"/>
      <c r="X1396" s="49"/>
      <c r="Y1396" s="49"/>
      <c r="Z1396" s="49"/>
    </row>
    <row r="1397">
      <c r="A1397" s="49"/>
      <c r="B1397" s="49"/>
      <c r="C1397" s="49"/>
      <c r="D1397" s="49"/>
      <c r="E1397" s="49"/>
      <c r="F1397" s="49"/>
      <c r="G1397" s="49"/>
      <c r="H1397" s="49"/>
      <c r="I1397" s="49"/>
      <c r="J1397" s="49"/>
      <c r="K1397" s="49"/>
      <c r="L1397" s="49"/>
      <c r="M1397" s="49"/>
      <c r="N1397" s="49"/>
      <c r="O1397" s="49"/>
      <c r="P1397" s="49"/>
      <c r="Q1397" s="49"/>
      <c r="R1397" s="49"/>
      <c r="S1397" s="49"/>
      <c r="T1397" s="49"/>
      <c r="U1397" s="49"/>
      <c r="V1397" s="49"/>
      <c r="W1397" s="49"/>
      <c r="X1397" s="49"/>
      <c r="Y1397" s="49"/>
      <c r="Z1397" s="49"/>
    </row>
    <row r="1398">
      <c r="A1398" s="49"/>
      <c r="B1398" s="49"/>
      <c r="C1398" s="49"/>
      <c r="D1398" s="49"/>
      <c r="E1398" s="49"/>
      <c r="F1398" s="49"/>
      <c r="G1398" s="49"/>
      <c r="H1398" s="49"/>
      <c r="I1398" s="49"/>
      <c r="J1398" s="49"/>
      <c r="K1398" s="49"/>
      <c r="L1398" s="49"/>
      <c r="M1398" s="49"/>
      <c r="N1398" s="49"/>
      <c r="O1398" s="49"/>
      <c r="P1398" s="49"/>
      <c r="Q1398" s="49"/>
      <c r="R1398" s="49"/>
      <c r="S1398" s="49"/>
      <c r="T1398" s="49"/>
      <c r="U1398" s="49"/>
      <c r="V1398" s="49"/>
      <c r="W1398" s="49"/>
      <c r="X1398" s="49"/>
      <c r="Y1398" s="49"/>
      <c r="Z1398" s="49"/>
    </row>
    <row r="1399">
      <c r="A1399" s="49"/>
      <c r="B1399" s="49"/>
      <c r="C1399" s="49"/>
      <c r="D1399" s="49"/>
      <c r="E1399" s="49"/>
      <c r="F1399" s="49"/>
      <c r="G1399" s="49"/>
      <c r="H1399" s="49"/>
      <c r="I1399" s="49"/>
      <c r="J1399" s="49"/>
      <c r="K1399" s="49"/>
      <c r="L1399" s="49"/>
      <c r="M1399" s="49"/>
      <c r="N1399" s="49"/>
      <c r="O1399" s="49"/>
      <c r="P1399" s="49"/>
      <c r="Q1399" s="49"/>
      <c r="R1399" s="49"/>
      <c r="S1399" s="49"/>
      <c r="T1399" s="49"/>
      <c r="U1399" s="49"/>
      <c r="V1399" s="49"/>
      <c r="W1399" s="49"/>
      <c r="X1399" s="49"/>
      <c r="Y1399" s="49"/>
      <c r="Z1399" s="49"/>
    </row>
    <row r="1400">
      <c r="A1400" s="49"/>
      <c r="B1400" s="49"/>
      <c r="C1400" s="49"/>
      <c r="D1400" s="49"/>
      <c r="E1400" s="49"/>
      <c r="F1400" s="49"/>
      <c r="G1400" s="49"/>
      <c r="H1400" s="49"/>
      <c r="I1400" s="49"/>
      <c r="J1400" s="49"/>
      <c r="K1400" s="49"/>
      <c r="L1400" s="49"/>
      <c r="M1400" s="49"/>
      <c r="N1400" s="49"/>
      <c r="O1400" s="49"/>
      <c r="P1400" s="49"/>
      <c r="Q1400" s="49"/>
      <c r="R1400" s="49"/>
      <c r="S1400" s="49"/>
      <c r="T1400" s="49"/>
      <c r="U1400" s="49"/>
      <c r="V1400" s="49"/>
      <c r="W1400" s="49"/>
      <c r="X1400" s="49"/>
      <c r="Y1400" s="49"/>
      <c r="Z1400" s="49"/>
    </row>
    <row r="1401">
      <c r="A1401" s="49"/>
      <c r="B1401" s="49"/>
      <c r="C1401" s="49"/>
      <c r="D1401" s="49"/>
      <c r="E1401" s="49"/>
      <c r="F1401" s="49"/>
      <c r="G1401" s="49"/>
      <c r="H1401" s="49"/>
      <c r="I1401" s="49"/>
      <c r="J1401" s="49"/>
      <c r="K1401" s="49"/>
      <c r="L1401" s="49"/>
      <c r="M1401" s="49"/>
      <c r="N1401" s="49"/>
      <c r="O1401" s="49"/>
      <c r="P1401" s="49"/>
      <c r="Q1401" s="49"/>
      <c r="R1401" s="49"/>
      <c r="S1401" s="49"/>
      <c r="T1401" s="49"/>
      <c r="U1401" s="49"/>
      <c r="V1401" s="49"/>
      <c r="W1401" s="49"/>
      <c r="X1401" s="49"/>
      <c r="Y1401" s="49"/>
      <c r="Z1401" s="49"/>
    </row>
    <row r="1402">
      <c r="A1402" s="49"/>
      <c r="B1402" s="49"/>
      <c r="C1402" s="49"/>
      <c r="D1402" s="49"/>
      <c r="E1402" s="49"/>
      <c r="F1402" s="49"/>
      <c r="G1402" s="49"/>
      <c r="H1402" s="49"/>
      <c r="I1402" s="49"/>
      <c r="J1402" s="49"/>
      <c r="K1402" s="49"/>
      <c r="L1402" s="49"/>
      <c r="M1402" s="49"/>
      <c r="N1402" s="49"/>
      <c r="O1402" s="49"/>
      <c r="P1402" s="49"/>
      <c r="Q1402" s="49"/>
      <c r="R1402" s="49"/>
      <c r="S1402" s="49"/>
      <c r="T1402" s="49"/>
      <c r="U1402" s="49"/>
      <c r="V1402" s="49"/>
      <c r="W1402" s="49"/>
      <c r="X1402" s="49"/>
      <c r="Y1402" s="49"/>
      <c r="Z1402" s="49"/>
    </row>
    <row r="1403">
      <c r="A1403" s="49"/>
      <c r="B1403" s="49"/>
      <c r="C1403" s="49"/>
      <c r="D1403" s="49"/>
      <c r="E1403" s="49"/>
      <c r="F1403" s="49"/>
      <c r="G1403" s="49"/>
      <c r="H1403" s="49"/>
      <c r="I1403" s="49"/>
      <c r="J1403" s="49"/>
      <c r="K1403" s="49"/>
      <c r="L1403" s="49"/>
      <c r="M1403" s="49"/>
      <c r="N1403" s="49"/>
      <c r="O1403" s="49"/>
      <c r="P1403" s="49"/>
      <c r="Q1403" s="49"/>
      <c r="R1403" s="49"/>
      <c r="S1403" s="49"/>
      <c r="T1403" s="49"/>
      <c r="U1403" s="49"/>
      <c r="V1403" s="49"/>
      <c r="W1403" s="49"/>
      <c r="X1403" s="49"/>
      <c r="Y1403" s="49"/>
      <c r="Z1403" s="49"/>
    </row>
    <row r="1404">
      <c r="A1404" s="49"/>
      <c r="B1404" s="49"/>
      <c r="C1404" s="49"/>
      <c r="D1404" s="49"/>
      <c r="E1404" s="49"/>
      <c r="F1404" s="49"/>
      <c r="G1404" s="49"/>
      <c r="H1404" s="49"/>
      <c r="I1404" s="49"/>
      <c r="J1404" s="49"/>
      <c r="K1404" s="49"/>
      <c r="L1404" s="49"/>
      <c r="M1404" s="49"/>
      <c r="N1404" s="49"/>
      <c r="O1404" s="49"/>
      <c r="P1404" s="49"/>
      <c r="Q1404" s="49"/>
      <c r="R1404" s="49"/>
      <c r="S1404" s="49"/>
      <c r="T1404" s="49"/>
      <c r="U1404" s="49"/>
      <c r="V1404" s="49"/>
      <c r="W1404" s="49"/>
      <c r="X1404" s="49"/>
      <c r="Y1404" s="49"/>
      <c r="Z1404" s="49"/>
    </row>
    <row r="1405">
      <c r="A1405" s="49"/>
      <c r="B1405" s="49"/>
      <c r="C1405" s="49"/>
      <c r="D1405" s="49"/>
      <c r="E1405" s="49"/>
      <c r="F1405" s="49"/>
      <c r="G1405" s="49"/>
      <c r="H1405" s="49"/>
      <c r="I1405" s="49"/>
      <c r="J1405" s="49"/>
      <c r="K1405" s="49"/>
      <c r="L1405" s="49"/>
      <c r="M1405" s="49"/>
      <c r="N1405" s="49"/>
      <c r="O1405" s="49"/>
      <c r="P1405" s="49"/>
      <c r="Q1405" s="49"/>
      <c r="R1405" s="49"/>
      <c r="S1405" s="49"/>
      <c r="T1405" s="49"/>
      <c r="U1405" s="49"/>
      <c r="V1405" s="49"/>
      <c r="W1405" s="49"/>
      <c r="X1405" s="49"/>
      <c r="Y1405" s="49"/>
      <c r="Z1405" s="49"/>
    </row>
    <row r="1406">
      <c r="A1406" s="49"/>
      <c r="B1406" s="49"/>
      <c r="C1406" s="49"/>
      <c r="D1406" s="49"/>
      <c r="E1406" s="49"/>
      <c r="F1406" s="49"/>
      <c r="G1406" s="49"/>
      <c r="H1406" s="49"/>
      <c r="I1406" s="49"/>
      <c r="J1406" s="49"/>
      <c r="K1406" s="49"/>
      <c r="L1406" s="49"/>
      <c r="M1406" s="49"/>
      <c r="N1406" s="49"/>
      <c r="O1406" s="49"/>
      <c r="P1406" s="49"/>
      <c r="Q1406" s="49"/>
      <c r="R1406" s="49"/>
      <c r="S1406" s="49"/>
      <c r="T1406" s="49"/>
      <c r="U1406" s="49"/>
      <c r="V1406" s="49"/>
      <c r="W1406" s="49"/>
      <c r="X1406" s="49"/>
      <c r="Y1406" s="49"/>
      <c r="Z1406" s="49"/>
    </row>
    <row r="1407">
      <c r="A1407" s="49"/>
      <c r="B1407" s="49"/>
      <c r="C1407" s="49"/>
      <c r="D1407" s="49"/>
      <c r="E1407" s="49"/>
      <c r="F1407" s="49"/>
      <c r="G1407" s="49"/>
      <c r="H1407" s="49"/>
      <c r="I1407" s="49"/>
      <c r="J1407" s="49"/>
      <c r="K1407" s="49"/>
      <c r="L1407" s="49"/>
      <c r="M1407" s="49"/>
      <c r="N1407" s="49"/>
      <c r="O1407" s="49"/>
      <c r="P1407" s="49"/>
      <c r="Q1407" s="49"/>
      <c r="R1407" s="49"/>
      <c r="S1407" s="49"/>
      <c r="T1407" s="49"/>
      <c r="U1407" s="49"/>
      <c r="V1407" s="49"/>
      <c r="W1407" s="49"/>
      <c r="X1407" s="49"/>
      <c r="Y1407" s="49"/>
      <c r="Z1407" s="49"/>
    </row>
    <row r="1408">
      <c r="A1408" s="49"/>
      <c r="B1408" s="49"/>
      <c r="C1408" s="49"/>
      <c r="D1408" s="49"/>
      <c r="E1408" s="49"/>
      <c r="F1408" s="49"/>
      <c r="G1408" s="49"/>
      <c r="H1408" s="49"/>
      <c r="I1408" s="49"/>
      <c r="J1408" s="49"/>
      <c r="K1408" s="49"/>
      <c r="L1408" s="49"/>
      <c r="M1408" s="49"/>
      <c r="N1408" s="49"/>
      <c r="O1408" s="49"/>
      <c r="P1408" s="49"/>
      <c r="Q1408" s="49"/>
      <c r="R1408" s="49"/>
      <c r="S1408" s="49"/>
      <c r="T1408" s="49"/>
      <c r="U1408" s="49"/>
      <c r="V1408" s="49"/>
      <c r="W1408" s="49"/>
      <c r="X1408" s="49"/>
      <c r="Y1408" s="49"/>
      <c r="Z1408" s="49"/>
    </row>
    <row r="1409">
      <c r="A1409" s="49"/>
      <c r="B1409" s="49"/>
      <c r="C1409" s="49"/>
      <c r="D1409" s="49"/>
      <c r="E1409" s="49"/>
      <c r="F1409" s="49"/>
      <c r="G1409" s="49"/>
      <c r="H1409" s="49"/>
      <c r="I1409" s="49"/>
      <c r="J1409" s="49"/>
      <c r="K1409" s="49"/>
      <c r="L1409" s="49"/>
      <c r="M1409" s="49"/>
      <c r="N1409" s="49"/>
      <c r="O1409" s="49"/>
      <c r="P1409" s="49"/>
      <c r="Q1409" s="49"/>
      <c r="R1409" s="49"/>
      <c r="S1409" s="49"/>
      <c r="T1409" s="49"/>
      <c r="U1409" s="49"/>
      <c r="V1409" s="49"/>
      <c r="W1409" s="49"/>
      <c r="X1409" s="49"/>
      <c r="Y1409" s="49"/>
      <c r="Z1409" s="49"/>
    </row>
    <row r="1410">
      <c r="A1410" s="49"/>
      <c r="B1410" s="49"/>
      <c r="C1410" s="49"/>
      <c r="D1410" s="49"/>
      <c r="E1410" s="49"/>
      <c r="F1410" s="49"/>
      <c r="G1410" s="49"/>
      <c r="H1410" s="49"/>
      <c r="I1410" s="49"/>
      <c r="J1410" s="49"/>
      <c r="K1410" s="49"/>
      <c r="L1410" s="49"/>
      <c r="M1410" s="49"/>
      <c r="N1410" s="49"/>
      <c r="O1410" s="49"/>
      <c r="P1410" s="49"/>
      <c r="Q1410" s="49"/>
      <c r="R1410" s="49"/>
      <c r="S1410" s="49"/>
      <c r="T1410" s="49"/>
      <c r="U1410" s="49"/>
      <c r="V1410" s="49"/>
      <c r="W1410" s="49"/>
      <c r="X1410" s="49"/>
      <c r="Y1410" s="49"/>
      <c r="Z1410" s="49"/>
    </row>
    <row r="1411">
      <c r="A1411" s="49"/>
      <c r="B1411" s="49"/>
      <c r="C1411" s="49"/>
      <c r="D1411" s="49"/>
      <c r="E1411" s="49"/>
      <c r="F1411" s="49"/>
      <c r="G1411" s="49"/>
      <c r="H1411" s="49"/>
      <c r="I1411" s="49"/>
      <c r="J1411" s="49"/>
      <c r="K1411" s="49"/>
      <c r="L1411" s="49"/>
      <c r="M1411" s="49"/>
      <c r="N1411" s="49"/>
      <c r="O1411" s="49"/>
      <c r="P1411" s="49"/>
      <c r="Q1411" s="49"/>
      <c r="R1411" s="49"/>
      <c r="S1411" s="49"/>
      <c r="T1411" s="49"/>
      <c r="U1411" s="49"/>
      <c r="V1411" s="49"/>
      <c r="W1411" s="49"/>
      <c r="X1411" s="49"/>
      <c r="Y1411" s="49"/>
      <c r="Z1411" s="49"/>
    </row>
    <row r="1412">
      <c r="A1412" s="49"/>
      <c r="B1412" s="49"/>
      <c r="C1412" s="49"/>
      <c r="D1412" s="49"/>
      <c r="E1412" s="49"/>
      <c r="F1412" s="49"/>
      <c r="G1412" s="49"/>
      <c r="H1412" s="49"/>
      <c r="I1412" s="49"/>
      <c r="J1412" s="49"/>
      <c r="K1412" s="49"/>
      <c r="L1412" s="49"/>
      <c r="M1412" s="49"/>
      <c r="N1412" s="49"/>
      <c r="O1412" s="49"/>
      <c r="P1412" s="49"/>
      <c r="Q1412" s="49"/>
      <c r="R1412" s="49"/>
      <c r="S1412" s="49"/>
      <c r="T1412" s="49"/>
      <c r="U1412" s="49"/>
      <c r="V1412" s="49"/>
      <c r="W1412" s="49"/>
      <c r="X1412" s="49"/>
      <c r="Y1412" s="49"/>
      <c r="Z1412" s="49"/>
    </row>
    <row r="1413">
      <c r="A1413" s="49"/>
      <c r="B1413" s="49"/>
      <c r="C1413" s="49"/>
      <c r="D1413" s="49"/>
      <c r="E1413" s="49"/>
      <c r="F1413" s="49"/>
      <c r="G1413" s="49"/>
      <c r="H1413" s="49"/>
      <c r="I1413" s="49"/>
      <c r="J1413" s="49"/>
      <c r="K1413" s="49"/>
      <c r="L1413" s="49"/>
      <c r="M1413" s="49"/>
      <c r="N1413" s="49"/>
      <c r="O1413" s="49"/>
      <c r="P1413" s="49"/>
      <c r="Q1413" s="49"/>
      <c r="R1413" s="49"/>
      <c r="S1413" s="49"/>
      <c r="T1413" s="49"/>
      <c r="U1413" s="49"/>
      <c r="V1413" s="49"/>
      <c r="W1413" s="49"/>
      <c r="X1413" s="49"/>
      <c r="Y1413" s="49"/>
      <c r="Z1413" s="49"/>
    </row>
    <row r="1414">
      <c r="A1414" s="49"/>
      <c r="B1414" s="49"/>
      <c r="C1414" s="49"/>
      <c r="D1414" s="49"/>
      <c r="E1414" s="49"/>
      <c r="F1414" s="49"/>
      <c r="G1414" s="49"/>
      <c r="H1414" s="49"/>
      <c r="I1414" s="49"/>
      <c r="J1414" s="49"/>
      <c r="K1414" s="49"/>
      <c r="L1414" s="49"/>
      <c r="M1414" s="49"/>
      <c r="N1414" s="49"/>
      <c r="O1414" s="49"/>
      <c r="P1414" s="49"/>
      <c r="Q1414" s="49"/>
      <c r="R1414" s="49"/>
      <c r="S1414" s="49"/>
      <c r="T1414" s="49"/>
      <c r="U1414" s="49"/>
      <c r="V1414" s="49"/>
      <c r="W1414" s="49"/>
      <c r="X1414" s="49"/>
      <c r="Y1414" s="49"/>
      <c r="Z1414" s="49"/>
    </row>
    <row r="1415">
      <c r="A1415" s="49"/>
      <c r="B1415" s="49"/>
      <c r="C1415" s="49"/>
      <c r="D1415" s="49"/>
      <c r="E1415" s="49"/>
      <c r="F1415" s="49"/>
      <c r="G1415" s="49"/>
      <c r="H1415" s="49"/>
      <c r="I1415" s="49"/>
      <c r="J1415" s="49"/>
      <c r="K1415" s="49"/>
      <c r="L1415" s="49"/>
      <c r="M1415" s="49"/>
      <c r="N1415" s="49"/>
      <c r="O1415" s="49"/>
      <c r="P1415" s="49"/>
      <c r="Q1415" s="49"/>
      <c r="R1415" s="49"/>
      <c r="S1415" s="49"/>
      <c r="T1415" s="49"/>
      <c r="U1415" s="49"/>
      <c r="V1415" s="49"/>
      <c r="W1415" s="49"/>
      <c r="X1415" s="49"/>
      <c r="Y1415" s="49"/>
      <c r="Z1415" s="49"/>
    </row>
    <row r="1416">
      <c r="A1416" s="49"/>
      <c r="B1416" s="49"/>
      <c r="C1416" s="49"/>
      <c r="D1416" s="49"/>
      <c r="E1416" s="49"/>
      <c r="F1416" s="49"/>
      <c r="G1416" s="49"/>
      <c r="H1416" s="49"/>
      <c r="I1416" s="49"/>
      <c r="J1416" s="49"/>
      <c r="K1416" s="49"/>
      <c r="L1416" s="49"/>
      <c r="M1416" s="49"/>
      <c r="N1416" s="49"/>
      <c r="O1416" s="49"/>
      <c r="P1416" s="49"/>
      <c r="Q1416" s="49"/>
      <c r="R1416" s="49"/>
      <c r="S1416" s="49"/>
      <c r="T1416" s="49"/>
      <c r="U1416" s="49"/>
      <c r="V1416" s="49"/>
      <c r="W1416" s="49"/>
      <c r="X1416" s="49"/>
      <c r="Y1416" s="49"/>
      <c r="Z1416" s="49"/>
    </row>
    <row r="1417">
      <c r="A1417" s="49"/>
      <c r="B1417" s="49"/>
      <c r="C1417" s="49"/>
      <c r="D1417" s="49"/>
      <c r="E1417" s="49"/>
      <c r="F1417" s="49"/>
      <c r="G1417" s="49"/>
      <c r="H1417" s="49"/>
      <c r="I1417" s="49"/>
      <c r="J1417" s="49"/>
      <c r="K1417" s="49"/>
      <c r="L1417" s="49"/>
      <c r="M1417" s="49"/>
      <c r="N1417" s="49"/>
      <c r="O1417" s="49"/>
      <c r="P1417" s="49"/>
      <c r="Q1417" s="49"/>
      <c r="R1417" s="49"/>
      <c r="S1417" s="49"/>
      <c r="T1417" s="49"/>
      <c r="U1417" s="49"/>
      <c r="V1417" s="49"/>
      <c r="W1417" s="49"/>
      <c r="X1417" s="49"/>
      <c r="Y1417" s="49"/>
      <c r="Z1417" s="49"/>
    </row>
    <row r="1418">
      <c r="A1418" s="49"/>
      <c r="B1418" s="49"/>
      <c r="C1418" s="49"/>
      <c r="D1418" s="49"/>
      <c r="E1418" s="49"/>
      <c r="F1418" s="49"/>
      <c r="G1418" s="49"/>
      <c r="H1418" s="49"/>
      <c r="I1418" s="49"/>
      <c r="J1418" s="49"/>
      <c r="K1418" s="49"/>
      <c r="L1418" s="49"/>
      <c r="M1418" s="49"/>
      <c r="N1418" s="49"/>
      <c r="O1418" s="49"/>
      <c r="P1418" s="49"/>
      <c r="Q1418" s="49"/>
      <c r="R1418" s="49"/>
      <c r="S1418" s="49"/>
      <c r="T1418" s="49"/>
      <c r="U1418" s="49"/>
      <c r="V1418" s="49"/>
      <c r="W1418" s="49"/>
      <c r="X1418" s="49"/>
      <c r="Y1418" s="49"/>
      <c r="Z1418" s="49"/>
    </row>
    <row r="1419">
      <c r="A1419" s="49"/>
      <c r="B1419" s="49"/>
      <c r="C1419" s="49"/>
      <c r="D1419" s="49"/>
      <c r="E1419" s="49"/>
      <c r="F1419" s="49"/>
      <c r="G1419" s="49"/>
      <c r="H1419" s="49"/>
      <c r="I1419" s="49"/>
      <c r="J1419" s="49"/>
      <c r="K1419" s="49"/>
      <c r="L1419" s="49"/>
      <c r="M1419" s="49"/>
      <c r="N1419" s="49"/>
      <c r="O1419" s="49"/>
      <c r="P1419" s="49"/>
      <c r="Q1419" s="49"/>
      <c r="R1419" s="49"/>
      <c r="S1419" s="49"/>
      <c r="T1419" s="49"/>
      <c r="U1419" s="49"/>
      <c r="V1419" s="49"/>
      <c r="W1419" s="49"/>
      <c r="X1419" s="49"/>
      <c r="Y1419" s="49"/>
      <c r="Z1419" s="49"/>
    </row>
    <row r="1420">
      <c r="A1420" s="49"/>
      <c r="B1420" s="49"/>
      <c r="C1420" s="49"/>
      <c r="D1420" s="49"/>
      <c r="E1420" s="49"/>
      <c r="F1420" s="49"/>
      <c r="G1420" s="49"/>
      <c r="H1420" s="49"/>
      <c r="I1420" s="49"/>
      <c r="J1420" s="49"/>
      <c r="K1420" s="49"/>
      <c r="L1420" s="49"/>
      <c r="M1420" s="49"/>
      <c r="N1420" s="49"/>
      <c r="O1420" s="49"/>
      <c r="P1420" s="49"/>
      <c r="Q1420" s="49"/>
      <c r="R1420" s="49"/>
      <c r="S1420" s="49"/>
      <c r="T1420" s="49"/>
      <c r="U1420" s="49"/>
      <c r="V1420" s="49"/>
      <c r="W1420" s="49"/>
      <c r="X1420" s="49"/>
      <c r="Y1420" s="49"/>
      <c r="Z1420" s="49"/>
    </row>
    <row r="1421">
      <c r="A1421" s="49"/>
      <c r="B1421" s="49"/>
      <c r="C1421" s="49"/>
      <c r="D1421" s="49"/>
      <c r="E1421" s="49"/>
      <c r="F1421" s="49"/>
      <c r="G1421" s="49"/>
      <c r="H1421" s="49"/>
      <c r="I1421" s="49"/>
      <c r="J1421" s="49"/>
      <c r="K1421" s="49"/>
      <c r="L1421" s="49"/>
      <c r="M1421" s="49"/>
      <c r="N1421" s="49"/>
      <c r="O1421" s="49"/>
      <c r="P1421" s="49"/>
      <c r="Q1421" s="49"/>
      <c r="R1421" s="49"/>
      <c r="S1421" s="49"/>
      <c r="T1421" s="49"/>
      <c r="U1421" s="49"/>
      <c r="V1421" s="49"/>
      <c r="W1421" s="49"/>
      <c r="X1421" s="49"/>
      <c r="Y1421" s="49"/>
      <c r="Z1421" s="49"/>
    </row>
    <row r="1422">
      <c r="A1422" s="49"/>
      <c r="B1422" s="49"/>
      <c r="C1422" s="49"/>
      <c r="D1422" s="49"/>
      <c r="E1422" s="49"/>
      <c r="F1422" s="49"/>
      <c r="G1422" s="49"/>
      <c r="H1422" s="49"/>
      <c r="I1422" s="49"/>
      <c r="J1422" s="49"/>
      <c r="K1422" s="49"/>
      <c r="L1422" s="49"/>
      <c r="M1422" s="49"/>
      <c r="N1422" s="49"/>
      <c r="O1422" s="49"/>
      <c r="P1422" s="49"/>
      <c r="Q1422" s="49"/>
      <c r="R1422" s="49"/>
      <c r="S1422" s="49"/>
      <c r="T1422" s="49"/>
      <c r="U1422" s="49"/>
      <c r="V1422" s="49"/>
      <c r="W1422" s="49"/>
      <c r="X1422" s="49"/>
      <c r="Y1422" s="49"/>
      <c r="Z1422" s="49"/>
    </row>
    <row r="1423">
      <c r="A1423" s="49"/>
      <c r="B1423" s="49"/>
      <c r="C1423" s="49"/>
      <c r="D1423" s="49"/>
      <c r="E1423" s="49"/>
      <c r="F1423" s="49"/>
      <c r="G1423" s="49"/>
      <c r="H1423" s="49"/>
      <c r="I1423" s="49"/>
      <c r="J1423" s="49"/>
      <c r="K1423" s="49"/>
      <c r="L1423" s="49"/>
      <c r="M1423" s="49"/>
      <c r="N1423" s="49"/>
      <c r="O1423" s="49"/>
      <c r="P1423" s="49"/>
      <c r="Q1423" s="49"/>
      <c r="R1423" s="49"/>
      <c r="S1423" s="49"/>
      <c r="T1423" s="49"/>
      <c r="U1423" s="49"/>
      <c r="V1423" s="49"/>
      <c r="W1423" s="49"/>
      <c r="X1423" s="49"/>
      <c r="Y1423" s="49"/>
      <c r="Z1423" s="49"/>
    </row>
    <row r="1424">
      <c r="A1424" s="49"/>
      <c r="B1424" s="49"/>
      <c r="C1424" s="49"/>
      <c r="D1424" s="49"/>
      <c r="E1424" s="49"/>
      <c r="F1424" s="49"/>
      <c r="G1424" s="49"/>
      <c r="H1424" s="49"/>
      <c r="I1424" s="49"/>
      <c r="J1424" s="49"/>
      <c r="K1424" s="49"/>
      <c r="L1424" s="49"/>
      <c r="M1424" s="49"/>
      <c r="N1424" s="49"/>
      <c r="O1424" s="49"/>
      <c r="P1424" s="49"/>
      <c r="Q1424" s="49"/>
      <c r="R1424" s="49"/>
      <c r="S1424" s="49"/>
      <c r="T1424" s="49"/>
      <c r="U1424" s="49"/>
      <c r="V1424" s="49"/>
      <c r="W1424" s="49"/>
      <c r="X1424" s="49"/>
      <c r="Y1424" s="49"/>
      <c r="Z1424" s="49"/>
    </row>
    <row r="1425">
      <c r="A1425" s="49"/>
      <c r="B1425" s="49"/>
      <c r="C1425" s="49"/>
      <c r="D1425" s="49"/>
      <c r="E1425" s="49"/>
      <c r="F1425" s="49"/>
      <c r="G1425" s="49"/>
      <c r="H1425" s="49"/>
      <c r="I1425" s="49"/>
      <c r="J1425" s="49"/>
      <c r="K1425" s="49"/>
      <c r="L1425" s="49"/>
      <c r="M1425" s="49"/>
      <c r="N1425" s="49"/>
      <c r="O1425" s="49"/>
      <c r="P1425" s="49"/>
      <c r="Q1425" s="49"/>
      <c r="R1425" s="49"/>
      <c r="S1425" s="49"/>
      <c r="T1425" s="49"/>
      <c r="U1425" s="49"/>
      <c r="V1425" s="49"/>
      <c r="W1425" s="49"/>
      <c r="X1425" s="49"/>
      <c r="Y1425" s="49"/>
      <c r="Z1425" s="49"/>
    </row>
    <row r="1426">
      <c r="A1426" s="49"/>
      <c r="B1426" s="49"/>
      <c r="C1426" s="49"/>
      <c r="D1426" s="49"/>
      <c r="E1426" s="49"/>
      <c r="F1426" s="49"/>
      <c r="G1426" s="49"/>
      <c r="H1426" s="49"/>
      <c r="I1426" s="49"/>
      <c r="J1426" s="49"/>
      <c r="K1426" s="49"/>
      <c r="L1426" s="49"/>
      <c r="M1426" s="49"/>
      <c r="N1426" s="49"/>
      <c r="O1426" s="49"/>
      <c r="P1426" s="49"/>
      <c r="Q1426" s="49"/>
      <c r="R1426" s="49"/>
      <c r="S1426" s="49"/>
      <c r="T1426" s="49"/>
      <c r="U1426" s="49"/>
      <c r="V1426" s="49"/>
      <c r="W1426" s="49"/>
      <c r="X1426" s="49"/>
      <c r="Y1426" s="49"/>
      <c r="Z1426" s="49"/>
    </row>
    <row r="1427">
      <c r="A1427" s="49"/>
      <c r="B1427" s="49"/>
      <c r="C1427" s="49"/>
      <c r="D1427" s="49"/>
      <c r="E1427" s="49"/>
      <c r="F1427" s="49"/>
      <c r="G1427" s="49"/>
      <c r="H1427" s="49"/>
      <c r="I1427" s="49"/>
      <c r="J1427" s="49"/>
      <c r="K1427" s="49"/>
      <c r="L1427" s="49"/>
      <c r="M1427" s="49"/>
      <c r="N1427" s="49"/>
      <c r="O1427" s="49"/>
      <c r="P1427" s="49"/>
      <c r="Q1427" s="49"/>
      <c r="R1427" s="49"/>
      <c r="S1427" s="49"/>
      <c r="T1427" s="49"/>
      <c r="U1427" s="49"/>
      <c r="V1427" s="49"/>
      <c r="W1427" s="49"/>
      <c r="X1427" s="49"/>
      <c r="Y1427" s="49"/>
      <c r="Z1427" s="49"/>
    </row>
    <row r="1428">
      <c r="A1428" s="49"/>
      <c r="B1428" s="49"/>
      <c r="C1428" s="49"/>
      <c r="D1428" s="49"/>
      <c r="E1428" s="49"/>
      <c r="F1428" s="49"/>
      <c r="G1428" s="49"/>
      <c r="H1428" s="49"/>
      <c r="I1428" s="49"/>
      <c r="J1428" s="49"/>
      <c r="K1428" s="49"/>
      <c r="L1428" s="49"/>
      <c r="M1428" s="49"/>
      <c r="N1428" s="49"/>
      <c r="O1428" s="49"/>
      <c r="P1428" s="49"/>
      <c r="Q1428" s="49"/>
      <c r="R1428" s="49"/>
      <c r="S1428" s="49"/>
      <c r="T1428" s="49"/>
      <c r="U1428" s="49"/>
      <c r="V1428" s="49"/>
      <c r="W1428" s="49"/>
      <c r="X1428" s="49"/>
      <c r="Y1428" s="49"/>
      <c r="Z1428" s="49"/>
    </row>
    <row r="1429">
      <c r="A1429" s="49"/>
      <c r="B1429" s="49"/>
      <c r="C1429" s="49"/>
      <c r="D1429" s="49"/>
      <c r="E1429" s="49"/>
      <c r="F1429" s="49"/>
      <c r="G1429" s="49"/>
      <c r="H1429" s="49"/>
      <c r="I1429" s="49"/>
      <c r="J1429" s="49"/>
      <c r="K1429" s="49"/>
      <c r="L1429" s="49"/>
      <c r="M1429" s="49"/>
      <c r="N1429" s="49"/>
      <c r="O1429" s="49"/>
      <c r="P1429" s="49"/>
      <c r="Q1429" s="49"/>
      <c r="R1429" s="49"/>
      <c r="S1429" s="49"/>
      <c r="T1429" s="49"/>
      <c r="U1429" s="49"/>
      <c r="V1429" s="49"/>
      <c r="W1429" s="49"/>
      <c r="X1429" s="49"/>
      <c r="Y1429" s="49"/>
      <c r="Z1429" s="49"/>
    </row>
    <row r="1430">
      <c r="A1430" s="49"/>
      <c r="B1430" s="49"/>
      <c r="C1430" s="49"/>
      <c r="D1430" s="49"/>
      <c r="E1430" s="49"/>
      <c r="F1430" s="49"/>
      <c r="G1430" s="49"/>
      <c r="H1430" s="49"/>
      <c r="I1430" s="49"/>
      <c r="J1430" s="49"/>
      <c r="K1430" s="49"/>
      <c r="L1430" s="49"/>
      <c r="M1430" s="49"/>
      <c r="N1430" s="49"/>
      <c r="O1430" s="49"/>
      <c r="P1430" s="49"/>
      <c r="Q1430" s="49"/>
      <c r="R1430" s="49"/>
      <c r="S1430" s="49"/>
      <c r="T1430" s="49"/>
      <c r="U1430" s="49"/>
      <c r="V1430" s="49"/>
      <c r="W1430" s="49"/>
      <c r="X1430" s="49"/>
      <c r="Y1430" s="49"/>
      <c r="Z1430" s="49"/>
    </row>
    <row r="1431">
      <c r="A1431" s="49"/>
      <c r="B1431" s="49"/>
      <c r="C1431" s="49"/>
      <c r="D1431" s="49"/>
      <c r="E1431" s="49"/>
      <c r="F1431" s="49"/>
      <c r="G1431" s="49"/>
      <c r="H1431" s="49"/>
      <c r="I1431" s="49"/>
      <c r="J1431" s="49"/>
      <c r="K1431" s="49"/>
      <c r="L1431" s="49"/>
      <c r="M1431" s="49"/>
      <c r="N1431" s="49"/>
      <c r="O1431" s="49"/>
      <c r="P1431" s="49"/>
      <c r="Q1431" s="49"/>
      <c r="R1431" s="49"/>
      <c r="S1431" s="49"/>
      <c r="T1431" s="49"/>
      <c r="U1431" s="49"/>
      <c r="V1431" s="49"/>
      <c r="W1431" s="49"/>
      <c r="X1431" s="49"/>
      <c r="Y1431" s="49"/>
      <c r="Z1431" s="49"/>
    </row>
    <row r="1432">
      <c r="A1432" s="49"/>
      <c r="B1432" s="49"/>
      <c r="C1432" s="49"/>
      <c r="D1432" s="49"/>
      <c r="E1432" s="49"/>
      <c r="F1432" s="49"/>
      <c r="G1432" s="49"/>
      <c r="H1432" s="49"/>
      <c r="I1432" s="49"/>
      <c r="J1432" s="49"/>
      <c r="K1432" s="49"/>
      <c r="L1432" s="49"/>
      <c r="M1432" s="49"/>
      <c r="N1432" s="49"/>
      <c r="O1432" s="49"/>
      <c r="P1432" s="49"/>
      <c r="Q1432" s="49"/>
      <c r="R1432" s="49"/>
      <c r="S1432" s="49"/>
      <c r="T1432" s="49"/>
      <c r="U1432" s="49"/>
      <c r="V1432" s="49"/>
      <c r="W1432" s="49"/>
      <c r="X1432" s="49"/>
      <c r="Y1432" s="49"/>
      <c r="Z1432" s="49"/>
    </row>
    <row r="1433">
      <c r="A1433" s="49"/>
      <c r="B1433" s="49"/>
      <c r="C1433" s="49"/>
      <c r="D1433" s="49"/>
      <c r="E1433" s="49"/>
      <c r="F1433" s="49"/>
      <c r="G1433" s="49"/>
      <c r="H1433" s="49"/>
      <c r="I1433" s="49"/>
      <c r="J1433" s="49"/>
      <c r="K1433" s="49"/>
      <c r="L1433" s="49"/>
      <c r="M1433" s="49"/>
      <c r="N1433" s="49"/>
      <c r="O1433" s="49"/>
      <c r="P1433" s="49"/>
      <c r="Q1433" s="49"/>
      <c r="R1433" s="49"/>
      <c r="S1433" s="49"/>
      <c r="T1433" s="49"/>
      <c r="U1433" s="49"/>
      <c r="V1433" s="49"/>
      <c r="W1433" s="49"/>
      <c r="X1433" s="49"/>
      <c r="Y1433" s="49"/>
      <c r="Z1433" s="49"/>
    </row>
    <row r="1434">
      <c r="A1434" s="49"/>
      <c r="B1434" s="49"/>
      <c r="C1434" s="49"/>
      <c r="D1434" s="49"/>
      <c r="E1434" s="49"/>
      <c r="F1434" s="49"/>
      <c r="G1434" s="49"/>
      <c r="H1434" s="49"/>
      <c r="I1434" s="49"/>
      <c r="J1434" s="49"/>
      <c r="K1434" s="49"/>
      <c r="L1434" s="49"/>
      <c r="M1434" s="49"/>
      <c r="N1434" s="49"/>
      <c r="O1434" s="49"/>
      <c r="P1434" s="49"/>
      <c r="Q1434" s="49"/>
      <c r="R1434" s="49"/>
      <c r="S1434" s="49"/>
      <c r="T1434" s="49"/>
      <c r="U1434" s="49"/>
      <c r="V1434" s="49"/>
      <c r="W1434" s="49"/>
      <c r="X1434" s="49"/>
      <c r="Y1434" s="49"/>
      <c r="Z1434" s="49"/>
    </row>
    <row r="1435">
      <c r="A1435" s="49"/>
      <c r="B1435" s="49"/>
      <c r="C1435" s="49"/>
      <c r="D1435" s="49"/>
      <c r="E1435" s="49"/>
      <c r="F1435" s="49"/>
      <c r="G1435" s="49"/>
      <c r="H1435" s="49"/>
      <c r="I1435" s="49"/>
      <c r="J1435" s="49"/>
      <c r="K1435" s="49"/>
      <c r="L1435" s="49"/>
      <c r="M1435" s="49"/>
      <c r="N1435" s="49"/>
      <c r="O1435" s="49"/>
      <c r="P1435" s="49"/>
      <c r="Q1435" s="49"/>
      <c r="R1435" s="49"/>
      <c r="S1435" s="49"/>
      <c r="T1435" s="49"/>
      <c r="U1435" s="49"/>
      <c r="V1435" s="49"/>
      <c r="W1435" s="49"/>
      <c r="X1435" s="49"/>
      <c r="Y1435" s="49"/>
      <c r="Z1435" s="49"/>
    </row>
    <row r="1436">
      <c r="A1436" s="49"/>
      <c r="B1436" s="49"/>
      <c r="C1436" s="49"/>
      <c r="D1436" s="49"/>
      <c r="E1436" s="49"/>
      <c r="F1436" s="49"/>
      <c r="G1436" s="49"/>
      <c r="H1436" s="49"/>
      <c r="I1436" s="49"/>
      <c r="J1436" s="49"/>
      <c r="K1436" s="49"/>
      <c r="L1436" s="49"/>
      <c r="M1436" s="49"/>
      <c r="N1436" s="49"/>
      <c r="O1436" s="49"/>
      <c r="P1436" s="49"/>
      <c r="Q1436" s="49"/>
      <c r="R1436" s="49"/>
      <c r="S1436" s="49"/>
      <c r="T1436" s="49"/>
      <c r="U1436" s="49"/>
      <c r="V1436" s="49"/>
      <c r="W1436" s="49"/>
      <c r="X1436" s="49"/>
      <c r="Y1436" s="49"/>
      <c r="Z1436" s="49"/>
    </row>
    <row r="1437">
      <c r="A1437" s="49"/>
      <c r="B1437" s="49"/>
      <c r="C1437" s="49"/>
      <c r="D1437" s="49"/>
      <c r="E1437" s="49"/>
      <c r="F1437" s="49"/>
      <c r="G1437" s="49"/>
      <c r="H1437" s="49"/>
      <c r="I1437" s="49"/>
      <c r="J1437" s="49"/>
      <c r="K1437" s="49"/>
      <c r="L1437" s="49"/>
      <c r="M1437" s="49"/>
      <c r="N1437" s="49"/>
      <c r="O1437" s="49"/>
      <c r="P1437" s="49"/>
      <c r="Q1437" s="49"/>
      <c r="R1437" s="49"/>
      <c r="S1437" s="49"/>
      <c r="T1437" s="49"/>
      <c r="U1437" s="49"/>
      <c r="V1437" s="49"/>
      <c r="W1437" s="49"/>
      <c r="X1437" s="49"/>
      <c r="Y1437" s="49"/>
      <c r="Z1437" s="49"/>
    </row>
    <row r="1438">
      <c r="A1438" s="49"/>
      <c r="B1438" s="49"/>
      <c r="C1438" s="49"/>
      <c r="D1438" s="49"/>
      <c r="E1438" s="49"/>
      <c r="F1438" s="49"/>
      <c r="G1438" s="49"/>
      <c r="H1438" s="49"/>
      <c r="I1438" s="49"/>
      <c r="J1438" s="49"/>
      <c r="K1438" s="49"/>
      <c r="L1438" s="49"/>
      <c r="M1438" s="49"/>
      <c r="N1438" s="49"/>
      <c r="O1438" s="49"/>
      <c r="P1438" s="49"/>
      <c r="Q1438" s="49"/>
      <c r="R1438" s="49"/>
      <c r="S1438" s="49"/>
      <c r="T1438" s="49"/>
      <c r="U1438" s="49"/>
      <c r="V1438" s="49"/>
      <c r="W1438" s="49"/>
      <c r="X1438" s="49"/>
      <c r="Y1438" s="49"/>
      <c r="Z1438" s="49"/>
    </row>
    <row r="1439">
      <c r="A1439" s="49"/>
      <c r="B1439" s="49"/>
      <c r="C1439" s="49"/>
      <c r="D1439" s="49"/>
      <c r="E1439" s="49"/>
      <c r="F1439" s="49"/>
      <c r="G1439" s="49"/>
      <c r="H1439" s="49"/>
      <c r="I1439" s="49"/>
      <c r="J1439" s="49"/>
      <c r="K1439" s="49"/>
      <c r="L1439" s="49"/>
      <c r="M1439" s="49"/>
      <c r="N1439" s="49"/>
      <c r="O1439" s="49"/>
      <c r="P1439" s="49"/>
      <c r="Q1439" s="49"/>
      <c r="R1439" s="49"/>
      <c r="S1439" s="49"/>
      <c r="T1439" s="49"/>
      <c r="U1439" s="49"/>
      <c r="V1439" s="49"/>
      <c r="W1439" s="49"/>
      <c r="X1439" s="49"/>
      <c r="Y1439" s="49"/>
      <c r="Z1439" s="49"/>
    </row>
    <row r="1440">
      <c r="A1440" s="49"/>
      <c r="B1440" s="49"/>
      <c r="C1440" s="49"/>
      <c r="D1440" s="49"/>
      <c r="E1440" s="49"/>
      <c r="F1440" s="49"/>
      <c r="G1440" s="49"/>
      <c r="H1440" s="49"/>
      <c r="I1440" s="49"/>
      <c r="J1440" s="49"/>
      <c r="K1440" s="49"/>
      <c r="L1440" s="49"/>
      <c r="M1440" s="49"/>
      <c r="N1440" s="49"/>
      <c r="O1440" s="49"/>
      <c r="P1440" s="49"/>
      <c r="Q1440" s="49"/>
      <c r="R1440" s="49"/>
      <c r="S1440" s="49"/>
      <c r="T1440" s="49"/>
      <c r="U1440" s="49"/>
      <c r="V1440" s="49"/>
      <c r="W1440" s="49"/>
      <c r="X1440" s="49"/>
      <c r="Y1440" s="49"/>
      <c r="Z1440" s="49"/>
    </row>
    <row r="1441">
      <c r="A1441" s="49"/>
      <c r="B1441" s="49"/>
      <c r="C1441" s="49"/>
      <c r="D1441" s="49"/>
      <c r="E1441" s="49"/>
      <c r="F1441" s="49"/>
      <c r="G1441" s="49"/>
      <c r="H1441" s="49"/>
      <c r="I1441" s="49"/>
      <c r="J1441" s="49"/>
      <c r="K1441" s="49"/>
      <c r="L1441" s="49"/>
      <c r="M1441" s="49"/>
      <c r="N1441" s="49"/>
      <c r="O1441" s="49"/>
      <c r="P1441" s="49"/>
      <c r="Q1441" s="49"/>
      <c r="R1441" s="49"/>
      <c r="S1441" s="49"/>
      <c r="T1441" s="49"/>
      <c r="U1441" s="49"/>
      <c r="V1441" s="49"/>
      <c r="W1441" s="49"/>
      <c r="X1441" s="49"/>
      <c r="Y1441" s="49"/>
      <c r="Z1441" s="49"/>
    </row>
    <row r="1442">
      <c r="A1442" s="49"/>
      <c r="B1442" s="49"/>
      <c r="C1442" s="49"/>
      <c r="D1442" s="49"/>
      <c r="E1442" s="49"/>
      <c r="F1442" s="49"/>
      <c r="G1442" s="49"/>
      <c r="H1442" s="49"/>
      <c r="I1442" s="49"/>
      <c r="J1442" s="49"/>
      <c r="K1442" s="49"/>
      <c r="L1442" s="49"/>
      <c r="M1442" s="49"/>
      <c r="N1442" s="49"/>
      <c r="O1442" s="49"/>
      <c r="P1442" s="49"/>
      <c r="Q1442" s="49"/>
      <c r="R1442" s="49"/>
      <c r="S1442" s="49"/>
      <c r="T1442" s="49"/>
      <c r="U1442" s="49"/>
      <c r="V1442" s="49"/>
      <c r="W1442" s="49"/>
      <c r="X1442" s="49"/>
      <c r="Y1442" s="49"/>
      <c r="Z1442" s="49"/>
    </row>
    <row r="1443">
      <c r="A1443" s="49"/>
      <c r="B1443" s="49"/>
      <c r="C1443" s="49"/>
      <c r="D1443" s="49"/>
      <c r="E1443" s="49"/>
      <c r="F1443" s="49"/>
      <c r="G1443" s="49"/>
      <c r="H1443" s="49"/>
      <c r="I1443" s="49"/>
      <c r="J1443" s="49"/>
      <c r="K1443" s="49"/>
      <c r="L1443" s="49"/>
      <c r="M1443" s="49"/>
      <c r="N1443" s="49"/>
      <c r="O1443" s="49"/>
      <c r="P1443" s="49"/>
      <c r="Q1443" s="49"/>
      <c r="R1443" s="49"/>
      <c r="S1443" s="49"/>
      <c r="T1443" s="49"/>
      <c r="U1443" s="49"/>
      <c r="V1443" s="49"/>
      <c r="W1443" s="49"/>
      <c r="X1443" s="49"/>
      <c r="Y1443" s="49"/>
      <c r="Z1443" s="49"/>
    </row>
    <row r="1444">
      <c r="A1444" s="49"/>
      <c r="B1444" s="49"/>
      <c r="C1444" s="49"/>
      <c r="D1444" s="49"/>
      <c r="E1444" s="49"/>
      <c r="F1444" s="49"/>
      <c r="G1444" s="49"/>
      <c r="H1444" s="49"/>
      <c r="I1444" s="49"/>
      <c r="J1444" s="49"/>
      <c r="K1444" s="49"/>
      <c r="L1444" s="49"/>
      <c r="M1444" s="49"/>
      <c r="N1444" s="49"/>
      <c r="O1444" s="49"/>
      <c r="P1444" s="49"/>
      <c r="Q1444" s="49"/>
      <c r="R1444" s="49"/>
      <c r="S1444" s="49"/>
      <c r="T1444" s="49"/>
      <c r="U1444" s="49"/>
      <c r="V1444" s="49"/>
      <c r="W1444" s="49"/>
      <c r="X1444" s="49"/>
      <c r="Y1444" s="49"/>
      <c r="Z1444" s="49"/>
    </row>
    <row r="1445">
      <c r="A1445" s="49"/>
      <c r="B1445" s="49"/>
      <c r="C1445" s="49"/>
      <c r="D1445" s="49"/>
      <c r="E1445" s="49"/>
      <c r="F1445" s="49"/>
      <c r="G1445" s="49"/>
      <c r="H1445" s="49"/>
      <c r="I1445" s="49"/>
      <c r="J1445" s="49"/>
      <c r="K1445" s="49"/>
      <c r="L1445" s="49"/>
      <c r="M1445" s="49"/>
      <c r="N1445" s="49"/>
      <c r="O1445" s="49"/>
      <c r="P1445" s="49"/>
      <c r="Q1445" s="49"/>
      <c r="R1445" s="49"/>
      <c r="S1445" s="49"/>
      <c r="T1445" s="49"/>
      <c r="U1445" s="49"/>
      <c r="V1445" s="49"/>
      <c r="W1445" s="49"/>
      <c r="X1445" s="49"/>
      <c r="Y1445" s="49"/>
      <c r="Z1445" s="49"/>
    </row>
    <row r="1446">
      <c r="A1446" s="49"/>
      <c r="B1446" s="49"/>
      <c r="C1446" s="49"/>
      <c r="D1446" s="49"/>
      <c r="E1446" s="49"/>
      <c r="F1446" s="49"/>
      <c r="G1446" s="49"/>
      <c r="H1446" s="49"/>
      <c r="I1446" s="49"/>
      <c r="J1446" s="49"/>
      <c r="K1446" s="49"/>
      <c r="L1446" s="49"/>
      <c r="M1446" s="49"/>
      <c r="N1446" s="49"/>
      <c r="O1446" s="49"/>
      <c r="P1446" s="49"/>
      <c r="Q1446" s="49"/>
      <c r="R1446" s="49"/>
      <c r="S1446" s="49"/>
      <c r="T1446" s="49"/>
      <c r="U1446" s="49"/>
      <c r="V1446" s="49"/>
      <c r="W1446" s="49"/>
      <c r="X1446" s="49"/>
      <c r="Y1446" s="49"/>
      <c r="Z1446" s="49"/>
    </row>
    <row r="1447">
      <c r="A1447" s="49"/>
      <c r="B1447" s="49"/>
      <c r="C1447" s="49"/>
      <c r="D1447" s="49"/>
      <c r="E1447" s="49"/>
      <c r="F1447" s="49"/>
      <c r="G1447" s="49"/>
      <c r="H1447" s="49"/>
      <c r="I1447" s="49"/>
      <c r="J1447" s="49"/>
      <c r="K1447" s="49"/>
      <c r="L1447" s="49"/>
      <c r="M1447" s="49"/>
      <c r="N1447" s="49"/>
      <c r="O1447" s="49"/>
      <c r="P1447" s="49"/>
      <c r="Q1447" s="49"/>
      <c r="R1447" s="49"/>
      <c r="S1447" s="49"/>
      <c r="T1447" s="49"/>
      <c r="U1447" s="49"/>
      <c r="V1447" s="49"/>
      <c r="W1447" s="49"/>
      <c r="X1447" s="49"/>
      <c r="Y1447" s="49"/>
      <c r="Z1447" s="49"/>
    </row>
    <row r="1448">
      <c r="A1448" s="49"/>
      <c r="B1448" s="49"/>
      <c r="C1448" s="49"/>
      <c r="D1448" s="49"/>
      <c r="E1448" s="49"/>
      <c r="F1448" s="49"/>
      <c r="G1448" s="49"/>
      <c r="H1448" s="49"/>
      <c r="I1448" s="49"/>
      <c r="J1448" s="49"/>
      <c r="K1448" s="49"/>
      <c r="L1448" s="49"/>
      <c r="M1448" s="49"/>
      <c r="N1448" s="49"/>
      <c r="O1448" s="49"/>
      <c r="P1448" s="49"/>
      <c r="Q1448" s="49"/>
      <c r="R1448" s="49"/>
      <c r="S1448" s="49"/>
      <c r="T1448" s="49"/>
      <c r="U1448" s="49"/>
      <c r="V1448" s="49"/>
      <c r="W1448" s="49"/>
      <c r="X1448" s="49"/>
      <c r="Y1448" s="49"/>
      <c r="Z1448" s="49"/>
    </row>
    <row r="1449">
      <c r="A1449" s="49"/>
      <c r="B1449" s="49"/>
      <c r="C1449" s="49"/>
      <c r="D1449" s="49"/>
      <c r="E1449" s="49"/>
      <c r="F1449" s="49"/>
      <c r="G1449" s="49"/>
      <c r="H1449" s="49"/>
      <c r="I1449" s="49"/>
      <c r="J1449" s="49"/>
      <c r="K1449" s="49"/>
      <c r="L1449" s="49"/>
      <c r="M1449" s="49"/>
      <c r="N1449" s="49"/>
      <c r="O1449" s="49"/>
      <c r="P1449" s="49"/>
      <c r="Q1449" s="49"/>
      <c r="R1449" s="49"/>
      <c r="S1449" s="49"/>
      <c r="T1449" s="49"/>
      <c r="U1449" s="49"/>
      <c r="V1449" s="49"/>
      <c r="W1449" s="49"/>
      <c r="X1449" s="49"/>
      <c r="Y1449" s="49"/>
      <c r="Z1449" s="49"/>
    </row>
    <row r="1450">
      <c r="A1450" s="49"/>
      <c r="B1450" s="49"/>
      <c r="C1450" s="49"/>
      <c r="D1450" s="49"/>
      <c r="E1450" s="49"/>
      <c r="F1450" s="49"/>
      <c r="G1450" s="49"/>
      <c r="H1450" s="49"/>
      <c r="I1450" s="49"/>
      <c r="J1450" s="49"/>
      <c r="K1450" s="49"/>
      <c r="L1450" s="49"/>
      <c r="M1450" s="49"/>
      <c r="N1450" s="49"/>
      <c r="O1450" s="49"/>
      <c r="P1450" s="49"/>
      <c r="Q1450" s="49"/>
      <c r="R1450" s="49"/>
      <c r="S1450" s="49"/>
      <c r="T1450" s="49"/>
      <c r="U1450" s="49"/>
      <c r="V1450" s="49"/>
      <c r="W1450" s="49"/>
      <c r="X1450" s="49"/>
      <c r="Y1450" s="49"/>
      <c r="Z1450" s="49"/>
    </row>
    <row r="1451">
      <c r="A1451" s="49"/>
      <c r="B1451" s="49"/>
      <c r="C1451" s="49"/>
      <c r="D1451" s="49"/>
      <c r="E1451" s="49"/>
      <c r="F1451" s="49"/>
      <c r="G1451" s="49"/>
      <c r="H1451" s="49"/>
      <c r="I1451" s="49"/>
      <c r="J1451" s="49"/>
      <c r="K1451" s="49"/>
      <c r="L1451" s="49"/>
      <c r="M1451" s="49"/>
      <c r="N1451" s="49"/>
      <c r="O1451" s="49"/>
      <c r="P1451" s="49"/>
      <c r="Q1451" s="49"/>
      <c r="R1451" s="49"/>
      <c r="S1451" s="49"/>
      <c r="T1451" s="49"/>
      <c r="U1451" s="49"/>
      <c r="V1451" s="49"/>
      <c r="W1451" s="49"/>
      <c r="X1451" s="49"/>
      <c r="Y1451" s="49"/>
      <c r="Z1451" s="49"/>
    </row>
    <row r="1452">
      <c r="A1452" s="49"/>
      <c r="B1452" s="49"/>
      <c r="C1452" s="49"/>
      <c r="D1452" s="49"/>
      <c r="E1452" s="49"/>
      <c r="F1452" s="49"/>
      <c r="G1452" s="49"/>
      <c r="H1452" s="49"/>
      <c r="I1452" s="49"/>
      <c r="J1452" s="49"/>
      <c r="K1452" s="49"/>
      <c r="L1452" s="49"/>
      <c r="M1452" s="49"/>
      <c r="N1452" s="49"/>
      <c r="O1452" s="49"/>
      <c r="P1452" s="49"/>
      <c r="Q1452" s="49"/>
      <c r="R1452" s="49"/>
      <c r="S1452" s="49"/>
      <c r="T1452" s="49"/>
      <c r="U1452" s="49"/>
      <c r="V1452" s="49"/>
      <c r="W1452" s="49"/>
      <c r="X1452" s="49"/>
      <c r="Y1452" s="49"/>
      <c r="Z1452" s="49"/>
    </row>
    <row r="1453">
      <c r="A1453" s="49"/>
      <c r="B1453" s="49"/>
      <c r="C1453" s="49"/>
      <c r="D1453" s="49"/>
      <c r="E1453" s="49"/>
      <c r="F1453" s="49"/>
      <c r="G1453" s="49"/>
      <c r="H1453" s="49"/>
      <c r="I1453" s="49"/>
      <c r="J1453" s="49"/>
      <c r="K1453" s="49"/>
      <c r="L1453" s="49"/>
      <c r="M1453" s="49"/>
      <c r="N1453" s="49"/>
      <c r="O1453" s="49"/>
      <c r="P1453" s="49"/>
      <c r="Q1453" s="49"/>
      <c r="R1453" s="49"/>
      <c r="S1453" s="49"/>
      <c r="T1453" s="49"/>
      <c r="U1453" s="49"/>
      <c r="V1453" s="49"/>
      <c r="W1453" s="49"/>
      <c r="X1453" s="49"/>
      <c r="Y1453" s="49"/>
      <c r="Z1453" s="49"/>
    </row>
    <row r="1454">
      <c r="A1454" s="49"/>
      <c r="B1454" s="49"/>
      <c r="C1454" s="49"/>
      <c r="D1454" s="49"/>
      <c r="E1454" s="49"/>
      <c r="F1454" s="49"/>
      <c r="G1454" s="49"/>
      <c r="H1454" s="49"/>
      <c r="I1454" s="49"/>
      <c r="J1454" s="49"/>
      <c r="K1454" s="49"/>
      <c r="L1454" s="49"/>
      <c r="M1454" s="49"/>
      <c r="N1454" s="49"/>
      <c r="O1454" s="49"/>
      <c r="P1454" s="49"/>
      <c r="Q1454" s="49"/>
      <c r="R1454" s="49"/>
      <c r="S1454" s="49"/>
      <c r="T1454" s="49"/>
      <c r="U1454" s="49"/>
      <c r="V1454" s="49"/>
      <c r="W1454" s="49"/>
      <c r="X1454" s="49"/>
      <c r="Y1454" s="49"/>
      <c r="Z1454" s="49"/>
    </row>
    <row r="1455">
      <c r="A1455" s="49"/>
      <c r="B1455" s="49"/>
      <c r="C1455" s="49"/>
      <c r="D1455" s="49"/>
      <c r="E1455" s="49"/>
      <c r="F1455" s="49"/>
      <c r="G1455" s="49"/>
      <c r="H1455" s="49"/>
      <c r="I1455" s="49"/>
      <c r="J1455" s="49"/>
      <c r="K1455" s="49"/>
      <c r="L1455" s="49"/>
      <c r="M1455" s="49"/>
      <c r="N1455" s="49"/>
      <c r="O1455" s="49"/>
      <c r="P1455" s="49"/>
      <c r="Q1455" s="49"/>
      <c r="R1455" s="49"/>
      <c r="S1455" s="49"/>
      <c r="T1455" s="49"/>
      <c r="U1455" s="49"/>
      <c r="V1455" s="49"/>
      <c r="W1455" s="49"/>
      <c r="X1455" s="49"/>
      <c r="Y1455" s="49"/>
      <c r="Z1455" s="49"/>
    </row>
    <row r="1456">
      <c r="A1456" s="49"/>
      <c r="B1456" s="49"/>
      <c r="C1456" s="49"/>
      <c r="D1456" s="49"/>
      <c r="E1456" s="49"/>
      <c r="F1456" s="49"/>
      <c r="G1456" s="49"/>
      <c r="H1456" s="49"/>
      <c r="I1456" s="49"/>
      <c r="J1456" s="49"/>
      <c r="K1456" s="49"/>
      <c r="L1456" s="49"/>
      <c r="M1456" s="49"/>
      <c r="N1456" s="49"/>
      <c r="O1456" s="49"/>
      <c r="P1456" s="49"/>
      <c r="Q1456" s="49"/>
      <c r="R1456" s="49"/>
      <c r="S1456" s="49"/>
      <c r="T1456" s="49"/>
      <c r="U1456" s="49"/>
      <c r="V1456" s="49"/>
      <c r="W1456" s="49"/>
      <c r="X1456" s="49"/>
      <c r="Y1456" s="49"/>
      <c r="Z1456" s="49"/>
    </row>
    <row r="1457">
      <c r="A1457" s="49"/>
      <c r="B1457" s="49"/>
      <c r="C1457" s="49"/>
      <c r="D1457" s="49"/>
      <c r="E1457" s="49"/>
      <c r="F1457" s="49"/>
      <c r="G1457" s="49"/>
      <c r="H1457" s="49"/>
      <c r="I1457" s="49"/>
      <c r="J1457" s="49"/>
      <c r="K1457" s="49"/>
      <c r="L1457" s="49"/>
      <c r="M1457" s="49"/>
      <c r="N1457" s="49"/>
      <c r="O1457" s="49"/>
      <c r="P1457" s="49"/>
      <c r="Q1457" s="49"/>
      <c r="R1457" s="49"/>
      <c r="S1457" s="49"/>
      <c r="T1457" s="49"/>
      <c r="U1457" s="49"/>
      <c r="V1457" s="49"/>
      <c r="W1457" s="49"/>
      <c r="X1457" s="49"/>
      <c r="Y1457" s="49"/>
      <c r="Z1457" s="49"/>
    </row>
    <row r="1458">
      <c r="A1458" s="49"/>
      <c r="B1458" s="49"/>
      <c r="C1458" s="49"/>
      <c r="D1458" s="49"/>
      <c r="E1458" s="49"/>
      <c r="F1458" s="49"/>
      <c r="G1458" s="49"/>
      <c r="H1458" s="49"/>
      <c r="I1458" s="49"/>
      <c r="J1458" s="49"/>
      <c r="K1458" s="49"/>
      <c r="L1458" s="49"/>
      <c r="M1458" s="49"/>
      <c r="N1458" s="49"/>
      <c r="O1458" s="49"/>
      <c r="P1458" s="49"/>
      <c r="Q1458" s="49"/>
      <c r="R1458" s="49"/>
      <c r="S1458" s="49"/>
      <c r="T1458" s="49"/>
      <c r="U1458" s="49"/>
      <c r="V1458" s="49"/>
      <c r="W1458" s="49"/>
      <c r="X1458" s="49"/>
      <c r="Y1458" s="49"/>
      <c r="Z1458" s="49"/>
    </row>
    <row r="1459">
      <c r="A1459" s="49"/>
      <c r="B1459" s="49"/>
      <c r="C1459" s="49"/>
      <c r="D1459" s="49"/>
      <c r="E1459" s="49"/>
      <c r="F1459" s="49"/>
      <c r="G1459" s="49"/>
      <c r="H1459" s="49"/>
      <c r="I1459" s="49"/>
      <c r="J1459" s="49"/>
      <c r="K1459" s="49"/>
      <c r="L1459" s="49"/>
      <c r="M1459" s="49"/>
      <c r="N1459" s="49"/>
      <c r="O1459" s="49"/>
      <c r="P1459" s="49"/>
      <c r="Q1459" s="49"/>
      <c r="R1459" s="49"/>
      <c r="S1459" s="49"/>
      <c r="T1459" s="49"/>
      <c r="U1459" s="49"/>
      <c r="V1459" s="49"/>
      <c r="W1459" s="49"/>
      <c r="X1459" s="49"/>
      <c r="Y1459" s="49"/>
      <c r="Z1459" s="49"/>
    </row>
    <row r="1460">
      <c r="A1460" s="49"/>
      <c r="B1460" s="49"/>
      <c r="C1460" s="49"/>
      <c r="D1460" s="49"/>
      <c r="E1460" s="49"/>
      <c r="F1460" s="49"/>
      <c r="G1460" s="49"/>
      <c r="H1460" s="49"/>
      <c r="I1460" s="49"/>
      <c r="J1460" s="49"/>
      <c r="K1460" s="49"/>
      <c r="L1460" s="49"/>
      <c r="M1460" s="49"/>
      <c r="N1460" s="49"/>
      <c r="O1460" s="49"/>
      <c r="P1460" s="49"/>
      <c r="Q1460" s="49"/>
      <c r="R1460" s="49"/>
      <c r="S1460" s="49"/>
      <c r="T1460" s="49"/>
      <c r="U1460" s="49"/>
      <c r="V1460" s="49"/>
      <c r="W1460" s="49"/>
      <c r="X1460" s="49"/>
      <c r="Y1460" s="49"/>
      <c r="Z1460" s="49"/>
    </row>
    <row r="1461">
      <c r="A1461" s="49"/>
      <c r="B1461" s="49"/>
      <c r="C1461" s="49"/>
      <c r="D1461" s="49"/>
      <c r="E1461" s="49"/>
      <c r="F1461" s="49"/>
      <c r="G1461" s="49"/>
      <c r="H1461" s="49"/>
      <c r="I1461" s="49"/>
      <c r="J1461" s="49"/>
      <c r="K1461" s="49"/>
      <c r="L1461" s="49"/>
      <c r="M1461" s="49"/>
      <c r="N1461" s="49"/>
      <c r="O1461" s="49"/>
      <c r="P1461" s="49"/>
      <c r="Q1461" s="49"/>
      <c r="R1461" s="49"/>
      <c r="S1461" s="49"/>
      <c r="T1461" s="49"/>
      <c r="U1461" s="49"/>
      <c r="V1461" s="49"/>
      <c r="W1461" s="49"/>
      <c r="X1461" s="49"/>
      <c r="Y1461" s="49"/>
      <c r="Z1461" s="49"/>
    </row>
    <row r="1462">
      <c r="A1462" s="49"/>
      <c r="B1462" s="49"/>
      <c r="C1462" s="49"/>
      <c r="D1462" s="49"/>
      <c r="E1462" s="49"/>
      <c r="F1462" s="49"/>
      <c r="G1462" s="49"/>
      <c r="H1462" s="49"/>
      <c r="I1462" s="49"/>
      <c r="J1462" s="49"/>
      <c r="K1462" s="49"/>
      <c r="L1462" s="49"/>
      <c r="M1462" s="49"/>
      <c r="N1462" s="49"/>
      <c r="O1462" s="49"/>
      <c r="P1462" s="49"/>
      <c r="Q1462" s="49"/>
      <c r="R1462" s="49"/>
      <c r="S1462" s="49"/>
      <c r="T1462" s="49"/>
      <c r="U1462" s="49"/>
      <c r="V1462" s="49"/>
      <c r="W1462" s="49"/>
      <c r="X1462" s="49"/>
      <c r="Y1462" s="49"/>
      <c r="Z1462" s="49"/>
    </row>
    <row r="1463">
      <c r="A1463" s="49"/>
      <c r="B1463" s="49"/>
      <c r="C1463" s="49"/>
      <c r="D1463" s="49"/>
      <c r="E1463" s="49"/>
      <c r="F1463" s="49"/>
      <c r="G1463" s="49"/>
      <c r="H1463" s="49"/>
      <c r="I1463" s="49"/>
      <c r="J1463" s="49"/>
      <c r="K1463" s="49"/>
      <c r="L1463" s="49"/>
      <c r="M1463" s="49"/>
      <c r="N1463" s="49"/>
      <c r="O1463" s="49"/>
      <c r="P1463" s="49"/>
      <c r="Q1463" s="49"/>
      <c r="R1463" s="49"/>
      <c r="S1463" s="49"/>
      <c r="T1463" s="49"/>
      <c r="U1463" s="49"/>
      <c r="V1463" s="49"/>
      <c r="W1463" s="49"/>
      <c r="X1463" s="49"/>
      <c r="Y1463" s="49"/>
      <c r="Z1463" s="49"/>
    </row>
    <row r="1464">
      <c r="A1464" s="49"/>
      <c r="B1464" s="49"/>
      <c r="C1464" s="49"/>
      <c r="D1464" s="49"/>
      <c r="E1464" s="49"/>
      <c r="F1464" s="49"/>
      <c r="G1464" s="49"/>
      <c r="H1464" s="49"/>
      <c r="I1464" s="49"/>
      <c r="J1464" s="49"/>
      <c r="K1464" s="49"/>
      <c r="L1464" s="49"/>
      <c r="M1464" s="49"/>
      <c r="N1464" s="49"/>
      <c r="O1464" s="49"/>
      <c r="P1464" s="49"/>
      <c r="Q1464" s="49"/>
      <c r="R1464" s="49"/>
      <c r="S1464" s="49"/>
      <c r="T1464" s="49"/>
      <c r="U1464" s="49"/>
      <c r="V1464" s="49"/>
      <c r="W1464" s="49"/>
      <c r="X1464" s="49"/>
      <c r="Y1464" s="49"/>
      <c r="Z1464" s="49"/>
    </row>
    <row r="1465">
      <c r="A1465" s="49"/>
      <c r="B1465" s="49"/>
      <c r="C1465" s="49"/>
      <c r="D1465" s="49"/>
      <c r="E1465" s="49"/>
      <c r="F1465" s="49"/>
      <c r="G1465" s="49"/>
      <c r="H1465" s="49"/>
      <c r="I1465" s="49"/>
      <c r="J1465" s="49"/>
      <c r="K1465" s="49"/>
      <c r="L1465" s="49"/>
      <c r="M1465" s="49"/>
      <c r="N1465" s="49"/>
      <c r="O1465" s="49"/>
      <c r="P1465" s="49"/>
      <c r="Q1465" s="49"/>
      <c r="R1465" s="49"/>
      <c r="S1465" s="49"/>
      <c r="T1465" s="49"/>
      <c r="U1465" s="49"/>
      <c r="V1465" s="49"/>
      <c r="W1465" s="49"/>
      <c r="X1465" s="49"/>
      <c r="Y1465" s="49"/>
      <c r="Z1465" s="49"/>
    </row>
    <row r="1466">
      <c r="A1466" s="49"/>
      <c r="B1466" s="49"/>
      <c r="C1466" s="49"/>
      <c r="D1466" s="49"/>
      <c r="E1466" s="49"/>
      <c r="F1466" s="49"/>
      <c r="G1466" s="49"/>
      <c r="H1466" s="49"/>
      <c r="I1466" s="49"/>
      <c r="J1466" s="49"/>
      <c r="K1466" s="49"/>
      <c r="L1466" s="49"/>
      <c r="M1466" s="49"/>
      <c r="N1466" s="49"/>
      <c r="O1466" s="49"/>
      <c r="P1466" s="49"/>
      <c r="Q1466" s="49"/>
      <c r="R1466" s="49"/>
      <c r="S1466" s="49"/>
      <c r="T1466" s="49"/>
      <c r="U1466" s="49"/>
      <c r="V1466" s="49"/>
      <c r="W1466" s="49"/>
      <c r="X1466" s="49"/>
      <c r="Y1466" s="49"/>
      <c r="Z1466" s="49"/>
    </row>
    <row r="1467">
      <c r="A1467" s="49"/>
      <c r="B1467" s="49"/>
      <c r="C1467" s="49"/>
      <c r="D1467" s="49"/>
      <c r="E1467" s="49"/>
      <c r="F1467" s="49"/>
      <c r="G1467" s="49"/>
      <c r="H1467" s="49"/>
      <c r="I1467" s="49"/>
      <c r="J1467" s="49"/>
      <c r="K1467" s="49"/>
      <c r="L1467" s="49"/>
      <c r="M1467" s="49"/>
      <c r="N1467" s="49"/>
      <c r="O1467" s="49"/>
      <c r="P1467" s="49"/>
      <c r="Q1467" s="49"/>
      <c r="R1467" s="49"/>
      <c r="S1467" s="49"/>
      <c r="T1467" s="49"/>
      <c r="U1467" s="49"/>
      <c r="V1467" s="49"/>
      <c r="W1467" s="49"/>
      <c r="X1467" s="49"/>
      <c r="Y1467" s="49"/>
      <c r="Z1467" s="49"/>
    </row>
    <row r="1468">
      <c r="A1468" s="49"/>
      <c r="B1468" s="49"/>
      <c r="C1468" s="49"/>
      <c r="D1468" s="49"/>
      <c r="E1468" s="49"/>
      <c r="F1468" s="49"/>
      <c r="G1468" s="49"/>
      <c r="H1468" s="49"/>
      <c r="I1468" s="49"/>
      <c r="J1468" s="49"/>
      <c r="K1468" s="49"/>
      <c r="L1468" s="49"/>
      <c r="M1468" s="49"/>
      <c r="N1468" s="49"/>
      <c r="O1468" s="49"/>
      <c r="P1468" s="49"/>
      <c r="Q1468" s="49"/>
      <c r="R1468" s="49"/>
      <c r="S1468" s="49"/>
      <c r="T1468" s="49"/>
      <c r="U1468" s="49"/>
      <c r="V1468" s="49"/>
      <c r="W1468" s="49"/>
      <c r="X1468" s="49"/>
      <c r="Y1468" s="49"/>
      <c r="Z1468" s="49"/>
    </row>
    <row r="1469">
      <c r="A1469" s="49"/>
      <c r="B1469" s="49"/>
      <c r="C1469" s="49"/>
      <c r="D1469" s="49"/>
      <c r="E1469" s="49"/>
      <c r="F1469" s="49"/>
      <c r="G1469" s="49"/>
      <c r="H1469" s="49"/>
      <c r="I1469" s="49"/>
      <c r="J1469" s="49"/>
      <c r="K1469" s="49"/>
      <c r="L1469" s="49"/>
      <c r="M1469" s="49"/>
      <c r="N1469" s="49"/>
      <c r="O1469" s="49"/>
      <c r="P1469" s="49"/>
      <c r="Q1469" s="49"/>
      <c r="R1469" s="49"/>
      <c r="S1469" s="49"/>
      <c r="T1469" s="49"/>
      <c r="U1469" s="49"/>
      <c r="V1469" s="49"/>
      <c r="W1469" s="49"/>
      <c r="X1469" s="49"/>
      <c r="Y1469" s="49"/>
      <c r="Z1469" s="49"/>
    </row>
    <row r="1470">
      <c r="A1470" s="49"/>
      <c r="B1470" s="49"/>
      <c r="C1470" s="49"/>
      <c r="D1470" s="49"/>
      <c r="E1470" s="49"/>
      <c r="F1470" s="49"/>
      <c r="G1470" s="49"/>
      <c r="H1470" s="49"/>
      <c r="I1470" s="49"/>
      <c r="J1470" s="49"/>
      <c r="K1470" s="49"/>
      <c r="L1470" s="49"/>
      <c r="M1470" s="49"/>
      <c r="N1470" s="49"/>
      <c r="O1470" s="49"/>
      <c r="P1470" s="49"/>
      <c r="Q1470" s="49"/>
      <c r="R1470" s="49"/>
      <c r="S1470" s="49"/>
      <c r="T1470" s="49"/>
      <c r="U1470" s="49"/>
      <c r="V1470" s="49"/>
      <c r="W1470" s="49"/>
      <c r="X1470" s="49"/>
      <c r="Y1470" s="49"/>
      <c r="Z1470" s="49"/>
    </row>
    <row r="1471">
      <c r="A1471" s="49"/>
      <c r="B1471" s="49"/>
      <c r="C1471" s="49"/>
      <c r="D1471" s="49"/>
      <c r="E1471" s="49"/>
      <c r="F1471" s="49"/>
      <c r="G1471" s="49"/>
      <c r="H1471" s="49"/>
      <c r="I1471" s="49"/>
      <c r="J1471" s="49"/>
      <c r="K1471" s="49"/>
      <c r="L1471" s="49"/>
      <c r="M1471" s="49"/>
      <c r="N1471" s="49"/>
      <c r="O1471" s="49"/>
      <c r="P1471" s="49"/>
      <c r="Q1471" s="49"/>
      <c r="R1471" s="49"/>
      <c r="S1471" s="49"/>
      <c r="T1471" s="49"/>
      <c r="U1471" s="49"/>
      <c r="V1471" s="49"/>
      <c r="W1471" s="49"/>
      <c r="X1471" s="49"/>
      <c r="Y1471" s="49"/>
      <c r="Z1471" s="49"/>
    </row>
    <row r="1472">
      <c r="A1472" s="49"/>
      <c r="B1472" s="49"/>
      <c r="C1472" s="49"/>
      <c r="D1472" s="49"/>
      <c r="E1472" s="49"/>
      <c r="F1472" s="49"/>
      <c r="G1472" s="49"/>
      <c r="H1472" s="49"/>
      <c r="I1472" s="49"/>
      <c r="J1472" s="49"/>
      <c r="K1472" s="49"/>
      <c r="L1472" s="49"/>
      <c r="M1472" s="49"/>
      <c r="N1472" s="49"/>
      <c r="O1472" s="49"/>
      <c r="P1472" s="49"/>
      <c r="Q1472" s="49"/>
      <c r="R1472" s="49"/>
      <c r="S1472" s="49"/>
      <c r="T1472" s="49"/>
      <c r="U1472" s="49"/>
      <c r="V1472" s="49"/>
      <c r="W1472" s="49"/>
      <c r="X1472" s="49"/>
      <c r="Y1472" s="49"/>
      <c r="Z1472" s="49"/>
    </row>
    <row r="1473">
      <c r="A1473" s="49"/>
      <c r="B1473" s="49"/>
      <c r="C1473" s="49"/>
      <c r="D1473" s="49"/>
      <c r="E1473" s="49"/>
      <c r="F1473" s="49"/>
      <c r="G1473" s="49"/>
      <c r="H1473" s="49"/>
      <c r="I1473" s="49"/>
      <c r="J1473" s="49"/>
      <c r="K1473" s="49"/>
      <c r="L1473" s="49"/>
      <c r="M1473" s="49"/>
      <c r="N1473" s="49"/>
      <c r="O1473" s="49"/>
      <c r="P1473" s="49"/>
      <c r="Q1473" s="49"/>
      <c r="R1473" s="49"/>
      <c r="S1473" s="49"/>
      <c r="T1473" s="49"/>
      <c r="U1473" s="49"/>
      <c r="V1473" s="49"/>
      <c r="W1473" s="49"/>
      <c r="X1473" s="49"/>
      <c r="Y1473" s="49"/>
      <c r="Z1473" s="49"/>
    </row>
    <row r="1474">
      <c r="A1474" s="49"/>
      <c r="B1474" s="49"/>
      <c r="C1474" s="49"/>
      <c r="D1474" s="49"/>
      <c r="E1474" s="49"/>
      <c r="F1474" s="49"/>
      <c r="G1474" s="49"/>
      <c r="H1474" s="49"/>
      <c r="I1474" s="49"/>
      <c r="J1474" s="49"/>
      <c r="K1474" s="49"/>
      <c r="L1474" s="49"/>
      <c r="M1474" s="49"/>
      <c r="N1474" s="49"/>
      <c r="O1474" s="49"/>
      <c r="P1474" s="49"/>
      <c r="Q1474" s="49"/>
      <c r="R1474" s="49"/>
      <c r="S1474" s="49"/>
      <c r="T1474" s="49"/>
      <c r="U1474" s="49"/>
      <c r="V1474" s="49"/>
      <c r="W1474" s="49"/>
      <c r="X1474" s="49"/>
      <c r="Y1474" s="49"/>
      <c r="Z1474" s="49"/>
    </row>
    <row r="1475">
      <c r="A1475" s="49"/>
      <c r="B1475" s="49"/>
      <c r="C1475" s="49"/>
      <c r="D1475" s="49"/>
      <c r="E1475" s="49"/>
      <c r="F1475" s="49"/>
      <c r="G1475" s="49"/>
      <c r="H1475" s="49"/>
      <c r="I1475" s="49"/>
      <c r="J1475" s="49"/>
      <c r="K1475" s="49"/>
      <c r="L1475" s="49"/>
      <c r="M1475" s="49"/>
      <c r="N1475" s="49"/>
      <c r="O1475" s="49"/>
      <c r="P1475" s="49"/>
      <c r="Q1475" s="49"/>
      <c r="R1475" s="49"/>
      <c r="S1475" s="49"/>
      <c r="T1475" s="49"/>
      <c r="U1475" s="49"/>
      <c r="V1475" s="49"/>
      <c r="W1475" s="49"/>
      <c r="X1475" s="49"/>
      <c r="Y1475" s="49"/>
      <c r="Z1475" s="49"/>
    </row>
    <row r="1476">
      <c r="A1476" s="49"/>
      <c r="B1476" s="49"/>
      <c r="C1476" s="49"/>
      <c r="D1476" s="49"/>
      <c r="E1476" s="49"/>
      <c r="F1476" s="49"/>
      <c r="G1476" s="49"/>
      <c r="H1476" s="49"/>
      <c r="I1476" s="49"/>
      <c r="J1476" s="49"/>
      <c r="K1476" s="49"/>
      <c r="L1476" s="49"/>
      <c r="M1476" s="49"/>
      <c r="N1476" s="49"/>
      <c r="O1476" s="49"/>
      <c r="P1476" s="49"/>
      <c r="Q1476" s="49"/>
      <c r="R1476" s="49"/>
      <c r="S1476" s="49"/>
      <c r="T1476" s="49"/>
      <c r="U1476" s="49"/>
      <c r="V1476" s="49"/>
      <c r="W1476" s="49"/>
      <c r="X1476" s="49"/>
      <c r="Y1476" s="49"/>
      <c r="Z1476" s="49"/>
    </row>
    <row r="1477">
      <c r="A1477" s="49"/>
      <c r="B1477" s="49"/>
      <c r="C1477" s="49"/>
      <c r="D1477" s="49"/>
      <c r="E1477" s="49"/>
      <c r="F1477" s="49"/>
      <c r="G1477" s="49"/>
      <c r="H1477" s="49"/>
      <c r="I1477" s="49"/>
      <c r="J1477" s="49"/>
      <c r="K1477" s="49"/>
      <c r="L1477" s="49"/>
      <c r="M1477" s="49"/>
      <c r="N1477" s="49"/>
      <c r="O1477" s="49"/>
      <c r="P1477" s="49"/>
      <c r="Q1477" s="49"/>
      <c r="R1477" s="49"/>
      <c r="S1477" s="49"/>
      <c r="T1477" s="49"/>
      <c r="U1477" s="49"/>
      <c r="V1477" s="49"/>
      <c r="W1477" s="49"/>
      <c r="X1477" s="49"/>
      <c r="Y1477" s="49"/>
      <c r="Z1477" s="49"/>
    </row>
    <row r="1478">
      <c r="A1478" s="49"/>
      <c r="B1478" s="49"/>
      <c r="C1478" s="49"/>
      <c r="D1478" s="49"/>
      <c r="E1478" s="49"/>
      <c r="F1478" s="49"/>
      <c r="G1478" s="49"/>
      <c r="H1478" s="49"/>
      <c r="I1478" s="49"/>
      <c r="J1478" s="49"/>
      <c r="K1478" s="49"/>
      <c r="L1478" s="49"/>
      <c r="M1478" s="49"/>
      <c r="N1478" s="49"/>
      <c r="O1478" s="49"/>
      <c r="P1478" s="49"/>
      <c r="Q1478" s="49"/>
      <c r="R1478" s="49"/>
      <c r="S1478" s="49"/>
      <c r="T1478" s="49"/>
      <c r="U1478" s="49"/>
      <c r="V1478" s="49"/>
      <c r="W1478" s="49"/>
      <c r="X1478" s="49"/>
      <c r="Y1478" s="49"/>
      <c r="Z1478" s="49"/>
    </row>
    <row r="1479">
      <c r="A1479" s="49"/>
      <c r="B1479" s="49"/>
      <c r="C1479" s="49"/>
      <c r="D1479" s="49"/>
      <c r="E1479" s="49"/>
      <c r="F1479" s="49"/>
      <c r="G1479" s="49"/>
      <c r="H1479" s="49"/>
      <c r="I1479" s="49"/>
      <c r="J1479" s="49"/>
      <c r="K1479" s="49"/>
      <c r="L1479" s="49"/>
      <c r="M1479" s="49"/>
      <c r="N1479" s="49"/>
      <c r="O1479" s="49"/>
      <c r="P1479" s="49"/>
      <c r="Q1479" s="49"/>
      <c r="R1479" s="49"/>
      <c r="S1479" s="49"/>
      <c r="T1479" s="49"/>
      <c r="U1479" s="49"/>
      <c r="V1479" s="49"/>
      <c r="W1479" s="49"/>
      <c r="X1479" s="49"/>
      <c r="Y1479" s="49"/>
      <c r="Z1479" s="49"/>
    </row>
    <row r="1480">
      <c r="A1480" s="49"/>
      <c r="B1480" s="49"/>
      <c r="C1480" s="49"/>
      <c r="D1480" s="49"/>
      <c r="E1480" s="49"/>
      <c r="F1480" s="49"/>
      <c r="G1480" s="49"/>
      <c r="H1480" s="49"/>
      <c r="I1480" s="49"/>
      <c r="J1480" s="49"/>
      <c r="K1480" s="49"/>
      <c r="L1480" s="49"/>
      <c r="M1480" s="49"/>
      <c r="N1480" s="49"/>
      <c r="O1480" s="49"/>
      <c r="P1480" s="49"/>
      <c r="Q1480" s="49"/>
      <c r="R1480" s="49"/>
      <c r="S1480" s="49"/>
      <c r="T1480" s="49"/>
      <c r="U1480" s="49"/>
      <c r="V1480" s="49"/>
      <c r="W1480" s="49"/>
      <c r="X1480" s="49"/>
      <c r="Y1480" s="49"/>
      <c r="Z1480" s="49"/>
    </row>
    <row r="1481">
      <c r="A1481" s="49"/>
      <c r="B1481" s="49"/>
      <c r="C1481" s="49"/>
      <c r="D1481" s="49"/>
      <c r="E1481" s="49"/>
      <c r="F1481" s="49"/>
      <c r="G1481" s="49"/>
      <c r="H1481" s="49"/>
      <c r="I1481" s="49"/>
      <c r="J1481" s="49"/>
      <c r="K1481" s="49"/>
      <c r="L1481" s="49"/>
      <c r="M1481" s="49"/>
      <c r="N1481" s="49"/>
      <c r="O1481" s="49"/>
      <c r="P1481" s="49"/>
      <c r="Q1481" s="49"/>
      <c r="R1481" s="49"/>
      <c r="S1481" s="49"/>
      <c r="T1481" s="49"/>
      <c r="U1481" s="49"/>
      <c r="V1481" s="49"/>
      <c r="W1481" s="49"/>
      <c r="X1481" s="49"/>
      <c r="Y1481" s="49"/>
      <c r="Z1481" s="49"/>
    </row>
    <row r="1482">
      <c r="A1482" s="49"/>
      <c r="B1482" s="49"/>
      <c r="C1482" s="49"/>
      <c r="D1482" s="49"/>
      <c r="E1482" s="49"/>
      <c r="F1482" s="49"/>
      <c r="G1482" s="49"/>
      <c r="H1482" s="49"/>
      <c r="I1482" s="49"/>
      <c r="J1482" s="49"/>
      <c r="K1482" s="49"/>
      <c r="L1482" s="49"/>
      <c r="M1482" s="49"/>
      <c r="N1482" s="49"/>
      <c r="O1482" s="49"/>
      <c r="P1482" s="49"/>
      <c r="Q1482" s="49"/>
      <c r="R1482" s="49"/>
      <c r="S1482" s="49"/>
      <c r="T1482" s="49"/>
      <c r="U1482" s="49"/>
      <c r="V1482" s="49"/>
      <c r="W1482" s="49"/>
      <c r="X1482" s="49"/>
      <c r="Y1482" s="49"/>
      <c r="Z1482" s="49"/>
    </row>
    <row r="1483">
      <c r="A1483" s="49"/>
      <c r="B1483" s="49"/>
      <c r="C1483" s="49"/>
      <c r="D1483" s="49"/>
      <c r="E1483" s="49"/>
      <c r="F1483" s="49"/>
      <c r="G1483" s="49"/>
      <c r="H1483" s="49"/>
      <c r="I1483" s="49"/>
      <c r="J1483" s="49"/>
      <c r="K1483" s="49"/>
      <c r="L1483" s="49"/>
      <c r="M1483" s="49"/>
      <c r="N1483" s="49"/>
      <c r="O1483" s="49"/>
      <c r="P1483" s="49"/>
      <c r="Q1483" s="49"/>
      <c r="R1483" s="49"/>
      <c r="S1483" s="49"/>
      <c r="T1483" s="49"/>
      <c r="U1483" s="49"/>
      <c r="V1483" s="49"/>
      <c r="W1483" s="49"/>
      <c r="X1483" s="49"/>
      <c r="Y1483" s="49"/>
      <c r="Z1483" s="49"/>
    </row>
    <row r="1484">
      <c r="A1484" s="49"/>
      <c r="B1484" s="49"/>
      <c r="C1484" s="49"/>
      <c r="D1484" s="49"/>
      <c r="E1484" s="49"/>
      <c r="F1484" s="49"/>
      <c r="G1484" s="49"/>
      <c r="H1484" s="49"/>
      <c r="I1484" s="49"/>
      <c r="J1484" s="49"/>
      <c r="K1484" s="49"/>
      <c r="L1484" s="49"/>
      <c r="M1484" s="49"/>
      <c r="N1484" s="49"/>
      <c r="O1484" s="49"/>
      <c r="P1484" s="49"/>
      <c r="Q1484" s="49"/>
      <c r="R1484" s="49"/>
      <c r="S1484" s="49"/>
      <c r="T1484" s="49"/>
      <c r="U1484" s="49"/>
      <c r="V1484" s="49"/>
      <c r="W1484" s="49"/>
      <c r="X1484" s="49"/>
      <c r="Y1484" s="49"/>
      <c r="Z1484" s="49"/>
    </row>
    <row r="1485">
      <c r="A1485" s="49"/>
      <c r="B1485" s="49"/>
      <c r="C1485" s="49"/>
      <c r="D1485" s="49"/>
      <c r="E1485" s="49"/>
      <c r="F1485" s="49"/>
      <c r="G1485" s="49"/>
      <c r="H1485" s="49"/>
      <c r="I1485" s="49"/>
      <c r="J1485" s="49"/>
      <c r="K1485" s="49"/>
      <c r="L1485" s="49"/>
      <c r="M1485" s="49"/>
      <c r="N1485" s="49"/>
      <c r="O1485" s="49"/>
      <c r="P1485" s="49"/>
      <c r="Q1485" s="49"/>
      <c r="R1485" s="49"/>
      <c r="S1485" s="49"/>
      <c r="T1485" s="49"/>
      <c r="U1485" s="49"/>
      <c r="V1485" s="49"/>
      <c r="W1485" s="49"/>
      <c r="X1485" s="49"/>
      <c r="Y1485" s="49"/>
      <c r="Z1485" s="49"/>
    </row>
    <row r="1486">
      <c r="A1486" s="49"/>
      <c r="B1486" s="49"/>
      <c r="C1486" s="49"/>
      <c r="D1486" s="49"/>
      <c r="E1486" s="49"/>
      <c r="F1486" s="49"/>
      <c r="G1486" s="49"/>
      <c r="H1486" s="49"/>
      <c r="I1486" s="49"/>
      <c r="J1486" s="49"/>
      <c r="K1486" s="49"/>
      <c r="L1486" s="49"/>
      <c r="M1486" s="49"/>
      <c r="N1486" s="49"/>
      <c r="O1486" s="49"/>
      <c r="P1486" s="49"/>
      <c r="Q1486" s="49"/>
      <c r="R1486" s="49"/>
      <c r="S1486" s="49"/>
      <c r="T1486" s="49"/>
      <c r="U1486" s="49"/>
      <c r="V1486" s="49"/>
      <c r="W1486" s="49"/>
      <c r="X1486" s="49"/>
      <c r="Y1486" s="49"/>
      <c r="Z1486" s="49"/>
    </row>
    <row r="1487">
      <c r="A1487" s="49"/>
      <c r="B1487" s="49"/>
      <c r="C1487" s="49"/>
      <c r="D1487" s="49"/>
      <c r="E1487" s="49"/>
      <c r="F1487" s="49"/>
      <c r="G1487" s="49"/>
      <c r="H1487" s="49"/>
      <c r="I1487" s="49"/>
      <c r="J1487" s="49"/>
      <c r="K1487" s="49"/>
      <c r="L1487" s="49"/>
      <c r="M1487" s="49"/>
      <c r="N1487" s="49"/>
      <c r="O1487" s="49"/>
      <c r="P1487" s="49"/>
      <c r="Q1487" s="49"/>
      <c r="R1487" s="49"/>
      <c r="S1487" s="49"/>
      <c r="T1487" s="49"/>
      <c r="U1487" s="49"/>
      <c r="V1487" s="49"/>
      <c r="W1487" s="49"/>
      <c r="X1487" s="49"/>
      <c r="Y1487" s="49"/>
      <c r="Z1487" s="49"/>
    </row>
    <row r="1488">
      <c r="A1488" s="49"/>
      <c r="B1488" s="49"/>
      <c r="C1488" s="49"/>
      <c r="D1488" s="49"/>
      <c r="E1488" s="49"/>
      <c r="F1488" s="49"/>
      <c r="G1488" s="49"/>
      <c r="H1488" s="49"/>
      <c r="I1488" s="49"/>
      <c r="J1488" s="49"/>
      <c r="K1488" s="49"/>
      <c r="L1488" s="49"/>
      <c r="M1488" s="49"/>
      <c r="N1488" s="49"/>
      <c r="O1488" s="49"/>
      <c r="P1488" s="49"/>
      <c r="Q1488" s="49"/>
      <c r="R1488" s="49"/>
      <c r="S1488" s="49"/>
      <c r="T1488" s="49"/>
      <c r="U1488" s="49"/>
      <c r="V1488" s="49"/>
      <c r="W1488" s="49"/>
      <c r="X1488" s="49"/>
      <c r="Y1488" s="49"/>
      <c r="Z1488" s="49"/>
    </row>
    <row r="1489">
      <c r="A1489" s="49"/>
      <c r="B1489" s="49"/>
      <c r="C1489" s="49"/>
      <c r="D1489" s="49"/>
      <c r="E1489" s="49"/>
      <c r="F1489" s="49"/>
      <c r="G1489" s="49"/>
      <c r="H1489" s="49"/>
      <c r="I1489" s="49"/>
      <c r="J1489" s="49"/>
      <c r="K1489" s="49"/>
      <c r="L1489" s="49"/>
      <c r="M1489" s="49"/>
      <c r="N1489" s="49"/>
      <c r="O1489" s="49"/>
      <c r="P1489" s="49"/>
      <c r="Q1489" s="49"/>
      <c r="R1489" s="49"/>
      <c r="S1489" s="49"/>
      <c r="T1489" s="49"/>
      <c r="U1489" s="49"/>
      <c r="V1489" s="49"/>
      <c r="W1489" s="49"/>
      <c r="X1489" s="49"/>
      <c r="Y1489" s="49"/>
      <c r="Z1489" s="49"/>
    </row>
    <row r="1490">
      <c r="A1490" s="49"/>
      <c r="B1490" s="49"/>
      <c r="C1490" s="49"/>
      <c r="D1490" s="49"/>
      <c r="E1490" s="49"/>
      <c r="F1490" s="49"/>
      <c r="G1490" s="49"/>
      <c r="H1490" s="49"/>
      <c r="I1490" s="49"/>
      <c r="J1490" s="49"/>
      <c r="K1490" s="49"/>
      <c r="L1490" s="49"/>
      <c r="M1490" s="49"/>
      <c r="N1490" s="49"/>
      <c r="O1490" s="49"/>
      <c r="P1490" s="49"/>
      <c r="Q1490" s="49"/>
      <c r="R1490" s="49"/>
      <c r="S1490" s="49"/>
      <c r="T1490" s="49"/>
      <c r="U1490" s="49"/>
      <c r="V1490" s="49"/>
      <c r="W1490" s="49"/>
      <c r="X1490" s="49"/>
      <c r="Y1490" s="49"/>
      <c r="Z1490" s="49"/>
    </row>
    <row r="1491">
      <c r="A1491" s="49"/>
      <c r="B1491" s="49"/>
      <c r="C1491" s="49"/>
      <c r="D1491" s="49"/>
      <c r="E1491" s="49"/>
      <c r="F1491" s="49"/>
      <c r="G1491" s="49"/>
      <c r="H1491" s="49"/>
      <c r="I1491" s="49"/>
      <c r="J1491" s="49"/>
      <c r="K1491" s="49"/>
      <c r="L1491" s="49"/>
      <c r="M1491" s="49"/>
      <c r="N1491" s="49"/>
      <c r="O1491" s="49"/>
      <c r="P1491" s="49"/>
      <c r="Q1491" s="49"/>
      <c r="R1491" s="49"/>
      <c r="S1491" s="49"/>
      <c r="T1491" s="49"/>
      <c r="U1491" s="49"/>
      <c r="V1491" s="49"/>
      <c r="W1491" s="49"/>
      <c r="X1491" s="49"/>
      <c r="Y1491" s="49"/>
      <c r="Z1491" s="49"/>
    </row>
    <row r="1492">
      <c r="A1492" s="49"/>
      <c r="B1492" s="49"/>
      <c r="C1492" s="49"/>
      <c r="D1492" s="49"/>
      <c r="E1492" s="49"/>
      <c r="F1492" s="49"/>
      <c r="G1492" s="49"/>
      <c r="H1492" s="49"/>
      <c r="I1492" s="49"/>
      <c r="J1492" s="49"/>
      <c r="K1492" s="49"/>
      <c r="L1492" s="49"/>
      <c r="M1492" s="49"/>
      <c r="N1492" s="49"/>
      <c r="O1492" s="49"/>
      <c r="P1492" s="49"/>
      <c r="Q1492" s="49"/>
      <c r="R1492" s="49"/>
      <c r="S1492" s="49"/>
      <c r="T1492" s="49"/>
      <c r="U1492" s="49"/>
      <c r="V1492" s="49"/>
      <c r="W1492" s="49"/>
      <c r="X1492" s="49"/>
      <c r="Y1492" s="49"/>
      <c r="Z1492" s="49"/>
    </row>
    <row r="1493">
      <c r="A1493" s="49"/>
      <c r="B1493" s="49"/>
      <c r="C1493" s="49"/>
      <c r="D1493" s="49"/>
      <c r="E1493" s="49"/>
      <c r="F1493" s="49"/>
      <c r="G1493" s="49"/>
      <c r="H1493" s="49"/>
      <c r="I1493" s="49"/>
      <c r="J1493" s="49"/>
      <c r="K1493" s="49"/>
      <c r="L1493" s="49"/>
      <c r="M1493" s="49"/>
      <c r="N1493" s="49"/>
      <c r="O1493" s="49"/>
      <c r="P1493" s="49"/>
      <c r="Q1493" s="49"/>
      <c r="R1493" s="49"/>
      <c r="S1493" s="49"/>
      <c r="T1493" s="49"/>
      <c r="U1493" s="49"/>
      <c r="V1493" s="49"/>
      <c r="W1493" s="49"/>
      <c r="X1493" s="49"/>
      <c r="Y1493" s="49"/>
      <c r="Z1493" s="49"/>
    </row>
    <row r="1494">
      <c r="A1494" s="49"/>
      <c r="B1494" s="49"/>
      <c r="C1494" s="49"/>
      <c r="D1494" s="49"/>
      <c r="E1494" s="49"/>
      <c r="F1494" s="49"/>
      <c r="G1494" s="49"/>
      <c r="H1494" s="49"/>
      <c r="I1494" s="49"/>
      <c r="J1494" s="49"/>
      <c r="K1494" s="49"/>
      <c r="L1494" s="49"/>
      <c r="M1494" s="49"/>
      <c r="N1494" s="49"/>
      <c r="O1494" s="49"/>
      <c r="P1494" s="49"/>
      <c r="Q1494" s="49"/>
      <c r="R1494" s="49"/>
      <c r="S1494" s="49"/>
      <c r="T1494" s="49"/>
      <c r="U1494" s="49"/>
      <c r="V1494" s="49"/>
      <c r="W1494" s="49"/>
      <c r="X1494" s="49"/>
      <c r="Y1494" s="49"/>
      <c r="Z1494" s="49"/>
    </row>
    <row r="1495">
      <c r="A1495" s="49"/>
      <c r="B1495" s="49"/>
      <c r="C1495" s="49"/>
      <c r="D1495" s="49"/>
      <c r="E1495" s="49"/>
      <c r="F1495" s="49"/>
      <c r="G1495" s="49"/>
      <c r="H1495" s="49"/>
      <c r="I1495" s="49"/>
      <c r="J1495" s="49"/>
      <c r="K1495" s="49"/>
      <c r="L1495" s="49"/>
      <c r="M1495" s="49"/>
      <c r="N1495" s="49"/>
      <c r="O1495" s="49"/>
      <c r="P1495" s="49"/>
      <c r="Q1495" s="49"/>
      <c r="R1495" s="49"/>
      <c r="S1495" s="49"/>
      <c r="T1495" s="49"/>
      <c r="U1495" s="49"/>
      <c r="V1495" s="49"/>
      <c r="W1495" s="49"/>
      <c r="X1495" s="49"/>
      <c r="Y1495" s="49"/>
      <c r="Z1495" s="49"/>
    </row>
    <row r="1496">
      <c r="A1496" s="49"/>
      <c r="B1496" s="49"/>
      <c r="C1496" s="49"/>
      <c r="D1496" s="49"/>
      <c r="E1496" s="49"/>
      <c r="F1496" s="49"/>
      <c r="G1496" s="49"/>
      <c r="H1496" s="49"/>
      <c r="I1496" s="49"/>
      <c r="J1496" s="49"/>
      <c r="K1496" s="49"/>
      <c r="L1496" s="49"/>
      <c r="M1496" s="49"/>
      <c r="N1496" s="49"/>
      <c r="O1496" s="49"/>
      <c r="P1496" s="49"/>
      <c r="Q1496" s="49"/>
      <c r="R1496" s="49"/>
      <c r="S1496" s="49"/>
      <c r="T1496" s="49"/>
      <c r="U1496" s="49"/>
      <c r="V1496" s="49"/>
      <c r="W1496" s="49"/>
      <c r="X1496" s="49"/>
      <c r="Y1496" s="49"/>
      <c r="Z1496" s="49"/>
    </row>
    <row r="1497">
      <c r="A1497" s="49"/>
      <c r="B1497" s="49"/>
      <c r="C1497" s="49"/>
      <c r="D1497" s="49"/>
      <c r="E1497" s="49"/>
      <c r="F1497" s="49"/>
      <c r="G1497" s="49"/>
      <c r="H1497" s="49"/>
      <c r="I1497" s="49"/>
      <c r="J1497" s="49"/>
      <c r="K1497" s="49"/>
      <c r="L1497" s="49"/>
      <c r="M1497" s="49"/>
      <c r="N1497" s="49"/>
      <c r="O1497" s="49"/>
      <c r="P1497" s="49"/>
      <c r="Q1497" s="49"/>
      <c r="R1497" s="49"/>
      <c r="S1497" s="49"/>
      <c r="T1497" s="49"/>
      <c r="U1497" s="49"/>
      <c r="V1497" s="49"/>
      <c r="W1497" s="49"/>
      <c r="X1497" s="49"/>
      <c r="Y1497" s="49"/>
      <c r="Z1497" s="49"/>
    </row>
    <row r="1498">
      <c r="A1498" s="49"/>
      <c r="B1498" s="49"/>
      <c r="C1498" s="49"/>
      <c r="D1498" s="49"/>
      <c r="E1498" s="49"/>
      <c r="F1498" s="49"/>
      <c r="G1498" s="49"/>
      <c r="H1498" s="49"/>
      <c r="I1498" s="49"/>
      <c r="J1498" s="49"/>
      <c r="K1498" s="49"/>
      <c r="L1498" s="49"/>
      <c r="M1498" s="49"/>
      <c r="N1498" s="49"/>
      <c r="O1498" s="49"/>
      <c r="P1498" s="49"/>
      <c r="Q1498" s="49"/>
      <c r="R1498" s="49"/>
      <c r="S1498" s="49"/>
      <c r="T1498" s="49"/>
      <c r="U1498" s="49"/>
      <c r="V1498" s="49"/>
      <c r="W1498" s="49"/>
      <c r="X1498" s="49"/>
      <c r="Y1498" s="49"/>
      <c r="Z1498" s="49"/>
    </row>
    <row r="1499">
      <c r="A1499" s="49"/>
      <c r="B1499" s="49"/>
      <c r="C1499" s="49"/>
      <c r="D1499" s="49"/>
      <c r="E1499" s="49"/>
      <c r="F1499" s="49"/>
      <c r="G1499" s="49"/>
      <c r="H1499" s="49"/>
      <c r="I1499" s="49"/>
      <c r="J1499" s="49"/>
      <c r="K1499" s="49"/>
      <c r="L1499" s="49"/>
      <c r="M1499" s="49"/>
      <c r="N1499" s="49"/>
      <c r="O1499" s="49"/>
      <c r="P1499" s="49"/>
      <c r="Q1499" s="49"/>
      <c r="R1499" s="49"/>
      <c r="S1499" s="49"/>
      <c r="T1499" s="49"/>
      <c r="U1499" s="49"/>
      <c r="V1499" s="49"/>
      <c r="W1499" s="49"/>
      <c r="X1499" s="49"/>
      <c r="Y1499" s="49"/>
      <c r="Z1499" s="49"/>
    </row>
    <row r="1500">
      <c r="A1500" s="49"/>
      <c r="B1500" s="49"/>
      <c r="C1500" s="49"/>
      <c r="D1500" s="49"/>
      <c r="E1500" s="49"/>
      <c r="F1500" s="49"/>
      <c r="G1500" s="49"/>
      <c r="H1500" s="49"/>
      <c r="I1500" s="49"/>
      <c r="J1500" s="49"/>
      <c r="K1500" s="49"/>
      <c r="L1500" s="49"/>
      <c r="M1500" s="49"/>
      <c r="N1500" s="49"/>
      <c r="O1500" s="49"/>
      <c r="P1500" s="49"/>
      <c r="Q1500" s="49"/>
      <c r="R1500" s="49"/>
      <c r="S1500" s="49"/>
      <c r="T1500" s="49"/>
      <c r="U1500" s="49"/>
      <c r="V1500" s="49"/>
      <c r="W1500" s="49"/>
      <c r="X1500" s="49"/>
      <c r="Y1500" s="49"/>
      <c r="Z1500" s="49"/>
    </row>
    <row r="1501">
      <c r="A1501" s="49"/>
      <c r="B1501" s="49"/>
      <c r="C1501" s="49"/>
      <c r="D1501" s="49"/>
      <c r="E1501" s="49"/>
      <c r="F1501" s="49"/>
      <c r="G1501" s="49"/>
      <c r="H1501" s="49"/>
      <c r="I1501" s="49"/>
      <c r="J1501" s="49"/>
      <c r="K1501" s="49"/>
      <c r="L1501" s="49"/>
      <c r="M1501" s="49"/>
      <c r="N1501" s="49"/>
      <c r="O1501" s="49"/>
      <c r="P1501" s="49"/>
      <c r="Q1501" s="49"/>
      <c r="R1501" s="49"/>
      <c r="S1501" s="49"/>
      <c r="T1501" s="49"/>
      <c r="U1501" s="49"/>
      <c r="V1501" s="49"/>
      <c r="W1501" s="49"/>
      <c r="X1501" s="49"/>
      <c r="Y1501" s="49"/>
      <c r="Z1501" s="49"/>
    </row>
    <row r="1502">
      <c r="A1502" s="49"/>
      <c r="B1502" s="49"/>
      <c r="C1502" s="49"/>
      <c r="D1502" s="49"/>
      <c r="E1502" s="49"/>
      <c r="F1502" s="49"/>
      <c r="G1502" s="49"/>
      <c r="H1502" s="49"/>
      <c r="I1502" s="49"/>
      <c r="J1502" s="49"/>
      <c r="K1502" s="49"/>
      <c r="L1502" s="49"/>
      <c r="M1502" s="49"/>
      <c r="N1502" s="49"/>
      <c r="O1502" s="49"/>
      <c r="P1502" s="49"/>
      <c r="Q1502" s="49"/>
      <c r="R1502" s="49"/>
      <c r="S1502" s="49"/>
      <c r="T1502" s="49"/>
      <c r="U1502" s="49"/>
      <c r="V1502" s="49"/>
      <c r="W1502" s="49"/>
      <c r="X1502" s="49"/>
      <c r="Y1502" s="49"/>
      <c r="Z1502" s="49"/>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9" t="str">
        <f>IFERROR(__xludf.DUMMYFUNCTION("IMPORTRANGE(""https://docs.google.com/spreadsheets/d/""&amp;Config!B1,""Alignment!A:D"")"),"Alignments")</f>
        <v>Alignments</v>
      </c>
      <c r="B1" s="49"/>
      <c r="C1" s="49"/>
      <c r="D1" s="49"/>
    </row>
    <row r="2">
      <c r="A2" s="49" t="str">
        <f>IFERROR(__xludf.DUMMYFUNCTION("""COMPUTED_VALUE"""),"Lawful Good")</f>
        <v>Lawful Good</v>
      </c>
      <c r="B2" s="49"/>
      <c r="C2" s="49"/>
      <c r="D2" s="49"/>
    </row>
    <row r="3">
      <c r="A3" s="49" t="str">
        <f>IFERROR(__xludf.DUMMYFUNCTION("""COMPUTED_VALUE"""),"Neutral Good")</f>
        <v>Neutral Good</v>
      </c>
      <c r="B3" s="49"/>
      <c r="C3" s="49"/>
      <c r="D3" s="49"/>
    </row>
    <row r="4">
      <c r="A4" s="49" t="str">
        <f>IFERROR(__xludf.DUMMYFUNCTION("""COMPUTED_VALUE"""),"Chaotic Good")</f>
        <v>Chaotic Good</v>
      </c>
      <c r="B4" s="49"/>
      <c r="C4" s="49"/>
      <c r="D4" s="49"/>
    </row>
    <row r="5">
      <c r="A5" s="49" t="str">
        <f>IFERROR(__xludf.DUMMYFUNCTION("""COMPUTED_VALUE"""),"Lawful Neutral")</f>
        <v>Lawful Neutral</v>
      </c>
      <c r="B5" s="49"/>
      <c r="C5" s="49"/>
      <c r="D5" s="49"/>
    </row>
    <row r="6">
      <c r="A6" s="49" t="str">
        <f>IFERROR(__xludf.DUMMYFUNCTION("""COMPUTED_VALUE"""),"True Neutral")</f>
        <v>True Neutral</v>
      </c>
      <c r="B6" s="49"/>
      <c r="C6" s="49"/>
      <c r="D6" s="49"/>
    </row>
    <row r="7">
      <c r="A7" s="49" t="str">
        <f>IFERROR(__xludf.DUMMYFUNCTION("""COMPUTED_VALUE"""),"Chaotic Neutral")</f>
        <v>Chaotic Neutral</v>
      </c>
      <c r="B7" s="49"/>
      <c r="C7" s="49"/>
      <c r="D7" s="49"/>
    </row>
    <row r="8">
      <c r="A8" s="49" t="str">
        <f>IFERROR(__xludf.DUMMYFUNCTION("""COMPUTED_VALUE"""),"Lawful Evil")</f>
        <v>Lawful Evil</v>
      </c>
      <c r="B8" s="49"/>
      <c r="C8" s="49"/>
      <c r="D8" s="49"/>
    </row>
    <row r="9">
      <c r="A9" s="49" t="str">
        <f>IFERROR(__xludf.DUMMYFUNCTION("""COMPUTED_VALUE"""),"Neutral Evil")</f>
        <v>Neutral Evil</v>
      </c>
      <c r="B9" s="49"/>
      <c r="C9" s="49"/>
      <c r="D9" s="49"/>
    </row>
    <row r="10">
      <c r="A10" s="49" t="str">
        <f>IFERROR(__xludf.DUMMYFUNCTION("""COMPUTED_VALUE"""),"Chaotic Evil")</f>
        <v>Chaotic Evil</v>
      </c>
      <c r="B10" s="49"/>
      <c r="C10" s="49"/>
      <c r="D10" s="49"/>
    </row>
    <row r="11">
      <c r="A11" s="49"/>
      <c r="B11" s="49"/>
      <c r="C11" s="49"/>
      <c r="D11" s="49"/>
    </row>
    <row r="12">
      <c r="A12" s="49"/>
      <c r="B12" s="49"/>
      <c r="C12" s="49"/>
      <c r="D12" s="49"/>
    </row>
    <row r="13">
      <c r="A13" s="49"/>
      <c r="B13" s="49"/>
      <c r="C13" s="49"/>
      <c r="D13" s="49"/>
    </row>
    <row r="14">
      <c r="A14" s="49"/>
      <c r="B14" s="49"/>
      <c r="C14" s="49"/>
      <c r="D14" s="49"/>
    </row>
    <row r="15">
      <c r="A15" s="49"/>
      <c r="B15" s="49"/>
      <c r="C15" s="49"/>
      <c r="D15" s="49"/>
    </row>
    <row r="16">
      <c r="A16" s="49"/>
      <c r="B16" s="49"/>
      <c r="C16" s="49"/>
      <c r="D16" s="49"/>
    </row>
    <row r="17">
      <c r="A17" s="49"/>
      <c r="B17" s="49"/>
      <c r="C17" s="49"/>
      <c r="D17" s="49"/>
    </row>
    <row r="18">
      <c r="A18" s="49"/>
      <c r="B18" s="49"/>
      <c r="C18" s="49"/>
      <c r="D18" s="49"/>
    </row>
    <row r="19">
      <c r="A19" s="49"/>
      <c r="B19" s="49"/>
      <c r="C19" s="49"/>
      <c r="D19" s="49"/>
    </row>
    <row r="20">
      <c r="A20" s="49"/>
      <c r="B20" s="49"/>
      <c r="C20" s="49"/>
      <c r="D20" s="49"/>
    </row>
    <row r="21">
      <c r="A21" s="49"/>
      <c r="B21" s="49"/>
      <c r="C21" s="49"/>
      <c r="D21" s="49"/>
    </row>
    <row r="22">
      <c r="A22" s="49"/>
      <c r="B22" s="49"/>
      <c r="C22" s="49"/>
      <c r="D22" s="49"/>
    </row>
    <row r="23">
      <c r="A23" s="49"/>
      <c r="B23" s="49"/>
      <c r="C23" s="49"/>
      <c r="D23" s="49"/>
    </row>
    <row r="24">
      <c r="A24" s="49"/>
      <c r="B24" s="49"/>
      <c r="C24" s="49"/>
      <c r="D24" s="49"/>
    </row>
    <row r="25">
      <c r="A25" s="49"/>
      <c r="B25" s="49"/>
      <c r="C25" s="49"/>
      <c r="D25" s="49"/>
    </row>
    <row r="26">
      <c r="A26" s="49"/>
      <c r="B26" s="49"/>
      <c r="C26" s="49"/>
      <c r="D26" s="49"/>
    </row>
    <row r="27">
      <c r="A27" s="49"/>
      <c r="B27" s="49"/>
      <c r="C27" s="49"/>
      <c r="D27" s="49"/>
    </row>
    <row r="28">
      <c r="A28" s="49"/>
      <c r="B28" s="49"/>
      <c r="C28" s="49"/>
      <c r="D28" s="49"/>
    </row>
    <row r="29">
      <c r="A29" s="49"/>
      <c r="B29" s="49"/>
      <c r="C29" s="49"/>
      <c r="D29" s="49"/>
    </row>
    <row r="30">
      <c r="A30" s="49"/>
      <c r="B30" s="49"/>
      <c r="C30" s="49"/>
      <c r="D30" s="49"/>
    </row>
    <row r="31">
      <c r="A31" s="49"/>
      <c r="B31" s="49"/>
      <c r="C31" s="49"/>
      <c r="D31" s="49"/>
    </row>
    <row r="32">
      <c r="A32" s="49"/>
      <c r="B32" s="49"/>
      <c r="C32" s="49"/>
      <c r="D32" s="49"/>
    </row>
    <row r="33">
      <c r="A33" s="49"/>
      <c r="B33" s="49"/>
      <c r="C33" s="49"/>
      <c r="D33" s="49"/>
    </row>
    <row r="34">
      <c r="A34" s="49"/>
      <c r="B34" s="49"/>
      <c r="C34" s="49"/>
      <c r="D34" s="49"/>
    </row>
    <row r="35">
      <c r="A35" s="49"/>
      <c r="B35" s="49"/>
      <c r="C35" s="49"/>
      <c r="D35" s="49"/>
    </row>
    <row r="36">
      <c r="A36" s="49"/>
      <c r="B36" s="49"/>
      <c r="C36" s="49"/>
      <c r="D36" s="49"/>
    </row>
    <row r="37">
      <c r="A37" s="49"/>
      <c r="B37" s="49"/>
      <c r="C37" s="49"/>
      <c r="D37" s="49"/>
    </row>
    <row r="38">
      <c r="A38" s="49"/>
      <c r="B38" s="49"/>
      <c r="C38" s="49"/>
      <c r="D38" s="49"/>
    </row>
    <row r="39">
      <c r="A39" s="49"/>
      <c r="B39" s="49"/>
      <c r="C39" s="49"/>
      <c r="D39" s="49"/>
    </row>
    <row r="40">
      <c r="A40" s="49"/>
      <c r="B40" s="49"/>
      <c r="C40" s="49"/>
      <c r="D40" s="49"/>
    </row>
    <row r="41">
      <c r="A41" s="49"/>
      <c r="B41" s="49"/>
      <c r="C41" s="49"/>
      <c r="D41" s="49"/>
    </row>
    <row r="42">
      <c r="A42" s="49"/>
      <c r="B42" s="49"/>
      <c r="C42" s="49"/>
      <c r="D42" s="49"/>
    </row>
    <row r="43">
      <c r="A43" s="49"/>
      <c r="B43" s="49"/>
      <c r="C43" s="49"/>
      <c r="D43" s="49"/>
    </row>
    <row r="44">
      <c r="A44" s="49"/>
      <c r="B44" s="49"/>
      <c r="C44" s="49"/>
      <c r="D44" s="49"/>
    </row>
    <row r="45">
      <c r="A45" s="49"/>
      <c r="B45" s="49"/>
      <c r="C45" s="49"/>
      <c r="D45" s="49"/>
    </row>
    <row r="46">
      <c r="A46" s="49"/>
      <c r="B46" s="49"/>
      <c r="C46" s="49"/>
      <c r="D46" s="49"/>
    </row>
    <row r="47">
      <c r="A47" s="49"/>
      <c r="B47" s="49"/>
      <c r="C47" s="49"/>
      <c r="D47" s="49"/>
    </row>
    <row r="48">
      <c r="A48" s="49"/>
      <c r="B48" s="49"/>
      <c r="C48" s="49"/>
      <c r="D48" s="49"/>
    </row>
    <row r="49">
      <c r="A49" s="49"/>
      <c r="B49" s="49"/>
      <c r="C49" s="49"/>
      <c r="D49" s="49"/>
    </row>
    <row r="50">
      <c r="A50" s="49"/>
      <c r="B50" s="49"/>
      <c r="C50" s="49"/>
      <c r="D50" s="49"/>
    </row>
    <row r="51">
      <c r="A51" s="49"/>
      <c r="B51" s="49"/>
      <c r="C51" s="49"/>
      <c r="D51" s="49"/>
    </row>
    <row r="52">
      <c r="A52" s="49"/>
      <c r="B52" s="49"/>
      <c r="C52" s="49"/>
      <c r="D52" s="49"/>
    </row>
    <row r="53">
      <c r="A53" s="49"/>
      <c r="B53" s="49"/>
      <c r="C53" s="49"/>
      <c r="D53" s="49"/>
    </row>
    <row r="54">
      <c r="A54" s="49"/>
      <c r="B54" s="49"/>
      <c r="C54" s="49"/>
      <c r="D54" s="49"/>
    </row>
    <row r="55">
      <c r="A55" s="49"/>
      <c r="B55" s="49"/>
      <c r="C55" s="49"/>
      <c r="D55" s="49"/>
    </row>
    <row r="56">
      <c r="A56" s="49"/>
      <c r="B56" s="49"/>
      <c r="C56" s="49"/>
      <c r="D56" s="49"/>
    </row>
    <row r="57">
      <c r="A57" s="49"/>
      <c r="B57" s="49"/>
      <c r="C57" s="49"/>
      <c r="D57" s="49"/>
    </row>
    <row r="58">
      <c r="A58" s="49"/>
      <c r="B58" s="49"/>
      <c r="C58" s="49"/>
      <c r="D58" s="49"/>
    </row>
    <row r="59">
      <c r="A59" s="49"/>
      <c r="B59" s="49"/>
      <c r="C59" s="49"/>
      <c r="D59" s="49"/>
    </row>
    <row r="60">
      <c r="A60" s="49"/>
      <c r="B60" s="49"/>
      <c r="C60" s="49"/>
      <c r="D60" s="49"/>
    </row>
    <row r="61">
      <c r="A61" s="49"/>
      <c r="B61" s="49"/>
      <c r="C61" s="49"/>
      <c r="D61" s="49"/>
    </row>
    <row r="62">
      <c r="A62" s="49"/>
      <c r="B62" s="49"/>
      <c r="C62" s="49"/>
      <c r="D62" s="49"/>
    </row>
    <row r="63">
      <c r="A63" s="49"/>
      <c r="B63" s="49"/>
      <c r="C63" s="49"/>
      <c r="D63" s="49"/>
    </row>
    <row r="64">
      <c r="A64" s="49"/>
      <c r="B64" s="49"/>
      <c r="C64" s="49"/>
      <c r="D64" s="49"/>
    </row>
    <row r="65">
      <c r="A65" s="49"/>
      <c r="B65" s="49"/>
      <c r="C65" s="49"/>
      <c r="D65" s="49"/>
    </row>
    <row r="66">
      <c r="A66" s="49"/>
      <c r="B66" s="49"/>
      <c r="C66" s="49"/>
      <c r="D66" s="49"/>
    </row>
    <row r="67">
      <c r="A67" s="49"/>
      <c r="B67" s="49"/>
      <c r="C67" s="49"/>
      <c r="D67" s="49"/>
    </row>
    <row r="68">
      <c r="A68" s="49"/>
      <c r="B68" s="49"/>
      <c r="C68" s="49"/>
      <c r="D68" s="49"/>
    </row>
    <row r="69">
      <c r="A69" s="49"/>
      <c r="B69" s="49"/>
      <c r="C69" s="49"/>
      <c r="D69" s="49"/>
    </row>
    <row r="70">
      <c r="A70" s="49"/>
      <c r="B70" s="49"/>
      <c r="C70" s="49"/>
      <c r="D70" s="49"/>
    </row>
    <row r="71">
      <c r="A71" s="49"/>
      <c r="B71" s="49"/>
      <c r="C71" s="49"/>
      <c r="D71" s="49"/>
    </row>
    <row r="72">
      <c r="A72" s="49"/>
      <c r="B72" s="49"/>
      <c r="C72" s="49"/>
      <c r="D72" s="49"/>
    </row>
    <row r="73">
      <c r="A73" s="49"/>
      <c r="B73" s="49"/>
      <c r="C73" s="49"/>
      <c r="D73" s="49"/>
    </row>
    <row r="74">
      <c r="A74" s="49"/>
      <c r="B74" s="49"/>
      <c r="C74" s="49"/>
      <c r="D74" s="49"/>
    </row>
    <row r="75">
      <c r="A75" s="49"/>
      <c r="B75" s="49"/>
      <c r="C75" s="49"/>
      <c r="D75" s="49"/>
    </row>
    <row r="76">
      <c r="A76" s="49"/>
      <c r="B76" s="49"/>
      <c r="C76" s="49"/>
      <c r="D76" s="49"/>
    </row>
    <row r="77">
      <c r="A77" s="49"/>
      <c r="B77" s="49"/>
      <c r="C77" s="49"/>
      <c r="D77" s="49"/>
    </row>
    <row r="78">
      <c r="A78" s="49"/>
      <c r="B78" s="49"/>
      <c r="C78" s="49"/>
      <c r="D78" s="49"/>
    </row>
    <row r="79">
      <c r="A79" s="49"/>
      <c r="B79" s="49"/>
      <c r="C79" s="49"/>
      <c r="D79" s="49"/>
    </row>
    <row r="80">
      <c r="A80" s="49"/>
      <c r="B80" s="49"/>
      <c r="C80" s="49"/>
      <c r="D80" s="49"/>
    </row>
    <row r="81">
      <c r="A81" s="49"/>
      <c r="B81" s="49"/>
      <c r="C81" s="49"/>
      <c r="D81" s="49"/>
    </row>
    <row r="82">
      <c r="A82" s="49"/>
      <c r="B82" s="49"/>
      <c r="C82" s="49"/>
      <c r="D82" s="49"/>
    </row>
    <row r="83">
      <c r="A83" s="49"/>
      <c r="B83" s="49"/>
      <c r="C83" s="49"/>
      <c r="D83" s="49"/>
    </row>
    <row r="84">
      <c r="A84" s="49"/>
      <c r="B84" s="49"/>
      <c r="C84" s="49"/>
      <c r="D84" s="49"/>
    </row>
    <row r="85">
      <c r="A85" s="49"/>
      <c r="B85" s="49"/>
      <c r="C85" s="49"/>
      <c r="D85" s="49"/>
    </row>
    <row r="86">
      <c r="A86" s="49"/>
      <c r="B86" s="49"/>
      <c r="C86" s="49"/>
      <c r="D86" s="49"/>
    </row>
    <row r="87">
      <c r="A87" s="49"/>
      <c r="B87" s="49"/>
      <c r="C87" s="49"/>
      <c r="D87" s="49"/>
    </row>
    <row r="88">
      <c r="A88" s="49"/>
      <c r="B88" s="49"/>
      <c r="C88" s="49"/>
      <c r="D88" s="49"/>
    </row>
    <row r="89">
      <c r="A89" s="49"/>
      <c r="B89" s="49"/>
      <c r="C89" s="49"/>
      <c r="D89" s="49"/>
    </row>
    <row r="90">
      <c r="A90" s="49"/>
      <c r="B90" s="49"/>
      <c r="C90" s="49"/>
      <c r="D90" s="49"/>
    </row>
    <row r="91">
      <c r="A91" s="49"/>
      <c r="B91" s="49"/>
      <c r="C91" s="49"/>
      <c r="D91" s="49"/>
    </row>
    <row r="92">
      <c r="A92" s="49"/>
      <c r="B92" s="49"/>
      <c r="C92" s="49"/>
      <c r="D92" s="49"/>
    </row>
    <row r="93">
      <c r="A93" s="49"/>
      <c r="B93" s="49"/>
      <c r="C93" s="49"/>
      <c r="D93" s="49"/>
    </row>
    <row r="94">
      <c r="A94" s="49"/>
      <c r="B94" s="49"/>
      <c r="C94" s="49"/>
      <c r="D94" s="49"/>
    </row>
    <row r="95">
      <c r="A95" s="49"/>
      <c r="B95" s="49"/>
      <c r="C95" s="49"/>
      <c r="D95" s="49"/>
    </row>
    <row r="96">
      <c r="A96" s="49"/>
      <c r="B96" s="49"/>
      <c r="C96" s="49"/>
      <c r="D96" s="49"/>
    </row>
    <row r="97">
      <c r="A97" s="49"/>
      <c r="B97" s="49"/>
      <c r="C97" s="49"/>
      <c r="D97" s="49"/>
    </row>
    <row r="98">
      <c r="A98" s="49"/>
      <c r="B98" s="49"/>
      <c r="C98" s="49"/>
      <c r="D98" s="49"/>
    </row>
    <row r="99">
      <c r="A99" s="49"/>
      <c r="B99" s="49"/>
      <c r="C99" s="49"/>
      <c r="D99" s="49"/>
    </row>
    <row r="100">
      <c r="A100" s="49"/>
      <c r="B100" s="49"/>
      <c r="C100" s="49"/>
      <c r="D100" s="49"/>
    </row>
    <row r="101">
      <c r="A101" s="49"/>
      <c r="B101" s="49"/>
      <c r="C101" s="49"/>
      <c r="D101" s="49"/>
    </row>
    <row r="102">
      <c r="A102" s="49"/>
      <c r="B102" s="49"/>
      <c r="C102" s="49"/>
      <c r="D102" s="49"/>
    </row>
    <row r="103">
      <c r="A103" s="49"/>
      <c r="B103" s="49"/>
      <c r="C103" s="49"/>
      <c r="D103" s="49"/>
    </row>
    <row r="104">
      <c r="A104" s="49"/>
      <c r="B104" s="49"/>
      <c r="C104" s="49"/>
      <c r="D104" s="49"/>
    </row>
    <row r="105">
      <c r="A105" s="49"/>
      <c r="B105" s="49"/>
      <c r="C105" s="49"/>
      <c r="D105" s="49"/>
    </row>
    <row r="106">
      <c r="A106" s="49"/>
      <c r="B106" s="49"/>
      <c r="C106" s="49"/>
      <c r="D106" s="49"/>
    </row>
    <row r="107">
      <c r="A107" s="49"/>
      <c r="B107" s="49"/>
      <c r="C107" s="49"/>
      <c r="D107" s="49"/>
    </row>
    <row r="108">
      <c r="A108" s="49"/>
      <c r="B108" s="49"/>
      <c r="C108" s="49"/>
      <c r="D108" s="49"/>
    </row>
    <row r="109">
      <c r="A109" s="49"/>
      <c r="B109" s="49"/>
      <c r="C109" s="49"/>
      <c r="D109" s="49"/>
    </row>
    <row r="110">
      <c r="A110" s="49"/>
      <c r="B110" s="49"/>
      <c r="C110" s="49"/>
      <c r="D110" s="49"/>
    </row>
    <row r="111">
      <c r="A111" s="49"/>
      <c r="B111" s="49"/>
      <c r="C111" s="49"/>
      <c r="D111" s="49"/>
    </row>
    <row r="112">
      <c r="A112" s="49"/>
      <c r="B112" s="49"/>
      <c r="C112" s="49"/>
      <c r="D112" s="49"/>
    </row>
    <row r="113">
      <c r="A113" s="49"/>
      <c r="B113" s="49"/>
      <c r="C113" s="49"/>
      <c r="D113" s="49"/>
    </row>
    <row r="114">
      <c r="A114" s="49"/>
      <c r="B114" s="49"/>
      <c r="C114" s="49"/>
      <c r="D114" s="49"/>
    </row>
    <row r="115">
      <c r="A115" s="49"/>
      <c r="B115" s="49"/>
      <c r="C115" s="49"/>
      <c r="D115" s="49"/>
    </row>
    <row r="116">
      <c r="A116" s="49"/>
      <c r="B116" s="49"/>
      <c r="C116" s="49"/>
      <c r="D116" s="49"/>
    </row>
    <row r="117">
      <c r="A117" s="49"/>
      <c r="B117" s="49"/>
      <c r="C117" s="49"/>
      <c r="D117" s="49"/>
    </row>
    <row r="118">
      <c r="A118" s="49"/>
      <c r="B118" s="49"/>
      <c r="C118" s="49"/>
      <c r="D118" s="49"/>
    </row>
    <row r="119">
      <c r="A119" s="49"/>
      <c r="B119" s="49"/>
      <c r="C119" s="49"/>
      <c r="D119" s="49"/>
    </row>
    <row r="120">
      <c r="A120" s="49"/>
      <c r="B120" s="49"/>
      <c r="C120" s="49"/>
      <c r="D120" s="49"/>
    </row>
    <row r="121">
      <c r="A121" s="49"/>
      <c r="B121" s="49"/>
      <c r="C121" s="49"/>
      <c r="D121" s="49"/>
    </row>
    <row r="122">
      <c r="A122" s="49"/>
      <c r="B122" s="49"/>
      <c r="C122" s="49"/>
      <c r="D122" s="49"/>
    </row>
    <row r="123">
      <c r="A123" s="49"/>
      <c r="B123" s="49"/>
      <c r="C123" s="49"/>
      <c r="D123" s="49"/>
    </row>
    <row r="124">
      <c r="A124" s="49"/>
      <c r="B124" s="49"/>
      <c r="C124" s="49"/>
      <c r="D124" s="49"/>
    </row>
    <row r="125">
      <c r="A125" s="49"/>
      <c r="B125" s="49"/>
      <c r="C125" s="49"/>
      <c r="D125" s="49"/>
    </row>
    <row r="126">
      <c r="A126" s="49"/>
      <c r="B126" s="49"/>
      <c r="C126" s="49"/>
      <c r="D126" s="49"/>
    </row>
    <row r="127">
      <c r="A127" s="49"/>
      <c r="B127" s="49"/>
      <c r="C127" s="49"/>
      <c r="D127" s="49"/>
    </row>
    <row r="128">
      <c r="A128" s="49"/>
      <c r="B128" s="49"/>
      <c r="C128" s="49"/>
      <c r="D128" s="49"/>
    </row>
    <row r="129">
      <c r="A129" s="49"/>
      <c r="B129" s="49"/>
      <c r="C129" s="49"/>
      <c r="D129" s="49"/>
    </row>
    <row r="130">
      <c r="A130" s="49"/>
      <c r="B130" s="49"/>
      <c r="C130" s="49"/>
      <c r="D130" s="49"/>
    </row>
    <row r="131">
      <c r="A131" s="49"/>
      <c r="B131" s="49"/>
      <c r="C131" s="49"/>
      <c r="D131" s="49"/>
    </row>
    <row r="132">
      <c r="A132" s="49"/>
      <c r="B132" s="49"/>
      <c r="C132" s="49"/>
      <c r="D132" s="49"/>
    </row>
    <row r="133">
      <c r="A133" s="49"/>
      <c r="B133" s="49"/>
      <c r="C133" s="49"/>
      <c r="D133" s="49"/>
    </row>
    <row r="134">
      <c r="A134" s="49"/>
      <c r="B134" s="49"/>
      <c r="C134" s="49"/>
      <c r="D134" s="49"/>
    </row>
    <row r="135">
      <c r="A135" s="49"/>
      <c r="B135" s="49"/>
      <c r="C135" s="49"/>
      <c r="D135" s="49"/>
    </row>
    <row r="136">
      <c r="A136" s="49"/>
      <c r="B136" s="49"/>
      <c r="C136" s="49"/>
      <c r="D136" s="49"/>
    </row>
    <row r="137">
      <c r="A137" s="49"/>
      <c r="B137" s="49"/>
      <c r="C137" s="49"/>
      <c r="D137" s="49"/>
    </row>
    <row r="138">
      <c r="A138" s="49"/>
      <c r="B138" s="49"/>
      <c r="C138" s="49"/>
      <c r="D138" s="49"/>
    </row>
    <row r="139">
      <c r="A139" s="49"/>
      <c r="B139" s="49"/>
      <c r="C139" s="49"/>
      <c r="D139" s="49"/>
    </row>
    <row r="140">
      <c r="A140" s="49"/>
      <c r="B140" s="49"/>
      <c r="C140" s="49"/>
      <c r="D140" s="49"/>
    </row>
    <row r="141">
      <c r="A141" s="49"/>
      <c r="B141" s="49"/>
      <c r="C141" s="49"/>
      <c r="D141" s="49"/>
    </row>
    <row r="142">
      <c r="A142" s="49"/>
      <c r="B142" s="49"/>
      <c r="C142" s="49"/>
      <c r="D142" s="49"/>
    </row>
    <row r="143">
      <c r="A143" s="49"/>
      <c r="B143" s="49"/>
      <c r="C143" s="49"/>
      <c r="D143" s="49"/>
    </row>
    <row r="144">
      <c r="A144" s="49"/>
      <c r="B144" s="49"/>
      <c r="C144" s="49"/>
      <c r="D144" s="49"/>
    </row>
    <row r="145">
      <c r="A145" s="49"/>
      <c r="B145" s="49"/>
      <c r="C145" s="49"/>
      <c r="D145" s="49"/>
    </row>
    <row r="146">
      <c r="A146" s="49"/>
      <c r="B146" s="49"/>
      <c r="C146" s="49"/>
      <c r="D146" s="49"/>
    </row>
    <row r="147">
      <c r="A147" s="49"/>
      <c r="B147" s="49"/>
      <c r="C147" s="49"/>
      <c r="D147" s="49"/>
    </row>
    <row r="148">
      <c r="A148" s="49"/>
      <c r="B148" s="49"/>
      <c r="C148" s="49"/>
      <c r="D148" s="49"/>
    </row>
    <row r="149">
      <c r="A149" s="49"/>
      <c r="B149" s="49"/>
      <c r="C149" s="49"/>
      <c r="D149" s="49"/>
    </row>
    <row r="150">
      <c r="A150" s="49"/>
      <c r="B150" s="49"/>
      <c r="C150" s="49"/>
      <c r="D150" s="49"/>
    </row>
    <row r="151">
      <c r="A151" s="49"/>
      <c r="B151" s="49"/>
      <c r="C151" s="49"/>
      <c r="D151" s="49"/>
    </row>
    <row r="152">
      <c r="A152" s="49"/>
      <c r="B152" s="49"/>
      <c r="C152" s="49"/>
      <c r="D152" s="49"/>
    </row>
    <row r="153">
      <c r="A153" s="49"/>
      <c r="B153" s="49"/>
      <c r="C153" s="49"/>
      <c r="D153" s="49"/>
    </row>
    <row r="154">
      <c r="A154" s="49"/>
      <c r="B154" s="49"/>
      <c r="C154" s="49"/>
      <c r="D154" s="49"/>
    </row>
    <row r="155">
      <c r="A155" s="49"/>
      <c r="B155" s="49"/>
      <c r="C155" s="49"/>
      <c r="D155" s="49"/>
    </row>
    <row r="156">
      <c r="A156" s="49"/>
      <c r="B156" s="49"/>
      <c r="C156" s="49"/>
      <c r="D156" s="49"/>
    </row>
    <row r="157">
      <c r="A157" s="49"/>
      <c r="B157" s="49"/>
      <c r="C157" s="49"/>
      <c r="D157" s="49"/>
    </row>
    <row r="158">
      <c r="A158" s="49"/>
      <c r="B158" s="49"/>
      <c r="C158" s="49"/>
      <c r="D158" s="49"/>
    </row>
    <row r="159">
      <c r="A159" s="49"/>
      <c r="B159" s="49"/>
      <c r="C159" s="49"/>
      <c r="D159" s="49"/>
    </row>
    <row r="160">
      <c r="A160" s="49"/>
      <c r="B160" s="49"/>
      <c r="C160" s="49"/>
      <c r="D160" s="49"/>
    </row>
    <row r="161">
      <c r="A161" s="49"/>
      <c r="B161" s="49"/>
      <c r="C161" s="49"/>
      <c r="D161" s="49"/>
    </row>
    <row r="162">
      <c r="A162" s="49"/>
      <c r="B162" s="49"/>
      <c r="C162" s="49"/>
      <c r="D162" s="49"/>
    </row>
    <row r="163">
      <c r="A163" s="49"/>
      <c r="B163" s="49"/>
      <c r="C163" s="49"/>
      <c r="D163" s="49"/>
    </row>
    <row r="164">
      <c r="A164" s="49"/>
      <c r="B164" s="49"/>
      <c r="C164" s="49"/>
      <c r="D164" s="49"/>
    </row>
    <row r="165">
      <c r="A165" s="49"/>
      <c r="B165" s="49"/>
      <c r="C165" s="49"/>
      <c r="D165" s="49"/>
    </row>
    <row r="166">
      <c r="A166" s="49"/>
      <c r="B166" s="49"/>
      <c r="C166" s="49"/>
      <c r="D166" s="49"/>
    </row>
    <row r="167">
      <c r="A167" s="49"/>
      <c r="B167" s="49"/>
      <c r="C167" s="49"/>
      <c r="D167" s="49"/>
    </row>
    <row r="168">
      <c r="A168" s="49"/>
      <c r="B168" s="49"/>
      <c r="C168" s="49"/>
      <c r="D168" s="49"/>
    </row>
    <row r="169">
      <c r="A169" s="49"/>
      <c r="B169" s="49"/>
      <c r="C169" s="49"/>
      <c r="D169" s="49"/>
    </row>
    <row r="170">
      <c r="A170" s="49"/>
      <c r="B170" s="49"/>
      <c r="C170" s="49"/>
      <c r="D170" s="49"/>
    </row>
    <row r="171">
      <c r="A171" s="49"/>
      <c r="B171" s="49"/>
      <c r="C171" s="49"/>
      <c r="D171" s="49"/>
    </row>
    <row r="172">
      <c r="A172" s="49"/>
      <c r="B172" s="49"/>
      <c r="C172" s="49"/>
      <c r="D172" s="49"/>
    </row>
    <row r="173">
      <c r="A173" s="49"/>
      <c r="B173" s="49"/>
      <c r="C173" s="49"/>
      <c r="D173" s="49"/>
    </row>
    <row r="174">
      <c r="A174" s="49"/>
      <c r="B174" s="49"/>
      <c r="C174" s="49"/>
      <c r="D174" s="49"/>
    </row>
    <row r="175">
      <c r="A175" s="49"/>
      <c r="B175" s="49"/>
      <c r="C175" s="49"/>
      <c r="D175" s="49"/>
    </row>
    <row r="176">
      <c r="A176" s="49"/>
      <c r="B176" s="49"/>
      <c r="C176" s="49"/>
      <c r="D176" s="49"/>
    </row>
    <row r="177">
      <c r="A177" s="49"/>
      <c r="B177" s="49"/>
      <c r="C177" s="49"/>
      <c r="D177" s="49"/>
    </row>
    <row r="178">
      <c r="A178" s="49"/>
      <c r="B178" s="49"/>
      <c r="C178" s="49"/>
      <c r="D178" s="49"/>
    </row>
    <row r="179">
      <c r="A179" s="49"/>
      <c r="B179" s="49"/>
      <c r="C179" s="49"/>
      <c r="D179" s="49"/>
    </row>
    <row r="180">
      <c r="A180" s="49"/>
      <c r="B180" s="49"/>
      <c r="C180" s="49"/>
      <c r="D180" s="49"/>
    </row>
    <row r="181">
      <c r="A181" s="49"/>
      <c r="B181" s="49"/>
      <c r="C181" s="49"/>
      <c r="D181" s="49"/>
    </row>
    <row r="182">
      <c r="A182" s="49"/>
      <c r="B182" s="49"/>
      <c r="C182" s="49"/>
      <c r="D182" s="49"/>
    </row>
    <row r="183">
      <c r="A183" s="49"/>
      <c r="B183" s="49"/>
      <c r="C183" s="49"/>
      <c r="D183" s="49"/>
    </row>
    <row r="184">
      <c r="A184" s="49"/>
      <c r="B184" s="49"/>
      <c r="C184" s="49"/>
      <c r="D184" s="49"/>
    </row>
    <row r="185">
      <c r="A185" s="49"/>
      <c r="B185" s="49"/>
      <c r="C185" s="49"/>
      <c r="D185" s="49"/>
    </row>
    <row r="186">
      <c r="A186" s="49"/>
      <c r="B186" s="49"/>
      <c r="C186" s="49"/>
      <c r="D186" s="49"/>
    </row>
    <row r="187">
      <c r="A187" s="49"/>
      <c r="B187" s="49"/>
      <c r="C187" s="49"/>
      <c r="D187" s="49"/>
    </row>
    <row r="188">
      <c r="A188" s="49"/>
      <c r="B188" s="49"/>
      <c r="C188" s="49"/>
      <c r="D188" s="49"/>
    </row>
    <row r="189">
      <c r="A189" s="49"/>
      <c r="B189" s="49"/>
      <c r="C189" s="49"/>
      <c r="D189" s="49"/>
    </row>
    <row r="190">
      <c r="A190" s="49"/>
      <c r="B190" s="49"/>
      <c r="C190" s="49"/>
      <c r="D190" s="49"/>
    </row>
    <row r="191">
      <c r="A191" s="49"/>
      <c r="B191" s="49"/>
      <c r="C191" s="49"/>
      <c r="D191" s="49"/>
    </row>
    <row r="192">
      <c r="A192" s="49"/>
      <c r="B192" s="49"/>
      <c r="C192" s="49"/>
      <c r="D192" s="49"/>
    </row>
    <row r="193">
      <c r="A193" s="49"/>
      <c r="B193" s="49"/>
      <c r="C193" s="49"/>
      <c r="D193" s="49"/>
    </row>
    <row r="194">
      <c r="A194" s="49"/>
      <c r="B194" s="49"/>
      <c r="C194" s="49"/>
      <c r="D194" s="49"/>
    </row>
    <row r="195">
      <c r="A195" s="49"/>
      <c r="B195" s="49"/>
      <c r="C195" s="49"/>
      <c r="D195" s="49"/>
    </row>
    <row r="196">
      <c r="A196" s="49"/>
      <c r="B196" s="49"/>
      <c r="C196" s="49"/>
      <c r="D196" s="49"/>
    </row>
    <row r="197">
      <c r="A197" s="49"/>
      <c r="B197" s="49"/>
      <c r="C197" s="49"/>
      <c r="D197" s="49"/>
    </row>
    <row r="198">
      <c r="A198" s="49"/>
      <c r="B198" s="49"/>
      <c r="C198" s="49"/>
      <c r="D198" s="49"/>
    </row>
    <row r="199">
      <c r="A199" s="49"/>
      <c r="B199" s="49"/>
      <c r="C199" s="49"/>
      <c r="D199" s="49"/>
    </row>
    <row r="200">
      <c r="A200" s="49"/>
      <c r="B200" s="49"/>
      <c r="C200" s="49"/>
      <c r="D200" s="49"/>
    </row>
    <row r="201">
      <c r="A201" s="49"/>
      <c r="B201" s="49"/>
      <c r="C201" s="49"/>
      <c r="D201" s="49"/>
    </row>
    <row r="202">
      <c r="A202" s="49"/>
      <c r="B202" s="49"/>
      <c r="C202" s="49"/>
      <c r="D202" s="49"/>
    </row>
    <row r="203">
      <c r="A203" s="49"/>
      <c r="B203" s="49"/>
      <c r="C203" s="49"/>
      <c r="D203" s="49"/>
    </row>
    <row r="204">
      <c r="A204" s="49"/>
      <c r="B204" s="49"/>
      <c r="C204" s="49"/>
      <c r="D204" s="49"/>
    </row>
    <row r="205">
      <c r="A205" s="49"/>
      <c r="B205" s="49"/>
      <c r="C205" s="49"/>
      <c r="D205" s="49"/>
    </row>
    <row r="206">
      <c r="A206" s="49"/>
      <c r="B206" s="49"/>
      <c r="C206" s="49"/>
      <c r="D206" s="49"/>
    </row>
    <row r="207">
      <c r="A207" s="49"/>
      <c r="B207" s="49"/>
      <c r="C207" s="49"/>
      <c r="D207" s="49"/>
    </row>
    <row r="208">
      <c r="A208" s="49"/>
      <c r="B208" s="49"/>
      <c r="C208" s="49"/>
      <c r="D208" s="49"/>
    </row>
    <row r="209">
      <c r="A209" s="49"/>
      <c r="B209" s="49"/>
      <c r="C209" s="49"/>
      <c r="D209" s="49"/>
    </row>
    <row r="210">
      <c r="A210" s="49"/>
      <c r="B210" s="49"/>
      <c r="C210" s="49"/>
      <c r="D210" s="49"/>
    </row>
    <row r="211">
      <c r="A211" s="49"/>
      <c r="B211" s="49"/>
      <c r="C211" s="49"/>
      <c r="D211" s="49"/>
    </row>
    <row r="212">
      <c r="A212" s="49"/>
      <c r="B212" s="49"/>
      <c r="C212" s="49"/>
      <c r="D212" s="49"/>
    </row>
    <row r="213">
      <c r="A213" s="49"/>
      <c r="B213" s="49"/>
      <c r="C213" s="49"/>
      <c r="D213" s="49"/>
    </row>
    <row r="214">
      <c r="A214" s="49"/>
      <c r="B214" s="49"/>
      <c r="C214" s="49"/>
      <c r="D214" s="49"/>
    </row>
    <row r="215">
      <c r="A215" s="49"/>
      <c r="B215" s="49"/>
      <c r="C215" s="49"/>
      <c r="D215" s="49"/>
    </row>
    <row r="216">
      <c r="A216" s="49"/>
      <c r="B216" s="49"/>
      <c r="C216" s="49"/>
      <c r="D216" s="49"/>
    </row>
    <row r="217">
      <c r="A217" s="49"/>
      <c r="B217" s="49"/>
      <c r="C217" s="49"/>
      <c r="D217" s="49"/>
    </row>
    <row r="218">
      <c r="A218" s="49"/>
      <c r="B218" s="49"/>
      <c r="C218" s="49"/>
      <c r="D218" s="49"/>
    </row>
    <row r="219">
      <c r="A219" s="49"/>
      <c r="B219" s="49"/>
      <c r="C219" s="49"/>
      <c r="D219" s="49"/>
    </row>
    <row r="220">
      <c r="A220" s="49"/>
      <c r="B220" s="49"/>
      <c r="C220" s="49"/>
      <c r="D220" s="49"/>
    </row>
    <row r="221">
      <c r="A221" s="49"/>
      <c r="B221" s="49"/>
      <c r="C221" s="49"/>
      <c r="D221" s="49"/>
    </row>
    <row r="222">
      <c r="A222" s="49"/>
      <c r="B222" s="49"/>
      <c r="C222" s="49"/>
      <c r="D222" s="49"/>
    </row>
    <row r="223">
      <c r="A223" s="49"/>
      <c r="B223" s="49"/>
      <c r="C223" s="49"/>
      <c r="D223" s="49"/>
    </row>
    <row r="224">
      <c r="A224" s="49"/>
      <c r="B224" s="49"/>
      <c r="C224" s="49"/>
      <c r="D224" s="49"/>
    </row>
    <row r="225">
      <c r="A225" s="49"/>
      <c r="B225" s="49"/>
      <c r="C225" s="49"/>
      <c r="D225" s="49"/>
    </row>
    <row r="226">
      <c r="A226" s="49"/>
      <c r="B226" s="49"/>
      <c r="C226" s="49"/>
      <c r="D226" s="49"/>
    </row>
    <row r="227">
      <c r="A227" s="49"/>
      <c r="B227" s="49"/>
      <c r="C227" s="49"/>
      <c r="D227" s="49"/>
    </row>
    <row r="228">
      <c r="A228" s="49"/>
      <c r="B228" s="49"/>
      <c r="C228" s="49"/>
      <c r="D228" s="49"/>
    </row>
    <row r="229">
      <c r="A229" s="49"/>
      <c r="B229" s="49"/>
      <c r="C229" s="49"/>
      <c r="D229" s="49"/>
    </row>
    <row r="230">
      <c r="A230" s="49"/>
      <c r="B230" s="49"/>
      <c r="C230" s="49"/>
      <c r="D230" s="49"/>
    </row>
    <row r="231">
      <c r="A231" s="49"/>
      <c r="B231" s="49"/>
      <c r="C231" s="49"/>
      <c r="D231" s="49"/>
    </row>
    <row r="232">
      <c r="A232" s="49"/>
      <c r="B232" s="49"/>
      <c r="C232" s="49"/>
      <c r="D232" s="49"/>
    </row>
    <row r="233">
      <c r="A233" s="49"/>
      <c r="B233" s="49"/>
      <c r="C233" s="49"/>
      <c r="D233" s="49"/>
    </row>
    <row r="234">
      <c r="A234" s="49"/>
      <c r="B234" s="49"/>
      <c r="C234" s="49"/>
      <c r="D234" s="49"/>
    </row>
    <row r="235">
      <c r="A235" s="49"/>
      <c r="B235" s="49"/>
      <c r="C235" s="49"/>
      <c r="D235" s="49"/>
    </row>
    <row r="236">
      <c r="A236" s="49"/>
      <c r="B236" s="49"/>
      <c r="C236" s="49"/>
      <c r="D236" s="49"/>
    </row>
    <row r="237">
      <c r="A237" s="49"/>
      <c r="B237" s="49"/>
      <c r="C237" s="49"/>
      <c r="D237" s="49"/>
    </row>
    <row r="238">
      <c r="A238" s="49"/>
      <c r="B238" s="49"/>
      <c r="C238" s="49"/>
      <c r="D238" s="49"/>
    </row>
    <row r="239">
      <c r="A239" s="49"/>
      <c r="B239" s="49"/>
      <c r="C239" s="49"/>
      <c r="D239" s="49"/>
    </row>
    <row r="240">
      <c r="A240" s="49"/>
      <c r="B240" s="49"/>
      <c r="C240" s="49"/>
      <c r="D240" s="49"/>
    </row>
    <row r="241">
      <c r="A241" s="49"/>
      <c r="B241" s="49"/>
      <c r="C241" s="49"/>
      <c r="D241" s="49"/>
    </row>
    <row r="242">
      <c r="A242" s="49"/>
      <c r="B242" s="49"/>
      <c r="C242" s="49"/>
      <c r="D242" s="49"/>
    </row>
    <row r="243">
      <c r="A243" s="49"/>
      <c r="B243" s="49"/>
      <c r="C243" s="49"/>
      <c r="D243" s="49"/>
    </row>
    <row r="244">
      <c r="A244" s="49"/>
      <c r="B244" s="49"/>
      <c r="C244" s="49"/>
      <c r="D244" s="49"/>
    </row>
    <row r="245">
      <c r="A245" s="49"/>
      <c r="B245" s="49"/>
      <c r="C245" s="49"/>
      <c r="D245" s="49"/>
    </row>
    <row r="246">
      <c r="A246" s="49"/>
      <c r="B246" s="49"/>
      <c r="C246" s="49"/>
      <c r="D246" s="49"/>
    </row>
    <row r="247">
      <c r="A247" s="49"/>
      <c r="B247" s="49"/>
      <c r="C247" s="49"/>
      <c r="D247" s="49"/>
    </row>
    <row r="248">
      <c r="A248" s="49"/>
      <c r="B248" s="49"/>
      <c r="C248" s="49"/>
      <c r="D248" s="49"/>
    </row>
    <row r="249">
      <c r="A249" s="49"/>
      <c r="B249" s="49"/>
      <c r="C249" s="49"/>
      <c r="D249" s="49"/>
    </row>
    <row r="250">
      <c r="A250" s="49"/>
      <c r="B250" s="49"/>
      <c r="C250" s="49"/>
      <c r="D250" s="49"/>
    </row>
    <row r="251">
      <c r="A251" s="49"/>
      <c r="B251" s="49"/>
      <c r="C251" s="49"/>
      <c r="D251" s="49"/>
    </row>
    <row r="252">
      <c r="A252" s="49"/>
      <c r="B252" s="49"/>
      <c r="C252" s="49"/>
      <c r="D252" s="49"/>
    </row>
    <row r="253">
      <c r="A253" s="49"/>
      <c r="B253" s="49"/>
      <c r="C253" s="49"/>
      <c r="D253" s="49"/>
    </row>
    <row r="254">
      <c r="A254" s="49"/>
      <c r="B254" s="49"/>
      <c r="C254" s="49"/>
      <c r="D254" s="49"/>
    </row>
    <row r="255">
      <c r="A255" s="49"/>
      <c r="B255" s="49"/>
      <c r="C255" s="49"/>
      <c r="D255" s="49"/>
    </row>
    <row r="256">
      <c r="A256" s="49"/>
      <c r="B256" s="49"/>
      <c r="C256" s="49"/>
      <c r="D256" s="49"/>
    </row>
    <row r="257">
      <c r="A257" s="49"/>
      <c r="B257" s="49"/>
      <c r="C257" s="49"/>
      <c r="D257" s="49"/>
    </row>
    <row r="258">
      <c r="A258" s="49"/>
      <c r="B258" s="49"/>
      <c r="C258" s="49"/>
      <c r="D258" s="49"/>
    </row>
    <row r="259">
      <c r="A259" s="49"/>
      <c r="B259" s="49"/>
      <c r="C259" s="49"/>
      <c r="D259" s="49"/>
    </row>
    <row r="260">
      <c r="A260" s="49"/>
      <c r="B260" s="49"/>
      <c r="C260" s="49"/>
      <c r="D260" s="49"/>
    </row>
    <row r="261">
      <c r="A261" s="49"/>
      <c r="B261" s="49"/>
      <c r="C261" s="49"/>
      <c r="D261" s="49"/>
    </row>
    <row r="262">
      <c r="A262" s="49"/>
      <c r="B262" s="49"/>
      <c r="C262" s="49"/>
      <c r="D262" s="49"/>
    </row>
    <row r="263">
      <c r="A263" s="49"/>
      <c r="B263" s="49"/>
      <c r="C263" s="49"/>
      <c r="D263" s="49"/>
    </row>
    <row r="264">
      <c r="A264" s="49"/>
      <c r="B264" s="49"/>
      <c r="C264" s="49"/>
      <c r="D264" s="49"/>
    </row>
    <row r="265">
      <c r="A265" s="49"/>
      <c r="B265" s="49"/>
      <c r="C265" s="49"/>
      <c r="D265" s="49"/>
    </row>
    <row r="266">
      <c r="A266" s="49"/>
      <c r="B266" s="49"/>
      <c r="C266" s="49"/>
      <c r="D266" s="49"/>
    </row>
    <row r="267">
      <c r="A267" s="49"/>
      <c r="B267" s="49"/>
      <c r="C267" s="49"/>
      <c r="D267" s="49"/>
    </row>
    <row r="268">
      <c r="A268" s="49"/>
      <c r="B268" s="49"/>
      <c r="C268" s="49"/>
      <c r="D268" s="49"/>
    </row>
    <row r="269">
      <c r="A269" s="49"/>
      <c r="B269" s="49"/>
      <c r="C269" s="49"/>
      <c r="D269" s="49"/>
    </row>
    <row r="270">
      <c r="A270" s="49"/>
      <c r="B270" s="49"/>
      <c r="C270" s="49"/>
      <c r="D270" s="49"/>
    </row>
    <row r="271">
      <c r="A271" s="49"/>
      <c r="B271" s="49"/>
      <c r="C271" s="49"/>
      <c r="D271" s="49"/>
    </row>
    <row r="272">
      <c r="A272" s="49"/>
      <c r="B272" s="49"/>
      <c r="C272" s="49"/>
      <c r="D272" s="49"/>
    </row>
    <row r="273">
      <c r="A273" s="49"/>
      <c r="B273" s="49"/>
      <c r="C273" s="49"/>
      <c r="D273" s="49"/>
    </row>
    <row r="274">
      <c r="A274" s="49"/>
      <c r="B274" s="49"/>
      <c r="C274" s="49"/>
      <c r="D274" s="49"/>
    </row>
    <row r="275">
      <c r="A275" s="49"/>
      <c r="B275" s="49"/>
      <c r="C275" s="49"/>
      <c r="D275" s="49"/>
    </row>
    <row r="276">
      <c r="A276" s="49"/>
      <c r="B276" s="49"/>
      <c r="C276" s="49"/>
      <c r="D276" s="49"/>
    </row>
    <row r="277">
      <c r="A277" s="49"/>
      <c r="B277" s="49"/>
      <c r="C277" s="49"/>
      <c r="D277" s="49"/>
    </row>
    <row r="278">
      <c r="A278" s="49"/>
      <c r="B278" s="49"/>
      <c r="C278" s="49"/>
      <c r="D278" s="49"/>
    </row>
    <row r="279">
      <c r="A279" s="49"/>
      <c r="B279" s="49"/>
      <c r="C279" s="49"/>
      <c r="D279" s="49"/>
    </row>
    <row r="280">
      <c r="A280" s="49"/>
      <c r="B280" s="49"/>
      <c r="C280" s="49"/>
      <c r="D280" s="49"/>
    </row>
    <row r="281">
      <c r="A281" s="49"/>
      <c r="B281" s="49"/>
      <c r="C281" s="49"/>
      <c r="D281" s="49"/>
    </row>
    <row r="282">
      <c r="A282" s="49"/>
      <c r="B282" s="49"/>
      <c r="C282" s="49"/>
      <c r="D282" s="49"/>
    </row>
    <row r="283">
      <c r="A283" s="49"/>
      <c r="B283" s="49"/>
      <c r="C283" s="49"/>
      <c r="D283" s="49"/>
    </row>
    <row r="284">
      <c r="A284" s="49"/>
      <c r="B284" s="49"/>
      <c r="C284" s="49"/>
      <c r="D284" s="49"/>
    </row>
    <row r="285">
      <c r="A285" s="49"/>
      <c r="B285" s="49"/>
      <c r="C285" s="49"/>
      <c r="D285" s="49"/>
    </row>
    <row r="286">
      <c r="A286" s="49"/>
      <c r="B286" s="49"/>
      <c r="C286" s="49"/>
      <c r="D286" s="49"/>
    </row>
    <row r="287">
      <c r="A287" s="49"/>
      <c r="B287" s="49"/>
      <c r="C287" s="49"/>
      <c r="D287" s="49"/>
    </row>
    <row r="288">
      <c r="A288" s="49"/>
      <c r="B288" s="49"/>
      <c r="C288" s="49"/>
      <c r="D288" s="49"/>
    </row>
    <row r="289">
      <c r="A289" s="49"/>
      <c r="B289" s="49"/>
      <c r="C289" s="49"/>
      <c r="D289" s="49"/>
    </row>
    <row r="290">
      <c r="A290" s="49"/>
      <c r="B290" s="49"/>
      <c r="C290" s="49"/>
      <c r="D290" s="49"/>
    </row>
    <row r="291">
      <c r="A291" s="49"/>
      <c r="B291" s="49"/>
      <c r="C291" s="49"/>
      <c r="D291" s="49"/>
    </row>
    <row r="292">
      <c r="A292" s="49"/>
      <c r="B292" s="49"/>
      <c r="C292" s="49"/>
      <c r="D292" s="49"/>
    </row>
    <row r="293">
      <c r="A293" s="49"/>
      <c r="B293" s="49"/>
      <c r="C293" s="49"/>
      <c r="D293" s="49"/>
    </row>
    <row r="294">
      <c r="A294" s="49"/>
      <c r="B294" s="49"/>
      <c r="C294" s="49"/>
      <c r="D294" s="49"/>
    </row>
    <row r="295">
      <c r="A295" s="49"/>
      <c r="B295" s="49"/>
      <c r="C295" s="49"/>
      <c r="D295" s="49"/>
    </row>
    <row r="296">
      <c r="A296" s="49"/>
      <c r="B296" s="49"/>
      <c r="C296" s="49"/>
      <c r="D296" s="49"/>
    </row>
    <row r="297">
      <c r="A297" s="49"/>
      <c r="B297" s="49"/>
      <c r="C297" s="49"/>
      <c r="D297" s="49"/>
    </row>
    <row r="298">
      <c r="A298" s="49"/>
      <c r="B298" s="49"/>
      <c r="C298" s="49"/>
      <c r="D298" s="49"/>
    </row>
    <row r="299">
      <c r="A299" s="49"/>
      <c r="B299" s="49"/>
      <c r="C299" s="49"/>
      <c r="D299" s="49"/>
    </row>
    <row r="300">
      <c r="A300" s="49"/>
      <c r="B300" s="49"/>
      <c r="C300" s="49"/>
      <c r="D300" s="49"/>
    </row>
    <row r="301">
      <c r="A301" s="49"/>
      <c r="B301" s="49"/>
      <c r="C301" s="49"/>
      <c r="D301" s="49"/>
    </row>
    <row r="302">
      <c r="A302" s="49"/>
      <c r="B302" s="49"/>
      <c r="C302" s="49"/>
      <c r="D302" s="49"/>
    </row>
    <row r="303">
      <c r="A303" s="49"/>
      <c r="B303" s="49"/>
      <c r="C303" s="49"/>
      <c r="D303" s="49"/>
    </row>
    <row r="304">
      <c r="A304" s="49"/>
      <c r="B304" s="49"/>
      <c r="C304" s="49"/>
      <c r="D304" s="49"/>
    </row>
    <row r="305">
      <c r="A305" s="49"/>
      <c r="B305" s="49"/>
      <c r="C305" s="49"/>
      <c r="D305" s="49"/>
    </row>
    <row r="306">
      <c r="A306" s="49"/>
      <c r="B306" s="49"/>
      <c r="C306" s="49"/>
      <c r="D306" s="49"/>
    </row>
    <row r="307">
      <c r="A307" s="49"/>
      <c r="B307" s="49"/>
      <c r="C307" s="49"/>
      <c r="D307" s="49"/>
    </row>
    <row r="308">
      <c r="A308" s="49"/>
      <c r="B308" s="49"/>
      <c r="C308" s="49"/>
      <c r="D308" s="49"/>
    </row>
    <row r="309">
      <c r="A309" s="49"/>
      <c r="B309" s="49"/>
      <c r="C309" s="49"/>
      <c r="D309" s="49"/>
    </row>
    <row r="310">
      <c r="A310" s="49"/>
      <c r="B310" s="49"/>
      <c r="C310" s="49"/>
      <c r="D310" s="49"/>
    </row>
    <row r="311">
      <c r="A311" s="49"/>
      <c r="B311" s="49"/>
      <c r="C311" s="49"/>
      <c r="D311" s="49"/>
    </row>
    <row r="312">
      <c r="A312" s="49"/>
      <c r="B312" s="49"/>
      <c r="C312" s="49"/>
      <c r="D312" s="49"/>
    </row>
    <row r="313">
      <c r="A313" s="49"/>
      <c r="B313" s="49"/>
      <c r="C313" s="49"/>
      <c r="D313" s="49"/>
    </row>
    <row r="314">
      <c r="A314" s="49"/>
      <c r="B314" s="49"/>
      <c r="C314" s="49"/>
      <c r="D314" s="49"/>
    </row>
    <row r="315">
      <c r="A315" s="49"/>
      <c r="B315" s="49"/>
      <c r="C315" s="49"/>
      <c r="D315" s="49"/>
    </row>
    <row r="316">
      <c r="A316" s="49"/>
      <c r="B316" s="49"/>
      <c r="C316" s="49"/>
      <c r="D316" s="49"/>
    </row>
    <row r="317">
      <c r="A317" s="49"/>
      <c r="B317" s="49"/>
      <c r="C317" s="49"/>
      <c r="D317" s="49"/>
    </row>
    <row r="318">
      <c r="A318" s="49"/>
      <c r="B318" s="49"/>
      <c r="C318" s="49"/>
      <c r="D318" s="49"/>
    </row>
    <row r="319">
      <c r="A319" s="49"/>
      <c r="B319" s="49"/>
      <c r="C319" s="49"/>
      <c r="D319" s="49"/>
    </row>
    <row r="320">
      <c r="A320" s="49"/>
      <c r="B320" s="49"/>
      <c r="C320" s="49"/>
      <c r="D320" s="49"/>
    </row>
    <row r="321">
      <c r="A321" s="49"/>
      <c r="B321" s="49"/>
      <c r="C321" s="49"/>
      <c r="D321" s="49"/>
    </row>
    <row r="322">
      <c r="A322" s="49"/>
      <c r="B322" s="49"/>
      <c r="C322" s="49"/>
      <c r="D322" s="49"/>
    </row>
    <row r="323">
      <c r="A323" s="49"/>
      <c r="B323" s="49"/>
      <c r="C323" s="49"/>
      <c r="D323" s="49"/>
    </row>
    <row r="324">
      <c r="A324" s="49"/>
      <c r="B324" s="49"/>
      <c r="C324" s="49"/>
      <c r="D324" s="49"/>
    </row>
    <row r="325">
      <c r="A325" s="49"/>
      <c r="B325" s="49"/>
      <c r="C325" s="49"/>
      <c r="D325" s="49"/>
    </row>
    <row r="326">
      <c r="A326" s="49"/>
      <c r="B326" s="49"/>
      <c r="C326" s="49"/>
      <c r="D326" s="49"/>
    </row>
    <row r="327">
      <c r="A327" s="49"/>
      <c r="B327" s="49"/>
      <c r="C327" s="49"/>
      <c r="D327" s="49"/>
    </row>
    <row r="328">
      <c r="A328" s="49"/>
      <c r="B328" s="49"/>
      <c r="C328" s="49"/>
      <c r="D328" s="49"/>
    </row>
    <row r="329">
      <c r="A329" s="49"/>
      <c r="B329" s="49"/>
      <c r="C329" s="49"/>
      <c r="D329" s="49"/>
    </row>
    <row r="330">
      <c r="A330" s="49"/>
      <c r="B330" s="49"/>
      <c r="C330" s="49"/>
      <c r="D330" s="49"/>
    </row>
    <row r="331">
      <c r="A331" s="49"/>
      <c r="B331" s="49"/>
      <c r="C331" s="49"/>
      <c r="D331" s="49"/>
    </row>
    <row r="332">
      <c r="A332" s="49"/>
      <c r="B332" s="49"/>
      <c r="C332" s="49"/>
      <c r="D332" s="49"/>
    </row>
    <row r="333">
      <c r="A333" s="49"/>
      <c r="B333" s="49"/>
      <c r="C333" s="49"/>
      <c r="D333" s="49"/>
    </row>
    <row r="334">
      <c r="A334" s="49"/>
      <c r="B334" s="49"/>
      <c r="C334" s="49"/>
      <c r="D334" s="49"/>
    </row>
    <row r="335">
      <c r="A335" s="49"/>
      <c r="B335" s="49"/>
      <c r="C335" s="49"/>
      <c r="D335" s="49"/>
    </row>
    <row r="336">
      <c r="A336" s="49"/>
      <c r="B336" s="49"/>
      <c r="C336" s="49"/>
      <c r="D336" s="49"/>
    </row>
    <row r="337">
      <c r="A337" s="49"/>
      <c r="B337" s="49"/>
      <c r="C337" s="49"/>
      <c r="D337" s="49"/>
    </row>
    <row r="338">
      <c r="A338" s="49"/>
      <c r="B338" s="49"/>
      <c r="C338" s="49"/>
      <c r="D338" s="49"/>
    </row>
    <row r="339">
      <c r="A339" s="49"/>
      <c r="B339" s="49"/>
      <c r="C339" s="49"/>
      <c r="D339" s="49"/>
    </row>
    <row r="340">
      <c r="A340" s="49"/>
      <c r="B340" s="49"/>
      <c r="C340" s="49"/>
      <c r="D340" s="49"/>
    </row>
    <row r="341">
      <c r="A341" s="49"/>
      <c r="B341" s="49"/>
      <c r="C341" s="49"/>
      <c r="D341" s="49"/>
    </row>
    <row r="342">
      <c r="A342" s="49"/>
      <c r="B342" s="49"/>
      <c r="C342" s="49"/>
      <c r="D342" s="49"/>
    </row>
    <row r="343">
      <c r="A343" s="49"/>
      <c r="B343" s="49"/>
      <c r="C343" s="49"/>
      <c r="D343" s="49"/>
    </row>
    <row r="344">
      <c r="A344" s="49"/>
      <c r="B344" s="49"/>
      <c r="C344" s="49"/>
      <c r="D344" s="49"/>
    </row>
    <row r="345">
      <c r="A345" s="49"/>
      <c r="B345" s="49"/>
      <c r="C345" s="49"/>
      <c r="D345" s="49"/>
    </row>
    <row r="346">
      <c r="A346" s="49"/>
      <c r="B346" s="49"/>
      <c r="C346" s="49"/>
      <c r="D346" s="49"/>
    </row>
    <row r="347">
      <c r="A347" s="49"/>
      <c r="B347" s="49"/>
      <c r="C347" s="49"/>
      <c r="D347" s="49"/>
    </row>
    <row r="348">
      <c r="A348" s="49"/>
      <c r="B348" s="49"/>
      <c r="C348" s="49"/>
      <c r="D348" s="49"/>
    </row>
    <row r="349">
      <c r="A349" s="49"/>
      <c r="B349" s="49"/>
      <c r="C349" s="49"/>
      <c r="D349" s="49"/>
    </row>
    <row r="350">
      <c r="A350" s="49"/>
      <c r="B350" s="49"/>
      <c r="C350" s="49"/>
      <c r="D350" s="49"/>
    </row>
    <row r="351">
      <c r="A351" s="49"/>
      <c r="B351" s="49"/>
      <c r="C351" s="49"/>
      <c r="D351" s="49"/>
    </row>
    <row r="352">
      <c r="A352" s="49"/>
      <c r="B352" s="49"/>
      <c r="C352" s="49"/>
      <c r="D352" s="49"/>
    </row>
    <row r="353">
      <c r="A353" s="49"/>
      <c r="B353" s="49"/>
      <c r="C353" s="49"/>
      <c r="D353" s="49"/>
    </row>
    <row r="354">
      <c r="A354" s="49"/>
      <c r="B354" s="49"/>
      <c r="C354" s="49"/>
      <c r="D354" s="49"/>
    </row>
    <row r="355">
      <c r="A355" s="49"/>
      <c r="B355" s="49"/>
      <c r="C355" s="49"/>
      <c r="D355" s="49"/>
    </row>
    <row r="356">
      <c r="A356" s="49"/>
      <c r="B356" s="49"/>
      <c r="C356" s="49"/>
      <c r="D356" s="49"/>
    </row>
    <row r="357">
      <c r="A357" s="49"/>
      <c r="B357" s="49"/>
      <c r="C357" s="49"/>
      <c r="D357" s="49"/>
    </row>
    <row r="358">
      <c r="A358" s="49"/>
      <c r="B358" s="49"/>
      <c r="C358" s="49"/>
      <c r="D358" s="49"/>
    </row>
    <row r="359">
      <c r="A359" s="49"/>
      <c r="B359" s="49"/>
      <c r="C359" s="49"/>
      <c r="D359" s="49"/>
    </row>
    <row r="360">
      <c r="A360" s="49"/>
      <c r="B360" s="49"/>
      <c r="C360" s="49"/>
      <c r="D360" s="49"/>
    </row>
    <row r="361">
      <c r="A361" s="49"/>
      <c r="B361" s="49"/>
      <c r="C361" s="49"/>
      <c r="D361" s="49"/>
    </row>
    <row r="362">
      <c r="A362" s="49"/>
      <c r="B362" s="49"/>
      <c r="C362" s="49"/>
      <c r="D362" s="49"/>
    </row>
    <row r="363">
      <c r="A363" s="49"/>
      <c r="B363" s="49"/>
      <c r="C363" s="49"/>
      <c r="D363" s="49"/>
    </row>
    <row r="364">
      <c r="A364" s="49"/>
      <c r="B364" s="49"/>
      <c r="C364" s="49"/>
      <c r="D364" s="49"/>
    </row>
    <row r="365">
      <c r="A365" s="49"/>
      <c r="B365" s="49"/>
      <c r="C365" s="49"/>
      <c r="D365" s="49"/>
    </row>
    <row r="366">
      <c r="A366" s="49"/>
      <c r="B366" s="49"/>
      <c r="C366" s="49"/>
      <c r="D366" s="49"/>
    </row>
    <row r="367">
      <c r="A367" s="49"/>
      <c r="B367" s="49"/>
      <c r="C367" s="49"/>
      <c r="D367" s="49"/>
    </row>
    <row r="368">
      <c r="A368" s="49"/>
      <c r="B368" s="49"/>
      <c r="C368" s="49"/>
      <c r="D368" s="49"/>
    </row>
    <row r="369">
      <c r="A369" s="49"/>
      <c r="B369" s="49"/>
      <c r="C369" s="49"/>
      <c r="D369" s="49"/>
    </row>
    <row r="370">
      <c r="A370" s="49"/>
      <c r="B370" s="49"/>
      <c r="C370" s="49"/>
      <c r="D370" s="49"/>
    </row>
    <row r="371">
      <c r="A371" s="49"/>
      <c r="B371" s="49"/>
      <c r="C371" s="49"/>
      <c r="D371" s="49"/>
    </row>
    <row r="372">
      <c r="A372" s="49"/>
      <c r="B372" s="49"/>
      <c r="C372" s="49"/>
      <c r="D372" s="49"/>
    </row>
    <row r="373">
      <c r="A373" s="49"/>
      <c r="B373" s="49"/>
      <c r="C373" s="49"/>
      <c r="D373" s="49"/>
    </row>
    <row r="374">
      <c r="A374" s="49"/>
      <c r="B374" s="49"/>
      <c r="C374" s="49"/>
      <c r="D374" s="49"/>
    </row>
    <row r="375">
      <c r="A375" s="49"/>
      <c r="B375" s="49"/>
      <c r="C375" s="49"/>
      <c r="D375" s="49"/>
    </row>
    <row r="376">
      <c r="A376" s="49"/>
      <c r="B376" s="49"/>
      <c r="C376" s="49"/>
      <c r="D376" s="49"/>
    </row>
    <row r="377">
      <c r="A377" s="49"/>
      <c r="B377" s="49"/>
      <c r="C377" s="49"/>
      <c r="D377" s="49"/>
    </row>
    <row r="378">
      <c r="A378" s="49"/>
      <c r="B378" s="49"/>
      <c r="C378" s="49"/>
      <c r="D378" s="49"/>
    </row>
    <row r="379">
      <c r="A379" s="49"/>
      <c r="B379" s="49"/>
      <c r="C379" s="49"/>
      <c r="D379" s="49"/>
    </row>
    <row r="380">
      <c r="A380" s="49"/>
      <c r="B380" s="49"/>
      <c r="C380" s="49"/>
      <c r="D380" s="49"/>
    </row>
    <row r="381">
      <c r="A381" s="49"/>
      <c r="B381" s="49"/>
      <c r="C381" s="49"/>
      <c r="D381" s="49"/>
    </row>
    <row r="382">
      <c r="A382" s="49"/>
      <c r="B382" s="49"/>
      <c r="C382" s="49"/>
      <c r="D382" s="49"/>
    </row>
    <row r="383">
      <c r="A383" s="49"/>
      <c r="B383" s="49"/>
      <c r="C383" s="49"/>
      <c r="D383" s="49"/>
    </row>
    <row r="384">
      <c r="A384" s="49"/>
      <c r="B384" s="49"/>
      <c r="C384" s="49"/>
      <c r="D384" s="49"/>
    </row>
    <row r="385">
      <c r="A385" s="49"/>
      <c r="B385" s="49"/>
      <c r="C385" s="49"/>
      <c r="D385" s="49"/>
    </row>
    <row r="386">
      <c r="A386" s="49"/>
      <c r="B386" s="49"/>
      <c r="C386" s="49"/>
      <c r="D386" s="49"/>
    </row>
    <row r="387">
      <c r="A387" s="49"/>
      <c r="B387" s="49"/>
      <c r="C387" s="49"/>
      <c r="D387" s="49"/>
    </row>
    <row r="388">
      <c r="A388" s="49"/>
      <c r="B388" s="49"/>
      <c r="C388" s="49"/>
      <c r="D388" s="49"/>
    </row>
    <row r="389">
      <c r="A389" s="49"/>
      <c r="B389" s="49"/>
      <c r="C389" s="49"/>
      <c r="D389" s="49"/>
    </row>
    <row r="390">
      <c r="A390" s="49"/>
      <c r="B390" s="49"/>
      <c r="C390" s="49"/>
      <c r="D390" s="49"/>
    </row>
    <row r="391">
      <c r="A391" s="49"/>
      <c r="B391" s="49"/>
      <c r="C391" s="49"/>
      <c r="D391" s="49"/>
    </row>
    <row r="392">
      <c r="A392" s="49"/>
      <c r="B392" s="49"/>
      <c r="C392" s="49"/>
      <c r="D392" s="49"/>
    </row>
    <row r="393">
      <c r="A393" s="49"/>
      <c r="B393" s="49"/>
      <c r="C393" s="49"/>
      <c r="D393" s="49"/>
    </row>
    <row r="394">
      <c r="A394" s="49"/>
      <c r="B394" s="49"/>
      <c r="C394" s="49"/>
      <c r="D394" s="49"/>
    </row>
    <row r="395">
      <c r="A395" s="49"/>
      <c r="B395" s="49"/>
      <c r="C395" s="49"/>
      <c r="D395" s="49"/>
    </row>
    <row r="396">
      <c r="A396" s="49"/>
      <c r="B396" s="49"/>
      <c r="C396" s="49"/>
      <c r="D396" s="49"/>
    </row>
    <row r="397">
      <c r="A397" s="49"/>
      <c r="B397" s="49"/>
      <c r="C397" s="49"/>
      <c r="D397" s="49"/>
    </row>
    <row r="398">
      <c r="A398" s="49"/>
      <c r="B398" s="49"/>
      <c r="C398" s="49"/>
      <c r="D398" s="49"/>
    </row>
    <row r="399">
      <c r="A399" s="49"/>
      <c r="B399" s="49"/>
      <c r="C399" s="49"/>
      <c r="D399" s="49"/>
    </row>
    <row r="400">
      <c r="A400" s="49"/>
      <c r="B400" s="49"/>
      <c r="C400" s="49"/>
      <c r="D400" s="49"/>
    </row>
    <row r="401">
      <c r="A401" s="49"/>
      <c r="B401" s="49"/>
      <c r="C401" s="49"/>
      <c r="D401" s="49"/>
    </row>
    <row r="402">
      <c r="A402" s="49"/>
      <c r="B402" s="49"/>
      <c r="C402" s="49"/>
      <c r="D402" s="49"/>
    </row>
    <row r="403">
      <c r="A403" s="49"/>
      <c r="B403" s="49"/>
      <c r="C403" s="49"/>
      <c r="D403" s="49"/>
    </row>
    <row r="404">
      <c r="A404" s="49"/>
      <c r="B404" s="49"/>
      <c r="C404" s="49"/>
      <c r="D404" s="49"/>
    </row>
    <row r="405">
      <c r="A405" s="49"/>
      <c r="B405" s="49"/>
      <c r="C405" s="49"/>
      <c r="D405" s="49"/>
    </row>
    <row r="406">
      <c r="A406" s="49"/>
      <c r="B406" s="49"/>
      <c r="C406" s="49"/>
      <c r="D406" s="49"/>
    </row>
    <row r="407">
      <c r="A407" s="49"/>
      <c r="B407" s="49"/>
      <c r="C407" s="49"/>
      <c r="D407" s="49"/>
    </row>
    <row r="408">
      <c r="A408" s="49"/>
      <c r="B408" s="49"/>
      <c r="C408" s="49"/>
      <c r="D408" s="49"/>
    </row>
    <row r="409">
      <c r="A409" s="49"/>
      <c r="B409" s="49"/>
      <c r="C409" s="49"/>
      <c r="D409" s="49"/>
    </row>
    <row r="410">
      <c r="A410" s="49"/>
      <c r="B410" s="49"/>
      <c r="C410" s="49"/>
      <c r="D410" s="49"/>
    </row>
    <row r="411">
      <c r="A411" s="49"/>
      <c r="B411" s="49"/>
      <c r="C411" s="49"/>
      <c r="D411" s="49"/>
    </row>
    <row r="412">
      <c r="A412" s="49"/>
      <c r="B412" s="49"/>
      <c r="C412" s="49"/>
      <c r="D412" s="49"/>
    </row>
    <row r="413">
      <c r="A413" s="49"/>
      <c r="B413" s="49"/>
      <c r="C413" s="49"/>
      <c r="D413" s="49"/>
    </row>
    <row r="414">
      <c r="A414" s="49"/>
      <c r="B414" s="49"/>
      <c r="C414" s="49"/>
      <c r="D414" s="49"/>
    </row>
    <row r="415">
      <c r="A415" s="49"/>
      <c r="B415" s="49"/>
      <c r="C415" s="49"/>
      <c r="D415" s="49"/>
    </row>
    <row r="416">
      <c r="A416" s="49"/>
      <c r="B416" s="49"/>
      <c r="C416" s="49"/>
      <c r="D416" s="49"/>
    </row>
    <row r="417">
      <c r="A417" s="49"/>
      <c r="B417" s="49"/>
      <c r="C417" s="49"/>
      <c r="D417" s="49"/>
    </row>
    <row r="418">
      <c r="A418" s="49"/>
      <c r="B418" s="49"/>
      <c r="C418" s="49"/>
      <c r="D418" s="49"/>
    </row>
    <row r="419">
      <c r="A419" s="49"/>
      <c r="B419" s="49"/>
      <c r="C419" s="49"/>
      <c r="D419" s="49"/>
    </row>
    <row r="420">
      <c r="A420" s="49"/>
      <c r="B420" s="49"/>
      <c r="C420" s="49"/>
      <c r="D420" s="49"/>
    </row>
    <row r="421">
      <c r="A421" s="49"/>
      <c r="B421" s="49"/>
      <c r="C421" s="49"/>
      <c r="D421" s="49"/>
    </row>
    <row r="422">
      <c r="A422" s="49"/>
      <c r="B422" s="49"/>
      <c r="C422" s="49"/>
      <c r="D422" s="49"/>
    </row>
    <row r="423">
      <c r="A423" s="49"/>
      <c r="B423" s="49"/>
      <c r="C423" s="49"/>
      <c r="D423" s="49"/>
    </row>
    <row r="424">
      <c r="A424" s="49"/>
      <c r="B424" s="49"/>
      <c r="C424" s="49"/>
      <c r="D424" s="49"/>
    </row>
    <row r="425">
      <c r="A425" s="49"/>
      <c r="B425" s="49"/>
      <c r="C425" s="49"/>
      <c r="D425" s="49"/>
    </row>
    <row r="426">
      <c r="A426" s="49"/>
      <c r="B426" s="49"/>
      <c r="C426" s="49"/>
      <c r="D426" s="49"/>
    </row>
    <row r="427">
      <c r="A427" s="49"/>
      <c r="B427" s="49"/>
      <c r="C427" s="49"/>
      <c r="D427" s="49"/>
    </row>
    <row r="428">
      <c r="A428" s="49"/>
      <c r="B428" s="49"/>
      <c r="C428" s="49"/>
      <c r="D428" s="49"/>
    </row>
    <row r="429">
      <c r="A429" s="49"/>
      <c r="B429" s="49"/>
      <c r="C429" s="49"/>
      <c r="D429" s="49"/>
    </row>
    <row r="430">
      <c r="A430" s="49"/>
      <c r="B430" s="49"/>
      <c r="C430" s="49"/>
      <c r="D430" s="49"/>
    </row>
    <row r="431">
      <c r="A431" s="49"/>
      <c r="B431" s="49"/>
      <c r="C431" s="49"/>
      <c r="D431" s="49"/>
    </row>
    <row r="432">
      <c r="A432" s="49"/>
      <c r="B432" s="49"/>
      <c r="C432" s="49"/>
      <c r="D432" s="49"/>
    </row>
    <row r="433">
      <c r="A433" s="49"/>
      <c r="B433" s="49"/>
      <c r="C433" s="49"/>
      <c r="D433" s="49"/>
    </row>
    <row r="434">
      <c r="A434" s="49"/>
      <c r="B434" s="49"/>
      <c r="C434" s="49"/>
      <c r="D434" s="49"/>
    </row>
    <row r="435">
      <c r="A435" s="49"/>
      <c r="B435" s="49"/>
      <c r="C435" s="49"/>
      <c r="D435" s="49"/>
    </row>
    <row r="436">
      <c r="A436" s="49"/>
      <c r="B436" s="49"/>
      <c r="C436" s="49"/>
      <c r="D436" s="49"/>
    </row>
    <row r="437">
      <c r="A437" s="49"/>
      <c r="B437" s="49"/>
      <c r="C437" s="49"/>
      <c r="D437" s="49"/>
    </row>
    <row r="438">
      <c r="A438" s="49"/>
      <c r="B438" s="49"/>
      <c r="C438" s="49"/>
      <c r="D438" s="49"/>
    </row>
    <row r="439">
      <c r="A439" s="49"/>
      <c r="B439" s="49"/>
      <c r="C439" s="49"/>
      <c r="D439" s="49"/>
    </row>
    <row r="440">
      <c r="A440" s="49"/>
      <c r="B440" s="49"/>
      <c r="C440" s="49"/>
      <c r="D440" s="49"/>
    </row>
    <row r="441">
      <c r="A441" s="49"/>
      <c r="B441" s="49"/>
      <c r="C441" s="49"/>
      <c r="D441" s="49"/>
    </row>
    <row r="442">
      <c r="A442" s="49"/>
      <c r="B442" s="49"/>
      <c r="C442" s="49"/>
      <c r="D442" s="49"/>
    </row>
    <row r="443">
      <c r="A443" s="49"/>
      <c r="B443" s="49"/>
      <c r="C443" s="49"/>
      <c r="D443" s="49"/>
    </row>
    <row r="444">
      <c r="A444" s="49"/>
      <c r="B444" s="49"/>
      <c r="C444" s="49"/>
      <c r="D444" s="49"/>
    </row>
    <row r="445">
      <c r="A445" s="49"/>
      <c r="B445" s="49"/>
      <c r="C445" s="49"/>
      <c r="D445" s="49"/>
    </row>
    <row r="446">
      <c r="A446" s="49"/>
      <c r="B446" s="49"/>
      <c r="C446" s="49"/>
      <c r="D446" s="49"/>
    </row>
    <row r="447">
      <c r="A447" s="49"/>
      <c r="B447" s="49"/>
      <c r="C447" s="49"/>
      <c r="D447" s="49"/>
    </row>
    <row r="448">
      <c r="A448" s="49"/>
      <c r="B448" s="49"/>
      <c r="C448" s="49"/>
      <c r="D448" s="49"/>
    </row>
    <row r="449">
      <c r="A449" s="49"/>
      <c r="B449" s="49"/>
      <c r="C449" s="49"/>
      <c r="D449" s="49"/>
    </row>
    <row r="450">
      <c r="A450" s="49"/>
      <c r="B450" s="49"/>
      <c r="C450" s="49"/>
      <c r="D450" s="49"/>
    </row>
    <row r="451">
      <c r="A451" s="49"/>
      <c r="B451" s="49"/>
      <c r="C451" s="49"/>
      <c r="D451" s="49"/>
    </row>
    <row r="452">
      <c r="A452" s="49"/>
      <c r="B452" s="49"/>
      <c r="C452" s="49"/>
      <c r="D452" s="49"/>
    </row>
    <row r="453">
      <c r="A453" s="49"/>
      <c r="B453" s="49"/>
      <c r="C453" s="49"/>
      <c r="D453" s="49"/>
    </row>
    <row r="454">
      <c r="A454" s="49"/>
      <c r="B454" s="49"/>
      <c r="C454" s="49"/>
      <c r="D454" s="49"/>
    </row>
    <row r="455">
      <c r="A455" s="49"/>
      <c r="B455" s="49"/>
      <c r="C455" s="49"/>
      <c r="D455" s="49"/>
    </row>
    <row r="456">
      <c r="A456" s="49"/>
      <c r="B456" s="49"/>
      <c r="C456" s="49"/>
      <c r="D456" s="49"/>
    </row>
    <row r="457">
      <c r="A457" s="49"/>
      <c r="B457" s="49"/>
      <c r="C457" s="49"/>
      <c r="D457" s="49"/>
    </row>
    <row r="458">
      <c r="A458" s="49"/>
      <c r="B458" s="49"/>
      <c r="C458" s="49"/>
      <c r="D458" s="49"/>
    </row>
    <row r="459">
      <c r="A459" s="49"/>
      <c r="B459" s="49"/>
      <c r="C459" s="49"/>
      <c r="D459" s="49"/>
    </row>
    <row r="460">
      <c r="A460" s="49"/>
      <c r="B460" s="49"/>
      <c r="C460" s="49"/>
      <c r="D460" s="49"/>
    </row>
    <row r="461">
      <c r="A461" s="49"/>
      <c r="B461" s="49"/>
      <c r="C461" s="49"/>
      <c r="D461" s="49"/>
    </row>
    <row r="462">
      <c r="A462" s="49"/>
      <c r="B462" s="49"/>
      <c r="C462" s="49"/>
      <c r="D462" s="49"/>
    </row>
    <row r="463">
      <c r="A463" s="49"/>
      <c r="B463" s="49"/>
      <c r="C463" s="49"/>
      <c r="D463" s="49"/>
    </row>
    <row r="464">
      <c r="A464" s="49"/>
      <c r="B464" s="49"/>
      <c r="C464" s="49"/>
      <c r="D464" s="49"/>
    </row>
    <row r="465">
      <c r="A465" s="49"/>
      <c r="B465" s="49"/>
      <c r="C465" s="49"/>
      <c r="D465" s="49"/>
    </row>
    <row r="466">
      <c r="A466" s="49"/>
      <c r="B466" s="49"/>
      <c r="C466" s="49"/>
      <c r="D466" s="49"/>
    </row>
    <row r="467">
      <c r="A467" s="49"/>
      <c r="B467" s="49"/>
      <c r="C467" s="49"/>
      <c r="D467" s="49"/>
    </row>
    <row r="468">
      <c r="A468" s="49"/>
      <c r="B468" s="49"/>
      <c r="C468" s="49"/>
      <c r="D468" s="49"/>
    </row>
    <row r="469">
      <c r="A469" s="49"/>
      <c r="B469" s="49"/>
      <c r="C469" s="49"/>
      <c r="D469" s="49"/>
    </row>
    <row r="470">
      <c r="A470" s="49"/>
      <c r="B470" s="49"/>
      <c r="C470" s="49"/>
      <c r="D470" s="49"/>
    </row>
    <row r="471">
      <c r="A471" s="49"/>
      <c r="B471" s="49"/>
      <c r="C471" s="49"/>
      <c r="D471" s="49"/>
    </row>
    <row r="472">
      <c r="A472" s="49"/>
      <c r="B472" s="49"/>
      <c r="C472" s="49"/>
      <c r="D472" s="49"/>
    </row>
    <row r="473">
      <c r="A473" s="49"/>
      <c r="B473" s="49"/>
      <c r="C473" s="49"/>
      <c r="D473" s="49"/>
    </row>
    <row r="474">
      <c r="A474" s="49"/>
      <c r="B474" s="49"/>
      <c r="C474" s="49"/>
      <c r="D474" s="49"/>
    </row>
    <row r="475">
      <c r="A475" s="49"/>
      <c r="B475" s="49"/>
      <c r="C475" s="49"/>
      <c r="D475" s="49"/>
    </row>
    <row r="476">
      <c r="A476" s="49"/>
      <c r="B476" s="49"/>
      <c r="C476" s="49"/>
      <c r="D476" s="49"/>
    </row>
    <row r="477">
      <c r="A477" s="49"/>
      <c r="B477" s="49"/>
      <c r="C477" s="49"/>
      <c r="D477" s="49"/>
    </row>
    <row r="478">
      <c r="A478" s="49"/>
      <c r="B478" s="49"/>
      <c r="C478" s="49"/>
      <c r="D478" s="49"/>
    </row>
    <row r="479">
      <c r="A479" s="49"/>
      <c r="B479" s="49"/>
      <c r="C479" s="49"/>
      <c r="D479" s="49"/>
    </row>
    <row r="480">
      <c r="A480" s="49"/>
      <c r="B480" s="49"/>
      <c r="C480" s="49"/>
      <c r="D480" s="49"/>
    </row>
    <row r="481">
      <c r="A481" s="49"/>
      <c r="B481" s="49"/>
      <c r="C481" s="49"/>
      <c r="D481" s="49"/>
    </row>
    <row r="482">
      <c r="A482" s="49"/>
      <c r="B482" s="49"/>
      <c r="C482" s="49"/>
      <c r="D482" s="49"/>
    </row>
    <row r="483">
      <c r="A483" s="49"/>
      <c r="B483" s="49"/>
      <c r="C483" s="49"/>
      <c r="D483" s="49"/>
    </row>
    <row r="484">
      <c r="A484" s="49"/>
      <c r="B484" s="49"/>
      <c r="C484" s="49"/>
      <c r="D484" s="49"/>
    </row>
    <row r="485">
      <c r="A485" s="49"/>
      <c r="B485" s="49"/>
      <c r="C485" s="49"/>
      <c r="D485" s="49"/>
    </row>
    <row r="486">
      <c r="A486" s="49"/>
      <c r="B486" s="49"/>
      <c r="C486" s="49"/>
      <c r="D486" s="49"/>
    </row>
    <row r="487">
      <c r="A487" s="49"/>
      <c r="B487" s="49"/>
      <c r="C487" s="49"/>
      <c r="D487" s="49"/>
    </row>
    <row r="488">
      <c r="A488" s="49"/>
      <c r="B488" s="49"/>
      <c r="C488" s="49"/>
      <c r="D488" s="49"/>
    </row>
    <row r="489">
      <c r="A489" s="49"/>
      <c r="B489" s="49"/>
      <c r="C489" s="49"/>
      <c r="D489" s="49"/>
    </row>
    <row r="490">
      <c r="A490" s="49"/>
      <c r="B490" s="49"/>
      <c r="C490" s="49"/>
      <c r="D490" s="49"/>
    </row>
    <row r="491">
      <c r="A491" s="49"/>
      <c r="B491" s="49"/>
      <c r="C491" s="49"/>
      <c r="D491" s="49"/>
    </row>
    <row r="492">
      <c r="A492" s="49"/>
      <c r="B492" s="49"/>
      <c r="C492" s="49"/>
      <c r="D492" s="49"/>
    </row>
    <row r="493">
      <c r="A493" s="49"/>
      <c r="B493" s="49"/>
      <c r="C493" s="49"/>
      <c r="D493" s="49"/>
    </row>
    <row r="494">
      <c r="A494" s="49"/>
      <c r="B494" s="49"/>
      <c r="C494" s="49"/>
      <c r="D494" s="49"/>
    </row>
    <row r="495">
      <c r="A495" s="49"/>
      <c r="B495" s="49"/>
      <c r="C495" s="49"/>
      <c r="D495" s="49"/>
    </row>
    <row r="496">
      <c r="A496" s="49"/>
      <c r="B496" s="49"/>
      <c r="C496" s="49"/>
      <c r="D496" s="49"/>
    </row>
    <row r="497">
      <c r="A497" s="49"/>
      <c r="B497" s="49"/>
      <c r="C497" s="49"/>
      <c r="D497" s="49"/>
    </row>
    <row r="498">
      <c r="A498" s="49"/>
      <c r="B498" s="49"/>
      <c r="C498" s="49"/>
      <c r="D498" s="49"/>
    </row>
    <row r="499">
      <c r="A499" s="49"/>
      <c r="B499" s="49"/>
      <c r="C499" s="49"/>
      <c r="D499" s="49"/>
    </row>
    <row r="500">
      <c r="A500" s="49"/>
      <c r="B500" s="49"/>
      <c r="C500" s="49"/>
      <c r="D500" s="49"/>
    </row>
    <row r="501">
      <c r="A501" s="49"/>
      <c r="B501" s="49"/>
      <c r="C501" s="49"/>
      <c r="D501" s="49"/>
    </row>
    <row r="502">
      <c r="A502" s="49"/>
      <c r="B502" s="49"/>
      <c r="C502" s="49"/>
      <c r="D502" s="49"/>
    </row>
    <row r="503">
      <c r="A503" s="49"/>
      <c r="B503" s="49"/>
      <c r="C503" s="49"/>
      <c r="D503" s="49"/>
    </row>
    <row r="504">
      <c r="A504" s="49"/>
      <c r="B504" s="49"/>
      <c r="C504" s="49"/>
      <c r="D504" s="49"/>
    </row>
    <row r="505">
      <c r="A505" s="49"/>
      <c r="B505" s="49"/>
      <c r="C505" s="49"/>
      <c r="D505" s="49"/>
    </row>
    <row r="506">
      <c r="A506" s="49"/>
      <c r="B506" s="49"/>
      <c r="C506" s="49"/>
      <c r="D506" s="49"/>
    </row>
    <row r="507">
      <c r="A507" s="49"/>
      <c r="B507" s="49"/>
      <c r="C507" s="49"/>
      <c r="D507" s="49"/>
    </row>
    <row r="508">
      <c r="A508" s="49"/>
      <c r="B508" s="49"/>
      <c r="C508" s="49"/>
      <c r="D508" s="49"/>
    </row>
    <row r="509">
      <c r="A509" s="49"/>
      <c r="B509" s="49"/>
      <c r="C509" s="49"/>
      <c r="D509" s="49"/>
    </row>
    <row r="510">
      <c r="A510" s="49"/>
      <c r="B510" s="49"/>
      <c r="C510" s="49"/>
      <c r="D510" s="49"/>
    </row>
    <row r="511">
      <c r="A511" s="49"/>
      <c r="B511" s="49"/>
      <c r="C511" s="49"/>
      <c r="D511" s="49"/>
    </row>
    <row r="512">
      <c r="A512" s="49"/>
      <c r="B512" s="49"/>
      <c r="C512" s="49"/>
      <c r="D512" s="49"/>
    </row>
    <row r="513">
      <c r="A513" s="49"/>
      <c r="B513" s="49"/>
      <c r="C513" s="49"/>
      <c r="D513" s="49"/>
    </row>
    <row r="514">
      <c r="A514" s="49"/>
      <c r="B514" s="49"/>
      <c r="C514" s="49"/>
      <c r="D514" s="49"/>
    </row>
    <row r="515">
      <c r="A515" s="49"/>
      <c r="B515" s="49"/>
      <c r="C515" s="49"/>
      <c r="D515" s="49"/>
    </row>
    <row r="516">
      <c r="A516" s="49"/>
      <c r="B516" s="49"/>
      <c r="C516" s="49"/>
      <c r="D516" s="49"/>
    </row>
    <row r="517">
      <c r="A517" s="49"/>
      <c r="B517" s="49"/>
      <c r="C517" s="49"/>
      <c r="D517" s="49"/>
    </row>
    <row r="518">
      <c r="A518" s="49"/>
      <c r="B518" s="49"/>
      <c r="C518" s="49"/>
      <c r="D518" s="49"/>
    </row>
    <row r="519">
      <c r="A519" s="49"/>
      <c r="B519" s="49"/>
      <c r="C519" s="49"/>
      <c r="D519" s="49"/>
    </row>
    <row r="520">
      <c r="A520" s="49"/>
      <c r="B520" s="49"/>
      <c r="C520" s="49"/>
      <c r="D520" s="49"/>
    </row>
    <row r="521">
      <c r="A521" s="49"/>
      <c r="B521" s="49"/>
      <c r="C521" s="49"/>
      <c r="D521" s="49"/>
    </row>
    <row r="522">
      <c r="A522" s="49"/>
      <c r="B522" s="49"/>
      <c r="C522" s="49"/>
      <c r="D522" s="49"/>
    </row>
    <row r="523">
      <c r="A523" s="49"/>
      <c r="B523" s="49"/>
      <c r="C523" s="49"/>
      <c r="D523" s="49"/>
    </row>
    <row r="524">
      <c r="A524" s="49"/>
      <c r="B524" s="49"/>
      <c r="C524" s="49"/>
      <c r="D524" s="49"/>
    </row>
    <row r="525">
      <c r="A525" s="49"/>
      <c r="B525" s="49"/>
      <c r="C525" s="49"/>
      <c r="D525" s="49"/>
    </row>
    <row r="526">
      <c r="A526" s="49"/>
      <c r="B526" s="49"/>
      <c r="C526" s="49"/>
      <c r="D526" s="49"/>
    </row>
    <row r="527">
      <c r="A527" s="49"/>
      <c r="B527" s="49"/>
      <c r="C527" s="49"/>
      <c r="D527" s="49"/>
    </row>
    <row r="528">
      <c r="A528" s="49"/>
      <c r="B528" s="49"/>
      <c r="C528" s="49"/>
      <c r="D528" s="49"/>
    </row>
    <row r="529">
      <c r="A529" s="49"/>
      <c r="B529" s="49"/>
      <c r="C529" s="49"/>
      <c r="D529" s="49"/>
    </row>
    <row r="530">
      <c r="A530" s="49"/>
      <c r="B530" s="49"/>
      <c r="C530" s="49"/>
      <c r="D530" s="49"/>
    </row>
    <row r="531">
      <c r="A531" s="49"/>
      <c r="B531" s="49"/>
      <c r="C531" s="49"/>
      <c r="D531" s="49"/>
    </row>
    <row r="532">
      <c r="A532" s="49"/>
      <c r="B532" s="49"/>
      <c r="C532" s="49"/>
      <c r="D532" s="49"/>
    </row>
    <row r="533">
      <c r="A533" s="49"/>
      <c r="B533" s="49"/>
      <c r="C533" s="49"/>
      <c r="D533" s="49"/>
    </row>
    <row r="534">
      <c r="A534" s="49"/>
      <c r="B534" s="49"/>
      <c r="C534" s="49"/>
      <c r="D534" s="49"/>
    </row>
    <row r="535">
      <c r="A535" s="49"/>
      <c r="B535" s="49"/>
      <c r="C535" s="49"/>
      <c r="D535" s="49"/>
    </row>
    <row r="536">
      <c r="A536" s="49"/>
      <c r="B536" s="49"/>
      <c r="C536" s="49"/>
      <c r="D536" s="49"/>
    </row>
    <row r="537">
      <c r="A537" s="49"/>
      <c r="B537" s="49"/>
      <c r="C537" s="49"/>
      <c r="D537" s="49"/>
    </row>
    <row r="538">
      <c r="A538" s="49"/>
      <c r="B538" s="49"/>
      <c r="C538" s="49"/>
      <c r="D538" s="49"/>
    </row>
    <row r="539">
      <c r="A539" s="49"/>
      <c r="B539" s="49"/>
      <c r="C539" s="49"/>
      <c r="D539" s="49"/>
    </row>
    <row r="540">
      <c r="A540" s="49"/>
      <c r="B540" s="49"/>
      <c r="C540" s="49"/>
      <c r="D540" s="49"/>
    </row>
    <row r="541">
      <c r="A541" s="49"/>
      <c r="B541" s="49"/>
      <c r="C541" s="49"/>
      <c r="D541" s="49"/>
    </row>
    <row r="542">
      <c r="A542" s="49"/>
      <c r="B542" s="49"/>
      <c r="C542" s="49"/>
      <c r="D542" s="49"/>
    </row>
    <row r="543">
      <c r="A543" s="49"/>
      <c r="B543" s="49"/>
      <c r="C543" s="49"/>
      <c r="D543" s="49"/>
    </row>
    <row r="544">
      <c r="A544" s="49"/>
      <c r="B544" s="49"/>
      <c r="C544" s="49"/>
      <c r="D544" s="49"/>
    </row>
    <row r="545">
      <c r="A545" s="49"/>
      <c r="B545" s="49"/>
      <c r="C545" s="49"/>
      <c r="D545" s="49"/>
    </row>
    <row r="546">
      <c r="A546" s="49"/>
      <c r="B546" s="49"/>
      <c r="C546" s="49"/>
      <c r="D546" s="49"/>
    </row>
    <row r="547">
      <c r="A547" s="49"/>
      <c r="B547" s="49"/>
      <c r="C547" s="49"/>
      <c r="D547" s="49"/>
    </row>
    <row r="548">
      <c r="A548" s="49"/>
      <c r="B548" s="49"/>
      <c r="C548" s="49"/>
      <c r="D548" s="49"/>
    </row>
    <row r="549">
      <c r="A549" s="49"/>
      <c r="B549" s="49"/>
      <c r="C549" s="49"/>
      <c r="D549" s="49"/>
    </row>
    <row r="550">
      <c r="A550" s="49"/>
      <c r="B550" s="49"/>
      <c r="C550" s="49"/>
      <c r="D550" s="49"/>
    </row>
    <row r="551">
      <c r="A551" s="49"/>
      <c r="B551" s="49"/>
      <c r="C551" s="49"/>
      <c r="D551" s="49"/>
    </row>
    <row r="552">
      <c r="A552" s="49"/>
      <c r="B552" s="49"/>
      <c r="C552" s="49"/>
      <c r="D552" s="49"/>
    </row>
    <row r="553">
      <c r="A553" s="49"/>
      <c r="B553" s="49"/>
      <c r="C553" s="49"/>
      <c r="D553" s="49"/>
    </row>
    <row r="554">
      <c r="A554" s="49"/>
      <c r="B554" s="49"/>
      <c r="C554" s="49"/>
      <c r="D554" s="49"/>
    </row>
    <row r="555">
      <c r="A555" s="49"/>
      <c r="B555" s="49"/>
      <c r="C555" s="49"/>
      <c r="D555" s="49"/>
    </row>
    <row r="556">
      <c r="A556" s="49"/>
      <c r="B556" s="49"/>
      <c r="C556" s="49"/>
      <c r="D556" s="49"/>
    </row>
    <row r="557">
      <c r="A557" s="49"/>
      <c r="B557" s="49"/>
      <c r="C557" s="49"/>
      <c r="D557" s="49"/>
    </row>
    <row r="558">
      <c r="A558" s="49"/>
      <c r="B558" s="49"/>
      <c r="C558" s="49"/>
      <c r="D558" s="49"/>
    </row>
    <row r="559">
      <c r="A559" s="49"/>
      <c r="B559" s="49"/>
      <c r="C559" s="49"/>
      <c r="D559" s="49"/>
    </row>
    <row r="560">
      <c r="A560" s="49"/>
      <c r="B560" s="49"/>
      <c r="C560" s="49"/>
      <c r="D560" s="49"/>
    </row>
    <row r="561">
      <c r="A561" s="49"/>
      <c r="B561" s="49"/>
      <c r="C561" s="49"/>
      <c r="D561" s="49"/>
    </row>
    <row r="562">
      <c r="A562" s="49"/>
      <c r="B562" s="49"/>
      <c r="C562" s="49"/>
      <c r="D562" s="49"/>
    </row>
    <row r="563">
      <c r="A563" s="49"/>
      <c r="B563" s="49"/>
      <c r="C563" s="49"/>
      <c r="D563" s="49"/>
    </row>
    <row r="564">
      <c r="A564" s="49"/>
      <c r="B564" s="49"/>
      <c r="C564" s="49"/>
      <c r="D564" s="49"/>
    </row>
    <row r="565">
      <c r="A565" s="49"/>
      <c r="B565" s="49"/>
      <c r="C565" s="49"/>
      <c r="D565" s="49"/>
    </row>
    <row r="566">
      <c r="A566" s="49"/>
      <c r="B566" s="49"/>
      <c r="C566" s="49"/>
      <c r="D566" s="49"/>
    </row>
    <row r="567">
      <c r="A567" s="49"/>
      <c r="B567" s="49"/>
      <c r="C567" s="49"/>
      <c r="D567" s="49"/>
    </row>
    <row r="568">
      <c r="A568" s="49"/>
      <c r="B568" s="49"/>
      <c r="C568" s="49"/>
      <c r="D568" s="49"/>
    </row>
    <row r="569">
      <c r="A569" s="49"/>
      <c r="B569" s="49"/>
      <c r="C569" s="49"/>
      <c r="D569" s="49"/>
    </row>
    <row r="570">
      <c r="A570" s="49"/>
      <c r="B570" s="49"/>
      <c r="C570" s="49"/>
      <c r="D570" s="49"/>
    </row>
    <row r="571">
      <c r="A571" s="49"/>
      <c r="B571" s="49"/>
      <c r="C571" s="49"/>
      <c r="D571" s="49"/>
    </row>
    <row r="572">
      <c r="A572" s="49"/>
      <c r="B572" s="49"/>
      <c r="C572" s="49"/>
      <c r="D572" s="49"/>
    </row>
    <row r="573">
      <c r="A573" s="49"/>
      <c r="B573" s="49"/>
      <c r="C573" s="49"/>
      <c r="D573" s="49"/>
    </row>
    <row r="574">
      <c r="A574" s="49"/>
      <c r="B574" s="49"/>
      <c r="C574" s="49"/>
      <c r="D574" s="49"/>
    </row>
    <row r="575">
      <c r="A575" s="49"/>
      <c r="B575" s="49"/>
      <c r="C575" s="49"/>
      <c r="D575" s="49"/>
    </row>
    <row r="576">
      <c r="A576" s="49"/>
      <c r="B576" s="49"/>
      <c r="C576" s="49"/>
      <c r="D576" s="49"/>
    </row>
    <row r="577">
      <c r="A577" s="49"/>
      <c r="B577" s="49"/>
      <c r="C577" s="49"/>
      <c r="D577" s="49"/>
    </row>
    <row r="578">
      <c r="A578" s="49"/>
      <c r="B578" s="49"/>
      <c r="C578" s="49"/>
      <c r="D578" s="49"/>
    </row>
    <row r="579">
      <c r="A579" s="49"/>
      <c r="B579" s="49"/>
      <c r="C579" s="49"/>
      <c r="D579" s="49"/>
    </row>
    <row r="580">
      <c r="A580" s="49"/>
      <c r="B580" s="49"/>
      <c r="C580" s="49"/>
      <c r="D580" s="49"/>
    </row>
    <row r="581">
      <c r="A581" s="49"/>
      <c r="B581" s="49"/>
      <c r="C581" s="49"/>
      <c r="D581" s="49"/>
    </row>
    <row r="582">
      <c r="A582" s="49"/>
      <c r="B582" s="49"/>
      <c r="C582" s="49"/>
      <c r="D582" s="49"/>
    </row>
    <row r="583">
      <c r="A583" s="49"/>
      <c r="B583" s="49"/>
      <c r="C583" s="49"/>
      <c r="D583" s="49"/>
    </row>
    <row r="584">
      <c r="A584" s="49"/>
      <c r="B584" s="49"/>
      <c r="C584" s="49"/>
      <c r="D584" s="49"/>
    </row>
    <row r="585">
      <c r="A585" s="49"/>
      <c r="B585" s="49"/>
      <c r="C585" s="49"/>
      <c r="D585" s="49"/>
    </row>
    <row r="586">
      <c r="A586" s="49"/>
      <c r="B586" s="49"/>
      <c r="C586" s="49"/>
      <c r="D586" s="49"/>
    </row>
    <row r="587">
      <c r="A587" s="49"/>
      <c r="B587" s="49"/>
      <c r="C587" s="49"/>
      <c r="D587" s="49"/>
    </row>
    <row r="588">
      <c r="A588" s="49"/>
      <c r="B588" s="49"/>
      <c r="C588" s="49"/>
      <c r="D588" s="49"/>
    </row>
    <row r="589">
      <c r="A589" s="49"/>
      <c r="B589" s="49"/>
      <c r="C589" s="49"/>
      <c r="D589" s="49"/>
    </row>
    <row r="590">
      <c r="A590" s="49"/>
      <c r="B590" s="49"/>
      <c r="C590" s="49"/>
      <c r="D590" s="49"/>
    </row>
    <row r="591">
      <c r="A591" s="49"/>
      <c r="B591" s="49"/>
      <c r="C591" s="49"/>
      <c r="D591" s="49"/>
    </row>
    <row r="592">
      <c r="A592" s="49"/>
      <c r="B592" s="49"/>
      <c r="C592" s="49"/>
      <c r="D592" s="49"/>
    </row>
    <row r="593">
      <c r="A593" s="49"/>
      <c r="B593" s="49"/>
      <c r="C593" s="49"/>
      <c r="D593" s="49"/>
    </row>
    <row r="594">
      <c r="A594" s="49"/>
      <c r="B594" s="49"/>
      <c r="C594" s="49"/>
      <c r="D594" s="49"/>
    </row>
    <row r="595">
      <c r="A595" s="49"/>
      <c r="B595" s="49"/>
      <c r="C595" s="49"/>
      <c r="D595" s="49"/>
    </row>
    <row r="596">
      <c r="A596" s="49"/>
      <c r="B596" s="49"/>
      <c r="C596" s="49"/>
      <c r="D596" s="49"/>
    </row>
    <row r="597">
      <c r="A597" s="49"/>
      <c r="B597" s="49"/>
      <c r="C597" s="49"/>
      <c r="D597" s="49"/>
    </row>
    <row r="598">
      <c r="A598" s="49"/>
      <c r="B598" s="49"/>
      <c r="C598" s="49"/>
      <c r="D598" s="49"/>
    </row>
    <row r="599">
      <c r="A599" s="49"/>
      <c r="B599" s="49"/>
      <c r="C599" s="49"/>
      <c r="D599" s="49"/>
    </row>
    <row r="600">
      <c r="A600" s="49"/>
      <c r="B600" s="49"/>
      <c r="C600" s="49"/>
      <c r="D600" s="49"/>
    </row>
    <row r="601">
      <c r="A601" s="49"/>
      <c r="B601" s="49"/>
      <c r="C601" s="49"/>
      <c r="D601" s="49"/>
    </row>
    <row r="602">
      <c r="A602" s="49"/>
      <c r="B602" s="49"/>
      <c r="C602" s="49"/>
      <c r="D602" s="49"/>
    </row>
    <row r="603">
      <c r="A603" s="49"/>
      <c r="B603" s="49"/>
      <c r="C603" s="49"/>
      <c r="D603" s="49"/>
    </row>
    <row r="604">
      <c r="A604" s="49"/>
      <c r="B604" s="49"/>
      <c r="C604" s="49"/>
      <c r="D604" s="49"/>
    </row>
    <row r="605">
      <c r="A605" s="49"/>
      <c r="B605" s="49"/>
      <c r="C605" s="49"/>
      <c r="D605" s="49"/>
    </row>
    <row r="606">
      <c r="A606" s="49"/>
      <c r="B606" s="49"/>
      <c r="C606" s="49"/>
      <c r="D606" s="49"/>
    </row>
    <row r="607">
      <c r="A607" s="49"/>
      <c r="B607" s="49"/>
      <c r="C607" s="49"/>
      <c r="D607" s="49"/>
    </row>
    <row r="608">
      <c r="A608" s="49"/>
      <c r="B608" s="49"/>
      <c r="C608" s="49"/>
      <c r="D608" s="49"/>
    </row>
    <row r="609">
      <c r="A609" s="49"/>
      <c r="B609" s="49"/>
      <c r="C609" s="49"/>
      <c r="D609" s="49"/>
    </row>
    <row r="610">
      <c r="A610" s="49"/>
      <c r="B610" s="49"/>
      <c r="C610" s="49"/>
      <c r="D610" s="49"/>
    </row>
    <row r="611">
      <c r="A611" s="49"/>
      <c r="B611" s="49"/>
      <c r="C611" s="49"/>
      <c r="D611" s="49"/>
    </row>
    <row r="612">
      <c r="A612" s="49"/>
      <c r="B612" s="49"/>
      <c r="C612" s="49"/>
      <c r="D612" s="49"/>
    </row>
    <row r="613">
      <c r="A613" s="49"/>
      <c r="B613" s="49"/>
      <c r="C613" s="49"/>
      <c r="D613" s="49"/>
    </row>
    <row r="614">
      <c r="A614" s="49"/>
      <c r="B614" s="49"/>
      <c r="C614" s="49"/>
      <c r="D614" s="49"/>
    </row>
    <row r="615">
      <c r="A615" s="49"/>
      <c r="B615" s="49"/>
      <c r="C615" s="49"/>
      <c r="D615" s="49"/>
    </row>
    <row r="616">
      <c r="A616" s="49"/>
      <c r="B616" s="49"/>
      <c r="C616" s="49"/>
      <c r="D616" s="49"/>
    </row>
    <row r="617">
      <c r="A617" s="49"/>
      <c r="B617" s="49"/>
      <c r="C617" s="49"/>
      <c r="D617" s="49"/>
    </row>
    <row r="618">
      <c r="A618" s="49"/>
      <c r="B618" s="49"/>
      <c r="C618" s="49"/>
      <c r="D618" s="49"/>
    </row>
    <row r="619">
      <c r="A619" s="49"/>
      <c r="B619" s="49"/>
      <c r="C619" s="49"/>
      <c r="D619" s="49"/>
    </row>
    <row r="620">
      <c r="A620" s="49"/>
      <c r="B620" s="49"/>
      <c r="C620" s="49"/>
      <c r="D620" s="49"/>
    </row>
    <row r="621">
      <c r="A621" s="49"/>
      <c r="B621" s="49"/>
      <c r="C621" s="49"/>
      <c r="D621" s="49"/>
    </row>
    <row r="622">
      <c r="A622" s="49"/>
      <c r="B622" s="49"/>
      <c r="C622" s="49"/>
      <c r="D622" s="49"/>
    </row>
    <row r="623">
      <c r="A623" s="49"/>
      <c r="B623" s="49"/>
      <c r="C623" s="49"/>
      <c r="D623" s="49"/>
    </row>
    <row r="624">
      <c r="A624" s="49"/>
      <c r="B624" s="49"/>
      <c r="C624" s="49"/>
      <c r="D624" s="49"/>
    </row>
    <row r="625">
      <c r="A625" s="49"/>
      <c r="B625" s="49"/>
      <c r="C625" s="49"/>
      <c r="D625" s="49"/>
    </row>
    <row r="626">
      <c r="A626" s="49"/>
      <c r="B626" s="49"/>
      <c r="C626" s="49"/>
      <c r="D626" s="49"/>
    </row>
    <row r="627">
      <c r="A627" s="49"/>
      <c r="B627" s="49"/>
      <c r="C627" s="49"/>
      <c r="D627" s="49"/>
    </row>
    <row r="628">
      <c r="A628" s="49"/>
      <c r="B628" s="49"/>
      <c r="C628" s="49"/>
      <c r="D628" s="49"/>
    </row>
    <row r="629">
      <c r="A629" s="49"/>
      <c r="B629" s="49"/>
      <c r="C629" s="49"/>
      <c r="D629" s="49"/>
    </row>
    <row r="630">
      <c r="A630" s="49"/>
      <c r="B630" s="49"/>
      <c r="C630" s="49"/>
      <c r="D630" s="49"/>
    </row>
    <row r="631">
      <c r="A631" s="49"/>
      <c r="B631" s="49"/>
      <c r="C631" s="49"/>
      <c r="D631" s="49"/>
    </row>
    <row r="632">
      <c r="A632" s="49"/>
      <c r="B632" s="49"/>
      <c r="C632" s="49"/>
      <c r="D632" s="49"/>
    </row>
    <row r="633">
      <c r="A633" s="49"/>
      <c r="B633" s="49"/>
      <c r="C633" s="49"/>
      <c r="D633" s="49"/>
    </row>
    <row r="634">
      <c r="A634" s="49"/>
      <c r="B634" s="49"/>
      <c r="C634" s="49"/>
      <c r="D634" s="49"/>
    </row>
    <row r="635">
      <c r="A635" s="49"/>
      <c r="B635" s="49"/>
      <c r="C635" s="49"/>
      <c r="D635" s="49"/>
    </row>
    <row r="636">
      <c r="A636" s="49"/>
      <c r="B636" s="49"/>
      <c r="C636" s="49"/>
      <c r="D636" s="49"/>
    </row>
    <row r="637">
      <c r="A637" s="49"/>
      <c r="B637" s="49"/>
      <c r="C637" s="49"/>
      <c r="D637" s="49"/>
    </row>
    <row r="638">
      <c r="A638" s="49"/>
      <c r="B638" s="49"/>
      <c r="C638" s="49"/>
      <c r="D638" s="49"/>
    </row>
    <row r="639">
      <c r="A639" s="49"/>
      <c r="B639" s="49"/>
      <c r="C639" s="49"/>
      <c r="D639" s="49"/>
    </row>
    <row r="640">
      <c r="A640" s="49"/>
      <c r="B640" s="49"/>
      <c r="C640" s="49"/>
      <c r="D640" s="49"/>
    </row>
    <row r="641">
      <c r="A641" s="49"/>
      <c r="B641" s="49"/>
      <c r="C641" s="49"/>
      <c r="D641" s="49"/>
    </row>
    <row r="642">
      <c r="A642" s="49"/>
      <c r="B642" s="49"/>
      <c r="C642" s="49"/>
      <c r="D642" s="49"/>
    </row>
    <row r="643">
      <c r="A643" s="49"/>
      <c r="B643" s="49"/>
      <c r="C643" s="49"/>
      <c r="D643" s="49"/>
    </row>
    <row r="644">
      <c r="A644" s="49"/>
      <c r="B644" s="49"/>
      <c r="C644" s="49"/>
      <c r="D644" s="49"/>
    </row>
    <row r="645">
      <c r="A645" s="49"/>
      <c r="B645" s="49"/>
      <c r="C645" s="49"/>
      <c r="D645" s="49"/>
    </row>
    <row r="646">
      <c r="A646" s="49"/>
      <c r="B646" s="49"/>
      <c r="C646" s="49"/>
      <c r="D646" s="49"/>
    </row>
    <row r="647">
      <c r="A647" s="49"/>
      <c r="B647" s="49"/>
      <c r="C647" s="49"/>
      <c r="D647" s="49"/>
    </row>
    <row r="648">
      <c r="A648" s="49"/>
      <c r="B648" s="49"/>
      <c r="C648" s="49"/>
      <c r="D648" s="49"/>
    </row>
    <row r="649">
      <c r="A649" s="49"/>
      <c r="B649" s="49"/>
      <c r="C649" s="49"/>
      <c r="D649" s="49"/>
    </row>
    <row r="650">
      <c r="A650" s="49"/>
      <c r="B650" s="49"/>
      <c r="C650" s="49"/>
      <c r="D650" s="49"/>
    </row>
    <row r="651">
      <c r="A651" s="49"/>
      <c r="B651" s="49"/>
      <c r="C651" s="49"/>
      <c r="D651" s="49"/>
    </row>
    <row r="652">
      <c r="A652" s="49"/>
      <c r="B652" s="49"/>
      <c r="C652" s="49"/>
      <c r="D652" s="49"/>
    </row>
    <row r="653">
      <c r="A653" s="49"/>
      <c r="B653" s="49"/>
      <c r="C653" s="49"/>
      <c r="D653" s="49"/>
    </row>
    <row r="654">
      <c r="A654" s="49"/>
      <c r="B654" s="49"/>
      <c r="C654" s="49"/>
      <c r="D654" s="49"/>
    </row>
    <row r="655">
      <c r="A655" s="49"/>
      <c r="B655" s="49"/>
      <c r="C655" s="49"/>
      <c r="D655" s="49"/>
    </row>
    <row r="656">
      <c r="A656" s="49"/>
      <c r="B656" s="49"/>
      <c r="C656" s="49"/>
      <c r="D656" s="49"/>
    </row>
    <row r="657">
      <c r="A657" s="49"/>
      <c r="B657" s="49"/>
      <c r="C657" s="49"/>
      <c r="D657" s="49"/>
    </row>
    <row r="658">
      <c r="A658" s="49"/>
      <c r="B658" s="49"/>
      <c r="C658" s="49"/>
      <c r="D658" s="49"/>
    </row>
    <row r="659">
      <c r="A659" s="49"/>
      <c r="B659" s="49"/>
      <c r="C659" s="49"/>
      <c r="D659" s="49"/>
    </row>
    <row r="660">
      <c r="A660" s="49"/>
      <c r="B660" s="49"/>
      <c r="C660" s="49"/>
      <c r="D660" s="49"/>
    </row>
    <row r="661">
      <c r="A661" s="49"/>
      <c r="B661" s="49"/>
      <c r="C661" s="49"/>
      <c r="D661" s="49"/>
    </row>
    <row r="662">
      <c r="A662" s="49"/>
      <c r="B662" s="49"/>
      <c r="C662" s="49"/>
      <c r="D662" s="49"/>
    </row>
    <row r="663">
      <c r="A663" s="49"/>
      <c r="B663" s="49"/>
      <c r="C663" s="49"/>
      <c r="D663" s="49"/>
    </row>
    <row r="664">
      <c r="A664" s="49"/>
      <c r="B664" s="49"/>
      <c r="C664" s="49"/>
      <c r="D664" s="49"/>
    </row>
    <row r="665">
      <c r="A665" s="49"/>
      <c r="B665" s="49"/>
      <c r="C665" s="49"/>
      <c r="D665" s="49"/>
    </row>
    <row r="666">
      <c r="A666" s="49"/>
      <c r="B666" s="49"/>
      <c r="C666" s="49"/>
      <c r="D666" s="49"/>
    </row>
    <row r="667">
      <c r="A667" s="49"/>
      <c r="B667" s="49"/>
      <c r="C667" s="49"/>
      <c r="D667" s="49"/>
    </row>
    <row r="668">
      <c r="A668" s="49"/>
      <c r="B668" s="49"/>
      <c r="C668" s="49"/>
      <c r="D668" s="49"/>
    </row>
    <row r="669">
      <c r="A669" s="49"/>
      <c r="B669" s="49"/>
      <c r="C669" s="49"/>
      <c r="D669" s="49"/>
    </row>
    <row r="670">
      <c r="A670" s="49"/>
      <c r="B670" s="49"/>
      <c r="C670" s="49"/>
      <c r="D670" s="49"/>
    </row>
    <row r="671">
      <c r="A671" s="49"/>
      <c r="B671" s="49"/>
      <c r="C671" s="49"/>
      <c r="D671" s="49"/>
    </row>
    <row r="672">
      <c r="A672" s="49"/>
      <c r="B672" s="49"/>
      <c r="C672" s="49"/>
      <c r="D672" s="49"/>
    </row>
    <row r="673">
      <c r="A673" s="49"/>
      <c r="B673" s="49"/>
      <c r="C673" s="49"/>
      <c r="D673" s="49"/>
    </row>
    <row r="674">
      <c r="A674" s="49"/>
      <c r="B674" s="49"/>
      <c r="C674" s="49"/>
      <c r="D674" s="49"/>
    </row>
    <row r="675">
      <c r="A675" s="49"/>
      <c r="B675" s="49"/>
      <c r="C675" s="49"/>
      <c r="D675" s="49"/>
    </row>
    <row r="676">
      <c r="A676" s="49"/>
      <c r="B676" s="49"/>
      <c r="C676" s="49"/>
      <c r="D676" s="49"/>
    </row>
    <row r="677">
      <c r="A677" s="49"/>
      <c r="B677" s="49"/>
      <c r="C677" s="49"/>
      <c r="D677" s="49"/>
    </row>
    <row r="678">
      <c r="A678" s="49"/>
      <c r="B678" s="49"/>
      <c r="C678" s="49"/>
      <c r="D678" s="49"/>
    </row>
    <row r="679">
      <c r="A679" s="49"/>
      <c r="B679" s="49"/>
      <c r="C679" s="49"/>
      <c r="D679" s="49"/>
    </row>
    <row r="680">
      <c r="A680" s="49"/>
      <c r="B680" s="49"/>
      <c r="C680" s="49"/>
      <c r="D680" s="49"/>
    </row>
    <row r="681">
      <c r="A681" s="49"/>
      <c r="B681" s="49"/>
      <c r="C681" s="49"/>
      <c r="D681" s="49"/>
    </row>
    <row r="682">
      <c r="A682" s="49"/>
      <c r="B682" s="49"/>
      <c r="C682" s="49"/>
      <c r="D682" s="49"/>
    </row>
    <row r="683">
      <c r="A683" s="49"/>
      <c r="B683" s="49"/>
      <c r="C683" s="49"/>
      <c r="D683" s="49"/>
    </row>
    <row r="684">
      <c r="A684" s="49"/>
      <c r="B684" s="49"/>
      <c r="C684" s="49"/>
      <c r="D684" s="49"/>
    </row>
    <row r="685">
      <c r="A685" s="49"/>
      <c r="B685" s="49"/>
      <c r="C685" s="49"/>
      <c r="D685" s="49"/>
    </row>
    <row r="686">
      <c r="A686" s="49"/>
      <c r="B686" s="49"/>
      <c r="C686" s="49"/>
      <c r="D686" s="49"/>
    </row>
    <row r="687">
      <c r="A687" s="49"/>
      <c r="B687" s="49"/>
      <c r="C687" s="49"/>
      <c r="D687" s="49"/>
    </row>
    <row r="688">
      <c r="A688" s="49"/>
      <c r="B688" s="49"/>
      <c r="C688" s="49"/>
      <c r="D688" s="49"/>
    </row>
    <row r="689">
      <c r="A689" s="49"/>
      <c r="B689" s="49"/>
      <c r="C689" s="49"/>
      <c r="D689" s="49"/>
    </row>
    <row r="690">
      <c r="A690" s="49"/>
      <c r="B690" s="49"/>
      <c r="C690" s="49"/>
      <c r="D690" s="49"/>
    </row>
    <row r="691">
      <c r="A691" s="49"/>
      <c r="B691" s="49"/>
      <c r="C691" s="49"/>
      <c r="D691" s="49"/>
    </row>
    <row r="692">
      <c r="A692" s="49"/>
      <c r="B692" s="49"/>
      <c r="C692" s="49"/>
      <c r="D692" s="49"/>
    </row>
    <row r="693">
      <c r="A693" s="49"/>
      <c r="B693" s="49"/>
      <c r="C693" s="49"/>
      <c r="D693" s="49"/>
    </row>
    <row r="694">
      <c r="A694" s="49"/>
      <c r="B694" s="49"/>
      <c r="C694" s="49"/>
      <c r="D694" s="49"/>
    </row>
    <row r="695">
      <c r="A695" s="49"/>
      <c r="B695" s="49"/>
      <c r="C695" s="49"/>
      <c r="D695" s="49"/>
    </row>
    <row r="696">
      <c r="A696" s="49"/>
      <c r="B696" s="49"/>
      <c r="C696" s="49"/>
      <c r="D696" s="49"/>
    </row>
    <row r="697">
      <c r="A697" s="49"/>
      <c r="B697" s="49"/>
      <c r="C697" s="49"/>
      <c r="D697" s="49"/>
    </row>
    <row r="698">
      <c r="A698" s="49"/>
      <c r="B698" s="49"/>
      <c r="C698" s="49"/>
      <c r="D698" s="49"/>
    </row>
    <row r="699">
      <c r="A699" s="49"/>
      <c r="B699" s="49"/>
      <c r="C699" s="49"/>
      <c r="D699" s="49"/>
    </row>
    <row r="700">
      <c r="A700" s="49"/>
      <c r="B700" s="49"/>
      <c r="C700" s="49"/>
      <c r="D700" s="49"/>
    </row>
    <row r="701">
      <c r="A701" s="49"/>
      <c r="B701" s="49"/>
      <c r="C701" s="49"/>
      <c r="D701" s="49"/>
    </row>
    <row r="702">
      <c r="A702" s="49"/>
      <c r="B702" s="49"/>
      <c r="C702" s="49"/>
      <c r="D702" s="49"/>
    </row>
    <row r="703">
      <c r="A703" s="49"/>
      <c r="B703" s="49"/>
      <c r="C703" s="49"/>
      <c r="D703" s="49"/>
    </row>
    <row r="704">
      <c r="A704" s="49"/>
      <c r="B704" s="49"/>
      <c r="C704" s="49"/>
      <c r="D704" s="49"/>
    </row>
    <row r="705">
      <c r="A705" s="49"/>
      <c r="B705" s="49"/>
      <c r="C705" s="49"/>
      <c r="D705" s="49"/>
    </row>
    <row r="706">
      <c r="A706" s="49"/>
      <c r="B706" s="49"/>
      <c r="C706" s="49"/>
      <c r="D706" s="49"/>
    </row>
    <row r="707">
      <c r="A707" s="49"/>
      <c r="B707" s="49"/>
      <c r="C707" s="49"/>
      <c r="D707" s="49"/>
    </row>
    <row r="708">
      <c r="A708" s="49"/>
      <c r="B708" s="49"/>
      <c r="C708" s="49"/>
      <c r="D708" s="49"/>
    </row>
    <row r="709">
      <c r="A709" s="49"/>
      <c r="B709" s="49"/>
      <c r="C709" s="49"/>
      <c r="D709" s="49"/>
    </row>
    <row r="710">
      <c r="A710" s="49"/>
      <c r="B710" s="49"/>
      <c r="C710" s="49"/>
      <c r="D710" s="49"/>
    </row>
    <row r="711">
      <c r="A711" s="49"/>
      <c r="B711" s="49"/>
      <c r="C711" s="49"/>
      <c r="D711" s="49"/>
    </row>
    <row r="712">
      <c r="A712" s="49"/>
      <c r="B712" s="49"/>
      <c r="C712" s="49"/>
      <c r="D712" s="49"/>
    </row>
    <row r="713">
      <c r="A713" s="49"/>
      <c r="B713" s="49"/>
      <c r="C713" s="49"/>
      <c r="D713" s="49"/>
    </row>
    <row r="714">
      <c r="A714" s="49"/>
      <c r="B714" s="49"/>
      <c r="C714" s="49"/>
      <c r="D714" s="49"/>
    </row>
    <row r="715">
      <c r="A715" s="49"/>
      <c r="B715" s="49"/>
      <c r="C715" s="49"/>
      <c r="D715" s="49"/>
    </row>
    <row r="716">
      <c r="A716" s="49"/>
      <c r="B716" s="49"/>
      <c r="C716" s="49"/>
      <c r="D716" s="49"/>
    </row>
    <row r="717">
      <c r="A717" s="49"/>
      <c r="B717" s="49"/>
      <c r="C717" s="49"/>
      <c r="D717" s="49"/>
    </row>
    <row r="718">
      <c r="A718" s="49"/>
      <c r="B718" s="49"/>
      <c r="C718" s="49"/>
      <c r="D718" s="49"/>
    </row>
    <row r="719">
      <c r="A719" s="49"/>
      <c r="B719" s="49"/>
      <c r="C719" s="49"/>
      <c r="D719" s="49"/>
    </row>
    <row r="720">
      <c r="A720" s="49"/>
      <c r="B720" s="49"/>
      <c r="C720" s="49"/>
      <c r="D720" s="49"/>
    </row>
    <row r="721">
      <c r="A721" s="49"/>
      <c r="B721" s="49"/>
      <c r="C721" s="49"/>
      <c r="D721" s="49"/>
    </row>
    <row r="722">
      <c r="A722" s="49"/>
      <c r="B722" s="49"/>
      <c r="C722" s="49"/>
      <c r="D722" s="49"/>
    </row>
    <row r="723">
      <c r="A723" s="49"/>
      <c r="B723" s="49"/>
      <c r="C723" s="49"/>
      <c r="D723" s="49"/>
    </row>
    <row r="724">
      <c r="A724" s="49"/>
      <c r="B724" s="49"/>
      <c r="C724" s="49"/>
      <c r="D724" s="49"/>
    </row>
    <row r="725">
      <c r="A725" s="49"/>
      <c r="B725" s="49"/>
      <c r="C725" s="49"/>
      <c r="D725" s="49"/>
    </row>
    <row r="726">
      <c r="A726" s="49"/>
      <c r="B726" s="49"/>
      <c r="C726" s="49"/>
      <c r="D726" s="49"/>
    </row>
    <row r="727">
      <c r="A727" s="49"/>
      <c r="B727" s="49"/>
      <c r="C727" s="49"/>
      <c r="D727" s="49"/>
    </row>
    <row r="728">
      <c r="A728" s="49"/>
      <c r="B728" s="49"/>
      <c r="C728" s="49"/>
      <c r="D728" s="49"/>
    </row>
    <row r="729">
      <c r="A729" s="49"/>
      <c r="B729" s="49"/>
      <c r="C729" s="49"/>
      <c r="D729" s="49"/>
    </row>
    <row r="730">
      <c r="A730" s="49"/>
      <c r="B730" s="49"/>
      <c r="C730" s="49"/>
      <c r="D730" s="49"/>
    </row>
    <row r="731">
      <c r="A731" s="49"/>
      <c r="B731" s="49"/>
      <c r="C731" s="49"/>
      <c r="D731" s="49"/>
    </row>
    <row r="732">
      <c r="A732" s="49"/>
      <c r="B732" s="49"/>
      <c r="C732" s="49"/>
      <c r="D732" s="49"/>
    </row>
    <row r="733">
      <c r="A733" s="49"/>
      <c r="B733" s="49"/>
      <c r="C733" s="49"/>
      <c r="D733" s="49"/>
    </row>
    <row r="734">
      <c r="A734" s="49"/>
      <c r="B734" s="49"/>
      <c r="C734" s="49"/>
      <c r="D734" s="49"/>
    </row>
    <row r="735">
      <c r="A735" s="49"/>
      <c r="B735" s="49"/>
      <c r="C735" s="49"/>
      <c r="D735" s="49"/>
    </row>
    <row r="736">
      <c r="A736" s="49"/>
      <c r="B736" s="49"/>
      <c r="C736" s="49"/>
      <c r="D736" s="49"/>
    </row>
    <row r="737">
      <c r="A737" s="49"/>
      <c r="B737" s="49"/>
      <c r="C737" s="49"/>
      <c r="D737" s="49"/>
    </row>
    <row r="738">
      <c r="A738" s="49"/>
      <c r="B738" s="49"/>
      <c r="C738" s="49"/>
      <c r="D738" s="49"/>
    </row>
    <row r="739">
      <c r="A739" s="49"/>
      <c r="B739" s="49"/>
      <c r="C739" s="49"/>
      <c r="D739" s="49"/>
    </row>
    <row r="740">
      <c r="A740" s="49"/>
      <c r="B740" s="49"/>
      <c r="C740" s="49"/>
      <c r="D740" s="49"/>
    </row>
    <row r="741">
      <c r="A741" s="49"/>
      <c r="B741" s="49"/>
      <c r="C741" s="49"/>
      <c r="D741" s="49"/>
    </row>
    <row r="742">
      <c r="A742" s="49"/>
      <c r="B742" s="49"/>
      <c r="C742" s="49"/>
      <c r="D742" s="49"/>
    </row>
    <row r="743">
      <c r="A743" s="49"/>
      <c r="B743" s="49"/>
      <c r="C743" s="49"/>
      <c r="D743" s="49"/>
    </row>
    <row r="744">
      <c r="A744" s="49"/>
      <c r="B744" s="49"/>
      <c r="C744" s="49"/>
      <c r="D744" s="49"/>
    </row>
    <row r="745">
      <c r="A745" s="49"/>
      <c r="B745" s="49"/>
      <c r="C745" s="49"/>
      <c r="D745" s="49"/>
    </row>
    <row r="746">
      <c r="A746" s="49"/>
      <c r="B746" s="49"/>
      <c r="C746" s="49"/>
      <c r="D746" s="49"/>
    </row>
    <row r="747">
      <c r="A747" s="49"/>
      <c r="B747" s="49"/>
      <c r="C747" s="49"/>
      <c r="D747" s="49"/>
    </row>
    <row r="748">
      <c r="A748" s="49"/>
      <c r="B748" s="49"/>
      <c r="C748" s="49"/>
      <c r="D748" s="49"/>
    </row>
    <row r="749">
      <c r="A749" s="49"/>
      <c r="B749" s="49"/>
      <c r="C749" s="49"/>
      <c r="D749" s="49"/>
    </row>
    <row r="750">
      <c r="A750" s="49"/>
      <c r="B750" s="49"/>
      <c r="C750" s="49"/>
      <c r="D750" s="49"/>
    </row>
    <row r="751">
      <c r="A751" s="49"/>
      <c r="B751" s="49"/>
      <c r="C751" s="49"/>
      <c r="D751" s="49"/>
    </row>
    <row r="752">
      <c r="A752" s="49"/>
      <c r="B752" s="49"/>
      <c r="C752" s="49"/>
      <c r="D752" s="49"/>
    </row>
    <row r="753">
      <c r="A753" s="49"/>
      <c r="B753" s="49"/>
      <c r="C753" s="49"/>
      <c r="D753" s="49"/>
    </row>
    <row r="754">
      <c r="A754" s="49"/>
      <c r="B754" s="49"/>
      <c r="C754" s="49"/>
      <c r="D754" s="49"/>
    </row>
    <row r="755">
      <c r="A755" s="49"/>
      <c r="B755" s="49"/>
      <c r="C755" s="49"/>
      <c r="D755" s="49"/>
    </row>
    <row r="756">
      <c r="A756" s="49"/>
      <c r="B756" s="49"/>
      <c r="C756" s="49"/>
      <c r="D756" s="49"/>
    </row>
    <row r="757">
      <c r="A757" s="49"/>
      <c r="B757" s="49"/>
      <c r="C757" s="49"/>
      <c r="D757" s="49"/>
    </row>
    <row r="758">
      <c r="A758" s="49"/>
      <c r="B758" s="49"/>
      <c r="C758" s="49"/>
      <c r="D758" s="49"/>
    </row>
    <row r="759">
      <c r="A759" s="49"/>
      <c r="B759" s="49"/>
      <c r="C759" s="49"/>
      <c r="D759" s="49"/>
    </row>
    <row r="760">
      <c r="A760" s="49"/>
      <c r="B760" s="49"/>
      <c r="C760" s="49"/>
      <c r="D760" s="49"/>
    </row>
    <row r="761">
      <c r="A761" s="49"/>
      <c r="B761" s="49"/>
      <c r="C761" s="49"/>
      <c r="D761" s="49"/>
    </row>
    <row r="762">
      <c r="A762" s="49"/>
      <c r="B762" s="49"/>
      <c r="C762" s="49"/>
      <c r="D762" s="49"/>
    </row>
    <row r="763">
      <c r="A763" s="49"/>
      <c r="B763" s="49"/>
      <c r="C763" s="49"/>
      <c r="D763" s="49"/>
    </row>
    <row r="764">
      <c r="A764" s="49"/>
      <c r="B764" s="49"/>
      <c r="C764" s="49"/>
      <c r="D764" s="49"/>
    </row>
    <row r="765">
      <c r="A765" s="49"/>
      <c r="B765" s="49"/>
      <c r="C765" s="49"/>
      <c r="D765" s="49"/>
    </row>
    <row r="766">
      <c r="A766" s="49"/>
      <c r="B766" s="49"/>
      <c r="C766" s="49"/>
      <c r="D766" s="49"/>
    </row>
    <row r="767">
      <c r="A767" s="49"/>
      <c r="B767" s="49"/>
      <c r="C767" s="49"/>
      <c r="D767" s="49"/>
    </row>
    <row r="768">
      <c r="A768" s="49"/>
      <c r="B768" s="49"/>
      <c r="C768" s="49"/>
      <c r="D768" s="49"/>
    </row>
    <row r="769">
      <c r="A769" s="49"/>
      <c r="B769" s="49"/>
      <c r="C769" s="49"/>
      <c r="D769" s="49"/>
    </row>
    <row r="770">
      <c r="A770" s="49"/>
      <c r="B770" s="49"/>
      <c r="C770" s="49"/>
      <c r="D770" s="49"/>
    </row>
    <row r="771">
      <c r="A771" s="49"/>
      <c r="B771" s="49"/>
      <c r="C771" s="49"/>
      <c r="D771" s="49"/>
    </row>
    <row r="772">
      <c r="A772" s="49"/>
      <c r="B772" s="49"/>
      <c r="C772" s="49"/>
      <c r="D772" s="49"/>
    </row>
    <row r="773">
      <c r="A773" s="49"/>
      <c r="B773" s="49"/>
      <c r="C773" s="49"/>
      <c r="D773" s="49"/>
    </row>
    <row r="774">
      <c r="A774" s="49"/>
      <c r="B774" s="49"/>
      <c r="C774" s="49"/>
      <c r="D774" s="49"/>
    </row>
    <row r="775">
      <c r="A775" s="49"/>
      <c r="B775" s="49"/>
      <c r="C775" s="49"/>
      <c r="D775" s="49"/>
    </row>
    <row r="776">
      <c r="A776" s="49"/>
      <c r="B776" s="49"/>
      <c r="C776" s="49"/>
      <c r="D776" s="49"/>
    </row>
    <row r="777">
      <c r="A777" s="49"/>
      <c r="B777" s="49"/>
      <c r="C777" s="49"/>
      <c r="D777" s="49"/>
    </row>
    <row r="778">
      <c r="A778" s="49"/>
      <c r="B778" s="49"/>
      <c r="C778" s="49"/>
      <c r="D778" s="49"/>
    </row>
    <row r="779">
      <c r="A779" s="49"/>
      <c r="B779" s="49"/>
      <c r="C779" s="49"/>
      <c r="D779" s="49"/>
    </row>
    <row r="780">
      <c r="A780" s="49"/>
      <c r="B780" s="49"/>
      <c r="C780" s="49"/>
      <c r="D780" s="49"/>
    </row>
    <row r="781">
      <c r="A781" s="49"/>
      <c r="B781" s="49"/>
      <c r="C781" s="49"/>
      <c r="D781" s="49"/>
    </row>
    <row r="782">
      <c r="A782" s="49"/>
      <c r="B782" s="49"/>
      <c r="C782" s="49"/>
      <c r="D782" s="49"/>
    </row>
    <row r="783">
      <c r="A783" s="49"/>
      <c r="B783" s="49"/>
      <c r="C783" s="49"/>
      <c r="D783" s="49"/>
    </row>
    <row r="784">
      <c r="A784" s="49"/>
      <c r="B784" s="49"/>
      <c r="C784" s="49"/>
      <c r="D784" s="49"/>
    </row>
    <row r="785">
      <c r="A785" s="49"/>
      <c r="B785" s="49"/>
      <c r="C785" s="49"/>
      <c r="D785" s="49"/>
    </row>
    <row r="786">
      <c r="A786" s="49"/>
      <c r="B786" s="49"/>
      <c r="C786" s="49"/>
      <c r="D786" s="49"/>
    </row>
    <row r="787">
      <c r="A787" s="49"/>
      <c r="B787" s="49"/>
      <c r="C787" s="49"/>
      <c r="D787" s="49"/>
    </row>
    <row r="788">
      <c r="A788" s="49"/>
      <c r="B788" s="49"/>
      <c r="C788" s="49"/>
      <c r="D788" s="49"/>
    </row>
    <row r="789">
      <c r="A789" s="49"/>
      <c r="B789" s="49"/>
      <c r="C789" s="49"/>
      <c r="D789" s="49"/>
    </row>
    <row r="790">
      <c r="A790" s="49"/>
      <c r="B790" s="49"/>
      <c r="C790" s="49"/>
      <c r="D790" s="49"/>
    </row>
    <row r="791">
      <c r="A791" s="49"/>
      <c r="B791" s="49"/>
      <c r="C791" s="49"/>
      <c r="D791" s="49"/>
    </row>
    <row r="792">
      <c r="A792" s="49"/>
      <c r="B792" s="49"/>
      <c r="C792" s="49"/>
      <c r="D792" s="49"/>
    </row>
    <row r="793">
      <c r="A793" s="49"/>
      <c r="B793" s="49"/>
      <c r="C793" s="49"/>
      <c r="D793" s="49"/>
    </row>
    <row r="794">
      <c r="A794" s="49"/>
      <c r="B794" s="49"/>
      <c r="C794" s="49"/>
      <c r="D794" s="49"/>
    </row>
    <row r="795">
      <c r="A795" s="49"/>
      <c r="B795" s="49"/>
      <c r="C795" s="49"/>
      <c r="D795" s="49"/>
    </row>
    <row r="796">
      <c r="A796" s="49"/>
      <c r="B796" s="49"/>
      <c r="C796" s="49"/>
      <c r="D796" s="49"/>
    </row>
    <row r="797">
      <c r="A797" s="49"/>
      <c r="B797" s="49"/>
      <c r="C797" s="49"/>
      <c r="D797" s="49"/>
    </row>
    <row r="798">
      <c r="A798" s="49"/>
      <c r="B798" s="49"/>
      <c r="C798" s="49"/>
      <c r="D798" s="49"/>
    </row>
    <row r="799">
      <c r="A799" s="49"/>
      <c r="B799" s="49"/>
      <c r="C799" s="49"/>
      <c r="D799" s="49"/>
    </row>
    <row r="800">
      <c r="A800" s="49"/>
      <c r="B800" s="49"/>
      <c r="C800" s="49"/>
      <c r="D800" s="49"/>
    </row>
    <row r="801">
      <c r="A801" s="49"/>
      <c r="B801" s="49"/>
      <c r="C801" s="49"/>
      <c r="D801" s="49"/>
    </row>
    <row r="802">
      <c r="A802" s="49"/>
      <c r="B802" s="49"/>
      <c r="C802" s="49"/>
      <c r="D802" s="49"/>
    </row>
    <row r="803">
      <c r="A803" s="49"/>
      <c r="B803" s="49"/>
      <c r="C803" s="49"/>
      <c r="D803" s="49"/>
    </row>
    <row r="804">
      <c r="A804" s="49"/>
      <c r="B804" s="49"/>
      <c r="C804" s="49"/>
      <c r="D804" s="49"/>
    </row>
    <row r="805">
      <c r="A805" s="49"/>
      <c r="B805" s="49"/>
      <c r="C805" s="49"/>
      <c r="D805" s="49"/>
    </row>
    <row r="806">
      <c r="A806" s="49"/>
      <c r="B806" s="49"/>
      <c r="C806" s="49"/>
      <c r="D806" s="49"/>
    </row>
    <row r="807">
      <c r="A807" s="49"/>
      <c r="B807" s="49"/>
      <c r="C807" s="49"/>
      <c r="D807" s="49"/>
    </row>
    <row r="808">
      <c r="A808" s="49"/>
      <c r="B808" s="49"/>
      <c r="C808" s="49"/>
      <c r="D808" s="49"/>
    </row>
    <row r="809">
      <c r="A809" s="49"/>
      <c r="B809" s="49"/>
      <c r="C809" s="49"/>
      <c r="D809" s="49"/>
    </row>
    <row r="810">
      <c r="A810" s="49"/>
      <c r="B810" s="49"/>
      <c r="C810" s="49"/>
      <c r="D810" s="49"/>
    </row>
    <row r="811">
      <c r="A811" s="49"/>
      <c r="B811" s="49"/>
      <c r="C811" s="49"/>
      <c r="D811" s="49"/>
    </row>
    <row r="812">
      <c r="A812" s="49"/>
      <c r="B812" s="49"/>
      <c r="C812" s="49"/>
      <c r="D812" s="49"/>
    </row>
    <row r="813">
      <c r="A813" s="49"/>
      <c r="B813" s="49"/>
      <c r="C813" s="49"/>
      <c r="D813" s="49"/>
    </row>
    <row r="814">
      <c r="A814" s="49"/>
      <c r="B814" s="49"/>
      <c r="C814" s="49"/>
      <c r="D814" s="49"/>
    </row>
    <row r="815">
      <c r="A815" s="49"/>
      <c r="B815" s="49"/>
      <c r="C815" s="49"/>
      <c r="D815" s="49"/>
    </row>
    <row r="816">
      <c r="A816" s="49"/>
      <c r="B816" s="49"/>
      <c r="C816" s="49"/>
      <c r="D816" s="49"/>
    </row>
    <row r="817">
      <c r="A817" s="49"/>
      <c r="B817" s="49"/>
      <c r="C817" s="49"/>
      <c r="D817" s="49"/>
    </row>
    <row r="818">
      <c r="A818" s="49"/>
      <c r="B818" s="49"/>
      <c r="C818" s="49"/>
      <c r="D818" s="49"/>
    </row>
    <row r="819">
      <c r="A819" s="49"/>
      <c r="B819" s="49"/>
      <c r="C819" s="49"/>
      <c r="D819" s="49"/>
    </row>
    <row r="820">
      <c r="A820" s="49"/>
      <c r="B820" s="49"/>
      <c r="C820" s="49"/>
      <c r="D820" s="49"/>
    </row>
    <row r="821">
      <c r="A821" s="49"/>
      <c r="B821" s="49"/>
      <c r="C821" s="49"/>
      <c r="D821" s="49"/>
    </row>
    <row r="822">
      <c r="A822" s="49"/>
      <c r="B822" s="49"/>
      <c r="C822" s="49"/>
      <c r="D822" s="49"/>
    </row>
    <row r="823">
      <c r="A823" s="49"/>
      <c r="B823" s="49"/>
      <c r="C823" s="49"/>
      <c r="D823" s="49"/>
    </row>
    <row r="824">
      <c r="A824" s="49"/>
      <c r="B824" s="49"/>
      <c r="C824" s="49"/>
      <c r="D824" s="49"/>
    </row>
    <row r="825">
      <c r="A825" s="49"/>
      <c r="B825" s="49"/>
      <c r="C825" s="49"/>
      <c r="D825" s="49"/>
    </row>
    <row r="826">
      <c r="A826" s="49"/>
      <c r="B826" s="49"/>
      <c r="C826" s="49"/>
      <c r="D826" s="49"/>
    </row>
    <row r="827">
      <c r="A827" s="49"/>
      <c r="B827" s="49"/>
      <c r="C827" s="49"/>
      <c r="D827" s="49"/>
    </row>
    <row r="828">
      <c r="A828" s="49"/>
      <c r="B828" s="49"/>
      <c r="C828" s="49"/>
      <c r="D828" s="49"/>
    </row>
    <row r="829">
      <c r="A829" s="49"/>
      <c r="B829" s="49"/>
      <c r="C829" s="49"/>
      <c r="D829" s="49"/>
    </row>
    <row r="830">
      <c r="A830" s="49"/>
      <c r="B830" s="49"/>
      <c r="C830" s="49"/>
      <c r="D830" s="49"/>
    </row>
    <row r="831">
      <c r="A831" s="49"/>
      <c r="B831" s="49"/>
      <c r="C831" s="49"/>
      <c r="D831" s="49"/>
    </row>
    <row r="832">
      <c r="A832" s="49"/>
      <c r="B832" s="49"/>
      <c r="C832" s="49"/>
      <c r="D832" s="49"/>
    </row>
    <row r="833">
      <c r="A833" s="49"/>
      <c r="B833" s="49"/>
      <c r="C833" s="49"/>
      <c r="D833" s="49"/>
    </row>
    <row r="834">
      <c r="A834" s="49"/>
      <c r="B834" s="49"/>
      <c r="C834" s="49"/>
      <c r="D834" s="49"/>
    </row>
    <row r="835">
      <c r="A835" s="49"/>
      <c r="B835" s="49"/>
      <c r="C835" s="49"/>
      <c r="D835" s="49"/>
    </row>
    <row r="836">
      <c r="A836" s="49"/>
      <c r="B836" s="49"/>
      <c r="C836" s="49"/>
      <c r="D836" s="49"/>
    </row>
    <row r="837">
      <c r="A837" s="49"/>
      <c r="B837" s="49"/>
      <c r="C837" s="49"/>
      <c r="D837" s="49"/>
    </row>
    <row r="838">
      <c r="A838" s="49"/>
      <c r="B838" s="49"/>
      <c r="C838" s="49"/>
      <c r="D838" s="49"/>
    </row>
    <row r="839">
      <c r="A839" s="49"/>
      <c r="B839" s="49"/>
      <c r="C839" s="49"/>
      <c r="D839" s="49"/>
    </row>
    <row r="840">
      <c r="A840" s="49"/>
      <c r="B840" s="49"/>
      <c r="C840" s="49"/>
      <c r="D840" s="49"/>
    </row>
    <row r="841">
      <c r="A841" s="49"/>
      <c r="B841" s="49"/>
      <c r="C841" s="49"/>
      <c r="D841" s="49"/>
    </row>
    <row r="842">
      <c r="A842" s="49"/>
      <c r="B842" s="49"/>
      <c r="C842" s="49"/>
      <c r="D842" s="49"/>
    </row>
    <row r="843">
      <c r="A843" s="49"/>
      <c r="B843" s="49"/>
      <c r="C843" s="49"/>
      <c r="D843" s="49"/>
    </row>
    <row r="844">
      <c r="A844" s="49"/>
      <c r="B844" s="49"/>
      <c r="C844" s="49"/>
      <c r="D844" s="49"/>
    </row>
    <row r="845">
      <c r="A845" s="49"/>
      <c r="B845" s="49"/>
      <c r="C845" s="49"/>
      <c r="D845" s="49"/>
    </row>
    <row r="846">
      <c r="A846" s="49"/>
      <c r="B846" s="49"/>
      <c r="C846" s="49"/>
      <c r="D846" s="49"/>
    </row>
    <row r="847">
      <c r="A847" s="49"/>
      <c r="B847" s="49"/>
      <c r="C847" s="49"/>
      <c r="D847" s="49"/>
    </row>
    <row r="848">
      <c r="A848" s="49"/>
      <c r="B848" s="49"/>
      <c r="C848" s="49"/>
      <c r="D848" s="49"/>
    </row>
    <row r="849">
      <c r="A849" s="49"/>
      <c r="B849" s="49"/>
      <c r="C849" s="49"/>
      <c r="D849" s="49"/>
    </row>
    <row r="850">
      <c r="A850" s="49"/>
      <c r="B850" s="49"/>
      <c r="C850" s="49"/>
      <c r="D850" s="49"/>
    </row>
    <row r="851">
      <c r="A851" s="49"/>
      <c r="B851" s="49"/>
      <c r="C851" s="49"/>
      <c r="D851" s="49"/>
    </row>
    <row r="852">
      <c r="A852" s="49"/>
      <c r="B852" s="49"/>
      <c r="C852" s="49"/>
      <c r="D852" s="49"/>
    </row>
    <row r="853">
      <c r="A853" s="49"/>
      <c r="B853" s="49"/>
      <c r="C853" s="49"/>
      <c r="D853" s="49"/>
    </row>
    <row r="854">
      <c r="A854" s="49"/>
      <c r="B854" s="49"/>
      <c r="C854" s="49"/>
      <c r="D854" s="49"/>
    </row>
    <row r="855">
      <c r="A855" s="49"/>
      <c r="B855" s="49"/>
      <c r="C855" s="49"/>
      <c r="D855" s="49"/>
    </row>
    <row r="856">
      <c r="A856" s="49"/>
      <c r="B856" s="49"/>
      <c r="C856" s="49"/>
      <c r="D856" s="49"/>
    </row>
    <row r="857">
      <c r="A857" s="49"/>
      <c r="B857" s="49"/>
      <c r="C857" s="49"/>
      <c r="D857" s="49"/>
    </row>
    <row r="858">
      <c r="A858" s="49"/>
      <c r="B858" s="49"/>
      <c r="C858" s="49"/>
      <c r="D858" s="49"/>
    </row>
    <row r="859">
      <c r="A859" s="49"/>
      <c r="B859" s="49"/>
      <c r="C859" s="49"/>
      <c r="D859" s="49"/>
    </row>
    <row r="860">
      <c r="A860" s="49"/>
      <c r="B860" s="49"/>
      <c r="C860" s="49"/>
      <c r="D860" s="49"/>
    </row>
    <row r="861">
      <c r="A861" s="49"/>
      <c r="B861" s="49"/>
      <c r="C861" s="49"/>
      <c r="D861" s="49"/>
    </row>
    <row r="862">
      <c r="A862" s="49"/>
      <c r="B862" s="49"/>
      <c r="C862" s="49"/>
      <c r="D862" s="49"/>
    </row>
    <row r="863">
      <c r="A863" s="49"/>
      <c r="B863" s="49"/>
      <c r="C863" s="49"/>
      <c r="D863" s="49"/>
    </row>
    <row r="864">
      <c r="A864" s="49"/>
      <c r="B864" s="49"/>
      <c r="C864" s="49"/>
      <c r="D864" s="49"/>
    </row>
    <row r="865">
      <c r="A865" s="49"/>
      <c r="B865" s="49"/>
      <c r="C865" s="49"/>
      <c r="D865" s="49"/>
    </row>
    <row r="866">
      <c r="A866" s="49"/>
      <c r="B866" s="49"/>
      <c r="C866" s="49"/>
      <c r="D866" s="49"/>
    </row>
    <row r="867">
      <c r="A867" s="49"/>
      <c r="B867" s="49"/>
      <c r="C867" s="49"/>
      <c r="D867" s="49"/>
    </row>
    <row r="868">
      <c r="A868" s="49"/>
      <c r="B868" s="49"/>
      <c r="C868" s="49"/>
      <c r="D868" s="49"/>
    </row>
    <row r="869">
      <c r="A869" s="49"/>
      <c r="B869" s="49"/>
      <c r="C869" s="49"/>
      <c r="D869" s="49"/>
    </row>
    <row r="870">
      <c r="A870" s="49"/>
      <c r="B870" s="49"/>
      <c r="C870" s="49"/>
      <c r="D870" s="49"/>
    </row>
    <row r="871">
      <c r="A871" s="49"/>
      <c r="B871" s="49"/>
      <c r="C871" s="49"/>
      <c r="D871" s="49"/>
    </row>
    <row r="872">
      <c r="A872" s="49"/>
      <c r="B872" s="49"/>
      <c r="C872" s="49"/>
      <c r="D872" s="49"/>
    </row>
    <row r="873">
      <c r="A873" s="49"/>
      <c r="B873" s="49"/>
      <c r="C873" s="49"/>
      <c r="D873" s="49"/>
    </row>
    <row r="874">
      <c r="A874" s="49"/>
      <c r="B874" s="49"/>
      <c r="C874" s="49"/>
      <c r="D874" s="49"/>
    </row>
    <row r="875">
      <c r="A875" s="49"/>
      <c r="B875" s="49"/>
      <c r="C875" s="49"/>
      <c r="D875" s="49"/>
    </row>
    <row r="876">
      <c r="A876" s="49"/>
      <c r="B876" s="49"/>
      <c r="C876" s="49"/>
      <c r="D876" s="49"/>
    </row>
    <row r="877">
      <c r="A877" s="49"/>
      <c r="B877" s="49"/>
      <c r="C877" s="49"/>
      <c r="D877" s="49"/>
    </row>
    <row r="878">
      <c r="A878" s="49"/>
      <c r="B878" s="49"/>
      <c r="C878" s="49"/>
      <c r="D878" s="49"/>
    </row>
    <row r="879">
      <c r="A879" s="49"/>
      <c r="B879" s="49"/>
      <c r="C879" s="49"/>
      <c r="D879" s="49"/>
    </row>
    <row r="880">
      <c r="A880" s="49"/>
      <c r="B880" s="49"/>
      <c r="C880" s="49"/>
      <c r="D880" s="49"/>
    </row>
    <row r="881">
      <c r="A881" s="49"/>
      <c r="B881" s="49"/>
      <c r="C881" s="49"/>
      <c r="D881" s="49"/>
    </row>
    <row r="882">
      <c r="A882" s="49"/>
      <c r="B882" s="49"/>
      <c r="C882" s="49"/>
      <c r="D882" s="49"/>
    </row>
    <row r="883">
      <c r="A883" s="49"/>
      <c r="B883" s="49"/>
      <c r="C883" s="49"/>
      <c r="D883" s="49"/>
    </row>
    <row r="884">
      <c r="A884" s="49"/>
      <c r="B884" s="49"/>
      <c r="C884" s="49"/>
      <c r="D884" s="49"/>
    </row>
    <row r="885">
      <c r="A885" s="49"/>
      <c r="B885" s="49"/>
      <c r="C885" s="49"/>
      <c r="D885" s="49"/>
    </row>
    <row r="886">
      <c r="A886" s="49"/>
      <c r="B886" s="49"/>
      <c r="C886" s="49"/>
      <c r="D886" s="49"/>
    </row>
    <row r="887">
      <c r="A887" s="49"/>
      <c r="B887" s="49"/>
      <c r="C887" s="49"/>
      <c r="D887" s="49"/>
    </row>
    <row r="888">
      <c r="A888" s="49"/>
      <c r="B888" s="49"/>
      <c r="C888" s="49"/>
      <c r="D888" s="49"/>
    </row>
    <row r="889">
      <c r="A889" s="49"/>
      <c r="B889" s="49"/>
      <c r="C889" s="49"/>
      <c r="D889" s="49"/>
    </row>
    <row r="890">
      <c r="A890" s="49"/>
      <c r="B890" s="49"/>
      <c r="C890" s="49"/>
      <c r="D890" s="49"/>
    </row>
    <row r="891">
      <c r="A891" s="49"/>
      <c r="B891" s="49"/>
      <c r="C891" s="49"/>
      <c r="D891" s="49"/>
    </row>
    <row r="892">
      <c r="A892" s="49"/>
      <c r="B892" s="49"/>
      <c r="C892" s="49"/>
      <c r="D892" s="49"/>
    </row>
    <row r="893">
      <c r="A893" s="49"/>
      <c r="B893" s="49"/>
      <c r="C893" s="49"/>
      <c r="D893" s="49"/>
    </row>
    <row r="894">
      <c r="A894" s="49"/>
      <c r="B894" s="49"/>
      <c r="C894" s="49"/>
      <c r="D894" s="49"/>
    </row>
    <row r="895">
      <c r="A895" s="49"/>
      <c r="B895" s="49"/>
      <c r="C895" s="49"/>
      <c r="D895" s="49"/>
    </row>
    <row r="896">
      <c r="A896" s="49"/>
      <c r="B896" s="49"/>
      <c r="C896" s="49"/>
      <c r="D896" s="49"/>
    </row>
    <row r="897">
      <c r="A897" s="49"/>
      <c r="B897" s="49"/>
      <c r="C897" s="49"/>
      <c r="D897" s="49"/>
    </row>
    <row r="898">
      <c r="A898" s="49"/>
      <c r="B898" s="49"/>
      <c r="C898" s="49"/>
      <c r="D898" s="49"/>
    </row>
    <row r="899">
      <c r="A899" s="49"/>
      <c r="B899" s="49"/>
      <c r="C899" s="49"/>
      <c r="D899" s="49"/>
    </row>
    <row r="900">
      <c r="A900" s="49"/>
      <c r="B900" s="49"/>
      <c r="C900" s="49"/>
      <c r="D900" s="49"/>
    </row>
    <row r="901">
      <c r="A901" s="49"/>
      <c r="B901" s="49"/>
      <c r="C901" s="49"/>
      <c r="D901" s="49"/>
    </row>
    <row r="902">
      <c r="A902" s="49"/>
      <c r="B902" s="49"/>
      <c r="C902" s="49"/>
      <c r="D902" s="49"/>
    </row>
    <row r="903">
      <c r="A903" s="49"/>
      <c r="B903" s="49"/>
      <c r="C903" s="49"/>
      <c r="D903" s="49"/>
    </row>
    <row r="904">
      <c r="A904" s="49"/>
      <c r="B904" s="49"/>
      <c r="C904" s="49"/>
      <c r="D904" s="49"/>
    </row>
    <row r="905">
      <c r="A905" s="49"/>
      <c r="B905" s="49"/>
      <c r="C905" s="49"/>
      <c r="D905" s="49"/>
    </row>
    <row r="906">
      <c r="A906" s="49"/>
      <c r="B906" s="49"/>
      <c r="C906" s="49"/>
      <c r="D906" s="49"/>
    </row>
    <row r="907">
      <c r="A907" s="49"/>
      <c r="B907" s="49"/>
      <c r="C907" s="49"/>
      <c r="D907" s="49"/>
    </row>
    <row r="908">
      <c r="A908" s="49"/>
      <c r="B908" s="49"/>
      <c r="C908" s="49"/>
      <c r="D908" s="49"/>
    </row>
    <row r="909">
      <c r="A909" s="49"/>
      <c r="B909" s="49"/>
      <c r="C909" s="49"/>
      <c r="D909" s="49"/>
    </row>
    <row r="910">
      <c r="A910" s="49"/>
      <c r="B910" s="49"/>
      <c r="C910" s="49"/>
      <c r="D910" s="49"/>
    </row>
    <row r="911">
      <c r="A911" s="49"/>
      <c r="B911" s="49"/>
      <c r="C911" s="49"/>
      <c r="D911" s="49"/>
    </row>
    <row r="912">
      <c r="A912" s="49"/>
      <c r="B912" s="49"/>
      <c r="C912" s="49"/>
      <c r="D912" s="49"/>
    </row>
    <row r="913">
      <c r="A913" s="49"/>
      <c r="B913" s="49"/>
      <c r="C913" s="49"/>
      <c r="D913" s="49"/>
    </row>
    <row r="914">
      <c r="A914" s="49"/>
      <c r="B914" s="49"/>
      <c r="C914" s="49"/>
      <c r="D914" s="49"/>
    </row>
    <row r="915">
      <c r="A915" s="49"/>
      <c r="B915" s="49"/>
      <c r="C915" s="49"/>
      <c r="D915" s="49"/>
    </row>
    <row r="916">
      <c r="A916" s="49"/>
      <c r="B916" s="49"/>
      <c r="C916" s="49"/>
      <c r="D916" s="49"/>
    </row>
    <row r="917">
      <c r="A917" s="49"/>
      <c r="B917" s="49"/>
      <c r="C917" s="49"/>
      <c r="D917" s="49"/>
    </row>
    <row r="918">
      <c r="A918" s="49"/>
      <c r="B918" s="49"/>
      <c r="C918" s="49"/>
      <c r="D918" s="49"/>
    </row>
    <row r="919">
      <c r="A919" s="49"/>
      <c r="B919" s="49"/>
      <c r="C919" s="49"/>
      <c r="D919" s="49"/>
    </row>
    <row r="920">
      <c r="A920" s="49"/>
      <c r="B920" s="49"/>
      <c r="C920" s="49"/>
      <c r="D920" s="49"/>
    </row>
    <row r="921">
      <c r="A921" s="49"/>
      <c r="B921" s="49"/>
      <c r="C921" s="49"/>
      <c r="D921" s="49"/>
    </row>
    <row r="922">
      <c r="A922" s="49"/>
      <c r="B922" s="49"/>
      <c r="C922" s="49"/>
      <c r="D922" s="49"/>
    </row>
    <row r="923">
      <c r="A923" s="49"/>
      <c r="B923" s="49"/>
      <c r="C923" s="49"/>
      <c r="D923" s="49"/>
    </row>
    <row r="924">
      <c r="A924" s="49"/>
      <c r="B924" s="49"/>
      <c r="C924" s="49"/>
      <c r="D924" s="49"/>
    </row>
    <row r="925">
      <c r="A925" s="49"/>
      <c r="B925" s="49"/>
      <c r="C925" s="49"/>
      <c r="D925" s="49"/>
    </row>
    <row r="926">
      <c r="A926" s="49"/>
      <c r="B926" s="49"/>
      <c r="C926" s="49"/>
      <c r="D926" s="49"/>
    </row>
    <row r="927">
      <c r="A927" s="49"/>
      <c r="B927" s="49"/>
      <c r="C927" s="49"/>
      <c r="D927" s="49"/>
    </row>
    <row r="928">
      <c r="A928" s="49"/>
      <c r="B928" s="49"/>
      <c r="C928" s="49"/>
      <c r="D928" s="49"/>
    </row>
    <row r="929">
      <c r="A929" s="49"/>
      <c r="B929" s="49"/>
      <c r="C929" s="49"/>
      <c r="D929" s="49"/>
    </row>
    <row r="930">
      <c r="A930" s="49"/>
      <c r="B930" s="49"/>
      <c r="C930" s="49"/>
      <c r="D930" s="49"/>
    </row>
    <row r="931">
      <c r="A931" s="49"/>
      <c r="B931" s="49"/>
      <c r="C931" s="49"/>
      <c r="D931" s="49"/>
    </row>
    <row r="932">
      <c r="A932" s="49"/>
      <c r="B932" s="49"/>
      <c r="C932" s="49"/>
      <c r="D932" s="49"/>
    </row>
    <row r="933">
      <c r="A933" s="49"/>
      <c r="B933" s="49"/>
      <c r="C933" s="49"/>
      <c r="D933" s="49"/>
    </row>
    <row r="934">
      <c r="A934" s="49"/>
      <c r="B934" s="49"/>
      <c r="C934" s="49"/>
      <c r="D934" s="49"/>
    </row>
    <row r="935">
      <c r="A935" s="49"/>
      <c r="B935" s="49"/>
      <c r="C935" s="49"/>
      <c r="D935" s="49"/>
    </row>
    <row r="936">
      <c r="A936" s="49"/>
      <c r="B936" s="49"/>
      <c r="C936" s="49"/>
      <c r="D936" s="49"/>
    </row>
    <row r="937">
      <c r="A937" s="49"/>
      <c r="B937" s="49"/>
      <c r="C937" s="49"/>
      <c r="D937" s="49"/>
    </row>
    <row r="938">
      <c r="A938" s="49"/>
      <c r="B938" s="49"/>
      <c r="C938" s="49"/>
      <c r="D938" s="49"/>
    </row>
    <row r="939">
      <c r="A939" s="49"/>
      <c r="B939" s="49"/>
      <c r="C939" s="49"/>
      <c r="D939" s="49"/>
    </row>
    <row r="940">
      <c r="A940" s="49"/>
      <c r="B940" s="49"/>
      <c r="C940" s="49"/>
      <c r="D940" s="49"/>
    </row>
    <row r="941">
      <c r="A941" s="49"/>
      <c r="B941" s="49"/>
      <c r="C941" s="49"/>
      <c r="D941" s="49"/>
    </row>
    <row r="942">
      <c r="A942" s="49"/>
      <c r="B942" s="49"/>
      <c r="C942" s="49"/>
      <c r="D942" s="49"/>
    </row>
    <row r="943">
      <c r="A943" s="49"/>
      <c r="B943" s="49"/>
      <c r="C943" s="49"/>
      <c r="D943" s="49"/>
    </row>
    <row r="944">
      <c r="A944" s="49"/>
      <c r="B944" s="49"/>
      <c r="C944" s="49"/>
      <c r="D944" s="49"/>
    </row>
    <row r="945">
      <c r="A945" s="49"/>
      <c r="B945" s="49"/>
      <c r="C945" s="49"/>
      <c r="D945" s="49"/>
    </row>
    <row r="946">
      <c r="A946" s="49"/>
      <c r="B946" s="49"/>
      <c r="C946" s="49"/>
      <c r="D946" s="49"/>
    </row>
    <row r="947">
      <c r="A947" s="49"/>
      <c r="B947" s="49"/>
      <c r="C947" s="49"/>
      <c r="D947" s="49"/>
    </row>
    <row r="948">
      <c r="A948" s="49"/>
      <c r="B948" s="49"/>
      <c r="C948" s="49"/>
      <c r="D948" s="49"/>
    </row>
    <row r="949">
      <c r="A949" s="49"/>
      <c r="B949" s="49"/>
      <c r="C949" s="49"/>
      <c r="D949" s="49"/>
    </row>
    <row r="950">
      <c r="A950" s="49"/>
      <c r="B950" s="49"/>
      <c r="C950" s="49"/>
      <c r="D950" s="49"/>
    </row>
    <row r="951">
      <c r="A951" s="49"/>
      <c r="B951" s="49"/>
      <c r="C951" s="49"/>
      <c r="D951" s="49"/>
    </row>
    <row r="952">
      <c r="A952" s="49"/>
      <c r="B952" s="49"/>
      <c r="C952" s="49"/>
      <c r="D952" s="49"/>
    </row>
    <row r="953">
      <c r="A953" s="49"/>
      <c r="B953" s="49"/>
      <c r="C953" s="49"/>
      <c r="D953" s="49"/>
    </row>
    <row r="954">
      <c r="A954" s="49"/>
      <c r="B954" s="49"/>
      <c r="C954" s="49"/>
      <c r="D954" s="49"/>
    </row>
    <row r="955">
      <c r="A955" s="49"/>
      <c r="B955" s="49"/>
      <c r="C955" s="49"/>
      <c r="D955" s="49"/>
    </row>
    <row r="956">
      <c r="A956" s="49"/>
      <c r="B956" s="49"/>
      <c r="C956" s="49"/>
      <c r="D956" s="49"/>
    </row>
    <row r="957">
      <c r="A957" s="49"/>
      <c r="B957" s="49"/>
      <c r="C957" s="49"/>
      <c r="D957" s="49"/>
    </row>
    <row r="958">
      <c r="A958" s="49"/>
      <c r="B958" s="49"/>
      <c r="C958" s="49"/>
      <c r="D958" s="49"/>
    </row>
    <row r="959">
      <c r="A959" s="49"/>
      <c r="B959" s="49"/>
      <c r="C959" s="49"/>
      <c r="D959" s="49"/>
    </row>
    <row r="960">
      <c r="A960" s="49"/>
      <c r="B960" s="49"/>
      <c r="C960" s="49"/>
      <c r="D960" s="49"/>
    </row>
    <row r="961">
      <c r="A961" s="49"/>
      <c r="B961" s="49"/>
      <c r="C961" s="49"/>
      <c r="D961" s="49"/>
    </row>
    <row r="962">
      <c r="A962" s="49"/>
      <c r="B962" s="49"/>
      <c r="C962" s="49"/>
      <c r="D962" s="49"/>
    </row>
    <row r="963">
      <c r="A963" s="49"/>
      <c r="B963" s="49"/>
      <c r="C963" s="49"/>
      <c r="D963" s="49"/>
    </row>
    <row r="964">
      <c r="A964" s="49"/>
      <c r="B964" s="49"/>
      <c r="C964" s="49"/>
      <c r="D964" s="49"/>
    </row>
    <row r="965">
      <c r="A965" s="49"/>
      <c r="B965" s="49"/>
      <c r="C965" s="49"/>
      <c r="D965" s="49"/>
    </row>
    <row r="966">
      <c r="A966" s="49"/>
      <c r="B966" s="49"/>
      <c r="C966" s="49"/>
      <c r="D966" s="49"/>
    </row>
    <row r="967">
      <c r="A967" s="49"/>
      <c r="B967" s="49"/>
      <c r="C967" s="49"/>
      <c r="D967" s="49"/>
    </row>
    <row r="968">
      <c r="A968" s="49"/>
      <c r="B968" s="49"/>
      <c r="C968" s="49"/>
      <c r="D968" s="49"/>
    </row>
    <row r="969">
      <c r="A969" s="49"/>
      <c r="B969" s="49"/>
      <c r="C969" s="49"/>
      <c r="D969" s="49"/>
    </row>
    <row r="970">
      <c r="A970" s="49"/>
      <c r="B970" s="49"/>
      <c r="C970" s="49"/>
      <c r="D970" s="49"/>
    </row>
    <row r="971">
      <c r="A971" s="49"/>
      <c r="B971" s="49"/>
      <c r="C971" s="49"/>
      <c r="D971" s="49"/>
    </row>
    <row r="972">
      <c r="A972" s="49"/>
      <c r="B972" s="49"/>
      <c r="C972" s="49"/>
      <c r="D972" s="49"/>
    </row>
    <row r="973">
      <c r="A973" s="49"/>
      <c r="B973" s="49"/>
      <c r="C973" s="49"/>
      <c r="D973" s="49"/>
    </row>
    <row r="974">
      <c r="A974" s="49"/>
      <c r="B974" s="49"/>
      <c r="C974" s="49"/>
      <c r="D974" s="49"/>
    </row>
    <row r="975">
      <c r="A975" s="49"/>
      <c r="B975" s="49"/>
      <c r="C975" s="49"/>
      <c r="D975" s="49"/>
    </row>
    <row r="976">
      <c r="A976" s="49"/>
      <c r="B976" s="49"/>
      <c r="C976" s="49"/>
      <c r="D976" s="49"/>
    </row>
    <row r="977">
      <c r="A977" s="49"/>
      <c r="B977" s="49"/>
      <c r="C977" s="49"/>
      <c r="D977" s="49"/>
    </row>
    <row r="978">
      <c r="A978" s="49"/>
      <c r="B978" s="49"/>
      <c r="C978" s="49"/>
      <c r="D978" s="49"/>
    </row>
    <row r="979">
      <c r="A979" s="49"/>
      <c r="B979" s="49"/>
      <c r="C979" s="49"/>
      <c r="D979" s="49"/>
    </row>
    <row r="980">
      <c r="A980" s="49"/>
      <c r="B980" s="49"/>
      <c r="C980" s="49"/>
      <c r="D980" s="49"/>
    </row>
    <row r="981">
      <c r="A981" s="49"/>
      <c r="B981" s="49"/>
      <c r="C981" s="49"/>
      <c r="D981" s="49"/>
    </row>
    <row r="982">
      <c r="A982" s="49"/>
      <c r="B982" s="49"/>
      <c r="C982" s="49"/>
      <c r="D982" s="49"/>
    </row>
    <row r="983">
      <c r="A983" s="49"/>
      <c r="B983" s="49"/>
      <c r="C983" s="49"/>
      <c r="D983" s="49"/>
    </row>
    <row r="984">
      <c r="A984" s="49"/>
      <c r="B984" s="49"/>
      <c r="C984" s="49"/>
      <c r="D984" s="49"/>
    </row>
    <row r="985">
      <c r="A985" s="49"/>
      <c r="B985" s="49"/>
      <c r="C985" s="49"/>
      <c r="D985" s="49"/>
    </row>
    <row r="986">
      <c r="A986" s="49"/>
      <c r="B986" s="49"/>
      <c r="C986" s="49"/>
      <c r="D986" s="49"/>
    </row>
    <row r="987">
      <c r="A987" s="49"/>
      <c r="B987" s="49"/>
      <c r="C987" s="49"/>
      <c r="D987" s="49"/>
    </row>
    <row r="988">
      <c r="A988" s="49"/>
      <c r="B988" s="49"/>
      <c r="C988" s="49"/>
      <c r="D988" s="49"/>
    </row>
    <row r="989">
      <c r="A989" s="49"/>
      <c r="B989" s="49"/>
      <c r="C989" s="49"/>
      <c r="D989" s="49"/>
    </row>
    <row r="990">
      <c r="A990" s="49"/>
      <c r="B990" s="49"/>
      <c r="C990" s="49"/>
      <c r="D990" s="49"/>
    </row>
    <row r="991">
      <c r="A991" s="49"/>
      <c r="B991" s="49"/>
      <c r="C991" s="49"/>
      <c r="D991" s="49"/>
    </row>
    <row r="992">
      <c r="A992" s="49"/>
      <c r="B992" s="49"/>
      <c r="C992" s="49"/>
      <c r="D992" s="49"/>
    </row>
    <row r="993">
      <c r="A993" s="49"/>
      <c r="B993" s="49"/>
      <c r="C993" s="49"/>
      <c r="D993" s="49"/>
    </row>
    <row r="994">
      <c r="A994" s="49"/>
      <c r="B994" s="49"/>
      <c r="C994" s="49"/>
      <c r="D994" s="49"/>
    </row>
    <row r="995">
      <c r="A995" s="49"/>
      <c r="B995" s="49"/>
      <c r="C995" s="49"/>
      <c r="D995" s="49"/>
    </row>
    <row r="996">
      <c r="A996" s="49"/>
      <c r="B996" s="49"/>
      <c r="C996" s="49"/>
      <c r="D996" s="49"/>
    </row>
    <row r="997">
      <c r="A997" s="49"/>
      <c r="B997" s="49"/>
      <c r="C997" s="49"/>
      <c r="D997" s="49"/>
    </row>
    <row r="998">
      <c r="A998" s="49"/>
      <c r="B998" s="49"/>
      <c r="C998" s="49"/>
      <c r="D998" s="49"/>
    </row>
    <row r="999">
      <c r="A999" s="49"/>
      <c r="B999" s="49"/>
      <c r="C999" s="49"/>
      <c r="D999" s="49"/>
    </row>
    <row r="1000">
      <c r="A1000" s="49"/>
      <c r="B1000" s="49"/>
      <c r="C1000" s="49"/>
      <c r="D1000" s="49"/>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s>
  <sheetData>
    <row r="1">
      <c r="A1" s="49" t="str">
        <f>IFERROR(__xludf.DUMMYFUNCTION("IMPORTRANGE(""https://docs.google.com/spreadsheets/d/""&amp;Config!B4,""NotorietyCombined!A:AX"")"),"Character")</f>
        <v>Character</v>
      </c>
      <c r="B1" s="49" t="str">
        <f>IFERROR(__xludf.DUMMYFUNCTION("""COMPUTED_VALUE"""),"Title")</f>
        <v>Title</v>
      </c>
      <c r="C1" s="49" t="str">
        <f>IFERROR(__xludf.DUMMYFUNCTION("""COMPUTED_VALUE"""),"Description")</f>
        <v>Description</v>
      </c>
      <c r="D1" s="49" t="str">
        <f>IFERROR(__xludf.DUMMYFUNCTION("""COMPUTED_VALUE"""),"Good/Bad")</f>
        <v>Good/Bad</v>
      </c>
      <c r="E1" s="106" t="str">
        <f>IFERROR(__xludf.DUMMYFUNCTION("""COMPUTED_VALUE"""),"Bounty")</f>
        <v>Bounty</v>
      </c>
      <c r="F1" s="49" t="str">
        <f>IFERROR(__xludf.DUMMYFUNCTION("""COMPUTED_VALUE"""),"Town")</f>
        <v>Town</v>
      </c>
      <c r="G1" s="49" t="str">
        <f>IFERROR(__xludf.DUMMYFUNCTION("""COMPUTED_VALUE"""),"Person")</f>
        <v>Person</v>
      </c>
      <c r="H1" s="49"/>
      <c r="I1" s="49"/>
      <c r="J1" s="49"/>
      <c r="K1" s="49"/>
      <c r="L1" s="49"/>
      <c r="M1" s="49"/>
      <c r="N1" s="49"/>
      <c r="O1" s="49"/>
      <c r="P1" s="49"/>
      <c r="Q1" s="49"/>
      <c r="R1" s="49"/>
      <c r="S1" s="49"/>
      <c r="T1" s="49"/>
      <c r="U1" s="49"/>
      <c r="V1" s="49"/>
      <c r="W1" s="49"/>
      <c r="X1" s="49"/>
      <c r="Y1" s="49"/>
      <c r="Z1" s="49"/>
    </row>
    <row r="2">
      <c r="A2" s="49" t="str">
        <f>IFERROR(__xludf.DUMMYFUNCTION("""COMPUTED_VALUE"""),"""mittenz""")</f>
        <v>"mittenz"</v>
      </c>
      <c r="B2" s="49" t="str">
        <f>IFERROR(__xludf.DUMMYFUNCTION("""COMPUTED_VALUE"""),"Guardian of Nature's Balance")</f>
        <v>Guardian of Nature's Balance</v>
      </c>
      <c r="C2" s="49" t="str">
        <f>IFERROR(__xludf.DUMMYFUNCTION("""COMPUTED_VALUE"""),"A protector of the natural world, this individual is recognized for their efforts in preserving ecosystems and ensuring the balance between civilization and nature. They are often seen as a steward of the environment.")</f>
        <v>A protector of the natural world, this individual is recognized for their efforts in preserving ecosystems and ensuring the balance between civilization and nature. They are often seen as a steward of the environment.</v>
      </c>
      <c r="D2" s="49" t="str">
        <f>IFERROR(__xludf.DUMMYFUNCTION("""COMPUTED_VALUE"""),"Good")</f>
        <v>Good</v>
      </c>
      <c r="E2" s="106">
        <f>IFERROR(__xludf.DUMMYFUNCTION("""COMPUTED_VALUE"""),0.0)</f>
        <v>0</v>
      </c>
      <c r="F2" s="49"/>
      <c r="G2" s="49"/>
      <c r="H2" s="49"/>
      <c r="I2" s="49"/>
      <c r="J2" s="49"/>
      <c r="K2" s="49"/>
      <c r="L2" s="49"/>
      <c r="M2" s="49"/>
      <c r="N2" s="49"/>
      <c r="O2" s="49"/>
      <c r="P2" s="49"/>
      <c r="Q2" s="49"/>
      <c r="R2" s="49"/>
      <c r="S2" s="49"/>
      <c r="T2" s="49"/>
      <c r="U2" s="49"/>
      <c r="V2" s="49"/>
      <c r="W2" s="49"/>
      <c r="X2" s="49"/>
      <c r="Y2" s="49"/>
      <c r="Z2" s="49"/>
    </row>
    <row r="3">
      <c r="A3" s="49" t="str">
        <f>IFERROR(__xludf.DUMMYFUNCTION("""COMPUTED_VALUE"""),"""Pedro Pascel""")</f>
        <v>"Pedro Pascel"</v>
      </c>
      <c r="B3" s="49" t="str">
        <f>IFERROR(__xludf.DUMMYFUNCTION("""COMPUTED_VALUE"""),"Bourgeoisie Home Owner")</f>
        <v>Bourgeoisie Home Owner</v>
      </c>
      <c r="C3" s="49" t="str">
        <f>IFERROR(__xludf.DUMMYFUNCTION("""COMPUTED_VALUE"""),"Bought a house or shop worth at least 1,000,000,000 Gilders")</f>
        <v>Bought a house or shop worth at least 1,000,000,000 Gilders</v>
      </c>
      <c r="D3" s="49" t="str">
        <f>IFERROR(__xludf.DUMMYFUNCTION("""COMPUTED_VALUE"""),"Good")</f>
        <v>Good</v>
      </c>
      <c r="E3" s="106">
        <f>IFERROR(__xludf.DUMMYFUNCTION("""COMPUTED_VALUE"""),0.0)</f>
        <v>0</v>
      </c>
      <c r="F3" s="49"/>
      <c r="G3" s="49"/>
      <c r="H3" s="49"/>
      <c r="I3" s="49"/>
      <c r="J3" s="49"/>
      <c r="K3" s="49"/>
      <c r="L3" s="49"/>
      <c r="M3" s="49"/>
      <c r="N3" s="49"/>
      <c r="O3" s="49"/>
      <c r="P3" s="49"/>
      <c r="Q3" s="49"/>
      <c r="R3" s="49"/>
      <c r="S3" s="49"/>
      <c r="T3" s="49"/>
      <c r="U3" s="49"/>
      <c r="V3" s="49"/>
      <c r="W3" s="49"/>
      <c r="X3" s="49"/>
      <c r="Y3" s="49"/>
      <c r="Z3" s="49"/>
    </row>
    <row r="4">
      <c r="A4" s="49" t="str">
        <f>IFERROR(__xludf.DUMMYFUNCTION("""COMPUTED_VALUE"""),"""Pedro Pascel""")</f>
        <v>"Pedro Pascel"</v>
      </c>
      <c r="B4" s="49" t="str">
        <f>IFERROR(__xludf.DUMMYFUNCTION("""COMPUTED_VALUE"""),"Detective Lanford's Gratitude")</f>
        <v>Detective Lanford's Gratitude</v>
      </c>
      <c r="C4" s="49"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4" s="49" t="str">
        <f>IFERROR(__xludf.DUMMYFUNCTION("""COMPUTED_VALUE"""),"Good")</f>
        <v>Good</v>
      </c>
      <c r="E4" s="106">
        <f>IFERROR(__xludf.DUMMYFUNCTION("""COMPUTED_VALUE"""),0.0)</f>
        <v>0</v>
      </c>
      <c r="F4" s="49" t="str">
        <f>IFERROR(__xludf.DUMMYFUNCTION("""COMPUTED_VALUE"""),"Mekana")</f>
        <v>Mekana</v>
      </c>
      <c r="G4" s="49" t="str">
        <f>IFERROR(__xludf.DUMMYFUNCTION("""COMPUTED_VALUE"""),"Detective Lanford")</f>
        <v>Detective Lanford</v>
      </c>
      <c r="H4" s="49"/>
      <c r="I4" s="49"/>
      <c r="J4" s="49"/>
      <c r="K4" s="49"/>
      <c r="L4" s="49"/>
      <c r="M4" s="49"/>
      <c r="N4" s="49"/>
      <c r="O4" s="49"/>
      <c r="P4" s="49"/>
      <c r="Q4" s="49"/>
      <c r="R4" s="49"/>
      <c r="S4" s="49"/>
      <c r="T4" s="49"/>
      <c r="U4" s="49"/>
      <c r="V4" s="49"/>
      <c r="W4" s="49"/>
      <c r="X4" s="49"/>
      <c r="Y4" s="49"/>
      <c r="Z4" s="49"/>
    </row>
    <row r="5">
      <c r="A5" s="49" t="str">
        <f>IFERROR(__xludf.DUMMYFUNCTION("""COMPUTED_VALUE"""),"""Mephistopheles""")</f>
        <v>"Mephistopheles"</v>
      </c>
      <c r="B5" s="49" t="str">
        <f>IFERROR(__xludf.DUMMYFUNCTION("""COMPUTED_VALUE"""),"Detective Lanford's Gratitude")</f>
        <v>Detective Lanford's Gratitude</v>
      </c>
      <c r="C5" s="49"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5" s="49" t="str">
        <f>IFERROR(__xludf.DUMMYFUNCTION("""COMPUTED_VALUE"""),"Good")</f>
        <v>Good</v>
      </c>
      <c r="E5" s="106">
        <f>IFERROR(__xludf.DUMMYFUNCTION("""COMPUTED_VALUE"""),0.0)</f>
        <v>0</v>
      </c>
      <c r="F5" s="49" t="str">
        <f>IFERROR(__xludf.DUMMYFUNCTION("""COMPUTED_VALUE"""),"Mekana")</f>
        <v>Mekana</v>
      </c>
      <c r="G5" s="49" t="str">
        <f>IFERROR(__xludf.DUMMYFUNCTION("""COMPUTED_VALUE"""),"Detective Lanford")</f>
        <v>Detective Lanford</v>
      </c>
      <c r="H5" s="49"/>
      <c r="I5" s="49"/>
      <c r="J5" s="49"/>
      <c r="K5" s="49"/>
      <c r="L5" s="49"/>
      <c r="M5" s="49"/>
      <c r="N5" s="49"/>
      <c r="O5" s="49"/>
      <c r="P5" s="49"/>
      <c r="Q5" s="49"/>
      <c r="R5" s="49"/>
      <c r="S5" s="49"/>
      <c r="T5" s="49"/>
      <c r="U5" s="49"/>
      <c r="V5" s="49"/>
      <c r="W5" s="49"/>
      <c r="X5" s="49"/>
      <c r="Y5" s="49"/>
      <c r="Z5" s="49"/>
    </row>
    <row r="6">
      <c r="A6" s="49" t="str">
        <f>IFERROR(__xludf.DUMMYFUNCTION("""COMPUTED_VALUE"""),"""Adriana""")</f>
        <v>"Adriana"</v>
      </c>
      <c r="B6" s="49" t="str">
        <f>IFERROR(__xludf.DUMMYFUNCTION("""COMPUTED_VALUE"""),"Detective Lanford's Gratitude")</f>
        <v>Detective Lanford's Gratitude</v>
      </c>
      <c r="C6" s="49"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6" s="49" t="str">
        <f>IFERROR(__xludf.DUMMYFUNCTION("""COMPUTED_VALUE"""),"Good")</f>
        <v>Good</v>
      </c>
      <c r="E6" s="106">
        <f>IFERROR(__xludf.DUMMYFUNCTION("""COMPUTED_VALUE"""),0.0)</f>
        <v>0</v>
      </c>
      <c r="F6" s="49" t="str">
        <f>IFERROR(__xludf.DUMMYFUNCTION("""COMPUTED_VALUE"""),"Mekana")</f>
        <v>Mekana</v>
      </c>
      <c r="G6" s="49" t="str">
        <f>IFERROR(__xludf.DUMMYFUNCTION("""COMPUTED_VALUE"""),"Detective Lanford")</f>
        <v>Detective Lanford</v>
      </c>
      <c r="H6" s="49"/>
      <c r="I6" s="49"/>
      <c r="J6" s="49"/>
      <c r="K6" s="49"/>
      <c r="L6" s="49"/>
      <c r="M6" s="49"/>
      <c r="N6" s="49"/>
      <c r="O6" s="49"/>
      <c r="P6" s="49"/>
      <c r="Q6" s="49"/>
      <c r="R6" s="49"/>
      <c r="S6" s="49"/>
      <c r="T6" s="49"/>
      <c r="U6" s="49"/>
      <c r="V6" s="49"/>
      <c r="W6" s="49"/>
      <c r="X6" s="49"/>
      <c r="Y6" s="49"/>
      <c r="Z6" s="49"/>
    </row>
    <row r="7">
      <c r="A7" s="49" t="str">
        <f>IFERROR(__xludf.DUMMYFUNCTION("""COMPUTED_VALUE"""),"""Dreadful Roger The lll""")</f>
        <v>"Dreadful Roger The lll"</v>
      </c>
      <c r="B7" s="49" t="str">
        <f>IFERROR(__xludf.DUMMYFUNCTION("""COMPUTED_VALUE"""),"Detective Lanford's Gratitude")</f>
        <v>Detective Lanford's Gratitude</v>
      </c>
      <c r="C7" s="49"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7" s="49" t="str">
        <f>IFERROR(__xludf.DUMMYFUNCTION("""COMPUTED_VALUE"""),"Good")</f>
        <v>Good</v>
      </c>
      <c r="E7" s="106">
        <f>IFERROR(__xludf.DUMMYFUNCTION("""COMPUTED_VALUE"""),0.0)</f>
        <v>0</v>
      </c>
      <c r="F7" s="49" t="str">
        <f>IFERROR(__xludf.DUMMYFUNCTION("""COMPUTED_VALUE"""),"Mekana")</f>
        <v>Mekana</v>
      </c>
      <c r="G7" s="49" t="str">
        <f>IFERROR(__xludf.DUMMYFUNCTION("""COMPUTED_VALUE"""),"Detective Lanford")</f>
        <v>Detective Lanford</v>
      </c>
      <c r="H7" s="49"/>
      <c r="I7" s="49"/>
      <c r="J7" s="49"/>
      <c r="K7" s="49"/>
      <c r="L7" s="49"/>
      <c r="M7" s="49"/>
      <c r="N7" s="49"/>
      <c r="O7" s="49"/>
      <c r="P7" s="49"/>
      <c r="Q7" s="49"/>
      <c r="R7" s="49"/>
      <c r="S7" s="49"/>
      <c r="T7" s="49"/>
      <c r="U7" s="49"/>
      <c r="V7" s="49"/>
      <c r="W7" s="49"/>
      <c r="X7" s="49"/>
      <c r="Y7" s="49"/>
      <c r="Z7" s="49"/>
    </row>
    <row r="8">
      <c r="A8" s="49" t="str">
        <f>IFERROR(__xludf.DUMMYFUNCTION("""COMPUTED_VALUE"""),"""Jinx II""")</f>
        <v>"Jinx II"</v>
      </c>
      <c r="B8" s="49" t="str">
        <f>IFERROR(__xludf.DUMMYFUNCTION("""COMPUTED_VALUE"""),"Dragonia's Gratitude")</f>
        <v>Dragonia's Gratitude</v>
      </c>
      <c r="C8" s="49"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8" s="49" t="str">
        <f>IFERROR(__xludf.DUMMYFUNCTION("""COMPUTED_VALUE"""),"Good")</f>
        <v>Good</v>
      </c>
      <c r="E8" s="106">
        <f>IFERROR(__xludf.DUMMYFUNCTION("""COMPUTED_VALUE"""),0.0)</f>
        <v>0</v>
      </c>
      <c r="F8" s="49" t="str">
        <f>IFERROR(__xludf.DUMMYFUNCTION("""COMPUTED_VALUE"""),"The Grand City of Dragonia")</f>
        <v>The Grand City of Dragonia</v>
      </c>
      <c r="G8" s="49" t="str">
        <f>IFERROR(__xludf.DUMMYFUNCTION("""COMPUTED_VALUE"""),"The Grand City of Dragonia Council")</f>
        <v>The Grand City of Dragonia Council</v>
      </c>
      <c r="H8" s="49"/>
      <c r="I8" s="49"/>
      <c r="J8" s="49"/>
      <c r="K8" s="49"/>
      <c r="L8" s="49"/>
      <c r="M8" s="49"/>
      <c r="N8" s="49"/>
      <c r="O8" s="49"/>
      <c r="P8" s="49"/>
      <c r="Q8" s="49"/>
      <c r="R8" s="49"/>
      <c r="S8" s="49"/>
      <c r="T8" s="49"/>
      <c r="U8" s="49"/>
      <c r="V8" s="49"/>
      <c r="W8" s="49"/>
      <c r="X8" s="49"/>
      <c r="Y8" s="49"/>
      <c r="Z8" s="49"/>
    </row>
    <row r="9">
      <c r="A9" s="49" t="str">
        <f>IFERROR(__xludf.DUMMYFUNCTION("""COMPUTED_VALUE"""),"""Guinevere Buchanon""")</f>
        <v>"Guinevere Buchanon"</v>
      </c>
      <c r="B9" s="49" t="str">
        <f>IFERROR(__xludf.DUMMYFUNCTION("""COMPUTED_VALUE"""),"Dragonia's Gratitude")</f>
        <v>Dragonia's Gratitude</v>
      </c>
      <c r="C9" s="49"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9" s="49" t="str">
        <f>IFERROR(__xludf.DUMMYFUNCTION("""COMPUTED_VALUE"""),"Good")</f>
        <v>Good</v>
      </c>
      <c r="E9" s="106">
        <f>IFERROR(__xludf.DUMMYFUNCTION("""COMPUTED_VALUE"""),0.0)</f>
        <v>0</v>
      </c>
      <c r="F9" s="49" t="str">
        <f>IFERROR(__xludf.DUMMYFUNCTION("""COMPUTED_VALUE"""),"The Grand City of Dragonia")</f>
        <v>The Grand City of Dragonia</v>
      </c>
      <c r="G9" s="49" t="str">
        <f>IFERROR(__xludf.DUMMYFUNCTION("""COMPUTED_VALUE"""),"The Grand City of Dragonia Council")</f>
        <v>The Grand City of Dragonia Council</v>
      </c>
      <c r="H9" s="49"/>
      <c r="I9" s="49"/>
      <c r="J9" s="49"/>
      <c r="K9" s="49"/>
      <c r="L9" s="49"/>
      <c r="M9" s="49"/>
      <c r="N9" s="49"/>
      <c r="O9" s="49"/>
      <c r="P9" s="49"/>
      <c r="Q9" s="49"/>
      <c r="R9" s="49"/>
      <c r="S9" s="49"/>
      <c r="T9" s="49"/>
      <c r="U9" s="49"/>
      <c r="V9" s="49"/>
      <c r="W9" s="49"/>
      <c r="X9" s="49"/>
      <c r="Y9" s="49"/>
      <c r="Z9" s="49"/>
    </row>
    <row r="10">
      <c r="A10" s="49" t="str">
        <f>IFERROR(__xludf.DUMMYFUNCTION("""COMPUTED_VALUE"""),"""Dreadful Roger The lll""")</f>
        <v>"Dreadful Roger The lll"</v>
      </c>
      <c r="B10" s="49" t="str">
        <f>IFERROR(__xludf.DUMMYFUNCTION("""COMPUTED_VALUE"""),"Dragonia's Gratitude")</f>
        <v>Dragonia's Gratitude</v>
      </c>
      <c r="C10" s="49"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10" s="49" t="str">
        <f>IFERROR(__xludf.DUMMYFUNCTION("""COMPUTED_VALUE"""),"Good")</f>
        <v>Good</v>
      </c>
      <c r="E10" s="106">
        <f>IFERROR(__xludf.DUMMYFUNCTION("""COMPUTED_VALUE"""),0.0)</f>
        <v>0</v>
      </c>
      <c r="F10" s="49" t="str">
        <f>IFERROR(__xludf.DUMMYFUNCTION("""COMPUTED_VALUE"""),"The Grand City of Dragonia")</f>
        <v>The Grand City of Dragonia</v>
      </c>
      <c r="G10" s="49" t="str">
        <f>IFERROR(__xludf.DUMMYFUNCTION("""COMPUTED_VALUE"""),"The Grand City of Dragonia Council")</f>
        <v>The Grand City of Dragonia Council</v>
      </c>
      <c r="H10" s="49"/>
      <c r="I10" s="49"/>
      <c r="J10" s="49"/>
      <c r="K10" s="49"/>
      <c r="L10" s="49"/>
      <c r="M10" s="49"/>
      <c r="N10" s="49"/>
      <c r="O10" s="49"/>
      <c r="P10" s="49"/>
      <c r="Q10" s="49"/>
      <c r="R10" s="49"/>
      <c r="S10" s="49"/>
      <c r="T10" s="49"/>
      <c r="U10" s="49"/>
      <c r="V10" s="49"/>
      <c r="W10" s="49"/>
      <c r="X10" s="49"/>
      <c r="Y10" s="49"/>
      <c r="Z10" s="49"/>
    </row>
    <row r="11">
      <c r="A11" s="49"/>
      <c r="B11" s="49"/>
      <c r="C11" s="49"/>
      <c r="D11" s="49"/>
      <c r="E11" s="106"/>
      <c r="F11" s="49"/>
      <c r="G11" s="49"/>
      <c r="H11" s="49"/>
      <c r="I11" s="49"/>
      <c r="J11" s="49"/>
      <c r="K11" s="49"/>
      <c r="L11" s="49"/>
      <c r="M11" s="49"/>
      <c r="N11" s="49"/>
      <c r="O11" s="49"/>
      <c r="P11" s="49"/>
      <c r="Q11" s="49"/>
      <c r="R11" s="49"/>
      <c r="S11" s="49"/>
      <c r="T11" s="49"/>
      <c r="U11" s="49"/>
      <c r="V11" s="49"/>
      <c r="W11" s="49"/>
      <c r="X11" s="49"/>
      <c r="Y11" s="49"/>
      <c r="Z11" s="49"/>
    </row>
    <row r="12">
      <c r="A12" s="49"/>
      <c r="B12" s="49"/>
      <c r="C12" s="49"/>
      <c r="D12" s="49"/>
      <c r="E12" s="106"/>
      <c r="F12" s="49"/>
      <c r="G12" s="49"/>
      <c r="H12" s="49"/>
      <c r="I12" s="49"/>
      <c r="J12" s="49"/>
      <c r="K12" s="49"/>
      <c r="L12" s="49"/>
      <c r="M12" s="49"/>
      <c r="N12" s="49"/>
      <c r="O12" s="49"/>
      <c r="P12" s="49"/>
      <c r="Q12" s="49"/>
      <c r="R12" s="49"/>
      <c r="S12" s="49"/>
      <c r="T12" s="49"/>
      <c r="U12" s="49"/>
      <c r="V12" s="49"/>
      <c r="W12" s="49"/>
      <c r="X12" s="49"/>
      <c r="Y12" s="49"/>
      <c r="Z12" s="49"/>
    </row>
    <row r="13">
      <c r="A13" s="49"/>
      <c r="B13" s="49"/>
      <c r="C13" s="49"/>
      <c r="D13" s="49"/>
      <c r="E13" s="106"/>
      <c r="F13" s="49"/>
      <c r="G13" s="49"/>
      <c r="H13" s="49"/>
      <c r="I13" s="49"/>
      <c r="J13" s="49"/>
      <c r="K13" s="49"/>
      <c r="L13" s="49"/>
      <c r="M13" s="49"/>
      <c r="N13" s="49"/>
      <c r="O13" s="49"/>
      <c r="P13" s="49"/>
      <c r="Q13" s="49"/>
      <c r="R13" s="49"/>
      <c r="S13" s="49"/>
      <c r="T13" s="49"/>
      <c r="U13" s="49"/>
      <c r="V13" s="49"/>
      <c r="W13" s="49"/>
      <c r="X13" s="49"/>
      <c r="Y13" s="49"/>
      <c r="Z13" s="49"/>
    </row>
    <row r="14">
      <c r="A14" s="49"/>
      <c r="B14" s="49"/>
      <c r="C14" s="49"/>
      <c r="D14" s="49"/>
      <c r="E14" s="106"/>
      <c r="F14" s="49"/>
      <c r="G14" s="49"/>
      <c r="H14" s="49"/>
      <c r="I14" s="49"/>
      <c r="J14" s="49"/>
      <c r="K14" s="49"/>
      <c r="L14" s="49"/>
      <c r="M14" s="49"/>
      <c r="N14" s="49"/>
      <c r="O14" s="49"/>
      <c r="P14" s="49"/>
      <c r="Q14" s="49"/>
      <c r="R14" s="49"/>
      <c r="S14" s="49"/>
      <c r="T14" s="49"/>
      <c r="U14" s="49"/>
      <c r="V14" s="49"/>
      <c r="W14" s="49"/>
      <c r="X14" s="49"/>
      <c r="Y14" s="49"/>
      <c r="Z14" s="49"/>
    </row>
    <row r="15">
      <c r="A15" s="49"/>
      <c r="B15" s="49"/>
      <c r="C15" s="49"/>
      <c r="D15" s="49"/>
      <c r="E15" s="106"/>
      <c r="F15" s="49"/>
      <c r="G15" s="49"/>
      <c r="H15" s="49"/>
      <c r="I15" s="49"/>
      <c r="J15" s="49"/>
      <c r="K15" s="49"/>
      <c r="L15" s="49"/>
      <c r="M15" s="49"/>
      <c r="N15" s="49"/>
      <c r="O15" s="49"/>
      <c r="P15" s="49"/>
      <c r="Q15" s="49"/>
      <c r="R15" s="49"/>
      <c r="S15" s="49"/>
      <c r="T15" s="49"/>
      <c r="U15" s="49"/>
      <c r="V15" s="49"/>
      <c r="W15" s="49"/>
      <c r="X15" s="49"/>
      <c r="Y15" s="49"/>
      <c r="Z15" s="49"/>
    </row>
    <row r="16">
      <c r="A16" s="49"/>
      <c r="B16" s="49"/>
      <c r="C16" s="49"/>
      <c r="D16" s="49"/>
      <c r="E16" s="106"/>
      <c r="F16" s="49"/>
      <c r="G16" s="49"/>
      <c r="H16" s="49"/>
      <c r="I16" s="49"/>
      <c r="J16" s="49"/>
      <c r="K16" s="49"/>
      <c r="L16" s="49"/>
      <c r="M16" s="49"/>
      <c r="N16" s="49"/>
      <c r="O16" s="49"/>
      <c r="P16" s="49"/>
      <c r="Q16" s="49"/>
      <c r="R16" s="49"/>
      <c r="S16" s="49"/>
      <c r="T16" s="49"/>
      <c r="U16" s="49"/>
      <c r="V16" s="49"/>
      <c r="W16" s="49"/>
      <c r="X16" s="49"/>
      <c r="Y16" s="49"/>
      <c r="Z16" s="49"/>
    </row>
    <row r="17">
      <c r="A17" s="49"/>
      <c r="B17" s="49"/>
      <c r="C17" s="49"/>
      <c r="D17" s="49"/>
      <c r="E17" s="106"/>
      <c r="F17" s="49"/>
      <c r="G17" s="49"/>
      <c r="H17" s="49"/>
      <c r="I17" s="49"/>
      <c r="J17" s="49"/>
      <c r="K17" s="49"/>
      <c r="L17" s="49"/>
      <c r="M17" s="49"/>
      <c r="N17" s="49"/>
      <c r="O17" s="49"/>
      <c r="P17" s="49"/>
      <c r="Q17" s="49"/>
      <c r="R17" s="49"/>
      <c r="S17" s="49"/>
      <c r="T17" s="49"/>
      <c r="U17" s="49"/>
      <c r="V17" s="49"/>
      <c r="W17" s="49"/>
      <c r="X17" s="49"/>
      <c r="Y17" s="49"/>
      <c r="Z17" s="49"/>
    </row>
    <row r="18">
      <c r="A18" s="49"/>
      <c r="B18" s="49"/>
      <c r="C18" s="49"/>
      <c r="D18" s="49"/>
      <c r="E18" s="106"/>
      <c r="F18" s="49"/>
      <c r="G18" s="49"/>
      <c r="H18" s="49"/>
      <c r="I18" s="49"/>
      <c r="J18" s="49"/>
      <c r="K18" s="49"/>
      <c r="L18" s="49"/>
      <c r="M18" s="49"/>
      <c r="N18" s="49"/>
      <c r="O18" s="49"/>
      <c r="P18" s="49"/>
      <c r="Q18" s="49"/>
      <c r="R18" s="49"/>
      <c r="S18" s="49"/>
      <c r="T18" s="49"/>
      <c r="U18" s="49"/>
      <c r="V18" s="49"/>
      <c r="W18" s="49"/>
      <c r="X18" s="49"/>
      <c r="Y18" s="49"/>
      <c r="Z18" s="49"/>
    </row>
    <row r="19">
      <c r="A19" s="49"/>
      <c r="B19" s="49"/>
      <c r="C19" s="49"/>
      <c r="D19" s="49"/>
      <c r="E19" s="106"/>
      <c r="F19" s="49"/>
      <c r="G19" s="49"/>
      <c r="H19" s="49"/>
      <c r="I19" s="49"/>
      <c r="J19" s="49"/>
      <c r="K19" s="49"/>
      <c r="L19" s="49"/>
      <c r="M19" s="49"/>
      <c r="N19" s="49"/>
      <c r="O19" s="49"/>
      <c r="P19" s="49"/>
      <c r="Q19" s="49"/>
      <c r="R19" s="49"/>
      <c r="S19" s="49"/>
      <c r="T19" s="49"/>
      <c r="U19" s="49"/>
      <c r="V19" s="49"/>
      <c r="W19" s="49"/>
      <c r="X19" s="49"/>
      <c r="Y19" s="49"/>
      <c r="Z19" s="49"/>
    </row>
    <row r="20">
      <c r="A20" s="49"/>
      <c r="B20" s="49"/>
      <c r="C20" s="49"/>
      <c r="D20" s="49"/>
      <c r="E20" s="106"/>
      <c r="F20" s="49"/>
      <c r="G20" s="49"/>
      <c r="H20" s="49"/>
      <c r="I20" s="49"/>
      <c r="J20" s="49"/>
      <c r="K20" s="49"/>
      <c r="L20" s="49"/>
      <c r="M20" s="49"/>
      <c r="N20" s="49"/>
      <c r="O20" s="49"/>
      <c r="P20" s="49"/>
      <c r="Q20" s="49"/>
      <c r="R20" s="49"/>
      <c r="S20" s="49"/>
      <c r="T20" s="49"/>
      <c r="U20" s="49"/>
      <c r="V20" s="49"/>
      <c r="W20" s="49"/>
      <c r="X20" s="49"/>
      <c r="Y20" s="49"/>
      <c r="Z20" s="49"/>
    </row>
    <row r="21">
      <c r="A21" s="49"/>
      <c r="B21" s="49"/>
      <c r="C21" s="49"/>
      <c r="D21" s="49"/>
      <c r="E21" s="106"/>
      <c r="F21" s="49"/>
      <c r="G21" s="49"/>
      <c r="H21" s="49"/>
      <c r="I21" s="49"/>
      <c r="J21" s="49"/>
      <c r="K21" s="49"/>
      <c r="L21" s="49"/>
      <c r="M21" s="49"/>
      <c r="N21" s="49"/>
      <c r="O21" s="49"/>
      <c r="P21" s="49"/>
      <c r="Q21" s="49"/>
      <c r="R21" s="49"/>
      <c r="S21" s="49"/>
      <c r="T21" s="49"/>
      <c r="U21" s="49"/>
      <c r="V21" s="49"/>
      <c r="W21" s="49"/>
      <c r="X21" s="49"/>
      <c r="Y21" s="49"/>
      <c r="Z21" s="49"/>
    </row>
    <row r="22">
      <c r="A22" s="49"/>
      <c r="B22" s="49"/>
      <c r="C22" s="49"/>
      <c r="D22" s="49"/>
      <c r="E22" s="106"/>
      <c r="F22" s="49"/>
      <c r="G22" s="49"/>
      <c r="H22" s="49"/>
      <c r="I22" s="49"/>
      <c r="J22" s="49"/>
      <c r="K22" s="49"/>
      <c r="L22" s="49"/>
      <c r="M22" s="49"/>
      <c r="N22" s="49"/>
      <c r="O22" s="49"/>
      <c r="P22" s="49"/>
      <c r="Q22" s="49"/>
      <c r="R22" s="49"/>
      <c r="S22" s="49"/>
      <c r="T22" s="49"/>
      <c r="U22" s="49"/>
      <c r="V22" s="49"/>
      <c r="W22" s="49"/>
      <c r="X22" s="49"/>
      <c r="Y22" s="49"/>
      <c r="Z22" s="49"/>
    </row>
    <row r="23">
      <c r="A23" s="49"/>
      <c r="B23" s="49"/>
      <c r="C23" s="49"/>
      <c r="D23" s="49"/>
      <c r="E23" s="106"/>
      <c r="F23" s="49"/>
      <c r="G23" s="49"/>
      <c r="H23" s="49"/>
      <c r="I23" s="49"/>
      <c r="J23" s="49"/>
      <c r="K23" s="49"/>
      <c r="L23" s="49"/>
      <c r="M23" s="49"/>
      <c r="N23" s="49"/>
      <c r="O23" s="49"/>
      <c r="P23" s="49"/>
      <c r="Q23" s="49"/>
      <c r="R23" s="49"/>
      <c r="S23" s="49"/>
      <c r="T23" s="49"/>
      <c r="U23" s="49"/>
      <c r="V23" s="49"/>
      <c r="W23" s="49"/>
      <c r="X23" s="49"/>
      <c r="Y23" s="49"/>
      <c r="Z23" s="49"/>
    </row>
    <row r="24">
      <c r="A24" s="49"/>
      <c r="B24" s="49"/>
      <c r="C24" s="49"/>
      <c r="D24" s="49"/>
      <c r="E24" s="106"/>
      <c r="F24" s="49"/>
      <c r="G24" s="49"/>
      <c r="H24" s="49"/>
      <c r="I24" s="49"/>
      <c r="J24" s="49"/>
      <c r="K24" s="49"/>
      <c r="L24" s="49"/>
      <c r="M24" s="49"/>
      <c r="N24" s="49"/>
      <c r="O24" s="49"/>
      <c r="P24" s="49"/>
      <c r="Q24" s="49"/>
      <c r="R24" s="49"/>
      <c r="S24" s="49"/>
      <c r="T24" s="49"/>
      <c r="U24" s="49"/>
      <c r="V24" s="49"/>
      <c r="W24" s="49"/>
      <c r="X24" s="49"/>
      <c r="Y24" s="49"/>
      <c r="Z24" s="49"/>
    </row>
    <row r="25">
      <c r="A25" s="49"/>
      <c r="B25" s="49"/>
      <c r="C25" s="49"/>
      <c r="D25" s="49"/>
      <c r="E25" s="106"/>
      <c r="F25" s="49"/>
      <c r="G25" s="49"/>
      <c r="H25" s="49"/>
      <c r="I25" s="49"/>
      <c r="J25" s="49"/>
      <c r="K25" s="49"/>
      <c r="L25" s="49"/>
      <c r="M25" s="49"/>
      <c r="N25" s="49"/>
      <c r="O25" s="49"/>
      <c r="P25" s="49"/>
      <c r="Q25" s="49"/>
      <c r="R25" s="49"/>
      <c r="S25" s="49"/>
      <c r="T25" s="49"/>
      <c r="U25" s="49"/>
      <c r="V25" s="49"/>
      <c r="W25" s="49"/>
      <c r="X25" s="49"/>
      <c r="Y25" s="49"/>
      <c r="Z25" s="49"/>
    </row>
    <row r="26">
      <c r="A26" s="49"/>
      <c r="B26" s="49"/>
      <c r="C26" s="49"/>
      <c r="D26" s="49"/>
      <c r="E26" s="106"/>
      <c r="F26" s="49"/>
      <c r="G26" s="49"/>
      <c r="H26" s="49"/>
      <c r="I26" s="49"/>
      <c r="J26" s="49"/>
      <c r="K26" s="49"/>
      <c r="L26" s="49"/>
      <c r="M26" s="49"/>
      <c r="N26" s="49"/>
      <c r="O26" s="49"/>
      <c r="P26" s="49"/>
      <c r="Q26" s="49"/>
      <c r="R26" s="49"/>
      <c r="S26" s="49"/>
      <c r="T26" s="49"/>
      <c r="U26" s="49"/>
      <c r="V26" s="49"/>
      <c r="W26" s="49"/>
      <c r="X26" s="49"/>
      <c r="Y26" s="49"/>
      <c r="Z26" s="49"/>
    </row>
    <row r="27">
      <c r="A27" s="49"/>
      <c r="B27" s="49"/>
      <c r="C27" s="49"/>
      <c r="D27" s="49"/>
      <c r="E27" s="106"/>
      <c r="F27" s="49"/>
      <c r="G27" s="49"/>
      <c r="H27" s="49"/>
      <c r="I27" s="49"/>
      <c r="J27" s="49"/>
      <c r="K27" s="49"/>
      <c r="L27" s="49"/>
      <c r="M27" s="49"/>
      <c r="N27" s="49"/>
      <c r="O27" s="49"/>
      <c r="P27" s="49"/>
      <c r="Q27" s="49"/>
      <c r="R27" s="49"/>
      <c r="S27" s="49"/>
      <c r="T27" s="49"/>
      <c r="U27" s="49"/>
      <c r="V27" s="49"/>
      <c r="W27" s="49"/>
      <c r="X27" s="49"/>
      <c r="Y27" s="49"/>
      <c r="Z27" s="49"/>
    </row>
    <row r="28">
      <c r="A28" s="49"/>
      <c r="B28" s="49"/>
      <c r="C28" s="49"/>
      <c r="D28" s="49"/>
      <c r="E28" s="106"/>
      <c r="F28" s="49"/>
      <c r="G28" s="49"/>
      <c r="H28" s="49"/>
      <c r="I28" s="49"/>
      <c r="J28" s="49"/>
      <c r="K28" s="49"/>
      <c r="L28" s="49"/>
      <c r="M28" s="49"/>
      <c r="N28" s="49"/>
      <c r="O28" s="49"/>
      <c r="P28" s="49"/>
      <c r="Q28" s="49"/>
      <c r="R28" s="49"/>
      <c r="S28" s="49"/>
      <c r="T28" s="49"/>
      <c r="U28" s="49"/>
      <c r="V28" s="49"/>
      <c r="W28" s="49"/>
      <c r="X28" s="49"/>
      <c r="Y28" s="49"/>
      <c r="Z28" s="49"/>
    </row>
    <row r="29">
      <c r="A29" s="49"/>
      <c r="B29" s="49"/>
      <c r="C29" s="49"/>
      <c r="D29" s="49"/>
      <c r="E29" s="106"/>
      <c r="F29" s="49"/>
      <c r="G29" s="49"/>
      <c r="H29" s="49"/>
      <c r="I29" s="49"/>
      <c r="J29" s="49"/>
      <c r="K29" s="49"/>
      <c r="L29" s="49"/>
      <c r="M29" s="49"/>
      <c r="N29" s="49"/>
      <c r="O29" s="49"/>
      <c r="P29" s="49"/>
      <c r="Q29" s="49"/>
      <c r="R29" s="49"/>
      <c r="S29" s="49"/>
      <c r="T29" s="49"/>
      <c r="U29" s="49"/>
      <c r="V29" s="49"/>
      <c r="W29" s="49"/>
      <c r="X29" s="49"/>
      <c r="Y29" s="49"/>
      <c r="Z29" s="49"/>
    </row>
    <row r="30">
      <c r="A30" s="49"/>
      <c r="B30" s="49"/>
      <c r="C30" s="49"/>
      <c r="D30" s="49"/>
      <c r="E30" s="106"/>
      <c r="F30" s="49"/>
      <c r="G30" s="49"/>
      <c r="H30" s="49"/>
      <c r="I30" s="49"/>
      <c r="J30" s="49"/>
      <c r="K30" s="49"/>
      <c r="L30" s="49"/>
      <c r="M30" s="49"/>
      <c r="N30" s="49"/>
      <c r="O30" s="49"/>
      <c r="P30" s="49"/>
      <c r="Q30" s="49"/>
      <c r="R30" s="49"/>
      <c r="S30" s="49"/>
      <c r="T30" s="49"/>
      <c r="U30" s="49"/>
      <c r="V30" s="49"/>
      <c r="W30" s="49"/>
      <c r="X30" s="49"/>
      <c r="Y30" s="49"/>
      <c r="Z30" s="49"/>
    </row>
    <row r="31">
      <c r="A31" s="49"/>
      <c r="B31" s="49"/>
      <c r="C31" s="49"/>
      <c r="D31" s="49"/>
      <c r="E31" s="106"/>
      <c r="F31" s="49"/>
      <c r="G31" s="49"/>
      <c r="H31" s="49"/>
      <c r="I31" s="49"/>
      <c r="J31" s="49"/>
      <c r="K31" s="49"/>
      <c r="L31" s="49"/>
      <c r="M31" s="49"/>
      <c r="N31" s="49"/>
      <c r="O31" s="49"/>
      <c r="P31" s="49"/>
      <c r="Q31" s="49"/>
      <c r="R31" s="49"/>
      <c r="S31" s="49"/>
      <c r="T31" s="49"/>
      <c r="U31" s="49"/>
      <c r="V31" s="49"/>
      <c r="W31" s="49"/>
      <c r="X31" s="49"/>
      <c r="Y31" s="49"/>
      <c r="Z31" s="49"/>
    </row>
    <row r="32">
      <c r="A32" s="49"/>
      <c r="B32" s="49"/>
      <c r="C32" s="49"/>
      <c r="D32" s="49"/>
      <c r="E32" s="106"/>
      <c r="F32" s="49"/>
      <c r="G32" s="49"/>
      <c r="H32" s="49"/>
      <c r="I32" s="49"/>
      <c r="J32" s="49"/>
      <c r="K32" s="49"/>
      <c r="L32" s="49"/>
      <c r="M32" s="49"/>
      <c r="N32" s="49"/>
      <c r="O32" s="49"/>
      <c r="P32" s="49"/>
      <c r="Q32" s="49"/>
      <c r="R32" s="49"/>
      <c r="S32" s="49"/>
      <c r="T32" s="49"/>
      <c r="U32" s="49"/>
      <c r="V32" s="49"/>
      <c r="W32" s="49"/>
      <c r="X32" s="49"/>
      <c r="Y32" s="49"/>
      <c r="Z32" s="49"/>
    </row>
    <row r="33">
      <c r="A33" s="49"/>
      <c r="B33" s="49"/>
      <c r="C33" s="49"/>
      <c r="D33" s="49"/>
      <c r="E33" s="106"/>
      <c r="F33" s="49"/>
      <c r="G33" s="49"/>
      <c r="H33" s="49"/>
      <c r="I33" s="49"/>
      <c r="J33" s="49"/>
      <c r="K33" s="49"/>
      <c r="L33" s="49"/>
      <c r="M33" s="49"/>
      <c r="N33" s="49"/>
      <c r="O33" s="49"/>
      <c r="P33" s="49"/>
      <c r="Q33" s="49"/>
      <c r="R33" s="49"/>
      <c r="S33" s="49"/>
      <c r="T33" s="49"/>
      <c r="U33" s="49"/>
      <c r="V33" s="49"/>
      <c r="W33" s="49"/>
      <c r="X33" s="49"/>
      <c r="Y33" s="49"/>
      <c r="Z33" s="49"/>
    </row>
    <row r="34">
      <c r="A34" s="49"/>
      <c r="B34" s="49"/>
      <c r="C34" s="49"/>
      <c r="D34" s="49"/>
      <c r="E34" s="106"/>
      <c r="F34" s="49"/>
      <c r="G34" s="49"/>
      <c r="H34" s="49"/>
      <c r="I34" s="49"/>
      <c r="J34" s="49"/>
      <c r="K34" s="49"/>
      <c r="L34" s="49"/>
      <c r="M34" s="49"/>
      <c r="N34" s="49"/>
      <c r="O34" s="49"/>
      <c r="P34" s="49"/>
      <c r="Q34" s="49"/>
      <c r="R34" s="49"/>
      <c r="S34" s="49"/>
      <c r="T34" s="49"/>
      <c r="U34" s="49"/>
      <c r="V34" s="49"/>
      <c r="W34" s="49"/>
      <c r="X34" s="49"/>
      <c r="Y34" s="49"/>
      <c r="Z34" s="49"/>
    </row>
    <row r="35">
      <c r="A35" s="49"/>
      <c r="B35" s="49"/>
      <c r="C35" s="49"/>
      <c r="D35" s="49"/>
      <c r="E35" s="106"/>
      <c r="F35" s="49"/>
      <c r="G35" s="49"/>
      <c r="H35" s="49"/>
      <c r="I35" s="49"/>
      <c r="J35" s="49"/>
      <c r="K35" s="49"/>
      <c r="L35" s="49"/>
      <c r="M35" s="49"/>
      <c r="N35" s="49"/>
      <c r="O35" s="49"/>
      <c r="P35" s="49"/>
      <c r="Q35" s="49"/>
      <c r="R35" s="49"/>
      <c r="S35" s="49"/>
      <c r="T35" s="49"/>
      <c r="U35" s="49"/>
      <c r="V35" s="49"/>
      <c r="W35" s="49"/>
      <c r="X35" s="49"/>
      <c r="Y35" s="49"/>
      <c r="Z35" s="49"/>
    </row>
    <row r="36">
      <c r="A36" s="49"/>
      <c r="B36" s="49"/>
      <c r="C36" s="49"/>
      <c r="D36" s="49"/>
      <c r="E36" s="106"/>
      <c r="F36" s="49"/>
      <c r="G36" s="49"/>
      <c r="H36" s="49"/>
      <c r="I36" s="49"/>
      <c r="J36" s="49"/>
      <c r="K36" s="49"/>
      <c r="L36" s="49"/>
      <c r="M36" s="49"/>
      <c r="N36" s="49"/>
      <c r="O36" s="49"/>
      <c r="P36" s="49"/>
      <c r="Q36" s="49"/>
      <c r="R36" s="49"/>
      <c r="S36" s="49"/>
      <c r="T36" s="49"/>
      <c r="U36" s="49"/>
      <c r="V36" s="49"/>
      <c r="W36" s="49"/>
      <c r="X36" s="49"/>
      <c r="Y36" s="49"/>
      <c r="Z36" s="49"/>
    </row>
    <row r="37">
      <c r="A37" s="49"/>
      <c r="B37" s="49"/>
      <c r="C37" s="49"/>
      <c r="D37" s="49"/>
      <c r="E37" s="106"/>
      <c r="F37" s="49"/>
      <c r="G37" s="49"/>
      <c r="H37" s="49"/>
      <c r="I37" s="49"/>
      <c r="J37" s="49"/>
      <c r="K37" s="49"/>
      <c r="L37" s="49"/>
      <c r="M37" s="49"/>
      <c r="N37" s="49"/>
      <c r="O37" s="49"/>
      <c r="P37" s="49"/>
      <c r="Q37" s="49"/>
      <c r="R37" s="49"/>
      <c r="S37" s="49"/>
      <c r="T37" s="49"/>
      <c r="U37" s="49"/>
      <c r="V37" s="49"/>
      <c r="W37" s="49"/>
      <c r="X37" s="49"/>
      <c r="Y37" s="49"/>
      <c r="Z37" s="49"/>
    </row>
    <row r="38">
      <c r="A38" s="49"/>
      <c r="B38" s="49"/>
      <c r="C38" s="49"/>
      <c r="D38" s="49"/>
      <c r="E38" s="106"/>
      <c r="F38" s="49"/>
      <c r="G38" s="49"/>
      <c r="H38" s="49"/>
      <c r="I38" s="49"/>
      <c r="J38" s="49"/>
      <c r="K38" s="49"/>
      <c r="L38" s="49"/>
      <c r="M38" s="49"/>
      <c r="N38" s="49"/>
      <c r="O38" s="49"/>
      <c r="P38" s="49"/>
      <c r="Q38" s="49"/>
      <c r="R38" s="49"/>
      <c r="S38" s="49"/>
      <c r="T38" s="49"/>
      <c r="U38" s="49"/>
      <c r="V38" s="49"/>
      <c r="W38" s="49"/>
      <c r="X38" s="49"/>
      <c r="Y38" s="49"/>
      <c r="Z38" s="49"/>
    </row>
    <row r="39">
      <c r="A39" s="49"/>
      <c r="B39" s="49"/>
      <c r="C39" s="49"/>
      <c r="D39" s="49"/>
      <c r="E39" s="106"/>
      <c r="F39" s="49"/>
      <c r="G39" s="49"/>
      <c r="H39" s="49"/>
      <c r="I39" s="49"/>
      <c r="J39" s="49"/>
      <c r="K39" s="49"/>
      <c r="L39" s="49"/>
      <c r="M39" s="49"/>
      <c r="N39" s="49"/>
      <c r="O39" s="49"/>
      <c r="P39" s="49"/>
      <c r="Q39" s="49"/>
      <c r="R39" s="49"/>
      <c r="S39" s="49"/>
      <c r="T39" s="49"/>
      <c r="U39" s="49"/>
      <c r="V39" s="49"/>
      <c r="W39" s="49"/>
      <c r="X39" s="49"/>
      <c r="Y39" s="49"/>
      <c r="Z39" s="49"/>
    </row>
    <row r="40">
      <c r="A40" s="49"/>
      <c r="B40" s="49"/>
      <c r="C40" s="49"/>
      <c r="D40" s="49"/>
      <c r="E40" s="106"/>
      <c r="F40" s="49"/>
      <c r="G40" s="49"/>
      <c r="H40" s="49"/>
      <c r="I40" s="49"/>
      <c r="J40" s="49"/>
      <c r="K40" s="49"/>
      <c r="L40" s="49"/>
      <c r="M40" s="49"/>
      <c r="N40" s="49"/>
      <c r="O40" s="49"/>
      <c r="P40" s="49"/>
      <c r="Q40" s="49"/>
      <c r="R40" s="49"/>
      <c r="S40" s="49"/>
      <c r="T40" s="49"/>
      <c r="U40" s="49"/>
      <c r="V40" s="49"/>
      <c r="W40" s="49"/>
      <c r="X40" s="49"/>
      <c r="Y40" s="49"/>
      <c r="Z40" s="49"/>
    </row>
    <row r="41">
      <c r="A41" s="49"/>
      <c r="B41" s="49"/>
      <c r="C41" s="49"/>
      <c r="D41" s="49"/>
      <c r="E41" s="106"/>
      <c r="F41" s="49"/>
      <c r="G41" s="49"/>
      <c r="H41" s="49"/>
      <c r="I41" s="49"/>
      <c r="J41" s="49"/>
      <c r="K41" s="49"/>
      <c r="L41" s="49"/>
      <c r="M41" s="49"/>
      <c r="N41" s="49"/>
      <c r="O41" s="49"/>
      <c r="P41" s="49"/>
      <c r="Q41" s="49"/>
      <c r="R41" s="49"/>
      <c r="S41" s="49"/>
      <c r="T41" s="49"/>
      <c r="U41" s="49"/>
      <c r="V41" s="49"/>
      <c r="W41" s="49"/>
      <c r="X41" s="49"/>
      <c r="Y41" s="49"/>
      <c r="Z41" s="49"/>
    </row>
    <row r="42">
      <c r="A42" s="49"/>
      <c r="B42" s="49"/>
      <c r="C42" s="49"/>
      <c r="D42" s="49"/>
      <c r="E42" s="106"/>
      <c r="F42" s="49"/>
      <c r="G42" s="49"/>
      <c r="H42" s="49"/>
      <c r="I42" s="49"/>
      <c r="J42" s="49"/>
      <c r="K42" s="49"/>
      <c r="L42" s="49"/>
      <c r="M42" s="49"/>
      <c r="N42" s="49"/>
      <c r="O42" s="49"/>
      <c r="P42" s="49"/>
      <c r="Q42" s="49"/>
      <c r="R42" s="49"/>
      <c r="S42" s="49"/>
      <c r="T42" s="49"/>
      <c r="U42" s="49"/>
      <c r="V42" s="49"/>
      <c r="W42" s="49"/>
      <c r="X42" s="49"/>
      <c r="Y42" s="49"/>
      <c r="Z42" s="49"/>
    </row>
    <row r="43">
      <c r="A43" s="49"/>
      <c r="B43" s="49"/>
      <c r="C43" s="49"/>
      <c r="D43" s="49"/>
      <c r="E43" s="106"/>
      <c r="F43" s="49"/>
      <c r="G43" s="49"/>
      <c r="H43" s="49"/>
      <c r="I43" s="49"/>
      <c r="J43" s="49"/>
      <c r="K43" s="49"/>
      <c r="L43" s="49"/>
      <c r="M43" s="49"/>
      <c r="N43" s="49"/>
      <c r="O43" s="49"/>
      <c r="P43" s="49"/>
      <c r="Q43" s="49"/>
      <c r="R43" s="49"/>
      <c r="S43" s="49"/>
      <c r="T43" s="49"/>
      <c r="U43" s="49"/>
      <c r="V43" s="49"/>
      <c r="W43" s="49"/>
      <c r="X43" s="49"/>
      <c r="Y43" s="49"/>
      <c r="Z43" s="49"/>
    </row>
    <row r="44">
      <c r="A44" s="49"/>
      <c r="B44" s="49"/>
      <c r="C44" s="49"/>
      <c r="D44" s="49"/>
      <c r="E44" s="106"/>
      <c r="F44" s="49"/>
      <c r="G44" s="49"/>
      <c r="H44" s="49"/>
      <c r="I44" s="49"/>
      <c r="J44" s="49"/>
      <c r="K44" s="49"/>
      <c r="L44" s="49"/>
      <c r="M44" s="49"/>
      <c r="N44" s="49"/>
      <c r="O44" s="49"/>
      <c r="P44" s="49"/>
      <c r="Q44" s="49"/>
      <c r="R44" s="49"/>
      <c r="S44" s="49"/>
      <c r="T44" s="49"/>
      <c r="U44" s="49"/>
      <c r="V44" s="49"/>
      <c r="W44" s="49"/>
      <c r="X44" s="49"/>
      <c r="Y44" s="49"/>
      <c r="Z44" s="49"/>
    </row>
    <row r="45">
      <c r="A45" s="49"/>
      <c r="B45" s="49"/>
      <c r="C45" s="49"/>
      <c r="D45" s="49"/>
      <c r="E45" s="106"/>
      <c r="F45" s="49"/>
      <c r="G45" s="49"/>
      <c r="H45" s="49"/>
      <c r="I45" s="49"/>
      <c r="J45" s="49"/>
      <c r="K45" s="49"/>
      <c r="L45" s="49"/>
      <c r="M45" s="49"/>
      <c r="N45" s="49"/>
      <c r="O45" s="49"/>
      <c r="P45" s="49"/>
      <c r="Q45" s="49"/>
      <c r="R45" s="49"/>
      <c r="S45" s="49"/>
      <c r="T45" s="49"/>
      <c r="U45" s="49"/>
      <c r="V45" s="49"/>
      <c r="W45" s="49"/>
      <c r="X45" s="49"/>
      <c r="Y45" s="49"/>
      <c r="Z45" s="49"/>
    </row>
    <row r="46">
      <c r="A46" s="49"/>
      <c r="B46" s="49"/>
      <c r="C46" s="49"/>
      <c r="D46" s="49"/>
      <c r="E46" s="106"/>
      <c r="F46" s="49"/>
      <c r="G46" s="49"/>
      <c r="H46" s="49"/>
      <c r="I46" s="49"/>
      <c r="J46" s="49"/>
      <c r="K46" s="49"/>
      <c r="L46" s="49"/>
      <c r="M46" s="49"/>
      <c r="N46" s="49"/>
      <c r="O46" s="49"/>
      <c r="P46" s="49"/>
      <c r="Q46" s="49"/>
      <c r="R46" s="49"/>
      <c r="S46" s="49"/>
      <c r="T46" s="49"/>
      <c r="U46" s="49"/>
      <c r="V46" s="49"/>
      <c r="W46" s="49"/>
      <c r="X46" s="49"/>
      <c r="Y46" s="49"/>
      <c r="Z46" s="49"/>
    </row>
    <row r="47">
      <c r="A47" s="49"/>
      <c r="B47" s="49"/>
      <c r="C47" s="49"/>
      <c r="D47" s="49"/>
      <c r="E47" s="106"/>
      <c r="F47" s="49"/>
      <c r="G47" s="49"/>
      <c r="H47" s="49"/>
      <c r="I47" s="49"/>
      <c r="J47" s="49"/>
      <c r="K47" s="49"/>
      <c r="L47" s="49"/>
      <c r="M47" s="49"/>
      <c r="N47" s="49"/>
      <c r="O47" s="49"/>
      <c r="P47" s="49"/>
      <c r="Q47" s="49"/>
      <c r="R47" s="49"/>
      <c r="S47" s="49"/>
      <c r="T47" s="49"/>
      <c r="U47" s="49"/>
      <c r="V47" s="49"/>
      <c r="W47" s="49"/>
      <c r="X47" s="49"/>
      <c r="Y47" s="49"/>
      <c r="Z47" s="49"/>
    </row>
    <row r="48">
      <c r="A48" s="49"/>
      <c r="B48" s="49"/>
      <c r="C48" s="49"/>
      <c r="D48" s="49"/>
      <c r="E48" s="106"/>
      <c r="F48" s="49"/>
      <c r="G48" s="49"/>
      <c r="H48" s="49"/>
      <c r="I48" s="49"/>
      <c r="J48" s="49"/>
      <c r="K48" s="49"/>
      <c r="L48" s="49"/>
      <c r="M48" s="49"/>
      <c r="N48" s="49"/>
      <c r="O48" s="49"/>
      <c r="P48" s="49"/>
      <c r="Q48" s="49"/>
      <c r="R48" s="49"/>
      <c r="S48" s="49"/>
      <c r="T48" s="49"/>
      <c r="U48" s="49"/>
      <c r="V48" s="49"/>
      <c r="W48" s="49"/>
      <c r="X48" s="49"/>
      <c r="Y48" s="49"/>
      <c r="Z48" s="49"/>
    </row>
    <row r="49">
      <c r="A49" s="49"/>
      <c r="B49" s="49"/>
      <c r="C49" s="49"/>
      <c r="D49" s="49"/>
      <c r="E49" s="106"/>
      <c r="F49" s="49"/>
      <c r="G49" s="49"/>
      <c r="H49" s="49"/>
      <c r="I49" s="49"/>
      <c r="J49" s="49"/>
      <c r="K49" s="49"/>
      <c r="L49" s="49"/>
      <c r="M49" s="49"/>
      <c r="N49" s="49"/>
      <c r="O49" s="49"/>
      <c r="P49" s="49"/>
      <c r="Q49" s="49"/>
      <c r="R49" s="49"/>
      <c r="S49" s="49"/>
      <c r="T49" s="49"/>
      <c r="U49" s="49"/>
      <c r="V49" s="49"/>
      <c r="W49" s="49"/>
      <c r="X49" s="49"/>
      <c r="Y49" s="49"/>
      <c r="Z49" s="49"/>
    </row>
    <row r="50">
      <c r="A50" s="49"/>
      <c r="B50" s="49"/>
      <c r="C50" s="49"/>
      <c r="D50" s="49"/>
      <c r="E50" s="106"/>
      <c r="F50" s="49"/>
      <c r="G50" s="49"/>
      <c r="H50" s="49"/>
      <c r="I50" s="49"/>
      <c r="J50" s="49"/>
      <c r="K50" s="49"/>
      <c r="L50" s="49"/>
      <c r="M50" s="49"/>
      <c r="N50" s="49"/>
      <c r="O50" s="49"/>
      <c r="P50" s="49"/>
      <c r="Q50" s="49"/>
      <c r="R50" s="49"/>
      <c r="S50" s="49"/>
      <c r="T50" s="49"/>
      <c r="U50" s="49"/>
      <c r="V50" s="49"/>
      <c r="W50" s="49"/>
      <c r="X50" s="49"/>
      <c r="Y50" s="49"/>
      <c r="Z50" s="49"/>
    </row>
    <row r="51">
      <c r="A51" s="49"/>
      <c r="B51" s="49"/>
      <c r="C51" s="49"/>
      <c r="D51" s="49"/>
      <c r="E51" s="106"/>
      <c r="F51" s="49"/>
      <c r="G51" s="49"/>
      <c r="H51" s="49"/>
      <c r="I51" s="49"/>
      <c r="J51" s="49"/>
      <c r="K51" s="49"/>
      <c r="L51" s="49"/>
      <c r="M51" s="49"/>
      <c r="N51" s="49"/>
      <c r="O51" s="49"/>
      <c r="P51" s="49"/>
      <c r="Q51" s="49"/>
      <c r="R51" s="49"/>
      <c r="S51" s="49"/>
      <c r="T51" s="49"/>
      <c r="U51" s="49"/>
      <c r="V51" s="49"/>
      <c r="W51" s="49"/>
      <c r="X51" s="49"/>
      <c r="Y51" s="49"/>
      <c r="Z51" s="49"/>
    </row>
    <row r="52">
      <c r="A52" s="49"/>
      <c r="B52" s="49"/>
      <c r="C52" s="49"/>
      <c r="D52" s="49"/>
      <c r="E52" s="106"/>
      <c r="F52" s="49"/>
      <c r="G52" s="49"/>
      <c r="H52" s="49"/>
      <c r="I52" s="49"/>
      <c r="J52" s="49"/>
      <c r="K52" s="49"/>
      <c r="L52" s="49"/>
      <c r="M52" s="49"/>
      <c r="N52" s="49"/>
      <c r="O52" s="49"/>
      <c r="P52" s="49"/>
      <c r="Q52" s="49"/>
      <c r="R52" s="49"/>
      <c r="S52" s="49"/>
      <c r="T52" s="49"/>
      <c r="U52" s="49"/>
      <c r="V52" s="49"/>
      <c r="W52" s="49"/>
      <c r="X52" s="49"/>
      <c r="Y52" s="49"/>
      <c r="Z52" s="49"/>
    </row>
    <row r="53">
      <c r="A53" s="49"/>
      <c r="B53" s="49"/>
      <c r="C53" s="49"/>
      <c r="D53" s="49"/>
      <c r="E53" s="106"/>
      <c r="F53" s="49"/>
      <c r="G53" s="49"/>
      <c r="H53" s="49"/>
      <c r="I53" s="49"/>
      <c r="J53" s="49"/>
      <c r="K53" s="49"/>
      <c r="L53" s="49"/>
      <c r="M53" s="49"/>
      <c r="N53" s="49"/>
      <c r="O53" s="49"/>
      <c r="P53" s="49"/>
      <c r="Q53" s="49"/>
      <c r="R53" s="49"/>
      <c r="S53" s="49"/>
      <c r="T53" s="49"/>
      <c r="U53" s="49"/>
      <c r="V53" s="49"/>
      <c r="W53" s="49"/>
      <c r="X53" s="49"/>
      <c r="Y53" s="49"/>
      <c r="Z53" s="49"/>
    </row>
    <row r="54">
      <c r="A54" s="49"/>
      <c r="B54" s="49"/>
      <c r="C54" s="49"/>
      <c r="D54" s="49"/>
      <c r="E54" s="106"/>
      <c r="F54" s="49"/>
      <c r="G54" s="49"/>
      <c r="H54" s="49"/>
      <c r="I54" s="49"/>
      <c r="J54" s="49"/>
      <c r="K54" s="49"/>
      <c r="L54" s="49"/>
      <c r="M54" s="49"/>
      <c r="N54" s="49"/>
      <c r="O54" s="49"/>
      <c r="P54" s="49"/>
      <c r="Q54" s="49"/>
      <c r="R54" s="49"/>
      <c r="S54" s="49"/>
      <c r="T54" s="49"/>
      <c r="U54" s="49"/>
      <c r="V54" s="49"/>
      <c r="W54" s="49"/>
      <c r="X54" s="49"/>
      <c r="Y54" s="49"/>
      <c r="Z54" s="49"/>
    </row>
    <row r="55">
      <c r="A55" s="49"/>
      <c r="B55" s="49"/>
      <c r="C55" s="49"/>
      <c r="D55" s="49"/>
      <c r="E55" s="106"/>
      <c r="F55" s="49"/>
      <c r="G55" s="49"/>
      <c r="H55" s="49"/>
      <c r="I55" s="49"/>
      <c r="J55" s="49"/>
      <c r="K55" s="49"/>
      <c r="L55" s="49"/>
      <c r="M55" s="49"/>
      <c r="N55" s="49"/>
      <c r="O55" s="49"/>
      <c r="P55" s="49"/>
      <c r="Q55" s="49"/>
      <c r="R55" s="49"/>
      <c r="S55" s="49"/>
      <c r="T55" s="49"/>
      <c r="U55" s="49"/>
      <c r="V55" s="49"/>
      <c r="W55" s="49"/>
      <c r="X55" s="49"/>
      <c r="Y55" s="49"/>
      <c r="Z55" s="49"/>
    </row>
    <row r="56">
      <c r="A56" s="49"/>
      <c r="B56" s="49"/>
      <c r="C56" s="49"/>
      <c r="D56" s="49"/>
      <c r="E56" s="106"/>
      <c r="F56" s="49"/>
      <c r="G56" s="49"/>
      <c r="H56" s="49"/>
      <c r="I56" s="49"/>
      <c r="J56" s="49"/>
      <c r="K56" s="49"/>
      <c r="L56" s="49"/>
      <c r="M56" s="49"/>
      <c r="N56" s="49"/>
      <c r="O56" s="49"/>
      <c r="P56" s="49"/>
      <c r="Q56" s="49"/>
      <c r="R56" s="49"/>
      <c r="S56" s="49"/>
      <c r="T56" s="49"/>
      <c r="U56" s="49"/>
      <c r="V56" s="49"/>
      <c r="W56" s="49"/>
      <c r="X56" s="49"/>
      <c r="Y56" s="49"/>
      <c r="Z56" s="49"/>
    </row>
    <row r="57">
      <c r="A57" s="49"/>
      <c r="B57" s="49"/>
      <c r="C57" s="49"/>
      <c r="D57" s="49"/>
      <c r="E57" s="106"/>
      <c r="F57" s="49"/>
      <c r="G57" s="49"/>
      <c r="H57" s="49"/>
      <c r="I57" s="49"/>
      <c r="J57" s="49"/>
      <c r="K57" s="49"/>
      <c r="L57" s="49"/>
      <c r="M57" s="49"/>
      <c r="N57" s="49"/>
      <c r="O57" s="49"/>
      <c r="P57" s="49"/>
      <c r="Q57" s="49"/>
      <c r="R57" s="49"/>
      <c r="S57" s="49"/>
      <c r="T57" s="49"/>
      <c r="U57" s="49"/>
      <c r="V57" s="49"/>
      <c r="W57" s="49"/>
      <c r="X57" s="49"/>
      <c r="Y57" s="49"/>
      <c r="Z57" s="49"/>
    </row>
    <row r="58">
      <c r="A58" s="49"/>
      <c r="B58" s="49"/>
      <c r="C58" s="49"/>
      <c r="D58" s="49"/>
      <c r="E58" s="106"/>
      <c r="F58" s="49"/>
      <c r="G58" s="49"/>
      <c r="H58" s="49"/>
      <c r="I58" s="49"/>
      <c r="J58" s="49"/>
      <c r="K58" s="49"/>
      <c r="L58" s="49"/>
      <c r="M58" s="49"/>
      <c r="N58" s="49"/>
      <c r="O58" s="49"/>
      <c r="P58" s="49"/>
      <c r="Q58" s="49"/>
      <c r="R58" s="49"/>
      <c r="S58" s="49"/>
      <c r="T58" s="49"/>
      <c r="U58" s="49"/>
      <c r="V58" s="49"/>
      <c r="W58" s="49"/>
      <c r="X58" s="49"/>
      <c r="Y58" s="49"/>
      <c r="Z58" s="49"/>
    </row>
    <row r="59">
      <c r="A59" s="49"/>
      <c r="B59" s="49"/>
      <c r="C59" s="49"/>
      <c r="D59" s="49"/>
      <c r="E59" s="106"/>
      <c r="F59" s="49"/>
      <c r="G59" s="49"/>
      <c r="H59" s="49"/>
      <c r="I59" s="49"/>
      <c r="J59" s="49"/>
      <c r="K59" s="49"/>
      <c r="L59" s="49"/>
      <c r="M59" s="49"/>
      <c r="N59" s="49"/>
      <c r="O59" s="49"/>
      <c r="P59" s="49"/>
      <c r="Q59" s="49"/>
      <c r="R59" s="49"/>
      <c r="S59" s="49"/>
      <c r="T59" s="49"/>
      <c r="U59" s="49"/>
      <c r="V59" s="49"/>
      <c r="W59" s="49"/>
      <c r="X59" s="49"/>
      <c r="Y59" s="49"/>
      <c r="Z59" s="49"/>
    </row>
    <row r="60">
      <c r="A60" s="49"/>
      <c r="B60" s="49"/>
      <c r="C60" s="49"/>
      <c r="D60" s="49"/>
      <c r="E60" s="106"/>
      <c r="F60" s="49"/>
      <c r="G60" s="49"/>
      <c r="H60" s="49"/>
      <c r="I60" s="49"/>
      <c r="J60" s="49"/>
      <c r="K60" s="49"/>
      <c r="L60" s="49"/>
      <c r="M60" s="49"/>
      <c r="N60" s="49"/>
      <c r="O60" s="49"/>
      <c r="P60" s="49"/>
      <c r="Q60" s="49"/>
      <c r="R60" s="49"/>
      <c r="S60" s="49"/>
      <c r="T60" s="49"/>
      <c r="U60" s="49"/>
      <c r="V60" s="49"/>
      <c r="W60" s="49"/>
      <c r="X60" s="49"/>
      <c r="Y60" s="49"/>
      <c r="Z60" s="49"/>
    </row>
    <row r="61">
      <c r="A61" s="49"/>
      <c r="B61" s="49"/>
      <c r="C61" s="49"/>
      <c r="D61" s="49"/>
      <c r="E61" s="106"/>
      <c r="F61" s="49"/>
      <c r="G61" s="49"/>
      <c r="H61" s="49"/>
      <c r="I61" s="49"/>
      <c r="J61" s="49"/>
      <c r="K61" s="49"/>
      <c r="L61" s="49"/>
      <c r="M61" s="49"/>
      <c r="N61" s="49"/>
      <c r="O61" s="49"/>
      <c r="P61" s="49"/>
      <c r="Q61" s="49"/>
      <c r="R61" s="49"/>
      <c r="S61" s="49"/>
      <c r="T61" s="49"/>
      <c r="U61" s="49"/>
      <c r="V61" s="49"/>
      <c r="W61" s="49"/>
      <c r="X61" s="49"/>
      <c r="Y61" s="49"/>
      <c r="Z61" s="49"/>
    </row>
    <row r="62">
      <c r="A62" s="49"/>
      <c r="B62" s="49"/>
      <c r="C62" s="49"/>
      <c r="D62" s="49"/>
      <c r="E62" s="106"/>
      <c r="F62" s="49"/>
      <c r="G62" s="49"/>
      <c r="H62" s="49"/>
      <c r="I62" s="49"/>
      <c r="J62" s="49"/>
      <c r="K62" s="49"/>
      <c r="L62" s="49"/>
      <c r="M62" s="49"/>
      <c r="N62" s="49"/>
      <c r="O62" s="49"/>
      <c r="P62" s="49"/>
      <c r="Q62" s="49"/>
      <c r="R62" s="49"/>
      <c r="S62" s="49"/>
      <c r="T62" s="49"/>
      <c r="U62" s="49"/>
      <c r="V62" s="49"/>
      <c r="W62" s="49"/>
      <c r="X62" s="49"/>
      <c r="Y62" s="49"/>
      <c r="Z62" s="49"/>
    </row>
    <row r="63">
      <c r="A63" s="49"/>
      <c r="B63" s="49"/>
      <c r="C63" s="49"/>
      <c r="D63" s="49"/>
      <c r="E63" s="106"/>
      <c r="F63" s="49"/>
      <c r="G63" s="49"/>
      <c r="H63" s="49"/>
      <c r="I63" s="49"/>
      <c r="J63" s="49"/>
      <c r="K63" s="49"/>
      <c r="L63" s="49"/>
      <c r="M63" s="49"/>
      <c r="N63" s="49"/>
      <c r="O63" s="49"/>
      <c r="P63" s="49"/>
      <c r="Q63" s="49"/>
      <c r="R63" s="49"/>
      <c r="S63" s="49"/>
      <c r="T63" s="49"/>
      <c r="U63" s="49"/>
      <c r="V63" s="49"/>
      <c r="W63" s="49"/>
      <c r="X63" s="49"/>
      <c r="Y63" s="49"/>
      <c r="Z63" s="49"/>
    </row>
    <row r="64">
      <c r="A64" s="49"/>
      <c r="B64" s="49"/>
      <c r="C64" s="49"/>
      <c r="D64" s="49"/>
      <c r="E64" s="106"/>
      <c r="F64" s="49"/>
      <c r="G64" s="49"/>
      <c r="H64" s="49"/>
      <c r="I64" s="49"/>
      <c r="J64" s="49"/>
      <c r="K64" s="49"/>
      <c r="L64" s="49"/>
      <c r="M64" s="49"/>
      <c r="N64" s="49"/>
      <c r="O64" s="49"/>
      <c r="P64" s="49"/>
      <c r="Q64" s="49"/>
      <c r="R64" s="49"/>
      <c r="S64" s="49"/>
      <c r="T64" s="49"/>
      <c r="U64" s="49"/>
      <c r="V64" s="49"/>
      <c r="W64" s="49"/>
      <c r="X64" s="49"/>
      <c r="Y64" s="49"/>
      <c r="Z64" s="49"/>
    </row>
    <row r="65">
      <c r="A65" s="49"/>
      <c r="B65" s="49"/>
      <c r="C65" s="49"/>
      <c r="D65" s="49"/>
      <c r="E65" s="106"/>
      <c r="F65" s="49"/>
      <c r="G65" s="49"/>
      <c r="H65" s="49"/>
      <c r="I65" s="49"/>
      <c r="J65" s="49"/>
      <c r="K65" s="49"/>
      <c r="L65" s="49"/>
      <c r="M65" s="49"/>
      <c r="N65" s="49"/>
      <c r="O65" s="49"/>
      <c r="P65" s="49"/>
      <c r="Q65" s="49"/>
      <c r="R65" s="49"/>
      <c r="S65" s="49"/>
      <c r="T65" s="49"/>
      <c r="U65" s="49"/>
      <c r="V65" s="49"/>
      <c r="W65" s="49"/>
      <c r="X65" s="49"/>
      <c r="Y65" s="49"/>
      <c r="Z65" s="49"/>
    </row>
    <row r="66">
      <c r="A66" s="49"/>
      <c r="B66" s="49"/>
      <c r="C66" s="49"/>
      <c r="D66" s="49"/>
      <c r="E66" s="106"/>
      <c r="F66" s="49"/>
      <c r="G66" s="49"/>
      <c r="H66" s="49"/>
      <c r="I66" s="49"/>
      <c r="J66" s="49"/>
      <c r="K66" s="49"/>
      <c r="L66" s="49"/>
      <c r="M66" s="49"/>
      <c r="N66" s="49"/>
      <c r="O66" s="49"/>
      <c r="P66" s="49"/>
      <c r="Q66" s="49"/>
      <c r="R66" s="49"/>
      <c r="S66" s="49"/>
      <c r="T66" s="49"/>
      <c r="U66" s="49"/>
      <c r="V66" s="49"/>
      <c r="W66" s="49"/>
      <c r="X66" s="49"/>
      <c r="Y66" s="49"/>
      <c r="Z66" s="49"/>
    </row>
    <row r="67">
      <c r="A67" s="49"/>
      <c r="B67" s="49"/>
      <c r="C67" s="49"/>
      <c r="D67" s="49"/>
      <c r="E67" s="106"/>
      <c r="F67" s="49"/>
      <c r="G67" s="49"/>
      <c r="H67" s="49"/>
      <c r="I67" s="49"/>
      <c r="J67" s="49"/>
      <c r="K67" s="49"/>
      <c r="L67" s="49"/>
      <c r="M67" s="49"/>
      <c r="N67" s="49"/>
      <c r="O67" s="49"/>
      <c r="P67" s="49"/>
      <c r="Q67" s="49"/>
      <c r="R67" s="49"/>
      <c r="S67" s="49"/>
      <c r="T67" s="49"/>
      <c r="U67" s="49"/>
      <c r="V67" s="49"/>
      <c r="W67" s="49"/>
      <c r="X67" s="49"/>
      <c r="Y67" s="49"/>
      <c r="Z67" s="49"/>
    </row>
    <row r="68">
      <c r="A68" s="49"/>
      <c r="B68" s="49"/>
      <c r="C68" s="49"/>
      <c r="D68" s="49"/>
      <c r="E68" s="106"/>
      <c r="F68" s="49"/>
      <c r="G68" s="49"/>
      <c r="H68" s="49"/>
      <c r="I68" s="49"/>
      <c r="J68" s="49"/>
      <c r="K68" s="49"/>
      <c r="L68" s="49"/>
      <c r="M68" s="49"/>
      <c r="N68" s="49"/>
      <c r="O68" s="49"/>
      <c r="P68" s="49"/>
      <c r="Q68" s="49"/>
      <c r="R68" s="49"/>
      <c r="S68" s="49"/>
      <c r="T68" s="49"/>
      <c r="U68" s="49"/>
      <c r="V68" s="49"/>
      <c r="W68" s="49"/>
      <c r="X68" s="49"/>
      <c r="Y68" s="49"/>
      <c r="Z68" s="49"/>
    </row>
    <row r="69">
      <c r="A69" s="49"/>
      <c r="B69" s="49"/>
      <c r="C69" s="49"/>
      <c r="D69" s="49"/>
      <c r="E69" s="106"/>
      <c r="F69" s="49"/>
      <c r="G69" s="49"/>
      <c r="H69" s="49"/>
      <c r="I69" s="49"/>
      <c r="J69" s="49"/>
      <c r="K69" s="49"/>
      <c r="L69" s="49"/>
      <c r="M69" s="49"/>
      <c r="N69" s="49"/>
      <c r="O69" s="49"/>
      <c r="P69" s="49"/>
      <c r="Q69" s="49"/>
      <c r="R69" s="49"/>
      <c r="S69" s="49"/>
      <c r="T69" s="49"/>
      <c r="U69" s="49"/>
      <c r="V69" s="49"/>
      <c r="W69" s="49"/>
      <c r="X69" s="49"/>
      <c r="Y69" s="49"/>
      <c r="Z69" s="49"/>
    </row>
    <row r="70">
      <c r="A70" s="49"/>
      <c r="B70" s="49"/>
      <c r="C70" s="49"/>
      <c r="D70" s="49"/>
      <c r="E70" s="106"/>
      <c r="F70" s="49"/>
      <c r="G70" s="49"/>
      <c r="H70" s="49"/>
      <c r="I70" s="49"/>
      <c r="J70" s="49"/>
      <c r="K70" s="49"/>
      <c r="L70" s="49"/>
      <c r="M70" s="49"/>
      <c r="N70" s="49"/>
      <c r="O70" s="49"/>
      <c r="P70" s="49"/>
      <c r="Q70" s="49"/>
      <c r="R70" s="49"/>
      <c r="S70" s="49"/>
      <c r="T70" s="49"/>
      <c r="U70" s="49"/>
      <c r="V70" s="49"/>
      <c r="W70" s="49"/>
      <c r="X70" s="49"/>
      <c r="Y70" s="49"/>
      <c r="Z70" s="49"/>
    </row>
    <row r="71">
      <c r="A71" s="49"/>
      <c r="B71" s="49"/>
      <c r="C71" s="49"/>
      <c r="D71" s="49"/>
      <c r="E71" s="106"/>
      <c r="F71" s="49"/>
      <c r="G71" s="49"/>
      <c r="H71" s="49"/>
      <c r="I71" s="49"/>
      <c r="J71" s="49"/>
      <c r="K71" s="49"/>
      <c r="L71" s="49"/>
      <c r="M71" s="49"/>
      <c r="N71" s="49"/>
      <c r="O71" s="49"/>
      <c r="P71" s="49"/>
      <c r="Q71" s="49"/>
      <c r="R71" s="49"/>
      <c r="S71" s="49"/>
      <c r="T71" s="49"/>
      <c r="U71" s="49"/>
      <c r="V71" s="49"/>
      <c r="W71" s="49"/>
      <c r="X71" s="49"/>
      <c r="Y71" s="49"/>
      <c r="Z71" s="49"/>
    </row>
    <row r="72">
      <c r="A72" s="49"/>
      <c r="B72" s="49"/>
      <c r="C72" s="49"/>
      <c r="D72" s="49"/>
      <c r="E72" s="106"/>
      <c r="F72" s="49"/>
      <c r="G72" s="49"/>
      <c r="H72" s="49"/>
      <c r="I72" s="49"/>
      <c r="J72" s="49"/>
      <c r="K72" s="49"/>
      <c r="L72" s="49"/>
      <c r="M72" s="49"/>
      <c r="N72" s="49"/>
      <c r="O72" s="49"/>
      <c r="P72" s="49"/>
      <c r="Q72" s="49"/>
      <c r="R72" s="49"/>
      <c r="S72" s="49"/>
      <c r="T72" s="49"/>
      <c r="U72" s="49"/>
      <c r="V72" s="49"/>
      <c r="W72" s="49"/>
      <c r="X72" s="49"/>
      <c r="Y72" s="49"/>
      <c r="Z72" s="49"/>
    </row>
    <row r="73">
      <c r="A73" s="49"/>
      <c r="B73" s="49"/>
      <c r="C73" s="49"/>
      <c r="D73" s="49"/>
      <c r="E73" s="106"/>
      <c r="F73" s="49"/>
      <c r="G73" s="49"/>
      <c r="H73" s="49"/>
      <c r="I73" s="49"/>
      <c r="J73" s="49"/>
      <c r="K73" s="49"/>
      <c r="L73" s="49"/>
      <c r="M73" s="49"/>
      <c r="N73" s="49"/>
      <c r="O73" s="49"/>
      <c r="P73" s="49"/>
      <c r="Q73" s="49"/>
      <c r="R73" s="49"/>
      <c r="S73" s="49"/>
      <c r="T73" s="49"/>
      <c r="U73" s="49"/>
      <c r="V73" s="49"/>
      <c r="W73" s="49"/>
      <c r="X73" s="49"/>
      <c r="Y73" s="49"/>
      <c r="Z73" s="49"/>
    </row>
    <row r="74">
      <c r="A74" s="49"/>
      <c r="B74" s="49"/>
      <c r="C74" s="49"/>
      <c r="D74" s="49"/>
      <c r="E74" s="106"/>
      <c r="F74" s="49"/>
      <c r="G74" s="49"/>
      <c r="H74" s="49"/>
      <c r="I74" s="49"/>
      <c r="J74" s="49"/>
      <c r="K74" s="49"/>
      <c r="L74" s="49"/>
      <c r="M74" s="49"/>
      <c r="N74" s="49"/>
      <c r="O74" s="49"/>
      <c r="P74" s="49"/>
      <c r="Q74" s="49"/>
      <c r="R74" s="49"/>
      <c r="S74" s="49"/>
      <c r="T74" s="49"/>
      <c r="U74" s="49"/>
      <c r="V74" s="49"/>
      <c r="W74" s="49"/>
      <c r="X74" s="49"/>
      <c r="Y74" s="49"/>
      <c r="Z74" s="49"/>
    </row>
    <row r="75">
      <c r="A75" s="49"/>
      <c r="B75" s="49"/>
      <c r="C75" s="49"/>
      <c r="D75" s="49"/>
      <c r="E75" s="106"/>
      <c r="F75" s="49"/>
      <c r="G75" s="49"/>
      <c r="H75" s="49"/>
      <c r="I75" s="49"/>
      <c r="J75" s="49"/>
      <c r="K75" s="49"/>
      <c r="L75" s="49"/>
      <c r="M75" s="49"/>
      <c r="N75" s="49"/>
      <c r="O75" s="49"/>
      <c r="P75" s="49"/>
      <c r="Q75" s="49"/>
      <c r="R75" s="49"/>
      <c r="S75" s="49"/>
      <c r="T75" s="49"/>
      <c r="U75" s="49"/>
      <c r="V75" s="49"/>
      <c r="W75" s="49"/>
      <c r="X75" s="49"/>
      <c r="Y75" s="49"/>
      <c r="Z75" s="49"/>
    </row>
    <row r="76">
      <c r="A76" s="49"/>
      <c r="B76" s="49"/>
      <c r="C76" s="49"/>
      <c r="D76" s="49"/>
      <c r="E76" s="106"/>
      <c r="F76" s="49"/>
      <c r="G76" s="49"/>
      <c r="H76" s="49"/>
      <c r="I76" s="49"/>
      <c r="J76" s="49"/>
      <c r="K76" s="49"/>
      <c r="L76" s="49"/>
      <c r="M76" s="49"/>
      <c r="N76" s="49"/>
      <c r="O76" s="49"/>
      <c r="P76" s="49"/>
      <c r="Q76" s="49"/>
      <c r="R76" s="49"/>
      <c r="S76" s="49"/>
      <c r="T76" s="49"/>
      <c r="U76" s="49"/>
      <c r="V76" s="49"/>
      <c r="W76" s="49"/>
      <c r="X76" s="49"/>
      <c r="Y76" s="49"/>
      <c r="Z76" s="49"/>
    </row>
    <row r="77">
      <c r="A77" s="49"/>
      <c r="B77" s="49"/>
      <c r="C77" s="49"/>
      <c r="D77" s="49"/>
      <c r="E77" s="106"/>
      <c r="F77" s="49"/>
      <c r="G77" s="49"/>
      <c r="H77" s="49"/>
      <c r="I77" s="49"/>
      <c r="J77" s="49"/>
      <c r="K77" s="49"/>
      <c r="L77" s="49"/>
      <c r="M77" s="49"/>
      <c r="N77" s="49"/>
      <c r="O77" s="49"/>
      <c r="P77" s="49"/>
      <c r="Q77" s="49"/>
      <c r="R77" s="49"/>
      <c r="S77" s="49"/>
      <c r="T77" s="49"/>
      <c r="U77" s="49"/>
      <c r="V77" s="49"/>
      <c r="W77" s="49"/>
      <c r="X77" s="49"/>
      <c r="Y77" s="49"/>
      <c r="Z77" s="49"/>
    </row>
    <row r="78">
      <c r="A78" s="49"/>
      <c r="B78" s="49"/>
      <c r="C78" s="49"/>
      <c r="D78" s="49"/>
      <c r="E78" s="106"/>
      <c r="F78" s="49"/>
      <c r="G78" s="49"/>
      <c r="H78" s="49"/>
      <c r="I78" s="49"/>
      <c r="J78" s="49"/>
      <c r="K78" s="49"/>
      <c r="L78" s="49"/>
      <c r="M78" s="49"/>
      <c r="N78" s="49"/>
      <c r="O78" s="49"/>
      <c r="P78" s="49"/>
      <c r="Q78" s="49"/>
      <c r="R78" s="49"/>
      <c r="S78" s="49"/>
      <c r="T78" s="49"/>
      <c r="U78" s="49"/>
      <c r="V78" s="49"/>
      <c r="W78" s="49"/>
      <c r="X78" s="49"/>
      <c r="Y78" s="49"/>
      <c r="Z78" s="49"/>
    </row>
    <row r="79">
      <c r="A79" s="49"/>
      <c r="B79" s="49"/>
      <c r="C79" s="49"/>
      <c r="D79" s="49"/>
      <c r="E79" s="106"/>
      <c r="F79" s="49"/>
      <c r="G79" s="49"/>
      <c r="H79" s="49"/>
      <c r="I79" s="49"/>
      <c r="J79" s="49"/>
      <c r="K79" s="49"/>
      <c r="L79" s="49"/>
      <c r="M79" s="49"/>
      <c r="N79" s="49"/>
      <c r="O79" s="49"/>
      <c r="P79" s="49"/>
      <c r="Q79" s="49"/>
      <c r="R79" s="49"/>
      <c r="S79" s="49"/>
      <c r="T79" s="49"/>
      <c r="U79" s="49"/>
      <c r="V79" s="49"/>
      <c r="W79" s="49"/>
      <c r="X79" s="49"/>
      <c r="Y79" s="49"/>
      <c r="Z79" s="49"/>
    </row>
    <row r="80">
      <c r="A80" s="49"/>
      <c r="B80" s="49"/>
      <c r="C80" s="49"/>
      <c r="D80" s="49"/>
      <c r="E80" s="106"/>
      <c r="F80" s="49"/>
      <c r="G80" s="49"/>
      <c r="H80" s="49"/>
      <c r="I80" s="49"/>
      <c r="J80" s="49"/>
      <c r="K80" s="49"/>
      <c r="L80" s="49"/>
      <c r="M80" s="49"/>
      <c r="N80" s="49"/>
      <c r="O80" s="49"/>
      <c r="P80" s="49"/>
      <c r="Q80" s="49"/>
      <c r="R80" s="49"/>
      <c r="S80" s="49"/>
      <c r="T80" s="49"/>
      <c r="U80" s="49"/>
      <c r="V80" s="49"/>
      <c r="W80" s="49"/>
      <c r="X80" s="49"/>
      <c r="Y80" s="49"/>
      <c r="Z80" s="49"/>
    </row>
    <row r="81">
      <c r="A81" s="49"/>
      <c r="B81" s="49"/>
      <c r="C81" s="49"/>
      <c r="D81" s="49"/>
      <c r="E81" s="106"/>
      <c r="F81" s="49"/>
      <c r="G81" s="49"/>
      <c r="H81" s="49"/>
      <c r="I81" s="49"/>
      <c r="J81" s="49"/>
      <c r="K81" s="49"/>
      <c r="L81" s="49"/>
      <c r="M81" s="49"/>
      <c r="N81" s="49"/>
      <c r="O81" s="49"/>
      <c r="P81" s="49"/>
      <c r="Q81" s="49"/>
      <c r="R81" s="49"/>
      <c r="S81" s="49"/>
      <c r="T81" s="49"/>
      <c r="U81" s="49"/>
      <c r="V81" s="49"/>
      <c r="W81" s="49"/>
      <c r="X81" s="49"/>
      <c r="Y81" s="49"/>
      <c r="Z81" s="49"/>
    </row>
    <row r="82">
      <c r="A82" s="49"/>
      <c r="B82" s="49"/>
      <c r="C82" s="49"/>
      <c r="D82" s="49"/>
      <c r="E82" s="106"/>
      <c r="F82" s="49"/>
      <c r="G82" s="49"/>
      <c r="H82" s="49"/>
      <c r="I82" s="49"/>
      <c r="J82" s="49"/>
      <c r="K82" s="49"/>
      <c r="L82" s="49"/>
      <c r="M82" s="49"/>
      <c r="N82" s="49"/>
      <c r="O82" s="49"/>
      <c r="P82" s="49"/>
      <c r="Q82" s="49"/>
      <c r="R82" s="49"/>
      <c r="S82" s="49"/>
      <c r="T82" s="49"/>
      <c r="U82" s="49"/>
      <c r="V82" s="49"/>
      <c r="W82" s="49"/>
      <c r="X82" s="49"/>
      <c r="Y82" s="49"/>
      <c r="Z82" s="49"/>
    </row>
    <row r="83">
      <c r="A83" s="49"/>
      <c r="B83" s="49"/>
      <c r="C83" s="49"/>
      <c r="D83" s="49"/>
      <c r="E83" s="106"/>
      <c r="F83" s="49"/>
      <c r="G83" s="49"/>
      <c r="H83" s="49"/>
      <c r="I83" s="49"/>
      <c r="J83" s="49"/>
      <c r="K83" s="49"/>
      <c r="L83" s="49"/>
      <c r="M83" s="49"/>
      <c r="N83" s="49"/>
      <c r="O83" s="49"/>
      <c r="P83" s="49"/>
      <c r="Q83" s="49"/>
      <c r="R83" s="49"/>
      <c r="S83" s="49"/>
      <c r="T83" s="49"/>
      <c r="U83" s="49"/>
      <c r="V83" s="49"/>
      <c r="W83" s="49"/>
      <c r="X83" s="49"/>
      <c r="Y83" s="49"/>
      <c r="Z83" s="49"/>
    </row>
    <row r="84">
      <c r="A84" s="49"/>
      <c r="B84" s="49"/>
      <c r="C84" s="49"/>
      <c r="D84" s="49"/>
      <c r="E84" s="106"/>
      <c r="F84" s="49"/>
      <c r="G84" s="49"/>
      <c r="H84" s="49"/>
      <c r="I84" s="49"/>
      <c r="J84" s="49"/>
      <c r="K84" s="49"/>
      <c r="L84" s="49"/>
      <c r="M84" s="49"/>
      <c r="N84" s="49"/>
      <c r="O84" s="49"/>
      <c r="P84" s="49"/>
      <c r="Q84" s="49"/>
      <c r="R84" s="49"/>
      <c r="S84" s="49"/>
      <c r="T84" s="49"/>
      <c r="U84" s="49"/>
      <c r="V84" s="49"/>
      <c r="W84" s="49"/>
      <c r="X84" s="49"/>
      <c r="Y84" s="49"/>
      <c r="Z84" s="49"/>
    </row>
    <row r="85">
      <c r="A85" s="49"/>
      <c r="B85" s="49"/>
      <c r="C85" s="49"/>
      <c r="D85" s="49"/>
      <c r="E85" s="106"/>
      <c r="F85" s="49"/>
      <c r="G85" s="49"/>
      <c r="H85" s="49"/>
      <c r="I85" s="49"/>
      <c r="J85" s="49"/>
      <c r="K85" s="49"/>
      <c r="L85" s="49"/>
      <c r="M85" s="49"/>
      <c r="N85" s="49"/>
      <c r="O85" s="49"/>
      <c r="P85" s="49"/>
      <c r="Q85" s="49"/>
      <c r="R85" s="49"/>
      <c r="S85" s="49"/>
      <c r="T85" s="49"/>
      <c r="U85" s="49"/>
      <c r="V85" s="49"/>
      <c r="W85" s="49"/>
      <c r="X85" s="49"/>
      <c r="Y85" s="49"/>
      <c r="Z85" s="49"/>
    </row>
    <row r="86">
      <c r="A86" s="49"/>
      <c r="B86" s="49"/>
      <c r="C86" s="49"/>
      <c r="D86" s="49"/>
      <c r="E86" s="106"/>
      <c r="F86" s="49"/>
      <c r="G86" s="49"/>
      <c r="H86" s="49"/>
      <c r="I86" s="49"/>
      <c r="J86" s="49"/>
      <c r="K86" s="49"/>
      <c r="L86" s="49"/>
      <c r="M86" s="49"/>
      <c r="N86" s="49"/>
      <c r="O86" s="49"/>
      <c r="P86" s="49"/>
      <c r="Q86" s="49"/>
      <c r="R86" s="49"/>
      <c r="S86" s="49"/>
      <c r="T86" s="49"/>
      <c r="U86" s="49"/>
      <c r="V86" s="49"/>
      <c r="W86" s="49"/>
      <c r="X86" s="49"/>
      <c r="Y86" s="49"/>
      <c r="Z86" s="49"/>
    </row>
    <row r="87">
      <c r="A87" s="49"/>
      <c r="B87" s="49"/>
      <c r="C87" s="49"/>
      <c r="D87" s="49"/>
      <c r="E87" s="106"/>
      <c r="F87" s="49"/>
      <c r="G87" s="49"/>
      <c r="H87" s="49"/>
      <c r="I87" s="49"/>
      <c r="J87" s="49"/>
      <c r="K87" s="49"/>
      <c r="L87" s="49"/>
      <c r="M87" s="49"/>
      <c r="N87" s="49"/>
      <c r="O87" s="49"/>
      <c r="P87" s="49"/>
      <c r="Q87" s="49"/>
      <c r="R87" s="49"/>
      <c r="S87" s="49"/>
      <c r="T87" s="49"/>
      <c r="U87" s="49"/>
      <c r="V87" s="49"/>
      <c r="W87" s="49"/>
      <c r="X87" s="49"/>
      <c r="Y87" s="49"/>
      <c r="Z87" s="49"/>
    </row>
    <row r="88">
      <c r="A88" s="49"/>
      <c r="B88" s="49"/>
      <c r="C88" s="49"/>
      <c r="D88" s="49"/>
      <c r="E88" s="106"/>
      <c r="F88" s="49"/>
      <c r="G88" s="49"/>
      <c r="H88" s="49"/>
      <c r="I88" s="49"/>
      <c r="J88" s="49"/>
      <c r="K88" s="49"/>
      <c r="L88" s="49"/>
      <c r="M88" s="49"/>
      <c r="N88" s="49"/>
      <c r="O88" s="49"/>
      <c r="P88" s="49"/>
      <c r="Q88" s="49"/>
      <c r="R88" s="49"/>
      <c r="S88" s="49"/>
      <c r="T88" s="49"/>
      <c r="U88" s="49"/>
      <c r="V88" s="49"/>
      <c r="W88" s="49"/>
      <c r="X88" s="49"/>
      <c r="Y88" s="49"/>
      <c r="Z88" s="49"/>
    </row>
    <row r="89">
      <c r="A89" s="49"/>
      <c r="B89" s="49"/>
      <c r="C89" s="49"/>
      <c r="D89" s="49"/>
      <c r="E89" s="106"/>
      <c r="F89" s="49"/>
      <c r="G89" s="49"/>
      <c r="H89" s="49"/>
      <c r="I89" s="49"/>
      <c r="J89" s="49"/>
      <c r="K89" s="49"/>
      <c r="L89" s="49"/>
      <c r="M89" s="49"/>
      <c r="N89" s="49"/>
      <c r="O89" s="49"/>
      <c r="P89" s="49"/>
      <c r="Q89" s="49"/>
      <c r="R89" s="49"/>
      <c r="S89" s="49"/>
      <c r="T89" s="49"/>
      <c r="U89" s="49"/>
      <c r="V89" s="49"/>
      <c r="W89" s="49"/>
      <c r="X89" s="49"/>
      <c r="Y89" s="49"/>
      <c r="Z89" s="49"/>
    </row>
    <row r="90">
      <c r="A90" s="49"/>
      <c r="B90" s="49"/>
      <c r="C90" s="49"/>
      <c r="D90" s="49"/>
      <c r="E90" s="106"/>
      <c r="F90" s="49"/>
      <c r="G90" s="49"/>
      <c r="H90" s="49"/>
      <c r="I90" s="49"/>
      <c r="J90" s="49"/>
      <c r="K90" s="49"/>
      <c r="L90" s="49"/>
      <c r="M90" s="49"/>
      <c r="N90" s="49"/>
      <c r="O90" s="49"/>
      <c r="P90" s="49"/>
      <c r="Q90" s="49"/>
      <c r="R90" s="49"/>
      <c r="S90" s="49"/>
      <c r="T90" s="49"/>
      <c r="U90" s="49"/>
      <c r="V90" s="49"/>
      <c r="W90" s="49"/>
      <c r="X90" s="49"/>
      <c r="Y90" s="49"/>
      <c r="Z90" s="49"/>
    </row>
    <row r="91">
      <c r="A91" s="49"/>
      <c r="B91" s="49"/>
      <c r="C91" s="49"/>
      <c r="D91" s="49"/>
      <c r="E91" s="106"/>
      <c r="F91" s="49"/>
      <c r="G91" s="49"/>
      <c r="H91" s="49"/>
      <c r="I91" s="49"/>
      <c r="J91" s="49"/>
      <c r="K91" s="49"/>
      <c r="L91" s="49"/>
      <c r="M91" s="49"/>
      <c r="N91" s="49"/>
      <c r="O91" s="49"/>
      <c r="P91" s="49"/>
      <c r="Q91" s="49"/>
      <c r="R91" s="49"/>
      <c r="S91" s="49"/>
      <c r="T91" s="49"/>
      <c r="U91" s="49"/>
      <c r="V91" s="49"/>
      <c r="W91" s="49"/>
      <c r="X91" s="49"/>
      <c r="Y91" s="49"/>
      <c r="Z91" s="49"/>
    </row>
    <row r="92">
      <c r="A92" s="49"/>
      <c r="B92" s="49"/>
      <c r="C92" s="49"/>
      <c r="D92" s="49"/>
      <c r="E92" s="106"/>
      <c r="F92" s="49"/>
      <c r="G92" s="49"/>
      <c r="H92" s="49"/>
      <c r="I92" s="49"/>
      <c r="J92" s="49"/>
      <c r="K92" s="49"/>
      <c r="L92" s="49"/>
      <c r="M92" s="49"/>
      <c r="N92" s="49"/>
      <c r="O92" s="49"/>
      <c r="P92" s="49"/>
      <c r="Q92" s="49"/>
      <c r="R92" s="49"/>
      <c r="S92" s="49"/>
      <c r="T92" s="49"/>
      <c r="U92" s="49"/>
      <c r="V92" s="49"/>
      <c r="W92" s="49"/>
      <c r="X92" s="49"/>
      <c r="Y92" s="49"/>
      <c r="Z92" s="49"/>
    </row>
    <row r="93">
      <c r="A93" s="49"/>
      <c r="B93" s="49"/>
      <c r="C93" s="49"/>
      <c r="D93" s="49"/>
      <c r="E93" s="106"/>
      <c r="F93" s="49"/>
      <c r="G93" s="49"/>
      <c r="H93" s="49"/>
      <c r="I93" s="49"/>
      <c r="J93" s="49"/>
      <c r="K93" s="49"/>
      <c r="L93" s="49"/>
      <c r="M93" s="49"/>
      <c r="N93" s="49"/>
      <c r="O93" s="49"/>
      <c r="P93" s="49"/>
      <c r="Q93" s="49"/>
      <c r="R93" s="49"/>
      <c r="S93" s="49"/>
      <c r="T93" s="49"/>
      <c r="U93" s="49"/>
      <c r="V93" s="49"/>
      <c r="W93" s="49"/>
      <c r="X93" s="49"/>
      <c r="Y93" s="49"/>
      <c r="Z93" s="49"/>
    </row>
    <row r="94">
      <c r="A94" s="49"/>
      <c r="B94" s="49"/>
      <c r="C94" s="49"/>
      <c r="D94" s="49"/>
      <c r="E94" s="106"/>
      <c r="F94" s="49"/>
      <c r="G94" s="49"/>
      <c r="H94" s="49"/>
      <c r="I94" s="49"/>
      <c r="J94" s="49"/>
      <c r="K94" s="49"/>
      <c r="L94" s="49"/>
      <c r="M94" s="49"/>
      <c r="N94" s="49"/>
      <c r="O94" s="49"/>
      <c r="P94" s="49"/>
      <c r="Q94" s="49"/>
      <c r="R94" s="49"/>
      <c r="S94" s="49"/>
      <c r="T94" s="49"/>
      <c r="U94" s="49"/>
      <c r="V94" s="49"/>
      <c r="W94" s="49"/>
      <c r="X94" s="49"/>
      <c r="Y94" s="49"/>
      <c r="Z94" s="49"/>
    </row>
    <row r="95">
      <c r="A95" s="49"/>
      <c r="B95" s="49"/>
      <c r="C95" s="49"/>
      <c r="D95" s="49"/>
      <c r="E95" s="106"/>
      <c r="F95" s="49"/>
      <c r="G95" s="49"/>
      <c r="H95" s="49"/>
      <c r="I95" s="49"/>
      <c r="J95" s="49"/>
      <c r="K95" s="49"/>
      <c r="L95" s="49"/>
      <c r="M95" s="49"/>
      <c r="N95" s="49"/>
      <c r="O95" s="49"/>
      <c r="P95" s="49"/>
      <c r="Q95" s="49"/>
      <c r="R95" s="49"/>
      <c r="S95" s="49"/>
      <c r="T95" s="49"/>
      <c r="U95" s="49"/>
      <c r="V95" s="49"/>
      <c r="W95" s="49"/>
      <c r="X95" s="49"/>
      <c r="Y95" s="49"/>
      <c r="Z95" s="49"/>
    </row>
    <row r="96">
      <c r="A96" s="49"/>
      <c r="B96" s="49"/>
      <c r="C96" s="49"/>
      <c r="D96" s="49"/>
      <c r="E96" s="106"/>
      <c r="F96" s="49"/>
      <c r="G96" s="49"/>
      <c r="H96" s="49"/>
      <c r="I96" s="49"/>
      <c r="J96" s="49"/>
      <c r="K96" s="49"/>
      <c r="L96" s="49"/>
      <c r="M96" s="49"/>
      <c r="N96" s="49"/>
      <c r="O96" s="49"/>
      <c r="P96" s="49"/>
      <c r="Q96" s="49"/>
      <c r="R96" s="49"/>
      <c r="S96" s="49"/>
      <c r="T96" s="49"/>
      <c r="U96" s="49"/>
      <c r="V96" s="49"/>
      <c r="W96" s="49"/>
      <c r="X96" s="49"/>
      <c r="Y96" s="49"/>
      <c r="Z96" s="49"/>
    </row>
    <row r="97">
      <c r="A97" s="49"/>
      <c r="B97" s="49"/>
      <c r="C97" s="49"/>
      <c r="D97" s="49"/>
      <c r="E97" s="106"/>
      <c r="F97" s="49"/>
      <c r="G97" s="49"/>
      <c r="H97" s="49"/>
      <c r="I97" s="49"/>
      <c r="J97" s="49"/>
      <c r="K97" s="49"/>
      <c r="L97" s="49"/>
      <c r="M97" s="49"/>
      <c r="N97" s="49"/>
      <c r="O97" s="49"/>
      <c r="P97" s="49"/>
      <c r="Q97" s="49"/>
      <c r="R97" s="49"/>
      <c r="S97" s="49"/>
      <c r="T97" s="49"/>
      <c r="U97" s="49"/>
      <c r="V97" s="49"/>
      <c r="W97" s="49"/>
      <c r="X97" s="49"/>
      <c r="Y97" s="49"/>
      <c r="Z97" s="49"/>
    </row>
    <row r="98">
      <c r="A98" s="49"/>
      <c r="B98" s="49"/>
      <c r="C98" s="49"/>
      <c r="D98" s="49"/>
      <c r="E98" s="106"/>
      <c r="F98" s="49"/>
      <c r="G98" s="49"/>
      <c r="H98" s="49"/>
      <c r="I98" s="49"/>
      <c r="J98" s="49"/>
      <c r="K98" s="49"/>
      <c r="L98" s="49"/>
      <c r="M98" s="49"/>
      <c r="N98" s="49"/>
      <c r="O98" s="49"/>
      <c r="P98" s="49"/>
      <c r="Q98" s="49"/>
      <c r="R98" s="49"/>
      <c r="S98" s="49"/>
      <c r="T98" s="49"/>
      <c r="U98" s="49"/>
      <c r="V98" s="49"/>
      <c r="W98" s="49"/>
      <c r="X98" s="49"/>
      <c r="Y98" s="49"/>
      <c r="Z98" s="49"/>
    </row>
    <row r="99">
      <c r="A99" s="49"/>
      <c r="B99" s="49"/>
      <c r="C99" s="49"/>
      <c r="D99" s="49"/>
      <c r="E99" s="106"/>
      <c r="F99" s="49"/>
      <c r="G99" s="49"/>
      <c r="H99" s="49"/>
      <c r="I99" s="49"/>
      <c r="J99" s="49"/>
      <c r="K99" s="49"/>
      <c r="L99" s="49"/>
      <c r="M99" s="49"/>
      <c r="N99" s="49"/>
      <c r="O99" s="49"/>
      <c r="P99" s="49"/>
      <c r="Q99" s="49"/>
      <c r="R99" s="49"/>
      <c r="S99" s="49"/>
      <c r="T99" s="49"/>
      <c r="U99" s="49"/>
      <c r="V99" s="49"/>
      <c r="W99" s="49"/>
      <c r="X99" s="49"/>
      <c r="Y99" s="49"/>
      <c r="Z99" s="49"/>
    </row>
    <row r="100">
      <c r="A100" s="49"/>
      <c r="B100" s="49"/>
      <c r="C100" s="49"/>
      <c r="D100" s="49"/>
      <c r="E100" s="106"/>
      <c r="F100" s="49"/>
      <c r="G100" s="49"/>
      <c r="H100" s="49"/>
      <c r="I100" s="49"/>
      <c r="J100" s="49"/>
      <c r="K100" s="49"/>
      <c r="L100" s="49"/>
      <c r="M100" s="49"/>
      <c r="N100" s="49"/>
      <c r="O100" s="49"/>
      <c r="P100" s="49"/>
      <c r="Q100" s="49"/>
      <c r="R100" s="49"/>
      <c r="S100" s="49"/>
      <c r="T100" s="49"/>
      <c r="U100" s="49"/>
      <c r="V100" s="49"/>
      <c r="W100" s="49"/>
      <c r="X100" s="49"/>
      <c r="Y100" s="49"/>
      <c r="Z100" s="49"/>
    </row>
    <row r="101">
      <c r="A101" s="49"/>
      <c r="B101" s="49"/>
      <c r="C101" s="49"/>
      <c r="D101" s="49"/>
      <c r="E101" s="106"/>
      <c r="F101" s="49"/>
      <c r="G101" s="49"/>
      <c r="H101" s="49"/>
      <c r="I101" s="49"/>
      <c r="J101" s="49"/>
      <c r="K101" s="49"/>
      <c r="L101" s="49"/>
      <c r="M101" s="49"/>
      <c r="N101" s="49"/>
      <c r="O101" s="49"/>
      <c r="P101" s="49"/>
      <c r="Q101" s="49"/>
      <c r="R101" s="49"/>
      <c r="S101" s="49"/>
      <c r="T101" s="49"/>
      <c r="U101" s="49"/>
      <c r="V101" s="49"/>
      <c r="W101" s="49"/>
      <c r="X101" s="49"/>
      <c r="Y101" s="49"/>
      <c r="Z101" s="49"/>
    </row>
    <row r="102">
      <c r="A102" s="49"/>
      <c r="B102" s="49"/>
      <c r="C102" s="49"/>
      <c r="D102" s="49"/>
      <c r="E102" s="106"/>
      <c r="F102" s="49"/>
      <c r="G102" s="49"/>
      <c r="H102" s="49"/>
      <c r="I102" s="49"/>
      <c r="J102" s="49"/>
      <c r="K102" s="49"/>
      <c r="L102" s="49"/>
      <c r="M102" s="49"/>
      <c r="N102" s="49"/>
      <c r="O102" s="49"/>
      <c r="P102" s="49"/>
      <c r="Q102" s="49"/>
      <c r="R102" s="49"/>
      <c r="S102" s="49"/>
      <c r="T102" s="49"/>
      <c r="U102" s="49"/>
      <c r="V102" s="49"/>
      <c r="W102" s="49"/>
      <c r="X102" s="49"/>
      <c r="Y102" s="49"/>
      <c r="Z102" s="49"/>
    </row>
    <row r="103">
      <c r="A103" s="49"/>
      <c r="B103" s="49"/>
      <c r="C103" s="49"/>
      <c r="D103" s="49"/>
      <c r="E103" s="106"/>
      <c r="F103" s="49"/>
      <c r="G103" s="49"/>
      <c r="H103" s="49"/>
      <c r="I103" s="49"/>
      <c r="J103" s="49"/>
      <c r="K103" s="49"/>
      <c r="L103" s="49"/>
      <c r="M103" s="49"/>
      <c r="N103" s="49"/>
      <c r="O103" s="49"/>
      <c r="P103" s="49"/>
      <c r="Q103" s="49"/>
      <c r="R103" s="49"/>
      <c r="S103" s="49"/>
      <c r="T103" s="49"/>
      <c r="U103" s="49"/>
      <c r="V103" s="49"/>
      <c r="W103" s="49"/>
      <c r="X103" s="49"/>
      <c r="Y103" s="49"/>
      <c r="Z103" s="49"/>
    </row>
    <row r="104">
      <c r="A104" s="49"/>
      <c r="B104" s="49"/>
      <c r="C104" s="49"/>
      <c r="D104" s="49"/>
      <c r="E104" s="106"/>
      <c r="F104" s="49"/>
      <c r="G104" s="49"/>
      <c r="H104" s="49"/>
      <c r="I104" s="49"/>
      <c r="J104" s="49"/>
      <c r="K104" s="49"/>
      <c r="L104" s="49"/>
      <c r="M104" s="49"/>
      <c r="N104" s="49"/>
      <c r="O104" s="49"/>
      <c r="P104" s="49"/>
      <c r="Q104" s="49"/>
      <c r="R104" s="49"/>
      <c r="S104" s="49"/>
      <c r="T104" s="49"/>
      <c r="U104" s="49"/>
      <c r="V104" s="49"/>
      <c r="W104" s="49"/>
      <c r="X104" s="49"/>
      <c r="Y104" s="49"/>
      <c r="Z104" s="49"/>
    </row>
    <row r="105">
      <c r="A105" s="49"/>
      <c r="B105" s="49"/>
      <c r="C105" s="49"/>
      <c r="D105" s="49"/>
      <c r="E105" s="106"/>
      <c r="F105" s="49"/>
      <c r="G105" s="49"/>
      <c r="H105" s="49"/>
      <c r="I105" s="49"/>
      <c r="J105" s="49"/>
      <c r="K105" s="49"/>
      <c r="L105" s="49"/>
      <c r="M105" s="49"/>
      <c r="N105" s="49"/>
      <c r="O105" s="49"/>
      <c r="P105" s="49"/>
      <c r="Q105" s="49"/>
      <c r="R105" s="49"/>
      <c r="S105" s="49"/>
      <c r="T105" s="49"/>
      <c r="U105" s="49"/>
      <c r="V105" s="49"/>
      <c r="W105" s="49"/>
      <c r="X105" s="49"/>
      <c r="Y105" s="49"/>
      <c r="Z105" s="49"/>
    </row>
    <row r="106">
      <c r="A106" s="49"/>
      <c r="B106" s="49"/>
      <c r="C106" s="49"/>
      <c r="D106" s="49"/>
      <c r="E106" s="106"/>
      <c r="F106" s="49"/>
      <c r="G106" s="49"/>
      <c r="H106" s="49"/>
      <c r="I106" s="49"/>
      <c r="J106" s="49"/>
      <c r="K106" s="49"/>
      <c r="L106" s="49"/>
      <c r="M106" s="49"/>
      <c r="N106" s="49"/>
      <c r="O106" s="49"/>
      <c r="P106" s="49"/>
      <c r="Q106" s="49"/>
      <c r="R106" s="49"/>
      <c r="S106" s="49"/>
      <c r="T106" s="49"/>
      <c r="U106" s="49"/>
      <c r="V106" s="49"/>
      <c r="W106" s="49"/>
      <c r="X106" s="49"/>
      <c r="Y106" s="49"/>
      <c r="Z106" s="49"/>
    </row>
    <row r="107">
      <c r="A107" s="49"/>
      <c r="B107" s="49"/>
      <c r="C107" s="49"/>
      <c r="D107" s="49"/>
      <c r="E107" s="106"/>
      <c r="F107" s="49"/>
      <c r="G107" s="49"/>
      <c r="H107" s="49"/>
      <c r="I107" s="49"/>
      <c r="J107" s="49"/>
      <c r="K107" s="49"/>
      <c r="L107" s="49"/>
      <c r="M107" s="49"/>
      <c r="N107" s="49"/>
      <c r="O107" s="49"/>
      <c r="P107" s="49"/>
      <c r="Q107" s="49"/>
      <c r="R107" s="49"/>
      <c r="S107" s="49"/>
      <c r="T107" s="49"/>
      <c r="U107" s="49"/>
      <c r="V107" s="49"/>
      <c r="W107" s="49"/>
      <c r="X107" s="49"/>
      <c r="Y107" s="49"/>
      <c r="Z107" s="49"/>
    </row>
    <row r="108">
      <c r="A108" s="49"/>
      <c r="B108" s="49"/>
      <c r="C108" s="49"/>
      <c r="D108" s="49"/>
      <c r="E108" s="106"/>
      <c r="F108" s="49"/>
      <c r="G108" s="49"/>
      <c r="H108" s="49"/>
      <c r="I108" s="49"/>
      <c r="J108" s="49"/>
      <c r="K108" s="49"/>
      <c r="L108" s="49"/>
      <c r="M108" s="49"/>
      <c r="N108" s="49"/>
      <c r="O108" s="49"/>
      <c r="P108" s="49"/>
      <c r="Q108" s="49"/>
      <c r="R108" s="49"/>
      <c r="S108" s="49"/>
      <c r="T108" s="49"/>
      <c r="U108" s="49"/>
      <c r="V108" s="49"/>
      <c r="W108" s="49"/>
      <c r="X108" s="49"/>
      <c r="Y108" s="49"/>
      <c r="Z108" s="49"/>
    </row>
    <row r="109">
      <c r="A109" s="49"/>
      <c r="B109" s="49"/>
      <c r="C109" s="49"/>
      <c r="D109" s="49"/>
      <c r="E109" s="106"/>
      <c r="F109" s="49"/>
      <c r="G109" s="49"/>
      <c r="H109" s="49"/>
      <c r="I109" s="49"/>
      <c r="J109" s="49"/>
      <c r="K109" s="49"/>
      <c r="L109" s="49"/>
      <c r="M109" s="49"/>
      <c r="N109" s="49"/>
      <c r="O109" s="49"/>
      <c r="P109" s="49"/>
      <c r="Q109" s="49"/>
      <c r="R109" s="49"/>
      <c r="S109" s="49"/>
      <c r="T109" s="49"/>
      <c r="U109" s="49"/>
      <c r="V109" s="49"/>
      <c r="W109" s="49"/>
      <c r="X109" s="49"/>
      <c r="Y109" s="49"/>
      <c r="Z109" s="49"/>
    </row>
    <row r="110">
      <c r="A110" s="49"/>
      <c r="B110" s="49"/>
      <c r="C110" s="49"/>
      <c r="D110" s="49"/>
      <c r="E110" s="106"/>
      <c r="F110" s="49"/>
      <c r="G110" s="49"/>
      <c r="H110" s="49"/>
      <c r="I110" s="49"/>
      <c r="J110" s="49"/>
      <c r="K110" s="49"/>
      <c r="L110" s="49"/>
      <c r="M110" s="49"/>
      <c r="N110" s="49"/>
      <c r="O110" s="49"/>
      <c r="P110" s="49"/>
      <c r="Q110" s="49"/>
      <c r="R110" s="49"/>
      <c r="S110" s="49"/>
      <c r="T110" s="49"/>
      <c r="U110" s="49"/>
      <c r="V110" s="49"/>
      <c r="W110" s="49"/>
      <c r="X110" s="49"/>
      <c r="Y110" s="49"/>
      <c r="Z110" s="49"/>
    </row>
    <row r="111">
      <c r="A111" s="49"/>
      <c r="B111" s="49"/>
      <c r="C111" s="49"/>
      <c r="D111" s="49"/>
      <c r="E111" s="106"/>
      <c r="F111" s="49"/>
      <c r="G111" s="49"/>
      <c r="H111" s="49"/>
      <c r="I111" s="49"/>
      <c r="J111" s="49"/>
      <c r="K111" s="49"/>
      <c r="L111" s="49"/>
      <c r="M111" s="49"/>
      <c r="N111" s="49"/>
      <c r="O111" s="49"/>
      <c r="P111" s="49"/>
      <c r="Q111" s="49"/>
      <c r="R111" s="49"/>
      <c r="S111" s="49"/>
      <c r="T111" s="49"/>
      <c r="U111" s="49"/>
      <c r="V111" s="49"/>
      <c r="W111" s="49"/>
      <c r="X111" s="49"/>
      <c r="Y111" s="49"/>
      <c r="Z111" s="49"/>
    </row>
    <row r="112">
      <c r="A112" s="49"/>
      <c r="B112" s="49"/>
      <c r="C112" s="49"/>
      <c r="D112" s="49"/>
      <c r="E112" s="106"/>
      <c r="F112" s="49"/>
      <c r="G112" s="49"/>
      <c r="H112" s="49"/>
      <c r="I112" s="49"/>
      <c r="J112" s="49"/>
      <c r="K112" s="49"/>
      <c r="L112" s="49"/>
      <c r="M112" s="49"/>
      <c r="N112" s="49"/>
      <c r="O112" s="49"/>
      <c r="P112" s="49"/>
      <c r="Q112" s="49"/>
      <c r="R112" s="49"/>
      <c r="S112" s="49"/>
      <c r="T112" s="49"/>
      <c r="U112" s="49"/>
      <c r="V112" s="49"/>
      <c r="W112" s="49"/>
      <c r="X112" s="49"/>
      <c r="Y112" s="49"/>
      <c r="Z112" s="49"/>
    </row>
    <row r="113">
      <c r="A113" s="49"/>
      <c r="B113" s="49"/>
      <c r="C113" s="49"/>
      <c r="D113" s="49"/>
      <c r="E113" s="106"/>
      <c r="F113" s="49"/>
      <c r="G113" s="49"/>
      <c r="H113" s="49"/>
      <c r="I113" s="49"/>
      <c r="J113" s="49"/>
      <c r="K113" s="49"/>
      <c r="L113" s="49"/>
      <c r="M113" s="49"/>
      <c r="N113" s="49"/>
      <c r="O113" s="49"/>
      <c r="P113" s="49"/>
      <c r="Q113" s="49"/>
      <c r="R113" s="49"/>
      <c r="S113" s="49"/>
      <c r="T113" s="49"/>
      <c r="U113" s="49"/>
      <c r="V113" s="49"/>
      <c r="W113" s="49"/>
      <c r="X113" s="49"/>
      <c r="Y113" s="49"/>
      <c r="Z113" s="49"/>
    </row>
    <row r="114">
      <c r="A114" s="49"/>
      <c r="B114" s="49"/>
      <c r="C114" s="49"/>
      <c r="D114" s="49"/>
      <c r="E114" s="106"/>
      <c r="F114" s="49"/>
      <c r="G114" s="49"/>
      <c r="H114" s="49"/>
      <c r="I114" s="49"/>
      <c r="J114" s="49"/>
      <c r="K114" s="49"/>
      <c r="L114" s="49"/>
      <c r="M114" s="49"/>
      <c r="N114" s="49"/>
      <c r="O114" s="49"/>
      <c r="P114" s="49"/>
      <c r="Q114" s="49"/>
      <c r="R114" s="49"/>
      <c r="S114" s="49"/>
      <c r="T114" s="49"/>
      <c r="U114" s="49"/>
      <c r="V114" s="49"/>
      <c r="W114" s="49"/>
      <c r="X114" s="49"/>
      <c r="Y114" s="49"/>
      <c r="Z114" s="49"/>
    </row>
    <row r="115">
      <c r="A115" s="49"/>
      <c r="B115" s="49"/>
      <c r="C115" s="49"/>
      <c r="D115" s="49"/>
      <c r="E115" s="106"/>
      <c r="F115" s="49"/>
      <c r="G115" s="49"/>
      <c r="H115" s="49"/>
      <c r="I115" s="49"/>
      <c r="J115" s="49"/>
      <c r="K115" s="49"/>
      <c r="L115" s="49"/>
      <c r="M115" s="49"/>
      <c r="N115" s="49"/>
      <c r="O115" s="49"/>
      <c r="P115" s="49"/>
      <c r="Q115" s="49"/>
      <c r="R115" s="49"/>
      <c r="S115" s="49"/>
      <c r="T115" s="49"/>
      <c r="U115" s="49"/>
      <c r="V115" s="49"/>
      <c r="W115" s="49"/>
      <c r="X115" s="49"/>
      <c r="Y115" s="49"/>
      <c r="Z115" s="49"/>
    </row>
    <row r="116">
      <c r="A116" s="49"/>
      <c r="B116" s="49"/>
      <c r="C116" s="49"/>
      <c r="D116" s="49"/>
      <c r="E116" s="106"/>
      <c r="F116" s="49"/>
      <c r="G116" s="49"/>
      <c r="H116" s="49"/>
      <c r="I116" s="49"/>
      <c r="J116" s="49"/>
      <c r="K116" s="49"/>
      <c r="L116" s="49"/>
      <c r="M116" s="49"/>
      <c r="N116" s="49"/>
      <c r="O116" s="49"/>
      <c r="P116" s="49"/>
      <c r="Q116" s="49"/>
      <c r="R116" s="49"/>
      <c r="S116" s="49"/>
      <c r="T116" s="49"/>
      <c r="U116" s="49"/>
      <c r="V116" s="49"/>
      <c r="W116" s="49"/>
      <c r="X116" s="49"/>
      <c r="Y116" s="49"/>
      <c r="Z116" s="49"/>
    </row>
    <row r="117">
      <c r="A117" s="49"/>
      <c r="B117" s="49"/>
      <c r="C117" s="49"/>
      <c r="D117" s="49"/>
      <c r="E117" s="106"/>
      <c r="F117" s="49"/>
      <c r="G117" s="49"/>
      <c r="H117" s="49"/>
      <c r="I117" s="49"/>
      <c r="J117" s="49"/>
      <c r="K117" s="49"/>
      <c r="L117" s="49"/>
      <c r="M117" s="49"/>
      <c r="N117" s="49"/>
      <c r="O117" s="49"/>
      <c r="P117" s="49"/>
      <c r="Q117" s="49"/>
      <c r="R117" s="49"/>
      <c r="S117" s="49"/>
      <c r="T117" s="49"/>
      <c r="U117" s="49"/>
      <c r="V117" s="49"/>
      <c r="W117" s="49"/>
      <c r="X117" s="49"/>
      <c r="Y117" s="49"/>
      <c r="Z117" s="49"/>
    </row>
    <row r="118">
      <c r="A118" s="49"/>
      <c r="B118" s="49"/>
      <c r="C118" s="49"/>
      <c r="D118" s="49"/>
      <c r="E118" s="106"/>
      <c r="F118" s="49"/>
      <c r="G118" s="49"/>
      <c r="H118" s="49"/>
      <c r="I118" s="49"/>
      <c r="J118" s="49"/>
      <c r="K118" s="49"/>
      <c r="L118" s="49"/>
      <c r="M118" s="49"/>
      <c r="N118" s="49"/>
      <c r="O118" s="49"/>
      <c r="P118" s="49"/>
      <c r="Q118" s="49"/>
      <c r="R118" s="49"/>
      <c r="S118" s="49"/>
      <c r="T118" s="49"/>
      <c r="U118" s="49"/>
      <c r="V118" s="49"/>
      <c r="W118" s="49"/>
      <c r="X118" s="49"/>
      <c r="Y118" s="49"/>
      <c r="Z118" s="49"/>
    </row>
    <row r="119">
      <c r="A119" s="49"/>
      <c r="B119" s="49"/>
      <c r="C119" s="49"/>
      <c r="D119" s="49"/>
      <c r="E119" s="106"/>
      <c r="F119" s="49"/>
      <c r="G119" s="49"/>
      <c r="H119" s="49"/>
      <c r="I119" s="49"/>
      <c r="J119" s="49"/>
      <c r="K119" s="49"/>
      <c r="L119" s="49"/>
      <c r="M119" s="49"/>
      <c r="N119" s="49"/>
      <c r="O119" s="49"/>
      <c r="P119" s="49"/>
      <c r="Q119" s="49"/>
      <c r="R119" s="49"/>
      <c r="S119" s="49"/>
      <c r="T119" s="49"/>
      <c r="U119" s="49"/>
      <c r="V119" s="49"/>
      <c r="W119" s="49"/>
      <c r="X119" s="49"/>
      <c r="Y119" s="49"/>
      <c r="Z119" s="49"/>
    </row>
    <row r="120">
      <c r="A120" s="49"/>
      <c r="B120" s="49"/>
      <c r="C120" s="49"/>
      <c r="D120" s="49"/>
      <c r="E120" s="106"/>
      <c r="F120" s="49"/>
      <c r="G120" s="49"/>
      <c r="H120" s="49"/>
      <c r="I120" s="49"/>
      <c r="J120" s="49"/>
      <c r="K120" s="49"/>
      <c r="L120" s="49"/>
      <c r="M120" s="49"/>
      <c r="N120" s="49"/>
      <c r="O120" s="49"/>
      <c r="P120" s="49"/>
      <c r="Q120" s="49"/>
      <c r="R120" s="49"/>
      <c r="S120" s="49"/>
      <c r="T120" s="49"/>
      <c r="U120" s="49"/>
      <c r="V120" s="49"/>
      <c r="W120" s="49"/>
      <c r="X120" s="49"/>
      <c r="Y120" s="49"/>
      <c r="Z120" s="49"/>
    </row>
    <row r="121">
      <c r="A121" s="49"/>
      <c r="B121" s="49"/>
      <c r="C121" s="49"/>
      <c r="D121" s="49"/>
      <c r="E121" s="106"/>
      <c r="F121" s="49"/>
      <c r="G121" s="49"/>
      <c r="H121" s="49"/>
      <c r="I121" s="49"/>
      <c r="J121" s="49"/>
      <c r="K121" s="49"/>
      <c r="L121" s="49"/>
      <c r="M121" s="49"/>
      <c r="N121" s="49"/>
      <c r="O121" s="49"/>
      <c r="P121" s="49"/>
      <c r="Q121" s="49"/>
      <c r="R121" s="49"/>
      <c r="S121" s="49"/>
      <c r="T121" s="49"/>
      <c r="U121" s="49"/>
      <c r="V121" s="49"/>
      <c r="W121" s="49"/>
      <c r="X121" s="49"/>
      <c r="Y121" s="49"/>
      <c r="Z121" s="49"/>
    </row>
    <row r="122">
      <c r="A122" s="49"/>
      <c r="B122" s="49"/>
      <c r="C122" s="49"/>
      <c r="D122" s="49"/>
      <c r="E122" s="106"/>
      <c r="F122" s="49"/>
      <c r="G122" s="49"/>
      <c r="H122" s="49"/>
      <c r="I122" s="49"/>
      <c r="J122" s="49"/>
      <c r="K122" s="49"/>
      <c r="L122" s="49"/>
      <c r="M122" s="49"/>
      <c r="N122" s="49"/>
      <c r="O122" s="49"/>
      <c r="P122" s="49"/>
      <c r="Q122" s="49"/>
      <c r="R122" s="49"/>
      <c r="S122" s="49"/>
      <c r="T122" s="49"/>
      <c r="U122" s="49"/>
      <c r="V122" s="49"/>
      <c r="W122" s="49"/>
      <c r="X122" s="49"/>
      <c r="Y122" s="49"/>
      <c r="Z122" s="49"/>
    </row>
    <row r="123">
      <c r="A123" s="49"/>
      <c r="B123" s="49"/>
      <c r="C123" s="49"/>
      <c r="D123" s="49"/>
      <c r="E123" s="106"/>
      <c r="F123" s="49"/>
      <c r="G123" s="49"/>
      <c r="H123" s="49"/>
      <c r="I123" s="49"/>
      <c r="J123" s="49"/>
      <c r="K123" s="49"/>
      <c r="L123" s="49"/>
      <c r="M123" s="49"/>
      <c r="N123" s="49"/>
      <c r="O123" s="49"/>
      <c r="P123" s="49"/>
      <c r="Q123" s="49"/>
      <c r="R123" s="49"/>
      <c r="S123" s="49"/>
      <c r="T123" s="49"/>
      <c r="U123" s="49"/>
      <c r="V123" s="49"/>
      <c r="W123" s="49"/>
      <c r="X123" s="49"/>
      <c r="Y123" s="49"/>
      <c r="Z123" s="49"/>
    </row>
    <row r="124">
      <c r="A124" s="49"/>
      <c r="B124" s="49"/>
      <c r="C124" s="49"/>
      <c r="D124" s="49"/>
      <c r="E124" s="106"/>
      <c r="F124" s="49"/>
      <c r="G124" s="49"/>
      <c r="H124" s="49"/>
      <c r="I124" s="49"/>
      <c r="J124" s="49"/>
      <c r="K124" s="49"/>
      <c r="L124" s="49"/>
      <c r="M124" s="49"/>
      <c r="N124" s="49"/>
      <c r="O124" s="49"/>
      <c r="P124" s="49"/>
      <c r="Q124" s="49"/>
      <c r="R124" s="49"/>
      <c r="S124" s="49"/>
      <c r="T124" s="49"/>
      <c r="U124" s="49"/>
      <c r="V124" s="49"/>
      <c r="W124" s="49"/>
      <c r="X124" s="49"/>
      <c r="Y124" s="49"/>
      <c r="Z124" s="49"/>
    </row>
    <row r="125">
      <c r="A125" s="49"/>
      <c r="B125" s="49"/>
      <c r="C125" s="49"/>
      <c r="D125" s="49"/>
      <c r="E125" s="106"/>
      <c r="F125" s="49"/>
      <c r="G125" s="49"/>
      <c r="H125" s="49"/>
      <c r="I125" s="49"/>
      <c r="J125" s="49"/>
      <c r="K125" s="49"/>
      <c r="L125" s="49"/>
      <c r="M125" s="49"/>
      <c r="N125" s="49"/>
      <c r="O125" s="49"/>
      <c r="P125" s="49"/>
      <c r="Q125" s="49"/>
      <c r="R125" s="49"/>
      <c r="S125" s="49"/>
      <c r="T125" s="49"/>
      <c r="U125" s="49"/>
      <c r="V125" s="49"/>
      <c r="W125" s="49"/>
      <c r="X125" s="49"/>
      <c r="Y125" s="49"/>
      <c r="Z125" s="49"/>
    </row>
    <row r="126">
      <c r="A126" s="49"/>
      <c r="B126" s="49"/>
      <c r="C126" s="49"/>
      <c r="D126" s="49"/>
      <c r="E126" s="106"/>
      <c r="F126" s="49"/>
      <c r="G126" s="49"/>
      <c r="H126" s="49"/>
      <c r="I126" s="49"/>
      <c r="J126" s="49"/>
      <c r="K126" s="49"/>
      <c r="L126" s="49"/>
      <c r="M126" s="49"/>
      <c r="N126" s="49"/>
      <c r="O126" s="49"/>
      <c r="P126" s="49"/>
      <c r="Q126" s="49"/>
      <c r="R126" s="49"/>
      <c r="S126" s="49"/>
      <c r="T126" s="49"/>
      <c r="U126" s="49"/>
      <c r="V126" s="49"/>
      <c r="W126" s="49"/>
      <c r="X126" s="49"/>
      <c r="Y126" s="49"/>
      <c r="Z126" s="49"/>
    </row>
    <row r="127">
      <c r="A127" s="49"/>
      <c r="B127" s="49"/>
      <c r="C127" s="49"/>
      <c r="D127" s="49"/>
      <c r="E127" s="106"/>
      <c r="F127" s="49"/>
      <c r="G127" s="49"/>
      <c r="H127" s="49"/>
      <c r="I127" s="49"/>
      <c r="J127" s="49"/>
      <c r="K127" s="49"/>
      <c r="L127" s="49"/>
      <c r="M127" s="49"/>
      <c r="N127" s="49"/>
      <c r="O127" s="49"/>
      <c r="P127" s="49"/>
      <c r="Q127" s="49"/>
      <c r="R127" s="49"/>
      <c r="S127" s="49"/>
      <c r="T127" s="49"/>
      <c r="U127" s="49"/>
      <c r="V127" s="49"/>
      <c r="W127" s="49"/>
      <c r="X127" s="49"/>
      <c r="Y127" s="49"/>
      <c r="Z127" s="49"/>
    </row>
    <row r="128">
      <c r="A128" s="49"/>
      <c r="B128" s="49"/>
      <c r="C128" s="49"/>
      <c r="D128" s="49"/>
      <c r="E128" s="106"/>
      <c r="F128" s="49"/>
      <c r="G128" s="49"/>
      <c r="H128" s="49"/>
      <c r="I128" s="49"/>
      <c r="J128" s="49"/>
      <c r="K128" s="49"/>
      <c r="L128" s="49"/>
      <c r="M128" s="49"/>
      <c r="N128" s="49"/>
      <c r="O128" s="49"/>
      <c r="P128" s="49"/>
      <c r="Q128" s="49"/>
      <c r="R128" s="49"/>
      <c r="S128" s="49"/>
      <c r="T128" s="49"/>
      <c r="U128" s="49"/>
      <c r="V128" s="49"/>
      <c r="W128" s="49"/>
      <c r="X128" s="49"/>
      <c r="Y128" s="49"/>
      <c r="Z128" s="49"/>
    </row>
    <row r="129">
      <c r="A129" s="49"/>
      <c r="B129" s="49"/>
      <c r="C129" s="49"/>
      <c r="D129" s="49"/>
      <c r="E129" s="106"/>
      <c r="F129" s="49"/>
      <c r="G129" s="49"/>
      <c r="H129" s="49"/>
      <c r="I129" s="49"/>
      <c r="J129" s="49"/>
      <c r="K129" s="49"/>
      <c r="L129" s="49"/>
      <c r="M129" s="49"/>
      <c r="N129" s="49"/>
      <c r="O129" s="49"/>
      <c r="P129" s="49"/>
      <c r="Q129" s="49"/>
      <c r="R129" s="49"/>
      <c r="S129" s="49"/>
      <c r="T129" s="49"/>
      <c r="U129" s="49"/>
      <c r="V129" s="49"/>
      <c r="W129" s="49"/>
      <c r="X129" s="49"/>
      <c r="Y129" s="49"/>
      <c r="Z129" s="49"/>
    </row>
    <row r="130">
      <c r="A130" s="49"/>
      <c r="B130" s="49"/>
      <c r="C130" s="49"/>
      <c r="D130" s="49"/>
      <c r="E130" s="106"/>
      <c r="F130" s="49"/>
      <c r="G130" s="49"/>
      <c r="H130" s="49"/>
      <c r="I130" s="49"/>
      <c r="J130" s="49"/>
      <c r="K130" s="49"/>
      <c r="L130" s="49"/>
      <c r="M130" s="49"/>
      <c r="N130" s="49"/>
      <c r="O130" s="49"/>
      <c r="P130" s="49"/>
      <c r="Q130" s="49"/>
      <c r="R130" s="49"/>
      <c r="S130" s="49"/>
      <c r="T130" s="49"/>
      <c r="U130" s="49"/>
      <c r="V130" s="49"/>
      <c r="W130" s="49"/>
      <c r="X130" s="49"/>
      <c r="Y130" s="49"/>
      <c r="Z130" s="49"/>
    </row>
    <row r="131">
      <c r="A131" s="49"/>
      <c r="B131" s="49"/>
      <c r="C131" s="49"/>
      <c r="D131" s="49"/>
      <c r="E131" s="106"/>
      <c r="F131" s="49"/>
      <c r="G131" s="49"/>
      <c r="H131" s="49"/>
      <c r="I131" s="49"/>
      <c r="J131" s="49"/>
      <c r="K131" s="49"/>
      <c r="L131" s="49"/>
      <c r="M131" s="49"/>
      <c r="N131" s="49"/>
      <c r="O131" s="49"/>
      <c r="P131" s="49"/>
      <c r="Q131" s="49"/>
      <c r="R131" s="49"/>
      <c r="S131" s="49"/>
      <c r="T131" s="49"/>
      <c r="U131" s="49"/>
      <c r="V131" s="49"/>
      <c r="W131" s="49"/>
      <c r="X131" s="49"/>
      <c r="Y131" s="49"/>
      <c r="Z131" s="49"/>
    </row>
    <row r="132">
      <c r="A132" s="49"/>
      <c r="B132" s="49"/>
      <c r="C132" s="49"/>
      <c r="D132" s="49"/>
      <c r="E132" s="106"/>
      <c r="F132" s="49"/>
      <c r="G132" s="49"/>
      <c r="H132" s="49"/>
      <c r="I132" s="49"/>
      <c r="J132" s="49"/>
      <c r="K132" s="49"/>
      <c r="L132" s="49"/>
      <c r="M132" s="49"/>
      <c r="N132" s="49"/>
      <c r="O132" s="49"/>
      <c r="P132" s="49"/>
      <c r="Q132" s="49"/>
      <c r="R132" s="49"/>
      <c r="S132" s="49"/>
      <c r="T132" s="49"/>
      <c r="U132" s="49"/>
      <c r="V132" s="49"/>
      <c r="W132" s="49"/>
      <c r="X132" s="49"/>
      <c r="Y132" s="49"/>
      <c r="Z132" s="49"/>
    </row>
    <row r="133">
      <c r="A133" s="49"/>
      <c r="B133" s="49"/>
      <c r="C133" s="49"/>
      <c r="D133" s="49"/>
      <c r="E133" s="106"/>
      <c r="F133" s="49"/>
      <c r="G133" s="49"/>
      <c r="H133" s="49"/>
      <c r="I133" s="49"/>
      <c r="J133" s="49"/>
      <c r="K133" s="49"/>
      <c r="L133" s="49"/>
      <c r="M133" s="49"/>
      <c r="N133" s="49"/>
      <c r="O133" s="49"/>
      <c r="P133" s="49"/>
      <c r="Q133" s="49"/>
      <c r="R133" s="49"/>
      <c r="S133" s="49"/>
      <c r="T133" s="49"/>
      <c r="U133" s="49"/>
      <c r="V133" s="49"/>
      <c r="W133" s="49"/>
      <c r="X133" s="49"/>
      <c r="Y133" s="49"/>
      <c r="Z133" s="49"/>
    </row>
    <row r="134">
      <c r="A134" s="49"/>
      <c r="B134" s="49"/>
      <c r="C134" s="49"/>
      <c r="D134" s="49"/>
      <c r="E134" s="106"/>
      <c r="F134" s="49"/>
      <c r="G134" s="49"/>
      <c r="H134" s="49"/>
      <c r="I134" s="49"/>
      <c r="J134" s="49"/>
      <c r="K134" s="49"/>
      <c r="L134" s="49"/>
      <c r="M134" s="49"/>
      <c r="N134" s="49"/>
      <c r="O134" s="49"/>
      <c r="P134" s="49"/>
      <c r="Q134" s="49"/>
      <c r="R134" s="49"/>
      <c r="S134" s="49"/>
      <c r="T134" s="49"/>
      <c r="U134" s="49"/>
      <c r="V134" s="49"/>
      <c r="W134" s="49"/>
      <c r="X134" s="49"/>
      <c r="Y134" s="49"/>
      <c r="Z134" s="49"/>
    </row>
    <row r="135">
      <c r="A135" s="49"/>
      <c r="B135" s="49"/>
      <c r="C135" s="49"/>
      <c r="D135" s="49"/>
      <c r="E135" s="106"/>
      <c r="F135" s="49"/>
      <c r="G135" s="49"/>
      <c r="H135" s="49"/>
      <c r="I135" s="49"/>
      <c r="J135" s="49"/>
      <c r="K135" s="49"/>
      <c r="L135" s="49"/>
      <c r="M135" s="49"/>
      <c r="N135" s="49"/>
      <c r="O135" s="49"/>
      <c r="P135" s="49"/>
      <c r="Q135" s="49"/>
      <c r="R135" s="49"/>
      <c r="S135" s="49"/>
      <c r="T135" s="49"/>
      <c r="U135" s="49"/>
      <c r="V135" s="49"/>
      <c r="W135" s="49"/>
      <c r="X135" s="49"/>
      <c r="Y135" s="49"/>
      <c r="Z135" s="49"/>
    </row>
    <row r="136">
      <c r="A136" s="49"/>
      <c r="B136" s="49"/>
      <c r="C136" s="49"/>
      <c r="D136" s="49"/>
      <c r="E136" s="106"/>
      <c r="F136" s="49"/>
      <c r="G136" s="49"/>
      <c r="H136" s="49"/>
      <c r="I136" s="49"/>
      <c r="J136" s="49"/>
      <c r="K136" s="49"/>
      <c r="L136" s="49"/>
      <c r="M136" s="49"/>
      <c r="N136" s="49"/>
      <c r="O136" s="49"/>
      <c r="P136" s="49"/>
      <c r="Q136" s="49"/>
      <c r="R136" s="49"/>
      <c r="S136" s="49"/>
      <c r="T136" s="49"/>
      <c r="U136" s="49"/>
      <c r="V136" s="49"/>
      <c r="W136" s="49"/>
      <c r="X136" s="49"/>
      <c r="Y136" s="49"/>
      <c r="Z136" s="49"/>
    </row>
    <row r="137">
      <c r="A137" s="49"/>
      <c r="B137" s="49"/>
      <c r="C137" s="49"/>
      <c r="D137" s="49"/>
      <c r="E137" s="106"/>
      <c r="F137" s="49"/>
      <c r="G137" s="49"/>
      <c r="H137" s="49"/>
      <c r="I137" s="49"/>
      <c r="J137" s="49"/>
      <c r="K137" s="49"/>
      <c r="L137" s="49"/>
      <c r="M137" s="49"/>
      <c r="N137" s="49"/>
      <c r="O137" s="49"/>
      <c r="P137" s="49"/>
      <c r="Q137" s="49"/>
      <c r="R137" s="49"/>
      <c r="S137" s="49"/>
      <c r="T137" s="49"/>
      <c r="U137" s="49"/>
      <c r="V137" s="49"/>
      <c r="W137" s="49"/>
      <c r="X137" s="49"/>
      <c r="Y137" s="49"/>
      <c r="Z137" s="49"/>
    </row>
    <row r="138">
      <c r="A138" s="49"/>
      <c r="B138" s="49"/>
      <c r="C138" s="49"/>
      <c r="D138" s="49"/>
      <c r="E138" s="106"/>
      <c r="F138" s="49"/>
      <c r="G138" s="49"/>
      <c r="H138" s="49"/>
      <c r="I138" s="49"/>
      <c r="J138" s="49"/>
      <c r="K138" s="49"/>
      <c r="L138" s="49"/>
      <c r="M138" s="49"/>
      <c r="N138" s="49"/>
      <c r="O138" s="49"/>
      <c r="P138" s="49"/>
      <c r="Q138" s="49"/>
      <c r="R138" s="49"/>
      <c r="S138" s="49"/>
      <c r="T138" s="49"/>
      <c r="U138" s="49"/>
      <c r="V138" s="49"/>
      <c r="W138" s="49"/>
      <c r="X138" s="49"/>
      <c r="Y138" s="49"/>
      <c r="Z138" s="49"/>
    </row>
    <row r="139">
      <c r="A139" s="49"/>
      <c r="B139" s="49"/>
      <c r="C139" s="49"/>
      <c r="D139" s="49"/>
      <c r="E139" s="106"/>
      <c r="F139" s="49"/>
      <c r="G139" s="49"/>
      <c r="H139" s="49"/>
      <c r="I139" s="49"/>
      <c r="J139" s="49"/>
      <c r="K139" s="49"/>
      <c r="L139" s="49"/>
      <c r="M139" s="49"/>
      <c r="N139" s="49"/>
      <c r="O139" s="49"/>
      <c r="P139" s="49"/>
      <c r="Q139" s="49"/>
      <c r="R139" s="49"/>
      <c r="S139" s="49"/>
      <c r="T139" s="49"/>
      <c r="U139" s="49"/>
      <c r="V139" s="49"/>
      <c r="W139" s="49"/>
      <c r="X139" s="49"/>
      <c r="Y139" s="49"/>
      <c r="Z139" s="49"/>
    </row>
    <row r="140">
      <c r="A140" s="49"/>
      <c r="B140" s="49"/>
      <c r="C140" s="49"/>
      <c r="D140" s="49"/>
      <c r="E140" s="106"/>
      <c r="F140" s="49"/>
      <c r="G140" s="49"/>
      <c r="H140" s="49"/>
      <c r="I140" s="49"/>
      <c r="J140" s="49"/>
      <c r="K140" s="49"/>
      <c r="L140" s="49"/>
      <c r="M140" s="49"/>
      <c r="N140" s="49"/>
      <c r="O140" s="49"/>
      <c r="P140" s="49"/>
      <c r="Q140" s="49"/>
      <c r="R140" s="49"/>
      <c r="S140" s="49"/>
      <c r="T140" s="49"/>
      <c r="U140" s="49"/>
      <c r="V140" s="49"/>
      <c r="W140" s="49"/>
      <c r="X140" s="49"/>
      <c r="Y140" s="49"/>
      <c r="Z140" s="49"/>
    </row>
    <row r="141">
      <c r="A141" s="49"/>
      <c r="B141" s="49"/>
      <c r="C141" s="49"/>
      <c r="D141" s="49"/>
      <c r="E141" s="106"/>
      <c r="F141" s="49"/>
      <c r="G141" s="49"/>
      <c r="H141" s="49"/>
      <c r="I141" s="49"/>
      <c r="J141" s="49"/>
      <c r="K141" s="49"/>
      <c r="L141" s="49"/>
      <c r="M141" s="49"/>
      <c r="N141" s="49"/>
      <c r="O141" s="49"/>
      <c r="P141" s="49"/>
      <c r="Q141" s="49"/>
      <c r="R141" s="49"/>
      <c r="S141" s="49"/>
      <c r="T141" s="49"/>
      <c r="U141" s="49"/>
      <c r="V141" s="49"/>
      <c r="W141" s="49"/>
      <c r="X141" s="49"/>
      <c r="Y141" s="49"/>
      <c r="Z141" s="49"/>
    </row>
    <row r="142">
      <c r="A142" s="49"/>
      <c r="B142" s="49"/>
      <c r="C142" s="49"/>
      <c r="D142" s="49"/>
      <c r="E142" s="106"/>
      <c r="F142" s="49"/>
      <c r="G142" s="49"/>
      <c r="H142" s="49"/>
      <c r="I142" s="49"/>
      <c r="J142" s="49"/>
      <c r="K142" s="49"/>
      <c r="L142" s="49"/>
      <c r="M142" s="49"/>
      <c r="N142" s="49"/>
      <c r="O142" s="49"/>
      <c r="P142" s="49"/>
      <c r="Q142" s="49"/>
      <c r="R142" s="49"/>
      <c r="S142" s="49"/>
      <c r="T142" s="49"/>
      <c r="U142" s="49"/>
      <c r="V142" s="49"/>
      <c r="W142" s="49"/>
      <c r="X142" s="49"/>
      <c r="Y142" s="49"/>
      <c r="Z142" s="49"/>
    </row>
    <row r="143">
      <c r="A143" s="49"/>
      <c r="B143" s="49"/>
      <c r="C143" s="49"/>
      <c r="D143" s="49"/>
      <c r="E143" s="106"/>
      <c r="F143" s="49"/>
      <c r="G143" s="49"/>
      <c r="H143" s="49"/>
      <c r="I143" s="49"/>
      <c r="J143" s="49"/>
      <c r="K143" s="49"/>
      <c r="L143" s="49"/>
      <c r="M143" s="49"/>
      <c r="N143" s="49"/>
      <c r="O143" s="49"/>
      <c r="P143" s="49"/>
      <c r="Q143" s="49"/>
      <c r="R143" s="49"/>
      <c r="S143" s="49"/>
      <c r="T143" s="49"/>
      <c r="U143" s="49"/>
      <c r="V143" s="49"/>
      <c r="W143" s="49"/>
      <c r="X143" s="49"/>
      <c r="Y143" s="49"/>
      <c r="Z143" s="49"/>
    </row>
    <row r="144">
      <c r="A144" s="49"/>
      <c r="B144" s="49"/>
      <c r="C144" s="49"/>
      <c r="D144" s="49"/>
      <c r="E144" s="106"/>
      <c r="F144" s="49"/>
      <c r="G144" s="49"/>
      <c r="H144" s="49"/>
      <c r="I144" s="49"/>
      <c r="J144" s="49"/>
      <c r="K144" s="49"/>
      <c r="L144" s="49"/>
      <c r="M144" s="49"/>
      <c r="N144" s="49"/>
      <c r="O144" s="49"/>
      <c r="P144" s="49"/>
      <c r="Q144" s="49"/>
      <c r="R144" s="49"/>
      <c r="S144" s="49"/>
      <c r="T144" s="49"/>
      <c r="U144" s="49"/>
      <c r="V144" s="49"/>
      <c r="W144" s="49"/>
      <c r="X144" s="49"/>
      <c r="Y144" s="49"/>
      <c r="Z144" s="49"/>
    </row>
    <row r="145">
      <c r="A145" s="49"/>
      <c r="B145" s="49"/>
      <c r="C145" s="49"/>
      <c r="D145" s="49"/>
      <c r="E145" s="106"/>
      <c r="F145" s="49"/>
      <c r="G145" s="49"/>
      <c r="H145" s="49"/>
      <c r="I145" s="49"/>
      <c r="J145" s="49"/>
      <c r="K145" s="49"/>
      <c r="L145" s="49"/>
      <c r="M145" s="49"/>
      <c r="N145" s="49"/>
      <c r="O145" s="49"/>
      <c r="P145" s="49"/>
      <c r="Q145" s="49"/>
      <c r="R145" s="49"/>
      <c r="S145" s="49"/>
      <c r="T145" s="49"/>
      <c r="U145" s="49"/>
      <c r="V145" s="49"/>
      <c r="W145" s="49"/>
      <c r="X145" s="49"/>
      <c r="Y145" s="49"/>
      <c r="Z145" s="49"/>
    </row>
    <row r="146">
      <c r="A146" s="49"/>
      <c r="B146" s="49"/>
      <c r="C146" s="49"/>
      <c r="D146" s="49"/>
      <c r="E146" s="106"/>
      <c r="F146" s="49"/>
      <c r="G146" s="49"/>
      <c r="H146" s="49"/>
      <c r="I146" s="49"/>
      <c r="J146" s="49"/>
      <c r="K146" s="49"/>
      <c r="L146" s="49"/>
      <c r="M146" s="49"/>
      <c r="N146" s="49"/>
      <c r="O146" s="49"/>
      <c r="P146" s="49"/>
      <c r="Q146" s="49"/>
      <c r="R146" s="49"/>
      <c r="S146" s="49"/>
      <c r="T146" s="49"/>
      <c r="U146" s="49"/>
      <c r="V146" s="49"/>
      <c r="W146" s="49"/>
      <c r="X146" s="49"/>
      <c r="Y146" s="49"/>
      <c r="Z146" s="49"/>
    </row>
    <row r="147">
      <c r="A147" s="49"/>
      <c r="B147" s="49"/>
      <c r="C147" s="49"/>
      <c r="D147" s="49"/>
      <c r="E147" s="106"/>
      <c r="F147" s="49"/>
      <c r="G147" s="49"/>
      <c r="H147" s="49"/>
      <c r="I147" s="49"/>
      <c r="J147" s="49"/>
      <c r="K147" s="49"/>
      <c r="L147" s="49"/>
      <c r="M147" s="49"/>
      <c r="N147" s="49"/>
      <c r="O147" s="49"/>
      <c r="P147" s="49"/>
      <c r="Q147" s="49"/>
      <c r="R147" s="49"/>
      <c r="S147" s="49"/>
      <c r="T147" s="49"/>
      <c r="U147" s="49"/>
      <c r="V147" s="49"/>
      <c r="W147" s="49"/>
      <c r="X147" s="49"/>
      <c r="Y147" s="49"/>
      <c r="Z147" s="49"/>
    </row>
    <row r="148">
      <c r="A148" s="49"/>
      <c r="B148" s="49"/>
      <c r="C148" s="49"/>
      <c r="D148" s="49"/>
      <c r="E148" s="106"/>
      <c r="F148" s="49"/>
      <c r="G148" s="49"/>
      <c r="H148" s="49"/>
      <c r="I148" s="49"/>
      <c r="J148" s="49"/>
      <c r="K148" s="49"/>
      <c r="L148" s="49"/>
      <c r="M148" s="49"/>
      <c r="N148" s="49"/>
      <c r="O148" s="49"/>
      <c r="P148" s="49"/>
      <c r="Q148" s="49"/>
      <c r="R148" s="49"/>
      <c r="S148" s="49"/>
      <c r="T148" s="49"/>
      <c r="U148" s="49"/>
      <c r="V148" s="49"/>
      <c r="W148" s="49"/>
      <c r="X148" s="49"/>
      <c r="Y148" s="49"/>
      <c r="Z148" s="49"/>
    </row>
    <row r="149">
      <c r="A149" s="49"/>
      <c r="B149" s="49"/>
      <c r="C149" s="49"/>
      <c r="D149" s="49"/>
      <c r="E149" s="106"/>
      <c r="F149" s="49"/>
      <c r="G149" s="49"/>
      <c r="H149" s="49"/>
      <c r="I149" s="49"/>
      <c r="J149" s="49"/>
      <c r="K149" s="49"/>
      <c r="L149" s="49"/>
      <c r="M149" s="49"/>
      <c r="N149" s="49"/>
      <c r="O149" s="49"/>
      <c r="P149" s="49"/>
      <c r="Q149" s="49"/>
      <c r="R149" s="49"/>
      <c r="S149" s="49"/>
      <c r="T149" s="49"/>
      <c r="U149" s="49"/>
      <c r="V149" s="49"/>
      <c r="W149" s="49"/>
      <c r="X149" s="49"/>
      <c r="Y149" s="49"/>
      <c r="Z149" s="49"/>
    </row>
    <row r="150">
      <c r="A150" s="49"/>
      <c r="B150" s="49"/>
      <c r="C150" s="49"/>
      <c r="D150" s="49"/>
      <c r="E150" s="106"/>
      <c r="F150" s="49"/>
      <c r="G150" s="49"/>
      <c r="H150" s="49"/>
      <c r="I150" s="49"/>
      <c r="J150" s="49"/>
      <c r="K150" s="49"/>
      <c r="L150" s="49"/>
      <c r="M150" s="49"/>
      <c r="N150" s="49"/>
      <c r="O150" s="49"/>
      <c r="P150" s="49"/>
      <c r="Q150" s="49"/>
      <c r="R150" s="49"/>
      <c r="S150" s="49"/>
      <c r="T150" s="49"/>
      <c r="U150" s="49"/>
      <c r="V150" s="49"/>
      <c r="W150" s="49"/>
      <c r="X150" s="49"/>
      <c r="Y150" s="49"/>
      <c r="Z150" s="49"/>
    </row>
    <row r="151">
      <c r="A151" s="49"/>
      <c r="B151" s="49"/>
      <c r="C151" s="49"/>
      <c r="D151" s="49"/>
      <c r="E151" s="106"/>
      <c r="F151" s="49"/>
      <c r="G151" s="49"/>
      <c r="H151" s="49"/>
      <c r="I151" s="49"/>
      <c r="J151" s="49"/>
      <c r="K151" s="49"/>
      <c r="L151" s="49"/>
      <c r="M151" s="49"/>
      <c r="N151" s="49"/>
      <c r="O151" s="49"/>
      <c r="P151" s="49"/>
      <c r="Q151" s="49"/>
      <c r="R151" s="49"/>
      <c r="S151" s="49"/>
      <c r="T151" s="49"/>
      <c r="U151" s="49"/>
      <c r="V151" s="49"/>
      <c r="W151" s="49"/>
      <c r="X151" s="49"/>
      <c r="Y151" s="49"/>
      <c r="Z151" s="49"/>
    </row>
    <row r="152">
      <c r="A152" s="49"/>
      <c r="B152" s="49"/>
      <c r="C152" s="49"/>
      <c r="D152" s="49"/>
      <c r="E152" s="106"/>
      <c r="F152" s="49"/>
      <c r="G152" s="49"/>
      <c r="H152" s="49"/>
      <c r="I152" s="49"/>
      <c r="J152" s="49"/>
      <c r="K152" s="49"/>
      <c r="L152" s="49"/>
      <c r="M152" s="49"/>
      <c r="N152" s="49"/>
      <c r="O152" s="49"/>
      <c r="P152" s="49"/>
      <c r="Q152" s="49"/>
      <c r="R152" s="49"/>
      <c r="S152" s="49"/>
      <c r="T152" s="49"/>
      <c r="U152" s="49"/>
      <c r="V152" s="49"/>
      <c r="W152" s="49"/>
      <c r="X152" s="49"/>
      <c r="Y152" s="49"/>
      <c r="Z152" s="49"/>
    </row>
    <row r="153">
      <c r="A153" s="49"/>
      <c r="B153" s="49"/>
      <c r="C153" s="49"/>
      <c r="D153" s="49"/>
      <c r="E153" s="106"/>
      <c r="F153" s="49"/>
      <c r="G153" s="49"/>
      <c r="H153" s="49"/>
      <c r="I153" s="49"/>
      <c r="J153" s="49"/>
      <c r="K153" s="49"/>
      <c r="L153" s="49"/>
      <c r="M153" s="49"/>
      <c r="N153" s="49"/>
      <c r="O153" s="49"/>
      <c r="P153" s="49"/>
      <c r="Q153" s="49"/>
      <c r="R153" s="49"/>
      <c r="S153" s="49"/>
      <c r="T153" s="49"/>
      <c r="U153" s="49"/>
      <c r="V153" s="49"/>
      <c r="W153" s="49"/>
      <c r="X153" s="49"/>
      <c r="Y153" s="49"/>
      <c r="Z153" s="49"/>
    </row>
    <row r="154">
      <c r="A154" s="49"/>
      <c r="B154" s="49"/>
      <c r="C154" s="49"/>
      <c r="D154" s="49"/>
      <c r="E154" s="106"/>
      <c r="F154" s="49"/>
      <c r="G154" s="49"/>
      <c r="H154" s="49"/>
      <c r="I154" s="49"/>
      <c r="J154" s="49"/>
      <c r="K154" s="49"/>
      <c r="L154" s="49"/>
      <c r="M154" s="49"/>
      <c r="N154" s="49"/>
      <c r="O154" s="49"/>
      <c r="P154" s="49"/>
      <c r="Q154" s="49"/>
      <c r="R154" s="49"/>
      <c r="S154" s="49"/>
      <c r="T154" s="49"/>
      <c r="U154" s="49"/>
      <c r="V154" s="49"/>
      <c r="W154" s="49"/>
      <c r="X154" s="49"/>
      <c r="Y154" s="49"/>
      <c r="Z154" s="49"/>
    </row>
    <row r="155">
      <c r="A155" s="49"/>
      <c r="B155" s="49"/>
      <c r="C155" s="49"/>
      <c r="D155" s="49"/>
      <c r="E155" s="106"/>
      <c r="F155" s="49"/>
      <c r="G155" s="49"/>
      <c r="H155" s="49"/>
      <c r="I155" s="49"/>
      <c r="J155" s="49"/>
      <c r="K155" s="49"/>
      <c r="L155" s="49"/>
      <c r="M155" s="49"/>
      <c r="N155" s="49"/>
      <c r="O155" s="49"/>
      <c r="P155" s="49"/>
      <c r="Q155" s="49"/>
      <c r="R155" s="49"/>
      <c r="S155" s="49"/>
      <c r="T155" s="49"/>
      <c r="U155" s="49"/>
      <c r="V155" s="49"/>
      <c r="W155" s="49"/>
      <c r="X155" s="49"/>
      <c r="Y155" s="49"/>
      <c r="Z155" s="49"/>
    </row>
    <row r="156">
      <c r="A156" s="49"/>
      <c r="B156" s="49"/>
      <c r="C156" s="49"/>
      <c r="D156" s="49"/>
      <c r="E156" s="106"/>
      <c r="F156" s="49"/>
      <c r="G156" s="49"/>
      <c r="H156" s="49"/>
      <c r="I156" s="49"/>
      <c r="J156" s="49"/>
      <c r="K156" s="49"/>
      <c r="L156" s="49"/>
      <c r="M156" s="49"/>
      <c r="N156" s="49"/>
      <c r="O156" s="49"/>
      <c r="P156" s="49"/>
      <c r="Q156" s="49"/>
      <c r="R156" s="49"/>
      <c r="S156" s="49"/>
      <c r="T156" s="49"/>
      <c r="U156" s="49"/>
      <c r="V156" s="49"/>
      <c r="W156" s="49"/>
      <c r="X156" s="49"/>
      <c r="Y156" s="49"/>
      <c r="Z156" s="49"/>
    </row>
    <row r="157">
      <c r="A157" s="49"/>
      <c r="B157" s="49"/>
      <c r="C157" s="49"/>
      <c r="D157" s="49"/>
      <c r="E157" s="106"/>
      <c r="F157" s="49"/>
      <c r="G157" s="49"/>
      <c r="H157" s="49"/>
      <c r="I157" s="49"/>
      <c r="J157" s="49"/>
      <c r="K157" s="49"/>
      <c r="L157" s="49"/>
      <c r="M157" s="49"/>
      <c r="N157" s="49"/>
      <c r="O157" s="49"/>
      <c r="P157" s="49"/>
      <c r="Q157" s="49"/>
      <c r="R157" s="49"/>
      <c r="S157" s="49"/>
      <c r="T157" s="49"/>
      <c r="U157" s="49"/>
      <c r="V157" s="49"/>
      <c r="W157" s="49"/>
      <c r="X157" s="49"/>
      <c r="Y157" s="49"/>
      <c r="Z157" s="49"/>
    </row>
    <row r="158">
      <c r="A158" s="49"/>
      <c r="B158" s="49"/>
      <c r="C158" s="49"/>
      <c r="D158" s="49"/>
      <c r="E158" s="106"/>
      <c r="F158" s="49"/>
      <c r="G158" s="49"/>
      <c r="H158" s="49"/>
      <c r="I158" s="49"/>
      <c r="J158" s="49"/>
      <c r="K158" s="49"/>
      <c r="L158" s="49"/>
      <c r="M158" s="49"/>
      <c r="N158" s="49"/>
      <c r="O158" s="49"/>
      <c r="P158" s="49"/>
      <c r="Q158" s="49"/>
      <c r="R158" s="49"/>
      <c r="S158" s="49"/>
      <c r="T158" s="49"/>
      <c r="U158" s="49"/>
      <c r="V158" s="49"/>
      <c r="W158" s="49"/>
      <c r="X158" s="49"/>
      <c r="Y158" s="49"/>
      <c r="Z158" s="49"/>
    </row>
    <row r="159">
      <c r="A159" s="49"/>
      <c r="B159" s="49"/>
      <c r="C159" s="49"/>
      <c r="D159" s="49"/>
      <c r="E159" s="106"/>
      <c r="F159" s="49"/>
      <c r="G159" s="49"/>
      <c r="H159" s="49"/>
      <c r="I159" s="49"/>
      <c r="J159" s="49"/>
      <c r="K159" s="49"/>
      <c r="L159" s="49"/>
      <c r="M159" s="49"/>
      <c r="N159" s="49"/>
      <c r="O159" s="49"/>
      <c r="P159" s="49"/>
      <c r="Q159" s="49"/>
      <c r="R159" s="49"/>
      <c r="S159" s="49"/>
      <c r="T159" s="49"/>
      <c r="U159" s="49"/>
      <c r="V159" s="49"/>
      <c r="W159" s="49"/>
      <c r="X159" s="49"/>
      <c r="Y159" s="49"/>
      <c r="Z159" s="49"/>
    </row>
    <row r="160">
      <c r="A160" s="49"/>
      <c r="B160" s="49"/>
      <c r="C160" s="49"/>
      <c r="D160" s="49"/>
      <c r="E160" s="106"/>
      <c r="F160" s="49"/>
      <c r="G160" s="49"/>
      <c r="H160" s="49"/>
      <c r="I160" s="49"/>
      <c r="J160" s="49"/>
      <c r="K160" s="49"/>
      <c r="L160" s="49"/>
      <c r="M160" s="49"/>
      <c r="N160" s="49"/>
      <c r="O160" s="49"/>
      <c r="P160" s="49"/>
      <c r="Q160" s="49"/>
      <c r="R160" s="49"/>
      <c r="S160" s="49"/>
      <c r="T160" s="49"/>
      <c r="U160" s="49"/>
      <c r="V160" s="49"/>
      <c r="W160" s="49"/>
      <c r="X160" s="49"/>
      <c r="Y160" s="49"/>
      <c r="Z160" s="49"/>
    </row>
    <row r="161">
      <c r="A161" s="49"/>
      <c r="B161" s="49"/>
      <c r="C161" s="49"/>
      <c r="D161" s="49"/>
      <c r="E161" s="106"/>
      <c r="F161" s="49"/>
      <c r="G161" s="49"/>
      <c r="H161" s="49"/>
      <c r="I161" s="49"/>
      <c r="J161" s="49"/>
      <c r="K161" s="49"/>
      <c r="L161" s="49"/>
      <c r="M161" s="49"/>
      <c r="N161" s="49"/>
      <c r="O161" s="49"/>
      <c r="P161" s="49"/>
      <c r="Q161" s="49"/>
      <c r="R161" s="49"/>
      <c r="S161" s="49"/>
      <c r="T161" s="49"/>
      <c r="U161" s="49"/>
      <c r="V161" s="49"/>
      <c r="W161" s="49"/>
      <c r="X161" s="49"/>
      <c r="Y161" s="49"/>
      <c r="Z161" s="49"/>
    </row>
    <row r="162">
      <c r="A162" s="49"/>
      <c r="B162" s="49"/>
      <c r="C162" s="49"/>
      <c r="D162" s="49"/>
      <c r="E162" s="106"/>
      <c r="F162" s="49"/>
      <c r="G162" s="49"/>
      <c r="H162" s="49"/>
      <c r="I162" s="49"/>
      <c r="J162" s="49"/>
      <c r="K162" s="49"/>
      <c r="L162" s="49"/>
      <c r="M162" s="49"/>
      <c r="N162" s="49"/>
      <c r="O162" s="49"/>
      <c r="P162" s="49"/>
      <c r="Q162" s="49"/>
      <c r="R162" s="49"/>
      <c r="S162" s="49"/>
      <c r="T162" s="49"/>
      <c r="U162" s="49"/>
      <c r="V162" s="49"/>
      <c r="W162" s="49"/>
      <c r="X162" s="49"/>
      <c r="Y162" s="49"/>
      <c r="Z162" s="49"/>
    </row>
    <row r="163">
      <c r="A163" s="49"/>
      <c r="B163" s="49"/>
      <c r="C163" s="49"/>
      <c r="D163" s="49"/>
      <c r="E163" s="106"/>
      <c r="F163" s="49"/>
      <c r="G163" s="49"/>
      <c r="H163" s="49"/>
      <c r="I163" s="49"/>
      <c r="J163" s="49"/>
      <c r="K163" s="49"/>
      <c r="L163" s="49"/>
      <c r="M163" s="49"/>
      <c r="N163" s="49"/>
      <c r="O163" s="49"/>
      <c r="P163" s="49"/>
      <c r="Q163" s="49"/>
      <c r="R163" s="49"/>
      <c r="S163" s="49"/>
      <c r="T163" s="49"/>
      <c r="U163" s="49"/>
      <c r="V163" s="49"/>
      <c r="W163" s="49"/>
      <c r="X163" s="49"/>
      <c r="Y163" s="49"/>
      <c r="Z163" s="49"/>
    </row>
    <row r="164">
      <c r="A164" s="49"/>
      <c r="B164" s="49"/>
      <c r="C164" s="49"/>
      <c r="D164" s="49"/>
      <c r="E164" s="106"/>
      <c r="F164" s="49"/>
      <c r="G164" s="49"/>
      <c r="H164" s="49"/>
      <c r="I164" s="49"/>
      <c r="J164" s="49"/>
      <c r="K164" s="49"/>
      <c r="L164" s="49"/>
      <c r="M164" s="49"/>
      <c r="N164" s="49"/>
      <c r="O164" s="49"/>
      <c r="P164" s="49"/>
      <c r="Q164" s="49"/>
      <c r="R164" s="49"/>
      <c r="S164" s="49"/>
      <c r="T164" s="49"/>
      <c r="U164" s="49"/>
      <c r="V164" s="49"/>
      <c r="W164" s="49"/>
      <c r="X164" s="49"/>
      <c r="Y164" s="49"/>
      <c r="Z164" s="49"/>
    </row>
    <row r="165">
      <c r="A165" s="49"/>
      <c r="B165" s="49"/>
      <c r="C165" s="49"/>
      <c r="D165" s="49"/>
      <c r="E165" s="106"/>
      <c r="F165" s="49"/>
      <c r="G165" s="49"/>
      <c r="H165" s="49"/>
      <c r="I165" s="49"/>
      <c r="J165" s="49"/>
      <c r="K165" s="49"/>
      <c r="L165" s="49"/>
      <c r="M165" s="49"/>
      <c r="N165" s="49"/>
      <c r="O165" s="49"/>
      <c r="P165" s="49"/>
      <c r="Q165" s="49"/>
      <c r="R165" s="49"/>
      <c r="S165" s="49"/>
      <c r="T165" s="49"/>
      <c r="U165" s="49"/>
      <c r="V165" s="49"/>
      <c r="W165" s="49"/>
      <c r="X165" s="49"/>
      <c r="Y165" s="49"/>
      <c r="Z165" s="49"/>
    </row>
    <row r="166">
      <c r="A166" s="49"/>
      <c r="B166" s="49"/>
      <c r="C166" s="49"/>
      <c r="D166" s="49"/>
      <c r="E166" s="106"/>
      <c r="F166" s="49"/>
      <c r="G166" s="49"/>
      <c r="H166" s="49"/>
      <c r="I166" s="49"/>
      <c r="J166" s="49"/>
      <c r="K166" s="49"/>
      <c r="L166" s="49"/>
      <c r="M166" s="49"/>
      <c r="N166" s="49"/>
      <c r="O166" s="49"/>
      <c r="P166" s="49"/>
      <c r="Q166" s="49"/>
      <c r="R166" s="49"/>
      <c r="S166" s="49"/>
      <c r="T166" s="49"/>
      <c r="U166" s="49"/>
      <c r="V166" s="49"/>
      <c r="W166" s="49"/>
      <c r="X166" s="49"/>
      <c r="Y166" s="49"/>
      <c r="Z166" s="49"/>
    </row>
    <row r="167">
      <c r="A167" s="49"/>
      <c r="B167" s="49"/>
      <c r="C167" s="49"/>
      <c r="D167" s="49"/>
      <c r="E167" s="106"/>
      <c r="F167" s="49"/>
      <c r="G167" s="49"/>
      <c r="H167" s="49"/>
      <c r="I167" s="49"/>
      <c r="J167" s="49"/>
      <c r="K167" s="49"/>
      <c r="L167" s="49"/>
      <c r="M167" s="49"/>
      <c r="N167" s="49"/>
      <c r="O167" s="49"/>
      <c r="P167" s="49"/>
      <c r="Q167" s="49"/>
      <c r="R167" s="49"/>
      <c r="S167" s="49"/>
      <c r="T167" s="49"/>
      <c r="U167" s="49"/>
      <c r="V167" s="49"/>
      <c r="W167" s="49"/>
      <c r="X167" s="49"/>
      <c r="Y167" s="49"/>
      <c r="Z167" s="49"/>
    </row>
    <row r="168">
      <c r="A168" s="49"/>
      <c r="B168" s="49"/>
      <c r="C168" s="49"/>
      <c r="D168" s="49"/>
      <c r="E168" s="106"/>
      <c r="F168" s="49"/>
      <c r="G168" s="49"/>
      <c r="H168" s="49"/>
      <c r="I168" s="49"/>
      <c r="J168" s="49"/>
      <c r="K168" s="49"/>
      <c r="L168" s="49"/>
      <c r="M168" s="49"/>
      <c r="N168" s="49"/>
      <c r="O168" s="49"/>
      <c r="P168" s="49"/>
      <c r="Q168" s="49"/>
      <c r="R168" s="49"/>
      <c r="S168" s="49"/>
      <c r="T168" s="49"/>
      <c r="U168" s="49"/>
      <c r="V168" s="49"/>
      <c r="W168" s="49"/>
      <c r="X168" s="49"/>
      <c r="Y168" s="49"/>
      <c r="Z168" s="49"/>
    </row>
    <row r="169">
      <c r="A169" s="49"/>
      <c r="B169" s="49"/>
      <c r="C169" s="49"/>
      <c r="D169" s="49"/>
      <c r="E169" s="106"/>
      <c r="F169" s="49"/>
      <c r="G169" s="49"/>
      <c r="H169" s="49"/>
      <c r="I169" s="49"/>
      <c r="J169" s="49"/>
      <c r="K169" s="49"/>
      <c r="L169" s="49"/>
      <c r="M169" s="49"/>
      <c r="N169" s="49"/>
      <c r="O169" s="49"/>
      <c r="P169" s="49"/>
      <c r="Q169" s="49"/>
      <c r="R169" s="49"/>
      <c r="S169" s="49"/>
      <c r="T169" s="49"/>
      <c r="U169" s="49"/>
      <c r="V169" s="49"/>
      <c r="W169" s="49"/>
      <c r="X169" s="49"/>
      <c r="Y169" s="49"/>
      <c r="Z169" s="49"/>
    </row>
    <row r="170">
      <c r="A170" s="49"/>
      <c r="B170" s="49"/>
      <c r="C170" s="49"/>
      <c r="D170" s="49"/>
      <c r="E170" s="106"/>
      <c r="F170" s="49"/>
      <c r="G170" s="49"/>
      <c r="H170" s="49"/>
      <c r="I170" s="49"/>
      <c r="J170" s="49"/>
      <c r="K170" s="49"/>
      <c r="L170" s="49"/>
      <c r="M170" s="49"/>
      <c r="N170" s="49"/>
      <c r="O170" s="49"/>
      <c r="P170" s="49"/>
      <c r="Q170" s="49"/>
      <c r="R170" s="49"/>
      <c r="S170" s="49"/>
      <c r="T170" s="49"/>
      <c r="U170" s="49"/>
      <c r="V170" s="49"/>
      <c r="W170" s="49"/>
      <c r="X170" s="49"/>
      <c r="Y170" s="49"/>
      <c r="Z170" s="49"/>
    </row>
    <row r="171">
      <c r="A171" s="49"/>
      <c r="B171" s="49"/>
      <c r="C171" s="49"/>
      <c r="D171" s="49"/>
      <c r="E171" s="106"/>
      <c r="F171" s="49"/>
      <c r="G171" s="49"/>
      <c r="H171" s="49"/>
      <c r="I171" s="49"/>
      <c r="J171" s="49"/>
      <c r="K171" s="49"/>
      <c r="L171" s="49"/>
      <c r="M171" s="49"/>
      <c r="N171" s="49"/>
      <c r="O171" s="49"/>
      <c r="P171" s="49"/>
      <c r="Q171" s="49"/>
      <c r="R171" s="49"/>
      <c r="S171" s="49"/>
      <c r="T171" s="49"/>
      <c r="U171" s="49"/>
      <c r="V171" s="49"/>
      <c r="W171" s="49"/>
      <c r="X171" s="49"/>
      <c r="Y171" s="49"/>
      <c r="Z171" s="49"/>
    </row>
    <row r="172">
      <c r="A172" s="49"/>
      <c r="B172" s="49"/>
      <c r="C172" s="49"/>
      <c r="D172" s="49"/>
      <c r="E172" s="106"/>
      <c r="F172" s="49"/>
      <c r="G172" s="49"/>
      <c r="H172" s="49"/>
      <c r="I172" s="49"/>
      <c r="J172" s="49"/>
      <c r="K172" s="49"/>
      <c r="L172" s="49"/>
      <c r="M172" s="49"/>
      <c r="N172" s="49"/>
      <c r="O172" s="49"/>
      <c r="P172" s="49"/>
      <c r="Q172" s="49"/>
      <c r="R172" s="49"/>
      <c r="S172" s="49"/>
      <c r="T172" s="49"/>
      <c r="U172" s="49"/>
      <c r="V172" s="49"/>
      <c r="W172" s="49"/>
      <c r="X172" s="49"/>
      <c r="Y172" s="49"/>
      <c r="Z172" s="49"/>
    </row>
    <row r="173">
      <c r="A173" s="49"/>
      <c r="B173" s="49"/>
      <c r="C173" s="49"/>
      <c r="D173" s="49"/>
      <c r="E173" s="106"/>
      <c r="F173" s="49"/>
      <c r="G173" s="49"/>
      <c r="H173" s="49"/>
      <c r="I173" s="49"/>
      <c r="J173" s="49"/>
      <c r="K173" s="49"/>
      <c r="L173" s="49"/>
      <c r="M173" s="49"/>
      <c r="N173" s="49"/>
      <c r="O173" s="49"/>
      <c r="P173" s="49"/>
      <c r="Q173" s="49"/>
      <c r="R173" s="49"/>
      <c r="S173" s="49"/>
      <c r="T173" s="49"/>
      <c r="U173" s="49"/>
      <c r="V173" s="49"/>
      <c r="W173" s="49"/>
      <c r="X173" s="49"/>
      <c r="Y173" s="49"/>
      <c r="Z173" s="49"/>
    </row>
    <row r="174">
      <c r="A174" s="49"/>
      <c r="B174" s="49"/>
      <c r="C174" s="49"/>
      <c r="D174" s="49"/>
      <c r="E174" s="106"/>
      <c r="F174" s="49"/>
      <c r="G174" s="49"/>
      <c r="H174" s="49"/>
      <c r="I174" s="49"/>
      <c r="J174" s="49"/>
      <c r="K174" s="49"/>
      <c r="L174" s="49"/>
      <c r="M174" s="49"/>
      <c r="N174" s="49"/>
      <c r="O174" s="49"/>
      <c r="P174" s="49"/>
      <c r="Q174" s="49"/>
      <c r="R174" s="49"/>
      <c r="S174" s="49"/>
      <c r="T174" s="49"/>
      <c r="U174" s="49"/>
      <c r="V174" s="49"/>
      <c r="W174" s="49"/>
      <c r="X174" s="49"/>
      <c r="Y174" s="49"/>
      <c r="Z174" s="49"/>
    </row>
    <row r="175">
      <c r="A175" s="49"/>
      <c r="B175" s="49"/>
      <c r="C175" s="49"/>
      <c r="D175" s="49"/>
      <c r="E175" s="106"/>
      <c r="F175" s="49"/>
      <c r="G175" s="49"/>
      <c r="H175" s="49"/>
      <c r="I175" s="49"/>
      <c r="J175" s="49"/>
      <c r="K175" s="49"/>
      <c r="L175" s="49"/>
      <c r="M175" s="49"/>
      <c r="N175" s="49"/>
      <c r="O175" s="49"/>
      <c r="P175" s="49"/>
      <c r="Q175" s="49"/>
      <c r="R175" s="49"/>
      <c r="S175" s="49"/>
      <c r="T175" s="49"/>
      <c r="U175" s="49"/>
      <c r="V175" s="49"/>
      <c r="W175" s="49"/>
      <c r="X175" s="49"/>
      <c r="Y175" s="49"/>
      <c r="Z175" s="49"/>
    </row>
    <row r="176">
      <c r="A176" s="49"/>
      <c r="B176" s="49"/>
      <c r="C176" s="49"/>
      <c r="D176" s="49"/>
      <c r="E176" s="106"/>
      <c r="F176" s="49"/>
      <c r="G176" s="49"/>
      <c r="H176" s="49"/>
      <c r="I176" s="49"/>
      <c r="J176" s="49"/>
      <c r="K176" s="49"/>
      <c r="L176" s="49"/>
      <c r="M176" s="49"/>
      <c r="N176" s="49"/>
      <c r="O176" s="49"/>
      <c r="P176" s="49"/>
      <c r="Q176" s="49"/>
      <c r="R176" s="49"/>
      <c r="S176" s="49"/>
      <c r="T176" s="49"/>
      <c r="U176" s="49"/>
      <c r="V176" s="49"/>
      <c r="W176" s="49"/>
      <c r="X176" s="49"/>
      <c r="Y176" s="49"/>
      <c r="Z176" s="49"/>
    </row>
    <row r="177">
      <c r="A177" s="49"/>
      <c r="B177" s="49"/>
      <c r="C177" s="49"/>
      <c r="D177" s="49"/>
      <c r="E177" s="106"/>
      <c r="F177" s="49"/>
      <c r="G177" s="49"/>
      <c r="H177" s="49"/>
      <c r="I177" s="49"/>
      <c r="J177" s="49"/>
      <c r="K177" s="49"/>
      <c r="L177" s="49"/>
      <c r="M177" s="49"/>
      <c r="N177" s="49"/>
      <c r="O177" s="49"/>
      <c r="P177" s="49"/>
      <c r="Q177" s="49"/>
      <c r="R177" s="49"/>
      <c r="S177" s="49"/>
      <c r="T177" s="49"/>
      <c r="U177" s="49"/>
      <c r="V177" s="49"/>
      <c r="W177" s="49"/>
      <c r="X177" s="49"/>
      <c r="Y177" s="49"/>
      <c r="Z177" s="49"/>
    </row>
    <row r="178">
      <c r="A178" s="49"/>
      <c r="B178" s="49"/>
      <c r="C178" s="49"/>
      <c r="D178" s="49"/>
      <c r="E178" s="106"/>
      <c r="F178" s="49"/>
      <c r="G178" s="49"/>
      <c r="H178" s="49"/>
      <c r="I178" s="49"/>
      <c r="J178" s="49"/>
      <c r="K178" s="49"/>
      <c r="L178" s="49"/>
      <c r="M178" s="49"/>
      <c r="N178" s="49"/>
      <c r="O178" s="49"/>
      <c r="P178" s="49"/>
      <c r="Q178" s="49"/>
      <c r="R178" s="49"/>
      <c r="S178" s="49"/>
      <c r="T178" s="49"/>
      <c r="U178" s="49"/>
      <c r="V178" s="49"/>
      <c r="W178" s="49"/>
      <c r="X178" s="49"/>
      <c r="Y178" s="49"/>
      <c r="Z178" s="49"/>
    </row>
    <row r="179">
      <c r="A179" s="49"/>
      <c r="B179" s="49"/>
      <c r="C179" s="49"/>
      <c r="D179" s="49"/>
      <c r="E179" s="106"/>
      <c r="F179" s="49"/>
      <c r="G179" s="49"/>
      <c r="H179" s="49"/>
      <c r="I179" s="49"/>
      <c r="J179" s="49"/>
      <c r="K179" s="49"/>
      <c r="L179" s="49"/>
      <c r="M179" s="49"/>
      <c r="N179" s="49"/>
      <c r="O179" s="49"/>
      <c r="P179" s="49"/>
      <c r="Q179" s="49"/>
      <c r="R179" s="49"/>
      <c r="S179" s="49"/>
      <c r="T179" s="49"/>
      <c r="U179" s="49"/>
      <c r="V179" s="49"/>
      <c r="W179" s="49"/>
      <c r="X179" s="49"/>
      <c r="Y179" s="49"/>
      <c r="Z179" s="49"/>
    </row>
    <row r="180">
      <c r="A180" s="49"/>
      <c r="B180" s="49"/>
      <c r="C180" s="49"/>
      <c r="D180" s="49"/>
      <c r="E180" s="106"/>
      <c r="F180" s="49"/>
      <c r="G180" s="49"/>
      <c r="H180" s="49"/>
      <c r="I180" s="49"/>
      <c r="J180" s="49"/>
      <c r="K180" s="49"/>
      <c r="L180" s="49"/>
      <c r="M180" s="49"/>
      <c r="N180" s="49"/>
      <c r="O180" s="49"/>
      <c r="P180" s="49"/>
      <c r="Q180" s="49"/>
      <c r="R180" s="49"/>
      <c r="S180" s="49"/>
      <c r="T180" s="49"/>
      <c r="U180" s="49"/>
      <c r="V180" s="49"/>
      <c r="W180" s="49"/>
      <c r="X180" s="49"/>
      <c r="Y180" s="49"/>
      <c r="Z180" s="49"/>
    </row>
    <row r="181">
      <c r="A181" s="49"/>
      <c r="B181" s="49"/>
      <c r="C181" s="49"/>
      <c r="D181" s="49"/>
      <c r="E181" s="106"/>
      <c r="F181" s="49"/>
      <c r="G181" s="49"/>
      <c r="H181" s="49"/>
      <c r="I181" s="49"/>
      <c r="J181" s="49"/>
      <c r="K181" s="49"/>
      <c r="L181" s="49"/>
      <c r="M181" s="49"/>
      <c r="N181" s="49"/>
      <c r="O181" s="49"/>
      <c r="P181" s="49"/>
      <c r="Q181" s="49"/>
      <c r="R181" s="49"/>
      <c r="S181" s="49"/>
      <c r="T181" s="49"/>
      <c r="U181" s="49"/>
      <c r="V181" s="49"/>
      <c r="W181" s="49"/>
      <c r="X181" s="49"/>
      <c r="Y181" s="49"/>
      <c r="Z181" s="49"/>
    </row>
    <row r="182">
      <c r="A182" s="49"/>
      <c r="B182" s="49"/>
      <c r="C182" s="49"/>
      <c r="D182" s="49"/>
      <c r="E182" s="106"/>
      <c r="F182" s="49"/>
      <c r="G182" s="49"/>
      <c r="H182" s="49"/>
      <c r="I182" s="49"/>
      <c r="J182" s="49"/>
      <c r="K182" s="49"/>
      <c r="L182" s="49"/>
      <c r="M182" s="49"/>
      <c r="N182" s="49"/>
      <c r="O182" s="49"/>
      <c r="P182" s="49"/>
      <c r="Q182" s="49"/>
      <c r="R182" s="49"/>
      <c r="S182" s="49"/>
      <c r="T182" s="49"/>
      <c r="U182" s="49"/>
      <c r="V182" s="49"/>
      <c r="W182" s="49"/>
      <c r="X182" s="49"/>
      <c r="Y182" s="49"/>
      <c r="Z182" s="49"/>
    </row>
    <row r="183">
      <c r="A183" s="49"/>
      <c r="B183" s="49"/>
      <c r="C183" s="49"/>
      <c r="D183" s="49"/>
      <c r="E183" s="106"/>
      <c r="F183" s="49"/>
      <c r="G183" s="49"/>
      <c r="H183" s="49"/>
      <c r="I183" s="49"/>
      <c r="J183" s="49"/>
      <c r="K183" s="49"/>
      <c r="L183" s="49"/>
      <c r="M183" s="49"/>
      <c r="N183" s="49"/>
      <c r="O183" s="49"/>
      <c r="P183" s="49"/>
      <c r="Q183" s="49"/>
      <c r="R183" s="49"/>
      <c r="S183" s="49"/>
      <c r="T183" s="49"/>
      <c r="U183" s="49"/>
      <c r="V183" s="49"/>
      <c r="W183" s="49"/>
      <c r="X183" s="49"/>
      <c r="Y183" s="49"/>
      <c r="Z183" s="49"/>
    </row>
    <row r="184">
      <c r="A184" s="49"/>
      <c r="B184" s="49"/>
      <c r="C184" s="49"/>
      <c r="D184" s="49"/>
      <c r="E184" s="106"/>
      <c r="F184" s="49"/>
      <c r="G184" s="49"/>
      <c r="H184" s="49"/>
      <c r="I184" s="49"/>
      <c r="J184" s="49"/>
      <c r="K184" s="49"/>
      <c r="L184" s="49"/>
      <c r="M184" s="49"/>
      <c r="N184" s="49"/>
      <c r="O184" s="49"/>
      <c r="P184" s="49"/>
      <c r="Q184" s="49"/>
      <c r="R184" s="49"/>
      <c r="S184" s="49"/>
      <c r="T184" s="49"/>
      <c r="U184" s="49"/>
      <c r="V184" s="49"/>
      <c r="W184" s="49"/>
      <c r="X184" s="49"/>
      <c r="Y184" s="49"/>
      <c r="Z184" s="49"/>
    </row>
    <row r="185">
      <c r="A185" s="49"/>
      <c r="B185" s="49"/>
      <c r="C185" s="49"/>
      <c r="D185" s="49"/>
      <c r="E185" s="106"/>
      <c r="F185" s="49"/>
      <c r="G185" s="49"/>
      <c r="H185" s="49"/>
      <c r="I185" s="49"/>
      <c r="J185" s="49"/>
      <c r="K185" s="49"/>
      <c r="L185" s="49"/>
      <c r="M185" s="49"/>
      <c r="N185" s="49"/>
      <c r="O185" s="49"/>
      <c r="P185" s="49"/>
      <c r="Q185" s="49"/>
      <c r="R185" s="49"/>
      <c r="S185" s="49"/>
      <c r="T185" s="49"/>
      <c r="U185" s="49"/>
      <c r="V185" s="49"/>
      <c r="W185" s="49"/>
      <c r="X185" s="49"/>
      <c r="Y185" s="49"/>
      <c r="Z185" s="49"/>
    </row>
    <row r="186">
      <c r="A186" s="49"/>
      <c r="B186" s="49"/>
      <c r="C186" s="49"/>
      <c r="D186" s="49"/>
      <c r="E186" s="106"/>
      <c r="F186" s="49"/>
      <c r="G186" s="49"/>
      <c r="H186" s="49"/>
      <c r="I186" s="49"/>
      <c r="J186" s="49"/>
      <c r="K186" s="49"/>
      <c r="L186" s="49"/>
      <c r="M186" s="49"/>
      <c r="N186" s="49"/>
      <c r="O186" s="49"/>
      <c r="P186" s="49"/>
      <c r="Q186" s="49"/>
      <c r="R186" s="49"/>
      <c r="S186" s="49"/>
      <c r="T186" s="49"/>
      <c r="U186" s="49"/>
      <c r="V186" s="49"/>
      <c r="W186" s="49"/>
      <c r="X186" s="49"/>
      <c r="Y186" s="49"/>
      <c r="Z186" s="49"/>
    </row>
    <row r="187">
      <c r="A187" s="49"/>
      <c r="B187" s="49"/>
      <c r="C187" s="49"/>
      <c r="D187" s="49"/>
      <c r="E187" s="106"/>
      <c r="F187" s="49"/>
      <c r="G187" s="49"/>
      <c r="H187" s="49"/>
      <c r="I187" s="49"/>
      <c r="J187" s="49"/>
      <c r="K187" s="49"/>
      <c r="L187" s="49"/>
      <c r="M187" s="49"/>
      <c r="N187" s="49"/>
      <c r="O187" s="49"/>
      <c r="P187" s="49"/>
      <c r="Q187" s="49"/>
      <c r="R187" s="49"/>
      <c r="S187" s="49"/>
      <c r="T187" s="49"/>
      <c r="U187" s="49"/>
      <c r="V187" s="49"/>
      <c r="W187" s="49"/>
      <c r="X187" s="49"/>
      <c r="Y187" s="49"/>
      <c r="Z187" s="49"/>
    </row>
    <row r="188">
      <c r="A188" s="49"/>
      <c r="B188" s="49"/>
      <c r="C188" s="49"/>
      <c r="D188" s="49"/>
      <c r="E188" s="106"/>
      <c r="F188" s="49"/>
      <c r="G188" s="49"/>
      <c r="H188" s="49"/>
      <c r="I188" s="49"/>
      <c r="J188" s="49"/>
      <c r="K188" s="49"/>
      <c r="L188" s="49"/>
      <c r="M188" s="49"/>
      <c r="N188" s="49"/>
      <c r="O188" s="49"/>
      <c r="P188" s="49"/>
      <c r="Q188" s="49"/>
      <c r="R188" s="49"/>
      <c r="S188" s="49"/>
      <c r="T188" s="49"/>
      <c r="U188" s="49"/>
      <c r="V188" s="49"/>
      <c r="W188" s="49"/>
      <c r="X188" s="49"/>
      <c r="Y188" s="49"/>
      <c r="Z188" s="49"/>
    </row>
    <row r="189">
      <c r="A189" s="49"/>
      <c r="B189" s="49"/>
      <c r="C189" s="49"/>
      <c r="D189" s="49"/>
      <c r="E189" s="106"/>
      <c r="F189" s="49"/>
      <c r="G189" s="49"/>
      <c r="H189" s="49"/>
      <c r="I189" s="49"/>
      <c r="J189" s="49"/>
      <c r="K189" s="49"/>
      <c r="L189" s="49"/>
      <c r="M189" s="49"/>
      <c r="N189" s="49"/>
      <c r="O189" s="49"/>
      <c r="P189" s="49"/>
      <c r="Q189" s="49"/>
      <c r="R189" s="49"/>
      <c r="S189" s="49"/>
      <c r="T189" s="49"/>
      <c r="U189" s="49"/>
      <c r="V189" s="49"/>
      <c r="W189" s="49"/>
      <c r="X189" s="49"/>
      <c r="Y189" s="49"/>
      <c r="Z189" s="49"/>
    </row>
    <row r="190">
      <c r="A190" s="49"/>
      <c r="B190" s="49"/>
      <c r="C190" s="49"/>
      <c r="D190" s="49"/>
      <c r="E190" s="106"/>
      <c r="F190" s="49"/>
      <c r="G190" s="49"/>
      <c r="H190" s="49"/>
      <c r="I190" s="49"/>
      <c r="J190" s="49"/>
      <c r="K190" s="49"/>
      <c r="L190" s="49"/>
      <c r="M190" s="49"/>
      <c r="N190" s="49"/>
      <c r="O190" s="49"/>
      <c r="P190" s="49"/>
      <c r="Q190" s="49"/>
      <c r="R190" s="49"/>
      <c r="S190" s="49"/>
      <c r="T190" s="49"/>
      <c r="U190" s="49"/>
      <c r="V190" s="49"/>
      <c r="W190" s="49"/>
      <c r="X190" s="49"/>
      <c r="Y190" s="49"/>
      <c r="Z190" s="49"/>
    </row>
    <row r="191">
      <c r="A191" s="49"/>
      <c r="B191" s="49"/>
      <c r="C191" s="49"/>
      <c r="D191" s="49"/>
      <c r="E191" s="106"/>
      <c r="F191" s="49"/>
      <c r="G191" s="49"/>
      <c r="H191" s="49"/>
      <c r="I191" s="49"/>
      <c r="J191" s="49"/>
      <c r="K191" s="49"/>
      <c r="L191" s="49"/>
      <c r="M191" s="49"/>
      <c r="N191" s="49"/>
      <c r="O191" s="49"/>
      <c r="P191" s="49"/>
      <c r="Q191" s="49"/>
      <c r="R191" s="49"/>
      <c r="S191" s="49"/>
      <c r="T191" s="49"/>
      <c r="U191" s="49"/>
      <c r="V191" s="49"/>
      <c r="W191" s="49"/>
      <c r="X191" s="49"/>
      <c r="Y191" s="49"/>
      <c r="Z191" s="49"/>
    </row>
    <row r="192">
      <c r="A192" s="49"/>
      <c r="B192" s="49"/>
      <c r="C192" s="49"/>
      <c r="D192" s="49"/>
      <c r="E192" s="106"/>
      <c r="F192" s="49"/>
      <c r="G192" s="49"/>
      <c r="H192" s="49"/>
      <c r="I192" s="49"/>
      <c r="J192" s="49"/>
      <c r="K192" s="49"/>
      <c r="L192" s="49"/>
      <c r="M192" s="49"/>
      <c r="N192" s="49"/>
      <c r="O192" s="49"/>
      <c r="P192" s="49"/>
      <c r="Q192" s="49"/>
      <c r="R192" s="49"/>
      <c r="S192" s="49"/>
      <c r="T192" s="49"/>
      <c r="U192" s="49"/>
      <c r="V192" s="49"/>
      <c r="W192" s="49"/>
      <c r="X192" s="49"/>
      <c r="Y192" s="49"/>
      <c r="Z192" s="49"/>
    </row>
    <row r="193">
      <c r="A193" s="49"/>
      <c r="B193" s="49"/>
      <c r="C193" s="49"/>
      <c r="D193" s="49"/>
      <c r="E193" s="106"/>
      <c r="F193" s="49"/>
      <c r="G193" s="49"/>
      <c r="H193" s="49"/>
      <c r="I193" s="49"/>
      <c r="J193" s="49"/>
      <c r="K193" s="49"/>
      <c r="L193" s="49"/>
      <c r="M193" s="49"/>
      <c r="N193" s="49"/>
      <c r="O193" s="49"/>
      <c r="P193" s="49"/>
      <c r="Q193" s="49"/>
      <c r="R193" s="49"/>
      <c r="S193" s="49"/>
      <c r="T193" s="49"/>
      <c r="U193" s="49"/>
      <c r="V193" s="49"/>
      <c r="W193" s="49"/>
      <c r="X193" s="49"/>
      <c r="Y193" s="49"/>
      <c r="Z193" s="49"/>
    </row>
    <row r="194">
      <c r="A194" s="49"/>
      <c r="B194" s="49"/>
      <c r="C194" s="49"/>
      <c r="D194" s="49"/>
      <c r="E194" s="106"/>
      <c r="F194" s="49"/>
      <c r="G194" s="49"/>
      <c r="H194" s="49"/>
      <c r="I194" s="49"/>
      <c r="J194" s="49"/>
      <c r="K194" s="49"/>
      <c r="L194" s="49"/>
      <c r="M194" s="49"/>
      <c r="N194" s="49"/>
      <c r="O194" s="49"/>
      <c r="P194" s="49"/>
      <c r="Q194" s="49"/>
      <c r="R194" s="49"/>
      <c r="S194" s="49"/>
      <c r="T194" s="49"/>
      <c r="U194" s="49"/>
      <c r="V194" s="49"/>
      <c r="W194" s="49"/>
      <c r="X194" s="49"/>
      <c r="Y194" s="49"/>
      <c r="Z194" s="49"/>
    </row>
    <row r="195">
      <c r="A195" s="49"/>
      <c r="B195" s="49"/>
      <c r="C195" s="49"/>
      <c r="D195" s="49"/>
      <c r="E195" s="106"/>
      <c r="F195" s="49"/>
      <c r="G195" s="49"/>
      <c r="H195" s="49"/>
      <c r="I195" s="49"/>
      <c r="J195" s="49"/>
      <c r="K195" s="49"/>
      <c r="L195" s="49"/>
      <c r="M195" s="49"/>
      <c r="N195" s="49"/>
      <c r="O195" s="49"/>
      <c r="P195" s="49"/>
      <c r="Q195" s="49"/>
      <c r="R195" s="49"/>
      <c r="S195" s="49"/>
      <c r="T195" s="49"/>
      <c r="U195" s="49"/>
      <c r="V195" s="49"/>
      <c r="W195" s="49"/>
      <c r="X195" s="49"/>
      <c r="Y195" s="49"/>
      <c r="Z195" s="49"/>
    </row>
    <row r="196">
      <c r="A196" s="49"/>
      <c r="B196" s="49"/>
      <c r="C196" s="49"/>
      <c r="D196" s="49"/>
      <c r="E196" s="106"/>
      <c r="F196" s="49"/>
      <c r="G196" s="49"/>
      <c r="H196" s="49"/>
      <c r="I196" s="49"/>
      <c r="J196" s="49"/>
      <c r="K196" s="49"/>
      <c r="L196" s="49"/>
      <c r="M196" s="49"/>
      <c r="N196" s="49"/>
      <c r="O196" s="49"/>
      <c r="P196" s="49"/>
      <c r="Q196" s="49"/>
      <c r="R196" s="49"/>
      <c r="S196" s="49"/>
      <c r="T196" s="49"/>
      <c r="U196" s="49"/>
      <c r="V196" s="49"/>
      <c r="W196" s="49"/>
      <c r="X196" s="49"/>
      <c r="Y196" s="49"/>
      <c r="Z196" s="49"/>
    </row>
    <row r="197">
      <c r="A197" s="49"/>
      <c r="B197" s="49"/>
      <c r="C197" s="49"/>
      <c r="D197" s="49"/>
      <c r="E197" s="106"/>
      <c r="F197" s="49"/>
      <c r="G197" s="49"/>
      <c r="H197" s="49"/>
      <c r="I197" s="49"/>
      <c r="J197" s="49"/>
      <c r="K197" s="49"/>
      <c r="L197" s="49"/>
      <c r="M197" s="49"/>
      <c r="N197" s="49"/>
      <c r="O197" s="49"/>
      <c r="P197" s="49"/>
      <c r="Q197" s="49"/>
      <c r="R197" s="49"/>
      <c r="S197" s="49"/>
      <c r="T197" s="49"/>
      <c r="U197" s="49"/>
      <c r="V197" s="49"/>
      <c r="W197" s="49"/>
      <c r="X197" s="49"/>
      <c r="Y197" s="49"/>
      <c r="Z197" s="49"/>
    </row>
    <row r="198">
      <c r="A198" s="49"/>
      <c r="B198" s="49"/>
      <c r="C198" s="49"/>
      <c r="D198" s="49"/>
      <c r="E198" s="106"/>
      <c r="F198" s="49"/>
      <c r="G198" s="49"/>
      <c r="H198" s="49"/>
      <c r="I198" s="49"/>
      <c r="J198" s="49"/>
      <c r="K198" s="49"/>
      <c r="L198" s="49"/>
      <c r="M198" s="49"/>
      <c r="N198" s="49"/>
      <c r="O198" s="49"/>
      <c r="P198" s="49"/>
      <c r="Q198" s="49"/>
      <c r="R198" s="49"/>
      <c r="S198" s="49"/>
      <c r="T198" s="49"/>
      <c r="U198" s="49"/>
      <c r="V198" s="49"/>
      <c r="W198" s="49"/>
      <c r="X198" s="49"/>
      <c r="Y198" s="49"/>
      <c r="Z198" s="49"/>
    </row>
    <row r="199">
      <c r="A199" s="49"/>
      <c r="B199" s="49"/>
      <c r="C199" s="49"/>
      <c r="D199" s="49"/>
      <c r="E199" s="106"/>
      <c r="F199" s="49"/>
      <c r="G199" s="49"/>
      <c r="H199" s="49"/>
      <c r="I199" s="49"/>
      <c r="J199" s="49"/>
      <c r="K199" s="49"/>
      <c r="L199" s="49"/>
      <c r="M199" s="49"/>
      <c r="N199" s="49"/>
      <c r="O199" s="49"/>
      <c r="P199" s="49"/>
      <c r="Q199" s="49"/>
      <c r="R199" s="49"/>
      <c r="S199" s="49"/>
      <c r="T199" s="49"/>
      <c r="U199" s="49"/>
      <c r="V199" s="49"/>
      <c r="W199" s="49"/>
      <c r="X199" s="49"/>
      <c r="Y199" s="49"/>
      <c r="Z199" s="49"/>
    </row>
    <row r="200">
      <c r="A200" s="49"/>
      <c r="B200" s="49"/>
      <c r="C200" s="49"/>
      <c r="D200" s="49"/>
      <c r="E200" s="106"/>
      <c r="F200" s="49"/>
      <c r="G200" s="49"/>
      <c r="H200" s="49"/>
      <c r="I200" s="49"/>
      <c r="J200" s="49"/>
      <c r="K200" s="49"/>
      <c r="L200" s="49"/>
      <c r="M200" s="49"/>
      <c r="N200" s="49"/>
      <c r="O200" s="49"/>
      <c r="P200" s="49"/>
      <c r="Q200" s="49"/>
      <c r="R200" s="49"/>
      <c r="S200" s="49"/>
      <c r="T200" s="49"/>
      <c r="U200" s="49"/>
      <c r="V200" s="49"/>
      <c r="W200" s="49"/>
      <c r="X200" s="49"/>
      <c r="Y200" s="49"/>
      <c r="Z200" s="49"/>
    </row>
    <row r="201">
      <c r="A201" s="49"/>
      <c r="B201" s="49"/>
      <c r="C201" s="49"/>
      <c r="D201" s="49"/>
      <c r="E201" s="106"/>
      <c r="F201" s="49"/>
      <c r="G201" s="49"/>
      <c r="H201" s="49"/>
      <c r="I201" s="49"/>
      <c r="J201" s="49"/>
      <c r="K201" s="49"/>
      <c r="L201" s="49"/>
      <c r="M201" s="49"/>
      <c r="N201" s="49"/>
      <c r="O201" s="49"/>
      <c r="P201" s="49"/>
      <c r="Q201" s="49"/>
      <c r="R201" s="49"/>
      <c r="S201" s="49"/>
      <c r="T201" s="49"/>
      <c r="U201" s="49"/>
      <c r="V201" s="49"/>
      <c r="W201" s="49"/>
      <c r="X201" s="49"/>
      <c r="Y201" s="49"/>
      <c r="Z201" s="49"/>
    </row>
    <row r="202">
      <c r="A202" s="49"/>
      <c r="B202" s="49"/>
      <c r="C202" s="49"/>
      <c r="D202" s="49"/>
      <c r="E202" s="106"/>
      <c r="F202" s="49"/>
      <c r="G202" s="49"/>
      <c r="H202" s="49"/>
      <c r="I202" s="49"/>
      <c r="J202" s="49"/>
      <c r="K202" s="49"/>
      <c r="L202" s="49"/>
      <c r="M202" s="49"/>
      <c r="N202" s="49"/>
      <c r="O202" s="49"/>
      <c r="P202" s="49"/>
      <c r="Q202" s="49"/>
      <c r="R202" s="49"/>
      <c r="S202" s="49"/>
      <c r="T202" s="49"/>
      <c r="U202" s="49"/>
      <c r="V202" s="49"/>
      <c r="W202" s="49"/>
      <c r="X202" s="49"/>
      <c r="Y202" s="49"/>
      <c r="Z202" s="49"/>
    </row>
    <row r="203">
      <c r="A203" s="49"/>
      <c r="B203" s="49"/>
      <c r="C203" s="49"/>
      <c r="D203" s="49"/>
      <c r="E203" s="106"/>
      <c r="F203" s="49"/>
      <c r="G203" s="49"/>
      <c r="H203" s="49"/>
      <c r="I203" s="49"/>
      <c r="J203" s="49"/>
      <c r="K203" s="49"/>
      <c r="L203" s="49"/>
      <c r="M203" s="49"/>
      <c r="N203" s="49"/>
      <c r="O203" s="49"/>
      <c r="P203" s="49"/>
      <c r="Q203" s="49"/>
      <c r="R203" s="49"/>
      <c r="S203" s="49"/>
      <c r="T203" s="49"/>
      <c r="U203" s="49"/>
      <c r="V203" s="49"/>
      <c r="W203" s="49"/>
      <c r="X203" s="49"/>
      <c r="Y203" s="49"/>
      <c r="Z203" s="49"/>
    </row>
    <row r="204">
      <c r="A204" s="49"/>
      <c r="B204" s="49"/>
      <c r="C204" s="49"/>
      <c r="D204" s="49"/>
      <c r="E204" s="106"/>
      <c r="F204" s="49"/>
      <c r="G204" s="49"/>
      <c r="H204" s="49"/>
      <c r="I204" s="49"/>
      <c r="J204" s="49"/>
      <c r="K204" s="49"/>
      <c r="L204" s="49"/>
      <c r="M204" s="49"/>
      <c r="N204" s="49"/>
      <c r="O204" s="49"/>
      <c r="P204" s="49"/>
      <c r="Q204" s="49"/>
      <c r="R204" s="49"/>
      <c r="S204" s="49"/>
      <c r="T204" s="49"/>
      <c r="U204" s="49"/>
      <c r="V204" s="49"/>
      <c r="W204" s="49"/>
      <c r="X204" s="49"/>
      <c r="Y204" s="49"/>
      <c r="Z204" s="49"/>
    </row>
    <row r="205">
      <c r="A205" s="49"/>
      <c r="B205" s="49"/>
      <c r="C205" s="49"/>
      <c r="D205" s="49"/>
      <c r="E205" s="106"/>
      <c r="F205" s="49"/>
      <c r="G205" s="49"/>
      <c r="H205" s="49"/>
      <c r="I205" s="49"/>
      <c r="J205" s="49"/>
      <c r="K205" s="49"/>
      <c r="L205" s="49"/>
      <c r="M205" s="49"/>
      <c r="N205" s="49"/>
      <c r="O205" s="49"/>
      <c r="P205" s="49"/>
      <c r="Q205" s="49"/>
      <c r="R205" s="49"/>
      <c r="S205" s="49"/>
      <c r="T205" s="49"/>
      <c r="U205" s="49"/>
      <c r="V205" s="49"/>
      <c r="W205" s="49"/>
      <c r="X205" s="49"/>
      <c r="Y205" s="49"/>
      <c r="Z205" s="49"/>
    </row>
    <row r="206">
      <c r="A206" s="49"/>
      <c r="B206" s="49"/>
      <c r="C206" s="49"/>
      <c r="D206" s="49"/>
      <c r="E206" s="106"/>
      <c r="F206" s="49"/>
      <c r="G206" s="49"/>
      <c r="H206" s="49"/>
      <c r="I206" s="49"/>
      <c r="J206" s="49"/>
      <c r="K206" s="49"/>
      <c r="L206" s="49"/>
      <c r="M206" s="49"/>
      <c r="N206" s="49"/>
      <c r="O206" s="49"/>
      <c r="P206" s="49"/>
      <c r="Q206" s="49"/>
      <c r="R206" s="49"/>
      <c r="S206" s="49"/>
      <c r="T206" s="49"/>
      <c r="U206" s="49"/>
      <c r="V206" s="49"/>
      <c r="W206" s="49"/>
      <c r="X206" s="49"/>
      <c r="Y206" s="49"/>
      <c r="Z206" s="49"/>
    </row>
    <row r="207">
      <c r="A207" s="49"/>
      <c r="B207" s="49"/>
      <c r="C207" s="49"/>
      <c r="D207" s="49"/>
      <c r="E207" s="106"/>
      <c r="F207" s="49"/>
      <c r="G207" s="49"/>
      <c r="H207" s="49"/>
      <c r="I207" s="49"/>
      <c r="J207" s="49"/>
      <c r="K207" s="49"/>
      <c r="L207" s="49"/>
      <c r="M207" s="49"/>
      <c r="N207" s="49"/>
      <c r="O207" s="49"/>
      <c r="P207" s="49"/>
      <c r="Q207" s="49"/>
      <c r="R207" s="49"/>
      <c r="S207" s="49"/>
      <c r="T207" s="49"/>
      <c r="U207" s="49"/>
      <c r="V207" s="49"/>
      <c r="W207" s="49"/>
      <c r="X207" s="49"/>
      <c r="Y207" s="49"/>
      <c r="Z207" s="49"/>
    </row>
    <row r="208">
      <c r="A208" s="49"/>
      <c r="B208" s="49"/>
      <c r="C208" s="49"/>
      <c r="D208" s="49"/>
      <c r="E208" s="106"/>
      <c r="F208" s="49"/>
      <c r="G208" s="49"/>
      <c r="H208" s="49"/>
      <c r="I208" s="49"/>
      <c r="J208" s="49"/>
      <c r="K208" s="49"/>
      <c r="L208" s="49"/>
      <c r="M208" s="49"/>
      <c r="N208" s="49"/>
      <c r="O208" s="49"/>
      <c r="P208" s="49"/>
      <c r="Q208" s="49"/>
      <c r="R208" s="49"/>
      <c r="S208" s="49"/>
      <c r="T208" s="49"/>
      <c r="U208" s="49"/>
      <c r="V208" s="49"/>
      <c r="W208" s="49"/>
      <c r="X208" s="49"/>
      <c r="Y208" s="49"/>
      <c r="Z208" s="49"/>
    </row>
    <row r="209">
      <c r="A209" s="49"/>
      <c r="B209" s="49"/>
      <c r="C209" s="49"/>
      <c r="D209" s="49"/>
      <c r="E209" s="106"/>
      <c r="F209" s="49"/>
      <c r="G209" s="49"/>
      <c r="H209" s="49"/>
      <c r="I209" s="49"/>
      <c r="J209" s="49"/>
      <c r="K209" s="49"/>
      <c r="L209" s="49"/>
      <c r="M209" s="49"/>
      <c r="N209" s="49"/>
      <c r="O209" s="49"/>
      <c r="P209" s="49"/>
      <c r="Q209" s="49"/>
      <c r="R209" s="49"/>
      <c r="S209" s="49"/>
      <c r="T209" s="49"/>
      <c r="U209" s="49"/>
      <c r="V209" s="49"/>
      <c r="W209" s="49"/>
      <c r="X209" s="49"/>
      <c r="Y209" s="49"/>
      <c r="Z209" s="49"/>
    </row>
    <row r="210">
      <c r="A210" s="49"/>
      <c r="B210" s="49"/>
      <c r="C210" s="49"/>
      <c r="D210" s="49"/>
      <c r="E210" s="106"/>
      <c r="F210" s="49"/>
      <c r="G210" s="49"/>
      <c r="H210" s="49"/>
      <c r="I210" s="49"/>
      <c r="J210" s="49"/>
      <c r="K210" s="49"/>
      <c r="L210" s="49"/>
      <c r="M210" s="49"/>
      <c r="N210" s="49"/>
      <c r="O210" s="49"/>
      <c r="P210" s="49"/>
      <c r="Q210" s="49"/>
      <c r="R210" s="49"/>
      <c r="S210" s="49"/>
      <c r="T210" s="49"/>
      <c r="U210" s="49"/>
      <c r="V210" s="49"/>
      <c r="W210" s="49"/>
      <c r="X210" s="49"/>
      <c r="Y210" s="49"/>
      <c r="Z210" s="49"/>
    </row>
    <row r="211">
      <c r="A211" s="49"/>
      <c r="B211" s="49"/>
      <c r="C211" s="49"/>
      <c r="D211" s="49"/>
      <c r="E211" s="106"/>
      <c r="F211" s="49"/>
      <c r="G211" s="49"/>
      <c r="H211" s="49"/>
      <c r="I211" s="49"/>
      <c r="J211" s="49"/>
      <c r="K211" s="49"/>
      <c r="L211" s="49"/>
      <c r="M211" s="49"/>
      <c r="N211" s="49"/>
      <c r="O211" s="49"/>
      <c r="P211" s="49"/>
      <c r="Q211" s="49"/>
      <c r="R211" s="49"/>
      <c r="S211" s="49"/>
      <c r="T211" s="49"/>
      <c r="U211" s="49"/>
      <c r="V211" s="49"/>
      <c r="W211" s="49"/>
      <c r="X211" s="49"/>
      <c r="Y211" s="49"/>
      <c r="Z211" s="49"/>
    </row>
    <row r="212">
      <c r="A212" s="49"/>
      <c r="B212" s="49"/>
      <c r="C212" s="49"/>
      <c r="D212" s="49"/>
      <c r="E212" s="106"/>
      <c r="F212" s="49"/>
      <c r="G212" s="49"/>
      <c r="H212" s="49"/>
      <c r="I212" s="49"/>
      <c r="J212" s="49"/>
      <c r="K212" s="49"/>
      <c r="L212" s="49"/>
      <c r="M212" s="49"/>
      <c r="N212" s="49"/>
      <c r="O212" s="49"/>
      <c r="P212" s="49"/>
      <c r="Q212" s="49"/>
      <c r="R212" s="49"/>
      <c r="S212" s="49"/>
      <c r="T212" s="49"/>
      <c r="U212" s="49"/>
      <c r="V212" s="49"/>
      <c r="W212" s="49"/>
      <c r="X212" s="49"/>
      <c r="Y212" s="49"/>
      <c r="Z212" s="49"/>
    </row>
    <row r="213">
      <c r="A213" s="49"/>
      <c r="B213" s="49"/>
      <c r="C213" s="49"/>
      <c r="D213" s="49"/>
      <c r="E213" s="106"/>
      <c r="F213" s="49"/>
      <c r="G213" s="49"/>
      <c r="H213" s="49"/>
      <c r="I213" s="49"/>
      <c r="J213" s="49"/>
      <c r="K213" s="49"/>
      <c r="L213" s="49"/>
      <c r="M213" s="49"/>
      <c r="N213" s="49"/>
      <c r="O213" s="49"/>
      <c r="P213" s="49"/>
      <c r="Q213" s="49"/>
      <c r="R213" s="49"/>
      <c r="S213" s="49"/>
      <c r="T213" s="49"/>
      <c r="U213" s="49"/>
      <c r="V213" s="49"/>
      <c r="W213" s="49"/>
      <c r="X213" s="49"/>
      <c r="Y213" s="49"/>
      <c r="Z213" s="49"/>
    </row>
    <row r="214">
      <c r="A214" s="49"/>
      <c r="B214" s="49"/>
      <c r="C214" s="49"/>
      <c r="D214" s="49"/>
      <c r="E214" s="106"/>
      <c r="F214" s="49"/>
      <c r="G214" s="49"/>
      <c r="H214" s="49"/>
      <c r="I214" s="49"/>
      <c r="J214" s="49"/>
      <c r="K214" s="49"/>
      <c r="L214" s="49"/>
      <c r="M214" s="49"/>
      <c r="N214" s="49"/>
      <c r="O214" s="49"/>
      <c r="P214" s="49"/>
      <c r="Q214" s="49"/>
      <c r="R214" s="49"/>
      <c r="S214" s="49"/>
      <c r="T214" s="49"/>
      <c r="U214" s="49"/>
      <c r="V214" s="49"/>
      <c r="W214" s="49"/>
      <c r="X214" s="49"/>
      <c r="Y214" s="49"/>
      <c r="Z214" s="49"/>
    </row>
    <row r="215">
      <c r="A215" s="49"/>
      <c r="B215" s="49"/>
      <c r="C215" s="49"/>
      <c r="D215" s="49"/>
      <c r="E215" s="106"/>
      <c r="F215" s="49"/>
      <c r="G215" s="49"/>
      <c r="H215" s="49"/>
      <c r="I215" s="49"/>
      <c r="J215" s="49"/>
      <c r="K215" s="49"/>
      <c r="L215" s="49"/>
      <c r="M215" s="49"/>
      <c r="N215" s="49"/>
      <c r="O215" s="49"/>
      <c r="P215" s="49"/>
      <c r="Q215" s="49"/>
      <c r="R215" s="49"/>
      <c r="S215" s="49"/>
      <c r="T215" s="49"/>
      <c r="U215" s="49"/>
      <c r="V215" s="49"/>
      <c r="W215" s="49"/>
      <c r="X215" s="49"/>
      <c r="Y215" s="49"/>
      <c r="Z215" s="49"/>
    </row>
    <row r="216">
      <c r="A216" s="49"/>
      <c r="B216" s="49"/>
      <c r="C216" s="49"/>
      <c r="D216" s="49"/>
      <c r="E216" s="106"/>
      <c r="F216" s="49"/>
      <c r="G216" s="49"/>
      <c r="H216" s="49"/>
      <c r="I216" s="49"/>
      <c r="J216" s="49"/>
      <c r="K216" s="49"/>
      <c r="L216" s="49"/>
      <c r="M216" s="49"/>
      <c r="N216" s="49"/>
      <c r="O216" s="49"/>
      <c r="P216" s="49"/>
      <c r="Q216" s="49"/>
      <c r="R216" s="49"/>
      <c r="S216" s="49"/>
      <c r="T216" s="49"/>
      <c r="U216" s="49"/>
      <c r="V216" s="49"/>
      <c r="W216" s="49"/>
      <c r="X216" s="49"/>
      <c r="Y216" s="49"/>
      <c r="Z216" s="49"/>
    </row>
    <row r="217">
      <c r="A217" s="49"/>
      <c r="B217" s="49"/>
      <c r="C217" s="49"/>
      <c r="D217" s="49"/>
      <c r="E217" s="106"/>
      <c r="F217" s="49"/>
      <c r="G217" s="49"/>
      <c r="H217" s="49"/>
      <c r="I217" s="49"/>
      <c r="J217" s="49"/>
      <c r="K217" s="49"/>
      <c r="L217" s="49"/>
      <c r="M217" s="49"/>
      <c r="N217" s="49"/>
      <c r="O217" s="49"/>
      <c r="P217" s="49"/>
      <c r="Q217" s="49"/>
      <c r="R217" s="49"/>
      <c r="S217" s="49"/>
      <c r="T217" s="49"/>
      <c r="U217" s="49"/>
      <c r="V217" s="49"/>
      <c r="W217" s="49"/>
      <c r="X217" s="49"/>
      <c r="Y217" s="49"/>
      <c r="Z217" s="49"/>
    </row>
    <row r="218">
      <c r="A218" s="49"/>
      <c r="B218" s="49"/>
      <c r="C218" s="49"/>
      <c r="D218" s="49"/>
      <c r="E218" s="106"/>
      <c r="F218" s="49"/>
      <c r="G218" s="49"/>
      <c r="H218" s="49"/>
      <c r="I218" s="49"/>
      <c r="J218" s="49"/>
      <c r="K218" s="49"/>
      <c r="L218" s="49"/>
      <c r="M218" s="49"/>
      <c r="N218" s="49"/>
      <c r="O218" s="49"/>
      <c r="P218" s="49"/>
      <c r="Q218" s="49"/>
      <c r="R218" s="49"/>
      <c r="S218" s="49"/>
      <c r="T218" s="49"/>
      <c r="U218" s="49"/>
      <c r="V218" s="49"/>
      <c r="W218" s="49"/>
      <c r="X218" s="49"/>
      <c r="Y218" s="49"/>
      <c r="Z218" s="49"/>
    </row>
    <row r="219">
      <c r="A219" s="49"/>
      <c r="B219" s="49"/>
      <c r="C219" s="49"/>
      <c r="D219" s="49"/>
      <c r="E219" s="106"/>
      <c r="F219" s="49"/>
      <c r="G219" s="49"/>
      <c r="H219" s="49"/>
      <c r="I219" s="49"/>
      <c r="J219" s="49"/>
      <c r="K219" s="49"/>
      <c r="L219" s="49"/>
      <c r="M219" s="49"/>
      <c r="N219" s="49"/>
      <c r="O219" s="49"/>
      <c r="P219" s="49"/>
      <c r="Q219" s="49"/>
      <c r="R219" s="49"/>
      <c r="S219" s="49"/>
      <c r="T219" s="49"/>
      <c r="U219" s="49"/>
      <c r="V219" s="49"/>
      <c r="W219" s="49"/>
      <c r="X219" s="49"/>
      <c r="Y219" s="49"/>
      <c r="Z219" s="49"/>
    </row>
    <row r="220">
      <c r="A220" s="49"/>
      <c r="B220" s="49"/>
      <c r="C220" s="49"/>
      <c r="D220" s="49"/>
      <c r="E220" s="106"/>
      <c r="F220" s="49"/>
      <c r="G220" s="49"/>
      <c r="H220" s="49"/>
      <c r="I220" s="49"/>
      <c r="J220" s="49"/>
      <c r="K220" s="49"/>
      <c r="L220" s="49"/>
      <c r="M220" s="49"/>
      <c r="N220" s="49"/>
      <c r="O220" s="49"/>
      <c r="P220" s="49"/>
      <c r="Q220" s="49"/>
      <c r="R220" s="49"/>
      <c r="S220" s="49"/>
      <c r="T220" s="49"/>
      <c r="U220" s="49"/>
      <c r="V220" s="49"/>
      <c r="W220" s="49"/>
      <c r="X220" s="49"/>
      <c r="Y220" s="49"/>
      <c r="Z220" s="49"/>
    </row>
    <row r="221">
      <c r="A221" s="49"/>
      <c r="B221" s="49"/>
      <c r="C221" s="49"/>
      <c r="D221" s="49"/>
      <c r="E221" s="106"/>
      <c r="F221" s="49"/>
      <c r="G221" s="49"/>
      <c r="H221" s="49"/>
      <c r="I221" s="49"/>
      <c r="J221" s="49"/>
      <c r="K221" s="49"/>
      <c r="L221" s="49"/>
      <c r="M221" s="49"/>
      <c r="N221" s="49"/>
      <c r="O221" s="49"/>
      <c r="P221" s="49"/>
      <c r="Q221" s="49"/>
      <c r="R221" s="49"/>
      <c r="S221" s="49"/>
      <c r="T221" s="49"/>
      <c r="U221" s="49"/>
      <c r="V221" s="49"/>
      <c r="W221" s="49"/>
      <c r="X221" s="49"/>
      <c r="Y221" s="49"/>
      <c r="Z221" s="49"/>
    </row>
    <row r="222">
      <c r="A222" s="49"/>
      <c r="B222" s="49"/>
      <c r="C222" s="49"/>
      <c r="D222" s="49"/>
      <c r="E222" s="106"/>
      <c r="F222" s="49"/>
      <c r="G222" s="49"/>
      <c r="H222" s="49"/>
      <c r="I222" s="49"/>
      <c r="J222" s="49"/>
      <c r="K222" s="49"/>
      <c r="L222" s="49"/>
      <c r="M222" s="49"/>
      <c r="N222" s="49"/>
      <c r="O222" s="49"/>
      <c r="P222" s="49"/>
      <c r="Q222" s="49"/>
      <c r="R222" s="49"/>
      <c r="S222" s="49"/>
      <c r="T222" s="49"/>
      <c r="U222" s="49"/>
      <c r="V222" s="49"/>
      <c r="W222" s="49"/>
      <c r="X222" s="49"/>
      <c r="Y222" s="49"/>
      <c r="Z222" s="49"/>
    </row>
    <row r="223">
      <c r="A223" s="49"/>
      <c r="B223" s="49"/>
      <c r="C223" s="49"/>
      <c r="D223" s="49"/>
      <c r="E223" s="106"/>
      <c r="F223" s="49"/>
      <c r="G223" s="49"/>
      <c r="H223" s="49"/>
      <c r="I223" s="49"/>
      <c r="J223" s="49"/>
      <c r="K223" s="49"/>
      <c r="L223" s="49"/>
      <c r="M223" s="49"/>
      <c r="N223" s="49"/>
      <c r="O223" s="49"/>
      <c r="P223" s="49"/>
      <c r="Q223" s="49"/>
      <c r="R223" s="49"/>
      <c r="S223" s="49"/>
      <c r="T223" s="49"/>
      <c r="U223" s="49"/>
      <c r="V223" s="49"/>
      <c r="W223" s="49"/>
      <c r="X223" s="49"/>
      <c r="Y223" s="49"/>
      <c r="Z223" s="49"/>
    </row>
    <row r="224">
      <c r="A224" s="49"/>
      <c r="B224" s="49"/>
      <c r="C224" s="49"/>
      <c r="D224" s="49"/>
      <c r="E224" s="106"/>
      <c r="F224" s="49"/>
      <c r="G224" s="49"/>
      <c r="H224" s="49"/>
      <c r="I224" s="49"/>
      <c r="J224" s="49"/>
      <c r="K224" s="49"/>
      <c r="L224" s="49"/>
      <c r="M224" s="49"/>
      <c r="N224" s="49"/>
      <c r="O224" s="49"/>
      <c r="P224" s="49"/>
      <c r="Q224" s="49"/>
      <c r="R224" s="49"/>
      <c r="S224" s="49"/>
      <c r="T224" s="49"/>
      <c r="U224" s="49"/>
      <c r="V224" s="49"/>
      <c r="W224" s="49"/>
      <c r="X224" s="49"/>
      <c r="Y224" s="49"/>
      <c r="Z224" s="49"/>
    </row>
    <row r="225">
      <c r="A225" s="49"/>
      <c r="B225" s="49"/>
      <c r="C225" s="49"/>
      <c r="D225" s="49"/>
      <c r="E225" s="106"/>
      <c r="F225" s="49"/>
      <c r="G225" s="49"/>
      <c r="H225" s="49"/>
      <c r="I225" s="49"/>
      <c r="J225" s="49"/>
      <c r="K225" s="49"/>
      <c r="L225" s="49"/>
      <c r="M225" s="49"/>
      <c r="N225" s="49"/>
      <c r="O225" s="49"/>
      <c r="P225" s="49"/>
      <c r="Q225" s="49"/>
      <c r="R225" s="49"/>
      <c r="S225" s="49"/>
      <c r="T225" s="49"/>
      <c r="U225" s="49"/>
      <c r="V225" s="49"/>
      <c r="W225" s="49"/>
      <c r="X225" s="49"/>
      <c r="Y225" s="49"/>
      <c r="Z225" s="49"/>
    </row>
    <row r="226">
      <c r="A226" s="49"/>
      <c r="B226" s="49"/>
      <c r="C226" s="49"/>
      <c r="D226" s="49"/>
      <c r="E226" s="106"/>
      <c r="F226" s="49"/>
      <c r="G226" s="49"/>
      <c r="H226" s="49"/>
      <c r="I226" s="49"/>
      <c r="J226" s="49"/>
      <c r="K226" s="49"/>
      <c r="L226" s="49"/>
      <c r="M226" s="49"/>
      <c r="N226" s="49"/>
      <c r="O226" s="49"/>
      <c r="P226" s="49"/>
      <c r="Q226" s="49"/>
      <c r="R226" s="49"/>
      <c r="S226" s="49"/>
      <c r="T226" s="49"/>
      <c r="U226" s="49"/>
      <c r="V226" s="49"/>
      <c r="W226" s="49"/>
      <c r="X226" s="49"/>
      <c r="Y226" s="49"/>
      <c r="Z226" s="49"/>
    </row>
    <row r="227">
      <c r="A227" s="49"/>
      <c r="B227" s="49"/>
      <c r="C227" s="49"/>
      <c r="D227" s="49"/>
      <c r="E227" s="106"/>
      <c r="F227" s="49"/>
      <c r="G227" s="49"/>
      <c r="H227" s="49"/>
      <c r="I227" s="49"/>
      <c r="J227" s="49"/>
      <c r="K227" s="49"/>
      <c r="L227" s="49"/>
      <c r="M227" s="49"/>
      <c r="N227" s="49"/>
      <c r="O227" s="49"/>
      <c r="P227" s="49"/>
      <c r="Q227" s="49"/>
      <c r="R227" s="49"/>
      <c r="S227" s="49"/>
      <c r="T227" s="49"/>
      <c r="U227" s="49"/>
      <c r="V227" s="49"/>
      <c r="W227" s="49"/>
      <c r="X227" s="49"/>
      <c r="Y227" s="49"/>
      <c r="Z227" s="49"/>
    </row>
    <row r="228">
      <c r="A228" s="49"/>
      <c r="B228" s="49"/>
      <c r="C228" s="49"/>
      <c r="D228" s="49"/>
      <c r="E228" s="106"/>
      <c r="F228" s="49"/>
      <c r="G228" s="49"/>
      <c r="H228" s="49"/>
      <c r="I228" s="49"/>
      <c r="J228" s="49"/>
      <c r="K228" s="49"/>
      <c r="L228" s="49"/>
      <c r="M228" s="49"/>
      <c r="N228" s="49"/>
      <c r="O228" s="49"/>
      <c r="P228" s="49"/>
      <c r="Q228" s="49"/>
      <c r="R228" s="49"/>
      <c r="S228" s="49"/>
      <c r="T228" s="49"/>
      <c r="U228" s="49"/>
      <c r="V228" s="49"/>
      <c r="W228" s="49"/>
      <c r="X228" s="49"/>
      <c r="Y228" s="49"/>
      <c r="Z228" s="49"/>
    </row>
    <row r="229">
      <c r="A229" s="49"/>
      <c r="B229" s="49"/>
      <c r="C229" s="49"/>
      <c r="D229" s="49"/>
      <c r="E229" s="106"/>
      <c r="F229" s="49"/>
      <c r="G229" s="49"/>
      <c r="H229" s="49"/>
      <c r="I229" s="49"/>
      <c r="J229" s="49"/>
      <c r="K229" s="49"/>
      <c r="L229" s="49"/>
      <c r="M229" s="49"/>
      <c r="N229" s="49"/>
      <c r="O229" s="49"/>
      <c r="P229" s="49"/>
      <c r="Q229" s="49"/>
      <c r="R229" s="49"/>
      <c r="S229" s="49"/>
      <c r="T229" s="49"/>
      <c r="U229" s="49"/>
      <c r="V229" s="49"/>
      <c r="W229" s="49"/>
      <c r="X229" s="49"/>
      <c r="Y229" s="49"/>
      <c r="Z229" s="49"/>
    </row>
    <row r="230">
      <c r="A230" s="49"/>
      <c r="B230" s="49"/>
      <c r="C230" s="49"/>
      <c r="D230" s="49"/>
      <c r="E230" s="106"/>
      <c r="F230" s="49"/>
      <c r="G230" s="49"/>
      <c r="H230" s="49"/>
      <c r="I230" s="49"/>
      <c r="J230" s="49"/>
      <c r="K230" s="49"/>
      <c r="L230" s="49"/>
      <c r="M230" s="49"/>
      <c r="N230" s="49"/>
      <c r="O230" s="49"/>
      <c r="P230" s="49"/>
      <c r="Q230" s="49"/>
      <c r="R230" s="49"/>
      <c r="S230" s="49"/>
      <c r="T230" s="49"/>
      <c r="U230" s="49"/>
      <c r="V230" s="49"/>
      <c r="W230" s="49"/>
      <c r="X230" s="49"/>
      <c r="Y230" s="49"/>
      <c r="Z230" s="49"/>
    </row>
    <row r="231">
      <c r="A231" s="49"/>
      <c r="B231" s="49"/>
      <c r="C231" s="49"/>
      <c r="D231" s="49"/>
      <c r="E231" s="106"/>
      <c r="F231" s="49"/>
      <c r="G231" s="49"/>
      <c r="H231" s="49"/>
      <c r="I231" s="49"/>
      <c r="J231" s="49"/>
      <c r="K231" s="49"/>
      <c r="L231" s="49"/>
      <c r="M231" s="49"/>
      <c r="N231" s="49"/>
      <c r="O231" s="49"/>
      <c r="P231" s="49"/>
      <c r="Q231" s="49"/>
      <c r="R231" s="49"/>
      <c r="S231" s="49"/>
      <c r="T231" s="49"/>
      <c r="U231" s="49"/>
      <c r="V231" s="49"/>
      <c r="W231" s="49"/>
      <c r="X231" s="49"/>
      <c r="Y231" s="49"/>
      <c r="Z231" s="49"/>
    </row>
    <row r="232">
      <c r="A232" s="49"/>
      <c r="B232" s="49"/>
      <c r="C232" s="49"/>
      <c r="D232" s="49"/>
      <c r="E232" s="106"/>
      <c r="F232" s="49"/>
      <c r="G232" s="49"/>
      <c r="H232" s="49"/>
      <c r="I232" s="49"/>
      <c r="J232" s="49"/>
      <c r="K232" s="49"/>
      <c r="L232" s="49"/>
      <c r="M232" s="49"/>
      <c r="N232" s="49"/>
      <c r="O232" s="49"/>
      <c r="P232" s="49"/>
      <c r="Q232" s="49"/>
      <c r="R232" s="49"/>
      <c r="S232" s="49"/>
      <c r="T232" s="49"/>
      <c r="U232" s="49"/>
      <c r="V232" s="49"/>
      <c r="W232" s="49"/>
      <c r="X232" s="49"/>
      <c r="Y232" s="49"/>
      <c r="Z232" s="49"/>
    </row>
    <row r="233">
      <c r="A233" s="49"/>
      <c r="B233" s="49"/>
      <c r="C233" s="49"/>
      <c r="D233" s="49"/>
      <c r="E233" s="106"/>
      <c r="F233" s="49"/>
      <c r="G233" s="49"/>
      <c r="H233" s="49"/>
      <c r="I233" s="49"/>
      <c r="J233" s="49"/>
      <c r="K233" s="49"/>
      <c r="L233" s="49"/>
      <c r="M233" s="49"/>
      <c r="N233" s="49"/>
      <c r="O233" s="49"/>
      <c r="P233" s="49"/>
      <c r="Q233" s="49"/>
      <c r="R233" s="49"/>
      <c r="S233" s="49"/>
      <c r="T233" s="49"/>
      <c r="U233" s="49"/>
      <c r="V233" s="49"/>
      <c r="W233" s="49"/>
      <c r="X233" s="49"/>
      <c r="Y233" s="49"/>
      <c r="Z233" s="49"/>
    </row>
    <row r="234">
      <c r="A234" s="49"/>
      <c r="B234" s="49"/>
      <c r="C234" s="49"/>
      <c r="D234" s="49"/>
      <c r="E234" s="106"/>
      <c r="F234" s="49"/>
      <c r="G234" s="49"/>
      <c r="H234" s="49"/>
      <c r="I234" s="49"/>
      <c r="J234" s="49"/>
      <c r="K234" s="49"/>
      <c r="L234" s="49"/>
      <c r="M234" s="49"/>
      <c r="N234" s="49"/>
      <c r="O234" s="49"/>
      <c r="P234" s="49"/>
      <c r="Q234" s="49"/>
      <c r="R234" s="49"/>
      <c r="S234" s="49"/>
      <c r="T234" s="49"/>
      <c r="U234" s="49"/>
      <c r="V234" s="49"/>
      <c r="W234" s="49"/>
      <c r="X234" s="49"/>
      <c r="Y234" s="49"/>
      <c r="Z234" s="49"/>
    </row>
    <row r="235">
      <c r="A235" s="49"/>
      <c r="B235" s="49"/>
      <c r="C235" s="49"/>
      <c r="D235" s="49"/>
      <c r="E235" s="106"/>
      <c r="F235" s="49"/>
      <c r="G235" s="49"/>
      <c r="H235" s="49"/>
      <c r="I235" s="49"/>
      <c r="J235" s="49"/>
      <c r="K235" s="49"/>
      <c r="L235" s="49"/>
      <c r="M235" s="49"/>
      <c r="N235" s="49"/>
      <c r="O235" s="49"/>
      <c r="P235" s="49"/>
      <c r="Q235" s="49"/>
      <c r="R235" s="49"/>
      <c r="S235" s="49"/>
      <c r="T235" s="49"/>
      <c r="U235" s="49"/>
      <c r="V235" s="49"/>
      <c r="W235" s="49"/>
      <c r="X235" s="49"/>
      <c r="Y235" s="49"/>
      <c r="Z235" s="49"/>
    </row>
    <row r="236">
      <c r="A236" s="49"/>
      <c r="B236" s="49"/>
      <c r="C236" s="49"/>
      <c r="D236" s="49"/>
      <c r="E236" s="106"/>
      <c r="F236" s="49"/>
      <c r="G236" s="49"/>
      <c r="H236" s="49"/>
      <c r="I236" s="49"/>
      <c r="J236" s="49"/>
      <c r="K236" s="49"/>
      <c r="L236" s="49"/>
      <c r="M236" s="49"/>
      <c r="N236" s="49"/>
      <c r="O236" s="49"/>
      <c r="P236" s="49"/>
      <c r="Q236" s="49"/>
      <c r="R236" s="49"/>
      <c r="S236" s="49"/>
      <c r="T236" s="49"/>
      <c r="U236" s="49"/>
      <c r="V236" s="49"/>
      <c r="W236" s="49"/>
      <c r="X236" s="49"/>
      <c r="Y236" s="49"/>
      <c r="Z236" s="49"/>
    </row>
    <row r="237">
      <c r="A237" s="49"/>
      <c r="B237" s="49"/>
      <c r="C237" s="49"/>
      <c r="D237" s="49"/>
      <c r="E237" s="106"/>
      <c r="F237" s="49"/>
      <c r="G237" s="49"/>
      <c r="H237" s="49"/>
      <c r="I237" s="49"/>
      <c r="J237" s="49"/>
      <c r="K237" s="49"/>
      <c r="L237" s="49"/>
      <c r="M237" s="49"/>
      <c r="N237" s="49"/>
      <c r="O237" s="49"/>
      <c r="P237" s="49"/>
      <c r="Q237" s="49"/>
      <c r="R237" s="49"/>
      <c r="S237" s="49"/>
      <c r="T237" s="49"/>
      <c r="U237" s="49"/>
      <c r="V237" s="49"/>
      <c r="W237" s="49"/>
      <c r="X237" s="49"/>
      <c r="Y237" s="49"/>
      <c r="Z237" s="49"/>
    </row>
    <row r="238">
      <c r="A238" s="49"/>
      <c r="B238" s="49"/>
      <c r="C238" s="49"/>
      <c r="D238" s="49"/>
      <c r="E238" s="106"/>
      <c r="F238" s="49"/>
      <c r="G238" s="49"/>
      <c r="H238" s="49"/>
      <c r="I238" s="49"/>
      <c r="J238" s="49"/>
      <c r="K238" s="49"/>
      <c r="L238" s="49"/>
      <c r="M238" s="49"/>
      <c r="N238" s="49"/>
      <c r="O238" s="49"/>
      <c r="P238" s="49"/>
      <c r="Q238" s="49"/>
      <c r="R238" s="49"/>
      <c r="S238" s="49"/>
      <c r="T238" s="49"/>
      <c r="U238" s="49"/>
      <c r="V238" s="49"/>
      <c r="W238" s="49"/>
      <c r="X238" s="49"/>
      <c r="Y238" s="49"/>
      <c r="Z238" s="49"/>
    </row>
    <row r="239">
      <c r="A239" s="49"/>
      <c r="B239" s="49"/>
      <c r="C239" s="49"/>
      <c r="D239" s="49"/>
      <c r="E239" s="106"/>
      <c r="F239" s="49"/>
      <c r="G239" s="49"/>
      <c r="H239" s="49"/>
      <c r="I239" s="49"/>
      <c r="J239" s="49"/>
      <c r="K239" s="49"/>
      <c r="L239" s="49"/>
      <c r="M239" s="49"/>
      <c r="N239" s="49"/>
      <c r="O239" s="49"/>
      <c r="P239" s="49"/>
      <c r="Q239" s="49"/>
      <c r="R239" s="49"/>
      <c r="S239" s="49"/>
      <c r="T239" s="49"/>
      <c r="U239" s="49"/>
      <c r="V239" s="49"/>
      <c r="W239" s="49"/>
      <c r="X239" s="49"/>
      <c r="Y239" s="49"/>
      <c r="Z239" s="49"/>
    </row>
    <row r="240">
      <c r="A240" s="49"/>
      <c r="B240" s="49"/>
      <c r="C240" s="49"/>
      <c r="D240" s="49"/>
      <c r="E240" s="106"/>
      <c r="F240" s="49"/>
      <c r="G240" s="49"/>
      <c r="H240" s="49"/>
      <c r="I240" s="49"/>
      <c r="J240" s="49"/>
      <c r="K240" s="49"/>
      <c r="L240" s="49"/>
      <c r="M240" s="49"/>
      <c r="N240" s="49"/>
      <c r="O240" s="49"/>
      <c r="P240" s="49"/>
      <c r="Q240" s="49"/>
      <c r="R240" s="49"/>
      <c r="S240" s="49"/>
      <c r="T240" s="49"/>
      <c r="U240" s="49"/>
      <c r="V240" s="49"/>
      <c r="W240" s="49"/>
      <c r="X240" s="49"/>
      <c r="Y240" s="49"/>
      <c r="Z240" s="49"/>
    </row>
    <row r="241">
      <c r="A241" s="49"/>
      <c r="B241" s="49"/>
      <c r="C241" s="49"/>
      <c r="D241" s="49"/>
      <c r="E241" s="106"/>
      <c r="F241" s="49"/>
      <c r="G241" s="49"/>
      <c r="H241" s="49"/>
      <c r="I241" s="49"/>
      <c r="J241" s="49"/>
      <c r="K241" s="49"/>
      <c r="L241" s="49"/>
      <c r="M241" s="49"/>
      <c r="N241" s="49"/>
      <c r="O241" s="49"/>
      <c r="P241" s="49"/>
      <c r="Q241" s="49"/>
      <c r="R241" s="49"/>
      <c r="S241" s="49"/>
      <c r="T241" s="49"/>
      <c r="U241" s="49"/>
      <c r="V241" s="49"/>
      <c r="W241" s="49"/>
      <c r="X241" s="49"/>
      <c r="Y241" s="49"/>
      <c r="Z241" s="49"/>
    </row>
    <row r="242">
      <c r="A242" s="49"/>
      <c r="B242" s="49"/>
      <c r="C242" s="49"/>
      <c r="D242" s="49"/>
      <c r="E242" s="106"/>
      <c r="F242" s="49"/>
      <c r="G242" s="49"/>
      <c r="H242" s="49"/>
      <c r="I242" s="49"/>
      <c r="J242" s="49"/>
      <c r="K242" s="49"/>
      <c r="L242" s="49"/>
      <c r="M242" s="49"/>
      <c r="N242" s="49"/>
      <c r="O242" s="49"/>
      <c r="P242" s="49"/>
      <c r="Q242" s="49"/>
      <c r="R242" s="49"/>
      <c r="S242" s="49"/>
      <c r="T242" s="49"/>
      <c r="U242" s="49"/>
      <c r="V242" s="49"/>
      <c r="W242" s="49"/>
      <c r="X242" s="49"/>
      <c r="Y242" s="49"/>
      <c r="Z242" s="49"/>
    </row>
    <row r="243">
      <c r="A243" s="49"/>
      <c r="B243" s="49"/>
      <c r="C243" s="49"/>
      <c r="D243" s="49"/>
      <c r="E243" s="106"/>
      <c r="F243" s="49"/>
      <c r="G243" s="49"/>
      <c r="H243" s="49"/>
      <c r="I243" s="49"/>
      <c r="J243" s="49"/>
      <c r="K243" s="49"/>
      <c r="L243" s="49"/>
      <c r="M243" s="49"/>
      <c r="N243" s="49"/>
      <c r="O243" s="49"/>
      <c r="P243" s="49"/>
      <c r="Q243" s="49"/>
      <c r="R243" s="49"/>
      <c r="S243" s="49"/>
      <c r="T243" s="49"/>
      <c r="U243" s="49"/>
      <c r="V243" s="49"/>
      <c r="W243" s="49"/>
      <c r="X243" s="49"/>
      <c r="Y243" s="49"/>
      <c r="Z243" s="49"/>
    </row>
    <row r="244">
      <c r="A244" s="49"/>
      <c r="B244" s="49"/>
      <c r="C244" s="49"/>
      <c r="D244" s="49"/>
      <c r="E244" s="106"/>
      <c r="F244" s="49"/>
      <c r="G244" s="49"/>
      <c r="H244" s="49"/>
      <c r="I244" s="49"/>
      <c r="J244" s="49"/>
      <c r="K244" s="49"/>
      <c r="L244" s="49"/>
      <c r="M244" s="49"/>
      <c r="N244" s="49"/>
      <c r="O244" s="49"/>
      <c r="P244" s="49"/>
      <c r="Q244" s="49"/>
      <c r="R244" s="49"/>
      <c r="S244" s="49"/>
      <c r="T244" s="49"/>
      <c r="U244" s="49"/>
      <c r="V244" s="49"/>
      <c r="W244" s="49"/>
      <c r="X244" s="49"/>
      <c r="Y244" s="49"/>
      <c r="Z244" s="49"/>
    </row>
    <row r="245">
      <c r="A245" s="49"/>
      <c r="B245" s="49"/>
      <c r="C245" s="49"/>
      <c r="D245" s="49"/>
      <c r="E245" s="106"/>
      <c r="F245" s="49"/>
      <c r="G245" s="49"/>
      <c r="H245" s="49"/>
      <c r="I245" s="49"/>
      <c r="J245" s="49"/>
      <c r="K245" s="49"/>
      <c r="L245" s="49"/>
      <c r="M245" s="49"/>
      <c r="N245" s="49"/>
      <c r="O245" s="49"/>
      <c r="P245" s="49"/>
      <c r="Q245" s="49"/>
      <c r="R245" s="49"/>
      <c r="S245" s="49"/>
      <c r="T245" s="49"/>
      <c r="U245" s="49"/>
      <c r="V245" s="49"/>
      <c r="W245" s="49"/>
      <c r="X245" s="49"/>
      <c r="Y245" s="49"/>
      <c r="Z245" s="49"/>
    </row>
    <row r="246">
      <c r="A246" s="49"/>
      <c r="B246" s="49"/>
      <c r="C246" s="49"/>
      <c r="D246" s="49"/>
      <c r="E246" s="106"/>
      <c r="F246" s="49"/>
      <c r="G246" s="49"/>
      <c r="H246" s="49"/>
      <c r="I246" s="49"/>
      <c r="J246" s="49"/>
      <c r="K246" s="49"/>
      <c r="L246" s="49"/>
      <c r="M246" s="49"/>
      <c r="N246" s="49"/>
      <c r="O246" s="49"/>
      <c r="P246" s="49"/>
      <c r="Q246" s="49"/>
      <c r="R246" s="49"/>
      <c r="S246" s="49"/>
      <c r="T246" s="49"/>
      <c r="U246" s="49"/>
      <c r="V246" s="49"/>
      <c r="W246" s="49"/>
      <c r="X246" s="49"/>
      <c r="Y246" s="49"/>
      <c r="Z246" s="49"/>
    </row>
    <row r="247">
      <c r="A247" s="49"/>
      <c r="B247" s="49"/>
      <c r="C247" s="49"/>
      <c r="D247" s="49"/>
      <c r="E247" s="106"/>
      <c r="F247" s="49"/>
      <c r="G247" s="49"/>
      <c r="H247" s="49"/>
      <c r="I247" s="49"/>
      <c r="J247" s="49"/>
      <c r="K247" s="49"/>
      <c r="L247" s="49"/>
      <c r="M247" s="49"/>
      <c r="N247" s="49"/>
      <c r="O247" s="49"/>
      <c r="P247" s="49"/>
      <c r="Q247" s="49"/>
      <c r="R247" s="49"/>
      <c r="S247" s="49"/>
      <c r="T247" s="49"/>
      <c r="U247" s="49"/>
      <c r="V247" s="49"/>
      <c r="W247" s="49"/>
      <c r="X247" s="49"/>
      <c r="Y247" s="49"/>
      <c r="Z247" s="49"/>
    </row>
    <row r="248">
      <c r="A248" s="49"/>
      <c r="B248" s="49"/>
      <c r="C248" s="49"/>
      <c r="D248" s="49"/>
      <c r="E248" s="106"/>
      <c r="F248" s="49"/>
      <c r="G248" s="49"/>
      <c r="H248" s="49"/>
      <c r="I248" s="49"/>
      <c r="J248" s="49"/>
      <c r="K248" s="49"/>
      <c r="L248" s="49"/>
      <c r="M248" s="49"/>
      <c r="N248" s="49"/>
      <c r="O248" s="49"/>
      <c r="P248" s="49"/>
      <c r="Q248" s="49"/>
      <c r="R248" s="49"/>
      <c r="S248" s="49"/>
      <c r="T248" s="49"/>
      <c r="U248" s="49"/>
      <c r="V248" s="49"/>
      <c r="W248" s="49"/>
      <c r="X248" s="49"/>
      <c r="Y248" s="49"/>
      <c r="Z248" s="49"/>
    </row>
    <row r="249">
      <c r="A249" s="49"/>
      <c r="B249" s="49"/>
      <c r="C249" s="49"/>
      <c r="D249" s="49"/>
      <c r="E249" s="106"/>
      <c r="F249" s="49"/>
      <c r="G249" s="49"/>
      <c r="H249" s="49"/>
      <c r="I249" s="49"/>
      <c r="J249" s="49"/>
      <c r="K249" s="49"/>
      <c r="L249" s="49"/>
      <c r="M249" s="49"/>
      <c r="N249" s="49"/>
      <c r="O249" s="49"/>
      <c r="P249" s="49"/>
      <c r="Q249" s="49"/>
      <c r="R249" s="49"/>
      <c r="S249" s="49"/>
      <c r="T249" s="49"/>
      <c r="U249" s="49"/>
      <c r="V249" s="49"/>
      <c r="W249" s="49"/>
      <c r="X249" s="49"/>
      <c r="Y249" s="49"/>
      <c r="Z249" s="49"/>
    </row>
    <row r="250">
      <c r="A250" s="49"/>
      <c r="B250" s="49"/>
      <c r="C250" s="49"/>
      <c r="D250" s="49"/>
      <c r="E250" s="106"/>
      <c r="F250" s="49"/>
      <c r="G250" s="49"/>
      <c r="H250" s="49"/>
      <c r="I250" s="49"/>
      <c r="J250" s="49"/>
      <c r="K250" s="49"/>
      <c r="L250" s="49"/>
      <c r="M250" s="49"/>
      <c r="N250" s="49"/>
      <c r="O250" s="49"/>
      <c r="P250" s="49"/>
      <c r="Q250" s="49"/>
      <c r="R250" s="49"/>
      <c r="S250" s="49"/>
      <c r="T250" s="49"/>
      <c r="U250" s="49"/>
      <c r="V250" s="49"/>
      <c r="W250" s="49"/>
      <c r="X250" s="49"/>
      <c r="Y250" s="49"/>
      <c r="Z250" s="49"/>
    </row>
    <row r="251">
      <c r="A251" s="49"/>
      <c r="B251" s="49"/>
      <c r="C251" s="49"/>
      <c r="D251" s="49"/>
      <c r="E251" s="106"/>
      <c r="F251" s="49"/>
      <c r="G251" s="49"/>
      <c r="H251" s="49"/>
      <c r="I251" s="49"/>
      <c r="J251" s="49"/>
      <c r="K251" s="49"/>
      <c r="L251" s="49"/>
      <c r="M251" s="49"/>
      <c r="N251" s="49"/>
      <c r="O251" s="49"/>
      <c r="P251" s="49"/>
      <c r="Q251" s="49"/>
      <c r="R251" s="49"/>
      <c r="S251" s="49"/>
      <c r="T251" s="49"/>
      <c r="U251" s="49"/>
      <c r="V251" s="49"/>
      <c r="W251" s="49"/>
      <c r="X251" s="49"/>
      <c r="Y251" s="49"/>
      <c r="Z251" s="49"/>
    </row>
    <row r="252">
      <c r="A252" s="49"/>
      <c r="B252" s="49"/>
      <c r="C252" s="49"/>
      <c r="D252" s="49"/>
      <c r="E252" s="106"/>
      <c r="F252" s="49"/>
      <c r="G252" s="49"/>
      <c r="H252" s="49"/>
      <c r="I252" s="49"/>
      <c r="J252" s="49"/>
      <c r="K252" s="49"/>
      <c r="L252" s="49"/>
      <c r="M252" s="49"/>
      <c r="N252" s="49"/>
      <c r="O252" s="49"/>
      <c r="P252" s="49"/>
      <c r="Q252" s="49"/>
      <c r="R252" s="49"/>
      <c r="S252" s="49"/>
      <c r="T252" s="49"/>
      <c r="U252" s="49"/>
      <c r="V252" s="49"/>
      <c r="W252" s="49"/>
      <c r="X252" s="49"/>
      <c r="Y252" s="49"/>
      <c r="Z252" s="49"/>
    </row>
    <row r="253">
      <c r="A253" s="49"/>
      <c r="B253" s="49"/>
      <c r="C253" s="49"/>
      <c r="D253" s="49"/>
      <c r="E253" s="106"/>
      <c r="F253" s="49"/>
      <c r="G253" s="49"/>
      <c r="H253" s="49"/>
      <c r="I253" s="49"/>
      <c r="J253" s="49"/>
      <c r="K253" s="49"/>
      <c r="L253" s="49"/>
      <c r="M253" s="49"/>
      <c r="N253" s="49"/>
      <c r="O253" s="49"/>
      <c r="P253" s="49"/>
      <c r="Q253" s="49"/>
      <c r="R253" s="49"/>
      <c r="S253" s="49"/>
      <c r="T253" s="49"/>
      <c r="U253" s="49"/>
      <c r="V253" s="49"/>
      <c r="W253" s="49"/>
      <c r="X253" s="49"/>
      <c r="Y253" s="49"/>
      <c r="Z253" s="49"/>
    </row>
    <row r="254">
      <c r="A254" s="49"/>
      <c r="B254" s="49"/>
      <c r="C254" s="49"/>
      <c r="D254" s="49"/>
      <c r="E254" s="106"/>
      <c r="F254" s="49"/>
      <c r="G254" s="49"/>
      <c r="H254" s="49"/>
      <c r="I254" s="49"/>
      <c r="J254" s="49"/>
      <c r="K254" s="49"/>
      <c r="L254" s="49"/>
      <c r="M254" s="49"/>
      <c r="N254" s="49"/>
      <c r="O254" s="49"/>
      <c r="P254" s="49"/>
      <c r="Q254" s="49"/>
      <c r="R254" s="49"/>
      <c r="S254" s="49"/>
      <c r="T254" s="49"/>
      <c r="U254" s="49"/>
      <c r="V254" s="49"/>
      <c r="W254" s="49"/>
      <c r="X254" s="49"/>
      <c r="Y254" s="49"/>
      <c r="Z254" s="49"/>
    </row>
    <row r="255">
      <c r="A255" s="49"/>
      <c r="B255" s="49"/>
      <c r="C255" s="49"/>
      <c r="D255" s="49"/>
      <c r="E255" s="106"/>
      <c r="F255" s="49"/>
      <c r="G255" s="49"/>
      <c r="H255" s="49"/>
      <c r="I255" s="49"/>
      <c r="J255" s="49"/>
      <c r="K255" s="49"/>
      <c r="L255" s="49"/>
      <c r="M255" s="49"/>
      <c r="N255" s="49"/>
      <c r="O255" s="49"/>
      <c r="P255" s="49"/>
      <c r="Q255" s="49"/>
      <c r="R255" s="49"/>
      <c r="S255" s="49"/>
      <c r="T255" s="49"/>
      <c r="U255" s="49"/>
      <c r="V255" s="49"/>
      <c r="W255" s="49"/>
      <c r="X255" s="49"/>
      <c r="Y255" s="49"/>
      <c r="Z255" s="49"/>
    </row>
    <row r="256">
      <c r="A256" s="49"/>
      <c r="B256" s="49"/>
      <c r="C256" s="49"/>
      <c r="D256" s="49"/>
      <c r="E256" s="106"/>
      <c r="F256" s="49"/>
      <c r="G256" s="49"/>
      <c r="H256" s="49"/>
      <c r="I256" s="49"/>
      <c r="J256" s="49"/>
      <c r="K256" s="49"/>
      <c r="L256" s="49"/>
      <c r="M256" s="49"/>
      <c r="N256" s="49"/>
      <c r="O256" s="49"/>
      <c r="P256" s="49"/>
      <c r="Q256" s="49"/>
      <c r="R256" s="49"/>
      <c r="S256" s="49"/>
      <c r="T256" s="49"/>
      <c r="U256" s="49"/>
      <c r="V256" s="49"/>
      <c r="W256" s="49"/>
      <c r="X256" s="49"/>
      <c r="Y256" s="49"/>
      <c r="Z256" s="49"/>
    </row>
    <row r="257">
      <c r="A257" s="49"/>
      <c r="B257" s="49"/>
      <c r="C257" s="49"/>
      <c r="D257" s="49"/>
      <c r="E257" s="106"/>
      <c r="F257" s="49"/>
      <c r="G257" s="49"/>
      <c r="H257" s="49"/>
      <c r="I257" s="49"/>
      <c r="J257" s="49"/>
      <c r="K257" s="49"/>
      <c r="L257" s="49"/>
      <c r="M257" s="49"/>
      <c r="N257" s="49"/>
      <c r="O257" s="49"/>
      <c r="P257" s="49"/>
      <c r="Q257" s="49"/>
      <c r="R257" s="49"/>
      <c r="S257" s="49"/>
      <c r="T257" s="49"/>
      <c r="U257" s="49"/>
      <c r="V257" s="49"/>
      <c r="W257" s="49"/>
      <c r="X257" s="49"/>
      <c r="Y257" s="49"/>
      <c r="Z257" s="49"/>
    </row>
    <row r="258">
      <c r="A258" s="49"/>
      <c r="B258" s="49"/>
      <c r="C258" s="49"/>
      <c r="D258" s="49"/>
      <c r="E258" s="106"/>
      <c r="F258" s="49"/>
      <c r="G258" s="49"/>
      <c r="H258" s="49"/>
      <c r="I258" s="49"/>
      <c r="J258" s="49"/>
      <c r="K258" s="49"/>
      <c r="L258" s="49"/>
      <c r="M258" s="49"/>
      <c r="N258" s="49"/>
      <c r="O258" s="49"/>
      <c r="P258" s="49"/>
      <c r="Q258" s="49"/>
      <c r="R258" s="49"/>
      <c r="S258" s="49"/>
      <c r="T258" s="49"/>
      <c r="U258" s="49"/>
      <c r="V258" s="49"/>
      <c r="W258" s="49"/>
      <c r="X258" s="49"/>
      <c r="Y258" s="49"/>
      <c r="Z258" s="49"/>
    </row>
    <row r="259">
      <c r="A259" s="49"/>
      <c r="B259" s="49"/>
      <c r="C259" s="49"/>
      <c r="D259" s="49"/>
      <c r="E259" s="106"/>
      <c r="F259" s="49"/>
      <c r="G259" s="49"/>
      <c r="H259" s="49"/>
      <c r="I259" s="49"/>
      <c r="J259" s="49"/>
      <c r="K259" s="49"/>
      <c r="L259" s="49"/>
      <c r="M259" s="49"/>
      <c r="N259" s="49"/>
      <c r="O259" s="49"/>
      <c r="P259" s="49"/>
      <c r="Q259" s="49"/>
      <c r="R259" s="49"/>
      <c r="S259" s="49"/>
      <c r="T259" s="49"/>
      <c r="U259" s="49"/>
      <c r="V259" s="49"/>
      <c r="W259" s="49"/>
      <c r="X259" s="49"/>
      <c r="Y259" s="49"/>
      <c r="Z259" s="49"/>
    </row>
    <row r="260">
      <c r="A260" s="49"/>
      <c r="B260" s="49"/>
      <c r="C260" s="49"/>
      <c r="D260" s="49"/>
      <c r="E260" s="106"/>
      <c r="F260" s="49"/>
      <c r="G260" s="49"/>
      <c r="H260" s="49"/>
      <c r="I260" s="49"/>
      <c r="J260" s="49"/>
      <c r="K260" s="49"/>
      <c r="L260" s="49"/>
      <c r="M260" s="49"/>
      <c r="N260" s="49"/>
      <c r="O260" s="49"/>
      <c r="P260" s="49"/>
      <c r="Q260" s="49"/>
      <c r="R260" s="49"/>
      <c r="S260" s="49"/>
      <c r="T260" s="49"/>
      <c r="U260" s="49"/>
      <c r="V260" s="49"/>
      <c r="W260" s="49"/>
      <c r="X260" s="49"/>
      <c r="Y260" s="49"/>
      <c r="Z260" s="49"/>
    </row>
    <row r="261">
      <c r="A261" s="49"/>
      <c r="B261" s="49"/>
      <c r="C261" s="49"/>
      <c r="D261" s="49"/>
      <c r="E261" s="106"/>
      <c r="F261" s="49"/>
      <c r="G261" s="49"/>
      <c r="H261" s="49"/>
      <c r="I261" s="49"/>
      <c r="J261" s="49"/>
      <c r="K261" s="49"/>
      <c r="L261" s="49"/>
      <c r="M261" s="49"/>
      <c r="N261" s="49"/>
      <c r="O261" s="49"/>
      <c r="P261" s="49"/>
      <c r="Q261" s="49"/>
      <c r="R261" s="49"/>
      <c r="S261" s="49"/>
      <c r="T261" s="49"/>
      <c r="U261" s="49"/>
      <c r="V261" s="49"/>
      <c r="W261" s="49"/>
      <c r="X261" s="49"/>
      <c r="Y261" s="49"/>
      <c r="Z261" s="49"/>
    </row>
    <row r="262">
      <c r="A262" s="49"/>
      <c r="B262" s="49"/>
      <c r="C262" s="49"/>
      <c r="D262" s="49"/>
      <c r="E262" s="106"/>
      <c r="F262" s="49"/>
      <c r="G262" s="49"/>
      <c r="H262" s="49"/>
      <c r="I262" s="49"/>
      <c r="J262" s="49"/>
      <c r="K262" s="49"/>
      <c r="L262" s="49"/>
      <c r="M262" s="49"/>
      <c r="N262" s="49"/>
      <c r="O262" s="49"/>
      <c r="P262" s="49"/>
      <c r="Q262" s="49"/>
      <c r="R262" s="49"/>
      <c r="S262" s="49"/>
      <c r="T262" s="49"/>
      <c r="U262" s="49"/>
      <c r="V262" s="49"/>
      <c r="W262" s="49"/>
      <c r="X262" s="49"/>
      <c r="Y262" s="49"/>
      <c r="Z262" s="49"/>
    </row>
    <row r="263">
      <c r="A263" s="49"/>
      <c r="B263" s="49"/>
      <c r="C263" s="49"/>
      <c r="D263" s="49"/>
      <c r="E263" s="106"/>
      <c r="F263" s="49"/>
      <c r="G263" s="49"/>
      <c r="H263" s="49"/>
      <c r="I263" s="49"/>
      <c r="J263" s="49"/>
      <c r="K263" s="49"/>
      <c r="L263" s="49"/>
      <c r="M263" s="49"/>
      <c r="N263" s="49"/>
      <c r="O263" s="49"/>
      <c r="P263" s="49"/>
      <c r="Q263" s="49"/>
      <c r="R263" s="49"/>
      <c r="S263" s="49"/>
      <c r="T263" s="49"/>
      <c r="U263" s="49"/>
      <c r="V263" s="49"/>
      <c r="W263" s="49"/>
      <c r="X263" s="49"/>
      <c r="Y263" s="49"/>
      <c r="Z263" s="49"/>
    </row>
    <row r="264">
      <c r="A264" s="49"/>
      <c r="B264" s="49"/>
      <c r="C264" s="49"/>
      <c r="D264" s="49"/>
      <c r="E264" s="106"/>
      <c r="F264" s="49"/>
      <c r="G264" s="49"/>
      <c r="H264" s="49"/>
      <c r="I264" s="49"/>
      <c r="J264" s="49"/>
      <c r="K264" s="49"/>
      <c r="L264" s="49"/>
      <c r="M264" s="49"/>
      <c r="N264" s="49"/>
      <c r="O264" s="49"/>
      <c r="P264" s="49"/>
      <c r="Q264" s="49"/>
      <c r="R264" s="49"/>
      <c r="S264" s="49"/>
      <c r="T264" s="49"/>
      <c r="U264" s="49"/>
      <c r="V264" s="49"/>
      <c r="W264" s="49"/>
      <c r="X264" s="49"/>
      <c r="Y264" s="49"/>
      <c r="Z264" s="49"/>
    </row>
    <row r="265">
      <c r="A265" s="49"/>
      <c r="B265" s="49"/>
      <c r="C265" s="49"/>
      <c r="D265" s="49"/>
      <c r="E265" s="106"/>
      <c r="F265" s="49"/>
      <c r="G265" s="49"/>
      <c r="H265" s="49"/>
      <c r="I265" s="49"/>
      <c r="J265" s="49"/>
      <c r="K265" s="49"/>
      <c r="L265" s="49"/>
      <c r="M265" s="49"/>
      <c r="N265" s="49"/>
      <c r="O265" s="49"/>
      <c r="P265" s="49"/>
      <c r="Q265" s="49"/>
      <c r="R265" s="49"/>
      <c r="S265" s="49"/>
      <c r="T265" s="49"/>
      <c r="U265" s="49"/>
      <c r="V265" s="49"/>
      <c r="W265" s="49"/>
      <c r="X265" s="49"/>
      <c r="Y265" s="49"/>
      <c r="Z265" s="49"/>
    </row>
    <row r="266">
      <c r="A266" s="49"/>
      <c r="B266" s="49"/>
      <c r="C266" s="49"/>
      <c r="D266" s="49"/>
      <c r="E266" s="106"/>
      <c r="F266" s="49"/>
      <c r="G266" s="49"/>
      <c r="H266" s="49"/>
      <c r="I266" s="49"/>
      <c r="J266" s="49"/>
      <c r="K266" s="49"/>
      <c r="L266" s="49"/>
      <c r="M266" s="49"/>
      <c r="N266" s="49"/>
      <c r="O266" s="49"/>
      <c r="P266" s="49"/>
      <c r="Q266" s="49"/>
      <c r="R266" s="49"/>
      <c r="S266" s="49"/>
      <c r="T266" s="49"/>
      <c r="U266" s="49"/>
      <c r="V266" s="49"/>
      <c r="W266" s="49"/>
      <c r="X266" s="49"/>
      <c r="Y266" s="49"/>
      <c r="Z266" s="49"/>
    </row>
    <row r="267">
      <c r="A267" s="49"/>
      <c r="B267" s="49"/>
      <c r="C267" s="49"/>
      <c r="D267" s="49"/>
      <c r="E267" s="106"/>
      <c r="F267" s="49"/>
      <c r="G267" s="49"/>
      <c r="H267" s="49"/>
      <c r="I267" s="49"/>
      <c r="J267" s="49"/>
      <c r="K267" s="49"/>
      <c r="L267" s="49"/>
      <c r="M267" s="49"/>
      <c r="N267" s="49"/>
      <c r="O267" s="49"/>
      <c r="P267" s="49"/>
      <c r="Q267" s="49"/>
      <c r="R267" s="49"/>
      <c r="S267" s="49"/>
      <c r="T267" s="49"/>
      <c r="U267" s="49"/>
      <c r="V267" s="49"/>
      <c r="W267" s="49"/>
      <c r="X267" s="49"/>
      <c r="Y267" s="49"/>
      <c r="Z267" s="49"/>
    </row>
    <row r="268">
      <c r="A268" s="49"/>
      <c r="B268" s="49"/>
      <c r="C268" s="49"/>
      <c r="D268" s="49"/>
      <c r="E268" s="106"/>
      <c r="F268" s="49"/>
      <c r="G268" s="49"/>
      <c r="H268" s="49"/>
      <c r="I268" s="49"/>
      <c r="J268" s="49"/>
      <c r="K268" s="49"/>
      <c r="L268" s="49"/>
      <c r="M268" s="49"/>
      <c r="N268" s="49"/>
      <c r="O268" s="49"/>
      <c r="P268" s="49"/>
      <c r="Q268" s="49"/>
      <c r="R268" s="49"/>
      <c r="S268" s="49"/>
      <c r="T268" s="49"/>
      <c r="U268" s="49"/>
      <c r="V268" s="49"/>
      <c r="W268" s="49"/>
      <c r="X268" s="49"/>
      <c r="Y268" s="49"/>
      <c r="Z268" s="49"/>
    </row>
    <row r="269">
      <c r="A269" s="49"/>
      <c r="B269" s="49"/>
      <c r="C269" s="49"/>
      <c r="D269" s="49"/>
      <c r="E269" s="106"/>
      <c r="F269" s="49"/>
      <c r="G269" s="49"/>
      <c r="H269" s="49"/>
      <c r="I269" s="49"/>
      <c r="J269" s="49"/>
      <c r="K269" s="49"/>
      <c r="L269" s="49"/>
      <c r="M269" s="49"/>
      <c r="N269" s="49"/>
      <c r="O269" s="49"/>
      <c r="P269" s="49"/>
      <c r="Q269" s="49"/>
      <c r="R269" s="49"/>
      <c r="S269" s="49"/>
      <c r="T269" s="49"/>
      <c r="U269" s="49"/>
      <c r="V269" s="49"/>
      <c r="W269" s="49"/>
      <c r="X269" s="49"/>
      <c r="Y269" s="49"/>
      <c r="Z269" s="49"/>
    </row>
    <row r="270">
      <c r="A270" s="49"/>
      <c r="B270" s="49"/>
      <c r="C270" s="49"/>
      <c r="D270" s="49"/>
      <c r="E270" s="106"/>
      <c r="F270" s="49"/>
      <c r="G270" s="49"/>
      <c r="H270" s="49"/>
      <c r="I270" s="49"/>
      <c r="J270" s="49"/>
      <c r="K270" s="49"/>
      <c r="L270" s="49"/>
      <c r="M270" s="49"/>
      <c r="N270" s="49"/>
      <c r="O270" s="49"/>
      <c r="P270" s="49"/>
      <c r="Q270" s="49"/>
      <c r="R270" s="49"/>
      <c r="S270" s="49"/>
      <c r="T270" s="49"/>
      <c r="U270" s="49"/>
      <c r="V270" s="49"/>
      <c r="W270" s="49"/>
      <c r="X270" s="49"/>
      <c r="Y270" s="49"/>
      <c r="Z270" s="49"/>
    </row>
    <row r="271">
      <c r="A271" s="49"/>
      <c r="B271" s="49"/>
      <c r="C271" s="49"/>
      <c r="D271" s="49"/>
      <c r="E271" s="106"/>
      <c r="F271" s="49"/>
      <c r="G271" s="49"/>
      <c r="H271" s="49"/>
      <c r="I271" s="49"/>
      <c r="J271" s="49"/>
      <c r="K271" s="49"/>
      <c r="L271" s="49"/>
      <c r="M271" s="49"/>
      <c r="N271" s="49"/>
      <c r="O271" s="49"/>
      <c r="P271" s="49"/>
      <c r="Q271" s="49"/>
      <c r="R271" s="49"/>
      <c r="S271" s="49"/>
      <c r="T271" s="49"/>
      <c r="U271" s="49"/>
      <c r="V271" s="49"/>
      <c r="W271" s="49"/>
      <c r="X271" s="49"/>
      <c r="Y271" s="49"/>
      <c r="Z271" s="49"/>
    </row>
    <row r="272">
      <c r="A272" s="49"/>
      <c r="B272" s="49"/>
      <c r="C272" s="49"/>
      <c r="D272" s="49"/>
      <c r="E272" s="106"/>
      <c r="F272" s="49"/>
      <c r="G272" s="49"/>
      <c r="H272" s="49"/>
      <c r="I272" s="49"/>
      <c r="J272" s="49"/>
      <c r="K272" s="49"/>
      <c r="L272" s="49"/>
      <c r="M272" s="49"/>
      <c r="N272" s="49"/>
      <c r="O272" s="49"/>
      <c r="P272" s="49"/>
      <c r="Q272" s="49"/>
      <c r="R272" s="49"/>
      <c r="S272" s="49"/>
      <c r="T272" s="49"/>
      <c r="U272" s="49"/>
      <c r="V272" s="49"/>
      <c r="W272" s="49"/>
      <c r="X272" s="49"/>
      <c r="Y272" s="49"/>
      <c r="Z272" s="49"/>
    </row>
    <row r="273">
      <c r="A273" s="49"/>
      <c r="B273" s="49"/>
      <c r="C273" s="49"/>
      <c r="D273" s="49"/>
      <c r="E273" s="106"/>
      <c r="F273" s="49"/>
      <c r="G273" s="49"/>
      <c r="H273" s="49"/>
      <c r="I273" s="49"/>
      <c r="J273" s="49"/>
      <c r="K273" s="49"/>
      <c r="L273" s="49"/>
      <c r="M273" s="49"/>
      <c r="N273" s="49"/>
      <c r="O273" s="49"/>
      <c r="P273" s="49"/>
      <c r="Q273" s="49"/>
      <c r="R273" s="49"/>
      <c r="S273" s="49"/>
      <c r="T273" s="49"/>
      <c r="U273" s="49"/>
      <c r="V273" s="49"/>
      <c r="W273" s="49"/>
      <c r="X273" s="49"/>
      <c r="Y273" s="49"/>
      <c r="Z273" s="49"/>
    </row>
    <row r="274">
      <c r="A274" s="49"/>
      <c r="B274" s="49"/>
      <c r="C274" s="49"/>
      <c r="D274" s="49"/>
      <c r="E274" s="106"/>
      <c r="F274" s="49"/>
      <c r="G274" s="49"/>
      <c r="H274" s="49"/>
      <c r="I274" s="49"/>
      <c r="J274" s="49"/>
      <c r="K274" s="49"/>
      <c r="L274" s="49"/>
      <c r="M274" s="49"/>
      <c r="N274" s="49"/>
      <c r="O274" s="49"/>
      <c r="P274" s="49"/>
      <c r="Q274" s="49"/>
      <c r="R274" s="49"/>
      <c r="S274" s="49"/>
      <c r="T274" s="49"/>
      <c r="U274" s="49"/>
      <c r="V274" s="49"/>
      <c r="W274" s="49"/>
      <c r="X274" s="49"/>
      <c r="Y274" s="49"/>
      <c r="Z274" s="49"/>
    </row>
    <row r="275">
      <c r="A275" s="49"/>
      <c r="B275" s="49"/>
      <c r="C275" s="49"/>
      <c r="D275" s="49"/>
      <c r="E275" s="106"/>
      <c r="F275" s="49"/>
      <c r="G275" s="49"/>
      <c r="H275" s="49"/>
      <c r="I275" s="49"/>
      <c r="J275" s="49"/>
      <c r="K275" s="49"/>
      <c r="L275" s="49"/>
      <c r="M275" s="49"/>
      <c r="N275" s="49"/>
      <c r="O275" s="49"/>
      <c r="P275" s="49"/>
      <c r="Q275" s="49"/>
      <c r="R275" s="49"/>
      <c r="S275" s="49"/>
      <c r="T275" s="49"/>
      <c r="U275" s="49"/>
      <c r="V275" s="49"/>
      <c r="W275" s="49"/>
      <c r="X275" s="49"/>
      <c r="Y275" s="49"/>
      <c r="Z275" s="49"/>
    </row>
    <row r="276">
      <c r="A276" s="49"/>
      <c r="B276" s="49"/>
      <c r="C276" s="49"/>
      <c r="D276" s="49"/>
      <c r="E276" s="106"/>
      <c r="F276" s="49"/>
      <c r="G276" s="49"/>
      <c r="H276" s="49"/>
      <c r="I276" s="49"/>
      <c r="J276" s="49"/>
      <c r="K276" s="49"/>
      <c r="L276" s="49"/>
      <c r="M276" s="49"/>
      <c r="N276" s="49"/>
      <c r="O276" s="49"/>
      <c r="P276" s="49"/>
      <c r="Q276" s="49"/>
      <c r="R276" s="49"/>
      <c r="S276" s="49"/>
      <c r="T276" s="49"/>
      <c r="U276" s="49"/>
      <c r="V276" s="49"/>
      <c r="W276" s="49"/>
      <c r="X276" s="49"/>
      <c r="Y276" s="49"/>
      <c r="Z276" s="49"/>
    </row>
    <row r="277">
      <c r="A277" s="49"/>
      <c r="B277" s="49"/>
      <c r="C277" s="49"/>
      <c r="D277" s="49"/>
      <c r="E277" s="106"/>
      <c r="F277" s="49"/>
      <c r="G277" s="49"/>
      <c r="H277" s="49"/>
      <c r="I277" s="49"/>
      <c r="J277" s="49"/>
      <c r="K277" s="49"/>
      <c r="L277" s="49"/>
      <c r="M277" s="49"/>
      <c r="N277" s="49"/>
      <c r="O277" s="49"/>
      <c r="P277" s="49"/>
      <c r="Q277" s="49"/>
      <c r="R277" s="49"/>
      <c r="S277" s="49"/>
      <c r="T277" s="49"/>
      <c r="U277" s="49"/>
      <c r="V277" s="49"/>
      <c r="W277" s="49"/>
      <c r="X277" s="49"/>
      <c r="Y277" s="49"/>
      <c r="Z277" s="49"/>
    </row>
    <row r="278">
      <c r="A278" s="49"/>
      <c r="B278" s="49"/>
      <c r="C278" s="49"/>
      <c r="D278" s="49"/>
      <c r="E278" s="106"/>
      <c r="F278" s="49"/>
      <c r="G278" s="49"/>
      <c r="H278" s="49"/>
      <c r="I278" s="49"/>
      <c r="J278" s="49"/>
      <c r="K278" s="49"/>
      <c r="L278" s="49"/>
      <c r="M278" s="49"/>
      <c r="N278" s="49"/>
      <c r="O278" s="49"/>
      <c r="P278" s="49"/>
      <c r="Q278" s="49"/>
      <c r="R278" s="49"/>
      <c r="S278" s="49"/>
      <c r="T278" s="49"/>
      <c r="U278" s="49"/>
      <c r="V278" s="49"/>
      <c r="W278" s="49"/>
      <c r="X278" s="49"/>
      <c r="Y278" s="49"/>
      <c r="Z278" s="49"/>
    </row>
    <row r="279">
      <c r="A279" s="49"/>
      <c r="B279" s="49"/>
      <c r="C279" s="49"/>
      <c r="D279" s="49"/>
      <c r="E279" s="106"/>
      <c r="F279" s="49"/>
      <c r="G279" s="49"/>
      <c r="H279" s="49"/>
      <c r="I279" s="49"/>
      <c r="J279" s="49"/>
      <c r="K279" s="49"/>
      <c r="L279" s="49"/>
      <c r="M279" s="49"/>
      <c r="N279" s="49"/>
      <c r="O279" s="49"/>
      <c r="P279" s="49"/>
      <c r="Q279" s="49"/>
      <c r="R279" s="49"/>
      <c r="S279" s="49"/>
      <c r="T279" s="49"/>
      <c r="U279" s="49"/>
      <c r="V279" s="49"/>
      <c r="W279" s="49"/>
      <c r="X279" s="49"/>
      <c r="Y279" s="49"/>
      <c r="Z279" s="49"/>
    </row>
    <row r="280">
      <c r="A280" s="49"/>
      <c r="B280" s="49"/>
      <c r="C280" s="49"/>
      <c r="D280" s="49"/>
      <c r="E280" s="106"/>
      <c r="F280" s="49"/>
      <c r="G280" s="49"/>
      <c r="H280" s="49"/>
      <c r="I280" s="49"/>
      <c r="J280" s="49"/>
      <c r="K280" s="49"/>
      <c r="L280" s="49"/>
      <c r="M280" s="49"/>
      <c r="N280" s="49"/>
      <c r="O280" s="49"/>
      <c r="P280" s="49"/>
      <c r="Q280" s="49"/>
      <c r="R280" s="49"/>
      <c r="S280" s="49"/>
      <c r="T280" s="49"/>
      <c r="U280" s="49"/>
      <c r="V280" s="49"/>
      <c r="W280" s="49"/>
      <c r="X280" s="49"/>
      <c r="Y280" s="49"/>
      <c r="Z280" s="49"/>
    </row>
    <row r="281">
      <c r="A281" s="49"/>
      <c r="B281" s="49"/>
      <c r="C281" s="49"/>
      <c r="D281" s="49"/>
      <c r="E281" s="106"/>
      <c r="F281" s="49"/>
      <c r="G281" s="49"/>
      <c r="H281" s="49"/>
      <c r="I281" s="49"/>
      <c r="J281" s="49"/>
      <c r="K281" s="49"/>
      <c r="L281" s="49"/>
      <c r="M281" s="49"/>
      <c r="N281" s="49"/>
      <c r="O281" s="49"/>
      <c r="P281" s="49"/>
      <c r="Q281" s="49"/>
      <c r="R281" s="49"/>
      <c r="S281" s="49"/>
      <c r="T281" s="49"/>
      <c r="U281" s="49"/>
      <c r="V281" s="49"/>
      <c r="W281" s="49"/>
      <c r="X281" s="49"/>
      <c r="Y281" s="49"/>
      <c r="Z281" s="49"/>
    </row>
    <row r="282">
      <c r="A282" s="49"/>
      <c r="B282" s="49"/>
      <c r="C282" s="49"/>
      <c r="D282" s="49"/>
      <c r="E282" s="106"/>
      <c r="F282" s="49"/>
      <c r="G282" s="49"/>
      <c r="H282" s="49"/>
      <c r="I282" s="49"/>
      <c r="J282" s="49"/>
      <c r="K282" s="49"/>
      <c r="L282" s="49"/>
      <c r="M282" s="49"/>
      <c r="N282" s="49"/>
      <c r="O282" s="49"/>
      <c r="P282" s="49"/>
      <c r="Q282" s="49"/>
      <c r="R282" s="49"/>
      <c r="S282" s="49"/>
      <c r="T282" s="49"/>
      <c r="U282" s="49"/>
      <c r="V282" s="49"/>
      <c r="W282" s="49"/>
      <c r="X282" s="49"/>
      <c r="Y282" s="49"/>
      <c r="Z282" s="49"/>
    </row>
    <row r="283">
      <c r="A283" s="49"/>
      <c r="B283" s="49"/>
      <c r="C283" s="49"/>
      <c r="D283" s="49"/>
      <c r="E283" s="106"/>
      <c r="F283" s="49"/>
      <c r="G283" s="49"/>
      <c r="H283" s="49"/>
      <c r="I283" s="49"/>
      <c r="J283" s="49"/>
      <c r="K283" s="49"/>
      <c r="L283" s="49"/>
      <c r="M283" s="49"/>
      <c r="N283" s="49"/>
      <c r="O283" s="49"/>
      <c r="P283" s="49"/>
      <c r="Q283" s="49"/>
      <c r="R283" s="49"/>
      <c r="S283" s="49"/>
      <c r="T283" s="49"/>
      <c r="U283" s="49"/>
      <c r="V283" s="49"/>
      <c r="W283" s="49"/>
      <c r="X283" s="49"/>
      <c r="Y283" s="49"/>
      <c r="Z283" s="49"/>
    </row>
    <row r="284">
      <c r="A284" s="49"/>
      <c r="B284" s="49"/>
      <c r="C284" s="49"/>
      <c r="D284" s="49"/>
      <c r="E284" s="106"/>
      <c r="F284" s="49"/>
      <c r="G284" s="49"/>
      <c r="H284" s="49"/>
      <c r="I284" s="49"/>
      <c r="J284" s="49"/>
      <c r="K284" s="49"/>
      <c r="L284" s="49"/>
      <c r="M284" s="49"/>
      <c r="N284" s="49"/>
      <c r="O284" s="49"/>
      <c r="P284" s="49"/>
      <c r="Q284" s="49"/>
      <c r="R284" s="49"/>
      <c r="S284" s="49"/>
      <c r="T284" s="49"/>
      <c r="U284" s="49"/>
      <c r="V284" s="49"/>
      <c r="W284" s="49"/>
      <c r="X284" s="49"/>
      <c r="Y284" s="49"/>
      <c r="Z284" s="49"/>
    </row>
    <row r="285">
      <c r="A285" s="49"/>
      <c r="B285" s="49"/>
      <c r="C285" s="49"/>
      <c r="D285" s="49"/>
      <c r="E285" s="106"/>
      <c r="F285" s="49"/>
      <c r="G285" s="49"/>
      <c r="H285" s="49"/>
      <c r="I285" s="49"/>
      <c r="J285" s="49"/>
      <c r="K285" s="49"/>
      <c r="L285" s="49"/>
      <c r="M285" s="49"/>
      <c r="N285" s="49"/>
      <c r="O285" s="49"/>
      <c r="P285" s="49"/>
      <c r="Q285" s="49"/>
      <c r="R285" s="49"/>
      <c r="S285" s="49"/>
      <c r="T285" s="49"/>
      <c r="U285" s="49"/>
      <c r="V285" s="49"/>
      <c r="W285" s="49"/>
      <c r="X285" s="49"/>
      <c r="Y285" s="49"/>
      <c r="Z285" s="49"/>
    </row>
    <row r="286">
      <c r="A286" s="49"/>
      <c r="B286" s="49"/>
      <c r="C286" s="49"/>
      <c r="D286" s="49"/>
      <c r="E286" s="106"/>
      <c r="F286" s="49"/>
      <c r="G286" s="49"/>
      <c r="H286" s="49"/>
      <c r="I286" s="49"/>
      <c r="J286" s="49"/>
      <c r="K286" s="49"/>
      <c r="L286" s="49"/>
      <c r="M286" s="49"/>
      <c r="N286" s="49"/>
      <c r="O286" s="49"/>
      <c r="P286" s="49"/>
      <c r="Q286" s="49"/>
      <c r="R286" s="49"/>
      <c r="S286" s="49"/>
      <c r="T286" s="49"/>
      <c r="U286" s="49"/>
      <c r="V286" s="49"/>
      <c r="W286" s="49"/>
      <c r="X286" s="49"/>
      <c r="Y286" s="49"/>
      <c r="Z286" s="49"/>
    </row>
    <row r="287">
      <c r="A287" s="49"/>
      <c r="B287" s="49"/>
      <c r="C287" s="49"/>
      <c r="D287" s="49"/>
      <c r="E287" s="106"/>
      <c r="F287" s="49"/>
      <c r="G287" s="49"/>
      <c r="H287" s="49"/>
      <c r="I287" s="49"/>
      <c r="J287" s="49"/>
      <c r="K287" s="49"/>
      <c r="L287" s="49"/>
      <c r="M287" s="49"/>
      <c r="N287" s="49"/>
      <c r="O287" s="49"/>
      <c r="P287" s="49"/>
      <c r="Q287" s="49"/>
      <c r="R287" s="49"/>
      <c r="S287" s="49"/>
      <c r="T287" s="49"/>
      <c r="U287" s="49"/>
      <c r="V287" s="49"/>
      <c r="W287" s="49"/>
      <c r="X287" s="49"/>
      <c r="Y287" s="49"/>
      <c r="Z287" s="49"/>
    </row>
    <row r="288">
      <c r="A288" s="49"/>
      <c r="B288" s="49"/>
      <c r="C288" s="49"/>
      <c r="D288" s="49"/>
      <c r="E288" s="106"/>
      <c r="F288" s="49"/>
      <c r="G288" s="49"/>
      <c r="H288" s="49"/>
      <c r="I288" s="49"/>
      <c r="J288" s="49"/>
      <c r="K288" s="49"/>
      <c r="L288" s="49"/>
      <c r="M288" s="49"/>
      <c r="N288" s="49"/>
      <c r="O288" s="49"/>
      <c r="P288" s="49"/>
      <c r="Q288" s="49"/>
      <c r="R288" s="49"/>
      <c r="S288" s="49"/>
      <c r="T288" s="49"/>
      <c r="U288" s="49"/>
      <c r="V288" s="49"/>
      <c r="W288" s="49"/>
      <c r="X288" s="49"/>
      <c r="Y288" s="49"/>
      <c r="Z288" s="49"/>
    </row>
    <row r="289">
      <c r="A289" s="49"/>
      <c r="B289" s="49"/>
      <c r="C289" s="49"/>
      <c r="D289" s="49"/>
      <c r="E289" s="106"/>
      <c r="F289" s="49"/>
      <c r="G289" s="49"/>
      <c r="H289" s="49"/>
      <c r="I289" s="49"/>
      <c r="J289" s="49"/>
      <c r="K289" s="49"/>
      <c r="L289" s="49"/>
      <c r="M289" s="49"/>
      <c r="N289" s="49"/>
      <c r="O289" s="49"/>
      <c r="P289" s="49"/>
      <c r="Q289" s="49"/>
      <c r="R289" s="49"/>
      <c r="S289" s="49"/>
      <c r="T289" s="49"/>
      <c r="U289" s="49"/>
      <c r="V289" s="49"/>
      <c r="W289" s="49"/>
      <c r="X289" s="49"/>
      <c r="Y289" s="49"/>
      <c r="Z289" s="49"/>
    </row>
    <row r="290">
      <c r="A290" s="49"/>
      <c r="B290" s="49"/>
      <c r="C290" s="49"/>
      <c r="D290" s="49"/>
      <c r="E290" s="106"/>
      <c r="F290" s="49"/>
      <c r="G290" s="49"/>
      <c r="H290" s="49"/>
      <c r="I290" s="49"/>
      <c r="J290" s="49"/>
      <c r="K290" s="49"/>
      <c r="L290" s="49"/>
      <c r="M290" s="49"/>
      <c r="N290" s="49"/>
      <c r="O290" s="49"/>
      <c r="P290" s="49"/>
      <c r="Q290" s="49"/>
      <c r="R290" s="49"/>
      <c r="S290" s="49"/>
      <c r="T290" s="49"/>
      <c r="U290" s="49"/>
      <c r="V290" s="49"/>
      <c r="W290" s="49"/>
      <c r="X290" s="49"/>
      <c r="Y290" s="49"/>
      <c r="Z290" s="49"/>
    </row>
    <row r="291">
      <c r="A291" s="49"/>
      <c r="B291" s="49"/>
      <c r="C291" s="49"/>
      <c r="D291" s="49"/>
      <c r="E291" s="106"/>
      <c r="F291" s="49"/>
      <c r="G291" s="49"/>
      <c r="H291" s="49"/>
      <c r="I291" s="49"/>
      <c r="J291" s="49"/>
      <c r="K291" s="49"/>
      <c r="L291" s="49"/>
      <c r="M291" s="49"/>
      <c r="N291" s="49"/>
      <c r="O291" s="49"/>
      <c r="P291" s="49"/>
      <c r="Q291" s="49"/>
      <c r="R291" s="49"/>
      <c r="S291" s="49"/>
      <c r="T291" s="49"/>
      <c r="U291" s="49"/>
      <c r="V291" s="49"/>
      <c r="W291" s="49"/>
      <c r="X291" s="49"/>
      <c r="Y291" s="49"/>
      <c r="Z291" s="49"/>
    </row>
    <row r="292">
      <c r="A292" s="49"/>
      <c r="B292" s="49"/>
      <c r="C292" s="49"/>
      <c r="D292" s="49"/>
      <c r="E292" s="106"/>
      <c r="F292" s="49"/>
      <c r="G292" s="49"/>
      <c r="H292" s="49"/>
      <c r="I292" s="49"/>
      <c r="J292" s="49"/>
      <c r="K292" s="49"/>
      <c r="L292" s="49"/>
      <c r="M292" s="49"/>
      <c r="N292" s="49"/>
      <c r="O292" s="49"/>
      <c r="P292" s="49"/>
      <c r="Q292" s="49"/>
      <c r="R292" s="49"/>
      <c r="S292" s="49"/>
      <c r="T292" s="49"/>
      <c r="U292" s="49"/>
      <c r="V292" s="49"/>
      <c r="W292" s="49"/>
      <c r="X292" s="49"/>
      <c r="Y292" s="49"/>
      <c r="Z292" s="49"/>
    </row>
    <row r="293">
      <c r="A293" s="49"/>
      <c r="B293" s="49"/>
      <c r="C293" s="49"/>
      <c r="D293" s="49"/>
      <c r="E293" s="106"/>
      <c r="F293" s="49"/>
      <c r="G293" s="49"/>
      <c r="H293" s="49"/>
      <c r="I293" s="49"/>
      <c r="J293" s="49"/>
      <c r="K293" s="49"/>
      <c r="L293" s="49"/>
      <c r="M293" s="49"/>
      <c r="N293" s="49"/>
      <c r="O293" s="49"/>
      <c r="P293" s="49"/>
      <c r="Q293" s="49"/>
      <c r="R293" s="49"/>
      <c r="S293" s="49"/>
      <c r="T293" s="49"/>
      <c r="U293" s="49"/>
      <c r="V293" s="49"/>
      <c r="W293" s="49"/>
      <c r="X293" s="49"/>
      <c r="Y293" s="49"/>
      <c r="Z293" s="49"/>
    </row>
    <row r="294">
      <c r="A294" s="49"/>
      <c r="B294" s="49"/>
      <c r="C294" s="49"/>
      <c r="D294" s="49"/>
      <c r="E294" s="106"/>
      <c r="F294" s="49"/>
      <c r="G294" s="49"/>
      <c r="H294" s="49"/>
      <c r="I294" s="49"/>
      <c r="J294" s="49"/>
      <c r="K294" s="49"/>
      <c r="L294" s="49"/>
      <c r="M294" s="49"/>
      <c r="N294" s="49"/>
      <c r="O294" s="49"/>
      <c r="P294" s="49"/>
      <c r="Q294" s="49"/>
      <c r="R294" s="49"/>
      <c r="S294" s="49"/>
      <c r="T294" s="49"/>
      <c r="U294" s="49"/>
      <c r="V294" s="49"/>
      <c r="W294" s="49"/>
      <c r="X294" s="49"/>
      <c r="Y294" s="49"/>
      <c r="Z294" s="49"/>
    </row>
    <row r="295">
      <c r="A295" s="49"/>
      <c r="B295" s="49"/>
      <c r="C295" s="49"/>
      <c r="D295" s="49"/>
      <c r="E295" s="106"/>
      <c r="F295" s="49"/>
      <c r="G295" s="49"/>
      <c r="H295" s="49"/>
      <c r="I295" s="49"/>
      <c r="J295" s="49"/>
      <c r="K295" s="49"/>
      <c r="L295" s="49"/>
      <c r="M295" s="49"/>
      <c r="N295" s="49"/>
      <c r="O295" s="49"/>
      <c r="P295" s="49"/>
      <c r="Q295" s="49"/>
      <c r="R295" s="49"/>
      <c r="S295" s="49"/>
      <c r="T295" s="49"/>
      <c r="U295" s="49"/>
      <c r="V295" s="49"/>
      <c r="W295" s="49"/>
      <c r="X295" s="49"/>
      <c r="Y295" s="49"/>
      <c r="Z295" s="49"/>
    </row>
    <row r="296">
      <c r="A296" s="49"/>
      <c r="B296" s="49"/>
      <c r="C296" s="49"/>
      <c r="D296" s="49"/>
      <c r="E296" s="106"/>
      <c r="F296" s="49"/>
      <c r="G296" s="49"/>
      <c r="H296" s="49"/>
      <c r="I296" s="49"/>
      <c r="J296" s="49"/>
      <c r="K296" s="49"/>
      <c r="L296" s="49"/>
      <c r="M296" s="49"/>
      <c r="N296" s="49"/>
      <c r="O296" s="49"/>
      <c r="P296" s="49"/>
      <c r="Q296" s="49"/>
      <c r="R296" s="49"/>
      <c r="S296" s="49"/>
      <c r="T296" s="49"/>
      <c r="U296" s="49"/>
      <c r="V296" s="49"/>
      <c r="W296" s="49"/>
      <c r="X296" s="49"/>
      <c r="Y296" s="49"/>
      <c r="Z296" s="49"/>
    </row>
    <row r="297">
      <c r="A297" s="49"/>
      <c r="B297" s="49"/>
      <c r="C297" s="49"/>
      <c r="D297" s="49"/>
      <c r="E297" s="106"/>
      <c r="F297" s="49"/>
      <c r="G297" s="49"/>
      <c r="H297" s="49"/>
      <c r="I297" s="49"/>
      <c r="J297" s="49"/>
      <c r="K297" s="49"/>
      <c r="L297" s="49"/>
      <c r="M297" s="49"/>
      <c r="N297" s="49"/>
      <c r="O297" s="49"/>
      <c r="P297" s="49"/>
      <c r="Q297" s="49"/>
      <c r="R297" s="49"/>
      <c r="S297" s="49"/>
      <c r="T297" s="49"/>
      <c r="U297" s="49"/>
      <c r="V297" s="49"/>
      <c r="W297" s="49"/>
      <c r="X297" s="49"/>
      <c r="Y297" s="49"/>
      <c r="Z297" s="49"/>
    </row>
    <row r="298">
      <c r="A298" s="49"/>
      <c r="B298" s="49"/>
      <c r="C298" s="49"/>
      <c r="D298" s="49"/>
      <c r="E298" s="106"/>
      <c r="F298" s="49"/>
      <c r="G298" s="49"/>
      <c r="H298" s="49"/>
      <c r="I298" s="49"/>
      <c r="J298" s="49"/>
      <c r="K298" s="49"/>
      <c r="L298" s="49"/>
      <c r="M298" s="49"/>
      <c r="N298" s="49"/>
      <c r="O298" s="49"/>
      <c r="P298" s="49"/>
      <c r="Q298" s="49"/>
      <c r="R298" s="49"/>
      <c r="S298" s="49"/>
      <c r="T298" s="49"/>
      <c r="U298" s="49"/>
      <c r="V298" s="49"/>
      <c r="W298" s="49"/>
      <c r="X298" s="49"/>
      <c r="Y298" s="49"/>
      <c r="Z298" s="49"/>
    </row>
    <row r="299">
      <c r="A299" s="49"/>
      <c r="B299" s="49"/>
      <c r="C299" s="49"/>
      <c r="D299" s="49"/>
      <c r="E299" s="106"/>
      <c r="F299" s="49"/>
      <c r="G299" s="49"/>
      <c r="H299" s="49"/>
      <c r="I299" s="49"/>
      <c r="J299" s="49"/>
      <c r="K299" s="49"/>
      <c r="L299" s="49"/>
      <c r="M299" s="49"/>
      <c r="N299" s="49"/>
      <c r="O299" s="49"/>
      <c r="P299" s="49"/>
      <c r="Q299" s="49"/>
      <c r="R299" s="49"/>
      <c r="S299" s="49"/>
      <c r="T299" s="49"/>
      <c r="U299" s="49"/>
      <c r="V299" s="49"/>
      <c r="W299" s="49"/>
      <c r="X299" s="49"/>
      <c r="Y299" s="49"/>
      <c r="Z299" s="49"/>
    </row>
    <row r="300">
      <c r="A300" s="49"/>
      <c r="B300" s="49"/>
      <c r="C300" s="49"/>
      <c r="D300" s="49"/>
      <c r="E300" s="106"/>
      <c r="F300" s="49"/>
      <c r="G300" s="49"/>
      <c r="H300" s="49"/>
      <c r="I300" s="49"/>
      <c r="J300" s="49"/>
      <c r="K300" s="49"/>
      <c r="L300" s="49"/>
      <c r="M300" s="49"/>
      <c r="N300" s="49"/>
      <c r="O300" s="49"/>
      <c r="P300" s="49"/>
      <c r="Q300" s="49"/>
      <c r="R300" s="49"/>
      <c r="S300" s="49"/>
      <c r="T300" s="49"/>
      <c r="U300" s="49"/>
      <c r="V300" s="49"/>
      <c r="W300" s="49"/>
      <c r="X300" s="49"/>
      <c r="Y300" s="49"/>
      <c r="Z300" s="49"/>
    </row>
    <row r="301">
      <c r="A301" s="49"/>
      <c r="B301" s="49"/>
      <c r="C301" s="49"/>
      <c r="D301" s="49"/>
      <c r="E301" s="106"/>
      <c r="F301" s="49"/>
      <c r="G301" s="49"/>
      <c r="H301" s="49"/>
      <c r="I301" s="49"/>
      <c r="J301" s="49"/>
      <c r="K301" s="49"/>
      <c r="L301" s="49"/>
      <c r="M301" s="49"/>
      <c r="N301" s="49"/>
      <c r="O301" s="49"/>
      <c r="P301" s="49"/>
      <c r="Q301" s="49"/>
      <c r="R301" s="49"/>
      <c r="S301" s="49"/>
      <c r="T301" s="49"/>
      <c r="U301" s="49"/>
      <c r="V301" s="49"/>
      <c r="W301" s="49"/>
      <c r="X301" s="49"/>
      <c r="Y301" s="49"/>
      <c r="Z301" s="49"/>
    </row>
    <row r="302">
      <c r="A302" s="49"/>
      <c r="B302" s="49"/>
      <c r="C302" s="49"/>
      <c r="D302" s="49"/>
      <c r="E302" s="106"/>
      <c r="F302" s="49"/>
      <c r="G302" s="49"/>
      <c r="H302" s="49"/>
      <c r="I302" s="49"/>
      <c r="J302" s="49"/>
      <c r="K302" s="49"/>
      <c r="L302" s="49"/>
      <c r="M302" s="49"/>
      <c r="N302" s="49"/>
      <c r="O302" s="49"/>
      <c r="P302" s="49"/>
      <c r="Q302" s="49"/>
      <c r="R302" s="49"/>
      <c r="S302" s="49"/>
      <c r="T302" s="49"/>
      <c r="U302" s="49"/>
      <c r="V302" s="49"/>
      <c r="W302" s="49"/>
      <c r="X302" s="49"/>
      <c r="Y302" s="49"/>
      <c r="Z302" s="49"/>
    </row>
    <row r="303">
      <c r="A303" s="49"/>
      <c r="B303" s="49"/>
      <c r="C303" s="49"/>
      <c r="D303" s="49"/>
      <c r="E303" s="106"/>
      <c r="F303" s="49"/>
      <c r="G303" s="49"/>
      <c r="H303" s="49"/>
      <c r="I303" s="49"/>
      <c r="J303" s="49"/>
      <c r="K303" s="49"/>
      <c r="L303" s="49"/>
      <c r="M303" s="49"/>
      <c r="N303" s="49"/>
      <c r="O303" s="49"/>
      <c r="P303" s="49"/>
      <c r="Q303" s="49"/>
      <c r="R303" s="49"/>
      <c r="S303" s="49"/>
      <c r="T303" s="49"/>
      <c r="U303" s="49"/>
      <c r="V303" s="49"/>
      <c r="W303" s="49"/>
      <c r="X303" s="49"/>
      <c r="Y303" s="49"/>
      <c r="Z303" s="49"/>
    </row>
    <row r="304">
      <c r="A304" s="49"/>
      <c r="B304" s="49"/>
      <c r="C304" s="49"/>
      <c r="D304" s="49"/>
      <c r="E304" s="106"/>
      <c r="F304" s="49"/>
      <c r="G304" s="49"/>
      <c r="H304" s="49"/>
      <c r="I304" s="49"/>
      <c r="J304" s="49"/>
      <c r="K304" s="49"/>
      <c r="L304" s="49"/>
      <c r="M304" s="49"/>
      <c r="N304" s="49"/>
      <c r="O304" s="49"/>
      <c r="P304" s="49"/>
      <c r="Q304" s="49"/>
      <c r="R304" s="49"/>
      <c r="S304" s="49"/>
      <c r="T304" s="49"/>
      <c r="U304" s="49"/>
      <c r="V304" s="49"/>
      <c r="W304" s="49"/>
      <c r="X304" s="49"/>
      <c r="Y304" s="49"/>
      <c r="Z304" s="49"/>
    </row>
    <row r="305">
      <c r="A305" s="49"/>
      <c r="B305" s="49"/>
      <c r="C305" s="49"/>
      <c r="D305" s="49"/>
      <c r="E305" s="106"/>
      <c r="F305" s="49"/>
      <c r="G305" s="49"/>
      <c r="H305" s="49"/>
      <c r="I305" s="49"/>
      <c r="J305" s="49"/>
      <c r="K305" s="49"/>
      <c r="L305" s="49"/>
      <c r="M305" s="49"/>
      <c r="N305" s="49"/>
      <c r="O305" s="49"/>
      <c r="P305" s="49"/>
      <c r="Q305" s="49"/>
      <c r="R305" s="49"/>
      <c r="S305" s="49"/>
      <c r="T305" s="49"/>
      <c r="U305" s="49"/>
      <c r="V305" s="49"/>
      <c r="W305" s="49"/>
      <c r="X305" s="49"/>
      <c r="Y305" s="49"/>
      <c r="Z305" s="49"/>
    </row>
    <row r="306">
      <c r="A306" s="49"/>
      <c r="B306" s="49"/>
      <c r="C306" s="49"/>
      <c r="D306" s="49"/>
      <c r="E306" s="106"/>
      <c r="F306" s="49"/>
      <c r="G306" s="49"/>
      <c r="H306" s="49"/>
      <c r="I306" s="49"/>
      <c r="J306" s="49"/>
      <c r="K306" s="49"/>
      <c r="L306" s="49"/>
      <c r="M306" s="49"/>
      <c r="N306" s="49"/>
      <c r="O306" s="49"/>
      <c r="P306" s="49"/>
      <c r="Q306" s="49"/>
      <c r="R306" s="49"/>
      <c r="S306" s="49"/>
      <c r="T306" s="49"/>
      <c r="U306" s="49"/>
      <c r="V306" s="49"/>
      <c r="W306" s="49"/>
      <c r="X306" s="49"/>
      <c r="Y306" s="49"/>
      <c r="Z306" s="49"/>
    </row>
    <row r="307">
      <c r="A307" s="49"/>
      <c r="B307" s="49"/>
      <c r="C307" s="49"/>
      <c r="D307" s="49"/>
      <c r="E307" s="106"/>
      <c r="F307" s="49"/>
      <c r="G307" s="49"/>
      <c r="H307" s="49"/>
      <c r="I307" s="49"/>
      <c r="J307" s="49"/>
      <c r="K307" s="49"/>
      <c r="L307" s="49"/>
      <c r="M307" s="49"/>
      <c r="N307" s="49"/>
      <c r="O307" s="49"/>
      <c r="P307" s="49"/>
      <c r="Q307" s="49"/>
      <c r="R307" s="49"/>
      <c r="S307" s="49"/>
      <c r="T307" s="49"/>
      <c r="U307" s="49"/>
      <c r="V307" s="49"/>
      <c r="W307" s="49"/>
      <c r="X307" s="49"/>
      <c r="Y307" s="49"/>
      <c r="Z307" s="49"/>
    </row>
    <row r="308">
      <c r="A308" s="49"/>
      <c r="B308" s="49"/>
      <c r="C308" s="49"/>
      <c r="D308" s="49"/>
      <c r="E308" s="106"/>
      <c r="F308" s="49"/>
      <c r="G308" s="49"/>
      <c r="H308" s="49"/>
      <c r="I308" s="49"/>
      <c r="J308" s="49"/>
      <c r="K308" s="49"/>
      <c r="L308" s="49"/>
      <c r="M308" s="49"/>
      <c r="N308" s="49"/>
      <c r="O308" s="49"/>
      <c r="P308" s="49"/>
      <c r="Q308" s="49"/>
      <c r="R308" s="49"/>
      <c r="S308" s="49"/>
      <c r="T308" s="49"/>
      <c r="U308" s="49"/>
      <c r="V308" s="49"/>
      <c r="W308" s="49"/>
      <c r="X308" s="49"/>
      <c r="Y308" s="49"/>
      <c r="Z308" s="49"/>
    </row>
    <row r="309">
      <c r="A309" s="49"/>
      <c r="B309" s="49"/>
      <c r="C309" s="49"/>
      <c r="D309" s="49"/>
      <c r="E309" s="106"/>
      <c r="F309" s="49"/>
      <c r="G309" s="49"/>
      <c r="H309" s="49"/>
      <c r="I309" s="49"/>
      <c r="J309" s="49"/>
      <c r="K309" s="49"/>
      <c r="L309" s="49"/>
      <c r="M309" s="49"/>
      <c r="N309" s="49"/>
      <c r="O309" s="49"/>
      <c r="P309" s="49"/>
      <c r="Q309" s="49"/>
      <c r="R309" s="49"/>
      <c r="S309" s="49"/>
      <c r="T309" s="49"/>
      <c r="U309" s="49"/>
      <c r="V309" s="49"/>
      <c r="W309" s="49"/>
      <c r="X309" s="49"/>
      <c r="Y309" s="49"/>
      <c r="Z309" s="49"/>
    </row>
    <row r="310">
      <c r="A310" s="49"/>
      <c r="B310" s="49"/>
      <c r="C310" s="49"/>
      <c r="D310" s="49"/>
      <c r="E310" s="106"/>
      <c r="F310" s="49"/>
      <c r="G310" s="49"/>
      <c r="H310" s="49"/>
      <c r="I310" s="49"/>
      <c r="J310" s="49"/>
      <c r="K310" s="49"/>
      <c r="L310" s="49"/>
      <c r="M310" s="49"/>
      <c r="N310" s="49"/>
      <c r="O310" s="49"/>
      <c r="P310" s="49"/>
      <c r="Q310" s="49"/>
      <c r="R310" s="49"/>
      <c r="S310" s="49"/>
      <c r="T310" s="49"/>
      <c r="U310" s="49"/>
      <c r="V310" s="49"/>
      <c r="W310" s="49"/>
      <c r="X310" s="49"/>
      <c r="Y310" s="49"/>
      <c r="Z310" s="49"/>
    </row>
    <row r="311">
      <c r="A311" s="49"/>
      <c r="B311" s="49"/>
      <c r="C311" s="49"/>
      <c r="D311" s="49"/>
      <c r="E311" s="106"/>
      <c r="F311" s="49"/>
      <c r="G311" s="49"/>
      <c r="H311" s="49"/>
      <c r="I311" s="49"/>
      <c r="J311" s="49"/>
      <c r="K311" s="49"/>
      <c r="L311" s="49"/>
      <c r="M311" s="49"/>
      <c r="N311" s="49"/>
      <c r="O311" s="49"/>
      <c r="P311" s="49"/>
      <c r="Q311" s="49"/>
      <c r="R311" s="49"/>
      <c r="S311" s="49"/>
      <c r="T311" s="49"/>
      <c r="U311" s="49"/>
      <c r="V311" s="49"/>
      <c r="W311" s="49"/>
      <c r="X311" s="49"/>
      <c r="Y311" s="49"/>
      <c r="Z311" s="49"/>
    </row>
    <row r="312">
      <c r="A312" s="49"/>
      <c r="B312" s="49"/>
      <c r="C312" s="49"/>
      <c r="D312" s="49"/>
      <c r="E312" s="106"/>
      <c r="F312" s="49"/>
      <c r="G312" s="49"/>
      <c r="H312" s="49"/>
      <c r="I312" s="49"/>
      <c r="J312" s="49"/>
      <c r="K312" s="49"/>
      <c r="L312" s="49"/>
      <c r="M312" s="49"/>
      <c r="N312" s="49"/>
      <c r="O312" s="49"/>
      <c r="P312" s="49"/>
      <c r="Q312" s="49"/>
      <c r="R312" s="49"/>
      <c r="S312" s="49"/>
      <c r="T312" s="49"/>
      <c r="U312" s="49"/>
      <c r="V312" s="49"/>
      <c r="W312" s="49"/>
      <c r="X312" s="49"/>
      <c r="Y312" s="49"/>
      <c r="Z312" s="49"/>
    </row>
    <row r="313">
      <c r="A313" s="49"/>
      <c r="B313" s="49"/>
      <c r="C313" s="49"/>
      <c r="D313" s="49"/>
      <c r="E313" s="106"/>
      <c r="F313" s="49"/>
      <c r="G313" s="49"/>
      <c r="H313" s="49"/>
      <c r="I313" s="49"/>
      <c r="J313" s="49"/>
      <c r="K313" s="49"/>
      <c r="L313" s="49"/>
      <c r="M313" s="49"/>
      <c r="N313" s="49"/>
      <c r="O313" s="49"/>
      <c r="P313" s="49"/>
      <c r="Q313" s="49"/>
      <c r="R313" s="49"/>
      <c r="S313" s="49"/>
      <c r="T313" s="49"/>
      <c r="U313" s="49"/>
      <c r="V313" s="49"/>
      <c r="W313" s="49"/>
      <c r="X313" s="49"/>
      <c r="Y313" s="49"/>
      <c r="Z313" s="49"/>
    </row>
    <row r="314">
      <c r="A314" s="49"/>
      <c r="B314" s="49"/>
      <c r="C314" s="49"/>
      <c r="D314" s="49"/>
      <c r="E314" s="106"/>
      <c r="F314" s="49"/>
      <c r="G314" s="49"/>
      <c r="H314" s="49"/>
      <c r="I314" s="49"/>
      <c r="J314" s="49"/>
      <c r="K314" s="49"/>
      <c r="L314" s="49"/>
      <c r="M314" s="49"/>
      <c r="N314" s="49"/>
      <c r="O314" s="49"/>
      <c r="P314" s="49"/>
      <c r="Q314" s="49"/>
      <c r="R314" s="49"/>
      <c r="S314" s="49"/>
      <c r="T314" s="49"/>
      <c r="U314" s="49"/>
      <c r="V314" s="49"/>
      <c r="W314" s="49"/>
      <c r="X314" s="49"/>
      <c r="Y314" s="49"/>
      <c r="Z314" s="49"/>
    </row>
    <row r="315">
      <c r="A315" s="49"/>
      <c r="B315" s="49"/>
      <c r="C315" s="49"/>
      <c r="D315" s="49"/>
      <c r="E315" s="106"/>
      <c r="F315" s="49"/>
      <c r="G315" s="49"/>
      <c r="H315" s="49"/>
      <c r="I315" s="49"/>
      <c r="J315" s="49"/>
      <c r="K315" s="49"/>
      <c r="L315" s="49"/>
      <c r="M315" s="49"/>
      <c r="N315" s="49"/>
      <c r="O315" s="49"/>
      <c r="P315" s="49"/>
      <c r="Q315" s="49"/>
      <c r="R315" s="49"/>
      <c r="S315" s="49"/>
      <c r="T315" s="49"/>
      <c r="U315" s="49"/>
      <c r="V315" s="49"/>
      <c r="W315" s="49"/>
      <c r="X315" s="49"/>
      <c r="Y315" s="49"/>
      <c r="Z315" s="49"/>
    </row>
    <row r="316">
      <c r="A316" s="49"/>
      <c r="B316" s="49"/>
      <c r="C316" s="49"/>
      <c r="D316" s="49"/>
      <c r="E316" s="106"/>
      <c r="F316" s="49"/>
      <c r="G316" s="49"/>
      <c r="H316" s="49"/>
      <c r="I316" s="49"/>
      <c r="J316" s="49"/>
      <c r="K316" s="49"/>
      <c r="L316" s="49"/>
      <c r="M316" s="49"/>
      <c r="N316" s="49"/>
      <c r="O316" s="49"/>
      <c r="P316" s="49"/>
      <c r="Q316" s="49"/>
      <c r="R316" s="49"/>
      <c r="S316" s="49"/>
      <c r="T316" s="49"/>
      <c r="U316" s="49"/>
      <c r="V316" s="49"/>
      <c r="W316" s="49"/>
      <c r="X316" s="49"/>
      <c r="Y316" s="49"/>
      <c r="Z316" s="49"/>
    </row>
    <row r="317">
      <c r="A317" s="49"/>
      <c r="B317" s="49"/>
      <c r="C317" s="49"/>
      <c r="D317" s="49"/>
      <c r="E317" s="106"/>
      <c r="F317" s="49"/>
      <c r="G317" s="49"/>
      <c r="H317" s="49"/>
      <c r="I317" s="49"/>
      <c r="J317" s="49"/>
      <c r="K317" s="49"/>
      <c r="L317" s="49"/>
      <c r="M317" s="49"/>
      <c r="N317" s="49"/>
      <c r="O317" s="49"/>
      <c r="P317" s="49"/>
      <c r="Q317" s="49"/>
      <c r="R317" s="49"/>
      <c r="S317" s="49"/>
      <c r="T317" s="49"/>
      <c r="U317" s="49"/>
      <c r="V317" s="49"/>
      <c r="W317" s="49"/>
      <c r="X317" s="49"/>
      <c r="Y317" s="49"/>
      <c r="Z317" s="49"/>
    </row>
    <row r="318">
      <c r="A318" s="49"/>
      <c r="B318" s="49"/>
      <c r="C318" s="49"/>
      <c r="D318" s="49"/>
      <c r="E318" s="106"/>
      <c r="F318" s="49"/>
      <c r="G318" s="49"/>
      <c r="H318" s="49"/>
      <c r="I318" s="49"/>
      <c r="J318" s="49"/>
      <c r="K318" s="49"/>
      <c r="L318" s="49"/>
      <c r="M318" s="49"/>
      <c r="N318" s="49"/>
      <c r="O318" s="49"/>
      <c r="P318" s="49"/>
      <c r="Q318" s="49"/>
      <c r="R318" s="49"/>
      <c r="S318" s="49"/>
      <c r="T318" s="49"/>
      <c r="U318" s="49"/>
      <c r="V318" s="49"/>
      <c r="W318" s="49"/>
      <c r="X318" s="49"/>
      <c r="Y318" s="49"/>
      <c r="Z318" s="49"/>
    </row>
    <row r="319">
      <c r="A319" s="49"/>
      <c r="B319" s="49"/>
      <c r="C319" s="49"/>
      <c r="D319" s="49"/>
      <c r="E319" s="106"/>
      <c r="F319" s="49"/>
      <c r="G319" s="49"/>
      <c r="H319" s="49"/>
      <c r="I319" s="49"/>
      <c r="J319" s="49"/>
      <c r="K319" s="49"/>
      <c r="L319" s="49"/>
      <c r="M319" s="49"/>
      <c r="N319" s="49"/>
      <c r="O319" s="49"/>
      <c r="P319" s="49"/>
      <c r="Q319" s="49"/>
      <c r="R319" s="49"/>
      <c r="S319" s="49"/>
      <c r="T319" s="49"/>
      <c r="U319" s="49"/>
      <c r="V319" s="49"/>
      <c r="W319" s="49"/>
      <c r="X319" s="49"/>
      <c r="Y319" s="49"/>
      <c r="Z319" s="49"/>
    </row>
    <row r="320">
      <c r="A320" s="49"/>
      <c r="B320" s="49"/>
      <c r="C320" s="49"/>
      <c r="D320" s="49"/>
      <c r="E320" s="106"/>
      <c r="F320" s="49"/>
      <c r="G320" s="49"/>
      <c r="H320" s="49"/>
      <c r="I320" s="49"/>
      <c r="J320" s="49"/>
      <c r="K320" s="49"/>
      <c r="L320" s="49"/>
      <c r="M320" s="49"/>
      <c r="N320" s="49"/>
      <c r="O320" s="49"/>
      <c r="P320" s="49"/>
      <c r="Q320" s="49"/>
      <c r="R320" s="49"/>
      <c r="S320" s="49"/>
      <c r="T320" s="49"/>
      <c r="U320" s="49"/>
      <c r="V320" s="49"/>
      <c r="W320" s="49"/>
      <c r="X320" s="49"/>
      <c r="Y320" s="49"/>
      <c r="Z320" s="49"/>
    </row>
    <row r="321">
      <c r="A321" s="49"/>
      <c r="B321" s="49"/>
      <c r="C321" s="49"/>
      <c r="D321" s="49"/>
      <c r="E321" s="106"/>
      <c r="F321" s="49"/>
      <c r="G321" s="49"/>
      <c r="H321" s="49"/>
      <c r="I321" s="49"/>
      <c r="J321" s="49"/>
      <c r="K321" s="49"/>
      <c r="L321" s="49"/>
      <c r="M321" s="49"/>
      <c r="N321" s="49"/>
      <c r="O321" s="49"/>
      <c r="P321" s="49"/>
      <c r="Q321" s="49"/>
      <c r="R321" s="49"/>
      <c r="S321" s="49"/>
      <c r="T321" s="49"/>
      <c r="U321" s="49"/>
      <c r="V321" s="49"/>
      <c r="W321" s="49"/>
      <c r="X321" s="49"/>
      <c r="Y321" s="49"/>
      <c r="Z321" s="49"/>
    </row>
    <row r="322">
      <c r="A322" s="49"/>
      <c r="B322" s="49"/>
      <c r="C322" s="49"/>
      <c r="D322" s="49"/>
      <c r="E322" s="106"/>
      <c r="F322" s="49"/>
      <c r="G322" s="49"/>
      <c r="H322" s="49"/>
      <c r="I322" s="49"/>
      <c r="J322" s="49"/>
      <c r="K322" s="49"/>
      <c r="L322" s="49"/>
      <c r="M322" s="49"/>
      <c r="N322" s="49"/>
      <c r="O322" s="49"/>
      <c r="P322" s="49"/>
      <c r="Q322" s="49"/>
      <c r="R322" s="49"/>
      <c r="S322" s="49"/>
      <c r="T322" s="49"/>
      <c r="U322" s="49"/>
      <c r="V322" s="49"/>
      <c r="W322" s="49"/>
      <c r="X322" s="49"/>
      <c r="Y322" s="49"/>
      <c r="Z322" s="49"/>
    </row>
    <row r="323">
      <c r="A323" s="49"/>
      <c r="B323" s="49"/>
      <c r="C323" s="49"/>
      <c r="D323" s="49"/>
      <c r="E323" s="106"/>
      <c r="F323" s="49"/>
      <c r="G323" s="49"/>
      <c r="H323" s="49"/>
      <c r="I323" s="49"/>
      <c r="J323" s="49"/>
      <c r="K323" s="49"/>
      <c r="L323" s="49"/>
      <c r="M323" s="49"/>
      <c r="N323" s="49"/>
      <c r="O323" s="49"/>
      <c r="P323" s="49"/>
      <c r="Q323" s="49"/>
      <c r="R323" s="49"/>
      <c r="S323" s="49"/>
      <c r="T323" s="49"/>
      <c r="U323" s="49"/>
      <c r="V323" s="49"/>
      <c r="W323" s="49"/>
      <c r="X323" s="49"/>
      <c r="Y323" s="49"/>
      <c r="Z323" s="49"/>
    </row>
    <row r="324">
      <c r="A324" s="49"/>
      <c r="B324" s="49"/>
      <c r="C324" s="49"/>
      <c r="D324" s="49"/>
      <c r="E324" s="106"/>
      <c r="F324" s="49"/>
      <c r="G324" s="49"/>
      <c r="H324" s="49"/>
      <c r="I324" s="49"/>
      <c r="J324" s="49"/>
      <c r="K324" s="49"/>
      <c r="L324" s="49"/>
      <c r="M324" s="49"/>
      <c r="N324" s="49"/>
      <c r="O324" s="49"/>
      <c r="P324" s="49"/>
      <c r="Q324" s="49"/>
      <c r="R324" s="49"/>
      <c r="S324" s="49"/>
      <c r="T324" s="49"/>
      <c r="U324" s="49"/>
      <c r="V324" s="49"/>
      <c r="W324" s="49"/>
      <c r="X324" s="49"/>
      <c r="Y324" s="49"/>
      <c r="Z324" s="49"/>
    </row>
    <row r="325">
      <c r="A325" s="49"/>
      <c r="B325" s="49"/>
      <c r="C325" s="49"/>
      <c r="D325" s="49"/>
      <c r="E325" s="106"/>
      <c r="F325" s="49"/>
      <c r="G325" s="49"/>
      <c r="H325" s="49"/>
      <c r="I325" s="49"/>
      <c r="J325" s="49"/>
      <c r="K325" s="49"/>
      <c r="L325" s="49"/>
      <c r="M325" s="49"/>
      <c r="N325" s="49"/>
      <c r="O325" s="49"/>
      <c r="P325" s="49"/>
      <c r="Q325" s="49"/>
      <c r="R325" s="49"/>
      <c r="S325" s="49"/>
      <c r="T325" s="49"/>
      <c r="U325" s="49"/>
      <c r="V325" s="49"/>
      <c r="W325" s="49"/>
      <c r="X325" s="49"/>
      <c r="Y325" s="49"/>
      <c r="Z325" s="49"/>
    </row>
    <row r="326">
      <c r="A326" s="49"/>
      <c r="B326" s="49"/>
      <c r="C326" s="49"/>
      <c r="D326" s="49"/>
      <c r="E326" s="106"/>
      <c r="F326" s="49"/>
      <c r="G326" s="49"/>
      <c r="H326" s="49"/>
      <c r="I326" s="49"/>
      <c r="J326" s="49"/>
      <c r="K326" s="49"/>
      <c r="L326" s="49"/>
      <c r="M326" s="49"/>
      <c r="N326" s="49"/>
      <c r="O326" s="49"/>
      <c r="P326" s="49"/>
      <c r="Q326" s="49"/>
      <c r="R326" s="49"/>
      <c r="S326" s="49"/>
      <c r="T326" s="49"/>
      <c r="U326" s="49"/>
      <c r="V326" s="49"/>
      <c r="W326" s="49"/>
      <c r="X326" s="49"/>
      <c r="Y326" s="49"/>
      <c r="Z326" s="49"/>
    </row>
    <row r="327">
      <c r="A327" s="49"/>
      <c r="B327" s="49"/>
      <c r="C327" s="49"/>
      <c r="D327" s="49"/>
      <c r="E327" s="106"/>
      <c r="F327" s="49"/>
      <c r="G327" s="49"/>
      <c r="H327" s="49"/>
      <c r="I327" s="49"/>
      <c r="J327" s="49"/>
      <c r="K327" s="49"/>
      <c r="L327" s="49"/>
      <c r="M327" s="49"/>
      <c r="N327" s="49"/>
      <c r="O327" s="49"/>
      <c r="P327" s="49"/>
      <c r="Q327" s="49"/>
      <c r="R327" s="49"/>
      <c r="S327" s="49"/>
      <c r="T327" s="49"/>
      <c r="U327" s="49"/>
      <c r="V327" s="49"/>
      <c r="W327" s="49"/>
      <c r="X327" s="49"/>
      <c r="Y327" s="49"/>
      <c r="Z327" s="49"/>
    </row>
    <row r="328">
      <c r="A328" s="49"/>
      <c r="B328" s="49"/>
      <c r="C328" s="49"/>
      <c r="D328" s="49"/>
      <c r="E328" s="106"/>
      <c r="F328" s="49"/>
      <c r="G328" s="49"/>
      <c r="H328" s="49"/>
      <c r="I328" s="49"/>
      <c r="J328" s="49"/>
      <c r="K328" s="49"/>
      <c r="L328" s="49"/>
      <c r="M328" s="49"/>
      <c r="N328" s="49"/>
      <c r="O328" s="49"/>
      <c r="P328" s="49"/>
      <c r="Q328" s="49"/>
      <c r="R328" s="49"/>
      <c r="S328" s="49"/>
      <c r="T328" s="49"/>
      <c r="U328" s="49"/>
      <c r="V328" s="49"/>
      <c r="W328" s="49"/>
      <c r="X328" s="49"/>
      <c r="Y328" s="49"/>
      <c r="Z328" s="49"/>
    </row>
    <row r="329">
      <c r="A329" s="49"/>
      <c r="B329" s="49"/>
      <c r="C329" s="49"/>
      <c r="D329" s="49"/>
      <c r="E329" s="106"/>
      <c r="F329" s="49"/>
      <c r="G329" s="49"/>
      <c r="H329" s="49"/>
      <c r="I329" s="49"/>
      <c r="J329" s="49"/>
      <c r="K329" s="49"/>
      <c r="L329" s="49"/>
      <c r="M329" s="49"/>
      <c r="N329" s="49"/>
      <c r="O329" s="49"/>
      <c r="P329" s="49"/>
      <c r="Q329" s="49"/>
      <c r="R329" s="49"/>
      <c r="S329" s="49"/>
      <c r="T329" s="49"/>
      <c r="U329" s="49"/>
      <c r="V329" s="49"/>
      <c r="W329" s="49"/>
      <c r="X329" s="49"/>
      <c r="Y329" s="49"/>
      <c r="Z329" s="49"/>
    </row>
    <row r="330">
      <c r="A330" s="49"/>
      <c r="B330" s="49"/>
      <c r="C330" s="49"/>
      <c r="D330" s="49"/>
      <c r="E330" s="106"/>
      <c r="F330" s="49"/>
      <c r="G330" s="49"/>
      <c r="H330" s="49"/>
      <c r="I330" s="49"/>
      <c r="J330" s="49"/>
      <c r="K330" s="49"/>
      <c r="L330" s="49"/>
      <c r="M330" s="49"/>
      <c r="N330" s="49"/>
      <c r="O330" s="49"/>
      <c r="P330" s="49"/>
      <c r="Q330" s="49"/>
      <c r="R330" s="49"/>
      <c r="S330" s="49"/>
      <c r="T330" s="49"/>
      <c r="U330" s="49"/>
      <c r="V330" s="49"/>
      <c r="W330" s="49"/>
      <c r="X330" s="49"/>
      <c r="Y330" s="49"/>
      <c r="Z330" s="49"/>
    </row>
    <row r="331">
      <c r="A331" s="49"/>
      <c r="B331" s="49"/>
      <c r="C331" s="49"/>
      <c r="D331" s="49"/>
      <c r="E331" s="106"/>
      <c r="F331" s="49"/>
      <c r="G331" s="49"/>
      <c r="H331" s="49"/>
      <c r="I331" s="49"/>
      <c r="J331" s="49"/>
      <c r="K331" s="49"/>
      <c r="L331" s="49"/>
      <c r="M331" s="49"/>
      <c r="N331" s="49"/>
      <c r="O331" s="49"/>
      <c r="P331" s="49"/>
      <c r="Q331" s="49"/>
      <c r="R331" s="49"/>
      <c r="S331" s="49"/>
      <c r="T331" s="49"/>
      <c r="U331" s="49"/>
      <c r="V331" s="49"/>
      <c r="W331" s="49"/>
      <c r="X331" s="49"/>
      <c r="Y331" s="49"/>
      <c r="Z331" s="49"/>
    </row>
    <row r="332">
      <c r="A332" s="49"/>
      <c r="B332" s="49"/>
      <c r="C332" s="49"/>
      <c r="D332" s="49"/>
      <c r="E332" s="106"/>
      <c r="F332" s="49"/>
      <c r="G332" s="49"/>
      <c r="H332" s="49"/>
      <c r="I332" s="49"/>
      <c r="J332" s="49"/>
      <c r="K332" s="49"/>
      <c r="L332" s="49"/>
      <c r="M332" s="49"/>
      <c r="N332" s="49"/>
      <c r="O332" s="49"/>
      <c r="P332" s="49"/>
      <c r="Q332" s="49"/>
      <c r="R332" s="49"/>
      <c r="S332" s="49"/>
      <c r="T332" s="49"/>
      <c r="U332" s="49"/>
      <c r="V332" s="49"/>
      <c r="W332" s="49"/>
      <c r="X332" s="49"/>
      <c r="Y332" s="49"/>
      <c r="Z332" s="49"/>
    </row>
    <row r="333">
      <c r="A333" s="49"/>
      <c r="B333" s="49"/>
      <c r="C333" s="49"/>
      <c r="D333" s="49"/>
      <c r="E333" s="106"/>
      <c r="F333" s="49"/>
      <c r="G333" s="49"/>
      <c r="H333" s="49"/>
      <c r="I333" s="49"/>
      <c r="J333" s="49"/>
      <c r="K333" s="49"/>
      <c r="L333" s="49"/>
      <c r="M333" s="49"/>
      <c r="N333" s="49"/>
      <c r="O333" s="49"/>
      <c r="P333" s="49"/>
      <c r="Q333" s="49"/>
      <c r="R333" s="49"/>
      <c r="S333" s="49"/>
      <c r="T333" s="49"/>
      <c r="U333" s="49"/>
      <c r="V333" s="49"/>
      <c r="W333" s="49"/>
      <c r="X333" s="49"/>
      <c r="Y333" s="49"/>
      <c r="Z333" s="49"/>
    </row>
    <row r="334">
      <c r="A334" s="49"/>
      <c r="B334" s="49"/>
      <c r="C334" s="49"/>
      <c r="D334" s="49"/>
      <c r="E334" s="106"/>
      <c r="F334" s="49"/>
      <c r="G334" s="49"/>
      <c r="H334" s="49"/>
      <c r="I334" s="49"/>
      <c r="J334" s="49"/>
      <c r="K334" s="49"/>
      <c r="L334" s="49"/>
      <c r="M334" s="49"/>
      <c r="N334" s="49"/>
      <c r="O334" s="49"/>
      <c r="P334" s="49"/>
      <c r="Q334" s="49"/>
      <c r="R334" s="49"/>
      <c r="S334" s="49"/>
      <c r="T334" s="49"/>
      <c r="U334" s="49"/>
      <c r="V334" s="49"/>
      <c r="W334" s="49"/>
      <c r="X334" s="49"/>
      <c r="Y334" s="49"/>
      <c r="Z334" s="49"/>
    </row>
    <row r="335">
      <c r="A335" s="49"/>
      <c r="B335" s="49"/>
      <c r="C335" s="49"/>
      <c r="D335" s="49"/>
      <c r="E335" s="106"/>
      <c r="F335" s="49"/>
      <c r="G335" s="49"/>
      <c r="H335" s="49"/>
      <c r="I335" s="49"/>
      <c r="J335" s="49"/>
      <c r="K335" s="49"/>
      <c r="L335" s="49"/>
      <c r="M335" s="49"/>
      <c r="N335" s="49"/>
      <c r="O335" s="49"/>
      <c r="P335" s="49"/>
      <c r="Q335" s="49"/>
      <c r="R335" s="49"/>
      <c r="S335" s="49"/>
      <c r="T335" s="49"/>
      <c r="U335" s="49"/>
      <c r="V335" s="49"/>
      <c r="W335" s="49"/>
      <c r="X335" s="49"/>
      <c r="Y335" s="49"/>
      <c r="Z335" s="49"/>
    </row>
    <row r="336">
      <c r="A336" s="49"/>
      <c r="B336" s="49"/>
      <c r="C336" s="49"/>
      <c r="D336" s="49"/>
      <c r="E336" s="106"/>
      <c r="F336" s="49"/>
      <c r="G336" s="49"/>
      <c r="H336" s="49"/>
      <c r="I336" s="49"/>
      <c r="J336" s="49"/>
      <c r="K336" s="49"/>
      <c r="L336" s="49"/>
      <c r="M336" s="49"/>
      <c r="N336" s="49"/>
      <c r="O336" s="49"/>
      <c r="P336" s="49"/>
      <c r="Q336" s="49"/>
      <c r="R336" s="49"/>
      <c r="S336" s="49"/>
      <c r="T336" s="49"/>
      <c r="U336" s="49"/>
      <c r="V336" s="49"/>
      <c r="W336" s="49"/>
      <c r="X336" s="49"/>
      <c r="Y336" s="49"/>
      <c r="Z336" s="49"/>
    </row>
    <row r="337">
      <c r="A337" s="49"/>
      <c r="B337" s="49"/>
      <c r="C337" s="49"/>
      <c r="D337" s="49"/>
      <c r="E337" s="106"/>
      <c r="F337" s="49"/>
      <c r="G337" s="49"/>
      <c r="H337" s="49"/>
      <c r="I337" s="49"/>
      <c r="J337" s="49"/>
      <c r="K337" s="49"/>
      <c r="L337" s="49"/>
      <c r="M337" s="49"/>
      <c r="N337" s="49"/>
      <c r="O337" s="49"/>
      <c r="P337" s="49"/>
      <c r="Q337" s="49"/>
      <c r="R337" s="49"/>
      <c r="S337" s="49"/>
      <c r="T337" s="49"/>
      <c r="U337" s="49"/>
      <c r="V337" s="49"/>
      <c r="W337" s="49"/>
      <c r="X337" s="49"/>
      <c r="Y337" s="49"/>
      <c r="Z337" s="49"/>
    </row>
    <row r="338">
      <c r="A338" s="49"/>
      <c r="B338" s="49"/>
      <c r="C338" s="49"/>
      <c r="D338" s="49"/>
      <c r="E338" s="106"/>
      <c r="F338" s="49"/>
      <c r="G338" s="49"/>
      <c r="H338" s="49"/>
      <c r="I338" s="49"/>
      <c r="J338" s="49"/>
      <c r="K338" s="49"/>
      <c r="L338" s="49"/>
      <c r="M338" s="49"/>
      <c r="N338" s="49"/>
      <c r="O338" s="49"/>
      <c r="P338" s="49"/>
      <c r="Q338" s="49"/>
      <c r="R338" s="49"/>
      <c r="S338" s="49"/>
      <c r="T338" s="49"/>
      <c r="U338" s="49"/>
      <c r="V338" s="49"/>
      <c r="W338" s="49"/>
      <c r="X338" s="49"/>
      <c r="Y338" s="49"/>
      <c r="Z338" s="49"/>
    </row>
    <row r="339">
      <c r="A339" s="49"/>
      <c r="B339" s="49"/>
      <c r="C339" s="49"/>
      <c r="D339" s="49"/>
      <c r="E339" s="106"/>
      <c r="F339" s="49"/>
      <c r="G339" s="49"/>
      <c r="H339" s="49"/>
      <c r="I339" s="49"/>
      <c r="J339" s="49"/>
      <c r="K339" s="49"/>
      <c r="L339" s="49"/>
      <c r="M339" s="49"/>
      <c r="N339" s="49"/>
      <c r="O339" s="49"/>
      <c r="P339" s="49"/>
      <c r="Q339" s="49"/>
      <c r="R339" s="49"/>
      <c r="S339" s="49"/>
      <c r="T339" s="49"/>
      <c r="U339" s="49"/>
      <c r="V339" s="49"/>
      <c r="W339" s="49"/>
      <c r="X339" s="49"/>
      <c r="Y339" s="49"/>
      <c r="Z339" s="49"/>
    </row>
    <row r="340">
      <c r="A340" s="49"/>
      <c r="B340" s="49"/>
      <c r="C340" s="49"/>
      <c r="D340" s="49"/>
      <c r="E340" s="106"/>
      <c r="F340" s="49"/>
      <c r="G340" s="49"/>
      <c r="H340" s="49"/>
      <c r="I340" s="49"/>
      <c r="J340" s="49"/>
      <c r="K340" s="49"/>
      <c r="L340" s="49"/>
      <c r="M340" s="49"/>
      <c r="N340" s="49"/>
      <c r="O340" s="49"/>
      <c r="P340" s="49"/>
      <c r="Q340" s="49"/>
      <c r="R340" s="49"/>
      <c r="S340" s="49"/>
      <c r="T340" s="49"/>
      <c r="U340" s="49"/>
      <c r="V340" s="49"/>
      <c r="W340" s="49"/>
      <c r="X340" s="49"/>
      <c r="Y340" s="49"/>
      <c r="Z340" s="49"/>
    </row>
    <row r="341">
      <c r="A341" s="49"/>
      <c r="B341" s="49"/>
      <c r="C341" s="49"/>
      <c r="D341" s="49"/>
      <c r="E341" s="106"/>
      <c r="F341" s="49"/>
      <c r="G341" s="49"/>
      <c r="H341" s="49"/>
      <c r="I341" s="49"/>
      <c r="J341" s="49"/>
      <c r="K341" s="49"/>
      <c r="L341" s="49"/>
      <c r="M341" s="49"/>
      <c r="N341" s="49"/>
      <c r="O341" s="49"/>
      <c r="P341" s="49"/>
      <c r="Q341" s="49"/>
      <c r="R341" s="49"/>
      <c r="S341" s="49"/>
      <c r="T341" s="49"/>
      <c r="U341" s="49"/>
      <c r="V341" s="49"/>
      <c r="W341" s="49"/>
      <c r="X341" s="49"/>
      <c r="Y341" s="49"/>
      <c r="Z341" s="49"/>
    </row>
    <row r="342">
      <c r="A342" s="49"/>
      <c r="B342" s="49"/>
      <c r="C342" s="49"/>
      <c r="D342" s="49"/>
      <c r="E342" s="106"/>
      <c r="F342" s="49"/>
      <c r="G342" s="49"/>
      <c r="H342" s="49"/>
      <c r="I342" s="49"/>
      <c r="J342" s="49"/>
      <c r="K342" s="49"/>
      <c r="L342" s="49"/>
      <c r="M342" s="49"/>
      <c r="N342" s="49"/>
      <c r="O342" s="49"/>
      <c r="P342" s="49"/>
      <c r="Q342" s="49"/>
      <c r="R342" s="49"/>
      <c r="S342" s="49"/>
      <c r="T342" s="49"/>
      <c r="U342" s="49"/>
      <c r="V342" s="49"/>
      <c r="W342" s="49"/>
      <c r="X342" s="49"/>
      <c r="Y342" s="49"/>
      <c r="Z342" s="49"/>
    </row>
    <row r="343">
      <c r="A343" s="49"/>
      <c r="B343" s="49"/>
      <c r="C343" s="49"/>
      <c r="D343" s="49"/>
      <c r="E343" s="106"/>
      <c r="F343" s="49"/>
      <c r="G343" s="49"/>
      <c r="H343" s="49"/>
      <c r="I343" s="49"/>
      <c r="J343" s="49"/>
      <c r="K343" s="49"/>
      <c r="L343" s="49"/>
      <c r="M343" s="49"/>
      <c r="N343" s="49"/>
      <c r="O343" s="49"/>
      <c r="P343" s="49"/>
      <c r="Q343" s="49"/>
      <c r="R343" s="49"/>
      <c r="S343" s="49"/>
      <c r="T343" s="49"/>
      <c r="U343" s="49"/>
      <c r="V343" s="49"/>
      <c r="W343" s="49"/>
      <c r="X343" s="49"/>
      <c r="Y343" s="49"/>
      <c r="Z343" s="49"/>
    </row>
    <row r="344">
      <c r="A344" s="49"/>
      <c r="B344" s="49"/>
      <c r="C344" s="49"/>
      <c r="D344" s="49"/>
      <c r="E344" s="106"/>
      <c r="F344" s="49"/>
      <c r="G344" s="49"/>
      <c r="H344" s="49"/>
      <c r="I344" s="49"/>
      <c r="J344" s="49"/>
      <c r="K344" s="49"/>
      <c r="L344" s="49"/>
      <c r="M344" s="49"/>
      <c r="N344" s="49"/>
      <c r="O344" s="49"/>
      <c r="P344" s="49"/>
      <c r="Q344" s="49"/>
      <c r="R344" s="49"/>
      <c r="S344" s="49"/>
      <c r="T344" s="49"/>
      <c r="U344" s="49"/>
      <c r="V344" s="49"/>
      <c r="W344" s="49"/>
      <c r="X344" s="49"/>
      <c r="Y344" s="49"/>
      <c r="Z344" s="49"/>
    </row>
    <row r="345">
      <c r="A345" s="49"/>
      <c r="B345" s="49"/>
      <c r="C345" s="49"/>
      <c r="D345" s="49"/>
      <c r="E345" s="106"/>
      <c r="F345" s="49"/>
      <c r="G345" s="49"/>
      <c r="H345" s="49"/>
      <c r="I345" s="49"/>
      <c r="J345" s="49"/>
      <c r="K345" s="49"/>
      <c r="L345" s="49"/>
      <c r="M345" s="49"/>
      <c r="N345" s="49"/>
      <c r="O345" s="49"/>
      <c r="P345" s="49"/>
      <c r="Q345" s="49"/>
      <c r="R345" s="49"/>
      <c r="S345" s="49"/>
      <c r="T345" s="49"/>
      <c r="U345" s="49"/>
      <c r="V345" s="49"/>
      <c r="W345" s="49"/>
      <c r="X345" s="49"/>
      <c r="Y345" s="49"/>
      <c r="Z345" s="49"/>
    </row>
    <row r="346">
      <c r="A346" s="49"/>
      <c r="B346" s="49"/>
      <c r="C346" s="49"/>
      <c r="D346" s="49"/>
      <c r="E346" s="106"/>
      <c r="F346" s="49"/>
      <c r="G346" s="49"/>
      <c r="H346" s="49"/>
      <c r="I346" s="49"/>
      <c r="J346" s="49"/>
      <c r="K346" s="49"/>
      <c r="L346" s="49"/>
      <c r="M346" s="49"/>
      <c r="N346" s="49"/>
      <c r="O346" s="49"/>
      <c r="P346" s="49"/>
      <c r="Q346" s="49"/>
      <c r="R346" s="49"/>
      <c r="S346" s="49"/>
      <c r="T346" s="49"/>
      <c r="U346" s="49"/>
      <c r="V346" s="49"/>
      <c r="W346" s="49"/>
      <c r="X346" s="49"/>
      <c r="Y346" s="49"/>
      <c r="Z346" s="49"/>
    </row>
    <row r="347">
      <c r="A347" s="49"/>
      <c r="B347" s="49"/>
      <c r="C347" s="49"/>
      <c r="D347" s="49"/>
      <c r="E347" s="106"/>
      <c r="F347" s="49"/>
      <c r="G347" s="49"/>
      <c r="H347" s="49"/>
      <c r="I347" s="49"/>
      <c r="J347" s="49"/>
      <c r="K347" s="49"/>
      <c r="L347" s="49"/>
      <c r="M347" s="49"/>
      <c r="N347" s="49"/>
      <c r="O347" s="49"/>
      <c r="P347" s="49"/>
      <c r="Q347" s="49"/>
      <c r="R347" s="49"/>
      <c r="S347" s="49"/>
      <c r="T347" s="49"/>
      <c r="U347" s="49"/>
      <c r="V347" s="49"/>
      <c r="W347" s="49"/>
      <c r="X347" s="49"/>
      <c r="Y347" s="49"/>
      <c r="Z347" s="49"/>
    </row>
    <row r="348">
      <c r="A348" s="49"/>
      <c r="B348" s="49"/>
      <c r="C348" s="49"/>
      <c r="D348" s="49"/>
      <c r="E348" s="106"/>
      <c r="F348" s="49"/>
      <c r="G348" s="49"/>
      <c r="H348" s="49"/>
      <c r="I348" s="49"/>
      <c r="J348" s="49"/>
      <c r="K348" s="49"/>
      <c r="L348" s="49"/>
      <c r="M348" s="49"/>
      <c r="N348" s="49"/>
      <c r="O348" s="49"/>
      <c r="P348" s="49"/>
      <c r="Q348" s="49"/>
      <c r="R348" s="49"/>
      <c r="S348" s="49"/>
      <c r="T348" s="49"/>
      <c r="U348" s="49"/>
      <c r="V348" s="49"/>
      <c r="W348" s="49"/>
      <c r="X348" s="49"/>
      <c r="Y348" s="49"/>
      <c r="Z348" s="49"/>
    </row>
    <row r="349">
      <c r="A349" s="49"/>
      <c r="B349" s="49"/>
      <c r="C349" s="49"/>
      <c r="D349" s="49"/>
      <c r="E349" s="106"/>
      <c r="F349" s="49"/>
      <c r="G349" s="49"/>
      <c r="H349" s="49"/>
      <c r="I349" s="49"/>
      <c r="J349" s="49"/>
      <c r="K349" s="49"/>
      <c r="L349" s="49"/>
      <c r="M349" s="49"/>
      <c r="N349" s="49"/>
      <c r="O349" s="49"/>
      <c r="P349" s="49"/>
      <c r="Q349" s="49"/>
      <c r="R349" s="49"/>
      <c r="S349" s="49"/>
      <c r="T349" s="49"/>
      <c r="U349" s="49"/>
      <c r="V349" s="49"/>
      <c r="W349" s="49"/>
      <c r="X349" s="49"/>
      <c r="Y349" s="49"/>
      <c r="Z349" s="49"/>
    </row>
    <row r="350">
      <c r="A350" s="49"/>
      <c r="B350" s="49"/>
      <c r="C350" s="49"/>
      <c r="D350" s="49"/>
      <c r="E350" s="106"/>
      <c r="F350" s="49"/>
      <c r="G350" s="49"/>
      <c r="H350" s="49"/>
      <c r="I350" s="49"/>
      <c r="J350" s="49"/>
      <c r="K350" s="49"/>
      <c r="L350" s="49"/>
      <c r="M350" s="49"/>
      <c r="N350" s="49"/>
      <c r="O350" s="49"/>
      <c r="P350" s="49"/>
      <c r="Q350" s="49"/>
      <c r="R350" s="49"/>
      <c r="S350" s="49"/>
      <c r="T350" s="49"/>
      <c r="U350" s="49"/>
      <c r="V350" s="49"/>
      <c r="W350" s="49"/>
      <c r="X350" s="49"/>
      <c r="Y350" s="49"/>
      <c r="Z350" s="49"/>
    </row>
    <row r="351">
      <c r="A351" s="49"/>
      <c r="B351" s="49"/>
      <c r="C351" s="49"/>
      <c r="D351" s="49"/>
      <c r="E351" s="106"/>
      <c r="F351" s="49"/>
      <c r="G351" s="49"/>
      <c r="H351" s="49"/>
      <c r="I351" s="49"/>
      <c r="J351" s="49"/>
      <c r="K351" s="49"/>
      <c r="L351" s="49"/>
      <c r="M351" s="49"/>
      <c r="N351" s="49"/>
      <c r="O351" s="49"/>
      <c r="P351" s="49"/>
      <c r="Q351" s="49"/>
      <c r="R351" s="49"/>
      <c r="S351" s="49"/>
      <c r="T351" s="49"/>
      <c r="U351" s="49"/>
      <c r="V351" s="49"/>
      <c r="W351" s="49"/>
      <c r="X351" s="49"/>
      <c r="Y351" s="49"/>
      <c r="Z351" s="49"/>
    </row>
    <row r="352">
      <c r="A352" s="49"/>
      <c r="B352" s="49"/>
      <c r="C352" s="49"/>
      <c r="D352" s="49"/>
      <c r="E352" s="106"/>
      <c r="F352" s="49"/>
      <c r="G352" s="49"/>
      <c r="H352" s="49"/>
      <c r="I352" s="49"/>
      <c r="J352" s="49"/>
      <c r="K352" s="49"/>
      <c r="L352" s="49"/>
      <c r="M352" s="49"/>
      <c r="N352" s="49"/>
      <c r="O352" s="49"/>
      <c r="P352" s="49"/>
      <c r="Q352" s="49"/>
      <c r="R352" s="49"/>
      <c r="S352" s="49"/>
      <c r="T352" s="49"/>
      <c r="U352" s="49"/>
      <c r="V352" s="49"/>
      <c r="W352" s="49"/>
      <c r="X352" s="49"/>
      <c r="Y352" s="49"/>
      <c r="Z352" s="49"/>
    </row>
    <row r="353">
      <c r="A353" s="49"/>
      <c r="B353" s="49"/>
      <c r="C353" s="49"/>
      <c r="D353" s="49"/>
      <c r="E353" s="106"/>
      <c r="F353" s="49"/>
      <c r="G353" s="49"/>
      <c r="H353" s="49"/>
      <c r="I353" s="49"/>
      <c r="J353" s="49"/>
      <c r="K353" s="49"/>
      <c r="L353" s="49"/>
      <c r="M353" s="49"/>
      <c r="N353" s="49"/>
      <c r="O353" s="49"/>
      <c r="P353" s="49"/>
      <c r="Q353" s="49"/>
      <c r="R353" s="49"/>
      <c r="S353" s="49"/>
      <c r="T353" s="49"/>
      <c r="U353" s="49"/>
      <c r="V353" s="49"/>
      <c r="W353" s="49"/>
      <c r="X353" s="49"/>
      <c r="Y353" s="49"/>
      <c r="Z353" s="49"/>
    </row>
    <row r="354">
      <c r="A354" s="49"/>
      <c r="B354" s="49"/>
      <c r="C354" s="49"/>
      <c r="D354" s="49"/>
      <c r="E354" s="106"/>
      <c r="F354" s="49"/>
      <c r="G354" s="49"/>
      <c r="H354" s="49"/>
      <c r="I354" s="49"/>
      <c r="J354" s="49"/>
      <c r="K354" s="49"/>
      <c r="L354" s="49"/>
      <c r="M354" s="49"/>
      <c r="N354" s="49"/>
      <c r="O354" s="49"/>
      <c r="P354" s="49"/>
      <c r="Q354" s="49"/>
      <c r="R354" s="49"/>
      <c r="S354" s="49"/>
      <c r="T354" s="49"/>
      <c r="U354" s="49"/>
      <c r="V354" s="49"/>
      <c r="W354" s="49"/>
      <c r="X354" s="49"/>
      <c r="Y354" s="49"/>
      <c r="Z354" s="49"/>
    </row>
    <row r="355">
      <c r="A355" s="49"/>
      <c r="B355" s="49"/>
      <c r="C355" s="49"/>
      <c r="D355" s="49"/>
      <c r="E355" s="106"/>
      <c r="F355" s="49"/>
      <c r="G355" s="49"/>
      <c r="H355" s="49"/>
      <c r="I355" s="49"/>
      <c r="J355" s="49"/>
      <c r="K355" s="49"/>
      <c r="L355" s="49"/>
      <c r="M355" s="49"/>
      <c r="N355" s="49"/>
      <c r="O355" s="49"/>
      <c r="P355" s="49"/>
      <c r="Q355" s="49"/>
      <c r="R355" s="49"/>
      <c r="S355" s="49"/>
      <c r="T355" s="49"/>
      <c r="U355" s="49"/>
      <c r="V355" s="49"/>
      <c r="W355" s="49"/>
      <c r="X355" s="49"/>
      <c r="Y355" s="49"/>
      <c r="Z355" s="49"/>
    </row>
    <row r="356">
      <c r="A356" s="49"/>
      <c r="B356" s="49"/>
      <c r="C356" s="49"/>
      <c r="D356" s="49"/>
      <c r="E356" s="106"/>
      <c r="F356" s="49"/>
      <c r="G356" s="49"/>
      <c r="H356" s="49"/>
      <c r="I356" s="49"/>
      <c r="J356" s="49"/>
      <c r="K356" s="49"/>
      <c r="L356" s="49"/>
      <c r="M356" s="49"/>
      <c r="N356" s="49"/>
      <c r="O356" s="49"/>
      <c r="P356" s="49"/>
      <c r="Q356" s="49"/>
      <c r="R356" s="49"/>
      <c r="S356" s="49"/>
      <c r="T356" s="49"/>
      <c r="U356" s="49"/>
      <c r="V356" s="49"/>
      <c r="W356" s="49"/>
      <c r="X356" s="49"/>
      <c r="Y356" s="49"/>
      <c r="Z356" s="49"/>
    </row>
    <row r="357">
      <c r="A357" s="49"/>
      <c r="B357" s="49"/>
      <c r="C357" s="49"/>
      <c r="D357" s="49"/>
      <c r="E357" s="106"/>
      <c r="F357" s="49"/>
      <c r="G357" s="49"/>
      <c r="H357" s="49"/>
      <c r="I357" s="49"/>
      <c r="J357" s="49"/>
      <c r="K357" s="49"/>
      <c r="L357" s="49"/>
      <c r="M357" s="49"/>
      <c r="N357" s="49"/>
      <c r="O357" s="49"/>
      <c r="P357" s="49"/>
      <c r="Q357" s="49"/>
      <c r="R357" s="49"/>
      <c r="S357" s="49"/>
      <c r="T357" s="49"/>
      <c r="U357" s="49"/>
      <c r="V357" s="49"/>
      <c r="W357" s="49"/>
      <c r="X357" s="49"/>
      <c r="Y357" s="49"/>
      <c r="Z357" s="49"/>
    </row>
    <row r="358">
      <c r="A358" s="49"/>
      <c r="B358" s="49"/>
      <c r="C358" s="49"/>
      <c r="D358" s="49"/>
      <c r="E358" s="106"/>
      <c r="F358" s="49"/>
      <c r="G358" s="49"/>
      <c r="H358" s="49"/>
      <c r="I358" s="49"/>
      <c r="J358" s="49"/>
      <c r="K358" s="49"/>
      <c r="L358" s="49"/>
      <c r="M358" s="49"/>
      <c r="N358" s="49"/>
      <c r="O358" s="49"/>
      <c r="P358" s="49"/>
      <c r="Q358" s="49"/>
      <c r="R358" s="49"/>
      <c r="S358" s="49"/>
      <c r="T358" s="49"/>
      <c r="U358" s="49"/>
      <c r="V358" s="49"/>
      <c r="W358" s="49"/>
      <c r="X358" s="49"/>
      <c r="Y358" s="49"/>
      <c r="Z358" s="49"/>
    </row>
    <row r="359">
      <c r="A359" s="49"/>
      <c r="B359" s="49"/>
      <c r="C359" s="49"/>
      <c r="D359" s="49"/>
      <c r="E359" s="106"/>
      <c r="F359" s="49"/>
      <c r="G359" s="49"/>
      <c r="H359" s="49"/>
      <c r="I359" s="49"/>
      <c r="J359" s="49"/>
      <c r="K359" s="49"/>
      <c r="L359" s="49"/>
      <c r="M359" s="49"/>
      <c r="N359" s="49"/>
      <c r="O359" s="49"/>
      <c r="P359" s="49"/>
      <c r="Q359" s="49"/>
      <c r="R359" s="49"/>
      <c r="S359" s="49"/>
      <c r="T359" s="49"/>
      <c r="U359" s="49"/>
      <c r="V359" s="49"/>
      <c r="W359" s="49"/>
      <c r="X359" s="49"/>
      <c r="Y359" s="49"/>
      <c r="Z359" s="49"/>
    </row>
    <row r="360">
      <c r="A360" s="49"/>
      <c r="B360" s="49"/>
      <c r="C360" s="49"/>
      <c r="D360" s="49"/>
      <c r="E360" s="106"/>
      <c r="F360" s="49"/>
      <c r="G360" s="49"/>
      <c r="H360" s="49"/>
      <c r="I360" s="49"/>
      <c r="J360" s="49"/>
      <c r="K360" s="49"/>
      <c r="L360" s="49"/>
      <c r="M360" s="49"/>
      <c r="N360" s="49"/>
      <c r="O360" s="49"/>
      <c r="P360" s="49"/>
      <c r="Q360" s="49"/>
      <c r="R360" s="49"/>
      <c r="S360" s="49"/>
      <c r="T360" s="49"/>
      <c r="U360" s="49"/>
      <c r="V360" s="49"/>
      <c r="W360" s="49"/>
      <c r="X360" s="49"/>
      <c r="Y360" s="49"/>
      <c r="Z360" s="49"/>
    </row>
    <row r="361">
      <c r="A361" s="49"/>
      <c r="B361" s="49"/>
      <c r="C361" s="49"/>
      <c r="D361" s="49"/>
      <c r="E361" s="106"/>
      <c r="F361" s="49"/>
      <c r="G361" s="49"/>
      <c r="H361" s="49"/>
      <c r="I361" s="49"/>
      <c r="J361" s="49"/>
      <c r="K361" s="49"/>
      <c r="L361" s="49"/>
      <c r="M361" s="49"/>
      <c r="N361" s="49"/>
      <c r="O361" s="49"/>
      <c r="P361" s="49"/>
      <c r="Q361" s="49"/>
      <c r="R361" s="49"/>
      <c r="S361" s="49"/>
      <c r="T361" s="49"/>
      <c r="U361" s="49"/>
      <c r="V361" s="49"/>
      <c r="W361" s="49"/>
      <c r="X361" s="49"/>
      <c r="Y361" s="49"/>
      <c r="Z361" s="49"/>
    </row>
    <row r="362">
      <c r="A362" s="49"/>
      <c r="B362" s="49"/>
      <c r="C362" s="49"/>
      <c r="D362" s="49"/>
      <c r="E362" s="106"/>
      <c r="F362" s="49"/>
      <c r="G362" s="49"/>
      <c r="H362" s="49"/>
      <c r="I362" s="49"/>
      <c r="J362" s="49"/>
      <c r="K362" s="49"/>
      <c r="L362" s="49"/>
      <c r="M362" s="49"/>
      <c r="N362" s="49"/>
      <c r="O362" s="49"/>
      <c r="P362" s="49"/>
      <c r="Q362" s="49"/>
      <c r="R362" s="49"/>
      <c r="S362" s="49"/>
      <c r="T362" s="49"/>
      <c r="U362" s="49"/>
      <c r="V362" s="49"/>
      <c r="W362" s="49"/>
      <c r="X362" s="49"/>
      <c r="Y362" s="49"/>
      <c r="Z362" s="49"/>
    </row>
    <row r="363">
      <c r="A363" s="49"/>
      <c r="B363" s="49"/>
      <c r="C363" s="49"/>
      <c r="D363" s="49"/>
      <c r="E363" s="106"/>
      <c r="F363" s="49"/>
      <c r="G363" s="49"/>
      <c r="H363" s="49"/>
      <c r="I363" s="49"/>
      <c r="J363" s="49"/>
      <c r="K363" s="49"/>
      <c r="L363" s="49"/>
      <c r="M363" s="49"/>
      <c r="N363" s="49"/>
      <c r="O363" s="49"/>
      <c r="P363" s="49"/>
      <c r="Q363" s="49"/>
      <c r="R363" s="49"/>
      <c r="S363" s="49"/>
      <c r="T363" s="49"/>
      <c r="U363" s="49"/>
      <c r="V363" s="49"/>
      <c r="W363" s="49"/>
      <c r="X363" s="49"/>
      <c r="Y363" s="49"/>
      <c r="Z363" s="49"/>
    </row>
    <row r="364">
      <c r="A364" s="49"/>
      <c r="B364" s="49"/>
      <c r="C364" s="49"/>
      <c r="D364" s="49"/>
      <c r="E364" s="106"/>
      <c r="F364" s="49"/>
      <c r="G364" s="49"/>
      <c r="H364" s="49"/>
      <c r="I364" s="49"/>
      <c r="J364" s="49"/>
      <c r="K364" s="49"/>
      <c r="L364" s="49"/>
      <c r="M364" s="49"/>
      <c r="N364" s="49"/>
      <c r="O364" s="49"/>
      <c r="P364" s="49"/>
      <c r="Q364" s="49"/>
      <c r="R364" s="49"/>
      <c r="S364" s="49"/>
      <c r="T364" s="49"/>
      <c r="U364" s="49"/>
      <c r="V364" s="49"/>
      <c r="W364" s="49"/>
      <c r="X364" s="49"/>
      <c r="Y364" s="49"/>
      <c r="Z364" s="49"/>
    </row>
    <row r="365">
      <c r="A365" s="49"/>
      <c r="B365" s="49"/>
      <c r="C365" s="49"/>
      <c r="D365" s="49"/>
      <c r="E365" s="106"/>
      <c r="F365" s="49"/>
      <c r="G365" s="49"/>
      <c r="H365" s="49"/>
      <c r="I365" s="49"/>
      <c r="J365" s="49"/>
      <c r="K365" s="49"/>
      <c r="L365" s="49"/>
      <c r="M365" s="49"/>
      <c r="N365" s="49"/>
      <c r="O365" s="49"/>
      <c r="P365" s="49"/>
      <c r="Q365" s="49"/>
      <c r="R365" s="49"/>
      <c r="S365" s="49"/>
      <c r="T365" s="49"/>
      <c r="U365" s="49"/>
      <c r="V365" s="49"/>
      <c r="W365" s="49"/>
      <c r="X365" s="49"/>
      <c r="Y365" s="49"/>
      <c r="Z365" s="49"/>
    </row>
    <row r="366">
      <c r="A366" s="49"/>
      <c r="B366" s="49"/>
      <c r="C366" s="49"/>
      <c r="D366" s="49"/>
      <c r="E366" s="106"/>
      <c r="F366" s="49"/>
      <c r="G366" s="49"/>
      <c r="H366" s="49"/>
      <c r="I366" s="49"/>
      <c r="J366" s="49"/>
      <c r="K366" s="49"/>
      <c r="L366" s="49"/>
      <c r="M366" s="49"/>
      <c r="N366" s="49"/>
      <c r="O366" s="49"/>
      <c r="P366" s="49"/>
      <c r="Q366" s="49"/>
      <c r="R366" s="49"/>
      <c r="S366" s="49"/>
      <c r="T366" s="49"/>
      <c r="U366" s="49"/>
      <c r="V366" s="49"/>
      <c r="W366" s="49"/>
      <c r="X366" s="49"/>
      <c r="Y366" s="49"/>
      <c r="Z366" s="49"/>
    </row>
    <row r="367">
      <c r="A367" s="49"/>
      <c r="B367" s="49"/>
      <c r="C367" s="49"/>
      <c r="D367" s="49"/>
      <c r="E367" s="106"/>
      <c r="F367" s="49"/>
      <c r="G367" s="49"/>
      <c r="H367" s="49"/>
      <c r="I367" s="49"/>
      <c r="J367" s="49"/>
      <c r="K367" s="49"/>
      <c r="L367" s="49"/>
      <c r="M367" s="49"/>
      <c r="N367" s="49"/>
      <c r="O367" s="49"/>
      <c r="P367" s="49"/>
      <c r="Q367" s="49"/>
      <c r="R367" s="49"/>
      <c r="S367" s="49"/>
      <c r="T367" s="49"/>
      <c r="U367" s="49"/>
      <c r="V367" s="49"/>
      <c r="W367" s="49"/>
      <c r="X367" s="49"/>
      <c r="Y367" s="49"/>
      <c r="Z367" s="49"/>
    </row>
    <row r="368">
      <c r="A368" s="49"/>
      <c r="B368" s="49"/>
      <c r="C368" s="49"/>
      <c r="D368" s="49"/>
      <c r="E368" s="106"/>
      <c r="F368" s="49"/>
      <c r="G368" s="49"/>
      <c r="H368" s="49"/>
      <c r="I368" s="49"/>
      <c r="J368" s="49"/>
      <c r="K368" s="49"/>
      <c r="L368" s="49"/>
      <c r="M368" s="49"/>
      <c r="N368" s="49"/>
      <c r="O368" s="49"/>
      <c r="P368" s="49"/>
      <c r="Q368" s="49"/>
      <c r="R368" s="49"/>
      <c r="S368" s="49"/>
      <c r="T368" s="49"/>
      <c r="U368" s="49"/>
      <c r="V368" s="49"/>
      <c r="W368" s="49"/>
      <c r="X368" s="49"/>
      <c r="Y368" s="49"/>
      <c r="Z368" s="49"/>
    </row>
    <row r="369">
      <c r="A369" s="49"/>
      <c r="B369" s="49"/>
      <c r="C369" s="49"/>
      <c r="D369" s="49"/>
      <c r="E369" s="106"/>
      <c r="F369" s="49"/>
      <c r="G369" s="49"/>
      <c r="H369" s="49"/>
      <c r="I369" s="49"/>
      <c r="J369" s="49"/>
      <c r="K369" s="49"/>
      <c r="L369" s="49"/>
      <c r="M369" s="49"/>
      <c r="N369" s="49"/>
      <c r="O369" s="49"/>
      <c r="P369" s="49"/>
      <c r="Q369" s="49"/>
      <c r="R369" s="49"/>
      <c r="S369" s="49"/>
      <c r="T369" s="49"/>
      <c r="U369" s="49"/>
      <c r="V369" s="49"/>
      <c r="W369" s="49"/>
      <c r="X369" s="49"/>
      <c r="Y369" s="49"/>
      <c r="Z369" s="49"/>
    </row>
    <row r="370">
      <c r="A370" s="49"/>
      <c r="B370" s="49"/>
      <c r="C370" s="49"/>
      <c r="D370" s="49"/>
      <c r="E370" s="106"/>
      <c r="F370" s="49"/>
      <c r="G370" s="49"/>
      <c r="H370" s="49"/>
      <c r="I370" s="49"/>
      <c r="J370" s="49"/>
      <c r="K370" s="49"/>
      <c r="L370" s="49"/>
      <c r="M370" s="49"/>
      <c r="N370" s="49"/>
      <c r="O370" s="49"/>
      <c r="P370" s="49"/>
      <c r="Q370" s="49"/>
      <c r="R370" s="49"/>
      <c r="S370" s="49"/>
      <c r="T370" s="49"/>
      <c r="U370" s="49"/>
      <c r="V370" s="49"/>
      <c r="W370" s="49"/>
      <c r="X370" s="49"/>
      <c r="Y370" s="49"/>
      <c r="Z370" s="49"/>
    </row>
    <row r="371">
      <c r="A371" s="49"/>
      <c r="B371" s="49"/>
      <c r="C371" s="49"/>
      <c r="D371" s="49"/>
      <c r="E371" s="106"/>
      <c r="F371" s="49"/>
      <c r="G371" s="49"/>
      <c r="H371" s="49"/>
      <c r="I371" s="49"/>
      <c r="J371" s="49"/>
      <c r="K371" s="49"/>
      <c r="L371" s="49"/>
      <c r="M371" s="49"/>
      <c r="N371" s="49"/>
      <c r="O371" s="49"/>
      <c r="P371" s="49"/>
      <c r="Q371" s="49"/>
      <c r="R371" s="49"/>
      <c r="S371" s="49"/>
      <c r="T371" s="49"/>
      <c r="U371" s="49"/>
      <c r="V371" s="49"/>
      <c r="W371" s="49"/>
      <c r="X371" s="49"/>
      <c r="Y371" s="49"/>
      <c r="Z371" s="49"/>
    </row>
    <row r="372">
      <c r="A372" s="49"/>
      <c r="B372" s="49"/>
      <c r="C372" s="49"/>
      <c r="D372" s="49"/>
      <c r="E372" s="106"/>
      <c r="F372" s="49"/>
      <c r="G372" s="49"/>
      <c r="H372" s="49"/>
      <c r="I372" s="49"/>
      <c r="J372" s="49"/>
      <c r="K372" s="49"/>
      <c r="L372" s="49"/>
      <c r="M372" s="49"/>
      <c r="N372" s="49"/>
      <c r="O372" s="49"/>
      <c r="P372" s="49"/>
      <c r="Q372" s="49"/>
      <c r="R372" s="49"/>
      <c r="S372" s="49"/>
      <c r="T372" s="49"/>
      <c r="U372" s="49"/>
      <c r="V372" s="49"/>
      <c r="W372" s="49"/>
      <c r="X372" s="49"/>
      <c r="Y372" s="49"/>
      <c r="Z372" s="49"/>
    </row>
    <row r="373">
      <c r="A373" s="49"/>
      <c r="B373" s="49"/>
      <c r="C373" s="49"/>
      <c r="D373" s="49"/>
      <c r="E373" s="106"/>
      <c r="F373" s="49"/>
      <c r="G373" s="49"/>
      <c r="H373" s="49"/>
      <c r="I373" s="49"/>
      <c r="J373" s="49"/>
      <c r="K373" s="49"/>
      <c r="L373" s="49"/>
      <c r="M373" s="49"/>
      <c r="N373" s="49"/>
      <c r="O373" s="49"/>
      <c r="P373" s="49"/>
      <c r="Q373" s="49"/>
      <c r="R373" s="49"/>
      <c r="S373" s="49"/>
      <c r="T373" s="49"/>
      <c r="U373" s="49"/>
      <c r="V373" s="49"/>
      <c r="W373" s="49"/>
      <c r="X373" s="49"/>
      <c r="Y373" s="49"/>
      <c r="Z373" s="49"/>
    </row>
    <row r="374">
      <c r="A374" s="49"/>
      <c r="B374" s="49"/>
      <c r="C374" s="49"/>
      <c r="D374" s="49"/>
      <c r="E374" s="106"/>
      <c r="F374" s="49"/>
      <c r="G374" s="49"/>
      <c r="H374" s="49"/>
      <c r="I374" s="49"/>
      <c r="J374" s="49"/>
      <c r="K374" s="49"/>
      <c r="L374" s="49"/>
      <c r="M374" s="49"/>
      <c r="N374" s="49"/>
      <c r="O374" s="49"/>
      <c r="P374" s="49"/>
      <c r="Q374" s="49"/>
      <c r="R374" s="49"/>
      <c r="S374" s="49"/>
      <c r="T374" s="49"/>
      <c r="U374" s="49"/>
      <c r="V374" s="49"/>
      <c r="W374" s="49"/>
      <c r="X374" s="49"/>
      <c r="Y374" s="49"/>
      <c r="Z374" s="49"/>
    </row>
    <row r="375">
      <c r="A375" s="49"/>
      <c r="B375" s="49"/>
      <c r="C375" s="49"/>
      <c r="D375" s="49"/>
      <c r="E375" s="106"/>
      <c r="F375" s="49"/>
      <c r="G375" s="49"/>
      <c r="H375" s="49"/>
      <c r="I375" s="49"/>
      <c r="J375" s="49"/>
      <c r="K375" s="49"/>
      <c r="L375" s="49"/>
      <c r="M375" s="49"/>
      <c r="N375" s="49"/>
      <c r="O375" s="49"/>
      <c r="P375" s="49"/>
      <c r="Q375" s="49"/>
      <c r="R375" s="49"/>
      <c r="S375" s="49"/>
      <c r="T375" s="49"/>
      <c r="U375" s="49"/>
      <c r="V375" s="49"/>
      <c r="W375" s="49"/>
      <c r="X375" s="49"/>
      <c r="Y375" s="49"/>
      <c r="Z375" s="49"/>
    </row>
    <row r="376">
      <c r="A376" s="49"/>
      <c r="B376" s="49"/>
      <c r="C376" s="49"/>
      <c r="D376" s="49"/>
      <c r="E376" s="106"/>
      <c r="F376" s="49"/>
      <c r="G376" s="49"/>
      <c r="H376" s="49"/>
      <c r="I376" s="49"/>
      <c r="J376" s="49"/>
      <c r="K376" s="49"/>
      <c r="L376" s="49"/>
      <c r="M376" s="49"/>
      <c r="N376" s="49"/>
      <c r="O376" s="49"/>
      <c r="P376" s="49"/>
      <c r="Q376" s="49"/>
      <c r="R376" s="49"/>
      <c r="S376" s="49"/>
      <c r="T376" s="49"/>
      <c r="U376" s="49"/>
      <c r="V376" s="49"/>
      <c r="W376" s="49"/>
      <c r="X376" s="49"/>
      <c r="Y376" s="49"/>
      <c r="Z376" s="49"/>
    </row>
    <row r="377">
      <c r="A377" s="49"/>
      <c r="B377" s="49"/>
      <c r="C377" s="49"/>
      <c r="D377" s="49"/>
      <c r="E377" s="106"/>
      <c r="F377" s="49"/>
      <c r="G377" s="49"/>
      <c r="H377" s="49"/>
      <c r="I377" s="49"/>
      <c r="J377" s="49"/>
      <c r="K377" s="49"/>
      <c r="L377" s="49"/>
      <c r="M377" s="49"/>
      <c r="N377" s="49"/>
      <c r="O377" s="49"/>
      <c r="P377" s="49"/>
      <c r="Q377" s="49"/>
      <c r="R377" s="49"/>
      <c r="S377" s="49"/>
      <c r="T377" s="49"/>
      <c r="U377" s="49"/>
      <c r="V377" s="49"/>
      <c r="W377" s="49"/>
      <c r="X377" s="49"/>
      <c r="Y377" s="49"/>
      <c r="Z377" s="49"/>
    </row>
    <row r="378">
      <c r="A378" s="49"/>
      <c r="B378" s="49"/>
      <c r="C378" s="49"/>
      <c r="D378" s="49"/>
      <c r="E378" s="106"/>
      <c r="F378" s="49"/>
      <c r="G378" s="49"/>
      <c r="H378" s="49"/>
      <c r="I378" s="49"/>
      <c r="J378" s="49"/>
      <c r="K378" s="49"/>
      <c r="L378" s="49"/>
      <c r="M378" s="49"/>
      <c r="N378" s="49"/>
      <c r="O378" s="49"/>
      <c r="P378" s="49"/>
      <c r="Q378" s="49"/>
      <c r="R378" s="49"/>
      <c r="S378" s="49"/>
      <c r="T378" s="49"/>
      <c r="U378" s="49"/>
      <c r="V378" s="49"/>
      <c r="W378" s="49"/>
      <c r="X378" s="49"/>
      <c r="Y378" s="49"/>
      <c r="Z378" s="49"/>
    </row>
    <row r="379">
      <c r="A379" s="49"/>
      <c r="B379" s="49"/>
      <c r="C379" s="49"/>
      <c r="D379" s="49"/>
      <c r="E379" s="106"/>
      <c r="F379" s="49"/>
      <c r="G379" s="49"/>
      <c r="H379" s="49"/>
      <c r="I379" s="49"/>
      <c r="J379" s="49"/>
      <c r="K379" s="49"/>
      <c r="L379" s="49"/>
      <c r="M379" s="49"/>
      <c r="N379" s="49"/>
      <c r="O379" s="49"/>
      <c r="P379" s="49"/>
      <c r="Q379" s="49"/>
      <c r="R379" s="49"/>
      <c r="S379" s="49"/>
      <c r="T379" s="49"/>
      <c r="U379" s="49"/>
      <c r="V379" s="49"/>
      <c r="W379" s="49"/>
      <c r="X379" s="49"/>
      <c r="Y379" s="49"/>
      <c r="Z379" s="49"/>
    </row>
    <row r="380">
      <c r="A380" s="49"/>
      <c r="B380" s="49"/>
      <c r="C380" s="49"/>
      <c r="D380" s="49"/>
      <c r="E380" s="106"/>
      <c r="F380" s="49"/>
      <c r="G380" s="49"/>
      <c r="H380" s="49"/>
      <c r="I380" s="49"/>
      <c r="J380" s="49"/>
      <c r="K380" s="49"/>
      <c r="L380" s="49"/>
      <c r="M380" s="49"/>
      <c r="N380" s="49"/>
      <c r="O380" s="49"/>
      <c r="P380" s="49"/>
      <c r="Q380" s="49"/>
      <c r="R380" s="49"/>
      <c r="S380" s="49"/>
      <c r="T380" s="49"/>
      <c r="U380" s="49"/>
      <c r="V380" s="49"/>
      <c r="W380" s="49"/>
      <c r="X380" s="49"/>
      <c r="Y380" s="49"/>
      <c r="Z380" s="49"/>
    </row>
    <row r="381">
      <c r="A381" s="49"/>
      <c r="B381" s="49"/>
      <c r="C381" s="49"/>
      <c r="D381" s="49"/>
      <c r="E381" s="106"/>
      <c r="F381" s="49"/>
      <c r="G381" s="49"/>
      <c r="H381" s="49"/>
      <c r="I381" s="49"/>
      <c r="J381" s="49"/>
      <c r="K381" s="49"/>
      <c r="L381" s="49"/>
      <c r="M381" s="49"/>
      <c r="N381" s="49"/>
      <c r="O381" s="49"/>
      <c r="P381" s="49"/>
      <c r="Q381" s="49"/>
      <c r="R381" s="49"/>
      <c r="S381" s="49"/>
      <c r="T381" s="49"/>
      <c r="U381" s="49"/>
      <c r="V381" s="49"/>
      <c r="W381" s="49"/>
      <c r="X381" s="49"/>
      <c r="Y381" s="49"/>
      <c r="Z381" s="49"/>
    </row>
    <row r="382">
      <c r="A382" s="49"/>
      <c r="B382" s="49"/>
      <c r="C382" s="49"/>
      <c r="D382" s="49"/>
      <c r="E382" s="106"/>
      <c r="F382" s="49"/>
      <c r="G382" s="49"/>
      <c r="H382" s="49"/>
      <c r="I382" s="49"/>
      <c r="J382" s="49"/>
      <c r="K382" s="49"/>
      <c r="L382" s="49"/>
      <c r="M382" s="49"/>
      <c r="N382" s="49"/>
      <c r="O382" s="49"/>
      <c r="P382" s="49"/>
      <c r="Q382" s="49"/>
      <c r="R382" s="49"/>
      <c r="S382" s="49"/>
      <c r="T382" s="49"/>
      <c r="U382" s="49"/>
      <c r="V382" s="49"/>
      <c r="W382" s="49"/>
      <c r="X382" s="49"/>
      <c r="Y382" s="49"/>
      <c r="Z382" s="49"/>
    </row>
    <row r="383">
      <c r="A383" s="49"/>
      <c r="B383" s="49"/>
      <c r="C383" s="49"/>
      <c r="D383" s="49"/>
      <c r="E383" s="106"/>
      <c r="F383" s="49"/>
      <c r="G383" s="49"/>
      <c r="H383" s="49"/>
      <c r="I383" s="49"/>
      <c r="J383" s="49"/>
      <c r="K383" s="49"/>
      <c r="L383" s="49"/>
      <c r="M383" s="49"/>
      <c r="N383" s="49"/>
      <c r="O383" s="49"/>
      <c r="P383" s="49"/>
      <c r="Q383" s="49"/>
      <c r="R383" s="49"/>
      <c r="S383" s="49"/>
      <c r="T383" s="49"/>
      <c r="U383" s="49"/>
      <c r="V383" s="49"/>
      <c r="W383" s="49"/>
      <c r="X383" s="49"/>
      <c r="Y383" s="49"/>
      <c r="Z383" s="49"/>
    </row>
    <row r="384">
      <c r="A384" s="49"/>
      <c r="B384" s="49"/>
      <c r="C384" s="49"/>
      <c r="D384" s="49"/>
      <c r="E384" s="106"/>
      <c r="F384" s="49"/>
      <c r="G384" s="49"/>
      <c r="H384" s="49"/>
      <c r="I384" s="49"/>
      <c r="J384" s="49"/>
      <c r="K384" s="49"/>
      <c r="L384" s="49"/>
      <c r="M384" s="49"/>
      <c r="N384" s="49"/>
      <c r="O384" s="49"/>
      <c r="P384" s="49"/>
      <c r="Q384" s="49"/>
      <c r="R384" s="49"/>
      <c r="S384" s="49"/>
      <c r="T384" s="49"/>
      <c r="U384" s="49"/>
      <c r="V384" s="49"/>
      <c r="W384" s="49"/>
      <c r="X384" s="49"/>
      <c r="Y384" s="49"/>
      <c r="Z384" s="49"/>
    </row>
    <row r="385">
      <c r="A385" s="49"/>
      <c r="B385" s="49"/>
      <c r="C385" s="49"/>
      <c r="D385" s="49"/>
      <c r="E385" s="106"/>
      <c r="F385" s="49"/>
      <c r="G385" s="49"/>
      <c r="H385" s="49"/>
      <c r="I385" s="49"/>
      <c r="J385" s="49"/>
      <c r="K385" s="49"/>
      <c r="L385" s="49"/>
      <c r="M385" s="49"/>
      <c r="N385" s="49"/>
      <c r="O385" s="49"/>
      <c r="P385" s="49"/>
      <c r="Q385" s="49"/>
      <c r="R385" s="49"/>
      <c r="S385" s="49"/>
      <c r="T385" s="49"/>
      <c r="U385" s="49"/>
      <c r="V385" s="49"/>
      <c r="W385" s="49"/>
      <c r="X385" s="49"/>
      <c r="Y385" s="49"/>
      <c r="Z385" s="49"/>
    </row>
    <row r="386">
      <c r="A386" s="49"/>
      <c r="B386" s="49"/>
      <c r="C386" s="49"/>
      <c r="D386" s="49"/>
      <c r="E386" s="106"/>
      <c r="F386" s="49"/>
      <c r="G386" s="49"/>
      <c r="H386" s="49"/>
      <c r="I386" s="49"/>
      <c r="J386" s="49"/>
      <c r="K386" s="49"/>
      <c r="L386" s="49"/>
      <c r="M386" s="49"/>
      <c r="N386" s="49"/>
      <c r="O386" s="49"/>
      <c r="P386" s="49"/>
      <c r="Q386" s="49"/>
      <c r="R386" s="49"/>
      <c r="S386" s="49"/>
      <c r="T386" s="49"/>
      <c r="U386" s="49"/>
      <c r="V386" s="49"/>
      <c r="W386" s="49"/>
      <c r="X386" s="49"/>
      <c r="Y386" s="49"/>
      <c r="Z386" s="49"/>
    </row>
    <row r="387">
      <c r="A387" s="49"/>
      <c r="B387" s="49"/>
      <c r="C387" s="49"/>
      <c r="D387" s="49"/>
      <c r="E387" s="106"/>
      <c r="F387" s="49"/>
      <c r="G387" s="49"/>
      <c r="H387" s="49"/>
      <c r="I387" s="49"/>
      <c r="J387" s="49"/>
      <c r="K387" s="49"/>
      <c r="L387" s="49"/>
      <c r="M387" s="49"/>
      <c r="N387" s="49"/>
      <c r="O387" s="49"/>
      <c r="P387" s="49"/>
      <c r="Q387" s="49"/>
      <c r="R387" s="49"/>
      <c r="S387" s="49"/>
      <c r="T387" s="49"/>
      <c r="U387" s="49"/>
      <c r="V387" s="49"/>
      <c r="W387" s="49"/>
      <c r="X387" s="49"/>
      <c r="Y387" s="49"/>
      <c r="Z387" s="49"/>
    </row>
    <row r="388">
      <c r="A388" s="49"/>
      <c r="B388" s="49"/>
      <c r="C388" s="49"/>
      <c r="D388" s="49"/>
      <c r="E388" s="106"/>
      <c r="F388" s="49"/>
      <c r="G388" s="49"/>
      <c r="H388" s="49"/>
      <c r="I388" s="49"/>
      <c r="J388" s="49"/>
      <c r="K388" s="49"/>
      <c r="L388" s="49"/>
      <c r="M388" s="49"/>
      <c r="N388" s="49"/>
      <c r="O388" s="49"/>
      <c r="P388" s="49"/>
      <c r="Q388" s="49"/>
      <c r="R388" s="49"/>
      <c r="S388" s="49"/>
      <c r="T388" s="49"/>
      <c r="U388" s="49"/>
      <c r="V388" s="49"/>
      <c r="W388" s="49"/>
      <c r="X388" s="49"/>
      <c r="Y388" s="49"/>
      <c r="Z388" s="49"/>
    </row>
    <row r="389">
      <c r="A389" s="49"/>
      <c r="B389" s="49"/>
      <c r="C389" s="49"/>
      <c r="D389" s="49"/>
      <c r="E389" s="106"/>
      <c r="F389" s="49"/>
      <c r="G389" s="49"/>
      <c r="H389" s="49"/>
      <c r="I389" s="49"/>
      <c r="J389" s="49"/>
      <c r="K389" s="49"/>
      <c r="L389" s="49"/>
      <c r="M389" s="49"/>
      <c r="N389" s="49"/>
      <c r="O389" s="49"/>
      <c r="P389" s="49"/>
      <c r="Q389" s="49"/>
      <c r="R389" s="49"/>
      <c r="S389" s="49"/>
      <c r="T389" s="49"/>
      <c r="U389" s="49"/>
      <c r="V389" s="49"/>
      <c r="W389" s="49"/>
      <c r="X389" s="49"/>
      <c r="Y389" s="49"/>
      <c r="Z389" s="49"/>
    </row>
    <row r="390">
      <c r="A390" s="49"/>
      <c r="B390" s="49"/>
      <c r="C390" s="49"/>
      <c r="D390" s="49"/>
      <c r="E390" s="106"/>
      <c r="F390" s="49"/>
      <c r="G390" s="49"/>
      <c r="H390" s="49"/>
      <c r="I390" s="49"/>
      <c r="J390" s="49"/>
      <c r="K390" s="49"/>
      <c r="L390" s="49"/>
      <c r="M390" s="49"/>
      <c r="N390" s="49"/>
      <c r="O390" s="49"/>
      <c r="P390" s="49"/>
      <c r="Q390" s="49"/>
      <c r="R390" s="49"/>
      <c r="S390" s="49"/>
      <c r="T390" s="49"/>
      <c r="U390" s="49"/>
      <c r="V390" s="49"/>
      <c r="W390" s="49"/>
      <c r="X390" s="49"/>
      <c r="Y390" s="49"/>
      <c r="Z390" s="49"/>
    </row>
    <row r="391">
      <c r="A391" s="49"/>
      <c r="B391" s="49"/>
      <c r="C391" s="49"/>
      <c r="D391" s="49"/>
      <c r="E391" s="106"/>
      <c r="F391" s="49"/>
      <c r="G391" s="49"/>
      <c r="H391" s="49"/>
      <c r="I391" s="49"/>
      <c r="J391" s="49"/>
      <c r="K391" s="49"/>
      <c r="L391" s="49"/>
      <c r="M391" s="49"/>
      <c r="N391" s="49"/>
      <c r="O391" s="49"/>
      <c r="P391" s="49"/>
      <c r="Q391" s="49"/>
      <c r="R391" s="49"/>
      <c r="S391" s="49"/>
      <c r="T391" s="49"/>
      <c r="U391" s="49"/>
      <c r="V391" s="49"/>
      <c r="W391" s="49"/>
      <c r="X391" s="49"/>
      <c r="Y391" s="49"/>
      <c r="Z391" s="49"/>
    </row>
    <row r="392">
      <c r="A392" s="49"/>
      <c r="B392" s="49"/>
      <c r="C392" s="49"/>
      <c r="D392" s="49"/>
      <c r="E392" s="106"/>
      <c r="F392" s="49"/>
      <c r="G392" s="49"/>
      <c r="H392" s="49"/>
      <c r="I392" s="49"/>
      <c r="J392" s="49"/>
      <c r="K392" s="49"/>
      <c r="L392" s="49"/>
      <c r="M392" s="49"/>
      <c r="N392" s="49"/>
      <c r="O392" s="49"/>
      <c r="P392" s="49"/>
      <c r="Q392" s="49"/>
      <c r="R392" s="49"/>
      <c r="S392" s="49"/>
      <c r="T392" s="49"/>
      <c r="U392" s="49"/>
      <c r="V392" s="49"/>
      <c r="W392" s="49"/>
      <c r="X392" s="49"/>
      <c r="Y392" s="49"/>
      <c r="Z392" s="49"/>
    </row>
    <row r="393">
      <c r="A393" s="49"/>
      <c r="B393" s="49"/>
      <c r="C393" s="49"/>
      <c r="D393" s="49"/>
      <c r="E393" s="106"/>
      <c r="F393" s="49"/>
      <c r="G393" s="49"/>
      <c r="H393" s="49"/>
      <c r="I393" s="49"/>
      <c r="J393" s="49"/>
      <c r="K393" s="49"/>
      <c r="L393" s="49"/>
      <c r="M393" s="49"/>
      <c r="N393" s="49"/>
      <c r="O393" s="49"/>
      <c r="P393" s="49"/>
      <c r="Q393" s="49"/>
      <c r="R393" s="49"/>
      <c r="S393" s="49"/>
      <c r="T393" s="49"/>
      <c r="U393" s="49"/>
      <c r="V393" s="49"/>
      <c r="W393" s="49"/>
      <c r="X393" s="49"/>
      <c r="Y393" s="49"/>
      <c r="Z393" s="49"/>
    </row>
    <row r="394">
      <c r="A394" s="49"/>
      <c r="B394" s="49"/>
      <c r="C394" s="49"/>
      <c r="D394" s="49"/>
      <c r="E394" s="106"/>
      <c r="F394" s="49"/>
      <c r="G394" s="49"/>
      <c r="H394" s="49"/>
      <c r="I394" s="49"/>
      <c r="J394" s="49"/>
      <c r="K394" s="49"/>
      <c r="L394" s="49"/>
      <c r="M394" s="49"/>
      <c r="N394" s="49"/>
      <c r="O394" s="49"/>
      <c r="P394" s="49"/>
      <c r="Q394" s="49"/>
      <c r="R394" s="49"/>
      <c r="S394" s="49"/>
      <c r="T394" s="49"/>
      <c r="U394" s="49"/>
      <c r="V394" s="49"/>
      <c r="W394" s="49"/>
      <c r="X394" s="49"/>
      <c r="Y394" s="49"/>
      <c r="Z394" s="49"/>
    </row>
    <row r="395">
      <c r="A395" s="49"/>
      <c r="B395" s="49"/>
      <c r="C395" s="49"/>
      <c r="D395" s="49"/>
      <c r="E395" s="106"/>
      <c r="F395" s="49"/>
      <c r="G395" s="49"/>
      <c r="H395" s="49"/>
      <c r="I395" s="49"/>
      <c r="J395" s="49"/>
      <c r="K395" s="49"/>
      <c r="L395" s="49"/>
      <c r="M395" s="49"/>
      <c r="N395" s="49"/>
      <c r="O395" s="49"/>
      <c r="P395" s="49"/>
      <c r="Q395" s="49"/>
      <c r="R395" s="49"/>
      <c r="S395" s="49"/>
      <c r="T395" s="49"/>
      <c r="U395" s="49"/>
      <c r="V395" s="49"/>
      <c r="W395" s="49"/>
      <c r="X395" s="49"/>
      <c r="Y395" s="49"/>
      <c r="Z395" s="49"/>
    </row>
    <row r="396">
      <c r="A396" s="49"/>
      <c r="B396" s="49"/>
      <c r="C396" s="49"/>
      <c r="D396" s="49"/>
      <c r="E396" s="106"/>
      <c r="F396" s="49"/>
      <c r="G396" s="49"/>
      <c r="H396" s="49"/>
      <c r="I396" s="49"/>
      <c r="J396" s="49"/>
      <c r="K396" s="49"/>
      <c r="L396" s="49"/>
      <c r="M396" s="49"/>
      <c r="N396" s="49"/>
      <c r="O396" s="49"/>
      <c r="P396" s="49"/>
      <c r="Q396" s="49"/>
      <c r="R396" s="49"/>
      <c r="S396" s="49"/>
      <c r="T396" s="49"/>
      <c r="U396" s="49"/>
      <c r="V396" s="49"/>
      <c r="W396" s="49"/>
      <c r="X396" s="49"/>
      <c r="Y396" s="49"/>
      <c r="Z396" s="49"/>
    </row>
    <row r="397">
      <c r="A397" s="49"/>
      <c r="B397" s="49"/>
      <c r="C397" s="49"/>
      <c r="D397" s="49"/>
      <c r="E397" s="106"/>
      <c r="F397" s="49"/>
      <c r="G397" s="49"/>
      <c r="H397" s="49"/>
      <c r="I397" s="49"/>
      <c r="J397" s="49"/>
      <c r="K397" s="49"/>
      <c r="L397" s="49"/>
      <c r="M397" s="49"/>
      <c r="N397" s="49"/>
      <c r="O397" s="49"/>
      <c r="P397" s="49"/>
      <c r="Q397" s="49"/>
      <c r="R397" s="49"/>
      <c r="S397" s="49"/>
      <c r="T397" s="49"/>
      <c r="U397" s="49"/>
      <c r="V397" s="49"/>
      <c r="W397" s="49"/>
      <c r="X397" s="49"/>
      <c r="Y397" s="49"/>
      <c r="Z397" s="49"/>
    </row>
    <row r="398">
      <c r="A398" s="49"/>
      <c r="B398" s="49"/>
      <c r="C398" s="49"/>
      <c r="D398" s="49"/>
      <c r="E398" s="106"/>
      <c r="F398" s="49"/>
      <c r="G398" s="49"/>
      <c r="H398" s="49"/>
      <c r="I398" s="49"/>
      <c r="J398" s="49"/>
      <c r="K398" s="49"/>
      <c r="L398" s="49"/>
      <c r="M398" s="49"/>
      <c r="N398" s="49"/>
      <c r="O398" s="49"/>
      <c r="P398" s="49"/>
      <c r="Q398" s="49"/>
      <c r="R398" s="49"/>
      <c r="S398" s="49"/>
      <c r="T398" s="49"/>
      <c r="U398" s="49"/>
      <c r="V398" s="49"/>
      <c r="W398" s="49"/>
      <c r="X398" s="49"/>
      <c r="Y398" s="49"/>
      <c r="Z398" s="49"/>
    </row>
    <row r="399">
      <c r="A399" s="49"/>
      <c r="B399" s="49"/>
      <c r="C399" s="49"/>
      <c r="D399" s="49"/>
      <c r="E399" s="106"/>
      <c r="F399" s="49"/>
      <c r="G399" s="49"/>
      <c r="H399" s="49"/>
      <c r="I399" s="49"/>
      <c r="J399" s="49"/>
      <c r="K399" s="49"/>
      <c r="L399" s="49"/>
      <c r="M399" s="49"/>
      <c r="N399" s="49"/>
      <c r="O399" s="49"/>
      <c r="P399" s="49"/>
      <c r="Q399" s="49"/>
      <c r="R399" s="49"/>
      <c r="S399" s="49"/>
      <c r="T399" s="49"/>
      <c r="U399" s="49"/>
      <c r="V399" s="49"/>
      <c r="W399" s="49"/>
      <c r="X399" s="49"/>
      <c r="Y399" s="49"/>
      <c r="Z399" s="49"/>
    </row>
    <row r="400">
      <c r="A400" s="49"/>
      <c r="B400" s="49"/>
      <c r="C400" s="49"/>
      <c r="D400" s="49"/>
      <c r="E400" s="106"/>
      <c r="F400" s="49"/>
      <c r="G400" s="49"/>
      <c r="H400" s="49"/>
      <c r="I400" s="49"/>
      <c r="J400" s="49"/>
      <c r="K400" s="49"/>
      <c r="L400" s="49"/>
      <c r="M400" s="49"/>
      <c r="N400" s="49"/>
      <c r="O400" s="49"/>
      <c r="P400" s="49"/>
      <c r="Q400" s="49"/>
      <c r="R400" s="49"/>
      <c r="S400" s="49"/>
      <c r="T400" s="49"/>
      <c r="U400" s="49"/>
      <c r="V400" s="49"/>
      <c r="W400" s="49"/>
      <c r="X400" s="49"/>
      <c r="Y400" s="49"/>
      <c r="Z400" s="49"/>
    </row>
    <row r="401">
      <c r="A401" s="49"/>
      <c r="B401" s="49"/>
      <c r="C401" s="49"/>
      <c r="D401" s="49"/>
      <c r="E401" s="106"/>
      <c r="F401" s="49"/>
      <c r="G401" s="49"/>
      <c r="H401" s="49"/>
      <c r="I401" s="49"/>
      <c r="J401" s="49"/>
      <c r="K401" s="49"/>
      <c r="L401" s="49"/>
      <c r="M401" s="49"/>
      <c r="N401" s="49"/>
      <c r="O401" s="49"/>
      <c r="P401" s="49"/>
      <c r="Q401" s="49"/>
      <c r="R401" s="49"/>
      <c r="S401" s="49"/>
      <c r="T401" s="49"/>
      <c r="U401" s="49"/>
      <c r="V401" s="49"/>
      <c r="W401" s="49"/>
      <c r="X401" s="49"/>
      <c r="Y401" s="49"/>
      <c r="Z401" s="49"/>
    </row>
    <row r="402">
      <c r="A402" s="49"/>
      <c r="B402" s="49"/>
      <c r="C402" s="49"/>
      <c r="D402" s="49"/>
      <c r="E402" s="106"/>
      <c r="F402" s="49"/>
      <c r="G402" s="49"/>
      <c r="H402" s="49"/>
      <c r="I402" s="49"/>
      <c r="J402" s="49"/>
      <c r="K402" s="49"/>
      <c r="L402" s="49"/>
      <c r="M402" s="49"/>
      <c r="N402" s="49"/>
      <c r="O402" s="49"/>
      <c r="P402" s="49"/>
      <c r="Q402" s="49"/>
      <c r="R402" s="49"/>
      <c r="S402" s="49"/>
      <c r="T402" s="49"/>
      <c r="U402" s="49"/>
      <c r="V402" s="49"/>
      <c r="W402" s="49"/>
      <c r="X402" s="49"/>
      <c r="Y402" s="49"/>
      <c r="Z402" s="49"/>
    </row>
    <row r="403">
      <c r="A403" s="49"/>
      <c r="B403" s="49"/>
      <c r="C403" s="49"/>
      <c r="D403" s="49"/>
      <c r="E403" s="106"/>
      <c r="F403" s="49"/>
      <c r="G403" s="49"/>
      <c r="H403" s="49"/>
      <c r="I403" s="49"/>
      <c r="J403" s="49"/>
      <c r="K403" s="49"/>
      <c r="L403" s="49"/>
      <c r="M403" s="49"/>
      <c r="N403" s="49"/>
      <c r="O403" s="49"/>
      <c r="P403" s="49"/>
      <c r="Q403" s="49"/>
      <c r="R403" s="49"/>
      <c r="S403" s="49"/>
      <c r="T403" s="49"/>
      <c r="U403" s="49"/>
      <c r="V403" s="49"/>
      <c r="W403" s="49"/>
      <c r="X403" s="49"/>
      <c r="Y403" s="49"/>
      <c r="Z403" s="49"/>
    </row>
    <row r="404">
      <c r="A404" s="49"/>
      <c r="B404" s="49"/>
      <c r="C404" s="49"/>
      <c r="D404" s="49"/>
      <c r="E404" s="106"/>
      <c r="F404" s="49"/>
      <c r="G404" s="49"/>
      <c r="H404" s="49"/>
      <c r="I404" s="49"/>
      <c r="J404" s="49"/>
      <c r="K404" s="49"/>
      <c r="L404" s="49"/>
      <c r="M404" s="49"/>
      <c r="N404" s="49"/>
      <c r="O404" s="49"/>
      <c r="P404" s="49"/>
      <c r="Q404" s="49"/>
      <c r="R404" s="49"/>
      <c r="S404" s="49"/>
      <c r="T404" s="49"/>
      <c r="U404" s="49"/>
      <c r="V404" s="49"/>
      <c r="W404" s="49"/>
      <c r="X404" s="49"/>
      <c r="Y404" s="49"/>
      <c r="Z404" s="49"/>
    </row>
    <row r="405">
      <c r="A405" s="49"/>
      <c r="B405" s="49"/>
      <c r="C405" s="49"/>
      <c r="D405" s="49"/>
      <c r="E405" s="106"/>
      <c r="F405" s="49"/>
      <c r="G405" s="49"/>
      <c r="H405" s="49"/>
      <c r="I405" s="49"/>
      <c r="J405" s="49"/>
      <c r="K405" s="49"/>
      <c r="L405" s="49"/>
      <c r="M405" s="49"/>
      <c r="N405" s="49"/>
      <c r="O405" s="49"/>
      <c r="P405" s="49"/>
      <c r="Q405" s="49"/>
      <c r="R405" s="49"/>
      <c r="S405" s="49"/>
      <c r="T405" s="49"/>
      <c r="U405" s="49"/>
      <c r="V405" s="49"/>
      <c r="W405" s="49"/>
      <c r="X405" s="49"/>
      <c r="Y405" s="49"/>
      <c r="Z405" s="49"/>
    </row>
    <row r="406">
      <c r="A406" s="49"/>
      <c r="B406" s="49"/>
      <c r="C406" s="49"/>
      <c r="D406" s="49"/>
      <c r="E406" s="106"/>
      <c r="F406" s="49"/>
      <c r="G406" s="49"/>
      <c r="H406" s="49"/>
      <c r="I406" s="49"/>
      <c r="J406" s="49"/>
      <c r="K406" s="49"/>
      <c r="L406" s="49"/>
      <c r="M406" s="49"/>
      <c r="N406" s="49"/>
      <c r="O406" s="49"/>
      <c r="P406" s="49"/>
      <c r="Q406" s="49"/>
      <c r="R406" s="49"/>
      <c r="S406" s="49"/>
      <c r="T406" s="49"/>
      <c r="U406" s="49"/>
      <c r="V406" s="49"/>
      <c r="W406" s="49"/>
      <c r="X406" s="49"/>
      <c r="Y406" s="49"/>
      <c r="Z406" s="49"/>
    </row>
    <row r="407">
      <c r="A407" s="49"/>
      <c r="B407" s="49"/>
      <c r="C407" s="49"/>
      <c r="D407" s="49"/>
      <c r="E407" s="106"/>
      <c r="F407" s="49"/>
      <c r="G407" s="49"/>
      <c r="H407" s="49"/>
      <c r="I407" s="49"/>
      <c r="J407" s="49"/>
      <c r="K407" s="49"/>
      <c r="L407" s="49"/>
      <c r="M407" s="49"/>
      <c r="N407" s="49"/>
      <c r="O407" s="49"/>
      <c r="P407" s="49"/>
      <c r="Q407" s="49"/>
      <c r="R407" s="49"/>
      <c r="S407" s="49"/>
      <c r="T407" s="49"/>
      <c r="U407" s="49"/>
      <c r="V407" s="49"/>
      <c r="W407" s="49"/>
      <c r="X407" s="49"/>
      <c r="Y407" s="49"/>
      <c r="Z407" s="49"/>
    </row>
    <row r="408">
      <c r="A408" s="49"/>
      <c r="B408" s="49"/>
      <c r="C408" s="49"/>
      <c r="D408" s="49"/>
      <c r="E408" s="106"/>
      <c r="F408" s="49"/>
      <c r="G408" s="49"/>
      <c r="H408" s="49"/>
      <c r="I408" s="49"/>
      <c r="J408" s="49"/>
      <c r="K408" s="49"/>
      <c r="L408" s="49"/>
      <c r="M408" s="49"/>
      <c r="N408" s="49"/>
      <c r="O408" s="49"/>
      <c r="P408" s="49"/>
      <c r="Q408" s="49"/>
      <c r="R408" s="49"/>
      <c r="S408" s="49"/>
      <c r="T408" s="49"/>
      <c r="U408" s="49"/>
      <c r="V408" s="49"/>
      <c r="W408" s="49"/>
      <c r="X408" s="49"/>
      <c r="Y408" s="49"/>
      <c r="Z408" s="49"/>
    </row>
    <row r="409">
      <c r="A409" s="49"/>
      <c r="B409" s="49"/>
      <c r="C409" s="49"/>
      <c r="D409" s="49"/>
      <c r="E409" s="106"/>
      <c r="F409" s="49"/>
      <c r="G409" s="49"/>
      <c r="H409" s="49"/>
      <c r="I409" s="49"/>
      <c r="J409" s="49"/>
      <c r="K409" s="49"/>
      <c r="L409" s="49"/>
      <c r="M409" s="49"/>
      <c r="N409" s="49"/>
      <c r="O409" s="49"/>
      <c r="P409" s="49"/>
      <c r="Q409" s="49"/>
      <c r="R409" s="49"/>
      <c r="S409" s="49"/>
      <c r="T409" s="49"/>
      <c r="U409" s="49"/>
      <c r="V409" s="49"/>
      <c r="W409" s="49"/>
      <c r="X409" s="49"/>
      <c r="Y409" s="49"/>
      <c r="Z409" s="49"/>
    </row>
    <row r="410">
      <c r="A410" s="49"/>
      <c r="B410" s="49"/>
      <c r="C410" s="49"/>
      <c r="D410" s="49"/>
      <c r="E410" s="106"/>
      <c r="F410" s="49"/>
      <c r="G410" s="49"/>
      <c r="H410" s="49"/>
      <c r="I410" s="49"/>
      <c r="J410" s="49"/>
      <c r="K410" s="49"/>
      <c r="L410" s="49"/>
      <c r="M410" s="49"/>
      <c r="N410" s="49"/>
      <c r="O410" s="49"/>
      <c r="P410" s="49"/>
      <c r="Q410" s="49"/>
      <c r="R410" s="49"/>
      <c r="S410" s="49"/>
      <c r="T410" s="49"/>
      <c r="U410" s="49"/>
      <c r="V410" s="49"/>
      <c r="W410" s="49"/>
      <c r="X410" s="49"/>
      <c r="Y410" s="49"/>
      <c r="Z410" s="49"/>
    </row>
    <row r="411">
      <c r="A411" s="49"/>
      <c r="B411" s="49"/>
      <c r="C411" s="49"/>
      <c r="D411" s="49"/>
      <c r="E411" s="106"/>
      <c r="F411" s="49"/>
      <c r="G411" s="49"/>
      <c r="H411" s="49"/>
      <c r="I411" s="49"/>
      <c r="J411" s="49"/>
      <c r="K411" s="49"/>
      <c r="L411" s="49"/>
      <c r="M411" s="49"/>
      <c r="N411" s="49"/>
      <c r="O411" s="49"/>
      <c r="P411" s="49"/>
      <c r="Q411" s="49"/>
      <c r="R411" s="49"/>
      <c r="S411" s="49"/>
      <c r="T411" s="49"/>
      <c r="U411" s="49"/>
      <c r="V411" s="49"/>
      <c r="W411" s="49"/>
      <c r="X411" s="49"/>
      <c r="Y411" s="49"/>
      <c r="Z411" s="49"/>
    </row>
    <row r="412">
      <c r="A412" s="49"/>
      <c r="B412" s="49"/>
      <c r="C412" s="49"/>
      <c r="D412" s="49"/>
      <c r="E412" s="106"/>
      <c r="F412" s="49"/>
      <c r="G412" s="49"/>
      <c r="H412" s="49"/>
      <c r="I412" s="49"/>
      <c r="J412" s="49"/>
      <c r="K412" s="49"/>
      <c r="L412" s="49"/>
      <c r="M412" s="49"/>
      <c r="N412" s="49"/>
      <c r="O412" s="49"/>
      <c r="P412" s="49"/>
      <c r="Q412" s="49"/>
      <c r="R412" s="49"/>
      <c r="S412" s="49"/>
      <c r="T412" s="49"/>
      <c r="U412" s="49"/>
      <c r="V412" s="49"/>
      <c r="W412" s="49"/>
      <c r="X412" s="49"/>
      <c r="Y412" s="49"/>
      <c r="Z412" s="49"/>
    </row>
    <row r="413">
      <c r="A413" s="49"/>
      <c r="B413" s="49"/>
      <c r="C413" s="49"/>
      <c r="D413" s="49"/>
      <c r="E413" s="106"/>
      <c r="F413" s="49"/>
      <c r="G413" s="49"/>
      <c r="H413" s="49"/>
      <c r="I413" s="49"/>
      <c r="J413" s="49"/>
      <c r="K413" s="49"/>
      <c r="L413" s="49"/>
      <c r="M413" s="49"/>
      <c r="N413" s="49"/>
      <c r="O413" s="49"/>
      <c r="P413" s="49"/>
      <c r="Q413" s="49"/>
      <c r="R413" s="49"/>
      <c r="S413" s="49"/>
      <c r="T413" s="49"/>
      <c r="U413" s="49"/>
      <c r="V413" s="49"/>
      <c r="W413" s="49"/>
      <c r="X413" s="49"/>
      <c r="Y413" s="49"/>
      <c r="Z413" s="49"/>
    </row>
    <row r="414">
      <c r="A414" s="49"/>
      <c r="B414" s="49"/>
      <c r="C414" s="49"/>
      <c r="D414" s="49"/>
      <c r="E414" s="106"/>
      <c r="F414" s="49"/>
      <c r="G414" s="49"/>
      <c r="H414" s="49"/>
      <c r="I414" s="49"/>
      <c r="J414" s="49"/>
      <c r="K414" s="49"/>
      <c r="L414" s="49"/>
      <c r="M414" s="49"/>
      <c r="N414" s="49"/>
      <c r="O414" s="49"/>
      <c r="P414" s="49"/>
      <c r="Q414" s="49"/>
      <c r="R414" s="49"/>
      <c r="S414" s="49"/>
      <c r="T414" s="49"/>
      <c r="U414" s="49"/>
      <c r="V414" s="49"/>
      <c r="W414" s="49"/>
      <c r="X414" s="49"/>
      <c r="Y414" s="49"/>
      <c r="Z414" s="49"/>
    </row>
    <row r="415">
      <c r="A415" s="49"/>
      <c r="B415" s="49"/>
      <c r="C415" s="49"/>
      <c r="D415" s="49"/>
      <c r="E415" s="106"/>
      <c r="F415" s="49"/>
      <c r="G415" s="49"/>
      <c r="H415" s="49"/>
      <c r="I415" s="49"/>
      <c r="J415" s="49"/>
      <c r="K415" s="49"/>
      <c r="L415" s="49"/>
      <c r="M415" s="49"/>
      <c r="N415" s="49"/>
      <c r="O415" s="49"/>
      <c r="P415" s="49"/>
      <c r="Q415" s="49"/>
      <c r="R415" s="49"/>
      <c r="S415" s="49"/>
      <c r="T415" s="49"/>
      <c r="U415" s="49"/>
      <c r="V415" s="49"/>
      <c r="W415" s="49"/>
      <c r="X415" s="49"/>
      <c r="Y415" s="49"/>
      <c r="Z415" s="49"/>
    </row>
    <row r="416">
      <c r="A416" s="49"/>
      <c r="B416" s="49"/>
      <c r="C416" s="49"/>
      <c r="D416" s="49"/>
      <c r="E416" s="106"/>
      <c r="F416" s="49"/>
      <c r="G416" s="49"/>
      <c r="H416" s="49"/>
      <c r="I416" s="49"/>
      <c r="J416" s="49"/>
      <c r="K416" s="49"/>
      <c r="L416" s="49"/>
      <c r="M416" s="49"/>
      <c r="N416" s="49"/>
      <c r="O416" s="49"/>
      <c r="P416" s="49"/>
      <c r="Q416" s="49"/>
      <c r="R416" s="49"/>
      <c r="S416" s="49"/>
      <c r="T416" s="49"/>
      <c r="U416" s="49"/>
      <c r="V416" s="49"/>
      <c r="W416" s="49"/>
      <c r="X416" s="49"/>
      <c r="Y416" s="49"/>
      <c r="Z416" s="49"/>
    </row>
    <row r="417">
      <c r="A417" s="49"/>
      <c r="B417" s="49"/>
      <c r="C417" s="49"/>
      <c r="D417" s="49"/>
      <c r="E417" s="106"/>
      <c r="F417" s="49"/>
      <c r="G417" s="49"/>
      <c r="H417" s="49"/>
      <c r="I417" s="49"/>
      <c r="J417" s="49"/>
      <c r="K417" s="49"/>
      <c r="L417" s="49"/>
      <c r="M417" s="49"/>
      <c r="N417" s="49"/>
      <c r="O417" s="49"/>
      <c r="P417" s="49"/>
      <c r="Q417" s="49"/>
      <c r="R417" s="49"/>
      <c r="S417" s="49"/>
      <c r="T417" s="49"/>
      <c r="U417" s="49"/>
      <c r="V417" s="49"/>
      <c r="W417" s="49"/>
      <c r="X417" s="49"/>
      <c r="Y417" s="49"/>
      <c r="Z417" s="49"/>
    </row>
    <row r="418">
      <c r="A418" s="49"/>
      <c r="B418" s="49"/>
      <c r="C418" s="49"/>
      <c r="D418" s="49"/>
      <c r="E418" s="106"/>
      <c r="F418" s="49"/>
      <c r="G418" s="49"/>
      <c r="H418" s="49"/>
      <c r="I418" s="49"/>
      <c r="J418" s="49"/>
      <c r="K418" s="49"/>
      <c r="L418" s="49"/>
      <c r="M418" s="49"/>
      <c r="N418" s="49"/>
      <c r="O418" s="49"/>
      <c r="P418" s="49"/>
      <c r="Q418" s="49"/>
      <c r="R418" s="49"/>
      <c r="S418" s="49"/>
      <c r="T418" s="49"/>
      <c r="U418" s="49"/>
      <c r="V418" s="49"/>
      <c r="W418" s="49"/>
      <c r="X418" s="49"/>
      <c r="Y418" s="49"/>
      <c r="Z418" s="49"/>
    </row>
    <row r="419">
      <c r="A419" s="49"/>
      <c r="B419" s="49"/>
      <c r="C419" s="49"/>
      <c r="D419" s="49"/>
      <c r="E419" s="106"/>
      <c r="F419" s="49"/>
      <c r="G419" s="49"/>
      <c r="H419" s="49"/>
      <c r="I419" s="49"/>
      <c r="J419" s="49"/>
      <c r="K419" s="49"/>
      <c r="L419" s="49"/>
      <c r="M419" s="49"/>
      <c r="N419" s="49"/>
      <c r="O419" s="49"/>
      <c r="P419" s="49"/>
      <c r="Q419" s="49"/>
      <c r="R419" s="49"/>
      <c r="S419" s="49"/>
      <c r="T419" s="49"/>
      <c r="U419" s="49"/>
      <c r="V419" s="49"/>
      <c r="W419" s="49"/>
      <c r="X419" s="49"/>
      <c r="Y419" s="49"/>
      <c r="Z419" s="49"/>
    </row>
    <row r="420">
      <c r="A420" s="49"/>
      <c r="B420" s="49"/>
      <c r="C420" s="49"/>
      <c r="D420" s="49"/>
      <c r="E420" s="106"/>
      <c r="F420" s="49"/>
      <c r="G420" s="49"/>
      <c r="H420" s="49"/>
      <c r="I420" s="49"/>
      <c r="J420" s="49"/>
      <c r="K420" s="49"/>
      <c r="L420" s="49"/>
      <c r="M420" s="49"/>
      <c r="N420" s="49"/>
      <c r="O420" s="49"/>
      <c r="P420" s="49"/>
      <c r="Q420" s="49"/>
      <c r="R420" s="49"/>
      <c r="S420" s="49"/>
      <c r="T420" s="49"/>
      <c r="U420" s="49"/>
      <c r="V420" s="49"/>
      <c r="W420" s="49"/>
      <c r="X420" s="49"/>
      <c r="Y420" s="49"/>
      <c r="Z420" s="49"/>
    </row>
    <row r="421">
      <c r="A421" s="49"/>
      <c r="B421" s="49"/>
      <c r="C421" s="49"/>
      <c r="D421" s="49"/>
      <c r="E421" s="106"/>
      <c r="F421" s="49"/>
      <c r="G421" s="49"/>
      <c r="H421" s="49"/>
      <c r="I421" s="49"/>
      <c r="J421" s="49"/>
      <c r="K421" s="49"/>
      <c r="L421" s="49"/>
      <c r="M421" s="49"/>
      <c r="N421" s="49"/>
      <c r="O421" s="49"/>
      <c r="P421" s="49"/>
      <c r="Q421" s="49"/>
      <c r="R421" s="49"/>
      <c r="S421" s="49"/>
      <c r="T421" s="49"/>
      <c r="U421" s="49"/>
      <c r="V421" s="49"/>
      <c r="W421" s="49"/>
      <c r="X421" s="49"/>
      <c r="Y421" s="49"/>
      <c r="Z421" s="49"/>
    </row>
    <row r="422">
      <c r="A422" s="49"/>
      <c r="B422" s="49"/>
      <c r="C422" s="49"/>
      <c r="D422" s="49"/>
      <c r="E422" s="106"/>
      <c r="F422" s="49"/>
      <c r="G422" s="49"/>
      <c r="H422" s="49"/>
      <c r="I422" s="49"/>
      <c r="J422" s="49"/>
      <c r="K422" s="49"/>
      <c r="L422" s="49"/>
      <c r="M422" s="49"/>
      <c r="N422" s="49"/>
      <c r="O422" s="49"/>
      <c r="P422" s="49"/>
      <c r="Q422" s="49"/>
      <c r="R422" s="49"/>
      <c r="S422" s="49"/>
      <c r="T422" s="49"/>
      <c r="U422" s="49"/>
      <c r="V422" s="49"/>
      <c r="W422" s="49"/>
      <c r="X422" s="49"/>
      <c r="Y422" s="49"/>
      <c r="Z422" s="49"/>
    </row>
    <row r="423">
      <c r="A423" s="49"/>
      <c r="B423" s="49"/>
      <c r="C423" s="49"/>
      <c r="D423" s="49"/>
      <c r="E423" s="106"/>
      <c r="F423" s="49"/>
      <c r="G423" s="49"/>
      <c r="H423" s="49"/>
      <c r="I423" s="49"/>
      <c r="J423" s="49"/>
      <c r="K423" s="49"/>
      <c r="L423" s="49"/>
      <c r="M423" s="49"/>
      <c r="N423" s="49"/>
      <c r="O423" s="49"/>
      <c r="P423" s="49"/>
      <c r="Q423" s="49"/>
      <c r="R423" s="49"/>
      <c r="S423" s="49"/>
      <c r="T423" s="49"/>
      <c r="U423" s="49"/>
      <c r="V423" s="49"/>
      <c r="W423" s="49"/>
      <c r="X423" s="49"/>
      <c r="Y423" s="49"/>
      <c r="Z423" s="49"/>
    </row>
    <row r="424">
      <c r="A424" s="49"/>
      <c r="B424" s="49"/>
      <c r="C424" s="49"/>
      <c r="D424" s="49"/>
      <c r="E424" s="106"/>
      <c r="F424" s="49"/>
      <c r="G424" s="49"/>
      <c r="H424" s="49"/>
      <c r="I424" s="49"/>
      <c r="J424" s="49"/>
      <c r="K424" s="49"/>
      <c r="L424" s="49"/>
      <c r="M424" s="49"/>
      <c r="N424" s="49"/>
      <c r="O424" s="49"/>
      <c r="P424" s="49"/>
      <c r="Q424" s="49"/>
      <c r="R424" s="49"/>
      <c r="S424" s="49"/>
      <c r="T424" s="49"/>
      <c r="U424" s="49"/>
      <c r="V424" s="49"/>
      <c r="W424" s="49"/>
      <c r="X424" s="49"/>
      <c r="Y424" s="49"/>
      <c r="Z424" s="49"/>
    </row>
    <row r="425">
      <c r="A425" s="49"/>
      <c r="B425" s="49"/>
      <c r="C425" s="49"/>
      <c r="D425" s="49"/>
      <c r="E425" s="106"/>
      <c r="F425" s="49"/>
      <c r="G425" s="49"/>
      <c r="H425" s="49"/>
      <c r="I425" s="49"/>
      <c r="J425" s="49"/>
      <c r="K425" s="49"/>
      <c r="L425" s="49"/>
      <c r="M425" s="49"/>
      <c r="N425" s="49"/>
      <c r="O425" s="49"/>
      <c r="P425" s="49"/>
      <c r="Q425" s="49"/>
      <c r="R425" s="49"/>
      <c r="S425" s="49"/>
      <c r="T425" s="49"/>
      <c r="U425" s="49"/>
      <c r="V425" s="49"/>
      <c r="W425" s="49"/>
      <c r="X425" s="49"/>
      <c r="Y425" s="49"/>
      <c r="Z425" s="49"/>
    </row>
    <row r="426">
      <c r="A426" s="49"/>
      <c r="B426" s="49"/>
      <c r="C426" s="49"/>
      <c r="D426" s="49"/>
      <c r="E426" s="106"/>
      <c r="F426" s="49"/>
      <c r="G426" s="49"/>
      <c r="H426" s="49"/>
      <c r="I426" s="49"/>
      <c r="J426" s="49"/>
      <c r="K426" s="49"/>
      <c r="L426" s="49"/>
      <c r="M426" s="49"/>
      <c r="N426" s="49"/>
      <c r="O426" s="49"/>
      <c r="P426" s="49"/>
      <c r="Q426" s="49"/>
      <c r="R426" s="49"/>
      <c r="S426" s="49"/>
      <c r="T426" s="49"/>
      <c r="U426" s="49"/>
      <c r="V426" s="49"/>
      <c r="W426" s="49"/>
      <c r="X426" s="49"/>
      <c r="Y426" s="49"/>
      <c r="Z426" s="49"/>
    </row>
    <row r="427">
      <c r="A427" s="49"/>
      <c r="B427" s="49"/>
      <c r="C427" s="49"/>
      <c r="D427" s="49"/>
      <c r="E427" s="106"/>
      <c r="F427" s="49"/>
      <c r="G427" s="49"/>
      <c r="H427" s="49"/>
      <c r="I427" s="49"/>
      <c r="J427" s="49"/>
      <c r="K427" s="49"/>
      <c r="L427" s="49"/>
      <c r="M427" s="49"/>
      <c r="N427" s="49"/>
      <c r="O427" s="49"/>
      <c r="P427" s="49"/>
      <c r="Q427" s="49"/>
      <c r="R427" s="49"/>
      <c r="S427" s="49"/>
      <c r="T427" s="49"/>
      <c r="U427" s="49"/>
      <c r="V427" s="49"/>
      <c r="W427" s="49"/>
      <c r="X427" s="49"/>
      <c r="Y427" s="49"/>
      <c r="Z427" s="49"/>
    </row>
    <row r="428">
      <c r="A428" s="49"/>
      <c r="B428" s="49"/>
      <c r="C428" s="49"/>
      <c r="D428" s="49"/>
      <c r="E428" s="106"/>
      <c r="F428" s="49"/>
      <c r="G428" s="49"/>
      <c r="H428" s="49"/>
      <c r="I428" s="49"/>
      <c r="J428" s="49"/>
      <c r="K428" s="49"/>
      <c r="L428" s="49"/>
      <c r="M428" s="49"/>
      <c r="N428" s="49"/>
      <c r="O428" s="49"/>
      <c r="P428" s="49"/>
      <c r="Q428" s="49"/>
      <c r="R428" s="49"/>
      <c r="S428" s="49"/>
      <c r="T428" s="49"/>
      <c r="U428" s="49"/>
      <c r="V428" s="49"/>
      <c r="W428" s="49"/>
      <c r="X428" s="49"/>
      <c r="Y428" s="49"/>
      <c r="Z428" s="49"/>
    </row>
    <row r="429">
      <c r="A429" s="49"/>
      <c r="B429" s="49"/>
      <c r="C429" s="49"/>
      <c r="D429" s="49"/>
      <c r="E429" s="106"/>
      <c r="F429" s="49"/>
      <c r="G429" s="49"/>
      <c r="H429" s="49"/>
      <c r="I429" s="49"/>
      <c r="J429" s="49"/>
      <c r="K429" s="49"/>
      <c r="L429" s="49"/>
      <c r="M429" s="49"/>
      <c r="N429" s="49"/>
      <c r="O429" s="49"/>
      <c r="P429" s="49"/>
      <c r="Q429" s="49"/>
      <c r="R429" s="49"/>
      <c r="S429" s="49"/>
      <c r="T429" s="49"/>
      <c r="U429" s="49"/>
      <c r="V429" s="49"/>
      <c r="W429" s="49"/>
      <c r="X429" s="49"/>
      <c r="Y429" s="49"/>
      <c r="Z429" s="49"/>
    </row>
    <row r="430">
      <c r="A430" s="49"/>
      <c r="B430" s="49"/>
      <c r="C430" s="49"/>
      <c r="D430" s="49"/>
      <c r="E430" s="106"/>
      <c r="F430" s="49"/>
      <c r="G430" s="49"/>
      <c r="H430" s="49"/>
      <c r="I430" s="49"/>
      <c r="J430" s="49"/>
      <c r="K430" s="49"/>
      <c r="L430" s="49"/>
      <c r="M430" s="49"/>
      <c r="N430" s="49"/>
      <c r="O430" s="49"/>
      <c r="P430" s="49"/>
      <c r="Q430" s="49"/>
      <c r="R430" s="49"/>
      <c r="S430" s="49"/>
      <c r="T430" s="49"/>
      <c r="U430" s="49"/>
      <c r="V430" s="49"/>
      <c r="W430" s="49"/>
      <c r="X430" s="49"/>
      <c r="Y430" s="49"/>
      <c r="Z430" s="49"/>
    </row>
    <row r="431">
      <c r="A431" s="49"/>
      <c r="B431" s="49"/>
      <c r="C431" s="49"/>
      <c r="D431" s="49"/>
      <c r="E431" s="106"/>
      <c r="F431" s="49"/>
      <c r="G431" s="49"/>
      <c r="H431" s="49"/>
      <c r="I431" s="49"/>
      <c r="J431" s="49"/>
      <c r="K431" s="49"/>
      <c r="L431" s="49"/>
      <c r="M431" s="49"/>
      <c r="N431" s="49"/>
      <c r="O431" s="49"/>
      <c r="P431" s="49"/>
      <c r="Q431" s="49"/>
      <c r="R431" s="49"/>
      <c r="S431" s="49"/>
      <c r="T431" s="49"/>
      <c r="U431" s="49"/>
      <c r="V431" s="49"/>
      <c r="W431" s="49"/>
      <c r="X431" s="49"/>
      <c r="Y431" s="49"/>
      <c r="Z431" s="49"/>
    </row>
    <row r="432">
      <c r="A432" s="49"/>
      <c r="B432" s="49"/>
      <c r="C432" s="49"/>
      <c r="D432" s="49"/>
      <c r="E432" s="106"/>
      <c r="F432" s="49"/>
      <c r="G432" s="49"/>
      <c r="H432" s="49"/>
      <c r="I432" s="49"/>
      <c r="J432" s="49"/>
      <c r="K432" s="49"/>
      <c r="L432" s="49"/>
      <c r="M432" s="49"/>
      <c r="N432" s="49"/>
      <c r="O432" s="49"/>
      <c r="P432" s="49"/>
      <c r="Q432" s="49"/>
      <c r="R432" s="49"/>
      <c r="S432" s="49"/>
      <c r="T432" s="49"/>
      <c r="U432" s="49"/>
      <c r="V432" s="49"/>
      <c r="W432" s="49"/>
      <c r="X432" s="49"/>
      <c r="Y432" s="49"/>
      <c r="Z432" s="49"/>
    </row>
    <row r="433">
      <c r="A433" s="49"/>
      <c r="B433" s="49"/>
      <c r="C433" s="49"/>
      <c r="D433" s="49"/>
      <c r="E433" s="106"/>
      <c r="F433" s="49"/>
      <c r="G433" s="49"/>
      <c r="H433" s="49"/>
      <c r="I433" s="49"/>
      <c r="J433" s="49"/>
      <c r="K433" s="49"/>
      <c r="L433" s="49"/>
      <c r="M433" s="49"/>
      <c r="N433" s="49"/>
      <c r="O433" s="49"/>
      <c r="P433" s="49"/>
      <c r="Q433" s="49"/>
      <c r="R433" s="49"/>
      <c r="S433" s="49"/>
      <c r="T433" s="49"/>
      <c r="U433" s="49"/>
      <c r="V433" s="49"/>
      <c r="W433" s="49"/>
      <c r="X433" s="49"/>
      <c r="Y433" s="49"/>
      <c r="Z433" s="49"/>
    </row>
    <row r="434">
      <c r="A434" s="49"/>
      <c r="B434" s="49"/>
      <c r="C434" s="49"/>
      <c r="D434" s="49"/>
      <c r="E434" s="106"/>
      <c r="F434" s="49"/>
      <c r="G434" s="49"/>
      <c r="H434" s="49"/>
      <c r="I434" s="49"/>
      <c r="J434" s="49"/>
      <c r="K434" s="49"/>
      <c r="L434" s="49"/>
      <c r="M434" s="49"/>
      <c r="N434" s="49"/>
      <c r="O434" s="49"/>
      <c r="P434" s="49"/>
      <c r="Q434" s="49"/>
      <c r="R434" s="49"/>
      <c r="S434" s="49"/>
      <c r="T434" s="49"/>
      <c r="U434" s="49"/>
      <c r="V434" s="49"/>
      <c r="W434" s="49"/>
      <c r="X434" s="49"/>
      <c r="Y434" s="49"/>
      <c r="Z434" s="49"/>
    </row>
    <row r="435">
      <c r="A435" s="49"/>
      <c r="B435" s="49"/>
      <c r="C435" s="49"/>
      <c r="D435" s="49"/>
      <c r="E435" s="106"/>
      <c r="F435" s="49"/>
      <c r="G435" s="49"/>
      <c r="H435" s="49"/>
      <c r="I435" s="49"/>
      <c r="J435" s="49"/>
      <c r="K435" s="49"/>
      <c r="L435" s="49"/>
      <c r="M435" s="49"/>
      <c r="N435" s="49"/>
      <c r="O435" s="49"/>
      <c r="P435" s="49"/>
      <c r="Q435" s="49"/>
      <c r="R435" s="49"/>
      <c r="S435" s="49"/>
      <c r="T435" s="49"/>
      <c r="U435" s="49"/>
      <c r="V435" s="49"/>
      <c r="W435" s="49"/>
      <c r="X435" s="49"/>
      <c r="Y435" s="49"/>
      <c r="Z435" s="49"/>
    </row>
    <row r="436">
      <c r="A436" s="49"/>
      <c r="B436" s="49"/>
      <c r="C436" s="49"/>
      <c r="D436" s="49"/>
      <c r="E436" s="106"/>
      <c r="F436" s="49"/>
      <c r="G436" s="49"/>
      <c r="H436" s="49"/>
      <c r="I436" s="49"/>
      <c r="J436" s="49"/>
      <c r="K436" s="49"/>
      <c r="L436" s="49"/>
      <c r="M436" s="49"/>
      <c r="N436" s="49"/>
      <c r="O436" s="49"/>
      <c r="P436" s="49"/>
      <c r="Q436" s="49"/>
      <c r="R436" s="49"/>
      <c r="S436" s="49"/>
      <c r="T436" s="49"/>
      <c r="U436" s="49"/>
      <c r="V436" s="49"/>
      <c r="W436" s="49"/>
      <c r="X436" s="49"/>
      <c r="Y436" s="49"/>
      <c r="Z436" s="49"/>
    </row>
    <row r="437">
      <c r="A437" s="49"/>
      <c r="B437" s="49"/>
      <c r="C437" s="49"/>
      <c r="D437" s="49"/>
      <c r="E437" s="106"/>
      <c r="F437" s="49"/>
      <c r="G437" s="49"/>
      <c r="H437" s="49"/>
      <c r="I437" s="49"/>
      <c r="J437" s="49"/>
      <c r="K437" s="49"/>
      <c r="L437" s="49"/>
      <c r="M437" s="49"/>
      <c r="N437" s="49"/>
      <c r="O437" s="49"/>
      <c r="P437" s="49"/>
      <c r="Q437" s="49"/>
      <c r="R437" s="49"/>
      <c r="S437" s="49"/>
      <c r="T437" s="49"/>
      <c r="U437" s="49"/>
      <c r="V437" s="49"/>
      <c r="W437" s="49"/>
      <c r="X437" s="49"/>
      <c r="Y437" s="49"/>
      <c r="Z437" s="49"/>
    </row>
    <row r="438">
      <c r="A438" s="49"/>
      <c r="B438" s="49"/>
      <c r="C438" s="49"/>
      <c r="D438" s="49"/>
      <c r="E438" s="106"/>
      <c r="F438" s="49"/>
      <c r="G438" s="49"/>
      <c r="H438" s="49"/>
      <c r="I438" s="49"/>
      <c r="J438" s="49"/>
      <c r="K438" s="49"/>
      <c r="L438" s="49"/>
      <c r="M438" s="49"/>
      <c r="N438" s="49"/>
      <c r="O438" s="49"/>
      <c r="P438" s="49"/>
      <c r="Q438" s="49"/>
      <c r="R438" s="49"/>
      <c r="S438" s="49"/>
      <c r="T438" s="49"/>
      <c r="U438" s="49"/>
      <c r="V438" s="49"/>
      <c r="W438" s="49"/>
      <c r="X438" s="49"/>
      <c r="Y438" s="49"/>
      <c r="Z438" s="49"/>
    </row>
    <row r="439">
      <c r="A439" s="49"/>
      <c r="B439" s="49"/>
      <c r="C439" s="49"/>
      <c r="D439" s="49"/>
      <c r="E439" s="106"/>
      <c r="F439" s="49"/>
      <c r="G439" s="49"/>
      <c r="H439" s="49"/>
      <c r="I439" s="49"/>
      <c r="J439" s="49"/>
      <c r="K439" s="49"/>
      <c r="L439" s="49"/>
      <c r="M439" s="49"/>
      <c r="N439" s="49"/>
      <c r="O439" s="49"/>
      <c r="P439" s="49"/>
      <c r="Q439" s="49"/>
      <c r="R439" s="49"/>
      <c r="S439" s="49"/>
      <c r="T439" s="49"/>
      <c r="U439" s="49"/>
      <c r="V439" s="49"/>
      <c r="W439" s="49"/>
      <c r="X439" s="49"/>
      <c r="Y439" s="49"/>
      <c r="Z439" s="49"/>
    </row>
    <row r="440">
      <c r="A440" s="49"/>
      <c r="B440" s="49"/>
      <c r="C440" s="49"/>
      <c r="D440" s="49"/>
      <c r="E440" s="106"/>
      <c r="F440" s="49"/>
      <c r="G440" s="49"/>
      <c r="H440" s="49"/>
      <c r="I440" s="49"/>
      <c r="J440" s="49"/>
      <c r="K440" s="49"/>
      <c r="L440" s="49"/>
      <c r="M440" s="49"/>
      <c r="N440" s="49"/>
      <c r="O440" s="49"/>
      <c r="P440" s="49"/>
      <c r="Q440" s="49"/>
      <c r="R440" s="49"/>
      <c r="S440" s="49"/>
      <c r="T440" s="49"/>
      <c r="U440" s="49"/>
      <c r="V440" s="49"/>
      <c r="W440" s="49"/>
      <c r="X440" s="49"/>
      <c r="Y440" s="49"/>
      <c r="Z440" s="49"/>
    </row>
    <row r="441">
      <c r="A441" s="49"/>
      <c r="B441" s="49"/>
      <c r="C441" s="49"/>
      <c r="D441" s="49"/>
      <c r="E441" s="106"/>
      <c r="F441" s="49"/>
      <c r="G441" s="49"/>
      <c r="H441" s="49"/>
      <c r="I441" s="49"/>
      <c r="J441" s="49"/>
      <c r="K441" s="49"/>
      <c r="L441" s="49"/>
      <c r="M441" s="49"/>
      <c r="N441" s="49"/>
      <c r="O441" s="49"/>
      <c r="P441" s="49"/>
      <c r="Q441" s="49"/>
      <c r="R441" s="49"/>
      <c r="S441" s="49"/>
      <c r="T441" s="49"/>
      <c r="U441" s="49"/>
      <c r="V441" s="49"/>
      <c r="W441" s="49"/>
      <c r="X441" s="49"/>
      <c r="Y441" s="49"/>
      <c r="Z441" s="49"/>
    </row>
    <row r="442">
      <c r="A442" s="49"/>
      <c r="B442" s="49"/>
      <c r="C442" s="49"/>
      <c r="D442" s="49"/>
      <c r="E442" s="106"/>
      <c r="F442" s="49"/>
      <c r="G442" s="49"/>
      <c r="H442" s="49"/>
      <c r="I442" s="49"/>
      <c r="J442" s="49"/>
      <c r="K442" s="49"/>
      <c r="L442" s="49"/>
      <c r="M442" s="49"/>
      <c r="N442" s="49"/>
      <c r="O442" s="49"/>
      <c r="P442" s="49"/>
      <c r="Q442" s="49"/>
      <c r="R442" s="49"/>
      <c r="S442" s="49"/>
      <c r="T442" s="49"/>
      <c r="U442" s="49"/>
      <c r="V442" s="49"/>
      <c r="W442" s="49"/>
      <c r="X442" s="49"/>
      <c r="Y442" s="49"/>
      <c r="Z442" s="49"/>
    </row>
    <row r="443">
      <c r="A443" s="49"/>
      <c r="B443" s="49"/>
      <c r="C443" s="49"/>
      <c r="D443" s="49"/>
      <c r="E443" s="106"/>
      <c r="F443" s="49"/>
      <c r="G443" s="49"/>
      <c r="H443" s="49"/>
      <c r="I443" s="49"/>
      <c r="J443" s="49"/>
      <c r="K443" s="49"/>
      <c r="L443" s="49"/>
      <c r="M443" s="49"/>
      <c r="N443" s="49"/>
      <c r="O443" s="49"/>
      <c r="P443" s="49"/>
      <c r="Q443" s="49"/>
      <c r="R443" s="49"/>
      <c r="S443" s="49"/>
      <c r="T443" s="49"/>
      <c r="U443" s="49"/>
      <c r="V443" s="49"/>
      <c r="W443" s="49"/>
      <c r="X443" s="49"/>
      <c r="Y443" s="49"/>
      <c r="Z443" s="49"/>
    </row>
    <row r="444">
      <c r="A444" s="49"/>
      <c r="B444" s="49"/>
      <c r="C444" s="49"/>
      <c r="D444" s="49"/>
      <c r="E444" s="106"/>
      <c r="F444" s="49"/>
      <c r="G444" s="49"/>
      <c r="H444" s="49"/>
      <c r="I444" s="49"/>
      <c r="J444" s="49"/>
      <c r="K444" s="49"/>
      <c r="L444" s="49"/>
      <c r="M444" s="49"/>
      <c r="N444" s="49"/>
      <c r="O444" s="49"/>
      <c r="P444" s="49"/>
      <c r="Q444" s="49"/>
      <c r="R444" s="49"/>
      <c r="S444" s="49"/>
      <c r="T444" s="49"/>
      <c r="U444" s="49"/>
      <c r="V444" s="49"/>
      <c r="W444" s="49"/>
      <c r="X444" s="49"/>
      <c r="Y444" s="49"/>
      <c r="Z444" s="49"/>
    </row>
    <row r="445">
      <c r="A445" s="49"/>
      <c r="B445" s="49"/>
      <c r="C445" s="49"/>
      <c r="D445" s="49"/>
      <c r="E445" s="106"/>
      <c r="F445" s="49"/>
      <c r="G445" s="49"/>
      <c r="H445" s="49"/>
      <c r="I445" s="49"/>
      <c r="J445" s="49"/>
      <c r="K445" s="49"/>
      <c r="L445" s="49"/>
      <c r="M445" s="49"/>
      <c r="N445" s="49"/>
      <c r="O445" s="49"/>
      <c r="P445" s="49"/>
      <c r="Q445" s="49"/>
      <c r="R445" s="49"/>
      <c r="S445" s="49"/>
      <c r="T445" s="49"/>
      <c r="U445" s="49"/>
      <c r="V445" s="49"/>
      <c r="W445" s="49"/>
      <c r="X445" s="49"/>
      <c r="Y445" s="49"/>
      <c r="Z445" s="49"/>
    </row>
    <row r="446">
      <c r="A446" s="49"/>
      <c r="B446" s="49"/>
      <c r="C446" s="49"/>
      <c r="D446" s="49"/>
      <c r="E446" s="106"/>
      <c r="F446" s="49"/>
      <c r="G446" s="49"/>
      <c r="H446" s="49"/>
      <c r="I446" s="49"/>
      <c r="J446" s="49"/>
      <c r="K446" s="49"/>
      <c r="L446" s="49"/>
      <c r="M446" s="49"/>
      <c r="N446" s="49"/>
      <c r="O446" s="49"/>
      <c r="P446" s="49"/>
      <c r="Q446" s="49"/>
      <c r="R446" s="49"/>
      <c r="S446" s="49"/>
      <c r="T446" s="49"/>
      <c r="U446" s="49"/>
      <c r="V446" s="49"/>
      <c r="W446" s="49"/>
      <c r="X446" s="49"/>
      <c r="Y446" s="49"/>
      <c r="Z446" s="49"/>
    </row>
    <row r="447">
      <c r="A447" s="49"/>
      <c r="B447" s="49"/>
      <c r="C447" s="49"/>
      <c r="D447" s="49"/>
      <c r="E447" s="106"/>
      <c r="F447" s="49"/>
      <c r="G447" s="49"/>
      <c r="H447" s="49"/>
      <c r="I447" s="49"/>
      <c r="J447" s="49"/>
      <c r="K447" s="49"/>
      <c r="L447" s="49"/>
      <c r="M447" s="49"/>
      <c r="N447" s="49"/>
      <c r="O447" s="49"/>
      <c r="P447" s="49"/>
      <c r="Q447" s="49"/>
      <c r="R447" s="49"/>
      <c r="S447" s="49"/>
      <c r="T447" s="49"/>
      <c r="U447" s="49"/>
      <c r="V447" s="49"/>
      <c r="W447" s="49"/>
      <c r="X447" s="49"/>
      <c r="Y447" s="49"/>
      <c r="Z447" s="49"/>
    </row>
    <row r="448">
      <c r="A448" s="49"/>
      <c r="B448" s="49"/>
      <c r="C448" s="49"/>
      <c r="D448" s="49"/>
      <c r="E448" s="106"/>
      <c r="F448" s="49"/>
      <c r="G448" s="49"/>
      <c r="H448" s="49"/>
      <c r="I448" s="49"/>
      <c r="J448" s="49"/>
      <c r="K448" s="49"/>
      <c r="L448" s="49"/>
      <c r="M448" s="49"/>
      <c r="N448" s="49"/>
      <c r="O448" s="49"/>
      <c r="P448" s="49"/>
      <c r="Q448" s="49"/>
      <c r="R448" s="49"/>
      <c r="S448" s="49"/>
      <c r="T448" s="49"/>
      <c r="U448" s="49"/>
      <c r="V448" s="49"/>
      <c r="W448" s="49"/>
      <c r="X448" s="49"/>
      <c r="Y448" s="49"/>
      <c r="Z448" s="49"/>
    </row>
    <row r="449">
      <c r="A449" s="49"/>
      <c r="B449" s="49"/>
      <c r="C449" s="49"/>
      <c r="D449" s="49"/>
      <c r="E449" s="106"/>
      <c r="F449" s="49"/>
      <c r="G449" s="49"/>
      <c r="H449" s="49"/>
      <c r="I449" s="49"/>
      <c r="J449" s="49"/>
      <c r="K449" s="49"/>
      <c r="L449" s="49"/>
      <c r="M449" s="49"/>
      <c r="N449" s="49"/>
      <c r="O449" s="49"/>
      <c r="P449" s="49"/>
      <c r="Q449" s="49"/>
      <c r="R449" s="49"/>
      <c r="S449" s="49"/>
      <c r="T449" s="49"/>
      <c r="U449" s="49"/>
      <c r="V449" s="49"/>
      <c r="W449" s="49"/>
      <c r="X449" s="49"/>
      <c r="Y449" s="49"/>
      <c r="Z449" s="49"/>
    </row>
    <row r="450">
      <c r="A450" s="49"/>
      <c r="B450" s="49"/>
      <c r="C450" s="49"/>
      <c r="D450" s="49"/>
      <c r="E450" s="106"/>
      <c r="F450" s="49"/>
      <c r="G450" s="49"/>
      <c r="H450" s="49"/>
      <c r="I450" s="49"/>
      <c r="J450" s="49"/>
      <c r="K450" s="49"/>
      <c r="L450" s="49"/>
      <c r="M450" s="49"/>
      <c r="N450" s="49"/>
      <c r="O450" s="49"/>
      <c r="P450" s="49"/>
      <c r="Q450" s="49"/>
      <c r="R450" s="49"/>
      <c r="S450" s="49"/>
      <c r="T450" s="49"/>
      <c r="U450" s="49"/>
      <c r="V450" s="49"/>
      <c r="W450" s="49"/>
      <c r="X450" s="49"/>
      <c r="Y450" s="49"/>
      <c r="Z450" s="49"/>
    </row>
    <row r="451">
      <c r="A451" s="49"/>
      <c r="B451" s="49"/>
      <c r="C451" s="49"/>
      <c r="D451" s="49"/>
      <c r="E451" s="106"/>
      <c r="F451" s="49"/>
      <c r="G451" s="49"/>
      <c r="H451" s="49"/>
      <c r="I451" s="49"/>
      <c r="J451" s="49"/>
      <c r="K451" s="49"/>
      <c r="L451" s="49"/>
      <c r="M451" s="49"/>
      <c r="N451" s="49"/>
      <c r="O451" s="49"/>
      <c r="P451" s="49"/>
      <c r="Q451" s="49"/>
      <c r="R451" s="49"/>
      <c r="S451" s="49"/>
      <c r="T451" s="49"/>
      <c r="U451" s="49"/>
      <c r="V451" s="49"/>
      <c r="W451" s="49"/>
      <c r="X451" s="49"/>
      <c r="Y451" s="49"/>
      <c r="Z451" s="49"/>
    </row>
    <row r="452">
      <c r="A452" s="49"/>
      <c r="B452" s="49"/>
      <c r="C452" s="49"/>
      <c r="D452" s="49"/>
      <c r="E452" s="106"/>
      <c r="F452" s="49"/>
      <c r="G452" s="49"/>
      <c r="H452" s="49"/>
      <c r="I452" s="49"/>
      <c r="J452" s="49"/>
      <c r="K452" s="49"/>
      <c r="L452" s="49"/>
      <c r="M452" s="49"/>
      <c r="N452" s="49"/>
      <c r="O452" s="49"/>
      <c r="P452" s="49"/>
      <c r="Q452" s="49"/>
      <c r="R452" s="49"/>
      <c r="S452" s="49"/>
      <c r="T452" s="49"/>
      <c r="U452" s="49"/>
      <c r="V452" s="49"/>
      <c r="W452" s="49"/>
      <c r="X452" s="49"/>
      <c r="Y452" s="49"/>
      <c r="Z452" s="49"/>
    </row>
    <row r="453">
      <c r="A453" s="49"/>
      <c r="B453" s="49"/>
      <c r="C453" s="49"/>
      <c r="D453" s="49"/>
      <c r="E453" s="106"/>
      <c r="F453" s="49"/>
      <c r="G453" s="49"/>
      <c r="H453" s="49"/>
      <c r="I453" s="49"/>
      <c r="J453" s="49"/>
      <c r="K453" s="49"/>
      <c r="L453" s="49"/>
      <c r="M453" s="49"/>
      <c r="N453" s="49"/>
      <c r="O453" s="49"/>
      <c r="P453" s="49"/>
      <c r="Q453" s="49"/>
      <c r="R453" s="49"/>
      <c r="S453" s="49"/>
      <c r="T453" s="49"/>
      <c r="U453" s="49"/>
      <c r="V453" s="49"/>
      <c r="W453" s="49"/>
      <c r="X453" s="49"/>
      <c r="Y453" s="49"/>
      <c r="Z453" s="49"/>
    </row>
    <row r="454">
      <c r="A454" s="49"/>
      <c r="B454" s="49"/>
      <c r="C454" s="49"/>
      <c r="D454" s="49"/>
      <c r="E454" s="106"/>
      <c r="F454" s="49"/>
      <c r="G454" s="49"/>
      <c r="H454" s="49"/>
      <c r="I454" s="49"/>
      <c r="J454" s="49"/>
      <c r="K454" s="49"/>
      <c r="L454" s="49"/>
      <c r="M454" s="49"/>
      <c r="N454" s="49"/>
      <c r="O454" s="49"/>
      <c r="P454" s="49"/>
      <c r="Q454" s="49"/>
      <c r="R454" s="49"/>
      <c r="S454" s="49"/>
      <c r="T454" s="49"/>
      <c r="U454" s="49"/>
      <c r="V454" s="49"/>
      <c r="W454" s="49"/>
      <c r="X454" s="49"/>
      <c r="Y454" s="49"/>
      <c r="Z454" s="49"/>
    </row>
    <row r="455">
      <c r="A455" s="49"/>
      <c r="B455" s="49"/>
      <c r="C455" s="49"/>
      <c r="D455" s="49"/>
      <c r="E455" s="106"/>
      <c r="F455" s="49"/>
      <c r="G455" s="49"/>
      <c r="H455" s="49"/>
      <c r="I455" s="49"/>
      <c r="J455" s="49"/>
      <c r="K455" s="49"/>
      <c r="L455" s="49"/>
      <c r="M455" s="49"/>
      <c r="N455" s="49"/>
      <c r="O455" s="49"/>
      <c r="P455" s="49"/>
      <c r="Q455" s="49"/>
      <c r="R455" s="49"/>
      <c r="S455" s="49"/>
      <c r="T455" s="49"/>
      <c r="U455" s="49"/>
      <c r="V455" s="49"/>
      <c r="W455" s="49"/>
      <c r="X455" s="49"/>
      <c r="Y455" s="49"/>
      <c r="Z455" s="49"/>
    </row>
    <row r="456">
      <c r="A456" s="49"/>
      <c r="B456" s="49"/>
      <c r="C456" s="49"/>
      <c r="D456" s="49"/>
      <c r="E456" s="106"/>
      <c r="F456" s="49"/>
      <c r="G456" s="49"/>
      <c r="H456" s="49"/>
      <c r="I456" s="49"/>
      <c r="J456" s="49"/>
      <c r="K456" s="49"/>
      <c r="L456" s="49"/>
      <c r="M456" s="49"/>
      <c r="N456" s="49"/>
      <c r="O456" s="49"/>
      <c r="P456" s="49"/>
      <c r="Q456" s="49"/>
      <c r="R456" s="49"/>
      <c r="S456" s="49"/>
      <c r="T456" s="49"/>
      <c r="U456" s="49"/>
      <c r="V456" s="49"/>
      <c r="W456" s="49"/>
      <c r="X456" s="49"/>
      <c r="Y456" s="49"/>
      <c r="Z456" s="49"/>
    </row>
    <row r="457">
      <c r="A457" s="49"/>
      <c r="B457" s="49"/>
      <c r="C457" s="49"/>
      <c r="D457" s="49"/>
      <c r="E457" s="106"/>
      <c r="F457" s="49"/>
      <c r="G457" s="49"/>
      <c r="H457" s="49"/>
      <c r="I457" s="49"/>
      <c r="J457" s="49"/>
      <c r="K457" s="49"/>
      <c r="L457" s="49"/>
      <c r="M457" s="49"/>
      <c r="N457" s="49"/>
      <c r="O457" s="49"/>
      <c r="P457" s="49"/>
      <c r="Q457" s="49"/>
      <c r="R457" s="49"/>
      <c r="S457" s="49"/>
      <c r="T457" s="49"/>
      <c r="U457" s="49"/>
      <c r="V457" s="49"/>
      <c r="W457" s="49"/>
      <c r="X457" s="49"/>
      <c r="Y457" s="49"/>
      <c r="Z457" s="49"/>
    </row>
    <row r="458">
      <c r="A458" s="49"/>
      <c r="B458" s="49"/>
      <c r="C458" s="49"/>
      <c r="D458" s="49"/>
      <c r="E458" s="106"/>
      <c r="F458" s="49"/>
      <c r="G458" s="49"/>
      <c r="H458" s="49"/>
      <c r="I458" s="49"/>
      <c r="J458" s="49"/>
      <c r="K458" s="49"/>
      <c r="L458" s="49"/>
      <c r="M458" s="49"/>
      <c r="N458" s="49"/>
      <c r="O458" s="49"/>
      <c r="P458" s="49"/>
      <c r="Q458" s="49"/>
      <c r="R458" s="49"/>
      <c r="S458" s="49"/>
      <c r="T458" s="49"/>
      <c r="U458" s="49"/>
      <c r="V458" s="49"/>
      <c r="W458" s="49"/>
      <c r="X458" s="49"/>
      <c r="Y458" s="49"/>
      <c r="Z458" s="49"/>
    </row>
    <row r="459">
      <c r="A459" s="49"/>
      <c r="B459" s="49"/>
      <c r="C459" s="49"/>
      <c r="D459" s="49"/>
      <c r="E459" s="106"/>
      <c r="F459" s="49"/>
      <c r="G459" s="49"/>
      <c r="H459" s="49"/>
      <c r="I459" s="49"/>
      <c r="J459" s="49"/>
      <c r="K459" s="49"/>
      <c r="L459" s="49"/>
      <c r="M459" s="49"/>
      <c r="N459" s="49"/>
      <c r="O459" s="49"/>
      <c r="P459" s="49"/>
      <c r="Q459" s="49"/>
      <c r="R459" s="49"/>
      <c r="S459" s="49"/>
      <c r="T459" s="49"/>
      <c r="U459" s="49"/>
      <c r="V459" s="49"/>
      <c r="W459" s="49"/>
      <c r="X459" s="49"/>
      <c r="Y459" s="49"/>
      <c r="Z459" s="49"/>
    </row>
    <row r="460">
      <c r="A460" s="49"/>
      <c r="B460" s="49"/>
      <c r="C460" s="49"/>
      <c r="D460" s="49"/>
      <c r="E460" s="106"/>
      <c r="F460" s="49"/>
      <c r="G460" s="49"/>
      <c r="H460" s="49"/>
      <c r="I460" s="49"/>
      <c r="J460" s="49"/>
      <c r="K460" s="49"/>
      <c r="L460" s="49"/>
      <c r="M460" s="49"/>
      <c r="N460" s="49"/>
      <c r="O460" s="49"/>
      <c r="P460" s="49"/>
      <c r="Q460" s="49"/>
      <c r="R460" s="49"/>
      <c r="S460" s="49"/>
      <c r="T460" s="49"/>
      <c r="U460" s="49"/>
      <c r="V460" s="49"/>
      <c r="W460" s="49"/>
      <c r="X460" s="49"/>
      <c r="Y460" s="49"/>
      <c r="Z460" s="49"/>
    </row>
    <row r="461">
      <c r="A461" s="49"/>
      <c r="B461" s="49"/>
      <c r="C461" s="49"/>
      <c r="D461" s="49"/>
      <c r="E461" s="106"/>
      <c r="F461" s="49"/>
      <c r="G461" s="49"/>
      <c r="H461" s="49"/>
      <c r="I461" s="49"/>
      <c r="J461" s="49"/>
      <c r="K461" s="49"/>
      <c r="L461" s="49"/>
      <c r="M461" s="49"/>
      <c r="N461" s="49"/>
      <c r="O461" s="49"/>
      <c r="P461" s="49"/>
      <c r="Q461" s="49"/>
      <c r="R461" s="49"/>
      <c r="S461" s="49"/>
      <c r="T461" s="49"/>
      <c r="U461" s="49"/>
      <c r="V461" s="49"/>
      <c r="W461" s="49"/>
      <c r="X461" s="49"/>
      <c r="Y461" s="49"/>
      <c r="Z461" s="49"/>
    </row>
    <row r="462">
      <c r="A462" s="49"/>
      <c r="B462" s="49"/>
      <c r="C462" s="49"/>
      <c r="D462" s="49"/>
      <c r="E462" s="106"/>
      <c r="F462" s="49"/>
      <c r="G462" s="49"/>
      <c r="H462" s="49"/>
      <c r="I462" s="49"/>
      <c r="J462" s="49"/>
      <c r="K462" s="49"/>
      <c r="L462" s="49"/>
      <c r="M462" s="49"/>
      <c r="N462" s="49"/>
      <c r="O462" s="49"/>
      <c r="P462" s="49"/>
      <c r="Q462" s="49"/>
      <c r="R462" s="49"/>
      <c r="S462" s="49"/>
      <c r="T462" s="49"/>
      <c r="U462" s="49"/>
      <c r="V462" s="49"/>
      <c r="W462" s="49"/>
      <c r="X462" s="49"/>
      <c r="Y462" s="49"/>
      <c r="Z462" s="49"/>
    </row>
    <row r="463">
      <c r="A463" s="49"/>
      <c r="B463" s="49"/>
      <c r="C463" s="49"/>
      <c r="D463" s="49"/>
      <c r="E463" s="106"/>
      <c r="F463" s="49"/>
      <c r="G463" s="49"/>
      <c r="H463" s="49"/>
      <c r="I463" s="49"/>
      <c r="J463" s="49"/>
      <c r="K463" s="49"/>
      <c r="L463" s="49"/>
      <c r="M463" s="49"/>
      <c r="N463" s="49"/>
      <c r="O463" s="49"/>
      <c r="P463" s="49"/>
      <c r="Q463" s="49"/>
      <c r="R463" s="49"/>
      <c r="S463" s="49"/>
      <c r="T463" s="49"/>
      <c r="U463" s="49"/>
      <c r="V463" s="49"/>
      <c r="W463" s="49"/>
      <c r="X463" s="49"/>
      <c r="Y463" s="49"/>
      <c r="Z463" s="49"/>
    </row>
    <row r="464">
      <c r="A464" s="49"/>
      <c r="B464" s="49"/>
      <c r="C464" s="49"/>
      <c r="D464" s="49"/>
      <c r="E464" s="106"/>
      <c r="F464" s="49"/>
      <c r="G464" s="49"/>
      <c r="H464" s="49"/>
      <c r="I464" s="49"/>
      <c r="J464" s="49"/>
      <c r="K464" s="49"/>
      <c r="L464" s="49"/>
      <c r="M464" s="49"/>
      <c r="N464" s="49"/>
      <c r="O464" s="49"/>
      <c r="P464" s="49"/>
      <c r="Q464" s="49"/>
      <c r="R464" s="49"/>
      <c r="S464" s="49"/>
      <c r="T464" s="49"/>
      <c r="U464" s="49"/>
      <c r="V464" s="49"/>
      <c r="W464" s="49"/>
      <c r="X464" s="49"/>
      <c r="Y464" s="49"/>
      <c r="Z464" s="49"/>
    </row>
    <row r="465">
      <c r="A465" s="49"/>
      <c r="B465" s="49"/>
      <c r="C465" s="49"/>
      <c r="D465" s="49"/>
      <c r="E465" s="106"/>
      <c r="F465" s="49"/>
      <c r="G465" s="49"/>
      <c r="H465" s="49"/>
      <c r="I465" s="49"/>
      <c r="J465" s="49"/>
      <c r="K465" s="49"/>
      <c r="L465" s="49"/>
      <c r="M465" s="49"/>
      <c r="N465" s="49"/>
      <c r="O465" s="49"/>
      <c r="P465" s="49"/>
      <c r="Q465" s="49"/>
      <c r="R465" s="49"/>
      <c r="S465" s="49"/>
      <c r="T465" s="49"/>
      <c r="U465" s="49"/>
      <c r="V465" s="49"/>
      <c r="W465" s="49"/>
      <c r="X465" s="49"/>
      <c r="Y465" s="49"/>
      <c r="Z465" s="49"/>
    </row>
    <row r="466">
      <c r="A466" s="49"/>
      <c r="B466" s="49"/>
      <c r="C466" s="49"/>
      <c r="D466" s="49"/>
      <c r="E466" s="106"/>
      <c r="F466" s="49"/>
      <c r="G466" s="49"/>
      <c r="H466" s="49"/>
      <c r="I466" s="49"/>
      <c r="J466" s="49"/>
      <c r="K466" s="49"/>
      <c r="L466" s="49"/>
      <c r="M466" s="49"/>
      <c r="N466" s="49"/>
      <c r="O466" s="49"/>
      <c r="P466" s="49"/>
      <c r="Q466" s="49"/>
      <c r="R466" s="49"/>
      <c r="S466" s="49"/>
      <c r="T466" s="49"/>
      <c r="U466" s="49"/>
      <c r="V466" s="49"/>
      <c r="W466" s="49"/>
      <c r="X466" s="49"/>
      <c r="Y466" s="49"/>
      <c r="Z466" s="49"/>
    </row>
    <row r="467">
      <c r="A467" s="49"/>
      <c r="B467" s="49"/>
      <c r="C467" s="49"/>
      <c r="D467" s="49"/>
      <c r="E467" s="106"/>
      <c r="F467" s="49"/>
      <c r="G467" s="49"/>
      <c r="H467" s="49"/>
      <c r="I467" s="49"/>
      <c r="J467" s="49"/>
      <c r="K467" s="49"/>
      <c r="L467" s="49"/>
      <c r="M467" s="49"/>
      <c r="N467" s="49"/>
      <c r="O467" s="49"/>
      <c r="P467" s="49"/>
      <c r="Q467" s="49"/>
      <c r="R467" s="49"/>
      <c r="S467" s="49"/>
      <c r="T467" s="49"/>
      <c r="U467" s="49"/>
      <c r="V467" s="49"/>
      <c r="W467" s="49"/>
      <c r="X467" s="49"/>
      <c r="Y467" s="49"/>
      <c r="Z467" s="49"/>
    </row>
    <row r="468">
      <c r="A468" s="49"/>
      <c r="B468" s="49"/>
      <c r="C468" s="49"/>
      <c r="D468" s="49"/>
      <c r="E468" s="106"/>
      <c r="F468" s="49"/>
      <c r="G468" s="49"/>
      <c r="H468" s="49"/>
      <c r="I468" s="49"/>
      <c r="J468" s="49"/>
      <c r="K468" s="49"/>
      <c r="L468" s="49"/>
      <c r="M468" s="49"/>
      <c r="N468" s="49"/>
      <c r="O468" s="49"/>
      <c r="P468" s="49"/>
      <c r="Q468" s="49"/>
      <c r="R468" s="49"/>
      <c r="S468" s="49"/>
      <c r="T468" s="49"/>
      <c r="U468" s="49"/>
      <c r="V468" s="49"/>
      <c r="W468" s="49"/>
      <c r="X468" s="49"/>
      <c r="Y468" s="49"/>
      <c r="Z468" s="49"/>
    </row>
    <row r="469">
      <c r="A469" s="49"/>
      <c r="B469" s="49"/>
      <c r="C469" s="49"/>
      <c r="D469" s="49"/>
      <c r="E469" s="106"/>
      <c r="F469" s="49"/>
      <c r="G469" s="49"/>
      <c r="H469" s="49"/>
      <c r="I469" s="49"/>
      <c r="J469" s="49"/>
      <c r="K469" s="49"/>
      <c r="L469" s="49"/>
      <c r="M469" s="49"/>
      <c r="N469" s="49"/>
      <c r="O469" s="49"/>
      <c r="P469" s="49"/>
      <c r="Q469" s="49"/>
      <c r="R469" s="49"/>
      <c r="S469" s="49"/>
      <c r="T469" s="49"/>
      <c r="U469" s="49"/>
      <c r="V469" s="49"/>
      <c r="W469" s="49"/>
      <c r="X469" s="49"/>
      <c r="Y469" s="49"/>
      <c r="Z469" s="49"/>
    </row>
    <row r="470">
      <c r="A470" s="49"/>
      <c r="B470" s="49"/>
      <c r="C470" s="49"/>
      <c r="D470" s="49"/>
      <c r="E470" s="106"/>
      <c r="F470" s="49"/>
      <c r="G470" s="49"/>
      <c r="H470" s="49"/>
      <c r="I470" s="49"/>
      <c r="J470" s="49"/>
      <c r="K470" s="49"/>
      <c r="L470" s="49"/>
      <c r="M470" s="49"/>
      <c r="N470" s="49"/>
      <c r="O470" s="49"/>
      <c r="P470" s="49"/>
      <c r="Q470" s="49"/>
      <c r="R470" s="49"/>
      <c r="S470" s="49"/>
      <c r="T470" s="49"/>
      <c r="U470" s="49"/>
      <c r="V470" s="49"/>
      <c r="W470" s="49"/>
      <c r="X470" s="49"/>
      <c r="Y470" s="49"/>
      <c r="Z470" s="49"/>
    </row>
    <row r="471">
      <c r="A471" s="49"/>
      <c r="B471" s="49"/>
      <c r="C471" s="49"/>
      <c r="D471" s="49"/>
      <c r="E471" s="106"/>
      <c r="F471" s="49"/>
      <c r="G471" s="49"/>
      <c r="H471" s="49"/>
      <c r="I471" s="49"/>
      <c r="J471" s="49"/>
      <c r="K471" s="49"/>
      <c r="L471" s="49"/>
      <c r="M471" s="49"/>
      <c r="N471" s="49"/>
      <c r="O471" s="49"/>
      <c r="P471" s="49"/>
      <c r="Q471" s="49"/>
      <c r="R471" s="49"/>
      <c r="S471" s="49"/>
      <c r="T471" s="49"/>
      <c r="U471" s="49"/>
      <c r="V471" s="49"/>
      <c r="W471" s="49"/>
      <c r="X471" s="49"/>
      <c r="Y471" s="49"/>
      <c r="Z471" s="49"/>
    </row>
    <row r="472">
      <c r="A472" s="49"/>
      <c r="B472" s="49"/>
      <c r="C472" s="49"/>
      <c r="D472" s="49"/>
      <c r="E472" s="106"/>
      <c r="F472" s="49"/>
      <c r="G472" s="49"/>
      <c r="H472" s="49"/>
      <c r="I472" s="49"/>
      <c r="J472" s="49"/>
      <c r="K472" s="49"/>
      <c r="L472" s="49"/>
      <c r="M472" s="49"/>
      <c r="N472" s="49"/>
      <c r="O472" s="49"/>
      <c r="P472" s="49"/>
      <c r="Q472" s="49"/>
      <c r="R472" s="49"/>
      <c r="S472" s="49"/>
      <c r="T472" s="49"/>
      <c r="U472" s="49"/>
      <c r="V472" s="49"/>
      <c r="W472" s="49"/>
      <c r="X472" s="49"/>
      <c r="Y472" s="49"/>
      <c r="Z472" s="49"/>
    </row>
    <row r="473">
      <c r="A473" s="49"/>
      <c r="B473" s="49"/>
      <c r="C473" s="49"/>
      <c r="D473" s="49"/>
      <c r="E473" s="106"/>
      <c r="F473" s="49"/>
      <c r="G473" s="49"/>
      <c r="H473" s="49"/>
      <c r="I473" s="49"/>
      <c r="J473" s="49"/>
      <c r="K473" s="49"/>
      <c r="L473" s="49"/>
      <c r="M473" s="49"/>
      <c r="N473" s="49"/>
      <c r="O473" s="49"/>
      <c r="P473" s="49"/>
      <c r="Q473" s="49"/>
      <c r="R473" s="49"/>
      <c r="S473" s="49"/>
      <c r="T473" s="49"/>
      <c r="U473" s="49"/>
      <c r="V473" s="49"/>
      <c r="W473" s="49"/>
      <c r="X473" s="49"/>
      <c r="Y473" s="49"/>
      <c r="Z473" s="49"/>
    </row>
    <row r="474">
      <c r="A474" s="49"/>
      <c r="B474" s="49"/>
      <c r="C474" s="49"/>
      <c r="D474" s="49"/>
      <c r="E474" s="106"/>
      <c r="F474" s="49"/>
      <c r="G474" s="49"/>
      <c r="H474" s="49"/>
      <c r="I474" s="49"/>
      <c r="J474" s="49"/>
      <c r="K474" s="49"/>
      <c r="L474" s="49"/>
      <c r="M474" s="49"/>
      <c r="N474" s="49"/>
      <c r="O474" s="49"/>
      <c r="P474" s="49"/>
      <c r="Q474" s="49"/>
      <c r="R474" s="49"/>
      <c r="S474" s="49"/>
      <c r="T474" s="49"/>
      <c r="U474" s="49"/>
      <c r="V474" s="49"/>
      <c r="W474" s="49"/>
      <c r="X474" s="49"/>
      <c r="Y474" s="49"/>
      <c r="Z474" s="49"/>
    </row>
    <row r="475">
      <c r="A475" s="49"/>
      <c r="B475" s="49"/>
      <c r="C475" s="49"/>
      <c r="D475" s="49"/>
      <c r="E475" s="106"/>
      <c r="F475" s="49"/>
      <c r="G475" s="49"/>
      <c r="H475" s="49"/>
      <c r="I475" s="49"/>
      <c r="J475" s="49"/>
      <c r="K475" s="49"/>
      <c r="L475" s="49"/>
      <c r="M475" s="49"/>
      <c r="N475" s="49"/>
      <c r="O475" s="49"/>
      <c r="P475" s="49"/>
      <c r="Q475" s="49"/>
      <c r="R475" s="49"/>
      <c r="S475" s="49"/>
      <c r="T475" s="49"/>
      <c r="U475" s="49"/>
      <c r="V475" s="49"/>
      <c r="W475" s="49"/>
      <c r="X475" s="49"/>
      <c r="Y475" s="49"/>
      <c r="Z475" s="49"/>
    </row>
    <row r="476">
      <c r="A476" s="49"/>
      <c r="B476" s="49"/>
      <c r="C476" s="49"/>
      <c r="D476" s="49"/>
      <c r="E476" s="106"/>
      <c r="F476" s="49"/>
      <c r="G476" s="49"/>
      <c r="H476" s="49"/>
      <c r="I476" s="49"/>
      <c r="J476" s="49"/>
      <c r="K476" s="49"/>
      <c r="L476" s="49"/>
      <c r="M476" s="49"/>
      <c r="N476" s="49"/>
      <c r="O476" s="49"/>
      <c r="P476" s="49"/>
      <c r="Q476" s="49"/>
      <c r="R476" s="49"/>
      <c r="S476" s="49"/>
      <c r="T476" s="49"/>
      <c r="U476" s="49"/>
      <c r="V476" s="49"/>
      <c r="W476" s="49"/>
      <c r="X476" s="49"/>
      <c r="Y476" s="49"/>
      <c r="Z476" s="49"/>
    </row>
    <row r="477">
      <c r="A477" s="49"/>
      <c r="B477" s="49"/>
      <c r="C477" s="49"/>
      <c r="D477" s="49"/>
      <c r="E477" s="106"/>
      <c r="F477" s="49"/>
      <c r="G477" s="49"/>
      <c r="H477" s="49"/>
      <c r="I477" s="49"/>
      <c r="J477" s="49"/>
      <c r="K477" s="49"/>
      <c r="L477" s="49"/>
      <c r="M477" s="49"/>
      <c r="N477" s="49"/>
      <c r="O477" s="49"/>
      <c r="P477" s="49"/>
      <c r="Q477" s="49"/>
      <c r="R477" s="49"/>
      <c r="S477" s="49"/>
      <c r="T477" s="49"/>
      <c r="U477" s="49"/>
      <c r="V477" s="49"/>
      <c r="W477" s="49"/>
      <c r="X477" s="49"/>
      <c r="Y477" s="49"/>
      <c r="Z477" s="49"/>
    </row>
    <row r="478">
      <c r="A478" s="49"/>
      <c r="B478" s="49"/>
      <c r="C478" s="49"/>
      <c r="D478" s="49"/>
      <c r="E478" s="106"/>
      <c r="F478" s="49"/>
      <c r="G478" s="49"/>
      <c r="H478" s="49"/>
      <c r="I478" s="49"/>
      <c r="J478" s="49"/>
      <c r="K478" s="49"/>
      <c r="L478" s="49"/>
      <c r="M478" s="49"/>
      <c r="N478" s="49"/>
      <c r="O478" s="49"/>
      <c r="P478" s="49"/>
      <c r="Q478" s="49"/>
      <c r="R478" s="49"/>
      <c r="S478" s="49"/>
      <c r="T478" s="49"/>
      <c r="U478" s="49"/>
      <c r="V478" s="49"/>
      <c r="W478" s="49"/>
      <c r="X478" s="49"/>
      <c r="Y478" s="49"/>
      <c r="Z478" s="49"/>
    </row>
    <row r="479">
      <c r="A479" s="49"/>
      <c r="B479" s="49"/>
      <c r="C479" s="49"/>
      <c r="D479" s="49"/>
      <c r="E479" s="106"/>
      <c r="F479" s="49"/>
      <c r="G479" s="49"/>
      <c r="H479" s="49"/>
      <c r="I479" s="49"/>
      <c r="J479" s="49"/>
      <c r="K479" s="49"/>
      <c r="L479" s="49"/>
      <c r="M479" s="49"/>
      <c r="N479" s="49"/>
      <c r="O479" s="49"/>
      <c r="P479" s="49"/>
      <c r="Q479" s="49"/>
      <c r="R479" s="49"/>
      <c r="S479" s="49"/>
      <c r="T479" s="49"/>
      <c r="U479" s="49"/>
      <c r="V479" s="49"/>
      <c r="W479" s="49"/>
      <c r="X479" s="49"/>
      <c r="Y479" s="49"/>
      <c r="Z479" s="49"/>
    </row>
    <row r="480">
      <c r="A480" s="49"/>
      <c r="B480" s="49"/>
      <c r="C480" s="49"/>
      <c r="D480" s="49"/>
      <c r="E480" s="106"/>
      <c r="F480" s="49"/>
      <c r="G480" s="49"/>
      <c r="H480" s="49"/>
      <c r="I480" s="49"/>
      <c r="J480" s="49"/>
      <c r="K480" s="49"/>
      <c r="L480" s="49"/>
      <c r="M480" s="49"/>
      <c r="N480" s="49"/>
      <c r="O480" s="49"/>
      <c r="P480" s="49"/>
      <c r="Q480" s="49"/>
      <c r="R480" s="49"/>
      <c r="S480" s="49"/>
      <c r="T480" s="49"/>
      <c r="U480" s="49"/>
      <c r="V480" s="49"/>
      <c r="W480" s="49"/>
      <c r="X480" s="49"/>
      <c r="Y480" s="49"/>
      <c r="Z480" s="49"/>
    </row>
    <row r="481">
      <c r="A481" s="49"/>
      <c r="B481" s="49"/>
      <c r="C481" s="49"/>
      <c r="D481" s="49"/>
      <c r="E481" s="106"/>
      <c r="F481" s="49"/>
      <c r="G481" s="49"/>
      <c r="H481" s="49"/>
      <c r="I481" s="49"/>
      <c r="J481" s="49"/>
      <c r="K481" s="49"/>
      <c r="L481" s="49"/>
      <c r="M481" s="49"/>
      <c r="N481" s="49"/>
      <c r="O481" s="49"/>
      <c r="P481" s="49"/>
      <c r="Q481" s="49"/>
      <c r="R481" s="49"/>
      <c r="S481" s="49"/>
      <c r="T481" s="49"/>
      <c r="U481" s="49"/>
      <c r="V481" s="49"/>
      <c r="W481" s="49"/>
      <c r="X481" s="49"/>
      <c r="Y481" s="49"/>
      <c r="Z481" s="49"/>
    </row>
    <row r="482">
      <c r="A482" s="49"/>
      <c r="B482" s="49"/>
      <c r="C482" s="49"/>
      <c r="D482" s="49"/>
      <c r="E482" s="106"/>
      <c r="F482" s="49"/>
      <c r="G482" s="49"/>
      <c r="H482" s="49"/>
      <c r="I482" s="49"/>
      <c r="J482" s="49"/>
      <c r="K482" s="49"/>
      <c r="L482" s="49"/>
      <c r="M482" s="49"/>
      <c r="N482" s="49"/>
      <c r="O482" s="49"/>
      <c r="P482" s="49"/>
      <c r="Q482" s="49"/>
      <c r="R482" s="49"/>
      <c r="S482" s="49"/>
      <c r="T482" s="49"/>
      <c r="U482" s="49"/>
      <c r="V482" s="49"/>
      <c r="W482" s="49"/>
      <c r="X482" s="49"/>
      <c r="Y482" s="49"/>
      <c r="Z482" s="49"/>
    </row>
    <row r="483">
      <c r="A483" s="49"/>
      <c r="B483" s="49"/>
      <c r="C483" s="49"/>
      <c r="D483" s="49"/>
      <c r="E483" s="106"/>
      <c r="F483" s="49"/>
      <c r="G483" s="49"/>
      <c r="H483" s="49"/>
      <c r="I483" s="49"/>
      <c r="J483" s="49"/>
      <c r="K483" s="49"/>
      <c r="L483" s="49"/>
      <c r="M483" s="49"/>
      <c r="N483" s="49"/>
      <c r="O483" s="49"/>
      <c r="P483" s="49"/>
      <c r="Q483" s="49"/>
      <c r="R483" s="49"/>
      <c r="S483" s="49"/>
      <c r="T483" s="49"/>
      <c r="U483" s="49"/>
      <c r="V483" s="49"/>
      <c r="W483" s="49"/>
      <c r="X483" s="49"/>
      <c r="Y483" s="49"/>
      <c r="Z483" s="49"/>
    </row>
    <row r="484">
      <c r="A484" s="49"/>
      <c r="B484" s="49"/>
      <c r="C484" s="49"/>
      <c r="D484" s="49"/>
      <c r="E484" s="106"/>
      <c r="F484" s="49"/>
      <c r="G484" s="49"/>
      <c r="H484" s="49"/>
      <c r="I484" s="49"/>
      <c r="J484" s="49"/>
      <c r="K484" s="49"/>
      <c r="L484" s="49"/>
      <c r="M484" s="49"/>
      <c r="N484" s="49"/>
      <c r="O484" s="49"/>
      <c r="P484" s="49"/>
      <c r="Q484" s="49"/>
      <c r="R484" s="49"/>
      <c r="S484" s="49"/>
      <c r="T484" s="49"/>
      <c r="U484" s="49"/>
      <c r="V484" s="49"/>
      <c r="W484" s="49"/>
      <c r="X484" s="49"/>
      <c r="Y484" s="49"/>
      <c r="Z484" s="49"/>
    </row>
    <row r="485">
      <c r="A485" s="49"/>
      <c r="B485" s="49"/>
      <c r="C485" s="49"/>
      <c r="D485" s="49"/>
      <c r="E485" s="106"/>
      <c r="F485" s="49"/>
      <c r="G485" s="49"/>
      <c r="H485" s="49"/>
      <c r="I485" s="49"/>
      <c r="J485" s="49"/>
      <c r="K485" s="49"/>
      <c r="L485" s="49"/>
      <c r="M485" s="49"/>
      <c r="N485" s="49"/>
      <c r="O485" s="49"/>
      <c r="P485" s="49"/>
      <c r="Q485" s="49"/>
      <c r="R485" s="49"/>
      <c r="S485" s="49"/>
      <c r="T485" s="49"/>
      <c r="U485" s="49"/>
      <c r="V485" s="49"/>
      <c r="W485" s="49"/>
      <c r="X485" s="49"/>
      <c r="Y485" s="49"/>
      <c r="Z485" s="49"/>
    </row>
    <row r="486">
      <c r="A486" s="49"/>
      <c r="B486" s="49"/>
      <c r="C486" s="49"/>
      <c r="D486" s="49"/>
      <c r="E486" s="106"/>
      <c r="F486" s="49"/>
      <c r="G486" s="49"/>
      <c r="H486" s="49"/>
      <c r="I486" s="49"/>
      <c r="J486" s="49"/>
      <c r="K486" s="49"/>
      <c r="L486" s="49"/>
      <c r="M486" s="49"/>
      <c r="N486" s="49"/>
      <c r="O486" s="49"/>
      <c r="P486" s="49"/>
      <c r="Q486" s="49"/>
      <c r="R486" s="49"/>
      <c r="S486" s="49"/>
      <c r="T486" s="49"/>
      <c r="U486" s="49"/>
      <c r="V486" s="49"/>
      <c r="W486" s="49"/>
      <c r="X486" s="49"/>
      <c r="Y486" s="49"/>
      <c r="Z486" s="49"/>
    </row>
    <row r="487">
      <c r="A487" s="49"/>
      <c r="B487" s="49"/>
      <c r="C487" s="49"/>
      <c r="D487" s="49"/>
      <c r="E487" s="106"/>
      <c r="F487" s="49"/>
      <c r="G487" s="49"/>
      <c r="H487" s="49"/>
      <c r="I487" s="49"/>
      <c r="J487" s="49"/>
      <c r="K487" s="49"/>
      <c r="L487" s="49"/>
      <c r="M487" s="49"/>
      <c r="N487" s="49"/>
      <c r="O487" s="49"/>
      <c r="P487" s="49"/>
      <c r="Q487" s="49"/>
      <c r="R487" s="49"/>
      <c r="S487" s="49"/>
      <c r="T487" s="49"/>
      <c r="U487" s="49"/>
      <c r="V487" s="49"/>
      <c r="W487" s="49"/>
      <c r="X487" s="49"/>
      <c r="Y487" s="49"/>
      <c r="Z487" s="49"/>
    </row>
    <row r="488">
      <c r="A488" s="49"/>
      <c r="B488" s="49"/>
      <c r="C488" s="49"/>
      <c r="D488" s="49"/>
      <c r="E488" s="106"/>
      <c r="F488" s="49"/>
      <c r="G488" s="49"/>
      <c r="H488" s="49"/>
      <c r="I488" s="49"/>
      <c r="J488" s="49"/>
      <c r="K488" s="49"/>
      <c r="L488" s="49"/>
      <c r="M488" s="49"/>
      <c r="N488" s="49"/>
      <c r="O488" s="49"/>
      <c r="P488" s="49"/>
      <c r="Q488" s="49"/>
      <c r="R488" s="49"/>
      <c r="S488" s="49"/>
      <c r="T488" s="49"/>
      <c r="U488" s="49"/>
      <c r="V488" s="49"/>
      <c r="W488" s="49"/>
      <c r="X488" s="49"/>
      <c r="Y488" s="49"/>
      <c r="Z488" s="49"/>
    </row>
    <row r="489">
      <c r="A489" s="49"/>
      <c r="B489" s="49"/>
      <c r="C489" s="49"/>
      <c r="D489" s="49"/>
      <c r="E489" s="106"/>
      <c r="F489" s="49"/>
      <c r="G489" s="49"/>
      <c r="H489" s="49"/>
      <c r="I489" s="49"/>
      <c r="J489" s="49"/>
      <c r="K489" s="49"/>
      <c r="L489" s="49"/>
      <c r="M489" s="49"/>
      <c r="N489" s="49"/>
      <c r="O489" s="49"/>
      <c r="P489" s="49"/>
      <c r="Q489" s="49"/>
      <c r="R489" s="49"/>
      <c r="S489" s="49"/>
      <c r="T489" s="49"/>
      <c r="U489" s="49"/>
      <c r="V489" s="49"/>
      <c r="W489" s="49"/>
      <c r="X489" s="49"/>
      <c r="Y489" s="49"/>
      <c r="Z489" s="49"/>
    </row>
    <row r="490">
      <c r="A490" s="49"/>
      <c r="B490" s="49"/>
      <c r="C490" s="49"/>
      <c r="D490" s="49"/>
      <c r="E490" s="106"/>
      <c r="F490" s="49"/>
      <c r="G490" s="49"/>
      <c r="H490" s="49"/>
      <c r="I490" s="49"/>
      <c r="J490" s="49"/>
      <c r="K490" s="49"/>
      <c r="L490" s="49"/>
      <c r="M490" s="49"/>
      <c r="N490" s="49"/>
      <c r="O490" s="49"/>
      <c r="P490" s="49"/>
      <c r="Q490" s="49"/>
      <c r="R490" s="49"/>
      <c r="S490" s="49"/>
      <c r="T490" s="49"/>
      <c r="U490" s="49"/>
      <c r="V490" s="49"/>
      <c r="W490" s="49"/>
      <c r="X490" s="49"/>
      <c r="Y490" s="49"/>
      <c r="Z490" s="49"/>
    </row>
    <row r="491">
      <c r="A491" s="49"/>
      <c r="B491" s="49"/>
      <c r="C491" s="49"/>
      <c r="D491" s="49"/>
      <c r="E491" s="106"/>
      <c r="F491" s="49"/>
      <c r="G491" s="49"/>
      <c r="H491" s="49"/>
      <c r="I491" s="49"/>
      <c r="J491" s="49"/>
      <c r="K491" s="49"/>
      <c r="L491" s="49"/>
      <c r="M491" s="49"/>
      <c r="N491" s="49"/>
      <c r="O491" s="49"/>
      <c r="P491" s="49"/>
      <c r="Q491" s="49"/>
      <c r="R491" s="49"/>
      <c r="S491" s="49"/>
      <c r="T491" s="49"/>
      <c r="U491" s="49"/>
      <c r="V491" s="49"/>
      <c r="W491" s="49"/>
      <c r="X491" s="49"/>
      <c r="Y491" s="49"/>
      <c r="Z491" s="49"/>
    </row>
    <row r="492">
      <c r="A492" s="49"/>
      <c r="B492" s="49"/>
      <c r="C492" s="49"/>
      <c r="D492" s="49"/>
      <c r="E492" s="106"/>
      <c r="F492" s="49"/>
      <c r="G492" s="49"/>
      <c r="H492" s="49"/>
      <c r="I492" s="49"/>
      <c r="J492" s="49"/>
      <c r="K492" s="49"/>
      <c r="L492" s="49"/>
      <c r="M492" s="49"/>
      <c r="N492" s="49"/>
      <c r="O492" s="49"/>
      <c r="P492" s="49"/>
      <c r="Q492" s="49"/>
      <c r="R492" s="49"/>
      <c r="S492" s="49"/>
      <c r="T492" s="49"/>
      <c r="U492" s="49"/>
      <c r="V492" s="49"/>
      <c r="W492" s="49"/>
      <c r="X492" s="49"/>
      <c r="Y492" s="49"/>
      <c r="Z492" s="49"/>
    </row>
    <row r="493">
      <c r="A493" s="49"/>
      <c r="B493" s="49"/>
      <c r="C493" s="49"/>
      <c r="D493" s="49"/>
      <c r="E493" s="106"/>
      <c r="F493" s="49"/>
      <c r="G493" s="49"/>
      <c r="H493" s="49"/>
      <c r="I493" s="49"/>
      <c r="J493" s="49"/>
      <c r="K493" s="49"/>
      <c r="L493" s="49"/>
      <c r="M493" s="49"/>
      <c r="N493" s="49"/>
      <c r="O493" s="49"/>
      <c r="P493" s="49"/>
      <c r="Q493" s="49"/>
      <c r="R493" s="49"/>
      <c r="S493" s="49"/>
      <c r="T493" s="49"/>
      <c r="U493" s="49"/>
      <c r="V493" s="49"/>
      <c r="W493" s="49"/>
      <c r="X493" s="49"/>
      <c r="Y493" s="49"/>
      <c r="Z493" s="49"/>
    </row>
    <row r="494">
      <c r="A494" s="49"/>
      <c r="B494" s="49"/>
      <c r="C494" s="49"/>
      <c r="D494" s="49"/>
      <c r="E494" s="106"/>
      <c r="F494" s="49"/>
      <c r="G494" s="49"/>
      <c r="H494" s="49"/>
      <c r="I494" s="49"/>
      <c r="J494" s="49"/>
      <c r="K494" s="49"/>
      <c r="L494" s="49"/>
      <c r="M494" s="49"/>
      <c r="N494" s="49"/>
      <c r="O494" s="49"/>
      <c r="P494" s="49"/>
      <c r="Q494" s="49"/>
      <c r="R494" s="49"/>
      <c r="S494" s="49"/>
      <c r="T494" s="49"/>
      <c r="U494" s="49"/>
      <c r="V494" s="49"/>
      <c r="W494" s="49"/>
      <c r="X494" s="49"/>
      <c r="Y494" s="49"/>
      <c r="Z494" s="49"/>
    </row>
    <row r="495">
      <c r="A495" s="49"/>
      <c r="B495" s="49"/>
      <c r="C495" s="49"/>
      <c r="D495" s="49"/>
      <c r="E495" s="106"/>
      <c r="F495" s="49"/>
      <c r="G495" s="49"/>
      <c r="H495" s="49"/>
      <c r="I495" s="49"/>
      <c r="J495" s="49"/>
      <c r="K495" s="49"/>
      <c r="L495" s="49"/>
      <c r="M495" s="49"/>
      <c r="N495" s="49"/>
      <c r="O495" s="49"/>
      <c r="P495" s="49"/>
      <c r="Q495" s="49"/>
      <c r="R495" s="49"/>
      <c r="S495" s="49"/>
      <c r="T495" s="49"/>
      <c r="U495" s="49"/>
      <c r="V495" s="49"/>
      <c r="W495" s="49"/>
      <c r="X495" s="49"/>
      <c r="Y495" s="49"/>
      <c r="Z495" s="49"/>
    </row>
    <row r="496">
      <c r="A496" s="49"/>
      <c r="B496" s="49"/>
      <c r="C496" s="49"/>
      <c r="D496" s="49"/>
      <c r="E496" s="106"/>
      <c r="F496" s="49"/>
      <c r="G496" s="49"/>
      <c r="H496" s="49"/>
      <c r="I496" s="49"/>
      <c r="J496" s="49"/>
      <c r="K496" s="49"/>
      <c r="L496" s="49"/>
      <c r="M496" s="49"/>
      <c r="N496" s="49"/>
      <c r="O496" s="49"/>
      <c r="P496" s="49"/>
      <c r="Q496" s="49"/>
      <c r="R496" s="49"/>
      <c r="S496" s="49"/>
      <c r="T496" s="49"/>
      <c r="U496" s="49"/>
      <c r="V496" s="49"/>
      <c r="W496" s="49"/>
      <c r="X496" s="49"/>
      <c r="Y496" s="49"/>
      <c r="Z496" s="49"/>
    </row>
    <row r="497">
      <c r="A497" s="49"/>
      <c r="B497" s="49"/>
      <c r="C497" s="49"/>
      <c r="D497" s="49"/>
      <c r="E497" s="106"/>
      <c r="F497" s="49"/>
      <c r="G497" s="49"/>
      <c r="H497" s="49"/>
      <c r="I497" s="49"/>
      <c r="J497" s="49"/>
      <c r="K497" s="49"/>
      <c r="L497" s="49"/>
      <c r="M497" s="49"/>
      <c r="N497" s="49"/>
      <c r="O497" s="49"/>
      <c r="P497" s="49"/>
      <c r="Q497" s="49"/>
      <c r="R497" s="49"/>
      <c r="S497" s="49"/>
      <c r="T497" s="49"/>
      <c r="U497" s="49"/>
      <c r="V497" s="49"/>
      <c r="W497" s="49"/>
      <c r="X497" s="49"/>
      <c r="Y497" s="49"/>
      <c r="Z497" s="49"/>
    </row>
    <row r="498">
      <c r="A498" s="49"/>
      <c r="B498" s="49"/>
      <c r="C498" s="49"/>
      <c r="D498" s="49"/>
      <c r="E498" s="106"/>
      <c r="F498" s="49"/>
      <c r="G498" s="49"/>
      <c r="H498" s="49"/>
      <c r="I498" s="49"/>
      <c r="J498" s="49"/>
      <c r="K498" s="49"/>
      <c r="L498" s="49"/>
      <c r="M498" s="49"/>
      <c r="N498" s="49"/>
      <c r="O498" s="49"/>
      <c r="P498" s="49"/>
      <c r="Q498" s="49"/>
      <c r="R498" s="49"/>
      <c r="S498" s="49"/>
      <c r="T498" s="49"/>
      <c r="U498" s="49"/>
      <c r="V498" s="49"/>
      <c r="W498" s="49"/>
      <c r="X498" s="49"/>
      <c r="Y498" s="49"/>
      <c r="Z498" s="49"/>
    </row>
    <row r="499">
      <c r="A499" s="49"/>
      <c r="B499" s="49"/>
      <c r="C499" s="49"/>
      <c r="D499" s="49"/>
      <c r="E499" s="106"/>
      <c r="F499" s="49"/>
      <c r="G499" s="49"/>
      <c r="H499" s="49"/>
      <c r="I499" s="49"/>
      <c r="J499" s="49"/>
      <c r="K499" s="49"/>
      <c r="L499" s="49"/>
      <c r="M499" s="49"/>
      <c r="N499" s="49"/>
      <c r="O499" s="49"/>
      <c r="P499" s="49"/>
      <c r="Q499" s="49"/>
      <c r="R499" s="49"/>
      <c r="S499" s="49"/>
      <c r="T499" s="49"/>
      <c r="U499" s="49"/>
      <c r="V499" s="49"/>
      <c r="W499" s="49"/>
      <c r="X499" s="49"/>
      <c r="Y499" s="49"/>
      <c r="Z499" s="49"/>
    </row>
    <row r="500">
      <c r="A500" s="49"/>
      <c r="B500" s="49"/>
      <c r="C500" s="49"/>
      <c r="D500" s="49"/>
      <c r="E500" s="106"/>
      <c r="F500" s="49"/>
      <c r="G500" s="49"/>
      <c r="H500" s="49"/>
      <c r="I500" s="49"/>
      <c r="J500" s="49"/>
      <c r="K500" s="49"/>
      <c r="L500" s="49"/>
      <c r="M500" s="49"/>
      <c r="N500" s="49"/>
      <c r="O500" s="49"/>
      <c r="P500" s="49"/>
      <c r="Q500" s="49"/>
      <c r="R500" s="49"/>
      <c r="S500" s="49"/>
      <c r="T500" s="49"/>
      <c r="U500" s="49"/>
      <c r="V500" s="49"/>
      <c r="W500" s="49"/>
      <c r="X500" s="49"/>
      <c r="Y500" s="49"/>
      <c r="Z500" s="49"/>
    </row>
    <row r="501">
      <c r="A501" s="49"/>
      <c r="B501" s="49"/>
      <c r="C501" s="49"/>
      <c r="D501" s="49"/>
      <c r="E501" s="106"/>
      <c r="F501" s="49"/>
      <c r="G501" s="49"/>
      <c r="H501" s="49"/>
      <c r="I501" s="49"/>
      <c r="J501" s="49"/>
      <c r="K501" s="49"/>
      <c r="L501" s="49"/>
      <c r="M501" s="49"/>
      <c r="N501" s="49"/>
      <c r="O501" s="49"/>
      <c r="P501" s="49"/>
      <c r="Q501" s="49"/>
      <c r="R501" s="49"/>
      <c r="S501" s="49"/>
      <c r="T501" s="49"/>
      <c r="U501" s="49"/>
      <c r="V501" s="49"/>
      <c r="W501" s="49"/>
      <c r="X501" s="49"/>
      <c r="Y501" s="49"/>
      <c r="Z501" s="49"/>
    </row>
    <row r="502">
      <c r="A502" s="49"/>
      <c r="B502" s="49"/>
      <c r="C502" s="49"/>
      <c r="D502" s="49"/>
      <c r="E502" s="106"/>
      <c r="F502" s="49"/>
      <c r="G502" s="49"/>
      <c r="H502" s="49"/>
      <c r="I502" s="49"/>
      <c r="J502" s="49"/>
      <c r="K502" s="49"/>
      <c r="L502" s="49"/>
      <c r="M502" s="49"/>
      <c r="N502" s="49"/>
      <c r="O502" s="49"/>
      <c r="P502" s="49"/>
      <c r="Q502" s="49"/>
      <c r="R502" s="49"/>
      <c r="S502" s="49"/>
      <c r="T502" s="49"/>
      <c r="U502" s="49"/>
      <c r="V502" s="49"/>
      <c r="W502" s="49"/>
      <c r="X502" s="49"/>
      <c r="Y502" s="49"/>
      <c r="Z502" s="49"/>
    </row>
    <row r="503">
      <c r="A503" s="49"/>
      <c r="B503" s="49"/>
      <c r="C503" s="49"/>
      <c r="D503" s="49"/>
      <c r="E503" s="106"/>
      <c r="F503" s="49"/>
      <c r="G503" s="49"/>
      <c r="H503" s="49"/>
      <c r="I503" s="49"/>
      <c r="J503" s="49"/>
      <c r="K503" s="49"/>
      <c r="L503" s="49"/>
      <c r="M503" s="49"/>
      <c r="N503" s="49"/>
      <c r="O503" s="49"/>
      <c r="P503" s="49"/>
      <c r="Q503" s="49"/>
      <c r="R503" s="49"/>
      <c r="S503" s="49"/>
      <c r="T503" s="49"/>
      <c r="U503" s="49"/>
      <c r="V503" s="49"/>
      <c r="W503" s="49"/>
      <c r="X503" s="49"/>
      <c r="Y503" s="49"/>
      <c r="Z503" s="49"/>
    </row>
    <row r="504">
      <c r="A504" s="49"/>
      <c r="B504" s="49"/>
      <c r="C504" s="49"/>
      <c r="D504" s="49"/>
      <c r="E504" s="106"/>
      <c r="F504" s="49"/>
      <c r="G504" s="49"/>
      <c r="H504" s="49"/>
      <c r="I504" s="49"/>
      <c r="J504" s="49"/>
      <c r="K504" s="49"/>
      <c r="L504" s="49"/>
      <c r="M504" s="49"/>
      <c r="N504" s="49"/>
      <c r="O504" s="49"/>
      <c r="P504" s="49"/>
      <c r="Q504" s="49"/>
      <c r="R504" s="49"/>
      <c r="S504" s="49"/>
      <c r="T504" s="49"/>
      <c r="U504" s="49"/>
      <c r="V504" s="49"/>
      <c r="W504" s="49"/>
      <c r="X504" s="49"/>
      <c r="Y504" s="49"/>
      <c r="Z504" s="49"/>
    </row>
    <row r="505">
      <c r="A505" s="49"/>
      <c r="B505" s="49"/>
      <c r="C505" s="49"/>
      <c r="D505" s="49"/>
      <c r="E505" s="106"/>
      <c r="F505" s="49"/>
      <c r="G505" s="49"/>
      <c r="H505" s="49"/>
      <c r="I505" s="49"/>
      <c r="J505" s="49"/>
      <c r="K505" s="49"/>
      <c r="L505" s="49"/>
      <c r="M505" s="49"/>
      <c r="N505" s="49"/>
      <c r="O505" s="49"/>
      <c r="P505" s="49"/>
      <c r="Q505" s="49"/>
      <c r="R505" s="49"/>
      <c r="S505" s="49"/>
      <c r="T505" s="49"/>
      <c r="U505" s="49"/>
      <c r="V505" s="49"/>
      <c r="W505" s="49"/>
      <c r="X505" s="49"/>
      <c r="Y505" s="49"/>
      <c r="Z505" s="49"/>
    </row>
    <row r="506">
      <c r="A506" s="49"/>
      <c r="B506" s="49"/>
      <c r="C506" s="49"/>
      <c r="D506" s="49"/>
      <c r="E506" s="106"/>
      <c r="F506" s="49"/>
      <c r="G506" s="49"/>
      <c r="H506" s="49"/>
      <c r="I506" s="49"/>
      <c r="J506" s="49"/>
      <c r="K506" s="49"/>
      <c r="L506" s="49"/>
      <c r="M506" s="49"/>
      <c r="N506" s="49"/>
      <c r="O506" s="49"/>
      <c r="P506" s="49"/>
      <c r="Q506" s="49"/>
      <c r="R506" s="49"/>
      <c r="S506" s="49"/>
      <c r="T506" s="49"/>
      <c r="U506" s="49"/>
      <c r="V506" s="49"/>
      <c r="W506" s="49"/>
      <c r="X506" s="49"/>
      <c r="Y506" s="49"/>
      <c r="Z506" s="49"/>
    </row>
    <row r="507">
      <c r="A507" s="49"/>
      <c r="B507" s="49"/>
      <c r="C507" s="49"/>
      <c r="D507" s="49"/>
      <c r="E507" s="106"/>
      <c r="F507" s="49"/>
      <c r="G507" s="49"/>
      <c r="H507" s="49"/>
      <c r="I507" s="49"/>
      <c r="J507" s="49"/>
      <c r="K507" s="49"/>
      <c r="L507" s="49"/>
      <c r="M507" s="49"/>
      <c r="N507" s="49"/>
      <c r="O507" s="49"/>
      <c r="P507" s="49"/>
      <c r="Q507" s="49"/>
      <c r="R507" s="49"/>
      <c r="S507" s="49"/>
      <c r="T507" s="49"/>
      <c r="U507" s="49"/>
      <c r="V507" s="49"/>
      <c r="W507" s="49"/>
      <c r="X507" s="49"/>
      <c r="Y507" s="49"/>
      <c r="Z507" s="49"/>
    </row>
    <row r="508">
      <c r="A508" s="49"/>
      <c r="B508" s="49"/>
      <c r="C508" s="49"/>
      <c r="D508" s="49"/>
      <c r="E508" s="106"/>
      <c r="F508" s="49"/>
      <c r="G508" s="49"/>
      <c r="H508" s="49"/>
      <c r="I508" s="49"/>
      <c r="J508" s="49"/>
      <c r="K508" s="49"/>
      <c r="L508" s="49"/>
      <c r="M508" s="49"/>
      <c r="N508" s="49"/>
      <c r="O508" s="49"/>
      <c r="P508" s="49"/>
      <c r="Q508" s="49"/>
      <c r="R508" s="49"/>
      <c r="S508" s="49"/>
      <c r="T508" s="49"/>
      <c r="U508" s="49"/>
      <c r="V508" s="49"/>
      <c r="W508" s="49"/>
      <c r="X508" s="49"/>
      <c r="Y508" s="49"/>
      <c r="Z508" s="49"/>
    </row>
    <row r="509">
      <c r="A509" s="49"/>
      <c r="B509" s="49"/>
      <c r="C509" s="49"/>
      <c r="D509" s="49"/>
      <c r="E509" s="106"/>
      <c r="F509" s="49"/>
      <c r="G509" s="49"/>
      <c r="H509" s="49"/>
      <c r="I509" s="49"/>
      <c r="J509" s="49"/>
      <c r="K509" s="49"/>
      <c r="L509" s="49"/>
      <c r="M509" s="49"/>
      <c r="N509" s="49"/>
      <c r="O509" s="49"/>
      <c r="P509" s="49"/>
      <c r="Q509" s="49"/>
      <c r="R509" s="49"/>
      <c r="S509" s="49"/>
      <c r="T509" s="49"/>
      <c r="U509" s="49"/>
      <c r="V509" s="49"/>
      <c r="W509" s="49"/>
      <c r="X509" s="49"/>
      <c r="Y509" s="49"/>
      <c r="Z509" s="49"/>
    </row>
    <row r="510">
      <c r="A510" s="49"/>
      <c r="B510" s="49"/>
      <c r="C510" s="49"/>
      <c r="D510" s="49"/>
      <c r="E510" s="106"/>
      <c r="F510" s="49"/>
      <c r="G510" s="49"/>
      <c r="H510" s="49"/>
      <c r="I510" s="49"/>
      <c r="J510" s="49"/>
      <c r="K510" s="49"/>
      <c r="L510" s="49"/>
      <c r="M510" s="49"/>
      <c r="N510" s="49"/>
      <c r="O510" s="49"/>
      <c r="P510" s="49"/>
      <c r="Q510" s="49"/>
      <c r="R510" s="49"/>
      <c r="S510" s="49"/>
      <c r="T510" s="49"/>
      <c r="U510" s="49"/>
      <c r="V510" s="49"/>
      <c r="W510" s="49"/>
      <c r="X510" s="49"/>
      <c r="Y510" s="49"/>
      <c r="Z510" s="49"/>
    </row>
    <row r="511">
      <c r="A511" s="49"/>
      <c r="B511" s="49"/>
      <c r="C511" s="49"/>
      <c r="D511" s="49"/>
      <c r="E511" s="106"/>
      <c r="F511" s="49"/>
      <c r="G511" s="49"/>
      <c r="H511" s="49"/>
      <c r="I511" s="49"/>
      <c r="J511" s="49"/>
      <c r="K511" s="49"/>
      <c r="L511" s="49"/>
      <c r="M511" s="49"/>
      <c r="N511" s="49"/>
      <c r="O511" s="49"/>
      <c r="P511" s="49"/>
      <c r="Q511" s="49"/>
      <c r="R511" s="49"/>
      <c r="S511" s="49"/>
      <c r="T511" s="49"/>
      <c r="U511" s="49"/>
      <c r="V511" s="49"/>
      <c r="W511" s="49"/>
      <c r="X511" s="49"/>
      <c r="Y511" s="49"/>
      <c r="Z511" s="49"/>
    </row>
    <row r="512">
      <c r="A512" s="49"/>
      <c r="B512" s="49"/>
      <c r="C512" s="49"/>
      <c r="D512" s="49"/>
      <c r="E512" s="106"/>
      <c r="F512" s="49"/>
      <c r="G512" s="49"/>
      <c r="H512" s="49"/>
      <c r="I512" s="49"/>
      <c r="J512" s="49"/>
      <c r="K512" s="49"/>
      <c r="L512" s="49"/>
      <c r="M512" s="49"/>
      <c r="N512" s="49"/>
      <c r="O512" s="49"/>
      <c r="P512" s="49"/>
      <c r="Q512" s="49"/>
      <c r="R512" s="49"/>
      <c r="S512" s="49"/>
      <c r="T512" s="49"/>
      <c r="U512" s="49"/>
      <c r="V512" s="49"/>
      <c r="W512" s="49"/>
      <c r="X512" s="49"/>
      <c r="Y512" s="49"/>
      <c r="Z512" s="49"/>
    </row>
    <row r="513">
      <c r="A513" s="49"/>
      <c r="B513" s="49"/>
      <c r="C513" s="49"/>
      <c r="D513" s="49"/>
      <c r="E513" s="106"/>
      <c r="F513" s="49"/>
      <c r="G513" s="49"/>
      <c r="H513" s="49"/>
      <c r="I513" s="49"/>
      <c r="J513" s="49"/>
      <c r="K513" s="49"/>
      <c r="L513" s="49"/>
      <c r="M513" s="49"/>
      <c r="N513" s="49"/>
      <c r="O513" s="49"/>
      <c r="P513" s="49"/>
      <c r="Q513" s="49"/>
      <c r="R513" s="49"/>
      <c r="S513" s="49"/>
      <c r="T513" s="49"/>
      <c r="U513" s="49"/>
      <c r="V513" s="49"/>
      <c r="W513" s="49"/>
      <c r="X513" s="49"/>
      <c r="Y513" s="49"/>
      <c r="Z513" s="49"/>
    </row>
    <row r="514">
      <c r="A514" s="49"/>
      <c r="B514" s="49"/>
      <c r="C514" s="49"/>
      <c r="D514" s="49"/>
      <c r="E514" s="106"/>
      <c r="F514" s="49"/>
      <c r="G514" s="49"/>
      <c r="H514" s="49"/>
      <c r="I514" s="49"/>
      <c r="J514" s="49"/>
      <c r="K514" s="49"/>
      <c r="L514" s="49"/>
      <c r="M514" s="49"/>
      <c r="N514" s="49"/>
      <c r="O514" s="49"/>
      <c r="P514" s="49"/>
      <c r="Q514" s="49"/>
      <c r="R514" s="49"/>
      <c r="S514" s="49"/>
      <c r="T514" s="49"/>
      <c r="U514" s="49"/>
      <c r="V514" s="49"/>
      <c r="W514" s="49"/>
      <c r="X514" s="49"/>
      <c r="Y514" s="49"/>
      <c r="Z514" s="49"/>
    </row>
    <row r="515">
      <c r="A515" s="49"/>
      <c r="B515" s="49"/>
      <c r="C515" s="49"/>
      <c r="D515" s="49"/>
      <c r="E515" s="106"/>
      <c r="F515" s="49"/>
      <c r="G515" s="49"/>
      <c r="H515" s="49"/>
      <c r="I515" s="49"/>
      <c r="J515" s="49"/>
      <c r="K515" s="49"/>
      <c r="L515" s="49"/>
      <c r="M515" s="49"/>
      <c r="N515" s="49"/>
      <c r="O515" s="49"/>
      <c r="P515" s="49"/>
      <c r="Q515" s="49"/>
      <c r="R515" s="49"/>
      <c r="S515" s="49"/>
      <c r="T515" s="49"/>
      <c r="U515" s="49"/>
      <c r="V515" s="49"/>
      <c r="W515" s="49"/>
      <c r="X515" s="49"/>
      <c r="Y515" s="49"/>
      <c r="Z515" s="49"/>
    </row>
    <row r="516">
      <c r="A516" s="49"/>
      <c r="B516" s="49"/>
      <c r="C516" s="49"/>
      <c r="D516" s="49"/>
      <c r="E516" s="106"/>
      <c r="F516" s="49"/>
      <c r="G516" s="49"/>
      <c r="H516" s="49"/>
      <c r="I516" s="49"/>
      <c r="J516" s="49"/>
      <c r="K516" s="49"/>
      <c r="L516" s="49"/>
      <c r="M516" s="49"/>
      <c r="N516" s="49"/>
      <c r="O516" s="49"/>
      <c r="P516" s="49"/>
      <c r="Q516" s="49"/>
      <c r="R516" s="49"/>
      <c r="S516" s="49"/>
      <c r="T516" s="49"/>
      <c r="U516" s="49"/>
      <c r="V516" s="49"/>
      <c r="W516" s="49"/>
      <c r="X516" s="49"/>
      <c r="Y516" s="49"/>
      <c r="Z516" s="49"/>
    </row>
    <row r="517">
      <c r="A517" s="49"/>
      <c r="B517" s="49"/>
      <c r="C517" s="49"/>
      <c r="D517" s="49"/>
      <c r="E517" s="106"/>
      <c r="F517" s="49"/>
      <c r="G517" s="49"/>
      <c r="H517" s="49"/>
      <c r="I517" s="49"/>
      <c r="J517" s="49"/>
      <c r="K517" s="49"/>
      <c r="L517" s="49"/>
      <c r="M517" s="49"/>
      <c r="N517" s="49"/>
      <c r="O517" s="49"/>
      <c r="P517" s="49"/>
      <c r="Q517" s="49"/>
      <c r="R517" s="49"/>
      <c r="S517" s="49"/>
      <c r="T517" s="49"/>
      <c r="U517" s="49"/>
      <c r="V517" s="49"/>
      <c r="W517" s="49"/>
      <c r="X517" s="49"/>
      <c r="Y517" s="49"/>
      <c r="Z517" s="49"/>
    </row>
    <row r="518">
      <c r="A518" s="49"/>
      <c r="B518" s="49"/>
      <c r="C518" s="49"/>
      <c r="D518" s="49"/>
      <c r="E518" s="106"/>
      <c r="F518" s="49"/>
      <c r="G518" s="49"/>
      <c r="H518" s="49"/>
      <c r="I518" s="49"/>
      <c r="J518" s="49"/>
      <c r="K518" s="49"/>
      <c r="L518" s="49"/>
      <c r="M518" s="49"/>
      <c r="N518" s="49"/>
      <c r="O518" s="49"/>
      <c r="P518" s="49"/>
      <c r="Q518" s="49"/>
      <c r="R518" s="49"/>
      <c r="S518" s="49"/>
      <c r="T518" s="49"/>
      <c r="U518" s="49"/>
      <c r="V518" s="49"/>
      <c r="W518" s="49"/>
      <c r="X518" s="49"/>
      <c r="Y518" s="49"/>
      <c r="Z518" s="49"/>
    </row>
    <row r="519">
      <c r="A519" s="49"/>
      <c r="B519" s="49"/>
      <c r="C519" s="49"/>
      <c r="D519" s="49"/>
      <c r="E519" s="106"/>
      <c r="F519" s="49"/>
      <c r="G519" s="49"/>
      <c r="H519" s="49"/>
      <c r="I519" s="49"/>
      <c r="J519" s="49"/>
      <c r="K519" s="49"/>
      <c r="L519" s="49"/>
      <c r="M519" s="49"/>
      <c r="N519" s="49"/>
      <c r="O519" s="49"/>
      <c r="P519" s="49"/>
      <c r="Q519" s="49"/>
      <c r="R519" s="49"/>
      <c r="S519" s="49"/>
      <c r="T519" s="49"/>
      <c r="U519" s="49"/>
      <c r="V519" s="49"/>
      <c r="W519" s="49"/>
      <c r="X519" s="49"/>
      <c r="Y519" s="49"/>
      <c r="Z519" s="49"/>
    </row>
    <row r="520">
      <c r="A520" s="49"/>
      <c r="B520" s="49"/>
      <c r="C520" s="49"/>
      <c r="D520" s="49"/>
      <c r="E520" s="106"/>
      <c r="F520" s="49"/>
      <c r="G520" s="49"/>
      <c r="H520" s="49"/>
      <c r="I520" s="49"/>
      <c r="J520" s="49"/>
      <c r="K520" s="49"/>
      <c r="L520" s="49"/>
      <c r="M520" s="49"/>
      <c r="N520" s="49"/>
      <c r="O520" s="49"/>
      <c r="P520" s="49"/>
      <c r="Q520" s="49"/>
      <c r="R520" s="49"/>
      <c r="S520" s="49"/>
      <c r="T520" s="49"/>
      <c r="U520" s="49"/>
      <c r="V520" s="49"/>
      <c r="W520" s="49"/>
      <c r="X520" s="49"/>
      <c r="Y520" s="49"/>
      <c r="Z520" s="49"/>
    </row>
    <row r="521">
      <c r="A521" s="49"/>
      <c r="B521" s="49"/>
      <c r="C521" s="49"/>
      <c r="D521" s="49"/>
      <c r="E521" s="106"/>
      <c r="F521" s="49"/>
      <c r="G521" s="49"/>
      <c r="H521" s="49"/>
      <c r="I521" s="49"/>
      <c r="J521" s="49"/>
      <c r="K521" s="49"/>
      <c r="L521" s="49"/>
      <c r="M521" s="49"/>
      <c r="N521" s="49"/>
      <c r="O521" s="49"/>
      <c r="P521" s="49"/>
      <c r="Q521" s="49"/>
      <c r="R521" s="49"/>
      <c r="S521" s="49"/>
      <c r="T521" s="49"/>
      <c r="U521" s="49"/>
      <c r="V521" s="49"/>
      <c r="W521" s="49"/>
      <c r="X521" s="49"/>
      <c r="Y521" s="49"/>
      <c r="Z521" s="49"/>
    </row>
    <row r="522">
      <c r="A522" s="49"/>
      <c r="B522" s="49"/>
      <c r="C522" s="49"/>
      <c r="D522" s="49"/>
      <c r="E522" s="106"/>
      <c r="F522" s="49"/>
      <c r="G522" s="49"/>
      <c r="H522" s="49"/>
      <c r="I522" s="49"/>
      <c r="J522" s="49"/>
      <c r="K522" s="49"/>
      <c r="L522" s="49"/>
      <c r="M522" s="49"/>
      <c r="N522" s="49"/>
      <c r="O522" s="49"/>
      <c r="P522" s="49"/>
      <c r="Q522" s="49"/>
      <c r="R522" s="49"/>
      <c r="S522" s="49"/>
      <c r="T522" s="49"/>
      <c r="U522" s="49"/>
      <c r="V522" s="49"/>
      <c r="W522" s="49"/>
      <c r="X522" s="49"/>
      <c r="Y522" s="49"/>
      <c r="Z522" s="49"/>
    </row>
    <row r="523">
      <c r="A523" s="49"/>
      <c r="B523" s="49"/>
      <c r="C523" s="49"/>
      <c r="D523" s="49"/>
      <c r="E523" s="106"/>
      <c r="F523" s="49"/>
      <c r="G523" s="49"/>
      <c r="H523" s="49"/>
      <c r="I523" s="49"/>
      <c r="J523" s="49"/>
      <c r="K523" s="49"/>
      <c r="L523" s="49"/>
      <c r="M523" s="49"/>
      <c r="N523" s="49"/>
      <c r="O523" s="49"/>
      <c r="P523" s="49"/>
      <c r="Q523" s="49"/>
      <c r="R523" s="49"/>
      <c r="S523" s="49"/>
      <c r="T523" s="49"/>
      <c r="U523" s="49"/>
      <c r="V523" s="49"/>
      <c r="W523" s="49"/>
      <c r="X523" s="49"/>
      <c r="Y523" s="49"/>
      <c r="Z523" s="49"/>
    </row>
    <row r="524">
      <c r="A524" s="49"/>
      <c r="B524" s="49"/>
      <c r="C524" s="49"/>
      <c r="D524" s="49"/>
      <c r="E524" s="106"/>
      <c r="F524" s="49"/>
      <c r="G524" s="49"/>
      <c r="H524" s="49"/>
      <c r="I524" s="49"/>
      <c r="J524" s="49"/>
      <c r="K524" s="49"/>
      <c r="L524" s="49"/>
      <c r="M524" s="49"/>
      <c r="N524" s="49"/>
      <c r="O524" s="49"/>
      <c r="P524" s="49"/>
      <c r="Q524" s="49"/>
      <c r="R524" s="49"/>
      <c r="S524" s="49"/>
      <c r="T524" s="49"/>
      <c r="U524" s="49"/>
      <c r="V524" s="49"/>
      <c r="W524" s="49"/>
      <c r="X524" s="49"/>
      <c r="Y524" s="49"/>
      <c r="Z524" s="49"/>
    </row>
    <row r="525">
      <c r="A525" s="49"/>
      <c r="B525" s="49"/>
      <c r="C525" s="49"/>
      <c r="D525" s="49"/>
      <c r="E525" s="106"/>
      <c r="F525" s="49"/>
      <c r="G525" s="49"/>
      <c r="H525" s="49"/>
      <c r="I525" s="49"/>
      <c r="J525" s="49"/>
      <c r="K525" s="49"/>
      <c r="L525" s="49"/>
      <c r="M525" s="49"/>
      <c r="N525" s="49"/>
      <c r="O525" s="49"/>
      <c r="P525" s="49"/>
      <c r="Q525" s="49"/>
      <c r="R525" s="49"/>
      <c r="S525" s="49"/>
      <c r="T525" s="49"/>
      <c r="U525" s="49"/>
      <c r="V525" s="49"/>
      <c r="W525" s="49"/>
      <c r="X525" s="49"/>
      <c r="Y525" s="49"/>
      <c r="Z525" s="49"/>
    </row>
    <row r="526">
      <c r="A526" s="49"/>
      <c r="B526" s="49"/>
      <c r="C526" s="49"/>
      <c r="D526" s="49"/>
      <c r="E526" s="106"/>
      <c r="F526" s="49"/>
      <c r="G526" s="49"/>
      <c r="H526" s="49"/>
      <c r="I526" s="49"/>
      <c r="J526" s="49"/>
      <c r="K526" s="49"/>
      <c r="L526" s="49"/>
      <c r="M526" s="49"/>
      <c r="N526" s="49"/>
      <c r="O526" s="49"/>
      <c r="P526" s="49"/>
      <c r="Q526" s="49"/>
      <c r="R526" s="49"/>
      <c r="S526" s="49"/>
      <c r="T526" s="49"/>
      <c r="U526" s="49"/>
      <c r="V526" s="49"/>
      <c r="W526" s="49"/>
      <c r="X526" s="49"/>
      <c r="Y526" s="49"/>
      <c r="Z526" s="49"/>
    </row>
    <row r="527">
      <c r="A527" s="49"/>
      <c r="B527" s="49"/>
      <c r="C527" s="49"/>
      <c r="D527" s="49"/>
      <c r="E527" s="106"/>
      <c r="F527" s="49"/>
      <c r="G527" s="49"/>
      <c r="H527" s="49"/>
      <c r="I527" s="49"/>
      <c r="J527" s="49"/>
      <c r="K527" s="49"/>
      <c r="L527" s="49"/>
      <c r="M527" s="49"/>
      <c r="N527" s="49"/>
      <c r="O527" s="49"/>
      <c r="P527" s="49"/>
      <c r="Q527" s="49"/>
      <c r="R527" s="49"/>
      <c r="S527" s="49"/>
      <c r="T527" s="49"/>
      <c r="U527" s="49"/>
      <c r="V527" s="49"/>
      <c r="W527" s="49"/>
      <c r="X527" s="49"/>
      <c r="Y527" s="49"/>
      <c r="Z527" s="49"/>
    </row>
    <row r="528">
      <c r="A528" s="49"/>
      <c r="B528" s="49"/>
      <c r="C528" s="49"/>
      <c r="D528" s="49"/>
      <c r="E528" s="106"/>
      <c r="F528" s="49"/>
      <c r="G528" s="49"/>
      <c r="H528" s="49"/>
      <c r="I528" s="49"/>
      <c r="J528" s="49"/>
      <c r="K528" s="49"/>
      <c r="L528" s="49"/>
      <c r="M528" s="49"/>
      <c r="N528" s="49"/>
      <c r="O528" s="49"/>
      <c r="P528" s="49"/>
      <c r="Q528" s="49"/>
      <c r="R528" s="49"/>
      <c r="S528" s="49"/>
      <c r="T528" s="49"/>
      <c r="U528" s="49"/>
      <c r="V528" s="49"/>
      <c r="W528" s="49"/>
      <c r="X528" s="49"/>
      <c r="Y528" s="49"/>
      <c r="Z528" s="49"/>
    </row>
    <row r="529">
      <c r="A529" s="49"/>
      <c r="B529" s="49"/>
      <c r="C529" s="49"/>
      <c r="D529" s="49"/>
      <c r="E529" s="106"/>
      <c r="F529" s="49"/>
      <c r="G529" s="49"/>
      <c r="H529" s="49"/>
      <c r="I529" s="49"/>
      <c r="J529" s="49"/>
      <c r="K529" s="49"/>
      <c r="L529" s="49"/>
      <c r="M529" s="49"/>
      <c r="N529" s="49"/>
      <c r="O529" s="49"/>
      <c r="P529" s="49"/>
      <c r="Q529" s="49"/>
      <c r="R529" s="49"/>
      <c r="S529" s="49"/>
      <c r="T529" s="49"/>
      <c r="U529" s="49"/>
      <c r="V529" s="49"/>
      <c r="W529" s="49"/>
      <c r="X529" s="49"/>
      <c r="Y529" s="49"/>
      <c r="Z529" s="49"/>
    </row>
    <row r="530">
      <c r="A530" s="49"/>
      <c r="B530" s="49"/>
      <c r="C530" s="49"/>
      <c r="D530" s="49"/>
      <c r="E530" s="106"/>
      <c r="F530" s="49"/>
      <c r="G530" s="49"/>
      <c r="H530" s="49"/>
      <c r="I530" s="49"/>
      <c r="J530" s="49"/>
      <c r="K530" s="49"/>
      <c r="L530" s="49"/>
      <c r="M530" s="49"/>
      <c r="N530" s="49"/>
      <c r="O530" s="49"/>
      <c r="P530" s="49"/>
      <c r="Q530" s="49"/>
      <c r="R530" s="49"/>
      <c r="S530" s="49"/>
      <c r="T530" s="49"/>
      <c r="U530" s="49"/>
      <c r="V530" s="49"/>
      <c r="W530" s="49"/>
      <c r="X530" s="49"/>
      <c r="Y530" s="49"/>
      <c r="Z530" s="49"/>
    </row>
    <row r="531">
      <c r="A531" s="49"/>
      <c r="B531" s="49"/>
      <c r="C531" s="49"/>
      <c r="D531" s="49"/>
      <c r="E531" s="106"/>
      <c r="F531" s="49"/>
      <c r="G531" s="49"/>
      <c r="H531" s="49"/>
      <c r="I531" s="49"/>
      <c r="J531" s="49"/>
      <c r="K531" s="49"/>
      <c r="L531" s="49"/>
      <c r="M531" s="49"/>
      <c r="N531" s="49"/>
      <c r="O531" s="49"/>
      <c r="P531" s="49"/>
      <c r="Q531" s="49"/>
      <c r="R531" s="49"/>
      <c r="S531" s="49"/>
      <c r="T531" s="49"/>
      <c r="U531" s="49"/>
      <c r="V531" s="49"/>
      <c r="W531" s="49"/>
      <c r="X531" s="49"/>
      <c r="Y531" s="49"/>
      <c r="Z531" s="49"/>
    </row>
    <row r="532">
      <c r="A532" s="49"/>
      <c r="B532" s="49"/>
      <c r="C532" s="49"/>
      <c r="D532" s="49"/>
      <c r="E532" s="106"/>
      <c r="F532" s="49"/>
      <c r="G532" s="49"/>
      <c r="H532" s="49"/>
      <c r="I532" s="49"/>
      <c r="J532" s="49"/>
      <c r="K532" s="49"/>
      <c r="L532" s="49"/>
      <c r="M532" s="49"/>
      <c r="N532" s="49"/>
      <c r="O532" s="49"/>
      <c r="P532" s="49"/>
      <c r="Q532" s="49"/>
      <c r="R532" s="49"/>
      <c r="S532" s="49"/>
      <c r="T532" s="49"/>
      <c r="U532" s="49"/>
      <c r="V532" s="49"/>
      <c r="W532" s="49"/>
      <c r="X532" s="49"/>
      <c r="Y532" s="49"/>
      <c r="Z532" s="49"/>
    </row>
    <row r="533">
      <c r="A533" s="49"/>
      <c r="B533" s="49"/>
      <c r="C533" s="49"/>
      <c r="D533" s="49"/>
      <c r="E533" s="106"/>
      <c r="F533" s="49"/>
      <c r="G533" s="49"/>
      <c r="H533" s="49"/>
      <c r="I533" s="49"/>
      <c r="J533" s="49"/>
      <c r="K533" s="49"/>
      <c r="L533" s="49"/>
      <c r="M533" s="49"/>
      <c r="N533" s="49"/>
      <c r="O533" s="49"/>
      <c r="P533" s="49"/>
      <c r="Q533" s="49"/>
      <c r="R533" s="49"/>
      <c r="S533" s="49"/>
      <c r="T533" s="49"/>
      <c r="U533" s="49"/>
      <c r="V533" s="49"/>
      <c r="W533" s="49"/>
      <c r="X533" s="49"/>
      <c r="Y533" s="49"/>
      <c r="Z533" s="49"/>
    </row>
    <row r="534">
      <c r="A534" s="49"/>
      <c r="B534" s="49"/>
      <c r="C534" s="49"/>
      <c r="D534" s="49"/>
      <c r="E534" s="106"/>
      <c r="F534" s="49"/>
      <c r="G534" s="49"/>
      <c r="H534" s="49"/>
      <c r="I534" s="49"/>
      <c r="J534" s="49"/>
      <c r="K534" s="49"/>
      <c r="L534" s="49"/>
      <c r="M534" s="49"/>
      <c r="N534" s="49"/>
      <c r="O534" s="49"/>
      <c r="P534" s="49"/>
      <c r="Q534" s="49"/>
      <c r="R534" s="49"/>
      <c r="S534" s="49"/>
      <c r="T534" s="49"/>
      <c r="U534" s="49"/>
      <c r="V534" s="49"/>
      <c r="W534" s="49"/>
      <c r="X534" s="49"/>
      <c r="Y534" s="49"/>
      <c r="Z534" s="49"/>
    </row>
    <row r="535">
      <c r="A535" s="49"/>
      <c r="B535" s="49"/>
      <c r="C535" s="49"/>
      <c r="D535" s="49"/>
      <c r="E535" s="106"/>
      <c r="F535" s="49"/>
      <c r="G535" s="49"/>
      <c r="H535" s="49"/>
      <c r="I535" s="49"/>
      <c r="J535" s="49"/>
      <c r="K535" s="49"/>
      <c r="L535" s="49"/>
      <c r="M535" s="49"/>
      <c r="N535" s="49"/>
      <c r="O535" s="49"/>
      <c r="P535" s="49"/>
      <c r="Q535" s="49"/>
      <c r="R535" s="49"/>
      <c r="S535" s="49"/>
      <c r="T535" s="49"/>
      <c r="U535" s="49"/>
      <c r="V535" s="49"/>
      <c r="W535" s="49"/>
      <c r="X535" s="49"/>
      <c r="Y535" s="49"/>
      <c r="Z535" s="49"/>
    </row>
    <row r="536">
      <c r="A536" s="49"/>
      <c r="B536" s="49"/>
      <c r="C536" s="49"/>
      <c r="D536" s="49"/>
      <c r="E536" s="106"/>
      <c r="F536" s="49"/>
      <c r="G536" s="49"/>
      <c r="H536" s="49"/>
      <c r="I536" s="49"/>
      <c r="J536" s="49"/>
      <c r="K536" s="49"/>
      <c r="L536" s="49"/>
      <c r="M536" s="49"/>
      <c r="N536" s="49"/>
      <c r="O536" s="49"/>
      <c r="P536" s="49"/>
      <c r="Q536" s="49"/>
      <c r="R536" s="49"/>
      <c r="S536" s="49"/>
      <c r="T536" s="49"/>
      <c r="U536" s="49"/>
      <c r="V536" s="49"/>
      <c r="W536" s="49"/>
      <c r="X536" s="49"/>
      <c r="Y536" s="49"/>
      <c r="Z536" s="49"/>
    </row>
    <row r="537">
      <c r="A537" s="49"/>
      <c r="B537" s="49"/>
      <c r="C537" s="49"/>
      <c r="D537" s="49"/>
      <c r="E537" s="106"/>
      <c r="F537" s="49"/>
      <c r="G537" s="49"/>
      <c r="H537" s="49"/>
      <c r="I537" s="49"/>
      <c r="J537" s="49"/>
      <c r="K537" s="49"/>
      <c r="L537" s="49"/>
      <c r="M537" s="49"/>
      <c r="N537" s="49"/>
      <c r="O537" s="49"/>
      <c r="P537" s="49"/>
      <c r="Q537" s="49"/>
      <c r="R537" s="49"/>
      <c r="S537" s="49"/>
      <c r="T537" s="49"/>
      <c r="U537" s="49"/>
      <c r="V537" s="49"/>
      <c r="W537" s="49"/>
      <c r="X537" s="49"/>
      <c r="Y537" s="49"/>
      <c r="Z537" s="49"/>
    </row>
    <row r="538">
      <c r="A538" s="49"/>
      <c r="B538" s="49"/>
      <c r="C538" s="49"/>
      <c r="D538" s="49"/>
      <c r="E538" s="106"/>
      <c r="F538" s="49"/>
      <c r="G538" s="49"/>
      <c r="H538" s="49"/>
      <c r="I538" s="49"/>
      <c r="J538" s="49"/>
      <c r="K538" s="49"/>
      <c r="L538" s="49"/>
      <c r="M538" s="49"/>
      <c r="N538" s="49"/>
      <c r="O538" s="49"/>
      <c r="P538" s="49"/>
      <c r="Q538" s="49"/>
      <c r="R538" s="49"/>
      <c r="S538" s="49"/>
      <c r="T538" s="49"/>
      <c r="U538" s="49"/>
      <c r="V538" s="49"/>
      <c r="W538" s="49"/>
      <c r="X538" s="49"/>
      <c r="Y538" s="49"/>
      <c r="Z538" s="49"/>
    </row>
    <row r="539">
      <c r="A539" s="49"/>
      <c r="B539" s="49"/>
      <c r="C539" s="49"/>
      <c r="D539" s="49"/>
      <c r="E539" s="106"/>
      <c r="F539" s="49"/>
      <c r="G539" s="49"/>
      <c r="H539" s="49"/>
      <c r="I539" s="49"/>
      <c r="J539" s="49"/>
      <c r="K539" s="49"/>
      <c r="L539" s="49"/>
      <c r="M539" s="49"/>
      <c r="N539" s="49"/>
      <c r="O539" s="49"/>
      <c r="P539" s="49"/>
      <c r="Q539" s="49"/>
      <c r="R539" s="49"/>
      <c r="S539" s="49"/>
      <c r="T539" s="49"/>
      <c r="U539" s="49"/>
      <c r="V539" s="49"/>
      <c r="W539" s="49"/>
      <c r="X539" s="49"/>
      <c r="Y539" s="49"/>
      <c r="Z539" s="49"/>
    </row>
    <row r="540">
      <c r="A540" s="49"/>
      <c r="B540" s="49"/>
      <c r="C540" s="49"/>
      <c r="D540" s="49"/>
      <c r="E540" s="106"/>
      <c r="F540" s="49"/>
      <c r="G540" s="49"/>
      <c r="H540" s="49"/>
      <c r="I540" s="49"/>
      <c r="J540" s="49"/>
      <c r="K540" s="49"/>
      <c r="L540" s="49"/>
      <c r="M540" s="49"/>
      <c r="N540" s="49"/>
      <c r="O540" s="49"/>
      <c r="P540" s="49"/>
      <c r="Q540" s="49"/>
      <c r="R540" s="49"/>
      <c r="S540" s="49"/>
      <c r="T540" s="49"/>
      <c r="U540" s="49"/>
      <c r="V540" s="49"/>
      <c r="W540" s="49"/>
      <c r="X540" s="49"/>
      <c r="Y540" s="49"/>
      <c r="Z540" s="49"/>
    </row>
    <row r="541">
      <c r="A541" s="49"/>
      <c r="B541" s="49"/>
      <c r="C541" s="49"/>
      <c r="D541" s="49"/>
      <c r="E541" s="106"/>
      <c r="F541" s="49"/>
      <c r="G541" s="49"/>
      <c r="H541" s="49"/>
      <c r="I541" s="49"/>
      <c r="J541" s="49"/>
      <c r="K541" s="49"/>
      <c r="L541" s="49"/>
      <c r="M541" s="49"/>
      <c r="N541" s="49"/>
      <c r="O541" s="49"/>
      <c r="P541" s="49"/>
      <c r="Q541" s="49"/>
      <c r="R541" s="49"/>
      <c r="S541" s="49"/>
      <c r="T541" s="49"/>
      <c r="U541" s="49"/>
      <c r="V541" s="49"/>
      <c r="W541" s="49"/>
      <c r="X541" s="49"/>
      <c r="Y541" s="49"/>
      <c r="Z541" s="49"/>
    </row>
    <row r="542">
      <c r="A542" s="49"/>
      <c r="B542" s="49"/>
      <c r="C542" s="49"/>
      <c r="D542" s="49"/>
      <c r="E542" s="106"/>
      <c r="F542" s="49"/>
      <c r="G542" s="49"/>
      <c r="H542" s="49"/>
      <c r="I542" s="49"/>
      <c r="J542" s="49"/>
      <c r="K542" s="49"/>
      <c r="L542" s="49"/>
      <c r="M542" s="49"/>
      <c r="N542" s="49"/>
      <c r="O542" s="49"/>
      <c r="P542" s="49"/>
      <c r="Q542" s="49"/>
      <c r="R542" s="49"/>
      <c r="S542" s="49"/>
      <c r="T542" s="49"/>
      <c r="U542" s="49"/>
      <c r="V542" s="49"/>
      <c r="W542" s="49"/>
      <c r="X542" s="49"/>
      <c r="Y542" s="49"/>
      <c r="Z542" s="49"/>
    </row>
    <row r="543">
      <c r="A543" s="49"/>
      <c r="B543" s="49"/>
      <c r="C543" s="49"/>
      <c r="D543" s="49"/>
      <c r="E543" s="106"/>
      <c r="F543" s="49"/>
      <c r="G543" s="49"/>
      <c r="H543" s="49"/>
      <c r="I543" s="49"/>
      <c r="J543" s="49"/>
      <c r="K543" s="49"/>
      <c r="L543" s="49"/>
      <c r="M543" s="49"/>
      <c r="N543" s="49"/>
      <c r="O543" s="49"/>
      <c r="P543" s="49"/>
      <c r="Q543" s="49"/>
      <c r="R543" s="49"/>
      <c r="S543" s="49"/>
      <c r="T543" s="49"/>
      <c r="U543" s="49"/>
      <c r="V543" s="49"/>
      <c r="W543" s="49"/>
      <c r="X543" s="49"/>
      <c r="Y543" s="49"/>
      <c r="Z543" s="49"/>
    </row>
    <row r="544">
      <c r="A544" s="49"/>
      <c r="B544" s="49"/>
      <c r="C544" s="49"/>
      <c r="D544" s="49"/>
      <c r="E544" s="106"/>
      <c r="F544" s="49"/>
      <c r="G544" s="49"/>
      <c r="H544" s="49"/>
      <c r="I544" s="49"/>
      <c r="J544" s="49"/>
      <c r="K544" s="49"/>
      <c r="L544" s="49"/>
      <c r="M544" s="49"/>
      <c r="N544" s="49"/>
      <c r="O544" s="49"/>
      <c r="P544" s="49"/>
      <c r="Q544" s="49"/>
      <c r="R544" s="49"/>
      <c r="S544" s="49"/>
      <c r="T544" s="49"/>
      <c r="U544" s="49"/>
      <c r="V544" s="49"/>
      <c r="W544" s="49"/>
      <c r="X544" s="49"/>
      <c r="Y544" s="49"/>
      <c r="Z544" s="49"/>
    </row>
    <row r="545">
      <c r="A545" s="49"/>
      <c r="B545" s="49"/>
      <c r="C545" s="49"/>
      <c r="D545" s="49"/>
      <c r="E545" s="106"/>
      <c r="F545" s="49"/>
      <c r="G545" s="49"/>
      <c r="H545" s="49"/>
      <c r="I545" s="49"/>
      <c r="J545" s="49"/>
      <c r="K545" s="49"/>
      <c r="L545" s="49"/>
      <c r="M545" s="49"/>
      <c r="N545" s="49"/>
      <c r="O545" s="49"/>
      <c r="P545" s="49"/>
      <c r="Q545" s="49"/>
      <c r="R545" s="49"/>
      <c r="S545" s="49"/>
      <c r="T545" s="49"/>
      <c r="U545" s="49"/>
      <c r="V545" s="49"/>
      <c r="W545" s="49"/>
      <c r="X545" s="49"/>
      <c r="Y545" s="49"/>
      <c r="Z545" s="49"/>
    </row>
    <row r="546">
      <c r="A546" s="49"/>
      <c r="B546" s="49"/>
      <c r="C546" s="49"/>
      <c r="D546" s="49"/>
      <c r="E546" s="106"/>
      <c r="F546" s="49"/>
      <c r="G546" s="49"/>
      <c r="H546" s="49"/>
      <c r="I546" s="49"/>
      <c r="J546" s="49"/>
      <c r="K546" s="49"/>
      <c r="L546" s="49"/>
      <c r="M546" s="49"/>
      <c r="N546" s="49"/>
      <c r="O546" s="49"/>
      <c r="P546" s="49"/>
      <c r="Q546" s="49"/>
      <c r="R546" s="49"/>
      <c r="S546" s="49"/>
      <c r="T546" s="49"/>
      <c r="U546" s="49"/>
      <c r="V546" s="49"/>
      <c r="W546" s="49"/>
      <c r="X546" s="49"/>
      <c r="Y546" s="49"/>
      <c r="Z546" s="49"/>
    </row>
    <row r="547">
      <c r="A547" s="49"/>
      <c r="B547" s="49"/>
      <c r="C547" s="49"/>
      <c r="D547" s="49"/>
      <c r="E547" s="106"/>
      <c r="F547" s="49"/>
      <c r="G547" s="49"/>
      <c r="H547" s="49"/>
      <c r="I547" s="49"/>
      <c r="J547" s="49"/>
      <c r="K547" s="49"/>
      <c r="L547" s="49"/>
      <c r="M547" s="49"/>
      <c r="N547" s="49"/>
      <c r="O547" s="49"/>
      <c r="P547" s="49"/>
      <c r="Q547" s="49"/>
      <c r="R547" s="49"/>
      <c r="S547" s="49"/>
      <c r="T547" s="49"/>
      <c r="U547" s="49"/>
      <c r="V547" s="49"/>
      <c r="W547" s="49"/>
      <c r="X547" s="49"/>
      <c r="Y547" s="49"/>
      <c r="Z547" s="49"/>
    </row>
    <row r="548">
      <c r="A548" s="49"/>
      <c r="B548" s="49"/>
      <c r="C548" s="49"/>
      <c r="D548" s="49"/>
      <c r="E548" s="106"/>
      <c r="F548" s="49"/>
      <c r="G548" s="49"/>
      <c r="H548" s="49"/>
      <c r="I548" s="49"/>
      <c r="J548" s="49"/>
      <c r="K548" s="49"/>
      <c r="L548" s="49"/>
      <c r="M548" s="49"/>
      <c r="N548" s="49"/>
      <c r="O548" s="49"/>
      <c r="P548" s="49"/>
      <c r="Q548" s="49"/>
      <c r="R548" s="49"/>
      <c r="S548" s="49"/>
      <c r="T548" s="49"/>
      <c r="U548" s="49"/>
      <c r="V548" s="49"/>
      <c r="W548" s="49"/>
      <c r="X548" s="49"/>
      <c r="Y548" s="49"/>
      <c r="Z548" s="49"/>
    </row>
    <row r="549">
      <c r="A549" s="49"/>
      <c r="B549" s="49"/>
      <c r="C549" s="49"/>
      <c r="D549" s="49"/>
      <c r="E549" s="106"/>
      <c r="F549" s="49"/>
      <c r="G549" s="49"/>
      <c r="H549" s="49"/>
      <c r="I549" s="49"/>
      <c r="J549" s="49"/>
      <c r="K549" s="49"/>
      <c r="L549" s="49"/>
      <c r="M549" s="49"/>
      <c r="N549" s="49"/>
      <c r="O549" s="49"/>
      <c r="P549" s="49"/>
      <c r="Q549" s="49"/>
      <c r="R549" s="49"/>
      <c r="S549" s="49"/>
      <c r="T549" s="49"/>
      <c r="U549" s="49"/>
      <c r="V549" s="49"/>
      <c r="W549" s="49"/>
      <c r="X549" s="49"/>
      <c r="Y549" s="49"/>
      <c r="Z549" s="49"/>
    </row>
    <row r="550">
      <c r="A550" s="49"/>
      <c r="B550" s="49"/>
      <c r="C550" s="49"/>
      <c r="D550" s="49"/>
      <c r="E550" s="106"/>
      <c r="F550" s="49"/>
      <c r="G550" s="49"/>
      <c r="H550" s="49"/>
      <c r="I550" s="49"/>
      <c r="J550" s="49"/>
      <c r="K550" s="49"/>
      <c r="L550" s="49"/>
      <c r="M550" s="49"/>
      <c r="N550" s="49"/>
      <c r="O550" s="49"/>
      <c r="P550" s="49"/>
      <c r="Q550" s="49"/>
      <c r="R550" s="49"/>
      <c r="S550" s="49"/>
      <c r="T550" s="49"/>
      <c r="U550" s="49"/>
      <c r="V550" s="49"/>
      <c r="W550" s="49"/>
      <c r="X550" s="49"/>
      <c r="Y550" s="49"/>
      <c r="Z550" s="49"/>
    </row>
    <row r="551">
      <c r="A551" s="49"/>
      <c r="B551" s="49"/>
      <c r="C551" s="49"/>
      <c r="D551" s="49"/>
      <c r="E551" s="106"/>
      <c r="F551" s="49"/>
      <c r="G551" s="49"/>
      <c r="H551" s="49"/>
      <c r="I551" s="49"/>
      <c r="J551" s="49"/>
      <c r="K551" s="49"/>
      <c r="L551" s="49"/>
      <c r="M551" s="49"/>
      <c r="N551" s="49"/>
      <c r="O551" s="49"/>
      <c r="P551" s="49"/>
      <c r="Q551" s="49"/>
      <c r="R551" s="49"/>
      <c r="S551" s="49"/>
      <c r="T551" s="49"/>
      <c r="U551" s="49"/>
      <c r="V551" s="49"/>
      <c r="W551" s="49"/>
      <c r="X551" s="49"/>
      <c r="Y551" s="49"/>
      <c r="Z551" s="49"/>
    </row>
    <row r="552">
      <c r="A552" s="49"/>
      <c r="B552" s="49"/>
      <c r="C552" s="49"/>
      <c r="D552" s="49"/>
      <c r="E552" s="106"/>
      <c r="F552" s="49"/>
      <c r="G552" s="49"/>
      <c r="H552" s="49"/>
      <c r="I552" s="49"/>
      <c r="J552" s="49"/>
      <c r="K552" s="49"/>
      <c r="L552" s="49"/>
      <c r="M552" s="49"/>
      <c r="N552" s="49"/>
      <c r="O552" s="49"/>
      <c r="P552" s="49"/>
      <c r="Q552" s="49"/>
      <c r="R552" s="49"/>
      <c r="S552" s="49"/>
      <c r="T552" s="49"/>
      <c r="U552" s="49"/>
      <c r="V552" s="49"/>
      <c r="W552" s="49"/>
      <c r="X552" s="49"/>
      <c r="Y552" s="49"/>
      <c r="Z552" s="49"/>
    </row>
    <row r="553">
      <c r="A553" s="49"/>
      <c r="B553" s="49"/>
      <c r="C553" s="49"/>
      <c r="D553" s="49"/>
      <c r="E553" s="106"/>
      <c r="F553" s="49"/>
      <c r="G553" s="49"/>
      <c r="H553" s="49"/>
      <c r="I553" s="49"/>
      <c r="J553" s="49"/>
      <c r="K553" s="49"/>
      <c r="L553" s="49"/>
      <c r="M553" s="49"/>
      <c r="N553" s="49"/>
      <c r="O553" s="49"/>
      <c r="P553" s="49"/>
      <c r="Q553" s="49"/>
      <c r="R553" s="49"/>
      <c r="S553" s="49"/>
      <c r="T553" s="49"/>
      <c r="U553" s="49"/>
      <c r="V553" s="49"/>
      <c r="W553" s="49"/>
      <c r="X553" s="49"/>
      <c r="Y553" s="49"/>
      <c r="Z553" s="49"/>
    </row>
    <row r="554">
      <c r="A554" s="49"/>
      <c r="B554" s="49"/>
      <c r="C554" s="49"/>
      <c r="D554" s="49"/>
      <c r="E554" s="106"/>
      <c r="F554" s="49"/>
      <c r="G554" s="49"/>
      <c r="H554" s="49"/>
      <c r="I554" s="49"/>
      <c r="J554" s="49"/>
      <c r="K554" s="49"/>
      <c r="L554" s="49"/>
      <c r="M554" s="49"/>
      <c r="N554" s="49"/>
      <c r="O554" s="49"/>
      <c r="P554" s="49"/>
      <c r="Q554" s="49"/>
      <c r="R554" s="49"/>
      <c r="S554" s="49"/>
      <c r="T554" s="49"/>
      <c r="U554" s="49"/>
      <c r="V554" s="49"/>
      <c r="W554" s="49"/>
      <c r="X554" s="49"/>
      <c r="Y554" s="49"/>
      <c r="Z554" s="49"/>
    </row>
    <row r="555">
      <c r="A555" s="49"/>
      <c r="B555" s="49"/>
      <c r="C555" s="49"/>
      <c r="D555" s="49"/>
      <c r="E555" s="106"/>
      <c r="F555" s="49"/>
      <c r="G555" s="49"/>
      <c r="H555" s="49"/>
      <c r="I555" s="49"/>
      <c r="J555" s="49"/>
      <c r="K555" s="49"/>
      <c r="L555" s="49"/>
      <c r="M555" s="49"/>
      <c r="N555" s="49"/>
      <c r="O555" s="49"/>
      <c r="P555" s="49"/>
      <c r="Q555" s="49"/>
      <c r="R555" s="49"/>
      <c r="S555" s="49"/>
      <c r="T555" s="49"/>
      <c r="U555" s="49"/>
      <c r="V555" s="49"/>
      <c r="W555" s="49"/>
      <c r="X555" s="49"/>
      <c r="Y555" s="49"/>
      <c r="Z555" s="49"/>
    </row>
    <row r="556">
      <c r="A556" s="49"/>
      <c r="B556" s="49"/>
      <c r="C556" s="49"/>
      <c r="D556" s="49"/>
      <c r="E556" s="106"/>
      <c r="F556" s="49"/>
      <c r="G556" s="49"/>
      <c r="H556" s="49"/>
      <c r="I556" s="49"/>
      <c r="J556" s="49"/>
      <c r="K556" s="49"/>
      <c r="L556" s="49"/>
      <c r="M556" s="49"/>
      <c r="N556" s="49"/>
      <c r="O556" s="49"/>
      <c r="P556" s="49"/>
      <c r="Q556" s="49"/>
      <c r="R556" s="49"/>
      <c r="S556" s="49"/>
      <c r="T556" s="49"/>
      <c r="U556" s="49"/>
      <c r="V556" s="49"/>
      <c r="W556" s="49"/>
      <c r="X556" s="49"/>
      <c r="Y556" s="49"/>
      <c r="Z556" s="49"/>
    </row>
    <row r="557">
      <c r="A557" s="49"/>
      <c r="B557" s="49"/>
      <c r="C557" s="49"/>
      <c r="D557" s="49"/>
      <c r="E557" s="106"/>
      <c r="F557" s="49"/>
      <c r="G557" s="49"/>
      <c r="H557" s="49"/>
      <c r="I557" s="49"/>
      <c r="J557" s="49"/>
      <c r="K557" s="49"/>
      <c r="L557" s="49"/>
      <c r="M557" s="49"/>
      <c r="N557" s="49"/>
      <c r="O557" s="49"/>
      <c r="P557" s="49"/>
      <c r="Q557" s="49"/>
      <c r="R557" s="49"/>
      <c r="S557" s="49"/>
      <c r="T557" s="49"/>
      <c r="U557" s="49"/>
      <c r="V557" s="49"/>
      <c r="W557" s="49"/>
      <c r="X557" s="49"/>
      <c r="Y557" s="49"/>
      <c r="Z557" s="49"/>
    </row>
    <row r="558">
      <c r="A558" s="49"/>
      <c r="B558" s="49"/>
      <c r="C558" s="49"/>
      <c r="D558" s="49"/>
      <c r="E558" s="106"/>
      <c r="F558" s="49"/>
      <c r="G558" s="49"/>
      <c r="H558" s="49"/>
      <c r="I558" s="49"/>
      <c r="J558" s="49"/>
      <c r="K558" s="49"/>
      <c r="L558" s="49"/>
      <c r="M558" s="49"/>
      <c r="N558" s="49"/>
      <c r="O558" s="49"/>
      <c r="P558" s="49"/>
      <c r="Q558" s="49"/>
      <c r="R558" s="49"/>
      <c r="S558" s="49"/>
      <c r="T558" s="49"/>
      <c r="U558" s="49"/>
      <c r="V558" s="49"/>
      <c r="W558" s="49"/>
      <c r="X558" s="49"/>
      <c r="Y558" s="49"/>
      <c r="Z558" s="49"/>
    </row>
    <row r="559">
      <c r="A559" s="49"/>
      <c r="B559" s="49"/>
      <c r="C559" s="49"/>
      <c r="D559" s="49"/>
      <c r="E559" s="106"/>
      <c r="F559" s="49"/>
      <c r="G559" s="49"/>
      <c r="H559" s="49"/>
      <c r="I559" s="49"/>
      <c r="J559" s="49"/>
      <c r="K559" s="49"/>
      <c r="L559" s="49"/>
      <c r="M559" s="49"/>
      <c r="N559" s="49"/>
      <c r="O559" s="49"/>
      <c r="P559" s="49"/>
      <c r="Q559" s="49"/>
      <c r="R559" s="49"/>
      <c r="S559" s="49"/>
      <c r="T559" s="49"/>
      <c r="U559" s="49"/>
      <c r="V559" s="49"/>
      <c r="W559" s="49"/>
      <c r="X559" s="49"/>
      <c r="Y559" s="49"/>
      <c r="Z559" s="49"/>
    </row>
    <row r="560">
      <c r="A560" s="49"/>
      <c r="B560" s="49"/>
      <c r="C560" s="49"/>
      <c r="D560" s="49"/>
      <c r="E560" s="106"/>
      <c r="F560" s="49"/>
      <c r="G560" s="49"/>
      <c r="H560" s="49"/>
      <c r="I560" s="49"/>
      <c r="J560" s="49"/>
      <c r="K560" s="49"/>
      <c r="L560" s="49"/>
      <c r="M560" s="49"/>
      <c r="N560" s="49"/>
      <c r="O560" s="49"/>
      <c r="P560" s="49"/>
      <c r="Q560" s="49"/>
      <c r="R560" s="49"/>
      <c r="S560" s="49"/>
      <c r="T560" s="49"/>
      <c r="U560" s="49"/>
      <c r="V560" s="49"/>
      <c r="W560" s="49"/>
      <c r="X560" s="49"/>
      <c r="Y560" s="49"/>
      <c r="Z560" s="49"/>
    </row>
    <row r="561">
      <c r="A561" s="49"/>
      <c r="B561" s="49"/>
      <c r="C561" s="49"/>
      <c r="D561" s="49"/>
      <c r="E561" s="106"/>
      <c r="F561" s="49"/>
      <c r="G561" s="49"/>
      <c r="H561" s="49"/>
      <c r="I561" s="49"/>
      <c r="J561" s="49"/>
      <c r="K561" s="49"/>
      <c r="L561" s="49"/>
      <c r="M561" s="49"/>
      <c r="N561" s="49"/>
      <c r="O561" s="49"/>
      <c r="P561" s="49"/>
      <c r="Q561" s="49"/>
      <c r="R561" s="49"/>
      <c r="S561" s="49"/>
      <c r="T561" s="49"/>
      <c r="U561" s="49"/>
      <c r="V561" s="49"/>
      <c r="W561" s="49"/>
      <c r="X561" s="49"/>
      <c r="Y561" s="49"/>
      <c r="Z561" s="49"/>
    </row>
    <row r="562">
      <c r="A562" s="49"/>
      <c r="B562" s="49"/>
      <c r="C562" s="49"/>
      <c r="D562" s="49"/>
      <c r="E562" s="106"/>
      <c r="F562" s="49"/>
      <c r="G562" s="49"/>
      <c r="H562" s="49"/>
      <c r="I562" s="49"/>
      <c r="J562" s="49"/>
      <c r="K562" s="49"/>
      <c r="L562" s="49"/>
      <c r="M562" s="49"/>
      <c r="N562" s="49"/>
      <c r="O562" s="49"/>
      <c r="P562" s="49"/>
      <c r="Q562" s="49"/>
      <c r="R562" s="49"/>
      <c r="S562" s="49"/>
      <c r="T562" s="49"/>
      <c r="U562" s="49"/>
      <c r="V562" s="49"/>
      <c r="W562" s="49"/>
      <c r="X562" s="49"/>
      <c r="Y562" s="49"/>
      <c r="Z562" s="49"/>
    </row>
    <row r="563">
      <c r="A563" s="49"/>
      <c r="B563" s="49"/>
      <c r="C563" s="49"/>
      <c r="D563" s="49"/>
      <c r="E563" s="106"/>
      <c r="F563" s="49"/>
      <c r="G563" s="49"/>
      <c r="H563" s="49"/>
      <c r="I563" s="49"/>
      <c r="J563" s="49"/>
      <c r="K563" s="49"/>
      <c r="L563" s="49"/>
      <c r="M563" s="49"/>
      <c r="N563" s="49"/>
      <c r="O563" s="49"/>
      <c r="P563" s="49"/>
      <c r="Q563" s="49"/>
      <c r="R563" s="49"/>
      <c r="S563" s="49"/>
      <c r="T563" s="49"/>
      <c r="U563" s="49"/>
      <c r="V563" s="49"/>
      <c r="W563" s="49"/>
      <c r="X563" s="49"/>
      <c r="Y563" s="49"/>
      <c r="Z563" s="49"/>
    </row>
    <row r="564">
      <c r="A564" s="49"/>
      <c r="B564" s="49"/>
      <c r="C564" s="49"/>
      <c r="D564" s="49"/>
      <c r="E564" s="106"/>
      <c r="F564" s="49"/>
      <c r="G564" s="49"/>
      <c r="H564" s="49"/>
      <c r="I564" s="49"/>
      <c r="J564" s="49"/>
      <c r="K564" s="49"/>
      <c r="L564" s="49"/>
      <c r="M564" s="49"/>
      <c r="N564" s="49"/>
      <c r="O564" s="49"/>
      <c r="P564" s="49"/>
      <c r="Q564" s="49"/>
      <c r="R564" s="49"/>
      <c r="S564" s="49"/>
      <c r="T564" s="49"/>
      <c r="U564" s="49"/>
      <c r="V564" s="49"/>
      <c r="W564" s="49"/>
      <c r="X564" s="49"/>
      <c r="Y564" s="49"/>
      <c r="Z564" s="49"/>
    </row>
    <row r="565">
      <c r="A565" s="49"/>
      <c r="B565" s="49"/>
      <c r="C565" s="49"/>
      <c r="D565" s="49"/>
      <c r="E565" s="106"/>
      <c r="F565" s="49"/>
      <c r="G565" s="49"/>
      <c r="H565" s="49"/>
      <c r="I565" s="49"/>
      <c r="J565" s="49"/>
      <c r="K565" s="49"/>
      <c r="L565" s="49"/>
      <c r="M565" s="49"/>
      <c r="N565" s="49"/>
      <c r="O565" s="49"/>
      <c r="P565" s="49"/>
      <c r="Q565" s="49"/>
      <c r="R565" s="49"/>
      <c r="S565" s="49"/>
      <c r="T565" s="49"/>
      <c r="U565" s="49"/>
      <c r="V565" s="49"/>
      <c r="W565" s="49"/>
      <c r="X565" s="49"/>
      <c r="Y565" s="49"/>
      <c r="Z565" s="49"/>
    </row>
    <row r="566">
      <c r="A566" s="49"/>
      <c r="B566" s="49"/>
      <c r="C566" s="49"/>
      <c r="D566" s="49"/>
      <c r="E566" s="106"/>
      <c r="F566" s="49"/>
      <c r="G566" s="49"/>
      <c r="H566" s="49"/>
      <c r="I566" s="49"/>
      <c r="J566" s="49"/>
      <c r="K566" s="49"/>
      <c r="L566" s="49"/>
      <c r="M566" s="49"/>
      <c r="N566" s="49"/>
      <c r="O566" s="49"/>
      <c r="P566" s="49"/>
      <c r="Q566" s="49"/>
      <c r="R566" s="49"/>
      <c r="S566" s="49"/>
      <c r="T566" s="49"/>
      <c r="U566" s="49"/>
      <c r="V566" s="49"/>
      <c r="W566" s="49"/>
      <c r="X566" s="49"/>
      <c r="Y566" s="49"/>
      <c r="Z566" s="49"/>
    </row>
    <row r="567">
      <c r="A567" s="49"/>
      <c r="B567" s="49"/>
      <c r="C567" s="49"/>
      <c r="D567" s="49"/>
      <c r="E567" s="106"/>
      <c r="F567" s="49"/>
      <c r="G567" s="49"/>
      <c r="H567" s="49"/>
      <c r="I567" s="49"/>
      <c r="J567" s="49"/>
      <c r="K567" s="49"/>
      <c r="L567" s="49"/>
      <c r="M567" s="49"/>
      <c r="N567" s="49"/>
      <c r="O567" s="49"/>
      <c r="P567" s="49"/>
      <c r="Q567" s="49"/>
      <c r="R567" s="49"/>
      <c r="S567" s="49"/>
      <c r="T567" s="49"/>
      <c r="U567" s="49"/>
      <c r="V567" s="49"/>
      <c r="W567" s="49"/>
      <c r="X567" s="49"/>
      <c r="Y567" s="49"/>
      <c r="Z567" s="49"/>
    </row>
    <row r="568">
      <c r="A568" s="49"/>
      <c r="B568" s="49"/>
      <c r="C568" s="49"/>
      <c r="D568" s="49"/>
      <c r="E568" s="106"/>
      <c r="F568" s="49"/>
      <c r="G568" s="49"/>
      <c r="H568" s="49"/>
      <c r="I568" s="49"/>
      <c r="J568" s="49"/>
      <c r="K568" s="49"/>
      <c r="L568" s="49"/>
      <c r="M568" s="49"/>
      <c r="N568" s="49"/>
      <c r="O568" s="49"/>
      <c r="P568" s="49"/>
      <c r="Q568" s="49"/>
      <c r="R568" s="49"/>
      <c r="S568" s="49"/>
      <c r="T568" s="49"/>
      <c r="U568" s="49"/>
      <c r="V568" s="49"/>
      <c r="W568" s="49"/>
      <c r="X568" s="49"/>
      <c r="Y568" s="49"/>
      <c r="Z568" s="49"/>
    </row>
    <row r="569">
      <c r="A569" s="49"/>
      <c r="B569" s="49"/>
      <c r="C569" s="49"/>
      <c r="D569" s="49"/>
      <c r="E569" s="106"/>
      <c r="F569" s="49"/>
      <c r="G569" s="49"/>
      <c r="H569" s="49"/>
      <c r="I569" s="49"/>
      <c r="J569" s="49"/>
      <c r="K569" s="49"/>
      <c r="L569" s="49"/>
      <c r="M569" s="49"/>
      <c r="N569" s="49"/>
      <c r="O569" s="49"/>
      <c r="P569" s="49"/>
      <c r="Q569" s="49"/>
      <c r="R569" s="49"/>
      <c r="S569" s="49"/>
      <c r="T569" s="49"/>
      <c r="U569" s="49"/>
      <c r="V569" s="49"/>
      <c r="W569" s="49"/>
      <c r="X569" s="49"/>
      <c r="Y569" s="49"/>
      <c r="Z569" s="49"/>
    </row>
    <row r="570">
      <c r="A570" s="49"/>
      <c r="B570" s="49"/>
      <c r="C570" s="49"/>
      <c r="D570" s="49"/>
      <c r="E570" s="106"/>
      <c r="F570" s="49"/>
      <c r="G570" s="49"/>
      <c r="H570" s="49"/>
      <c r="I570" s="49"/>
      <c r="J570" s="49"/>
      <c r="K570" s="49"/>
      <c r="L570" s="49"/>
      <c r="M570" s="49"/>
      <c r="N570" s="49"/>
      <c r="O570" s="49"/>
      <c r="P570" s="49"/>
      <c r="Q570" s="49"/>
      <c r="R570" s="49"/>
      <c r="S570" s="49"/>
      <c r="T570" s="49"/>
      <c r="U570" s="49"/>
      <c r="V570" s="49"/>
      <c r="W570" s="49"/>
      <c r="X570" s="49"/>
      <c r="Y570" s="49"/>
      <c r="Z570" s="49"/>
    </row>
    <row r="571">
      <c r="A571" s="49"/>
      <c r="B571" s="49"/>
      <c r="C571" s="49"/>
      <c r="D571" s="49"/>
      <c r="E571" s="106"/>
      <c r="F571" s="49"/>
      <c r="G571" s="49"/>
      <c r="H571" s="49"/>
      <c r="I571" s="49"/>
      <c r="J571" s="49"/>
      <c r="K571" s="49"/>
      <c r="L571" s="49"/>
      <c r="M571" s="49"/>
      <c r="N571" s="49"/>
      <c r="O571" s="49"/>
      <c r="P571" s="49"/>
      <c r="Q571" s="49"/>
      <c r="R571" s="49"/>
      <c r="S571" s="49"/>
      <c r="T571" s="49"/>
      <c r="U571" s="49"/>
      <c r="V571" s="49"/>
      <c r="W571" s="49"/>
      <c r="X571" s="49"/>
      <c r="Y571" s="49"/>
      <c r="Z571" s="49"/>
    </row>
    <row r="572">
      <c r="A572" s="49"/>
      <c r="B572" s="49"/>
      <c r="C572" s="49"/>
      <c r="D572" s="49"/>
      <c r="E572" s="106"/>
      <c r="F572" s="49"/>
      <c r="G572" s="49"/>
      <c r="H572" s="49"/>
      <c r="I572" s="49"/>
      <c r="J572" s="49"/>
      <c r="K572" s="49"/>
      <c r="L572" s="49"/>
      <c r="M572" s="49"/>
      <c r="N572" s="49"/>
      <c r="O572" s="49"/>
      <c r="P572" s="49"/>
      <c r="Q572" s="49"/>
      <c r="R572" s="49"/>
      <c r="S572" s="49"/>
      <c r="T572" s="49"/>
      <c r="U572" s="49"/>
      <c r="V572" s="49"/>
      <c r="W572" s="49"/>
      <c r="X572" s="49"/>
      <c r="Y572" s="49"/>
      <c r="Z572" s="49"/>
    </row>
    <row r="573">
      <c r="A573" s="49"/>
      <c r="B573" s="49"/>
      <c r="C573" s="49"/>
      <c r="D573" s="49"/>
      <c r="E573" s="106"/>
      <c r="F573" s="49"/>
      <c r="G573" s="49"/>
      <c r="H573" s="49"/>
      <c r="I573" s="49"/>
      <c r="J573" s="49"/>
      <c r="K573" s="49"/>
      <c r="L573" s="49"/>
      <c r="M573" s="49"/>
      <c r="N573" s="49"/>
      <c r="O573" s="49"/>
      <c r="P573" s="49"/>
      <c r="Q573" s="49"/>
      <c r="R573" s="49"/>
      <c r="S573" s="49"/>
      <c r="T573" s="49"/>
      <c r="U573" s="49"/>
      <c r="V573" s="49"/>
      <c r="W573" s="49"/>
      <c r="X573" s="49"/>
      <c r="Y573" s="49"/>
      <c r="Z573" s="49"/>
    </row>
    <row r="574">
      <c r="A574" s="49"/>
      <c r="B574" s="49"/>
      <c r="C574" s="49"/>
      <c r="D574" s="49"/>
      <c r="E574" s="106"/>
      <c r="F574" s="49"/>
      <c r="G574" s="49"/>
      <c r="H574" s="49"/>
      <c r="I574" s="49"/>
      <c r="J574" s="49"/>
      <c r="K574" s="49"/>
      <c r="L574" s="49"/>
      <c r="M574" s="49"/>
      <c r="N574" s="49"/>
      <c r="O574" s="49"/>
      <c r="P574" s="49"/>
      <c r="Q574" s="49"/>
      <c r="R574" s="49"/>
      <c r="S574" s="49"/>
      <c r="T574" s="49"/>
      <c r="U574" s="49"/>
      <c r="V574" s="49"/>
      <c r="W574" s="49"/>
      <c r="X574" s="49"/>
      <c r="Y574" s="49"/>
      <c r="Z574" s="49"/>
    </row>
    <row r="575">
      <c r="A575" s="49"/>
      <c r="B575" s="49"/>
      <c r="C575" s="49"/>
      <c r="D575" s="49"/>
      <c r="E575" s="106"/>
      <c r="F575" s="49"/>
      <c r="G575" s="49"/>
      <c r="H575" s="49"/>
      <c r="I575" s="49"/>
      <c r="J575" s="49"/>
      <c r="K575" s="49"/>
      <c r="L575" s="49"/>
      <c r="M575" s="49"/>
      <c r="N575" s="49"/>
      <c r="O575" s="49"/>
      <c r="P575" s="49"/>
      <c r="Q575" s="49"/>
      <c r="R575" s="49"/>
      <c r="S575" s="49"/>
      <c r="T575" s="49"/>
      <c r="U575" s="49"/>
      <c r="V575" s="49"/>
      <c r="W575" s="49"/>
      <c r="X575" s="49"/>
      <c r="Y575" s="49"/>
      <c r="Z575" s="49"/>
    </row>
    <row r="576">
      <c r="A576" s="49"/>
      <c r="B576" s="49"/>
      <c r="C576" s="49"/>
      <c r="D576" s="49"/>
      <c r="E576" s="106"/>
      <c r="F576" s="49"/>
      <c r="G576" s="49"/>
      <c r="H576" s="49"/>
      <c r="I576" s="49"/>
      <c r="J576" s="49"/>
      <c r="K576" s="49"/>
      <c r="L576" s="49"/>
      <c r="M576" s="49"/>
      <c r="N576" s="49"/>
      <c r="O576" s="49"/>
      <c r="P576" s="49"/>
      <c r="Q576" s="49"/>
      <c r="R576" s="49"/>
      <c r="S576" s="49"/>
      <c r="T576" s="49"/>
      <c r="U576" s="49"/>
      <c r="V576" s="49"/>
      <c r="W576" s="49"/>
      <c r="X576" s="49"/>
      <c r="Y576" s="49"/>
      <c r="Z576" s="49"/>
    </row>
    <row r="577">
      <c r="A577" s="49"/>
      <c r="B577" s="49"/>
      <c r="C577" s="49"/>
      <c r="D577" s="49"/>
      <c r="E577" s="106"/>
      <c r="F577" s="49"/>
      <c r="G577" s="49"/>
      <c r="H577" s="49"/>
      <c r="I577" s="49"/>
      <c r="J577" s="49"/>
      <c r="K577" s="49"/>
      <c r="L577" s="49"/>
      <c r="M577" s="49"/>
      <c r="N577" s="49"/>
      <c r="O577" s="49"/>
      <c r="P577" s="49"/>
      <c r="Q577" s="49"/>
      <c r="R577" s="49"/>
      <c r="S577" s="49"/>
      <c r="T577" s="49"/>
      <c r="U577" s="49"/>
      <c r="V577" s="49"/>
      <c r="W577" s="49"/>
      <c r="X577" s="49"/>
      <c r="Y577" s="49"/>
      <c r="Z577" s="49"/>
    </row>
    <row r="578">
      <c r="A578" s="49"/>
      <c r="B578" s="49"/>
      <c r="C578" s="49"/>
      <c r="D578" s="49"/>
      <c r="E578" s="106"/>
      <c r="F578" s="49"/>
      <c r="G578" s="49"/>
      <c r="H578" s="49"/>
      <c r="I578" s="49"/>
      <c r="J578" s="49"/>
      <c r="K578" s="49"/>
      <c r="L578" s="49"/>
      <c r="M578" s="49"/>
      <c r="N578" s="49"/>
      <c r="O578" s="49"/>
      <c r="P578" s="49"/>
      <c r="Q578" s="49"/>
      <c r="R578" s="49"/>
      <c r="S578" s="49"/>
      <c r="T578" s="49"/>
      <c r="U578" s="49"/>
      <c r="V578" s="49"/>
      <c r="W578" s="49"/>
      <c r="X578" s="49"/>
      <c r="Y578" s="49"/>
      <c r="Z578" s="49"/>
    </row>
    <row r="579">
      <c r="A579" s="49"/>
      <c r="B579" s="49"/>
      <c r="C579" s="49"/>
      <c r="D579" s="49"/>
      <c r="E579" s="106"/>
      <c r="F579" s="49"/>
      <c r="G579" s="49"/>
      <c r="H579" s="49"/>
      <c r="I579" s="49"/>
      <c r="J579" s="49"/>
      <c r="K579" s="49"/>
      <c r="L579" s="49"/>
      <c r="M579" s="49"/>
      <c r="N579" s="49"/>
      <c r="O579" s="49"/>
      <c r="P579" s="49"/>
      <c r="Q579" s="49"/>
      <c r="R579" s="49"/>
      <c r="S579" s="49"/>
      <c r="T579" s="49"/>
      <c r="U579" s="49"/>
      <c r="V579" s="49"/>
      <c r="W579" s="49"/>
      <c r="X579" s="49"/>
      <c r="Y579" s="49"/>
      <c r="Z579" s="49"/>
    </row>
    <row r="580">
      <c r="A580" s="49"/>
      <c r="B580" s="49"/>
      <c r="C580" s="49"/>
      <c r="D580" s="49"/>
      <c r="E580" s="106"/>
      <c r="F580" s="49"/>
      <c r="G580" s="49"/>
      <c r="H580" s="49"/>
      <c r="I580" s="49"/>
      <c r="J580" s="49"/>
      <c r="K580" s="49"/>
      <c r="L580" s="49"/>
      <c r="M580" s="49"/>
      <c r="N580" s="49"/>
      <c r="O580" s="49"/>
      <c r="P580" s="49"/>
      <c r="Q580" s="49"/>
      <c r="R580" s="49"/>
      <c r="S580" s="49"/>
      <c r="T580" s="49"/>
      <c r="U580" s="49"/>
      <c r="V580" s="49"/>
      <c r="W580" s="49"/>
      <c r="X580" s="49"/>
      <c r="Y580" s="49"/>
      <c r="Z580" s="49"/>
    </row>
    <row r="581">
      <c r="A581" s="49"/>
      <c r="B581" s="49"/>
      <c r="C581" s="49"/>
      <c r="D581" s="49"/>
      <c r="E581" s="106"/>
      <c r="F581" s="49"/>
      <c r="G581" s="49"/>
      <c r="H581" s="49"/>
      <c r="I581" s="49"/>
      <c r="J581" s="49"/>
      <c r="K581" s="49"/>
      <c r="L581" s="49"/>
      <c r="M581" s="49"/>
      <c r="N581" s="49"/>
      <c r="O581" s="49"/>
      <c r="P581" s="49"/>
      <c r="Q581" s="49"/>
      <c r="R581" s="49"/>
      <c r="S581" s="49"/>
      <c r="T581" s="49"/>
      <c r="U581" s="49"/>
      <c r="V581" s="49"/>
      <c r="W581" s="49"/>
      <c r="X581" s="49"/>
      <c r="Y581" s="49"/>
      <c r="Z581" s="49"/>
    </row>
    <row r="582">
      <c r="A582" s="49"/>
      <c r="B582" s="49"/>
      <c r="C582" s="49"/>
      <c r="D582" s="49"/>
      <c r="E582" s="106"/>
      <c r="F582" s="49"/>
      <c r="G582" s="49"/>
      <c r="H582" s="49"/>
      <c r="I582" s="49"/>
      <c r="J582" s="49"/>
      <c r="K582" s="49"/>
      <c r="L582" s="49"/>
      <c r="M582" s="49"/>
      <c r="N582" s="49"/>
      <c r="O582" s="49"/>
      <c r="P582" s="49"/>
      <c r="Q582" s="49"/>
      <c r="R582" s="49"/>
      <c r="S582" s="49"/>
      <c r="T582" s="49"/>
      <c r="U582" s="49"/>
      <c r="V582" s="49"/>
      <c r="W582" s="49"/>
      <c r="X582" s="49"/>
      <c r="Y582" s="49"/>
      <c r="Z582" s="49"/>
    </row>
    <row r="583">
      <c r="A583" s="49"/>
      <c r="B583" s="49"/>
      <c r="C583" s="49"/>
      <c r="D583" s="49"/>
      <c r="E583" s="106"/>
      <c r="F583" s="49"/>
      <c r="G583" s="49"/>
      <c r="H583" s="49"/>
      <c r="I583" s="49"/>
      <c r="J583" s="49"/>
      <c r="K583" s="49"/>
      <c r="L583" s="49"/>
      <c r="M583" s="49"/>
      <c r="N583" s="49"/>
      <c r="O583" s="49"/>
      <c r="P583" s="49"/>
      <c r="Q583" s="49"/>
      <c r="R583" s="49"/>
      <c r="S583" s="49"/>
      <c r="T583" s="49"/>
      <c r="U583" s="49"/>
      <c r="V583" s="49"/>
      <c r="W583" s="49"/>
      <c r="X583" s="49"/>
      <c r="Y583" s="49"/>
      <c r="Z583" s="49"/>
    </row>
    <row r="584">
      <c r="A584" s="49"/>
      <c r="B584" s="49"/>
      <c r="C584" s="49"/>
      <c r="D584" s="49"/>
      <c r="E584" s="106"/>
      <c r="F584" s="49"/>
      <c r="G584" s="49"/>
      <c r="H584" s="49"/>
      <c r="I584" s="49"/>
      <c r="J584" s="49"/>
      <c r="K584" s="49"/>
      <c r="L584" s="49"/>
      <c r="M584" s="49"/>
      <c r="N584" s="49"/>
      <c r="O584" s="49"/>
      <c r="P584" s="49"/>
      <c r="Q584" s="49"/>
      <c r="R584" s="49"/>
      <c r="S584" s="49"/>
      <c r="T584" s="49"/>
      <c r="U584" s="49"/>
      <c r="V584" s="49"/>
      <c r="W584" s="49"/>
      <c r="X584" s="49"/>
      <c r="Y584" s="49"/>
      <c r="Z584" s="49"/>
    </row>
    <row r="585">
      <c r="A585" s="49"/>
      <c r="B585" s="49"/>
      <c r="C585" s="49"/>
      <c r="D585" s="49"/>
      <c r="E585" s="106"/>
      <c r="F585" s="49"/>
      <c r="G585" s="49"/>
      <c r="H585" s="49"/>
      <c r="I585" s="49"/>
      <c r="J585" s="49"/>
      <c r="K585" s="49"/>
      <c r="L585" s="49"/>
      <c r="M585" s="49"/>
      <c r="N585" s="49"/>
      <c r="O585" s="49"/>
      <c r="P585" s="49"/>
      <c r="Q585" s="49"/>
      <c r="R585" s="49"/>
      <c r="S585" s="49"/>
      <c r="T585" s="49"/>
      <c r="U585" s="49"/>
      <c r="V585" s="49"/>
      <c r="W585" s="49"/>
      <c r="X585" s="49"/>
      <c r="Y585" s="49"/>
      <c r="Z585" s="49"/>
    </row>
    <row r="586">
      <c r="A586" s="49"/>
      <c r="B586" s="49"/>
      <c r="C586" s="49"/>
      <c r="D586" s="49"/>
      <c r="E586" s="106"/>
      <c r="F586" s="49"/>
      <c r="G586" s="49"/>
      <c r="H586" s="49"/>
      <c r="I586" s="49"/>
      <c r="J586" s="49"/>
      <c r="K586" s="49"/>
      <c r="L586" s="49"/>
      <c r="M586" s="49"/>
      <c r="N586" s="49"/>
      <c r="O586" s="49"/>
      <c r="P586" s="49"/>
      <c r="Q586" s="49"/>
      <c r="R586" s="49"/>
      <c r="S586" s="49"/>
      <c r="T586" s="49"/>
      <c r="U586" s="49"/>
      <c r="V586" s="49"/>
      <c r="W586" s="49"/>
      <c r="X586" s="49"/>
      <c r="Y586" s="49"/>
      <c r="Z586" s="49"/>
    </row>
    <row r="587">
      <c r="A587" s="49"/>
      <c r="B587" s="49"/>
      <c r="C587" s="49"/>
      <c r="D587" s="49"/>
      <c r="E587" s="106"/>
      <c r="F587" s="49"/>
      <c r="G587" s="49"/>
      <c r="H587" s="49"/>
      <c r="I587" s="49"/>
      <c r="J587" s="49"/>
      <c r="K587" s="49"/>
      <c r="L587" s="49"/>
      <c r="M587" s="49"/>
      <c r="N587" s="49"/>
      <c r="O587" s="49"/>
      <c r="P587" s="49"/>
      <c r="Q587" s="49"/>
      <c r="R587" s="49"/>
      <c r="S587" s="49"/>
      <c r="T587" s="49"/>
      <c r="U587" s="49"/>
      <c r="V587" s="49"/>
      <c r="W587" s="49"/>
      <c r="X587" s="49"/>
      <c r="Y587" s="49"/>
      <c r="Z587" s="49"/>
    </row>
    <row r="588">
      <c r="A588" s="49"/>
      <c r="B588" s="49"/>
      <c r="C588" s="49"/>
      <c r="D588" s="49"/>
      <c r="E588" s="106"/>
      <c r="F588" s="49"/>
      <c r="G588" s="49"/>
      <c r="H588" s="49"/>
      <c r="I588" s="49"/>
      <c r="J588" s="49"/>
      <c r="K588" s="49"/>
      <c r="L588" s="49"/>
      <c r="M588" s="49"/>
      <c r="N588" s="49"/>
      <c r="O588" s="49"/>
      <c r="P588" s="49"/>
      <c r="Q588" s="49"/>
      <c r="R588" s="49"/>
      <c r="S588" s="49"/>
      <c r="T588" s="49"/>
      <c r="U588" s="49"/>
      <c r="V588" s="49"/>
      <c r="W588" s="49"/>
      <c r="X588" s="49"/>
      <c r="Y588" s="49"/>
      <c r="Z588" s="49"/>
    </row>
    <row r="589">
      <c r="A589" s="49"/>
      <c r="B589" s="49"/>
      <c r="C589" s="49"/>
      <c r="D589" s="49"/>
      <c r="E589" s="106"/>
      <c r="F589" s="49"/>
      <c r="G589" s="49"/>
      <c r="H589" s="49"/>
      <c r="I589" s="49"/>
      <c r="J589" s="49"/>
      <c r="K589" s="49"/>
      <c r="L589" s="49"/>
      <c r="M589" s="49"/>
      <c r="N589" s="49"/>
      <c r="O589" s="49"/>
      <c r="P589" s="49"/>
      <c r="Q589" s="49"/>
      <c r="R589" s="49"/>
      <c r="S589" s="49"/>
      <c r="T589" s="49"/>
      <c r="U589" s="49"/>
      <c r="V589" s="49"/>
      <c r="W589" s="49"/>
      <c r="X589" s="49"/>
      <c r="Y589" s="49"/>
      <c r="Z589" s="49"/>
    </row>
    <row r="590">
      <c r="A590" s="49"/>
      <c r="B590" s="49"/>
      <c r="C590" s="49"/>
      <c r="D590" s="49"/>
      <c r="E590" s="106"/>
      <c r="F590" s="49"/>
      <c r="G590" s="49"/>
      <c r="H590" s="49"/>
      <c r="I590" s="49"/>
      <c r="J590" s="49"/>
      <c r="K590" s="49"/>
      <c r="L590" s="49"/>
      <c r="M590" s="49"/>
      <c r="N590" s="49"/>
      <c r="O590" s="49"/>
      <c r="P590" s="49"/>
      <c r="Q590" s="49"/>
      <c r="R590" s="49"/>
      <c r="S590" s="49"/>
      <c r="T590" s="49"/>
      <c r="U590" s="49"/>
      <c r="V590" s="49"/>
      <c r="W590" s="49"/>
      <c r="X590" s="49"/>
      <c r="Y590" s="49"/>
      <c r="Z590" s="49"/>
    </row>
    <row r="591">
      <c r="A591" s="49"/>
      <c r="B591" s="49"/>
      <c r="C591" s="49"/>
      <c r="D591" s="49"/>
      <c r="E591" s="106"/>
      <c r="F591" s="49"/>
      <c r="G591" s="49"/>
      <c r="H591" s="49"/>
      <c r="I591" s="49"/>
      <c r="J591" s="49"/>
      <c r="K591" s="49"/>
      <c r="L591" s="49"/>
      <c r="M591" s="49"/>
      <c r="N591" s="49"/>
      <c r="O591" s="49"/>
      <c r="P591" s="49"/>
      <c r="Q591" s="49"/>
      <c r="R591" s="49"/>
      <c r="S591" s="49"/>
      <c r="T591" s="49"/>
      <c r="U591" s="49"/>
      <c r="V591" s="49"/>
      <c r="W591" s="49"/>
      <c r="X591" s="49"/>
      <c r="Y591" s="49"/>
      <c r="Z591" s="49"/>
    </row>
    <row r="592">
      <c r="A592" s="49"/>
      <c r="B592" s="49"/>
      <c r="C592" s="49"/>
      <c r="D592" s="49"/>
      <c r="E592" s="106"/>
      <c r="F592" s="49"/>
      <c r="G592" s="49"/>
      <c r="H592" s="49"/>
      <c r="I592" s="49"/>
      <c r="J592" s="49"/>
      <c r="K592" s="49"/>
      <c r="L592" s="49"/>
      <c r="M592" s="49"/>
      <c r="N592" s="49"/>
      <c r="O592" s="49"/>
      <c r="P592" s="49"/>
      <c r="Q592" s="49"/>
      <c r="R592" s="49"/>
      <c r="S592" s="49"/>
      <c r="T592" s="49"/>
      <c r="U592" s="49"/>
      <c r="V592" s="49"/>
      <c r="W592" s="49"/>
      <c r="X592" s="49"/>
      <c r="Y592" s="49"/>
      <c r="Z592" s="49"/>
    </row>
    <row r="593">
      <c r="A593" s="49"/>
      <c r="B593" s="49"/>
      <c r="C593" s="49"/>
      <c r="D593" s="49"/>
      <c r="E593" s="106"/>
      <c r="F593" s="49"/>
      <c r="G593" s="49"/>
      <c r="H593" s="49"/>
      <c r="I593" s="49"/>
      <c r="J593" s="49"/>
      <c r="K593" s="49"/>
      <c r="L593" s="49"/>
      <c r="M593" s="49"/>
      <c r="N593" s="49"/>
      <c r="O593" s="49"/>
      <c r="P593" s="49"/>
      <c r="Q593" s="49"/>
      <c r="R593" s="49"/>
      <c r="S593" s="49"/>
      <c r="T593" s="49"/>
      <c r="U593" s="49"/>
      <c r="V593" s="49"/>
      <c r="W593" s="49"/>
      <c r="X593" s="49"/>
      <c r="Y593" s="49"/>
      <c r="Z593" s="49"/>
    </row>
    <row r="594">
      <c r="A594" s="49"/>
      <c r="B594" s="49"/>
      <c r="C594" s="49"/>
      <c r="D594" s="49"/>
      <c r="E594" s="106"/>
      <c r="F594" s="49"/>
      <c r="G594" s="49"/>
      <c r="H594" s="49"/>
      <c r="I594" s="49"/>
      <c r="J594" s="49"/>
      <c r="K594" s="49"/>
      <c r="L594" s="49"/>
      <c r="M594" s="49"/>
      <c r="N594" s="49"/>
      <c r="O594" s="49"/>
      <c r="P594" s="49"/>
      <c r="Q594" s="49"/>
      <c r="R594" s="49"/>
      <c r="S594" s="49"/>
      <c r="T594" s="49"/>
      <c r="U594" s="49"/>
      <c r="V594" s="49"/>
      <c r="W594" s="49"/>
      <c r="X594" s="49"/>
      <c r="Y594" s="49"/>
      <c r="Z594" s="49"/>
    </row>
    <row r="595">
      <c r="A595" s="49"/>
      <c r="B595" s="49"/>
      <c r="C595" s="49"/>
      <c r="D595" s="49"/>
      <c r="E595" s="106"/>
      <c r="F595" s="49"/>
      <c r="G595" s="49"/>
      <c r="H595" s="49"/>
      <c r="I595" s="49"/>
      <c r="J595" s="49"/>
      <c r="K595" s="49"/>
      <c r="L595" s="49"/>
      <c r="M595" s="49"/>
      <c r="N595" s="49"/>
      <c r="O595" s="49"/>
      <c r="P595" s="49"/>
      <c r="Q595" s="49"/>
      <c r="R595" s="49"/>
      <c r="S595" s="49"/>
      <c r="T595" s="49"/>
      <c r="U595" s="49"/>
      <c r="V595" s="49"/>
      <c r="W595" s="49"/>
      <c r="X595" s="49"/>
      <c r="Y595" s="49"/>
      <c r="Z595" s="49"/>
    </row>
    <row r="596">
      <c r="A596" s="49"/>
      <c r="B596" s="49"/>
      <c r="C596" s="49"/>
      <c r="D596" s="49"/>
      <c r="E596" s="106"/>
      <c r="F596" s="49"/>
      <c r="G596" s="49"/>
      <c r="H596" s="49"/>
      <c r="I596" s="49"/>
      <c r="J596" s="49"/>
      <c r="K596" s="49"/>
      <c r="L596" s="49"/>
      <c r="M596" s="49"/>
      <c r="N596" s="49"/>
      <c r="O596" s="49"/>
      <c r="P596" s="49"/>
      <c r="Q596" s="49"/>
      <c r="R596" s="49"/>
      <c r="S596" s="49"/>
      <c r="T596" s="49"/>
      <c r="U596" s="49"/>
      <c r="V596" s="49"/>
      <c r="W596" s="49"/>
      <c r="X596" s="49"/>
      <c r="Y596" s="49"/>
      <c r="Z596" s="49"/>
    </row>
    <row r="597">
      <c r="A597" s="49"/>
      <c r="B597" s="49"/>
      <c r="C597" s="49"/>
      <c r="D597" s="49"/>
      <c r="E597" s="106"/>
      <c r="F597" s="49"/>
      <c r="G597" s="49"/>
      <c r="H597" s="49"/>
      <c r="I597" s="49"/>
      <c r="J597" s="49"/>
      <c r="K597" s="49"/>
      <c r="L597" s="49"/>
      <c r="M597" s="49"/>
      <c r="N597" s="49"/>
      <c r="O597" s="49"/>
      <c r="P597" s="49"/>
      <c r="Q597" s="49"/>
      <c r="R597" s="49"/>
      <c r="S597" s="49"/>
      <c r="T597" s="49"/>
      <c r="U597" s="49"/>
      <c r="V597" s="49"/>
      <c r="W597" s="49"/>
      <c r="X597" s="49"/>
      <c r="Y597" s="49"/>
      <c r="Z597" s="49"/>
    </row>
    <row r="598">
      <c r="A598" s="49"/>
      <c r="B598" s="49"/>
      <c r="C598" s="49"/>
      <c r="D598" s="49"/>
      <c r="E598" s="106"/>
      <c r="F598" s="49"/>
      <c r="G598" s="49"/>
      <c r="H598" s="49"/>
      <c r="I598" s="49"/>
      <c r="J598" s="49"/>
      <c r="K598" s="49"/>
      <c r="L598" s="49"/>
      <c r="M598" s="49"/>
      <c r="N598" s="49"/>
      <c r="O598" s="49"/>
      <c r="P598" s="49"/>
      <c r="Q598" s="49"/>
      <c r="R598" s="49"/>
      <c r="S598" s="49"/>
      <c r="T598" s="49"/>
      <c r="U598" s="49"/>
      <c r="V598" s="49"/>
      <c r="W598" s="49"/>
      <c r="X598" s="49"/>
      <c r="Y598" s="49"/>
      <c r="Z598" s="49"/>
    </row>
    <row r="599">
      <c r="A599" s="49"/>
      <c r="B599" s="49"/>
      <c r="C599" s="49"/>
      <c r="D599" s="49"/>
      <c r="E599" s="106"/>
      <c r="F599" s="49"/>
      <c r="G599" s="49"/>
      <c r="H599" s="49"/>
      <c r="I599" s="49"/>
      <c r="J599" s="49"/>
      <c r="K599" s="49"/>
      <c r="L599" s="49"/>
      <c r="M599" s="49"/>
      <c r="N599" s="49"/>
      <c r="O599" s="49"/>
      <c r="P599" s="49"/>
      <c r="Q599" s="49"/>
      <c r="R599" s="49"/>
      <c r="S599" s="49"/>
      <c r="T599" s="49"/>
      <c r="U599" s="49"/>
      <c r="V599" s="49"/>
      <c r="W599" s="49"/>
      <c r="X599" s="49"/>
      <c r="Y599" s="49"/>
      <c r="Z599" s="49"/>
    </row>
    <row r="600">
      <c r="A600" s="49"/>
      <c r="B600" s="49"/>
      <c r="C600" s="49"/>
      <c r="D600" s="49"/>
      <c r="E600" s="106"/>
      <c r="F600" s="49"/>
      <c r="G600" s="49"/>
      <c r="H600" s="49"/>
      <c r="I600" s="49"/>
      <c r="J600" s="49"/>
      <c r="K600" s="49"/>
      <c r="L600" s="49"/>
      <c r="M600" s="49"/>
      <c r="N600" s="49"/>
      <c r="O600" s="49"/>
      <c r="P600" s="49"/>
      <c r="Q600" s="49"/>
      <c r="R600" s="49"/>
      <c r="S600" s="49"/>
      <c r="T600" s="49"/>
      <c r="U600" s="49"/>
      <c r="V600" s="49"/>
      <c r="W600" s="49"/>
      <c r="X600" s="49"/>
      <c r="Y600" s="49"/>
      <c r="Z600" s="49"/>
    </row>
    <row r="601">
      <c r="A601" s="49"/>
      <c r="B601" s="49"/>
      <c r="C601" s="49"/>
      <c r="D601" s="49"/>
      <c r="E601" s="106"/>
      <c r="F601" s="49"/>
      <c r="G601" s="49"/>
      <c r="H601" s="49"/>
      <c r="I601" s="49"/>
      <c r="J601" s="49"/>
      <c r="K601" s="49"/>
      <c r="L601" s="49"/>
      <c r="M601" s="49"/>
      <c r="N601" s="49"/>
      <c r="O601" s="49"/>
      <c r="P601" s="49"/>
      <c r="Q601" s="49"/>
      <c r="R601" s="49"/>
      <c r="S601" s="49"/>
      <c r="T601" s="49"/>
      <c r="U601" s="49"/>
      <c r="V601" s="49"/>
      <c r="W601" s="49"/>
      <c r="X601" s="49"/>
      <c r="Y601" s="49"/>
      <c r="Z601" s="49"/>
    </row>
    <row r="602">
      <c r="A602" s="49"/>
      <c r="B602" s="49"/>
      <c r="C602" s="49"/>
      <c r="D602" s="49"/>
      <c r="E602" s="106"/>
      <c r="F602" s="49"/>
      <c r="G602" s="49"/>
      <c r="H602" s="49"/>
      <c r="I602" s="49"/>
      <c r="J602" s="49"/>
      <c r="K602" s="49"/>
      <c r="L602" s="49"/>
      <c r="M602" s="49"/>
      <c r="N602" s="49"/>
      <c r="O602" s="49"/>
      <c r="P602" s="49"/>
      <c r="Q602" s="49"/>
      <c r="R602" s="49"/>
      <c r="S602" s="49"/>
      <c r="T602" s="49"/>
      <c r="U602" s="49"/>
      <c r="V602" s="49"/>
      <c r="W602" s="49"/>
      <c r="X602" s="49"/>
      <c r="Y602" s="49"/>
      <c r="Z602" s="49"/>
    </row>
    <row r="603">
      <c r="A603" s="49"/>
      <c r="B603" s="49"/>
      <c r="C603" s="49"/>
      <c r="D603" s="49"/>
      <c r="E603" s="106"/>
      <c r="F603" s="49"/>
      <c r="G603" s="49"/>
      <c r="H603" s="49"/>
      <c r="I603" s="49"/>
      <c r="J603" s="49"/>
      <c r="K603" s="49"/>
      <c r="L603" s="49"/>
      <c r="M603" s="49"/>
      <c r="N603" s="49"/>
      <c r="O603" s="49"/>
      <c r="P603" s="49"/>
      <c r="Q603" s="49"/>
      <c r="R603" s="49"/>
      <c r="S603" s="49"/>
      <c r="T603" s="49"/>
      <c r="U603" s="49"/>
      <c r="V603" s="49"/>
      <c r="W603" s="49"/>
      <c r="X603" s="49"/>
      <c r="Y603" s="49"/>
      <c r="Z603" s="49"/>
    </row>
    <row r="604">
      <c r="A604" s="49"/>
      <c r="B604" s="49"/>
      <c r="C604" s="49"/>
      <c r="D604" s="49"/>
      <c r="E604" s="106"/>
      <c r="F604" s="49"/>
      <c r="G604" s="49"/>
      <c r="H604" s="49"/>
      <c r="I604" s="49"/>
      <c r="J604" s="49"/>
      <c r="K604" s="49"/>
      <c r="L604" s="49"/>
      <c r="M604" s="49"/>
      <c r="N604" s="49"/>
      <c r="O604" s="49"/>
      <c r="P604" s="49"/>
      <c r="Q604" s="49"/>
      <c r="R604" s="49"/>
      <c r="S604" s="49"/>
      <c r="T604" s="49"/>
      <c r="U604" s="49"/>
      <c r="V604" s="49"/>
      <c r="W604" s="49"/>
      <c r="X604" s="49"/>
      <c r="Y604" s="49"/>
      <c r="Z604" s="49"/>
    </row>
    <row r="605">
      <c r="A605" s="49"/>
      <c r="B605" s="49"/>
      <c r="C605" s="49"/>
      <c r="D605" s="49"/>
      <c r="E605" s="106"/>
      <c r="F605" s="49"/>
      <c r="G605" s="49"/>
      <c r="H605" s="49"/>
      <c r="I605" s="49"/>
      <c r="J605" s="49"/>
      <c r="K605" s="49"/>
      <c r="L605" s="49"/>
      <c r="M605" s="49"/>
      <c r="N605" s="49"/>
      <c r="O605" s="49"/>
      <c r="P605" s="49"/>
      <c r="Q605" s="49"/>
      <c r="R605" s="49"/>
      <c r="S605" s="49"/>
      <c r="T605" s="49"/>
      <c r="U605" s="49"/>
      <c r="V605" s="49"/>
      <c r="W605" s="49"/>
      <c r="X605" s="49"/>
      <c r="Y605" s="49"/>
      <c r="Z605" s="49"/>
    </row>
    <row r="606">
      <c r="A606" s="49"/>
      <c r="B606" s="49"/>
      <c r="C606" s="49"/>
      <c r="D606" s="49"/>
      <c r="E606" s="106"/>
      <c r="F606" s="49"/>
      <c r="G606" s="49"/>
      <c r="H606" s="49"/>
      <c r="I606" s="49"/>
      <c r="J606" s="49"/>
      <c r="K606" s="49"/>
      <c r="L606" s="49"/>
      <c r="M606" s="49"/>
      <c r="N606" s="49"/>
      <c r="O606" s="49"/>
      <c r="P606" s="49"/>
      <c r="Q606" s="49"/>
      <c r="R606" s="49"/>
      <c r="S606" s="49"/>
      <c r="T606" s="49"/>
      <c r="U606" s="49"/>
      <c r="V606" s="49"/>
      <c r="W606" s="49"/>
      <c r="X606" s="49"/>
      <c r="Y606" s="49"/>
      <c r="Z606" s="49"/>
    </row>
    <row r="607">
      <c r="A607" s="49"/>
      <c r="B607" s="49"/>
      <c r="C607" s="49"/>
      <c r="D607" s="49"/>
      <c r="E607" s="106"/>
      <c r="F607" s="49"/>
      <c r="G607" s="49"/>
      <c r="H607" s="49"/>
      <c r="I607" s="49"/>
      <c r="J607" s="49"/>
      <c r="K607" s="49"/>
      <c r="L607" s="49"/>
      <c r="M607" s="49"/>
      <c r="N607" s="49"/>
      <c r="O607" s="49"/>
      <c r="P607" s="49"/>
      <c r="Q607" s="49"/>
      <c r="R607" s="49"/>
      <c r="S607" s="49"/>
      <c r="T607" s="49"/>
      <c r="U607" s="49"/>
      <c r="V607" s="49"/>
      <c r="W607" s="49"/>
      <c r="X607" s="49"/>
      <c r="Y607" s="49"/>
      <c r="Z607" s="49"/>
    </row>
    <row r="608">
      <c r="A608" s="49"/>
      <c r="B608" s="49"/>
      <c r="C608" s="49"/>
      <c r="D608" s="49"/>
      <c r="E608" s="106"/>
      <c r="F608" s="49"/>
      <c r="G608" s="49"/>
      <c r="H608" s="49"/>
      <c r="I608" s="49"/>
      <c r="J608" s="49"/>
      <c r="K608" s="49"/>
      <c r="L608" s="49"/>
      <c r="M608" s="49"/>
      <c r="N608" s="49"/>
      <c r="O608" s="49"/>
      <c r="P608" s="49"/>
      <c r="Q608" s="49"/>
      <c r="R608" s="49"/>
      <c r="S608" s="49"/>
      <c r="T608" s="49"/>
      <c r="U608" s="49"/>
      <c r="V608" s="49"/>
      <c r="W608" s="49"/>
      <c r="X608" s="49"/>
      <c r="Y608" s="49"/>
      <c r="Z608" s="49"/>
    </row>
    <row r="609">
      <c r="A609" s="49"/>
      <c r="B609" s="49"/>
      <c r="C609" s="49"/>
      <c r="D609" s="49"/>
      <c r="E609" s="106"/>
      <c r="F609" s="49"/>
      <c r="G609" s="49"/>
      <c r="H609" s="49"/>
      <c r="I609" s="49"/>
      <c r="J609" s="49"/>
      <c r="K609" s="49"/>
      <c r="L609" s="49"/>
      <c r="M609" s="49"/>
      <c r="N609" s="49"/>
      <c r="O609" s="49"/>
      <c r="P609" s="49"/>
      <c r="Q609" s="49"/>
      <c r="R609" s="49"/>
      <c r="S609" s="49"/>
      <c r="T609" s="49"/>
      <c r="U609" s="49"/>
      <c r="V609" s="49"/>
      <c r="W609" s="49"/>
      <c r="X609" s="49"/>
      <c r="Y609" s="49"/>
      <c r="Z609" s="49"/>
    </row>
    <row r="610">
      <c r="A610" s="49"/>
      <c r="B610" s="49"/>
      <c r="C610" s="49"/>
      <c r="D610" s="49"/>
      <c r="E610" s="106"/>
      <c r="F610" s="49"/>
      <c r="G610" s="49"/>
      <c r="H610" s="49"/>
      <c r="I610" s="49"/>
      <c r="J610" s="49"/>
      <c r="K610" s="49"/>
      <c r="L610" s="49"/>
      <c r="M610" s="49"/>
      <c r="N610" s="49"/>
      <c r="O610" s="49"/>
      <c r="P610" s="49"/>
      <c r="Q610" s="49"/>
      <c r="R610" s="49"/>
      <c r="S610" s="49"/>
      <c r="T610" s="49"/>
      <c r="U610" s="49"/>
      <c r="V610" s="49"/>
      <c r="W610" s="49"/>
      <c r="X610" s="49"/>
      <c r="Y610" s="49"/>
      <c r="Z610" s="49"/>
    </row>
    <row r="611">
      <c r="A611" s="49"/>
      <c r="B611" s="49"/>
      <c r="C611" s="49"/>
      <c r="D611" s="49"/>
      <c r="E611" s="106"/>
      <c r="F611" s="49"/>
      <c r="G611" s="49"/>
      <c r="H611" s="49"/>
      <c r="I611" s="49"/>
      <c r="J611" s="49"/>
      <c r="K611" s="49"/>
      <c r="L611" s="49"/>
      <c r="M611" s="49"/>
      <c r="N611" s="49"/>
      <c r="O611" s="49"/>
      <c r="P611" s="49"/>
      <c r="Q611" s="49"/>
      <c r="R611" s="49"/>
      <c r="S611" s="49"/>
      <c r="T611" s="49"/>
      <c r="U611" s="49"/>
      <c r="V611" s="49"/>
      <c r="W611" s="49"/>
      <c r="X611" s="49"/>
      <c r="Y611" s="49"/>
      <c r="Z611" s="49"/>
    </row>
    <row r="612">
      <c r="A612" s="49"/>
      <c r="B612" s="49"/>
      <c r="C612" s="49"/>
      <c r="D612" s="49"/>
      <c r="E612" s="106"/>
      <c r="F612" s="49"/>
      <c r="G612" s="49"/>
      <c r="H612" s="49"/>
      <c r="I612" s="49"/>
      <c r="J612" s="49"/>
      <c r="K612" s="49"/>
      <c r="L612" s="49"/>
      <c r="M612" s="49"/>
      <c r="N612" s="49"/>
      <c r="O612" s="49"/>
      <c r="P612" s="49"/>
      <c r="Q612" s="49"/>
      <c r="R612" s="49"/>
      <c r="S612" s="49"/>
      <c r="T612" s="49"/>
      <c r="U612" s="49"/>
      <c r="V612" s="49"/>
      <c r="W612" s="49"/>
      <c r="X612" s="49"/>
      <c r="Y612" s="49"/>
      <c r="Z612" s="49"/>
    </row>
    <row r="613">
      <c r="A613" s="49"/>
      <c r="B613" s="49"/>
      <c r="C613" s="49"/>
      <c r="D613" s="49"/>
      <c r="E613" s="106"/>
      <c r="F613" s="49"/>
      <c r="G613" s="49"/>
      <c r="H613" s="49"/>
      <c r="I613" s="49"/>
      <c r="J613" s="49"/>
      <c r="K613" s="49"/>
      <c r="L613" s="49"/>
      <c r="M613" s="49"/>
      <c r="N613" s="49"/>
      <c r="O613" s="49"/>
      <c r="P613" s="49"/>
      <c r="Q613" s="49"/>
      <c r="R613" s="49"/>
      <c r="S613" s="49"/>
      <c r="T613" s="49"/>
      <c r="U613" s="49"/>
      <c r="V613" s="49"/>
      <c r="W613" s="49"/>
      <c r="X613" s="49"/>
      <c r="Y613" s="49"/>
      <c r="Z613" s="49"/>
    </row>
    <row r="614">
      <c r="A614" s="49"/>
      <c r="B614" s="49"/>
      <c r="C614" s="49"/>
      <c r="D614" s="49"/>
      <c r="E614" s="106"/>
      <c r="F614" s="49"/>
      <c r="G614" s="49"/>
      <c r="H614" s="49"/>
      <c r="I614" s="49"/>
      <c r="J614" s="49"/>
      <c r="K614" s="49"/>
      <c r="L614" s="49"/>
      <c r="M614" s="49"/>
      <c r="N614" s="49"/>
      <c r="O614" s="49"/>
      <c r="P614" s="49"/>
      <c r="Q614" s="49"/>
      <c r="R614" s="49"/>
      <c r="S614" s="49"/>
      <c r="T614" s="49"/>
      <c r="U614" s="49"/>
      <c r="V614" s="49"/>
      <c r="W614" s="49"/>
      <c r="X614" s="49"/>
      <c r="Y614" s="49"/>
      <c r="Z614" s="49"/>
    </row>
    <row r="615">
      <c r="A615" s="49"/>
      <c r="B615" s="49"/>
      <c r="C615" s="49"/>
      <c r="D615" s="49"/>
      <c r="E615" s="106"/>
      <c r="F615" s="49"/>
      <c r="G615" s="49"/>
      <c r="H615" s="49"/>
      <c r="I615" s="49"/>
      <c r="J615" s="49"/>
      <c r="K615" s="49"/>
      <c r="L615" s="49"/>
      <c r="M615" s="49"/>
      <c r="N615" s="49"/>
      <c r="O615" s="49"/>
      <c r="P615" s="49"/>
      <c r="Q615" s="49"/>
      <c r="R615" s="49"/>
      <c r="S615" s="49"/>
      <c r="T615" s="49"/>
      <c r="U615" s="49"/>
      <c r="V615" s="49"/>
      <c r="W615" s="49"/>
      <c r="X615" s="49"/>
      <c r="Y615" s="49"/>
      <c r="Z615" s="49"/>
    </row>
    <row r="616">
      <c r="A616" s="49"/>
      <c r="B616" s="49"/>
      <c r="C616" s="49"/>
      <c r="D616" s="49"/>
      <c r="E616" s="106"/>
      <c r="F616" s="49"/>
      <c r="G616" s="49"/>
      <c r="H616" s="49"/>
      <c r="I616" s="49"/>
      <c r="J616" s="49"/>
      <c r="K616" s="49"/>
      <c r="L616" s="49"/>
      <c r="M616" s="49"/>
      <c r="N616" s="49"/>
      <c r="O616" s="49"/>
      <c r="P616" s="49"/>
      <c r="Q616" s="49"/>
      <c r="R616" s="49"/>
      <c r="S616" s="49"/>
      <c r="T616" s="49"/>
      <c r="U616" s="49"/>
      <c r="V616" s="49"/>
      <c r="W616" s="49"/>
      <c r="X616" s="49"/>
      <c r="Y616" s="49"/>
      <c r="Z616" s="49"/>
    </row>
    <row r="617">
      <c r="A617" s="49"/>
      <c r="B617" s="49"/>
      <c r="C617" s="49"/>
      <c r="D617" s="49"/>
      <c r="E617" s="106"/>
      <c r="F617" s="49"/>
      <c r="G617" s="49"/>
      <c r="H617" s="49"/>
      <c r="I617" s="49"/>
      <c r="J617" s="49"/>
      <c r="K617" s="49"/>
      <c r="L617" s="49"/>
      <c r="M617" s="49"/>
      <c r="N617" s="49"/>
      <c r="O617" s="49"/>
      <c r="P617" s="49"/>
      <c r="Q617" s="49"/>
      <c r="R617" s="49"/>
      <c r="S617" s="49"/>
      <c r="T617" s="49"/>
      <c r="U617" s="49"/>
      <c r="V617" s="49"/>
      <c r="W617" s="49"/>
      <c r="X617" s="49"/>
      <c r="Y617" s="49"/>
      <c r="Z617" s="49"/>
    </row>
    <row r="618">
      <c r="A618" s="49"/>
      <c r="B618" s="49"/>
      <c r="C618" s="49"/>
      <c r="D618" s="49"/>
      <c r="E618" s="106"/>
      <c r="F618" s="49"/>
      <c r="G618" s="49"/>
      <c r="H618" s="49"/>
      <c r="I618" s="49"/>
      <c r="J618" s="49"/>
      <c r="K618" s="49"/>
      <c r="L618" s="49"/>
      <c r="M618" s="49"/>
      <c r="N618" s="49"/>
      <c r="O618" s="49"/>
      <c r="P618" s="49"/>
      <c r="Q618" s="49"/>
      <c r="R618" s="49"/>
      <c r="S618" s="49"/>
      <c r="T618" s="49"/>
      <c r="U618" s="49"/>
      <c r="V618" s="49"/>
      <c r="W618" s="49"/>
      <c r="X618" s="49"/>
      <c r="Y618" s="49"/>
      <c r="Z618" s="49"/>
    </row>
    <row r="619">
      <c r="A619" s="49"/>
      <c r="B619" s="49"/>
      <c r="C619" s="49"/>
      <c r="D619" s="49"/>
      <c r="E619" s="106"/>
      <c r="F619" s="49"/>
      <c r="G619" s="49"/>
      <c r="H619" s="49"/>
      <c r="I619" s="49"/>
      <c r="J619" s="49"/>
      <c r="K619" s="49"/>
      <c r="L619" s="49"/>
      <c r="M619" s="49"/>
      <c r="N619" s="49"/>
      <c r="O619" s="49"/>
      <c r="P619" s="49"/>
      <c r="Q619" s="49"/>
      <c r="R619" s="49"/>
      <c r="S619" s="49"/>
      <c r="T619" s="49"/>
      <c r="U619" s="49"/>
      <c r="V619" s="49"/>
      <c r="W619" s="49"/>
      <c r="X619" s="49"/>
      <c r="Y619" s="49"/>
      <c r="Z619" s="49"/>
    </row>
    <row r="620">
      <c r="A620" s="49"/>
      <c r="B620" s="49"/>
      <c r="C620" s="49"/>
      <c r="D620" s="49"/>
      <c r="E620" s="106"/>
      <c r="F620" s="49"/>
      <c r="G620" s="49"/>
      <c r="H620" s="49"/>
      <c r="I620" s="49"/>
      <c r="J620" s="49"/>
      <c r="K620" s="49"/>
      <c r="L620" s="49"/>
      <c r="M620" s="49"/>
      <c r="N620" s="49"/>
      <c r="O620" s="49"/>
      <c r="P620" s="49"/>
      <c r="Q620" s="49"/>
      <c r="R620" s="49"/>
      <c r="S620" s="49"/>
      <c r="T620" s="49"/>
      <c r="U620" s="49"/>
      <c r="V620" s="49"/>
      <c r="W620" s="49"/>
      <c r="X620" s="49"/>
      <c r="Y620" s="49"/>
      <c r="Z620" s="49"/>
    </row>
    <row r="621">
      <c r="A621" s="49"/>
      <c r="B621" s="49"/>
      <c r="C621" s="49"/>
      <c r="D621" s="49"/>
      <c r="E621" s="106"/>
      <c r="F621" s="49"/>
      <c r="G621" s="49"/>
      <c r="H621" s="49"/>
      <c r="I621" s="49"/>
      <c r="J621" s="49"/>
      <c r="K621" s="49"/>
      <c r="L621" s="49"/>
      <c r="M621" s="49"/>
      <c r="N621" s="49"/>
      <c r="O621" s="49"/>
      <c r="P621" s="49"/>
      <c r="Q621" s="49"/>
      <c r="R621" s="49"/>
      <c r="S621" s="49"/>
      <c r="T621" s="49"/>
      <c r="U621" s="49"/>
      <c r="V621" s="49"/>
      <c r="W621" s="49"/>
      <c r="X621" s="49"/>
      <c r="Y621" s="49"/>
      <c r="Z621" s="49"/>
    </row>
    <row r="622">
      <c r="A622" s="49"/>
      <c r="B622" s="49"/>
      <c r="C622" s="49"/>
      <c r="D622" s="49"/>
      <c r="E622" s="106"/>
      <c r="F622" s="49"/>
      <c r="G622" s="49"/>
      <c r="H622" s="49"/>
      <c r="I622" s="49"/>
      <c r="J622" s="49"/>
      <c r="K622" s="49"/>
      <c r="L622" s="49"/>
      <c r="M622" s="49"/>
      <c r="N622" s="49"/>
      <c r="O622" s="49"/>
      <c r="P622" s="49"/>
      <c r="Q622" s="49"/>
      <c r="R622" s="49"/>
      <c r="S622" s="49"/>
      <c r="T622" s="49"/>
      <c r="U622" s="49"/>
      <c r="V622" s="49"/>
      <c r="W622" s="49"/>
      <c r="X622" s="49"/>
      <c r="Y622" s="49"/>
      <c r="Z622" s="49"/>
    </row>
    <row r="623">
      <c r="A623" s="49"/>
      <c r="B623" s="49"/>
      <c r="C623" s="49"/>
      <c r="D623" s="49"/>
      <c r="E623" s="106"/>
      <c r="F623" s="49"/>
      <c r="G623" s="49"/>
      <c r="H623" s="49"/>
      <c r="I623" s="49"/>
      <c r="J623" s="49"/>
      <c r="K623" s="49"/>
      <c r="L623" s="49"/>
      <c r="M623" s="49"/>
      <c r="N623" s="49"/>
      <c r="O623" s="49"/>
      <c r="P623" s="49"/>
      <c r="Q623" s="49"/>
      <c r="R623" s="49"/>
      <c r="S623" s="49"/>
      <c r="T623" s="49"/>
      <c r="U623" s="49"/>
      <c r="V623" s="49"/>
      <c r="W623" s="49"/>
      <c r="X623" s="49"/>
      <c r="Y623" s="49"/>
      <c r="Z623" s="49"/>
    </row>
    <row r="624">
      <c r="A624" s="49"/>
      <c r="B624" s="49"/>
      <c r="C624" s="49"/>
      <c r="D624" s="49"/>
      <c r="E624" s="106"/>
      <c r="F624" s="49"/>
      <c r="G624" s="49"/>
      <c r="H624" s="49"/>
      <c r="I624" s="49"/>
      <c r="J624" s="49"/>
      <c r="K624" s="49"/>
      <c r="L624" s="49"/>
      <c r="M624" s="49"/>
      <c r="N624" s="49"/>
      <c r="O624" s="49"/>
      <c r="P624" s="49"/>
      <c r="Q624" s="49"/>
      <c r="R624" s="49"/>
      <c r="S624" s="49"/>
      <c r="T624" s="49"/>
      <c r="U624" s="49"/>
      <c r="V624" s="49"/>
      <c r="W624" s="49"/>
      <c r="X624" s="49"/>
      <c r="Y624" s="49"/>
      <c r="Z624" s="49"/>
    </row>
    <row r="625">
      <c r="A625" s="49"/>
      <c r="B625" s="49"/>
      <c r="C625" s="49"/>
      <c r="D625" s="49"/>
      <c r="E625" s="106"/>
      <c r="F625" s="49"/>
      <c r="G625" s="49"/>
      <c r="H625" s="49"/>
      <c r="I625" s="49"/>
      <c r="J625" s="49"/>
      <c r="K625" s="49"/>
      <c r="L625" s="49"/>
      <c r="M625" s="49"/>
      <c r="N625" s="49"/>
      <c r="O625" s="49"/>
      <c r="P625" s="49"/>
      <c r="Q625" s="49"/>
      <c r="R625" s="49"/>
      <c r="S625" s="49"/>
      <c r="T625" s="49"/>
      <c r="U625" s="49"/>
      <c r="V625" s="49"/>
      <c r="W625" s="49"/>
      <c r="X625" s="49"/>
      <c r="Y625" s="49"/>
      <c r="Z625" s="49"/>
    </row>
    <row r="626">
      <c r="A626" s="49"/>
      <c r="B626" s="49"/>
      <c r="C626" s="49"/>
      <c r="D626" s="49"/>
      <c r="E626" s="106"/>
      <c r="F626" s="49"/>
      <c r="G626" s="49"/>
      <c r="H626" s="49"/>
      <c r="I626" s="49"/>
      <c r="J626" s="49"/>
      <c r="K626" s="49"/>
      <c r="L626" s="49"/>
      <c r="M626" s="49"/>
      <c r="N626" s="49"/>
      <c r="O626" s="49"/>
      <c r="P626" s="49"/>
      <c r="Q626" s="49"/>
      <c r="R626" s="49"/>
      <c r="S626" s="49"/>
      <c r="T626" s="49"/>
      <c r="U626" s="49"/>
      <c r="V626" s="49"/>
      <c r="W626" s="49"/>
      <c r="X626" s="49"/>
      <c r="Y626" s="49"/>
      <c r="Z626" s="49"/>
    </row>
    <row r="627">
      <c r="A627" s="49"/>
      <c r="B627" s="49"/>
      <c r="C627" s="49"/>
      <c r="D627" s="49"/>
      <c r="E627" s="106"/>
      <c r="F627" s="49"/>
      <c r="G627" s="49"/>
      <c r="H627" s="49"/>
      <c r="I627" s="49"/>
      <c r="J627" s="49"/>
      <c r="K627" s="49"/>
      <c r="L627" s="49"/>
      <c r="M627" s="49"/>
      <c r="N627" s="49"/>
      <c r="O627" s="49"/>
      <c r="P627" s="49"/>
      <c r="Q627" s="49"/>
      <c r="R627" s="49"/>
      <c r="S627" s="49"/>
      <c r="T627" s="49"/>
      <c r="U627" s="49"/>
      <c r="V627" s="49"/>
      <c r="W627" s="49"/>
      <c r="X627" s="49"/>
      <c r="Y627" s="49"/>
      <c r="Z627" s="49"/>
    </row>
    <row r="628">
      <c r="A628" s="49"/>
      <c r="B628" s="49"/>
      <c r="C628" s="49"/>
      <c r="D628" s="49"/>
      <c r="E628" s="106"/>
      <c r="F628" s="49"/>
      <c r="G628" s="49"/>
      <c r="H628" s="49"/>
      <c r="I628" s="49"/>
      <c r="J628" s="49"/>
      <c r="K628" s="49"/>
      <c r="L628" s="49"/>
      <c r="M628" s="49"/>
      <c r="N628" s="49"/>
      <c r="O628" s="49"/>
      <c r="P628" s="49"/>
      <c r="Q628" s="49"/>
      <c r="R628" s="49"/>
      <c r="S628" s="49"/>
      <c r="T628" s="49"/>
      <c r="U628" s="49"/>
      <c r="V628" s="49"/>
      <c r="W628" s="49"/>
      <c r="X628" s="49"/>
      <c r="Y628" s="49"/>
      <c r="Z628" s="49"/>
    </row>
    <row r="629">
      <c r="A629" s="49"/>
      <c r="B629" s="49"/>
      <c r="C629" s="49"/>
      <c r="D629" s="49"/>
      <c r="E629" s="106"/>
      <c r="F629" s="49"/>
      <c r="G629" s="49"/>
      <c r="H629" s="49"/>
      <c r="I629" s="49"/>
      <c r="J629" s="49"/>
      <c r="K629" s="49"/>
      <c r="L629" s="49"/>
      <c r="M629" s="49"/>
      <c r="N629" s="49"/>
      <c r="O629" s="49"/>
      <c r="P629" s="49"/>
      <c r="Q629" s="49"/>
      <c r="R629" s="49"/>
      <c r="S629" s="49"/>
      <c r="T629" s="49"/>
      <c r="U629" s="49"/>
      <c r="V629" s="49"/>
      <c r="W629" s="49"/>
      <c r="X629" s="49"/>
      <c r="Y629" s="49"/>
      <c r="Z629" s="49"/>
    </row>
    <row r="630">
      <c r="A630" s="49"/>
      <c r="B630" s="49"/>
      <c r="C630" s="49"/>
      <c r="D630" s="49"/>
      <c r="E630" s="106"/>
      <c r="F630" s="49"/>
      <c r="G630" s="49"/>
      <c r="H630" s="49"/>
      <c r="I630" s="49"/>
      <c r="J630" s="49"/>
      <c r="K630" s="49"/>
      <c r="L630" s="49"/>
      <c r="M630" s="49"/>
      <c r="N630" s="49"/>
      <c r="O630" s="49"/>
      <c r="P630" s="49"/>
      <c r="Q630" s="49"/>
      <c r="R630" s="49"/>
      <c r="S630" s="49"/>
      <c r="T630" s="49"/>
      <c r="U630" s="49"/>
      <c r="V630" s="49"/>
      <c r="W630" s="49"/>
      <c r="X630" s="49"/>
      <c r="Y630" s="49"/>
      <c r="Z630" s="49"/>
    </row>
    <row r="631">
      <c r="A631" s="49"/>
      <c r="B631" s="49"/>
      <c r="C631" s="49"/>
      <c r="D631" s="49"/>
      <c r="E631" s="106"/>
      <c r="F631" s="49"/>
      <c r="G631" s="49"/>
      <c r="H631" s="49"/>
      <c r="I631" s="49"/>
      <c r="J631" s="49"/>
      <c r="K631" s="49"/>
      <c r="L631" s="49"/>
      <c r="M631" s="49"/>
      <c r="N631" s="49"/>
      <c r="O631" s="49"/>
      <c r="P631" s="49"/>
      <c r="Q631" s="49"/>
      <c r="R631" s="49"/>
      <c r="S631" s="49"/>
      <c r="T631" s="49"/>
      <c r="U631" s="49"/>
      <c r="V631" s="49"/>
      <c r="W631" s="49"/>
      <c r="X631" s="49"/>
      <c r="Y631" s="49"/>
      <c r="Z631" s="49"/>
    </row>
    <row r="632">
      <c r="A632" s="49"/>
      <c r="B632" s="49"/>
      <c r="C632" s="49"/>
      <c r="D632" s="49"/>
      <c r="E632" s="106"/>
      <c r="F632" s="49"/>
      <c r="G632" s="49"/>
      <c r="H632" s="49"/>
      <c r="I632" s="49"/>
      <c r="J632" s="49"/>
      <c r="K632" s="49"/>
      <c r="L632" s="49"/>
      <c r="M632" s="49"/>
      <c r="N632" s="49"/>
      <c r="O632" s="49"/>
      <c r="P632" s="49"/>
      <c r="Q632" s="49"/>
      <c r="R632" s="49"/>
      <c r="S632" s="49"/>
      <c r="T632" s="49"/>
      <c r="U632" s="49"/>
      <c r="V632" s="49"/>
      <c r="W632" s="49"/>
      <c r="X632" s="49"/>
      <c r="Y632" s="49"/>
      <c r="Z632" s="49"/>
    </row>
    <row r="633">
      <c r="A633" s="49"/>
      <c r="B633" s="49"/>
      <c r="C633" s="49"/>
      <c r="D633" s="49"/>
      <c r="E633" s="106"/>
      <c r="F633" s="49"/>
      <c r="G633" s="49"/>
      <c r="H633" s="49"/>
      <c r="I633" s="49"/>
      <c r="J633" s="49"/>
      <c r="K633" s="49"/>
      <c r="L633" s="49"/>
      <c r="M633" s="49"/>
      <c r="N633" s="49"/>
      <c r="O633" s="49"/>
      <c r="P633" s="49"/>
      <c r="Q633" s="49"/>
      <c r="R633" s="49"/>
      <c r="S633" s="49"/>
      <c r="T633" s="49"/>
      <c r="U633" s="49"/>
      <c r="V633" s="49"/>
      <c r="W633" s="49"/>
      <c r="X633" s="49"/>
      <c r="Y633" s="49"/>
      <c r="Z633" s="49"/>
    </row>
    <row r="634">
      <c r="A634" s="49"/>
      <c r="B634" s="49"/>
      <c r="C634" s="49"/>
      <c r="D634" s="49"/>
      <c r="E634" s="106"/>
      <c r="F634" s="49"/>
      <c r="G634" s="49"/>
      <c r="H634" s="49"/>
      <c r="I634" s="49"/>
      <c r="J634" s="49"/>
      <c r="K634" s="49"/>
      <c r="L634" s="49"/>
      <c r="M634" s="49"/>
      <c r="N634" s="49"/>
      <c r="O634" s="49"/>
      <c r="P634" s="49"/>
      <c r="Q634" s="49"/>
      <c r="R634" s="49"/>
      <c r="S634" s="49"/>
      <c r="T634" s="49"/>
      <c r="U634" s="49"/>
      <c r="V634" s="49"/>
      <c r="W634" s="49"/>
      <c r="X634" s="49"/>
      <c r="Y634" s="49"/>
      <c r="Z634" s="49"/>
    </row>
    <row r="635">
      <c r="A635" s="49"/>
      <c r="B635" s="49"/>
      <c r="C635" s="49"/>
      <c r="D635" s="49"/>
      <c r="E635" s="106"/>
      <c r="F635" s="49"/>
      <c r="G635" s="49"/>
      <c r="H635" s="49"/>
      <c r="I635" s="49"/>
      <c r="J635" s="49"/>
      <c r="K635" s="49"/>
      <c r="L635" s="49"/>
      <c r="M635" s="49"/>
      <c r="N635" s="49"/>
      <c r="O635" s="49"/>
      <c r="P635" s="49"/>
      <c r="Q635" s="49"/>
      <c r="R635" s="49"/>
      <c r="S635" s="49"/>
      <c r="T635" s="49"/>
      <c r="U635" s="49"/>
      <c r="V635" s="49"/>
      <c r="W635" s="49"/>
      <c r="X635" s="49"/>
      <c r="Y635" s="49"/>
      <c r="Z635" s="49"/>
    </row>
    <row r="636">
      <c r="A636" s="49"/>
      <c r="B636" s="49"/>
      <c r="C636" s="49"/>
      <c r="D636" s="49"/>
      <c r="E636" s="106"/>
      <c r="F636" s="49"/>
      <c r="G636" s="49"/>
      <c r="H636" s="49"/>
      <c r="I636" s="49"/>
      <c r="J636" s="49"/>
      <c r="K636" s="49"/>
      <c r="L636" s="49"/>
      <c r="M636" s="49"/>
      <c r="N636" s="49"/>
      <c r="O636" s="49"/>
      <c r="P636" s="49"/>
      <c r="Q636" s="49"/>
      <c r="R636" s="49"/>
      <c r="S636" s="49"/>
      <c r="T636" s="49"/>
      <c r="U636" s="49"/>
      <c r="V636" s="49"/>
      <c r="W636" s="49"/>
      <c r="X636" s="49"/>
      <c r="Y636" s="49"/>
      <c r="Z636" s="49"/>
    </row>
    <row r="637">
      <c r="A637" s="49"/>
      <c r="B637" s="49"/>
      <c r="C637" s="49"/>
      <c r="D637" s="49"/>
      <c r="E637" s="106"/>
      <c r="F637" s="49"/>
      <c r="G637" s="49"/>
      <c r="H637" s="49"/>
      <c r="I637" s="49"/>
      <c r="J637" s="49"/>
      <c r="K637" s="49"/>
      <c r="L637" s="49"/>
      <c r="M637" s="49"/>
      <c r="N637" s="49"/>
      <c r="O637" s="49"/>
      <c r="P637" s="49"/>
      <c r="Q637" s="49"/>
      <c r="R637" s="49"/>
      <c r="S637" s="49"/>
      <c r="T637" s="49"/>
      <c r="U637" s="49"/>
      <c r="V637" s="49"/>
      <c r="W637" s="49"/>
      <c r="X637" s="49"/>
      <c r="Y637" s="49"/>
      <c r="Z637" s="49"/>
    </row>
    <row r="638">
      <c r="A638" s="49"/>
      <c r="B638" s="49"/>
      <c r="C638" s="49"/>
      <c r="D638" s="49"/>
      <c r="E638" s="106"/>
      <c r="F638" s="49"/>
      <c r="G638" s="49"/>
      <c r="H638" s="49"/>
      <c r="I638" s="49"/>
      <c r="J638" s="49"/>
      <c r="K638" s="49"/>
      <c r="L638" s="49"/>
      <c r="M638" s="49"/>
      <c r="N638" s="49"/>
      <c r="O638" s="49"/>
      <c r="P638" s="49"/>
      <c r="Q638" s="49"/>
      <c r="R638" s="49"/>
      <c r="S638" s="49"/>
      <c r="T638" s="49"/>
      <c r="U638" s="49"/>
      <c r="V638" s="49"/>
      <c r="W638" s="49"/>
      <c r="X638" s="49"/>
      <c r="Y638" s="49"/>
      <c r="Z638" s="49"/>
    </row>
    <row r="639">
      <c r="A639" s="49"/>
      <c r="B639" s="49"/>
      <c r="C639" s="49"/>
      <c r="D639" s="49"/>
      <c r="E639" s="106"/>
      <c r="F639" s="49"/>
      <c r="G639" s="49"/>
      <c r="H639" s="49"/>
      <c r="I639" s="49"/>
      <c r="J639" s="49"/>
      <c r="K639" s="49"/>
      <c r="L639" s="49"/>
      <c r="M639" s="49"/>
      <c r="N639" s="49"/>
      <c r="O639" s="49"/>
      <c r="P639" s="49"/>
      <c r="Q639" s="49"/>
      <c r="R639" s="49"/>
      <c r="S639" s="49"/>
      <c r="T639" s="49"/>
      <c r="U639" s="49"/>
      <c r="V639" s="49"/>
      <c r="W639" s="49"/>
      <c r="X639" s="49"/>
      <c r="Y639" s="49"/>
      <c r="Z639" s="49"/>
    </row>
    <row r="640">
      <c r="A640" s="49"/>
      <c r="B640" s="49"/>
      <c r="C640" s="49"/>
      <c r="D640" s="49"/>
      <c r="E640" s="106"/>
      <c r="F640" s="49"/>
      <c r="G640" s="49"/>
      <c r="H640" s="49"/>
      <c r="I640" s="49"/>
      <c r="J640" s="49"/>
      <c r="K640" s="49"/>
      <c r="L640" s="49"/>
      <c r="M640" s="49"/>
      <c r="N640" s="49"/>
      <c r="O640" s="49"/>
      <c r="P640" s="49"/>
      <c r="Q640" s="49"/>
      <c r="R640" s="49"/>
      <c r="S640" s="49"/>
      <c r="T640" s="49"/>
      <c r="U640" s="49"/>
      <c r="V640" s="49"/>
      <c r="W640" s="49"/>
      <c r="X640" s="49"/>
      <c r="Y640" s="49"/>
      <c r="Z640" s="49"/>
    </row>
    <row r="641">
      <c r="A641" s="49"/>
      <c r="B641" s="49"/>
      <c r="C641" s="49"/>
      <c r="D641" s="49"/>
      <c r="E641" s="106"/>
      <c r="F641" s="49"/>
      <c r="G641" s="49"/>
      <c r="H641" s="49"/>
      <c r="I641" s="49"/>
      <c r="J641" s="49"/>
      <c r="K641" s="49"/>
      <c r="L641" s="49"/>
      <c r="M641" s="49"/>
      <c r="N641" s="49"/>
      <c r="O641" s="49"/>
      <c r="P641" s="49"/>
      <c r="Q641" s="49"/>
      <c r="R641" s="49"/>
      <c r="S641" s="49"/>
      <c r="T641" s="49"/>
      <c r="U641" s="49"/>
      <c r="V641" s="49"/>
      <c r="W641" s="49"/>
      <c r="X641" s="49"/>
      <c r="Y641" s="49"/>
      <c r="Z641" s="49"/>
    </row>
    <row r="642">
      <c r="A642" s="49"/>
      <c r="B642" s="49"/>
      <c r="C642" s="49"/>
      <c r="D642" s="49"/>
      <c r="E642" s="106"/>
      <c r="F642" s="49"/>
      <c r="G642" s="49"/>
      <c r="H642" s="49"/>
      <c r="I642" s="49"/>
      <c r="J642" s="49"/>
      <c r="K642" s="49"/>
      <c r="L642" s="49"/>
      <c r="M642" s="49"/>
      <c r="N642" s="49"/>
      <c r="O642" s="49"/>
      <c r="P642" s="49"/>
      <c r="Q642" s="49"/>
      <c r="R642" s="49"/>
      <c r="S642" s="49"/>
      <c r="T642" s="49"/>
      <c r="U642" s="49"/>
      <c r="V642" s="49"/>
      <c r="W642" s="49"/>
      <c r="X642" s="49"/>
      <c r="Y642" s="49"/>
      <c r="Z642" s="49"/>
    </row>
    <row r="643">
      <c r="A643" s="49"/>
      <c r="B643" s="49"/>
      <c r="C643" s="49"/>
      <c r="D643" s="49"/>
      <c r="E643" s="106"/>
      <c r="F643" s="49"/>
      <c r="G643" s="49"/>
      <c r="H643" s="49"/>
      <c r="I643" s="49"/>
      <c r="J643" s="49"/>
      <c r="K643" s="49"/>
      <c r="L643" s="49"/>
      <c r="M643" s="49"/>
      <c r="N643" s="49"/>
      <c r="O643" s="49"/>
      <c r="P643" s="49"/>
      <c r="Q643" s="49"/>
      <c r="R643" s="49"/>
      <c r="S643" s="49"/>
      <c r="T643" s="49"/>
      <c r="U643" s="49"/>
      <c r="V643" s="49"/>
      <c r="W643" s="49"/>
      <c r="X643" s="49"/>
      <c r="Y643" s="49"/>
      <c r="Z643" s="49"/>
    </row>
    <row r="644">
      <c r="A644" s="49"/>
      <c r="B644" s="49"/>
      <c r="C644" s="49"/>
      <c r="D644" s="49"/>
      <c r="E644" s="106"/>
      <c r="F644" s="49"/>
      <c r="G644" s="49"/>
      <c r="H644" s="49"/>
      <c r="I644" s="49"/>
      <c r="J644" s="49"/>
      <c r="K644" s="49"/>
      <c r="L644" s="49"/>
      <c r="M644" s="49"/>
      <c r="N644" s="49"/>
      <c r="O644" s="49"/>
      <c r="P644" s="49"/>
      <c r="Q644" s="49"/>
      <c r="R644" s="49"/>
      <c r="S644" s="49"/>
      <c r="T644" s="49"/>
      <c r="U644" s="49"/>
      <c r="V644" s="49"/>
      <c r="W644" s="49"/>
      <c r="X644" s="49"/>
      <c r="Y644" s="49"/>
      <c r="Z644" s="49"/>
    </row>
    <row r="645">
      <c r="A645" s="49"/>
      <c r="B645" s="49"/>
      <c r="C645" s="49"/>
      <c r="D645" s="49"/>
      <c r="E645" s="106"/>
      <c r="F645" s="49"/>
      <c r="G645" s="49"/>
      <c r="H645" s="49"/>
      <c r="I645" s="49"/>
      <c r="J645" s="49"/>
      <c r="K645" s="49"/>
      <c r="L645" s="49"/>
      <c r="M645" s="49"/>
      <c r="N645" s="49"/>
      <c r="O645" s="49"/>
      <c r="P645" s="49"/>
      <c r="Q645" s="49"/>
      <c r="R645" s="49"/>
      <c r="S645" s="49"/>
      <c r="T645" s="49"/>
      <c r="U645" s="49"/>
      <c r="V645" s="49"/>
      <c r="W645" s="49"/>
      <c r="X645" s="49"/>
      <c r="Y645" s="49"/>
      <c r="Z645" s="49"/>
    </row>
    <row r="646">
      <c r="A646" s="49"/>
      <c r="B646" s="49"/>
      <c r="C646" s="49"/>
      <c r="D646" s="49"/>
      <c r="E646" s="106"/>
      <c r="F646" s="49"/>
      <c r="G646" s="49"/>
      <c r="H646" s="49"/>
      <c r="I646" s="49"/>
      <c r="J646" s="49"/>
      <c r="K646" s="49"/>
      <c r="L646" s="49"/>
      <c r="M646" s="49"/>
      <c r="N646" s="49"/>
      <c r="O646" s="49"/>
      <c r="P646" s="49"/>
      <c r="Q646" s="49"/>
      <c r="R646" s="49"/>
      <c r="S646" s="49"/>
      <c r="T646" s="49"/>
      <c r="U646" s="49"/>
      <c r="V646" s="49"/>
      <c r="W646" s="49"/>
      <c r="X646" s="49"/>
      <c r="Y646" s="49"/>
      <c r="Z646" s="49"/>
    </row>
    <row r="647">
      <c r="A647" s="49"/>
      <c r="B647" s="49"/>
      <c r="C647" s="49"/>
      <c r="D647" s="49"/>
      <c r="E647" s="106"/>
      <c r="F647" s="49"/>
      <c r="G647" s="49"/>
      <c r="H647" s="49"/>
      <c r="I647" s="49"/>
      <c r="J647" s="49"/>
      <c r="K647" s="49"/>
      <c r="L647" s="49"/>
      <c r="M647" s="49"/>
      <c r="N647" s="49"/>
      <c r="O647" s="49"/>
      <c r="P647" s="49"/>
      <c r="Q647" s="49"/>
      <c r="R647" s="49"/>
      <c r="S647" s="49"/>
      <c r="T647" s="49"/>
      <c r="U647" s="49"/>
      <c r="V647" s="49"/>
      <c r="W647" s="49"/>
      <c r="X647" s="49"/>
      <c r="Y647" s="49"/>
      <c r="Z647" s="49"/>
    </row>
    <row r="648">
      <c r="A648" s="49"/>
      <c r="B648" s="49"/>
      <c r="C648" s="49"/>
      <c r="D648" s="49"/>
      <c r="E648" s="106"/>
      <c r="F648" s="49"/>
      <c r="G648" s="49"/>
      <c r="H648" s="49"/>
      <c r="I648" s="49"/>
      <c r="J648" s="49"/>
      <c r="K648" s="49"/>
      <c r="L648" s="49"/>
      <c r="M648" s="49"/>
      <c r="N648" s="49"/>
      <c r="O648" s="49"/>
      <c r="P648" s="49"/>
      <c r="Q648" s="49"/>
      <c r="R648" s="49"/>
      <c r="S648" s="49"/>
      <c r="T648" s="49"/>
      <c r="U648" s="49"/>
      <c r="V648" s="49"/>
      <c r="W648" s="49"/>
      <c r="X648" s="49"/>
      <c r="Y648" s="49"/>
      <c r="Z648" s="49"/>
    </row>
    <row r="649">
      <c r="A649" s="49"/>
      <c r="B649" s="49"/>
      <c r="C649" s="49"/>
      <c r="D649" s="49"/>
      <c r="E649" s="106"/>
      <c r="F649" s="49"/>
      <c r="G649" s="49"/>
      <c r="H649" s="49"/>
      <c r="I649" s="49"/>
      <c r="J649" s="49"/>
      <c r="K649" s="49"/>
      <c r="L649" s="49"/>
      <c r="M649" s="49"/>
      <c r="N649" s="49"/>
      <c r="O649" s="49"/>
      <c r="P649" s="49"/>
      <c r="Q649" s="49"/>
      <c r="R649" s="49"/>
      <c r="S649" s="49"/>
      <c r="T649" s="49"/>
      <c r="U649" s="49"/>
      <c r="V649" s="49"/>
      <c r="W649" s="49"/>
      <c r="X649" s="49"/>
      <c r="Y649" s="49"/>
      <c r="Z649" s="49"/>
    </row>
    <row r="650">
      <c r="A650" s="49"/>
      <c r="B650" s="49"/>
      <c r="C650" s="49"/>
      <c r="D650" s="49"/>
      <c r="E650" s="106"/>
      <c r="F650" s="49"/>
      <c r="G650" s="49"/>
      <c r="H650" s="49"/>
      <c r="I650" s="49"/>
      <c r="J650" s="49"/>
      <c r="K650" s="49"/>
      <c r="L650" s="49"/>
      <c r="M650" s="49"/>
      <c r="N650" s="49"/>
      <c r="O650" s="49"/>
      <c r="P650" s="49"/>
      <c r="Q650" s="49"/>
      <c r="R650" s="49"/>
      <c r="S650" s="49"/>
      <c r="T650" s="49"/>
      <c r="U650" s="49"/>
      <c r="V650" s="49"/>
      <c r="W650" s="49"/>
      <c r="X650" s="49"/>
      <c r="Y650" s="49"/>
      <c r="Z650" s="49"/>
    </row>
    <row r="651">
      <c r="A651" s="49"/>
      <c r="B651" s="49"/>
      <c r="C651" s="49"/>
      <c r="D651" s="49"/>
      <c r="E651" s="106"/>
      <c r="F651" s="49"/>
      <c r="G651" s="49"/>
      <c r="H651" s="49"/>
      <c r="I651" s="49"/>
      <c r="J651" s="49"/>
      <c r="K651" s="49"/>
      <c r="L651" s="49"/>
      <c r="M651" s="49"/>
      <c r="N651" s="49"/>
      <c r="O651" s="49"/>
      <c r="P651" s="49"/>
      <c r="Q651" s="49"/>
      <c r="R651" s="49"/>
      <c r="S651" s="49"/>
      <c r="T651" s="49"/>
      <c r="U651" s="49"/>
      <c r="V651" s="49"/>
      <c r="W651" s="49"/>
      <c r="X651" s="49"/>
      <c r="Y651" s="49"/>
      <c r="Z651" s="49"/>
    </row>
    <row r="652">
      <c r="A652" s="49"/>
      <c r="B652" s="49"/>
      <c r="C652" s="49"/>
      <c r="D652" s="49"/>
      <c r="E652" s="106"/>
      <c r="F652" s="49"/>
      <c r="G652" s="49"/>
      <c r="H652" s="49"/>
      <c r="I652" s="49"/>
      <c r="J652" s="49"/>
      <c r="K652" s="49"/>
      <c r="L652" s="49"/>
      <c r="M652" s="49"/>
      <c r="N652" s="49"/>
      <c r="O652" s="49"/>
      <c r="P652" s="49"/>
      <c r="Q652" s="49"/>
      <c r="R652" s="49"/>
      <c r="S652" s="49"/>
      <c r="T652" s="49"/>
      <c r="U652" s="49"/>
      <c r="V652" s="49"/>
      <c r="W652" s="49"/>
      <c r="X652" s="49"/>
      <c r="Y652" s="49"/>
      <c r="Z652" s="49"/>
    </row>
    <row r="653">
      <c r="A653" s="49"/>
      <c r="B653" s="49"/>
      <c r="C653" s="49"/>
      <c r="D653" s="49"/>
      <c r="E653" s="106"/>
      <c r="F653" s="49"/>
      <c r="G653" s="49"/>
      <c r="H653" s="49"/>
      <c r="I653" s="49"/>
      <c r="J653" s="49"/>
      <c r="K653" s="49"/>
      <c r="L653" s="49"/>
      <c r="M653" s="49"/>
      <c r="N653" s="49"/>
      <c r="O653" s="49"/>
      <c r="P653" s="49"/>
      <c r="Q653" s="49"/>
      <c r="R653" s="49"/>
      <c r="S653" s="49"/>
      <c r="T653" s="49"/>
      <c r="U653" s="49"/>
      <c r="V653" s="49"/>
      <c r="W653" s="49"/>
      <c r="X653" s="49"/>
      <c r="Y653" s="49"/>
      <c r="Z653" s="49"/>
    </row>
    <row r="654">
      <c r="A654" s="49"/>
      <c r="B654" s="49"/>
      <c r="C654" s="49"/>
      <c r="D654" s="49"/>
      <c r="E654" s="106"/>
      <c r="F654" s="49"/>
      <c r="G654" s="49"/>
      <c r="H654" s="49"/>
      <c r="I654" s="49"/>
      <c r="J654" s="49"/>
      <c r="K654" s="49"/>
      <c r="L654" s="49"/>
      <c r="M654" s="49"/>
      <c r="N654" s="49"/>
      <c r="O654" s="49"/>
      <c r="P654" s="49"/>
      <c r="Q654" s="49"/>
      <c r="R654" s="49"/>
      <c r="S654" s="49"/>
      <c r="T654" s="49"/>
      <c r="U654" s="49"/>
      <c r="V654" s="49"/>
      <c r="W654" s="49"/>
      <c r="X654" s="49"/>
      <c r="Y654" s="49"/>
      <c r="Z654" s="49"/>
    </row>
    <row r="655">
      <c r="A655" s="49"/>
      <c r="B655" s="49"/>
      <c r="C655" s="49"/>
      <c r="D655" s="49"/>
      <c r="E655" s="106"/>
      <c r="F655" s="49"/>
      <c r="G655" s="49"/>
      <c r="H655" s="49"/>
      <c r="I655" s="49"/>
      <c r="J655" s="49"/>
      <c r="K655" s="49"/>
      <c r="L655" s="49"/>
      <c r="M655" s="49"/>
      <c r="N655" s="49"/>
      <c r="O655" s="49"/>
      <c r="P655" s="49"/>
      <c r="Q655" s="49"/>
      <c r="R655" s="49"/>
      <c r="S655" s="49"/>
      <c r="T655" s="49"/>
      <c r="U655" s="49"/>
      <c r="V655" s="49"/>
      <c r="W655" s="49"/>
      <c r="X655" s="49"/>
      <c r="Y655" s="49"/>
      <c r="Z655" s="49"/>
    </row>
    <row r="656">
      <c r="A656" s="49"/>
      <c r="B656" s="49"/>
      <c r="C656" s="49"/>
      <c r="D656" s="49"/>
      <c r="E656" s="106"/>
      <c r="F656" s="49"/>
      <c r="G656" s="49"/>
      <c r="H656" s="49"/>
      <c r="I656" s="49"/>
      <c r="J656" s="49"/>
      <c r="K656" s="49"/>
      <c r="L656" s="49"/>
      <c r="M656" s="49"/>
      <c r="N656" s="49"/>
      <c r="O656" s="49"/>
      <c r="P656" s="49"/>
      <c r="Q656" s="49"/>
      <c r="R656" s="49"/>
      <c r="S656" s="49"/>
      <c r="T656" s="49"/>
      <c r="U656" s="49"/>
      <c r="V656" s="49"/>
      <c r="W656" s="49"/>
      <c r="X656" s="49"/>
      <c r="Y656" s="49"/>
      <c r="Z656" s="49"/>
    </row>
    <row r="657">
      <c r="A657" s="49"/>
      <c r="B657" s="49"/>
      <c r="C657" s="49"/>
      <c r="D657" s="49"/>
      <c r="E657" s="106"/>
      <c r="F657" s="49"/>
      <c r="G657" s="49"/>
      <c r="H657" s="49"/>
      <c r="I657" s="49"/>
      <c r="J657" s="49"/>
      <c r="K657" s="49"/>
      <c r="L657" s="49"/>
      <c r="M657" s="49"/>
      <c r="N657" s="49"/>
      <c r="O657" s="49"/>
      <c r="P657" s="49"/>
      <c r="Q657" s="49"/>
      <c r="R657" s="49"/>
      <c r="S657" s="49"/>
      <c r="T657" s="49"/>
      <c r="U657" s="49"/>
      <c r="V657" s="49"/>
      <c r="W657" s="49"/>
      <c r="X657" s="49"/>
      <c r="Y657" s="49"/>
      <c r="Z657" s="49"/>
    </row>
    <row r="658">
      <c r="A658" s="49"/>
      <c r="B658" s="49"/>
      <c r="C658" s="49"/>
      <c r="D658" s="49"/>
      <c r="E658" s="106"/>
      <c r="F658" s="49"/>
      <c r="G658" s="49"/>
      <c r="H658" s="49"/>
      <c r="I658" s="49"/>
      <c r="J658" s="49"/>
      <c r="K658" s="49"/>
      <c r="L658" s="49"/>
      <c r="M658" s="49"/>
      <c r="N658" s="49"/>
      <c r="O658" s="49"/>
      <c r="P658" s="49"/>
      <c r="Q658" s="49"/>
      <c r="R658" s="49"/>
      <c r="S658" s="49"/>
      <c r="T658" s="49"/>
      <c r="U658" s="49"/>
      <c r="V658" s="49"/>
      <c r="W658" s="49"/>
      <c r="X658" s="49"/>
      <c r="Y658" s="49"/>
      <c r="Z658" s="49"/>
    </row>
    <row r="659">
      <c r="A659" s="49"/>
      <c r="B659" s="49"/>
      <c r="C659" s="49"/>
      <c r="D659" s="49"/>
      <c r="E659" s="106"/>
      <c r="F659" s="49"/>
      <c r="G659" s="49"/>
      <c r="H659" s="49"/>
      <c r="I659" s="49"/>
      <c r="J659" s="49"/>
      <c r="K659" s="49"/>
      <c r="L659" s="49"/>
      <c r="M659" s="49"/>
      <c r="N659" s="49"/>
      <c r="O659" s="49"/>
      <c r="P659" s="49"/>
      <c r="Q659" s="49"/>
      <c r="R659" s="49"/>
      <c r="S659" s="49"/>
      <c r="T659" s="49"/>
      <c r="U659" s="49"/>
      <c r="V659" s="49"/>
      <c r="W659" s="49"/>
      <c r="X659" s="49"/>
      <c r="Y659" s="49"/>
      <c r="Z659" s="49"/>
    </row>
    <row r="660">
      <c r="A660" s="49"/>
      <c r="B660" s="49"/>
      <c r="C660" s="49"/>
      <c r="D660" s="49"/>
      <c r="E660" s="106"/>
      <c r="F660" s="49"/>
      <c r="G660" s="49"/>
      <c r="H660" s="49"/>
      <c r="I660" s="49"/>
      <c r="J660" s="49"/>
      <c r="K660" s="49"/>
      <c r="L660" s="49"/>
      <c r="M660" s="49"/>
      <c r="N660" s="49"/>
      <c r="O660" s="49"/>
      <c r="P660" s="49"/>
      <c r="Q660" s="49"/>
      <c r="R660" s="49"/>
      <c r="S660" s="49"/>
      <c r="T660" s="49"/>
      <c r="U660" s="49"/>
      <c r="V660" s="49"/>
      <c r="W660" s="49"/>
      <c r="X660" s="49"/>
      <c r="Y660" s="49"/>
      <c r="Z660" s="49"/>
    </row>
    <row r="661">
      <c r="A661" s="49"/>
      <c r="B661" s="49"/>
      <c r="C661" s="49"/>
      <c r="D661" s="49"/>
      <c r="E661" s="106"/>
      <c r="F661" s="49"/>
      <c r="G661" s="49"/>
      <c r="H661" s="49"/>
      <c r="I661" s="49"/>
      <c r="J661" s="49"/>
      <c r="K661" s="49"/>
      <c r="L661" s="49"/>
      <c r="M661" s="49"/>
      <c r="N661" s="49"/>
      <c r="O661" s="49"/>
      <c r="P661" s="49"/>
      <c r="Q661" s="49"/>
      <c r="R661" s="49"/>
      <c r="S661" s="49"/>
      <c r="T661" s="49"/>
      <c r="U661" s="49"/>
      <c r="V661" s="49"/>
      <c r="W661" s="49"/>
      <c r="X661" s="49"/>
      <c r="Y661" s="49"/>
      <c r="Z661" s="49"/>
    </row>
    <row r="662">
      <c r="A662" s="49"/>
      <c r="B662" s="49"/>
      <c r="C662" s="49"/>
      <c r="D662" s="49"/>
      <c r="E662" s="106"/>
      <c r="F662" s="49"/>
      <c r="G662" s="49"/>
      <c r="H662" s="49"/>
      <c r="I662" s="49"/>
      <c r="J662" s="49"/>
      <c r="K662" s="49"/>
      <c r="L662" s="49"/>
      <c r="M662" s="49"/>
      <c r="N662" s="49"/>
      <c r="O662" s="49"/>
      <c r="P662" s="49"/>
      <c r="Q662" s="49"/>
      <c r="R662" s="49"/>
      <c r="S662" s="49"/>
      <c r="T662" s="49"/>
      <c r="U662" s="49"/>
      <c r="V662" s="49"/>
      <c r="W662" s="49"/>
      <c r="X662" s="49"/>
      <c r="Y662" s="49"/>
      <c r="Z662" s="49"/>
    </row>
    <row r="663">
      <c r="A663" s="49"/>
      <c r="B663" s="49"/>
      <c r="C663" s="49"/>
      <c r="D663" s="49"/>
      <c r="E663" s="106"/>
      <c r="F663" s="49"/>
      <c r="G663" s="49"/>
      <c r="H663" s="49"/>
      <c r="I663" s="49"/>
      <c r="J663" s="49"/>
      <c r="K663" s="49"/>
      <c r="L663" s="49"/>
      <c r="M663" s="49"/>
      <c r="N663" s="49"/>
      <c r="O663" s="49"/>
      <c r="P663" s="49"/>
      <c r="Q663" s="49"/>
      <c r="R663" s="49"/>
      <c r="S663" s="49"/>
      <c r="T663" s="49"/>
      <c r="U663" s="49"/>
      <c r="V663" s="49"/>
      <c r="W663" s="49"/>
      <c r="X663" s="49"/>
      <c r="Y663" s="49"/>
      <c r="Z663" s="49"/>
    </row>
    <row r="664">
      <c r="A664" s="49"/>
      <c r="B664" s="49"/>
      <c r="C664" s="49"/>
      <c r="D664" s="49"/>
      <c r="E664" s="106"/>
      <c r="F664" s="49"/>
      <c r="G664" s="49"/>
      <c r="H664" s="49"/>
      <c r="I664" s="49"/>
      <c r="J664" s="49"/>
      <c r="K664" s="49"/>
      <c r="L664" s="49"/>
      <c r="M664" s="49"/>
      <c r="N664" s="49"/>
      <c r="O664" s="49"/>
      <c r="P664" s="49"/>
      <c r="Q664" s="49"/>
      <c r="R664" s="49"/>
      <c r="S664" s="49"/>
      <c r="T664" s="49"/>
      <c r="U664" s="49"/>
      <c r="V664" s="49"/>
      <c r="W664" s="49"/>
      <c r="X664" s="49"/>
      <c r="Y664" s="49"/>
      <c r="Z664" s="49"/>
    </row>
    <row r="665">
      <c r="A665" s="49"/>
      <c r="B665" s="49"/>
      <c r="C665" s="49"/>
      <c r="D665" s="49"/>
      <c r="E665" s="106"/>
      <c r="F665" s="49"/>
      <c r="G665" s="49"/>
      <c r="H665" s="49"/>
      <c r="I665" s="49"/>
      <c r="J665" s="49"/>
      <c r="K665" s="49"/>
      <c r="L665" s="49"/>
      <c r="M665" s="49"/>
      <c r="N665" s="49"/>
      <c r="O665" s="49"/>
      <c r="P665" s="49"/>
      <c r="Q665" s="49"/>
      <c r="R665" s="49"/>
      <c r="S665" s="49"/>
      <c r="T665" s="49"/>
      <c r="U665" s="49"/>
      <c r="V665" s="49"/>
      <c r="W665" s="49"/>
      <c r="X665" s="49"/>
      <c r="Y665" s="49"/>
      <c r="Z665" s="49"/>
    </row>
    <row r="666">
      <c r="A666" s="49"/>
      <c r="B666" s="49"/>
      <c r="C666" s="49"/>
      <c r="D666" s="49"/>
      <c r="E666" s="106"/>
      <c r="F666" s="49"/>
      <c r="G666" s="49"/>
      <c r="H666" s="49"/>
      <c r="I666" s="49"/>
      <c r="J666" s="49"/>
      <c r="K666" s="49"/>
      <c r="L666" s="49"/>
      <c r="M666" s="49"/>
      <c r="N666" s="49"/>
      <c r="O666" s="49"/>
      <c r="P666" s="49"/>
      <c r="Q666" s="49"/>
      <c r="R666" s="49"/>
      <c r="S666" s="49"/>
      <c r="T666" s="49"/>
      <c r="U666" s="49"/>
      <c r="V666" s="49"/>
      <c r="W666" s="49"/>
      <c r="X666" s="49"/>
      <c r="Y666" s="49"/>
      <c r="Z666" s="49"/>
    </row>
    <row r="667">
      <c r="A667" s="49"/>
      <c r="B667" s="49"/>
      <c r="C667" s="49"/>
      <c r="D667" s="49"/>
      <c r="E667" s="106"/>
      <c r="F667" s="49"/>
      <c r="G667" s="49"/>
      <c r="H667" s="49"/>
      <c r="I667" s="49"/>
      <c r="J667" s="49"/>
      <c r="K667" s="49"/>
      <c r="L667" s="49"/>
      <c r="M667" s="49"/>
      <c r="N667" s="49"/>
      <c r="O667" s="49"/>
      <c r="P667" s="49"/>
      <c r="Q667" s="49"/>
      <c r="R667" s="49"/>
      <c r="S667" s="49"/>
      <c r="T667" s="49"/>
      <c r="U667" s="49"/>
      <c r="V667" s="49"/>
      <c r="W667" s="49"/>
      <c r="X667" s="49"/>
      <c r="Y667" s="49"/>
      <c r="Z667" s="49"/>
    </row>
    <row r="668">
      <c r="A668" s="49"/>
      <c r="B668" s="49"/>
      <c r="C668" s="49"/>
      <c r="D668" s="49"/>
      <c r="E668" s="106"/>
      <c r="F668" s="49"/>
      <c r="G668" s="49"/>
      <c r="H668" s="49"/>
      <c r="I668" s="49"/>
      <c r="J668" s="49"/>
      <c r="K668" s="49"/>
      <c r="L668" s="49"/>
      <c r="M668" s="49"/>
      <c r="N668" s="49"/>
      <c r="O668" s="49"/>
      <c r="P668" s="49"/>
      <c r="Q668" s="49"/>
      <c r="R668" s="49"/>
      <c r="S668" s="49"/>
      <c r="T668" s="49"/>
      <c r="U668" s="49"/>
      <c r="V668" s="49"/>
      <c r="W668" s="49"/>
      <c r="X668" s="49"/>
      <c r="Y668" s="49"/>
      <c r="Z668" s="49"/>
    </row>
    <row r="669">
      <c r="A669" s="49"/>
      <c r="B669" s="49"/>
      <c r="C669" s="49"/>
      <c r="D669" s="49"/>
      <c r="E669" s="106"/>
      <c r="F669" s="49"/>
      <c r="G669" s="49"/>
      <c r="H669" s="49"/>
      <c r="I669" s="49"/>
      <c r="J669" s="49"/>
      <c r="K669" s="49"/>
      <c r="L669" s="49"/>
      <c r="M669" s="49"/>
      <c r="N669" s="49"/>
      <c r="O669" s="49"/>
      <c r="P669" s="49"/>
      <c r="Q669" s="49"/>
      <c r="R669" s="49"/>
      <c r="S669" s="49"/>
      <c r="T669" s="49"/>
      <c r="U669" s="49"/>
      <c r="V669" s="49"/>
      <c r="W669" s="49"/>
      <c r="X669" s="49"/>
      <c r="Y669" s="49"/>
      <c r="Z669" s="49"/>
    </row>
    <row r="670">
      <c r="A670" s="49"/>
      <c r="B670" s="49"/>
      <c r="C670" s="49"/>
      <c r="D670" s="49"/>
      <c r="E670" s="106"/>
      <c r="F670" s="49"/>
      <c r="G670" s="49"/>
      <c r="H670" s="49"/>
      <c r="I670" s="49"/>
      <c r="J670" s="49"/>
      <c r="K670" s="49"/>
      <c r="L670" s="49"/>
      <c r="M670" s="49"/>
      <c r="N670" s="49"/>
      <c r="O670" s="49"/>
      <c r="P670" s="49"/>
      <c r="Q670" s="49"/>
      <c r="R670" s="49"/>
      <c r="S670" s="49"/>
      <c r="T670" s="49"/>
      <c r="U670" s="49"/>
      <c r="V670" s="49"/>
      <c r="W670" s="49"/>
      <c r="X670" s="49"/>
      <c r="Y670" s="49"/>
      <c r="Z670" s="49"/>
    </row>
    <row r="671">
      <c r="A671" s="49"/>
      <c r="B671" s="49"/>
      <c r="C671" s="49"/>
      <c r="D671" s="49"/>
      <c r="E671" s="106"/>
      <c r="F671" s="49"/>
      <c r="G671" s="49"/>
      <c r="H671" s="49"/>
      <c r="I671" s="49"/>
      <c r="J671" s="49"/>
      <c r="K671" s="49"/>
      <c r="L671" s="49"/>
      <c r="M671" s="49"/>
      <c r="N671" s="49"/>
      <c r="O671" s="49"/>
      <c r="P671" s="49"/>
      <c r="Q671" s="49"/>
      <c r="R671" s="49"/>
      <c r="S671" s="49"/>
      <c r="T671" s="49"/>
      <c r="U671" s="49"/>
      <c r="V671" s="49"/>
      <c r="W671" s="49"/>
      <c r="X671" s="49"/>
      <c r="Y671" s="49"/>
      <c r="Z671" s="49"/>
    </row>
    <row r="672">
      <c r="A672" s="49"/>
      <c r="B672" s="49"/>
      <c r="C672" s="49"/>
      <c r="D672" s="49"/>
      <c r="E672" s="106"/>
      <c r="F672" s="49"/>
      <c r="G672" s="49"/>
      <c r="H672" s="49"/>
      <c r="I672" s="49"/>
      <c r="J672" s="49"/>
      <c r="K672" s="49"/>
      <c r="L672" s="49"/>
      <c r="M672" s="49"/>
      <c r="N672" s="49"/>
      <c r="O672" s="49"/>
      <c r="P672" s="49"/>
      <c r="Q672" s="49"/>
      <c r="R672" s="49"/>
      <c r="S672" s="49"/>
      <c r="T672" s="49"/>
      <c r="U672" s="49"/>
      <c r="V672" s="49"/>
      <c r="W672" s="49"/>
      <c r="X672" s="49"/>
      <c r="Y672" s="49"/>
      <c r="Z672" s="49"/>
    </row>
    <row r="673">
      <c r="A673" s="49"/>
      <c r="B673" s="49"/>
      <c r="C673" s="49"/>
      <c r="D673" s="49"/>
      <c r="E673" s="106"/>
      <c r="F673" s="49"/>
      <c r="G673" s="49"/>
      <c r="H673" s="49"/>
      <c r="I673" s="49"/>
      <c r="J673" s="49"/>
      <c r="K673" s="49"/>
      <c r="L673" s="49"/>
      <c r="M673" s="49"/>
      <c r="N673" s="49"/>
      <c r="O673" s="49"/>
      <c r="P673" s="49"/>
      <c r="Q673" s="49"/>
      <c r="R673" s="49"/>
      <c r="S673" s="49"/>
      <c r="T673" s="49"/>
      <c r="U673" s="49"/>
      <c r="V673" s="49"/>
      <c r="W673" s="49"/>
      <c r="X673" s="49"/>
      <c r="Y673" s="49"/>
      <c r="Z673" s="49"/>
    </row>
    <row r="674">
      <c r="A674" s="49"/>
      <c r="B674" s="49"/>
      <c r="C674" s="49"/>
      <c r="D674" s="49"/>
      <c r="E674" s="106"/>
      <c r="F674" s="49"/>
      <c r="G674" s="49"/>
      <c r="H674" s="49"/>
      <c r="I674" s="49"/>
      <c r="J674" s="49"/>
      <c r="K674" s="49"/>
      <c r="L674" s="49"/>
      <c r="M674" s="49"/>
      <c r="N674" s="49"/>
      <c r="O674" s="49"/>
      <c r="P674" s="49"/>
      <c r="Q674" s="49"/>
      <c r="R674" s="49"/>
      <c r="S674" s="49"/>
      <c r="T674" s="49"/>
      <c r="U674" s="49"/>
      <c r="V674" s="49"/>
      <c r="W674" s="49"/>
      <c r="X674" s="49"/>
      <c r="Y674" s="49"/>
      <c r="Z674" s="49"/>
    </row>
    <row r="675">
      <c r="A675" s="49"/>
      <c r="B675" s="49"/>
      <c r="C675" s="49"/>
      <c r="D675" s="49"/>
      <c r="E675" s="106"/>
      <c r="F675" s="49"/>
      <c r="G675" s="49"/>
      <c r="H675" s="49"/>
      <c r="I675" s="49"/>
      <c r="J675" s="49"/>
      <c r="K675" s="49"/>
      <c r="L675" s="49"/>
      <c r="M675" s="49"/>
      <c r="N675" s="49"/>
      <c r="O675" s="49"/>
      <c r="P675" s="49"/>
      <c r="Q675" s="49"/>
      <c r="R675" s="49"/>
      <c r="S675" s="49"/>
      <c r="T675" s="49"/>
      <c r="U675" s="49"/>
      <c r="V675" s="49"/>
      <c r="W675" s="49"/>
      <c r="X675" s="49"/>
      <c r="Y675" s="49"/>
      <c r="Z675" s="49"/>
    </row>
    <row r="676">
      <c r="A676" s="49"/>
      <c r="B676" s="49"/>
      <c r="C676" s="49"/>
      <c r="D676" s="49"/>
      <c r="E676" s="106"/>
      <c r="F676" s="49"/>
      <c r="G676" s="49"/>
      <c r="H676" s="49"/>
      <c r="I676" s="49"/>
      <c r="J676" s="49"/>
      <c r="K676" s="49"/>
      <c r="L676" s="49"/>
      <c r="M676" s="49"/>
      <c r="N676" s="49"/>
      <c r="O676" s="49"/>
      <c r="P676" s="49"/>
      <c r="Q676" s="49"/>
      <c r="R676" s="49"/>
      <c r="S676" s="49"/>
      <c r="T676" s="49"/>
      <c r="U676" s="49"/>
      <c r="V676" s="49"/>
      <c r="W676" s="49"/>
      <c r="X676" s="49"/>
      <c r="Y676" s="49"/>
      <c r="Z676" s="49"/>
    </row>
    <row r="677">
      <c r="A677" s="49"/>
      <c r="B677" s="49"/>
      <c r="C677" s="49"/>
      <c r="D677" s="49"/>
      <c r="E677" s="106"/>
      <c r="F677" s="49"/>
      <c r="G677" s="49"/>
      <c r="H677" s="49"/>
      <c r="I677" s="49"/>
      <c r="J677" s="49"/>
      <c r="K677" s="49"/>
      <c r="L677" s="49"/>
      <c r="M677" s="49"/>
      <c r="N677" s="49"/>
      <c r="O677" s="49"/>
      <c r="P677" s="49"/>
      <c r="Q677" s="49"/>
      <c r="R677" s="49"/>
      <c r="S677" s="49"/>
      <c r="T677" s="49"/>
      <c r="U677" s="49"/>
      <c r="V677" s="49"/>
      <c r="W677" s="49"/>
      <c r="X677" s="49"/>
      <c r="Y677" s="49"/>
      <c r="Z677" s="49"/>
    </row>
    <row r="678">
      <c r="A678" s="49"/>
      <c r="B678" s="49"/>
      <c r="C678" s="49"/>
      <c r="D678" s="49"/>
      <c r="E678" s="106"/>
      <c r="F678" s="49"/>
      <c r="G678" s="49"/>
      <c r="H678" s="49"/>
      <c r="I678" s="49"/>
      <c r="J678" s="49"/>
      <c r="K678" s="49"/>
      <c r="L678" s="49"/>
      <c r="M678" s="49"/>
      <c r="N678" s="49"/>
      <c r="O678" s="49"/>
      <c r="P678" s="49"/>
      <c r="Q678" s="49"/>
      <c r="R678" s="49"/>
      <c r="S678" s="49"/>
      <c r="T678" s="49"/>
      <c r="U678" s="49"/>
      <c r="V678" s="49"/>
      <c r="W678" s="49"/>
      <c r="X678" s="49"/>
      <c r="Y678" s="49"/>
      <c r="Z678" s="49"/>
    </row>
    <row r="679">
      <c r="A679" s="49"/>
      <c r="B679" s="49"/>
      <c r="C679" s="49"/>
      <c r="D679" s="49"/>
      <c r="E679" s="106"/>
      <c r="F679" s="49"/>
      <c r="G679" s="49"/>
      <c r="H679" s="49"/>
      <c r="I679" s="49"/>
      <c r="J679" s="49"/>
      <c r="K679" s="49"/>
      <c r="L679" s="49"/>
      <c r="M679" s="49"/>
      <c r="N679" s="49"/>
      <c r="O679" s="49"/>
      <c r="P679" s="49"/>
      <c r="Q679" s="49"/>
      <c r="R679" s="49"/>
      <c r="S679" s="49"/>
      <c r="T679" s="49"/>
      <c r="U679" s="49"/>
      <c r="V679" s="49"/>
      <c r="W679" s="49"/>
      <c r="X679" s="49"/>
      <c r="Y679" s="49"/>
      <c r="Z679" s="49"/>
    </row>
    <row r="680">
      <c r="A680" s="49"/>
      <c r="B680" s="49"/>
      <c r="C680" s="49"/>
      <c r="D680" s="49"/>
      <c r="E680" s="106"/>
      <c r="F680" s="49"/>
      <c r="G680" s="49"/>
      <c r="H680" s="49"/>
      <c r="I680" s="49"/>
      <c r="J680" s="49"/>
      <c r="K680" s="49"/>
      <c r="L680" s="49"/>
      <c r="M680" s="49"/>
      <c r="N680" s="49"/>
      <c r="O680" s="49"/>
      <c r="P680" s="49"/>
      <c r="Q680" s="49"/>
      <c r="R680" s="49"/>
      <c r="S680" s="49"/>
      <c r="T680" s="49"/>
      <c r="U680" s="49"/>
      <c r="V680" s="49"/>
      <c r="W680" s="49"/>
      <c r="X680" s="49"/>
      <c r="Y680" s="49"/>
      <c r="Z680" s="49"/>
    </row>
    <row r="681">
      <c r="A681" s="49"/>
      <c r="B681" s="49"/>
      <c r="C681" s="49"/>
      <c r="D681" s="49"/>
      <c r="E681" s="106"/>
      <c r="F681" s="49"/>
      <c r="G681" s="49"/>
      <c r="H681" s="49"/>
      <c r="I681" s="49"/>
      <c r="J681" s="49"/>
      <c r="K681" s="49"/>
      <c r="L681" s="49"/>
      <c r="M681" s="49"/>
      <c r="N681" s="49"/>
      <c r="O681" s="49"/>
      <c r="P681" s="49"/>
      <c r="Q681" s="49"/>
      <c r="R681" s="49"/>
      <c r="S681" s="49"/>
      <c r="T681" s="49"/>
      <c r="U681" s="49"/>
      <c r="V681" s="49"/>
      <c r="W681" s="49"/>
      <c r="X681" s="49"/>
      <c r="Y681" s="49"/>
      <c r="Z681" s="49"/>
    </row>
    <row r="682">
      <c r="A682" s="49"/>
      <c r="B682" s="49"/>
      <c r="C682" s="49"/>
      <c r="D682" s="49"/>
      <c r="E682" s="106"/>
      <c r="F682" s="49"/>
      <c r="G682" s="49"/>
      <c r="H682" s="49"/>
      <c r="I682" s="49"/>
      <c r="J682" s="49"/>
      <c r="K682" s="49"/>
      <c r="L682" s="49"/>
      <c r="M682" s="49"/>
      <c r="N682" s="49"/>
      <c r="O682" s="49"/>
      <c r="P682" s="49"/>
      <c r="Q682" s="49"/>
      <c r="R682" s="49"/>
      <c r="S682" s="49"/>
      <c r="T682" s="49"/>
      <c r="U682" s="49"/>
      <c r="V682" s="49"/>
      <c r="W682" s="49"/>
      <c r="X682" s="49"/>
      <c r="Y682" s="49"/>
      <c r="Z682" s="49"/>
    </row>
    <row r="683">
      <c r="A683" s="49"/>
      <c r="B683" s="49"/>
      <c r="C683" s="49"/>
      <c r="D683" s="49"/>
      <c r="E683" s="106"/>
      <c r="F683" s="49"/>
      <c r="G683" s="49"/>
      <c r="H683" s="49"/>
      <c r="I683" s="49"/>
      <c r="J683" s="49"/>
      <c r="K683" s="49"/>
      <c r="L683" s="49"/>
      <c r="M683" s="49"/>
      <c r="N683" s="49"/>
      <c r="O683" s="49"/>
      <c r="P683" s="49"/>
      <c r="Q683" s="49"/>
      <c r="R683" s="49"/>
      <c r="S683" s="49"/>
      <c r="T683" s="49"/>
      <c r="U683" s="49"/>
      <c r="V683" s="49"/>
      <c r="W683" s="49"/>
      <c r="X683" s="49"/>
      <c r="Y683" s="49"/>
      <c r="Z683" s="49"/>
    </row>
    <row r="684">
      <c r="A684" s="49"/>
      <c r="B684" s="49"/>
      <c r="C684" s="49"/>
      <c r="D684" s="49"/>
      <c r="E684" s="106"/>
      <c r="F684" s="49"/>
      <c r="G684" s="49"/>
      <c r="H684" s="49"/>
      <c r="I684" s="49"/>
      <c r="J684" s="49"/>
      <c r="K684" s="49"/>
      <c r="L684" s="49"/>
      <c r="M684" s="49"/>
      <c r="N684" s="49"/>
      <c r="O684" s="49"/>
      <c r="P684" s="49"/>
      <c r="Q684" s="49"/>
      <c r="R684" s="49"/>
      <c r="S684" s="49"/>
      <c r="T684" s="49"/>
      <c r="U684" s="49"/>
      <c r="V684" s="49"/>
      <c r="W684" s="49"/>
      <c r="X684" s="49"/>
      <c r="Y684" s="49"/>
      <c r="Z684" s="49"/>
    </row>
    <row r="685">
      <c r="A685" s="49"/>
      <c r="B685" s="49"/>
      <c r="C685" s="49"/>
      <c r="D685" s="49"/>
      <c r="E685" s="106"/>
      <c r="F685" s="49"/>
      <c r="G685" s="49"/>
      <c r="H685" s="49"/>
      <c r="I685" s="49"/>
      <c r="J685" s="49"/>
      <c r="K685" s="49"/>
      <c r="L685" s="49"/>
      <c r="M685" s="49"/>
      <c r="N685" s="49"/>
      <c r="O685" s="49"/>
      <c r="P685" s="49"/>
      <c r="Q685" s="49"/>
      <c r="R685" s="49"/>
      <c r="S685" s="49"/>
      <c r="T685" s="49"/>
      <c r="U685" s="49"/>
      <c r="V685" s="49"/>
      <c r="W685" s="49"/>
      <c r="X685" s="49"/>
      <c r="Y685" s="49"/>
      <c r="Z685" s="49"/>
    </row>
    <row r="686">
      <c r="A686" s="49"/>
      <c r="B686" s="49"/>
      <c r="C686" s="49"/>
      <c r="D686" s="49"/>
      <c r="E686" s="106"/>
      <c r="F686" s="49"/>
      <c r="G686" s="49"/>
      <c r="H686" s="49"/>
      <c r="I686" s="49"/>
      <c r="J686" s="49"/>
      <c r="K686" s="49"/>
      <c r="L686" s="49"/>
      <c r="M686" s="49"/>
      <c r="N686" s="49"/>
      <c r="O686" s="49"/>
      <c r="P686" s="49"/>
      <c r="Q686" s="49"/>
      <c r="R686" s="49"/>
      <c r="S686" s="49"/>
      <c r="T686" s="49"/>
      <c r="U686" s="49"/>
      <c r="V686" s="49"/>
      <c r="W686" s="49"/>
      <c r="X686" s="49"/>
      <c r="Y686" s="49"/>
      <c r="Z686" s="49"/>
    </row>
    <row r="687">
      <c r="A687" s="49"/>
      <c r="B687" s="49"/>
      <c r="C687" s="49"/>
      <c r="D687" s="49"/>
      <c r="E687" s="106"/>
      <c r="F687" s="49"/>
      <c r="G687" s="49"/>
      <c r="H687" s="49"/>
      <c r="I687" s="49"/>
      <c r="J687" s="49"/>
      <c r="K687" s="49"/>
      <c r="L687" s="49"/>
      <c r="M687" s="49"/>
      <c r="N687" s="49"/>
      <c r="O687" s="49"/>
      <c r="P687" s="49"/>
      <c r="Q687" s="49"/>
      <c r="R687" s="49"/>
      <c r="S687" s="49"/>
      <c r="T687" s="49"/>
      <c r="U687" s="49"/>
      <c r="V687" s="49"/>
      <c r="W687" s="49"/>
      <c r="X687" s="49"/>
      <c r="Y687" s="49"/>
      <c r="Z687" s="49"/>
    </row>
    <row r="688">
      <c r="A688" s="49"/>
      <c r="B688" s="49"/>
      <c r="C688" s="49"/>
      <c r="D688" s="49"/>
      <c r="E688" s="106"/>
      <c r="F688" s="49"/>
      <c r="G688" s="49"/>
      <c r="H688" s="49"/>
      <c r="I688" s="49"/>
      <c r="J688" s="49"/>
      <c r="K688" s="49"/>
      <c r="L688" s="49"/>
      <c r="M688" s="49"/>
      <c r="N688" s="49"/>
      <c r="O688" s="49"/>
      <c r="P688" s="49"/>
      <c r="Q688" s="49"/>
      <c r="R688" s="49"/>
      <c r="S688" s="49"/>
      <c r="T688" s="49"/>
      <c r="U688" s="49"/>
      <c r="V688" s="49"/>
      <c r="W688" s="49"/>
      <c r="X688" s="49"/>
      <c r="Y688" s="49"/>
      <c r="Z688" s="49"/>
    </row>
    <row r="689">
      <c r="A689" s="49"/>
      <c r="B689" s="49"/>
      <c r="C689" s="49"/>
      <c r="D689" s="49"/>
      <c r="E689" s="106"/>
      <c r="F689" s="49"/>
      <c r="G689" s="49"/>
      <c r="H689" s="49"/>
      <c r="I689" s="49"/>
      <c r="J689" s="49"/>
      <c r="K689" s="49"/>
      <c r="L689" s="49"/>
      <c r="M689" s="49"/>
      <c r="N689" s="49"/>
      <c r="O689" s="49"/>
      <c r="P689" s="49"/>
      <c r="Q689" s="49"/>
      <c r="R689" s="49"/>
      <c r="S689" s="49"/>
      <c r="T689" s="49"/>
      <c r="U689" s="49"/>
      <c r="V689" s="49"/>
      <c r="W689" s="49"/>
      <c r="X689" s="49"/>
      <c r="Y689" s="49"/>
      <c r="Z689" s="49"/>
    </row>
    <row r="690">
      <c r="A690" s="49"/>
      <c r="B690" s="49"/>
      <c r="C690" s="49"/>
      <c r="D690" s="49"/>
      <c r="E690" s="106"/>
      <c r="F690" s="49"/>
      <c r="G690" s="49"/>
      <c r="H690" s="49"/>
      <c r="I690" s="49"/>
      <c r="J690" s="49"/>
      <c r="K690" s="49"/>
      <c r="L690" s="49"/>
      <c r="M690" s="49"/>
      <c r="N690" s="49"/>
      <c r="O690" s="49"/>
      <c r="P690" s="49"/>
      <c r="Q690" s="49"/>
      <c r="R690" s="49"/>
      <c r="S690" s="49"/>
      <c r="T690" s="49"/>
      <c r="U690" s="49"/>
      <c r="V690" s="49"/>
      <c r="W690" s="49"/>
      <c r="X690" s="49"/>
      <c r="Y690" s="49"/>
      <c r="Z690" s="49"/>
    </row>
    <row r="691">
      <c r="A691" s="49"/>
      <c r="B691" s="49"/>
      <c r="C691" s="49"/>
      <c r="D691" s="49"/>
      <c r="E691" s="106"/>
      <c r="F691" s="49"/>
      <c r="G691" s="49"/>
      <c r="H691" s="49"/>
      <c r="I691" s="49"/>
      <c r="J691" s="49"/>
      <c r="K691" s="49"/>
      <c r="L691" s="49"/>
      <c r="M691" s="49"/>
      <c r="N691" s="49"/>
      <c r="O691" s="49"/>
      <c r="P691" s="49"/>
      <c r="Q691" s="49"/>
      <c r="R691" s="49"/>
      <c r="S691" s="49"/>
      <c r="T691" s="49"/>
      <c r="U691" s="49"/>
      <c r="V691" s="49"/>
      <c r="W691" s="49"/>
      <c r="X691" s="49"/>
      <c r="Y691" s="49"/>
      <c r="Z691" s="49"/>
    </row>
    <row r="692">
      <c r="A692" s="49"/>
      <c r="B692" s="49"/>
      <c r="C692" s="49"/>
      <c r="D692" s="49"/>
      <c r="E692" s="106"/>
      <c r="F692" s="49"/>
      <c r="G692" s="49"/>
      <c r="H692" s="49"/>
      <c r="I692" s="49"/>
      <c r="J692" s="49"/>
      <c r="K692" s="49"/>
      <c r="L692" s="49"/>
      <c r="M692" s="49"/>
      <c r="N692" s="49"/>
      <c r="O692" s="49"/>
      <c r="P692" s="49"/>
      <c r="Q692" s="49"/>
      <c r="R692" s="49"/>
      <c r="S692" s="49"/>
      <c r="T692" s="49"/>
      <c r="U692" s="49"/>
      <c r="V692" s="49"/>
      <c r="W692" s="49"/>
      <c r="X692" s="49"/>
      <c r="Y692" s="49"/>
      <c r="Z692" s="49"/>
    </row>
    <row r="693">
      <c r="A693" s="49"/>
      <c r="B693" s="49"/>
      <c r="C693" s="49"/>
      <c r="D693" s="49"/>
      <c r="E693" s="106"/>
      <c r="F693" s="49"/>
      <c r="G693" s="49"/>
      <c r="H693" s="49"/>
      <c r="I693" s="49"/>
      <c r="J693" s="49"/>
      <c r="K693" s="49"/>
      <c r="L693" s="49"/>
      <c r="M693" s="49"/>
      <c r="N693" s="49"/>
      <c r="O693" s="49"/>
      <c r="P693" s="49"/>
      <c r="Q693" s="49"/>
      <c r="R693" s="49"/>
      <c r="S693" s="49"/>
      <c r="T693" s="49"/>
      <c r="U693" s="49"/>
      <c r="V693" s="49"/>
      <c r="W693" s="49"/>
      <c r="X693" s="49"/>
      <c r="Y693" s="49"/>
      <c r="Z693" s="49"/>
    </row>
    <row r="694">
      <c r="A694" s="49"/>
      <c r="B694" s="49"/>
      <c r="C694" s="49"/>
      <c r="D694" s="49"/>
      <c r="E694" s="106"/>
      <c r="F694" s="49"/>
      <c r="G694" s="49"/>
      <c r="H694" s="49"/>
      <c r="I694" s="49"/>
      <c r="J694" s="49"/>
      <c r="K694" s="49"/>
      <c r="L694" s="49"/>
      <c r="M694" s="49"/>
      <c r="N694" s="49"/>
      <c r="O694" s="49"/>
      <c r="P694" s="49"/>
      <c r="Q694" s="49"/>
      <c r="R694" s="49"/>
      <c r="S694" s="49"/>
      <c r="T694" s="49"/>
      <c r="U694" s="49"/>
      <c r="V694" s="49"/>
      <c r="W694" s="49"/>
      <c r="X694" s="49"/>
      <c r="Y694" s="49"/>
      <c r="Z694" s="49"/>
    </row>
    <row r="695">
      <c r="A695" s="49"/>
      <c r="B695" s="49"/>
      <c r="C695" s="49"/>
      <c r="D695" s="49"/>
      <c r="E695" s="106"/>
      <c r="F695" s="49"/>
      <c r="G695" s="49"/>
      <c r="H695" s="49"/>
      <c r="I695" s="49"/>
      <c r="J695" s="49"/>
      <c r="K695" s="49"/>
      <c r="L695" s="49"/>
      <c r="M695" s="49"/>
      <c r="N695" s="49"/>
      <c r="O695" s="49"/>
      <c r="P695" s="49"/>
      <c r="Q695" s="49"/>
      <c r="R695" s="49"/>
      <c r="S695" s="49"/>
      <c r="T695" s="49"/>
      <c r="U695" s="49"/>
      <c r="V695" s="49"/>
      <c r="W695" s="49"/>
      <c r="X695" s="49"/>
      <c r="Y695" s="49"/>
      <c r="Z695" s="49"/>
    </row>
    <row r="696">
      <c r="A696" s="49"/>
      <c r="B696" s="49"/>
      <c r="C696" s="49"/>
      <c r="D696" s="49"/>
      <c r="E696" s="106"/>
      <c r="F696" s="49"/>
      <c r="G696" s="49"/>
      <c r="H696" s="49"/>
      <c r="I696" s="49"/>
      <c r="J696" s="49"/>
      <c r="K696" s="49"/>
      <c r="L696" s="49"/>
      <c r="M696" s="49"/>
      <c r="N696" s="49"/>
      <c r="O696" s="49"/>
      <c r="P696" s="49"/>
      <c r="Q696" s="49"/>
      <c r="R696" s="49"/>
      <c r="S696" s="49"/>
      <c r="T696" s="49"/>
      <c r="U696" s="49"/>
      <c r="V696" s="49"/>
      <c r="W696" s="49"/>
      <c r="X696" s="49"/>
      <c r="Y696" s="49"/>
      <c r="Z696" s="49"/>
    </row>
    <row r="697">
      <c r="A697" s="49"/>
      <c r="B697" s="49"/>
      <c r="C697" s="49"/>
      <c r="D697" s="49"/>
      <c r="E697" s="106"/>
      <c r="F697" s="49"/>
      <c r="G697" s="49"/>
      <c r="H697" s="49"/>
      <c r="I697" s="49"/>
      <c r="J697" s="49"/>
      <c r="K697" s="49"/>
      <c r="L697" s="49"/>
      <c r="M697" s="49"/>
      <c r="N697" s="49"/>
      <c r="O697" s="49"/>
      <c r="P697" s="49"/>
      <c r="Q697" s="49"/>
      <c r="R697" s="49"/>
      <c r="S697" s="49"/>
      <c r="T697" s="49"/>
      <c r="U697" s="49"/>
      <c r="V697" s="49"/>
      <c r="W697" s="49"/>
      <c r="X697" s="49"/>
      <c r="Y697" s="49"/>
      <c r="Z697" s="49"/>
    </row>
    <row r="698">
      <c r="A698" s="49"/>
      <c r="B698" s="49"/>
      <c r="C698" s="49"/>
      <c r="D698" s="49"/>
      <c r="E698" s="106"/>
      <c r="F698" s="49"/>
      <c r="G698" s="49"/>
      <c r="H698" s="49"/>
      <c r="I698" s="49"/>
      <c r="J698" s="49"/>
      <c r="K698" s="49"/>
      <c r="L698" s="49"/>
      <c r="M698" s="49"/>
      <c r="N698" s="49"/>
      <c r="O698" s="49"/>
      <c r="P698" s="49"/>
      <c r="Q698" s="49"/>
      <c r="R698" s="49"/>
      <c r="S698" s="49"/>
      <c r="T698" s="49"/>
      <c r="U698" s="49"/>
      <c r="V698" s="49"/>
      <c r="W698" s="49"/>
      <c r="X698" s="49"/>
      <c r="Y698" s="49"/>
      <c r="Z698" s="49"/>
    </row>
    <row r="699">
      <c r="A699" s="49"/>
      <c r="B699" s="49"/>
      <c r="C699" s="49"/>
      <c r="D699" s="49"/>
      <c r="E699" s="106"/>
      <c r="F699" s="49"/>
      <c r="G699" s="49"/>
      <c r="H699" s="49"/>
      <c r="I699" s="49"/>
      <c r="J699" s="49"/>
      <c r="K699" s="49"/>
      <c r="L699" s="49"/>
      <c r="M699" s="49"/>
      <c r="N699" s="49"/>
      <c r="O699" s="49"/>
      <c r="P699" s="49"/>
      <c r="Q699" s="49"/>
      <c r="R699" s="49"/>
      <c r="S699" s="49"/>
      <c r="T699" s="49"/>
      <c r="U699" s="49"/>
      <c r="V699" s="49"/>
      <c r="W699" s="49"/>
      <c r="X699" s="49"/>
      <c r="Y699" s="49"/>
      <c r="Z699" s="49"/>
    </row>
    <row r="700">
      <c r="A700" s="49"/>
      <c r="B700" s="49"/>
      <c r="C700" s="49"/>
      <c r="D700" s="49"/>
      <c r="E700" s="106"/>
      <c r="F700" s="49"/>
      <c r="G700" s="49"/>
      <c r="H700" s="49"/>
      <c r="I700" s="49"/>
      <c r="J700" s="49"/>
      <c r="K700" s="49"/>
      <c r="L700" s="49"/>
      <c r="M700" s="49"/>
      <c r="N700" s="49"/>
      <c r="O700" s="49"/>
      <c r="P700" s="49"/>
      <c r="Q700" s="49"/>
      <c r="R700" s="49"/>
      <c r="S700" s="49"/>
      <c r="T700" s="49"/>
      <c r="U700" s="49"/>
      <c r="V700" s="49"/>
      <c r="W700" s="49"/>
      <c r="X700" s="49"/>
      <c r="Y700" s="49"/>
      <c r="Z700" s="49"/>
    </row>
    <row r="701">
      <c r="A701" s="49"/>
      <c r="B701" s="49"/>
      <c r="C701" s="49"/>
      <c r="D701" s="49"/>
      <c r="E701" s="106"/>
      <c r="F701" s="49"/>
      <c r="G701" s="49"/>
      <c r="H701" s="49"/>
      <c r="I701" s="49"/>
      <c r="J701" s="49"/>
      <c r="K701" s="49"/>
      <c r="L701" s="49"/>
      <c r="M701" s="49"/>
      <c r="N701" s="49"/>
      <c r="O701" s="49"/>
      <c r="P701" s="49"/>
      <c r="Q701" s="49"/>
      <c r="R701" s="49"/>
      <c r="S701" s="49"/>
      <c r="T701" s="49"/>
      <c r="U701" s="49"/>
      <c r="V701" s="49"/>
      <c r="W701" s="49"/>
      <c r="X701" s="49"/>
      <c r="Y701" s="49"/>
      <c r="Z701" s="49"/>
    </row>
    <row r="702">
      <c r="A702" s="49"/>
      <c r="B702" s="49"/>
      <c r="C702" s="49"/>
      <c r="D702" s="49"/>
      <c r="E702" s="106"/>
      <c r="F702" s="49"/>
      <c r="G702" s="49"/>
      <c r="H702" s="49"/>
      <c r="I702" s="49"/>
      <c r="J702" s="49"/>
      <c r="K702" s="49"/>
      <c r="L702" s="49"/>
      <c r="M702" s="49"/>
      <c r="N702" s="49"/>
      <c r="O702" s="49"/>
      <c r="P702" s="49"/>
      <c r="Q702" s="49"/>
      <c r="R702" s="49"/>
      <c r="S702" s="49"/>
      <c r="T702" s="49"/>
      <c r="U702" s="49"/>
      <c r="V702" s="49"/>
      <c r="W702" s="49"/>
      <c r="X702" s="49"/>
      <c r="Y702" s="49"/>
      <c r="Z702" s="49"/>
    </row>
    <row r="703">
      <c r="A703" s="49"/>
      <c r="B703" s="49"/>
      <c r="C703" s="49"/>
      <c r="D703" s="49"/>
      <c r="E703" s="106"/>
      <c r="F703" s="49"/>
      <c r="G703" s="49"/>
      <c r="H703" s="49"/>
      <c r="I703" s="49"/>
      <c r="J703" s="49"/>
      <c r="K703" s="49"/>
      <c r="L703" s="49"/>
      <c r="M703" s="49"/>
      <c r="N703" s="49"/>
      <c r="O703" s="49"/>
      <c r="P703" s="49"/>
      <c r="Q703" s="49"/>
      <c r="R703" s="49"/>
      <c r="S703" s="49"/>
      <c r="T703" s="49"/>
      <c r="U703" s="49"/>
      <c r="V703" s="49"/>
      <c r="W703" s="49"/>
      <c r="X703" s="49"/>
      <c r="Y703" s="49"/>
      <c r="Z703" s="49"/>
    </row>
    <row r="704">
      <c r="A704" s="49"/>
      <c r="B704" s="49"/>
      <c r="C704" s="49"/>
      <c r="D704" s="49"/>
      <c r="E704" s="106"/>
      <c r="F704" s="49"/>
      <c r="G704" s="49"/>
      <c r="H704" s="49"/>
      <c r="I704" s="49"/>
      <c r="J704" s="49"/>
      <c r="K704" s="49"/>
      <c r="L704" s="49"/>
      <c r="M704" s="49"/>
      <c r="N704" s="49"/>
      <c r="O704" s="49"/>
      <c r="P704" s="49"/>
      <c r="Q704" s="49"/>
      <c r="R704" s="49"/>
      <c r="S704" s="49"/>
      <c r="T704" s="49"/>
      <c r="U704" s="49"/>
      <c r="V704" s="49"/>
      <c r="W704" s="49"/>
      <c r="X704" s="49"/>
      <c r="Y704" s="49"/>
      <c r="Z704" s="49"/>
    </row>
    <row r="705">
      <c r="A705" s="49"/>
      <c r="B705" s="49"/>
      <c r="C705" s="49"/>
      <c r="D705" s="49"/>
      <c r="E705" s="106"/>
      <c r="F705" s="49"/>
      <c r="G705" s="49"/>
      <c r="H705" s="49"/>
      <c r="I705" s="49"/>
      <c r="J705" s="49"/>
      <c r="K705" s="49"/>
      <c r="L705" s="49"/>
      <c r="M705" s="49"/>
      <c r="N705" s="49"/>
      <c r="O705" s="49"/>
      <c r="P705" s="49"/>
      <c r="Q705" s="49"/>
      <c r="R705" s="49"/>
      <c r="S705" s="49"/>
      <c r="T705" s="49"/>
      <c r="U705" s="49"/>
      <c r="V705" s="49"/>
      <c r="W705" s="49"/>
      <c r="X705" s="49"/>
      <c r="Y705" s="49"/>
      <c r="Z705" s="49"/>
    </row>
    <row r="706">
      <c r="A706" s="49"/>
      <c r="B706" s="49"/>
      <c r="C706" s="49"/>
      <c r="D706" s="49"/>
      <c r="E706" s="106"/>
      <c r="F706" s="49"/>
      <c r="G706" s="49"/>
      <c r="H706" s="49"/>
      <c r="I706" s="49"/>
      <c r="J706" s="49"/>
      <c r="K706" s="49"/>
      <c r="L706" s="49"/>
      <c r="M706" s="49"/>
      <c r="N706" s="49"/>
      <c r="O706" s="49"/>
      <c r="P706" s="49"/>
      <c r="Q706" s="49"/>
      <c r="R706" s="49"/>
      <c r="S706" s="49"/>
      <c r="T706" s="49"/>
      <c r="U706" s="49"/>
      <c r="V706" s="49"/>
      <c r="W706" s="49"/>
      <c r="X706" s="49"/>
      <c r="Y706" s="49"/>
      <c r="Z706" s="49"/>
    </row>
    <row r="707">
      <c r="A707" s="49"/>
      <c r="B707" s="49"/>
      <c r="C707" s="49"/>
      <c r="D707" s="49"/>
      <c r="E707" s="106"/>
      <c r="F707" s="49"/>
      <c r="G707" s="49"/>
      <c r="H707" s="49"/>
      <c r="I707" s="49"/>
      <c r="J707" s="49"/>
      <c r="K707" s="49"/>
      <c r="L707" s="49"/>
      <c r="M707" s="49"/>
      <c r="N707" s="49"/>
      <c r="O707" s="49"/>
      <c r="P707" s="49"/>
      <c r="Q707" s="49"/>
      <c r="R707" s="49"/>
      <c r="S707" s="49"/>
      <c r="T707" s="49"/>
      <c r="U707" s="49"/>
      <c r="V707" s="49"/>
      <c r="W707" s="49"/>
      <c r="X707" s="49"/>
      <c r="Y707" s="49"/>
      <c r="Z707" s="49"/>
    </row>
    <row r="708">
      <c r="A708" s="49"/>
      <c r="B708" s="49"/>
      <c r="C708" s="49"/>
      <c r="D708" s="49"/>
      <c r="E708" s="106"/>
      <c r="F708" s="49"/>
      <c r="G708" s="49"/>
      <c r="H708" s="49"/>
      <c r="I708" s="49"/>
      <c r="J708" s="49"/>
      <c r="K708" s="49"/>
      <c r="L708" s="49"/>
      <c r="M708" s="49"/>
      <c r="N708" s="49"/>
      <c r="O708" s="49"/>
      <c r="P708" s="49"/>
      <c r="Q708" s="49"/>
      <c r="R708" s="49"/>
      <c r="S708" s="49"/>
      <c r="T708" s="49"/>
      <c r="U708" s="49"/>
      <c r="V708" s="49"/>
      <c r="W708" s="49"/>
      <c r="X708" s="49"/>
      <c r="Y708" s="49"/>
      <c r="Z708" s="49"/>
    </row>
    <row r="709">
      <c r="A709" s="49"/>
      <c r="B709" s="49"/>
      <c r="C709" s="49"/>
      <c r="D709" s="49"/>
      <c r="E709" s="106"/>
      <c r="F709" s="49"/>
      <c r="G709" s="49"/>
      <c r="H709" s="49"/>
      <c r="I709" s="49"/>
      <c r="J709" s="49"/>
      <c r="K709" s="49"/>
      <c r="L709" s="49"/>
      <c r="M709" s="49"/>
      <c r="N709" s="49"/>
      <c r="O709" s="49"/>
      <c r="P709" s="49"/>
      <c r="Q709" s="49"/>
      <c r="R709" s="49"/>
      <c r="S709" s="49"/>
      <c r="T709" s="49"/>
      <c r="U709" s="49"/>
      <c r="V709" s="49"/>
      <c r="W709" s="49"/>
      <c r="X709" s="49"/>
      <c r="Y709" s="49"/>
      <c r="Z709" s="49"/>
    </row>
    <row r="710">
      <c r="A710" s="49"/>
      <c r="B710" s="49"/>
      <c r="C710" s="49"/>
      <c r="D710" s="49"/>
      <c r="E710" s="106"/>
      <c r="F710" s="49"/>
      <c r="G710" s="49"/>
      <c r="H710" s="49"/>
      <c r="I710" s="49"/>
      <c r="J710" s="49"/>
      <c r="K710" s="49"/>
      <c r="L710" s="49"/>
      <c r="M710" s="49"/>
      <c r="N710" s="49"/>
      <c r="O710" s="49"/>
      <c r="P710" s="49"/>
      <c r="Q710" s="49"/>
      <c r="R710" s="49"/>
      <c r="S710" s="49"/>
      <c r="T710" s="49"/>
      <c r="U710" s="49"/>
      <c r="V710" s="49"/>
      <c r="W710" s="49"/>
      <c r="X710" s="49"/>
      <c r="Y710" s="49"/>
      <c r="Z710" s="49"/>
    </row>
    <row r="711">
      <c r="A711" s="49"/>
      <c r="B711" s="49"/>
      <c r="C711" s="49"/>
      <c r="D711" s="49"/>
      <c r="E711" s="106"/>
      <c r="F711" s="49"/>
      <c r="G711" s="49"/>
      <c r="H711" s="49"/>
      <c r="I711" s="49"/>
      <c r="J711" s="49"/>
      <c r="K711" s="49"/>
      <c r="L711" s="49"/>
      <c r="M711" s="49"/>
      <c r="N711" s="49"/>
      <c r="O711" s="49"/>
      <c r="P711" s="49"/>
      <c r="Q711" s="49"/>
      <c r="R711" s="49"/>
      <c r="S711" s="49"/>
      <c r="T711" s="49"/>
      <c r="U711" s="49"/>
      <c r="V711" s="49"/>
      <c r="W711" s="49"/>
      <c r="X711" s="49"/>
      <c r="Y711" s="49"/>
      <c r="Z711" s="49"/>
    </row>
    <row r="712">
      <c r="A712" s="49"/>
      <c r="B712" s="49"/>
      <c r="C712" s="49"/>
      <c r="D712" s="49"/>
      <c r="E712" s="106"/>
      <c r="F712" s="49"/>
      <c r="G712" s="49"/>
      <c r="H712" s="49"/>
      <c r="I712" s="49"/>
      <c r="J712" s="49"/>
      <c r="K712" s="49"/>
      <c r="L712" s="49"/>
      <c r="M712" s="49"/>
      <c r="N712" s="49"/>
      <c r="O712" s="49"/>
      <c r="P712" s="49"/>
      <c r="Q712" s="49"/>
      <c r="R712" s="49"/>
      <c r="S712" s="49"/>
      <c r="T712" s="49"/>
      <c r="U712" s="49"/>
      <c r="V712" s="49"/>
      <c r="W712" s="49"/>
      <c r="X712" s="49"/>
      <c r="Y712" s="49"/>
      <c r="Z712" s="49"/>
    </row>
    <row r="713">
      <c r="A713" s="49"/>
      <c r="B713" s="49"/>
      <c r="C713" s="49"/>
      <c r="D713" s="49"/>
      <c r="E713" s="106"/>
      <c r="F713" s="49"/>
      <c r="G713" s="49"/>
      <c r="H713" s="49"/>
      <c r="I713" s="49"/>
      <c r="J713" s="49"/>
      <c r="K713" s="49"/>
      <c r="L713" s="49"/>
      <c r="M713" s="49"/>
      <c r="N713" s="49"/>
      <c r="O713" s="49"/>
      <c r="P713" s="49"/>
      <c r="Q713" s="49"/>
      <c r="R713" s="49"/>
      <c r="S713" s="49"/>
      <c r="T713" s="49"/>
      <c r="U713" s="49"/>
      <c r="V713" s="49"/>
      <c r="W713" s="49"/>
      <c r="X713" s="49"/>
      <c r="Y713" s="49"/>
      <c r="Z713" s="49"/>
    </row>
    <row r="714">
      <c r="A714" s="49"/>
      <c r="B714" s="49"/>
      <c r="C714" s="49"/>
      <c r="D714" s="49"/>
      <c r="E714" s="106"/>
      <c r="F714" s="49"/>
      <c r="G714" s="49"/>
      <c r="H714" s="49"/>
      <c r="I714" s="49"/>
      <c r="J714" s="49"/>
      <c r="K714" s="49"/>
      <c r="L714" s="49"/>
      <c r="M714" s="49"/>
      <c r="N714" s="49"/>
      <c r="O714" s="49"/>
      <c r="P714" s="49"/>
      <c r="Q714" s="49"/>
      <c r="R714" s="49"/>
      <c r="S714" s="49"/>
      <c r="T714" s="49"/>
      <c r="U714" s="49"/>
      <c r="V714" s="49"/>
      <c r="W714" s="49"/>
      <c r="X714" s="49"/>
      <c r="Y714" s="49"/>
      <c r="Z714" s="49"/>
    </row>
    <row r="715">
      <c r="A715" s="49"/>
      <c r="B715" s="49"/>
      <c r="C715" s="49"/>
      <c r="D715" s="49"/>
      <c r="E715" s="106"/>
      <c r="F715" s="49"/>
      <c r="G715" s="49"/>
      <c r="H715" s="49"/>
      <c r="I715" s="49"/>
      <c r="J715" s="49"/>
      <c r="K715" s="49"/>
      <c r="L715" s="49"/>
      <c r="M715" s="49"/>
      <c r="N715" s="49"/>
      <c r="O715" s="49"/>
      <c r="P715" s="49"/>
      <c r="Q715" s="49"/>
      <c r="R715" s="49"/>
      <c r="S715" s="49"/>
      <c r="T715" s="49"/>
      <c r="U715" s="49"/>
      <c r="V715" s="49"/>
      <c r="W715" s="49"/>
      <c r="X715" s="49"/>
      <c r="Y715" s="49"/>
      <c r="Z715" s="49"/>
    </row>
    <row r="716">
      <c r="A716" s="49"/>
      <c r="B716" s="49"/>
      <c r="C716" s="49"/>
      <c r="D716" s="49"/>
      <c r="E716" s="106"/>
      <c r="F716" s="49"/>
      <c r="G716" s="49"/>
      <c r="H716" s="49"/>
      <c r="I716" s="49"/>
      <c r="J716" s="49"/>
      <c r="K716" s="49"/>
      <c r="L716" s="49"/>
      <c r="M716" s="49"/>
      <c r="N716" s="49"/>
      <c r="O716" s="49"/>
      <c r="P716" s="49"/>
      <c r="Q716" s="49"/>
      <c r="R716" s="49"/>
      <c r="S716" s="49"/>
      <c r="T716" s="49"/>
      <c r="U716" s="49"/>
      <c r="V716" s="49"/>
      <c r="W716" s="49"/>
      <c r="X716" s="49"/>
      <c r="Y716" s="49"/>
      <c r="Z716" s="49"/>
    </row>
    <row r="717">
      <c r="A717" s="49"/>
      <c r="B717" s="49"/>
      <c r="C717" s="49"/>
      <c r="D717" s="49"/>
      <c r="E717" s="106"/>
      <c r="F717" s="49"/>
      <c r="G717" s="49"/>
      <c r="H717" s="49"/>
      <c r="I717" s="49"/>
      <c r="J717" s="49"/>
      <c r="K717" s="49"/>
      <c r="L717" s="49"/>
      <c r="M717" s="49"/>
      <c r="N717" s="49"/>
      <c r="O717" s="49"/>
      <c r="P717" s="49"/>
      <c r="Q717" s="49"/>
      <c r="R717" s="49"/>
      <c r="S717" s="49"/>
      <c r="T717" s="49"/>
      <c r="U717" s="49"/>
      <c r="V717" s="49"/>
      <c r="W717" s="49"/>
      <c r="X717" s="49"/>
      <c r="Y717" s="49"/>
      <c r="Z717" s="49"/>
    </row>
    <row r="718">
      <c r="A718" s="49"/>
      <c r="B718" s="49"/>
      <c r="C718" s="49"/>
      <c r="D718" s="49"/>
      <c r="E718" s="106"/>
      <c r="F718" s="49"/>
      <c r="G718" s="49"/>
      <c r="H718" s="49"/>
      <c r="I718" s="49"/>
      <c r="J718" s="49"/>
      <c r="K718" s="49"/>
      <c r="L718" s="49"/>
      <c r="M718" s="49"/>
      <c r="N718" s="49"/>
      <c r="O718" s="49"/>
      <c r="P718" s="49"/>
      <c r="Q718" s="49"/>
      <c r="R718" s="49"/>
      <c r="S718" s="49"/>
      <c r="T718" s="49"/>
      <c r="U718" s="49"/>
      <c r="V718" s="49"/>
      <c r="W718" s="49"/>
      <c r="X718" s="49"/>
      <c r="Y718" s="49"/>
      <c r="Z718" s="49"/>
    </row>
    <row r="719">
      <c r="A719" s="49"/>
      <c r="B719" s="49"/>
      <c r="C719" s="49"/>
      <c r="D719" s="49"/>
      <c r="E719" s="106"/>
      <c r="F719" s="49"/>
      <c r="G719" s="49"/>
      <c r="H719" s="49"/>
      <c r="I719" s="49"/>
      <c r="J719" s="49"/>
      <c r="K719" s="49"/>
      <c r="L719" s="49"/>
      <c r="M719" s="49"/>
      <c r="N719" s="49"/>
      <c r="O719" s="49"/>
      <c r="P719" s="49"/>
      <c r="Q719" s="49"/>
      <c r="R719" s="49"/>
      <c r="S719" s="49"/>
      <c r="T719" s="49"/>
      <c r="U719" s="49"/>
      <c r="V719" s="49"/>
      <c r="W719" s="49"/>
      <c r="X719" s="49"/>
      <c r="Y719" s="49"/>
      <c r="Z719" s="49"/>
    </row>
    <row r="720">
      <c r="A720" s="49"/>
      <c r="B720" s="49"/>
      <c r="C720" s="49"/>
      <c r="D720" s="49"/>
      <c r="E720" s="106"/>
      <c r="F720" s="49"/>
      <c r="G720" s="49"/>
      <c r="H720" s="49"/>
      <c r="I720" s="49"/>
      <c r="J720" s="49"/>
      <c r="K720" s="49"/>
      <c r="L720" s="49"/>
      <c r="M720" s="49"/>
      <c r="N720" s="49"/>
      <c r="O720" s="49"/>
      <c r="P720" s="49"/>
      <c r="Q720" s="49"/>
      <c r="R720" s="49"/>
      <c r="S720" s="49"/>
      <c r="T720" s="49"/>
      <c r="U720" s="49"/>
      <c r="V720" s="49"/>
      <c r="W720" s="49"/>
      <c r="X720" s="49"/>
      <c r="Y720" s="49"/>
      <c r="Z720" s="49"/>
    </row>
    <row r="721">
      <c r="A721" s="49"/>
      <c r="B721" s="49"/>
      <c r="C721" s="49"/>
      <c r="D721" s="49"/>
      <c r="E721" s="106"/>
      <c r="F721" s="49"/>
      <c r="G721" s="49"/>
      <c r="H721" s="49"/>
      <c r="I721" s="49"/>
      <c r="J721" s="49"/>
      <c r="K721" s="49"/>
      <c r="L721" s="49"/>
      <c r="M721" s="49"/>
      <c r="N721" s="49"/>
      <c r="O721" s="49"/>
      <c r="P721" s="49"/>
      <c r="Q721" s="49"/>
      <c r="R721" s="49"/>
      <c r="S721" s="49"/>
      <c r="T721" s="49"/>
      <c r="U721" s="49"/>
      <c r="V721" s="49"/>
      <c r="W721" s="49"/>
      <c r="X721" s="49"/>
      <c r="Y721" s="49"/>
      <c r="Z721" s="49"/>
    </row>
    <row r="722">
      <c r="A722" s="49"/>
      <c r="B722" s="49"/>
      <c r="C722" s="49"/>
      <c r="D722" s="49"/>
      <c r="E722" s="106"/>
      <c r="F722" s="49"/>
      <c r="G722" s="49"/>
      <c r="H722" s="49"/>
      <c r="I722" s="49"/>
      <c r="J722" s="49"/>
      <c r="K722" s="49"/>
      <c r="L722" s="49"/>
      <c r="M722" s="49"/>
      <c r="N722" s="49"/>
      <c r="O722" s="49"/>
      <c r="P722" s="49"/>
      <c r="Q722" s="49"/>
      <c r="R722" s="49"/>
      <c r="S722" s="49"/>
      <c r="T722" s="49"/>
      <c r="U722" s="49"/>
      <c r="V722" s="49"/>
      <c r="W722" s="49"/>
      <c r="X722" s="49"/>
      <c r="Y722" s="49"/>
      <c r="Z722" s="49"/>
    </row>
    <row r="723">
      <c r="A723" s="49"/>
      <c r="B723" s="49"/>
      <c r="C723" s="49"/>
      <c r="D723" s="49"/>
      <c r="E723" s="106"/>
      <c r="F723" s="49"/>
      <c r="G723" s="49"/>
      <c r="H723" s="49"/>
      <c r="I723" s="49"/>
      <c r="J723" s="49"/>
      <c r="K723" s="49"/>
      <c r="L723" s="49"/>
      <c r="M723" s="49"/>
      <c r="N723" s="49"/>
      <c r="O723" s="49"/>
      <c r="P723" s="49"/>
      <c r="Q723" s="49"/>
      <c r="R723" s="49"/>
      <c r="S723" s="49"/>
      <c r="T723" s="49"/>
      <c r="U723" s="49"/>
      <c r="V723" s="49"/>
      <c r="W723" s="49"/>
      <c r="X723" s="49"/>
      <c r="Y723" s="49"/>
      <c r="Z723" s="49"/>
    </row>
    <row r="724">
      <c r="A724" s="49"/>
      <c r="B724" s="49"/>
      <c r="C724" s="49"/>
      <c r="D724" s="49"/>
      <c r="E724" s="106"/>
      <c r="F724" s="49"/>
      <c r="G724" s="49"/>
      <c r="H724" s="49"/>
      <c r="I724" s="49"/>
      <c r="J724" s="49"/>
      <c r="K724" s="49"/>
      <c r="L724" s="49"/>
      <c r="M724" s="49"/>
      <c r="N724" s="49"/>
      <c r="O724" s="49"/>
      <c r="P724" s="49"/>
      <c r="Q724" s="49"/>
      <c r="R724" s="49"/>
      <c r="S724" s="49"/>
      <c r="T724" s="49"/>
      <c r="U724" s="49"/>
      <c r="V724" s="49"/>
      <c r="W724" s="49"/>
      <c r="X724" s="49"/>
      <c r="Y724" s="49"/>
      <c r="Z724" s="49"/>
    </row>
    <row r="725">
      <c r="A725" s="49"/>
      <c r="B725" s="49"/>
      <c r="C725" s="49"/>
      <c r="D725" s="49"/>
      <c r="E725" s="106"/>
      <c r="F725" s="49"/>
      <c r="G725" s="49"/>
      <c r="H725" s="49"/>
      <c r="I725" s="49"/>
      <c r="J725" s="49"/>
      <c r="K725" s="49"/>
      <c r="L725" s="49"/>
      <c r="M725" s="49"/>
      <c r="N725" s="49"/>
      <c r="O725" s="49"/>
      <c r="P725" s="49"/>
      <c r="Q725" s="49"/>
      <c r="R725" s="49"/>
      <c r="S725" s="49"/>
      <c r="T725" s="49"/>
      <c r="U725" s="49"/>
      <c r="V725" s="49"/>
      <c r="W725" s="49"/>
      <c r="X725" s="49"/>
      <c r="Y725" s="49"/>
      <c r="Z725" s="49"/>
    </row>
    <row r="726">
      <c r="A726" s="49"/>
      <c r="B726" s="49"/>
      <c r="C726" s="49"/>
      <c r="D726" s="49"/>
      <c r="E726" s="106"/>
      <c r="F726" s="49"/>
      <c r="G726" s="49"/>
      <c r="H726" s="49"/>
      <c r="I726" s="49"/>
      <c r="J726" s="49"/>
      <c r="K726" s="49"/>
      <c r="L726" s="49"/>
      <c r="M726" s="49"/>
      <c r="N726" s="49"/>
      <c r="O726" s="49"/>
      <c r="P726" s="49"/>
      <c r="Q726" s="49"/>
      <c r="R726" s="49"/>
      <c r="S726" s="49"/>
      <c r="T726" s="49"/>
      <c r="U726" s="49"/>
      <c r="V726" s="49"/>
      <c r="W726" s="49"/>
      <c r="X726" s="49"/>
      <c r="Y726" s="49"/>
      <c r="Z726" s="49"/>
    </row>
    <row r="727">
      <c r="A727" s="49"/>
      <c r="B727" s="49"/>
      <c r="C727" s="49"/>
      <c r="D727" s="49"/>
      <c r="E727" s="106"/>
      <c r="F727" s="49"/>
      <c r="G727" s="49"/>
      <c r="H727" s="49"/>
      <c r="I727" s="49"/>
      <c r="J727" s="49"/>
      <c r="K727" s="49"/>
      <c r="L727" s="49"/>
      <c r="M727" s="49"/>
      <c r="N727" s="49"/>
      <c r="O727" s="49"/>
      <c r="P727" s="49"/>
      <c r="Q727" s="49"/>
      <c r="R727" s="49"/>
      <c r="S727" s="49"/>
      <c r="T727" s="49"/>
      <c r="U727" s="49"/>
      <c r="V727" s="49"/>
      <c r="W727" s="49"/>
      <c r="X727" s="49"/>
      <c r="Y727" s="49"/>
      <c r="Z727" s="49"/>
    </row>
    <row r="728">
      <c r="A728" s="49"/>
      <c r="B728" s="49"/>
      <c r="C728" s="49"/>
      <c r="D728" s="49"/>
      <c r="E728" s="106"/>
      <c r="F728" s="49"/>
      <c r="G728" s="49"/>
      <c r="H728" s="49"/>
      <c r="I728" s="49"/>
      <c r="J728" s="49"/>
      <c r="K728" s="49"/>
      <c r="L728" s="49"/>
      <c r="M728" s="49"/>
      <c r="N728" s="49"/>
      <c r="O728" s="49"/>
      <c r="P728" s="49"/>
      <c r="Q728" s="49"/>
      <c r="R728" s="49"/>
      <c r="S728" s="49"/>
      <c r="T728" s="49"/>
      <c r="U728" s="49"/>
      <c r="V728" s="49"/>
      <c r="W728" s="49"/>
      <c r="X728" s="49"/>
      <c r="Y728" s="49"/>
      <c r="Z728" s="49"/>
    </row>
    <row r="729">
      <c r="A729" s="49"/>
      <c r="B729" s="49"/>
      <c r="C729" s="49"/>
      <c r="D729" s="49"/>
      <c r="E729" s="106"/>
      <c r="F729" s="49"/>
      <c r="G729" s="49"/>
      <c r="H729" s="49"/>
      <c r="I729" s="49"/>
      <c r="J729" s="49"/>
      <c r="K729" s="49"/>
      <c r="L729" s="49"/>
      <c r="M729" s="49"/>
      <c r="N729" s="49"/>
      <c r="O729" s="49"/>
      <c r="P729" s="49"/>
      <c r="Q729" s="49"/>
      <c r="R729" s="49"/>
      <c r="S729" s="49"/>
      <c r="T729" s="49"/>
      <c r="U729" s="49"/>
      <c r="V729" s="49"/>
      <c r="W729" s="49"/>
      <c r="X729" s="49"/>
      <c r="Y729" s="49"/>
      <c r="Z729" s="49"/>
    </row>
    <row r="730">
      <c r="A730" s="49"/>
      <c r="B730" s="49"/>
      <c r="C730" s="49"/>
      <c r="D730" s="49"/>
      <c r="E730" s="106"/>
      <c r="F730" s="49"/>
      <c r="G730" s="49"/>
      <c r="H730" s="49"/>
      <c r="I730" s="49"/>
      <c r="J730" s="49"/>
      <c r="K730" s="49"/>
      <c r="L730" s="49"/>
      <c r="M730" s="49"/>
      <c r="N730" s="49"/>
      <c r="O730" s="49"/>
      <c r="P730" s="49"/>
      <c r="Q730" s="49"/>
      <c r="R730" s="49"/>
      <c r="S730" s="49"/>
      <c r="T730" s="49"/>
      <c r="U730" s="49"/>
      <c r="V730" s="49"/>
      <c r="W730" s="49"/>
      <c r="X730" s="49"/>
      <c r="Y730" s="49"/>
      <c r="Z730" s="49"/>
    </row>
    <row r="731">
      <c r="A731" s="49"/>
      <c r="B731" s="49"/>
      <c r="C731" s="49"/>
      <c r="D731" s="49"/>
      <c r="E731" s="106"/>
      <c r="F731" s="49"/>
      <c r="G731" s="49"/>
      <c r="H731" s="49"/>
      <c r="I731" s="49"/>
      <c r="J731" s="49"/>
      <c r="K731" s="49"/>
      <c r="L731" s="49"/>
      <c r="M731" s="49"/>
      <c r="N731" s="49"/>
      <c r="O731" s="49"/>
      <c r="P731" s="49"/>
      <c r="Q731" s="49"/>
      <c r="R731" s="49"/>
      <c r="S731" s="49"/>
      <c r="T731" s="49"/>
      <c r="U731" s="49"/>
      <c r="V731" s="49"/>
      <c r="W731" s="49"/>
      <c r="X731" s="49"/>
      <c r="Y731" s="49"/>
      <c r="Z731" s="49"/>
    </row>
    <row r="732">
      <c r="A732" s="49"/>
      <c r="B732" s="49"/>
      <c r="C732" s="49"/>
      <c r="D732" s="49"/>
      <c r="E732" s="106"/>
      <c r="F732" s="49"/>
      <c r="G732" s="49"/>
      <c r="H732" s="49"/>
      <c r="I732" s="49"/>
      <c r="J732" s="49"/>
      <c r="K732" s="49"/>
      <c r="L732" s="49"/>
      <c r="M732" s="49"/>
      <c r="N732" s="49"/>
      <c r="O732" s="49"/>
      <c r="P732" s="49"/>
      <c r="Q732" s="49"/>
      <c r="R732" s="49"/>
      <c r="S732" s="49"/>
      <c r="T732" s="49"/>
      <c r="U732" s="49"/>
      <c r="V732" s="49"/>
      <c r="W732" s="49"/>
      <c r="X732" s="49"/>
      <c r="Y732" s="49"/>
      <c r="Z732" s="49"/>
    </row>
    <row r="733">
      <c r="A733" s="49"/>
      <c r="B733" s="49"/>
      <c r="C733" s="49"/>
      <c r="D733" s="49"/>
      <c r="E733" s="106"/>
      <c r="F733" s="49"/>
      <c r="G733" s="49"/>
      <c r="H733" s="49"/>
      <c r="I733" s="49"/>
      <c r="J733" s="49"/>
      <c r="K733" s="49"/>
      <c r="L733" s="49"/>
      <c r="M733" s="49"/>
      <c r="N733" s="49"/>
      <c r="O733" s="49"/>
      <c r="P733" s="49"/>
      <c r="Q733" s="49"/>
      <c r="R733" s="49"/>
      <c r="S733" s="49"/>
      <c r="T733" s="49"/>
      <c r="U733" s="49"/>
      <c r="V733" s="49"/>
      <c r="W733" s="49"/>
      <c r="X733" s="49"/>
      <c r="Y733" s="49"/>
      <c r="Z733" s="49"/>
    </row>
    <row r="734">
      <c r="A734" s="49"/>
      <c r="B734" s="49"/>
      <c r="C734" s="49"/>
      <c r="D734" s="49"/>
      <c r="E734" s="106"/>
      <c r="F734" s="49"/>
      <c r="G734" s="49"/>
      <c r="H734" s="49"/>
      <c r="I734" s="49"/>
      <c r="J734" s="49"/>
      <c r="K734" s="49"/>
      <c r="L734" s="49"/>
      <c r="M734" s="49"/>
      <c r="N734" s="49"/>
      <c r="O734" s="49"/>
      <c r="P734" s="49"/>
      <c r="Q734" s="49"/>
      <c r="R734" s="49"/>
      <c r="S734" s="49"/>
      <c r="T734" s="49"/>
      <c r="U734" s="49"/>
      <c r="V734" s="49"/>
      <c r="W734" s="49"/>
      <c r="X734" s="49"/>
      <c r="Y734" s="49"/>
      <c r="Z734" s="49"/>
    </row>
    <row r="735">
      <c r="A735" s="49"/>
      <c r="B735" s="49"/>
      <c r="C735" s="49"/>
      <c r="D735" s="49"/>
      <c r="E735" s="106"/>
      <c r="F735" s="49"/>
      <c r="G735" s="49"/>
      <c r="H735" s="49"/>
      <c r="I735" s="49"/>
      <c r="J735" s="49"/>
      <c r="K735" s="49"/>
      <c r="L735" s="49"/>
      <c r="M735" s="49"/>
      <c r="N735" s="49"/>
      <c r="O735" s="49"/>
      <c r="P735" s="49"/>
      <c r="Q735" s="49"/>
      <c r="R735" s="49"/>
      <c r="S735" s="49"/>
      <c r="T735" s="49"/>
      <c r="U735" s="49"/>
      <c r="V735" s="49"/>
      <c r="W735" s="49"/>
      <c r="X735" s="49"/>
      <c r="Y735" s="49"/>
      <c r="Z735" s="49"/>
    </row>
    <row r="736">
      <c r="A736" s="49"/>
      <c r="B736" s="49"/>
      <c r="C736" s="49"/>
      <c r="D736" s="49"/>
      <c r="E736" s="106"/>
      <c r="F736" s="49"/>
      <c r="G736" s="49"/>
      <c r="H736" s="49"/>
      <c r="I736" s="49"/>
      <c r="J736" s="49"/>
      <c r="K736" s="49"/>
      <c r="L736" s="49"/>
      <c r="M736" s="49"/>
      <c r="N736" s="49"/>
      <c r="O736" s="49"/>
      <c r="P736" s="49"/>
      <c r="Q736" s="49"/>
      <c r="R736" s="49"/>
      <c r="S736" s="49"/>
      <c r="T736" s="49"/>
      <c r="U736" s="49"/>
      <c r="V736" s="49"/>
      <c r="W736" s="49"/>
      <c r="X736" s="49"/>
      <c r="Y736" s="49"/>
      <c r="Z736" s="49"/>
    </row>
    <row r="737">
      <c r="A737" s="49"/>
      <c r="B737" s="49"/>
      <c r="C737" s="49"/>
      <c r="D737" s="49"/>
      <c r="E737" s="106"/>
      <c r="F737" s="49"/>
      <c r="G737" s="49"/>
      <c r="H737" s="49"/>
      <c r="I737" s="49"/>
      <c r="J737" s="49"/>
      <c r="K737" s="49"/>
      <c r="L737" s="49"/>
      <c r="M737" s="49"/>
      <c r="N737" s="49"/>
      <c r="O737" s="49"/>
      <c r="P737" s="49"/>
      <c r="Q737" s="49"/>
      <c r="R737" s="49"/>
      <c r="S737" s="49"/>
      <c r="T737" s="49"/>
      <c r="U737" s="49"/>
      <c r="V737" s="49"/>
      <c r="W737" s="49"/>
      <c r="X737" s="49"/>
      <c r="Y737" s="49"/>
      <c r="Z737" s="49"/>
    </row>
    <row r="738">
      <c r="A738" s="49"/>
      <c r="B738" s="49"/>
      <c r="C738" s="49"/>
      <c r="D738" s="49"/>
      <c r="E738" s="106"/>
      <c r="F738" s="49"/>
      <c r="G738" s="49"/>
      <c r="H738" s="49"/>
      <c r="I738" s="49"/>
      <c r="J738" s="49"/>
      <c r="K738" s="49"/>
      <c r="L738" s="49"/>
      <c r="M738" s="49"/>
      <c r="N738" s="49"/>
      <c r="O738" s="49"/>
      <c r="P738" s="49"/>
      <c r="Q738" s="49"/>
      <c r="R738" s="49"/>
      <c r="S738" s="49"/>
      <c r="T738" s="49"/>
      <c r="U738" s="49"/>
      <c r="V738" s="49"/>
      <c r="W738" s="49"/>
      <c r="X738" s="49"/>
      <c r="Y738" s="49"/>
      <c r="Z738" s="49"/>
    </row>
    <row r="739">
      <c r="A739" s="49"/>
      <c r="B739" s="49"/>
      <c r="C739" s="49"/>
      <c r="D739" s="49"/>
      <c r="E739" s="106"/>
      <c r="F739" s="49"/>
      <c r="G739" s="49"/>
      <c r="H739" s="49"/>
      <c r="I739" s="49"/>
      <c r="J739" s="49"/>
      <c r="K739" s="49"/>
      <c r="L739" s="49"/>
      <c r="M739" s="49"/>
      <c r="N739" s="49"/>
      <c r="O739" s="49"/>
      <c r="P739" s="49"/>
      <c r="Q739" s="49"/>
      <c r="R739" s="49"/>
      <c r="S739" s="49"/>
      <c r="T739" s="49"/>
      <c r="U739" s="49"/>
      <c r="V739" s="49"/>
      <c r="W739" s="49"/>
      <c r="X739" s="49"/>
      <c r="Y739" s="49"/>
      <c r="Z739" s="49"/>
    </row>
    <row r="740">
      <c r="A740" s="49"/>
      <c r="B740" s="49"/>
      <c r="C740" s="49"/>
      <c r="D740" s="49"/>
      <c r="E740" s="106"/>
      <c r="F740" s="49"/>
      <c r="G740" s="49"/>
      <c r="H740" s="49"/>
      <c r="I740" s="49"/>
      <c r="J740" s="49"/>
      <c r="K740" s="49"/>
      <c r="L740" s="49"/>
      <c r="M740" s="49"/>
      <c r="N740" s="49"/>
      <c r="O740" s="49"/>
      <c r="P740" s="49"/>
      <c r="Q740" s="49"/>
      <c r="R740" s="49"/>
      <c r="S740" s="49"/>
      <c r="T740" s="49"/>
      <c r="U740" s="49"/>
      <c r="V740" s="49"/>
      <c r="W740" s="49"/>
      <c r="X740" s="49"/>
      <c r="Y740" s="49"/>
      <c r="Z740" s="49"/>
    </row>
    <row r="741">
      <c r="A741" s="49"/>
      <c r="B741" s="49"/>
      <c r="C741" s="49"/>
      <c r="D741" s="49"/>
      <c r="E741" s="106"/>
      <c r="F741" s="49"/>
      <c r="G741" s="49"/>
      <c r="H741" s="49"/>
      <c r="I741" s="49"/>
      <c r="J741" s="49"/>
      <c r="K741" s="49"/>
      <c r="L741" s="49"/>
      <c r="M741" s="49"/>
      <c r="N741" s="49"/>
      <c r="O741" s="49"/>
      <c r="P741" s="49"/>
      <c r="Q741" s="49"/>
      <c r="R741" s="49"/>
      <c r="S741" s="49"/>
      <c r="T741" s="49"/>
      <c r="U741" s="49"/>
      <c r="V741" s="49"/>
      <c r="W741" s="49"/>
      <c r="X741" s="49"/>
      <c r="Y741" s="49"/>
      <c r="Z741" s="49"/>
    </row>
    <row r="742">
      <c r="A742" s="49"/>
      <c r="B742" s="49"/>
      <c r="C742" s="49"/>
      <c r="D742" s="49"/>
      <c r="E742" s="106"/>
      <c r="F742" s="49"/>
      <c r="G742" s="49"/>
      <c r="H742" s="49"/>
      <c r="I742" s="49"/>
      <c r="J742" s="49"/>
      <c r="K742" s="49"/>
      <c r="L742" s="49"/>
      <c r="M742" s="49"/>
      <c r="N742" s="49"/>
      <c r="O742" s="49"/>
      <c r="P742" s="49"/>
      <c r="Q742" s="49"/>
      <c r="R742" s="49"/>
      <c r="S742" s="49"/>
      <c r="T742" s="49"/>
      <c r="U742" s="49"/>
      <c r="V742" s="49"/>
      <c r="W742" s="49"/>
      <c r="X742" s="49"/>
      <c r="Y742" s="49"/>
      <c r="Z742" s="49"/>
    </row>
    <row r="743">
      <c r="A743" s="49"/>
      <c r="B743" s="49"/>
      <c r="C743" s="49"/>
      <c r="D743" s="49"/>
      <c r="E743" s="106"/>
      <c r="F743" s="49"/>
      <c r="G743" s="49"/>
      <c r="H743" s="49"/>
      <c r="I743" s="49"/>
      <c r="J743" s="49"/>
      <c r="K743" s="49"/>
      <c r="L743" s="49"/>
      <c r="M743" s="49"/>
      <c r="N743" s="49"/>
      <c r="O743" s="49"/>
      <c r="P743" s="49"/>
      <c r="Q743" s="49"/>
      <c r="R743" s="49"/>
      <c r="S743" s="49"/>
      <c r="T743" s="49"/>
      <c r="U743" s="49"/>
      <c r="V743" s="49"/>
      <c r="W743" s="49"/>
      <c r="X743" s="49"/>
      <c r="Y743" s="49"/>
      <c r="Z743" s="49"/>
    </row>
    <row r="744">
      <c r="A744" s="49"/>
      <c r="B744" s="49"/>
      <c r="C744" s="49"/>
      <c r="D744" s="49"/>
      <c r="E744" s="106"/>
      <c r="F744" s="49"/>
      <c r="G744" s="49"/>
      <c r="H744" s="49"/>
      <c r="I744" s="49"/>
      <c r="J744" s="49"/>
      <c r="K744" s="49"/>
      <c r="L744" s="49"/>
      <c r="M744" s="49"/>
      <c r="N744" s="49"/>
      <c r="O744" s="49"/>
      <c r="P744" s="49"/>
      <c r="Q744" s="49"/>
      <c r="R744" s="49"/>
      <c r="S744" s="49"/>
      <c r="T744" s="49"/>
      <c r="U744" s="49"/>
      <c r="V744" s="49"/>
      <c r="W744" s="49"/>
      <c r="X744" s="49"/>
      <c r="Y744" s="49"/>
      <c r="Z744" s="49"/>
    </row>
    <row r="745">
      <c r="A745" s="49"/>
      <c r="B745" s="49"/>
      <c r="C745" s="49"/>
      <c r="D745" s="49"/>
      <c r="E745" s="106"/>
      <c r="F745" s="49"/>
      <c r="G745" s="49"/>
      <c r="H745" s="49"/>
      <c r="I745" s="49"/>
      <c r="J745" s="49"/>
      <c r="K745" s="49"/>
      <c r="L745" s="49"/>
      <c r="M745" s="49"/>
      <c r="N745" s="49"/>
      <c r="O745" s="49"/>
      <c r="P745" s="49"/>
      <c r="Q745" s="49"/>
      <c r="R745" s="49"/>
      <c r="S745" s="49"/>
      <c r="T745" s="49"/>
      <c r="U745" s="49"/>
      <c r="V745" s="49"/>
      <c r="W745" s="49"/>
      <c r="X745" s="49"/>
      <c r="Y745" s="49"/>
      <c r="Z745" s="49"/>
    </row>
    <row r="746">
      <c r="A746" s="49"/>
      <c r="B746" s="49"/>
      <c r="C746" s="49"/>
      <c r="D746" s="49"/>
      <c r="E746" s="106"/>
      <c r="F746" s="49"/>
      <c r="G746" s="49"/>
      <c r="H746" s="49"/>
      <c r="I746" s="49"/>
      <c r="J746" s="49"/>
      <c r="K746" s="49"/>
      <c r="L746" s="49"/>
      <c r="M746" s="49"/>
      <c r="N746" s="49"/>
      <c r="O746" s="49"/>
      <c r="P746" s="49"/>
      <c r="Q746" s="49"/>
      <c r="R746" s="49"/>
      <c r="S746" s="49"/>
      <c r="T746" s="49"/>
      <c r="U746" s="49"/>
      <c r="V746" s="49"/>
      <c r="W746" s="49"/>
      <c r="X746" s="49"/>
      <c r="Y746" s="49"/>
      <c r="Z746" s="49"/>
    </row>
    <row r="747">
      <c r="A747" s="49"/>
      <c r="B747" s="49"/>
      <c r="C747" s="49"/>
      <c r="D747" s="49"/>
      <c r="E747" s="106"/>
      <c r="F747" s="49"/>
      <c r="G747" s="49"/>
      <c r="H747" s="49"/>
      <c r="I747" s="49"/>
      <c r="J747" s="49"/>
      <c r="K747" s="49"/>
      <c r="L747" s="49"/>
      <c r="M747" s="49"/>
      <c r="N747" s="49"/>
      <c r="O747" s="49"/>
      <c r="P747" s="49"/>
      <c r="Q747" s="49"/>
      <c r="R747" s="49"/>
      <c r="S747" s="49"/>
      <c r="T747" s="49"/>
      <c r="U747" s="49"/>
      <c r="V747" s="49"/>
      <c r="W747" s="49"/>
      <c r="X747" s="49"/>
      <c r="Y747" s="49"/>
      <c r="Z747" s="49"/>
    </row>
    <row r="748">
      <c r="A748" s="49"/>
      <c r="B748" s="49"/>
      <c r="C748" s="49"/>
      <c r="D748" s="49"/>
      <c r="E748" s="106"/>
      <c r="F748" s="49"/>
      <c r="G748" s="49"/>
      <c r="H748" s="49"/>
      <c r="I748" s="49"/>
      <c r="J748" s="49"/>
      <c r="K748" s="49"/>
      <c r="L748" s="49"/>
      <c r="M748" s="49"/>
      <c r="N748" s="49"/>
      <c r="O748" s="49"/>
      <c r="P748" s="49"/>
      <c r="Q748" s="49"/>
      <c r="R748" s="49"/>
      <c r="S748" s="49"/>
      <c r="T748" s="49"/>
      <c r="U748" s="49"/>
      <c r="V748" s="49"/>
      <c r="W748" s="49"/>
      <c r="X748" s="49"/>
      <c r="Y748" s="49"/>
      <c r="Z748" s="49"/>
    </row>
    <row r="749">
      <c r="A749" s="49"/>
      <c r="B749" s="49"/>
      <c r="C749" s="49"/>
      <c r="D749" s="49"/>
      <c r="E749" s="106"/>
      <c r="F749" s="49"/>
      <c r="G749" s="49"/>
      <c r="H749" s="49"/>
      <c r="I749" s="49"/>
      <c r="J749" s="49"/>
      <c r="K749" s="49"/>
      <c r="L749" s="49"/>
      <c r="M749" s="49"/>
      <c r="N749" s="49"/>
      <c r="O749" s="49"/>
      <c r="P749" s="49"/>
      <c r="Q749" s="49"/>
      <c r="R749" s="49"/>
      <c r="S749" s="49"/>
      <c r="T749" s="49"/>
      <c r="U749" s="49"/>
      <c r="V749" s="49"/>
      <c r="W749" s="49"/>
      <c r="X749" s="49"/>
      <c r="Y749" s="49"/>
      <c r="Z749" s="49"/>
    </row>
    <row r="750">
      <c r="A750" s="49"/>
      <c r="B750" s="49"/>
      <c r="C750" s="49"/>
      <c r="D750" s="49"/>
      <c r="E750" s="106"/>
      <c r="F750" s="49"/>
      <c r="G750" s="49"/>
      <c r="H750" s="49"/>
      <c r="I750" s="49"/>
      <c r="J750" s="49"/>
      <c r="K750" s="49"/>
      <c r="L750" s="49"/>
      <c r="M750" s="49"/>
      <c r="N750" s="49"/>
      <c r="O750" s="49"/>
      <c r="P750" s="49"/>
      <c r="Q750" s="49"/>
      <c r="R750" s="49"/>
      <c r="S750" s="49"/>
      <c r="T750" s="49"/>
      <c r="U750" s="49"/>
      <c r="V750" s="49"/>
      <c r="W750" s="49"/>
      <c r="X750" s="49"/>
      <c r="Y750" s="49"/>
      <c r="Z750" s="49"/>
    </row>
    <row r="751">
      <c r="A751" s="49"/>
      <c r="B751" s="49"/>
      <c r="C751" s="49"/>
      <c r="D751" s="49"/>
      <c r="E751" s="106"/>
      <c r="F751" s="49"/>
      <c r="G751" s="49"/>
      <c r="H751" s="49"/>
      <c r="I751" s="49"/>
      <c r="J751" s="49"/>
      <c r="K751" s="49"/>
      <c r="L751" s="49"/>
      <c r="M751" s="49"/>
      <c r="N751" s="49"/>
      <c r="O751" s="49"/>
      <c r="P751" s="49"/>
      <c r="Q751" s="49"/>
      <c r="R751" s="49"/>
      <c r="S751" s="49"/>
      <c r="T751" s="49"/>
      <c r="U751" s="49"/>
      <c r="V751" s="49"/>
      <c r="W751" s="49"/>
      <c r="X751" s="49"/>
      <c r="Y751" s="49"/>
      <c r="Z751" s="49"/>
    </row>
    <row r="752">
      <c r="A752" s="49"/>
      <c r="B752" s="49"/>
      <c r="C752" s="49"/>
      <c r="D752" s="49"/>
      <c r="E752" s="106"/>
      <c r="F752" s="49"/>
      <c r="G752" s="49"/>
      <c r="H752" s="49"/>
      <c r="I752" s="49"/>
      <c r="J752" s="49"/>
      <c r="K752" s="49"/>
      <c r="L752" s="49"/>
      <c r="M752" s="49"/>
      <c r="N752" s="49"/>
      <c r="O752" s="49"/>
      <c r="P752" s="49"/>
      <c r="Q752" s="49"/>
      <c r="R752" s="49"/>
      <c r="S752" s="49"/>
      <c r="T752" s="49"/>
      <c r="U752" s="49"/>
      <c r="V752" s="49"/>
      <c r="W752" s="49"/>
      <c r="X752" s="49"/>
      <c r="Y752" s="49"/>
      <c r="Z752" s="49"/>
    </row>
    <row r="753">
      <c r="A753" s="49"/>
      <c r="B753" s="49"/>
      <c r="C753" s="49"/>
      <c r="D753" s="49"/>
      <c r="E753" s="106"/>
      <c r="F753" s="49"/>
      <c r="G753" s="49"/>
      <c r="H753" s="49"/>
      <c r="I753" s="49"/>
      <c r="J753" s="49"/>
      <c r="K753" s="49"/>
      <c r="L753" s="49"/>
      <c r="M753" s="49"/>
      <c r="N753" s="49"/>
      <c r="O753" s="49"/>
      <c r="P753" s="49"/>
      <c r="Q753" s="49"/>
      <c r="R753" s="49"/>
      <c r="S753" s="49"/>
      <c r="T753" s="49"/>
      <c r="U753" s="49"/>
      <c r="V753" s="49"/>
      <c r="W753" s="49"/>
      <c r="X753" s="49"/>
      <c r="Y753" s="49"/>
      <c r="Z753" s="49"/>
    </row>
    <row r="754">
      <c r="A754" s="49"/>
      <c r="B754" s="49"/>
      <c r="C754" s="49"/>
      <c r="D754" s="49"/>
      <c r="E754" s="106"/>
      <c r="F754" s="49"/>
      <c r="G754" s="49"/>
      <c r="H754" s="49"/>
      <c r="I754" s="49"/>
      <c r="J754" s="49"/>
      <c r="K754" s="49"/>
      <c r="L754" s="49"/>
      <c r="M754" s="49"/>
      <c r="N754" s="49"/>
      <c r="O754" s="49"/>
      <c r="P754" s="49"/>
      <c r="Q754" s="49"/>
      <c r="R754" s="49"/>
      <c r="S754" s="49"/>
      <c r="T754" s="49"/>
      <c r="U754" s="49"/>
      <c r="V754" s="49"/>
      <c r="W754" s="49"/>
      <c r="X754" s="49"/>
      <c r="Y754" s="49"/>
      <c r="Z754" s="49"/>
    </row>
    <row r="755">
      <c r="A755" s="49"/>
      <c r="B755" s="49"/>
      <c r="C755" s="49"/>
      <c r="D755" s="49"/>
      <c r="E755" s="106"/>
      <c r="F755" s="49"/>
      <c r="G755" s="49"/>
      <c r="H755" s="49"/>
      <c r="I755" s="49"/>
      <c r="J755" s="49"/>
      <c r="K755" s="49"/>
      <c r="L755" s="49"/>
      <c r="M755" s="49"/>
      <c r="N755" s="49"/>
      <c r="O755" s="49"/>
      <c r="P755" s="49"/>
      <c r="Q755" s="49"/>
      <c r="R755" s="49"/>
      <c r="S755" s="49"/>
      <c r="T755" s="49"/>
      <c r="U755" s="49"/>
      <c r="V755" s="49"/>
      <c r="W755" s="49"/>
      <c r="X755" s="49"/>
      <c r="Y755" s="49"/>
      <c r="Z755" s="49"/>
    </row>
    <row r="756">
      <c r="A756" s="49"/>
      <c r="B756" s="49"/>
      <c r="C756" s="49"/>
      <c r="D756" s="49"/>
      <c r="E756" s="106"/>
      <c r="F756" s="49"/>
      <c r="G756" s="49"/>
      <c r="H756" s="49"/>
      <c r="I756" s="49"/>
      <c r="J756" s="49"/>
      <c r="K756" s="49"/>
      <c r="L756" s="49"/>
      <c r="M756" s="49"/>
      <c r="N756" s="49"/>
      <c r="O756" s="49"/>
      <c r="P756" s="49"/>
      <c r="Q756" s="49"/>
      <c r="R756" s="49"/>
      <c r="S756" s="49"/>
      <c r="T756" s="49"/>
      <c r="U756" s="49"/>
      <c r="V756" s="49"/>
      <c r="W756" s="49"/>
      <c r="X756" s="49"/>
      <c r="Y756" s="49"/>
      <c r="Z756" s="49"/>
    </row>
    <row r="757">
      <c r="A757" s="49"/>
      <c r="B757" s="49"/>
      <c r="C757" s="49"/>
      <c r="D757" s="49"/>
      <c r="E757" s="106"/>
      <c r="F757" s="49"/>
      <c r="G757" s="49"/>
      <c r="H757" s="49"/>
      <c r="I757" s="49"/>
      <c r="J757" s="49"/>
      <c r="K757" s="49"/>
      <c r="L757" s="49"/>
      <c r="M757" s="49"/>
      <c r="N757" s="49"/>
      <c r="O757" s="49"/>
      <c r="P757" s="49"/>
      <c r="Q757" s="49"/>
      <c r="R757" s="49"/>
      <c r="S757" s="49"/>
      <c r="T757" s="49"/>
      <c r="U757" s="49"/>
      <c r="V757" s="49"/>
      <c r="W757" s="49"/>
      <c r="X757" s="49"/>
      <c r="Y757" s="49"/>
      <c r="Z757" s="49"/>
    </row>
    <row r="758">
      <c r="A758" s="49"/>
      <c r="B758" s="49"/>
      <c r="C758" s="49"/>
      <c r="D758" s="49"/>
      <c r="E758" s="106"/>
      <c r="F758" s="49"/>
      <c r="G758" s="49"/>
      <c r="H758" s="49"/>
      <c r="I758" s="49"/>
      <c r="J758" s="49"/>
      <c r="K758" s="49"/>
      <c r="L758" s="49"/>
      <c r="M758" s="49"/>
      <c r="N758" s="49"/>
      <c r="O758" s="49"/>
      <c r="P758" s="49"/>
      <c r="Q758" s="49"/>
      <c r="R758" s="49"/>
      <c r="S758" s="49"/>
      <c r="T758" s="49"/>
      <c r="U758" s="49"/>
      <c r="V758" s="49"/>
      <c r="W758" s="49"/>
      <c r="X758" s="49"/>
      <c r="Y758" s="49"/>
      <c r="Z758" s="49"/>
    </row>
    <row r="759">
      <c r="A759" s="49"/>
      <c r="B759" s="49"/>
      <c r="C759" s="49"/>
      <c r="D759" s="49"/>
      <c r="E759" s="106"/>
      <c r="F759" s="49"/>
      <c r="G759" s="49"/>
      <c r="H759" s="49"/>
      <c r="I759" s="49"/>
      <c r="J759" s="49"/>
      <c r="K759" s="49"/>
      <c r="L759" s="49"/>
      <c r="M759" s="49"/>
      <c r="N759" s="49"/>
      <c r="O759" s="49"/>
      <c r="P759" s="49"/>
      <c r="Q759" s="49"/>
      <c r="R759" s="49"/>
      <c r="S759" s="49"/>
      <c r="T759" s="49"/>
      <c r="U759" s="49"/>
      <c r="V759" s="49"/>
      <c r="W759" s="49"/>
      <c r="X759" s="49"/>
      <c r="Y759" s="49"/>
      <c r="Z759" s="49"/>
    </row>
    <row r="760">
      <c r="A760" s="49"/>
      <c r="B760" s="49"/>
      <c r="C760" s="49"/>
      <c r="D760" s="49"/>
      <c r="E760" s="106"/>
      <c r="F760" s="49"/>
      <c r="G760" s="49"/>
      <c r="H760" s="49"/>
      <c r="I760" s="49"/>
      <c r="J760" s="49"/>
      <c r="K760" s="49"/>
      <c r="L760" s="49"/>
      <c r="M760" s="49"/>
      <c r="N760" s="49"/>
      <c r="O760" s="49"/>
      <c r="P760" s="49"/>
      <c r="Q760" s="49"/>
      <c r="R760" s="49"/>
      <c r="S760" s="49"/>
      <c r="T760" s="49"/>
      <c r="U760" s="49"/>
      <c r="V760" s="49"/>
      <c r="W760" s="49"/>
      <c r="X760" s="49"/>
      <c r="Y760" s="49"/>
      <c r="Z760" s="49"/>
    </row>
    <row r="761">
      <c r="A761" s="49"/>
      <c r="B761" s="49"/>
      <c r="C761" s="49"/>
      <c r="D761" s="49"/>
      <c r="E761" s="106"/>
      <c r="F761" s="49"/>
      <c r="G761" s="49"/>
      <c r="H761" s="49"/>
      <c r="I761" s="49"/>
      <c r="J761" s="49"/>
      <c r="K761" s="49"/>
      <c r="L761" s="49"/>
      <c r="M761" s="49"/>
      <c r="N761" s="49"/>
      <c r="O761" s="49"/>
      <c r="P761" s="49"/>
      <c r="Q761" s="49"/>
      <c r="R761" s="49"/>
      <c r="S761" s="49"/>
      <c r="T761" s="49"/>
      <c r="U761" s="49"/>
      <c r="V761" s="49"/>
      <c r="W761" s="49"/>
      <c r="X761" s="49"/>
      <c r="Y761" s="49"/>
      <c r="Z761" s="49"/>
    </row>
    <row r="762">
      <c r="A762" s="49"/>
      <c r="B762" s="49"/>
      <c r="C762" s="49"/>
      <c r="D762" s="49"/>
      <c r="E762" s="106"/>
      <c r="F762" s="49"/>
      <c r="G762" s="49"/>
      <c r="H762" s="49"/>
      <c r="I762" s="49"/>
      <c r="J762" s="49"/>
      <c r="K762" s="49"/>
      <c r="L762" s="49"/>
      <c r="M762" s="49"/>
      <c r="N762" s="49"/>
      <c r="O762" s="49"/>
      <c r="P762" s="49"/>
      <c r="Q762" s="49"/>
      <c r="R762" s="49"/>
      <c r="S762" s="49"/>
      <c r="T762" s="49"/>
      <c r="U762" s="49"/>
      <c r="V762" s="49"/>
      <c r="W762" s="49"/>
      <c r="X762" s="49"/>
      <c r="Y762" s="49"/>
      <c r="Z762" s="49"/>
    </row>
    <row r="763">
      <c r="A763" s="49"/>
      <c r="B763" s="49"/>
      <c r="C763" s="49"/>
      <c r="D763" s="49"/>
      <c r="E763" s="106"/>
      <c r="F763" s="49"/>
      <c r="G763" s="49"/>
      <c r="H763" s="49"/>
      <c r="I763" s="49"/>
      <c r="J763" s="49"/>
      <c r="K763" s="49"/>
      <c r="L763" s="49"/>
      <c r="M763" s="49"/>
      <c r="N763" s="49"/>
      <c r="O763" s="49"/>
      <c r="P763" s="49"/>
      <c r="Q763" s="49"/>
      <c r="R763" s="49"/>
      <c r="S763" s="49"/>
      <c r="T763" s="49"/>
      <c r="U763" s="49"/>
      <c r="V763" s="49"/>
      <c r="W763" s="49"/>
      <c r="X763" s="49"/>
      <c r="Y763" s="49"/>
      <c r="Z763" s="49"/>
    </row>
    <row r="764">
      <c r="A764" s="49"/>
      <c r="B764" s="49"/>
      <c r="C764" s="49"/>
      <c r="D764" s="49"/>
      <c r="E764" s="106"/>
      <c r="F764" s="49"/>
      <c r="G764" s="49"/>
      <c r="H764" s="49"/>
      <c r="I764" s="49"/>
      <c r="J764" s="49"/>
      <c r="K764" s="49"/>
      <c r="L764" s="49"/>
      <c r="M764" s="49"/>
      <c r="N764" s="49"/>
      <c r="O764" s="49"/>
      <c r="P764" s="49"/>
      <c r="Q764" s="49"/>
      <c r="R764" s="49"/>
      <c r="S764" s="49"/>
      <c r="T764" s="49"/>
      <c r="U764" s="49"/>
      <c r="V764" s="49"/>
      <c r="W764" s="49"/>
      <c r="X764" s="49"/>
      <c r="Y764" s="49"/>
      <c r="Z764" s="49"/>
    </row>
    <row r="765">
      <c r="A765" s="49"/>
      <c r="B765" s="49"/>
      <c r="C765" s="49"/>
      <c r="D765" s="49"/>
      <c r="E765" s="106"/>
      <c r="F765" s="49"/>
      <c r="G765" s="49"/>
      <c r="H765" s="49"/>
      <c r="I765" s="49"/>
      <c r="J765" s="49"/>
      <c r="K765" s="49"/>
      <c r="L765" s="49"/>
      <c r="M765" s="49"/>
      <c r="N765" s="49"/>
      <c r="O765" s="49"/>
      <c r="P765" s="49"/>
      <c r="Q765" s="49"/>
      <c r="R765" s="49"/>
      <c r="S765" s="49"/>
      <c r="T765" s="49"/>
      <c r="U765" s="49"/>
      <c r="V765" s="49"/>
      <c r="W765" s="49"/>
      <c r="X765" s="49"/>
      <c r="Y765" s="49"/>
      <c r="Z765" s="49"/>
    </row>
    <row r="766">
      <c r="A766" s="49"/>
      <c r="B766" s="49"/>
      <c r="C766" s="49"/>
      <c r="D766" s="49"/>
      <c r="E766" s="106"/>
      <c r="F766" s="49"/>
      <c r="G766" s="49"/>
      <c r="H766" s="49"/>
      <c r="I766" s="49"/>
      <c r="J766" s="49"/>
      <c r="K766" s="49"/>
      <c r="L766" s="49"/>
      <c r="M766" s="49"/>
      <c r="N766" s="49"/>
      <c r="O766" s="49"/>
      <c r="P766" s="49"/>
      <c r="Q766" s="49"/>
      <c r="R766" s="49"/>
      <c r="S766" s="49"/>
      <c r="T766" s="49"/>
      <c r="U766" s="49"/>
      <c r="V766" s="49"/>
      <c r="W766" s="49"/>
      <c r="X766" s="49"/>
      <c r="Y766" s="49"/>
      <c r="Z766" s="49"/>
    </row>
    <row r="767">
      <c r="A767" s="49"/>
      <c r="B767" s="49"/>
      <c r="C767" s="49"/>
      <c r="D767" s="49"/>
      <c r="E767" s="106"/>
      <c r="F767" s="49"/>
      <c r="G767" s="49"/>
      <c r="H767" s="49"/>
      <c r="I767" s="49"/>
      <c r="J767" s="49"/>
      <c r="K767" s="49"/>
      <c r="L767" s="49"/>
      <c r="M767" s="49"/>
      <c r="N767" s="49"/>
      <c r="O767" s="49"/>
      <c r="P767" s="49"/>
      <c r="Q767" s="49"/>
      <c r="R767" s="49"/>
      <c r="S767" s="49"/>
      <c r="T767" s="49"/>
      <c r="U767" s="49"/>
      <c r="V767" s="49"/>
      <c r="W767" s="49"/>
      <c r="X767" s="49"/>
      <c r="Y767" s="49"/>
      <c r="Z767" s="49"/>
    </row>
    <row r="768">
      <c r="A768" s="49"/>
      <c r="B768" s="49"/>
      <c r="C768" s="49"/>
      <c r="D768" s="49"/>
      <c r="E768" s="106"/>
      <c r="F768" s="49"/>
      <c r="G768" s="49"/>
      <c r="H768" s="49"/>
      <c r="I768" s="49"/>
      <c r="J768" s="49"/>
      <c r="K768" s="49"/>
      <c r="L768" s="49"/>
      <c r="M768" s="49"/>
      <c r="N768" s="49"/>
      <c r="O768" s="49"/>
      <c r="P768" s="49"/>
      <c r="Q768" s="49"/>
      <c r="R768" s="49"/>
      <c r="S768" s="49"/>
      <c r="T768" s="49"/>
      <c r="U768" s="49"/>
      <c r="V768" s="49"/>
      <c r="W768" s="49"/>
      <c r="X768" s="49"/>
      <c r="Y768" s="49"/>
      <c r="Z768" s="49"/>
    </row>
    <row r="769">
      <c r="A769" s="49"/>
      <c r="B769" s="49"/>
      <c r="C769" s="49"/>
      <c r="D769" s="49"/>
      <c r="E769" s="106"/>
      <c r="F769" s="49"/>
      <c r="G769" s="49"/>
      <c r="H769" s="49"/>
      <c r="I769" s="49"/>
      <c r="J769" s="49"/>
      <c r="K769" s="49"/>
      <c r="L769" s="49"/>
      <c r="M769" s="49"/>
      <c r="N769" s="49"/>
      <c r="O769" s="49"/>
      <c r="P769" s="49"/>
      <c r="Q769" s="49"/>
      <c r="R769" s="49"/>
      <c r="S769" s="49"/>
      <c r="T769" s="49"/>
      <c r="U769" s="49"/>
      <c r="V769" s="49"/>
      <c r="W769" s="49"/>
      <c r="X769" s="49"/>
      <c r="Y769" s="49"/>
      <c r="Z769" s="49"/>
    </row>
    <row r="770">
      <c r="A770" s="49"/>
      <c r="B770" s="49"/>
      <c r="C770" s="49"/>
      <c r="D770" s="49"/>
      <c r="E770" s="106"/>
      <c r="F770" s="49"/>
      <c r="G770" s="49"/>
      <c r="H770" s="49"/>
      <c r="I770" s="49"/>
      <c r="J770" s="49"/>
      <c r="K770" s="49"/>
      <c r="L770" s="49"/>
      <c r="M770" s="49"/>
      <c r="N770" s="49"/>
      <c r="O770" s="49"/>
      <c r="P770" s="49"/>
      <c r="Q770" s="49"/>
      <c r="R770" s="49"/>
      <c r="S770" s="49"/>
      <c r="T770" s="49"/>
      <c r="U770" s="49"/>
      <c r="V770" s="49"/>
      <c r="W770" s="49"/>
      <c r="X770" s="49"/>
      <c r="Y770" s="49"/>
      <c r="Z770" s="49"/>
    </row>
    <row r="771">
      <c r="A771" s="49"/>
      <c r="B771" s="49"/>
      <c r="C771" s="49"/>
      <c r="D771" s="49"/>
      <c r="E771" s="106"/>
      <c r="F771" s="49"/>
      <c r="G771" s="49"/>
      <c r="H771" s="49"/>
      <c r="I771" s="49"/>
      <c r="J771" s="49"/>
      <c r="K771" s="49"/>
      <c r="L771" s="49"/>
      <c r="M771" s="49"/>
      <c r="N771" s="49"/>
      <c r="O771" s="49"/>
      <c r="P771" s="49"/>
      <c r="Q771" s="49"/>
      <c r="R771" s="49"/>
      <c r="S771" s="49"/>
      <c r="T771" s="49"/>
      <c r="U771" s="49"/>
      <c r="V771" s="49"/>
      <c r="W771" s="49"/>
      <c r="X771" s="49"/>
      <c r="Y771" s="49"/>
      <c r="Z771" s="49"/>
    </row>
    <row r="772">
      <c r="A772" s="49"/>
      <c r="B772" s="49"/>
      <c r="C772" s="49"/>
      <c r="D772" s="49"/>
      <c r="E772" s="106"/>
      <c r="F772" s="49"/>
      <c r="G772" s="49"/>
      <c r="H772" s="49"/>
      <c r="I772" s="49"/>
      <c r="J772" s="49"/>
      <c r="K772" s="49"/>
      <c r="L772" s="49"/>
      <c r="M772" s="49"/>
      <c r="N772" s="49"/>
      <c r="O772" s="49"/>
      <c r="P772" s="49"/>
      <c r="Q772" s="49"/>
      <c r="R772" s="49"/>
      <c r="S772" s="49"/>
      <c r="T772" s="49"/>
      <c r="U772" s="49"/>
      <c r="V772" s="49"/>
      <c r="W772" s="49"/>
      <c r="X772" s="49"/>
      <c r="Y772" s="49"/>
      <c r="Z772" s="49"/>
    </row>
    <row r="773">
      <c r="A773" s="49"/>
      <c r="B773" s="49"/>
      <c r="C773" s="49"/>
      <c r="D773" s="49"/>
      <c r="E773" s="106"/>
      <c r="F773" s="49"/>
      <c r="G773" s="49"/>
      <c r="H773" s="49"/>
      <c r="I773" s="49"/>
      <c r="J773" s="49"/>
      <c r="K773" s="49"/>
      <c r="L773" s="49"/>
      <c r="M773" s="49"/>
      <c r="N773" s="49"/>
      <c r="O773" s="49"/>
      <c r="P773" s="49"/>
      <c r="Q773" s="49"/>
      <c r="R773" s="49"/>
      <c r="S773" s="49"/>
      <c r="T773" s="49"/>
      <c r="U773" s="49"/>
      <c r="V773" s="49"/>
      <c r="W773" s="49"/>
      <c r="X773" s="49"/>
      <c r="Y773" s="49"/>
      <c r="Z773" s="49"/>
    </row>
    <row r="774">
      <c r="A774" s="49"/>
      <c r="B774" s="49"/>
      <c r="C774" s="49"/>
      <c r="D774" s="49"/>
      <c r="E774" s="106"/>
      <c r="F774" s="49"/>
      <c r="G774" s="49"/>
      <c r="H774" s="49"/>
      <c r="I774" s="49"/>
      <c r="J774" s="49"/>
      <c r="K774" s="49"/>
      <c r="L774" s="49"/>
      <c r="M774" s="49"/>
      <c r="N774" s="49"/>
      <c r="O774" s="49"/>
      <c r="P774" s="49"/>
      <c r="Q774" s="49"/>
      <c r="R774" s="49"/>
      <c r="S774" s="49"/>
      <c r="T774" s="49"/>
      <c r="U774" s="49"/>
      <c r="V774" s="49"/>
      <c r="W774" s="49"/>
      <c r="X774" s="49"/>
      <c r="Y774" s="49"/>
      <c r="Z774" s="49"/>
    </row>
    <row r="775">
      <c r="A775" s="49"/>
      <c r="B775" s="49"/>
      <c r="C775" s="49"/>
      <c r="D775" s="49"/>
      <c r="E775" s="106"/>
      <c r="F775" s="49"/>
      <c r="G775" s="49"/>
      <c r="H775" s="49"/>
      <c r="I775" s="49"/>
      <c r="J775" s="49"/>
      <c r="K775" s="49"/>
      <c r="L775" s="49"/>
      <c r="M775" s="49"/>
      <c r="N775" s="49"/>
      <c r="O775" s="49"/>
      <c r="P775" s="49"/>
      <c r="Q775" s="49"/>
      <c r="R775" s="49"/>
      <c r="S775" s="49"/>
      <c r="T775" s="49"/>
      <c r="U775" s="49"/>
      <c r="V775" s="49"/>
      <c r="W775" s="49"/>
      <c r="X775" s="49"/>
      <c r="Y775" s="49"/>
      <c r="Z775" s="49"/>
    </row>
    <row r="776">
      <c r="A776" s="49"/>
      <c r="B776" s="49"/>
      <c r="C776" s="49"/>
      <c r="D776" s="49"/>
      <c r="E776" s="106"/>
      <c r="F776" s="49"/>
      <c r="G776" s="49"/>
      <c r="H776" s="49"/>
      <c r="I776" s="49"/>
      <c r="J776" s="49"/>
      <c r="K776" s="49"/>
      <c r="L776" s="49"/>
      <c r="M776" s="49"/>
      <c r="N776" s="49"/>
      <c r="O776" s="49"/>
      <c r="P776" s="49"/>
      <c r="Q776" s="49"/>
      <c r="R776" s="49"/>
      <c r="S776" s="49"/>
      <c r="T776" s="49"/>
      <c r="U776" s="49"/>
      <c r="V776" s="49"/>
      <c r="W776" s="49"/>
      <c r="X776" s="49"/>
      <c r="Y776" s="49"/>
      <c r="Z776" s="49"/>
    </row>
    <row r="777">
      <c r="A777" s="49"/>
      <c r="B777" s="49"/>
      <c r="C777" s="49"/>
      <c r="D777" s="49"/>
      <c r="E777" s="106"/>
      <c r="F777" s="49"/>
      <c r="G777" s="49"/>
      <c r="H777" s="49"/>
      <c r="I777" s="49"/>
      <c r="J777" s="49"/>
      <c r="K777" s="49"/>
      <c r="L777" s="49"/>
      <c r="M777" s="49"/>
      <c r="N777" s="49"/>
      <c r="O777" s="49"/>
      <c r="P777" s="49"/>
      <c r="Q777" s="49"/>
      <c r="R777" s="49"/>
      <c r="S777" s="49"/>
      <c r="T777" s="49"/>
      <c r="U777" s="49"/>
      <c r="V777" s="49"/>
      <c r="W777" s="49"/>
      <c r="X777" s="49"/>
      <c r="Y777" s="49"/>
      <c r="Z777" s="49"/>
    </row>
    <row r="778">
      <c r="A778" s="49"/>
      <c r="B778" s="49"/>
      <c r="C778" s="49"/>
      <c r="D778" s="49"/>
      <c r="E778" s="106"/>
      <c r="F778" s="49"/>
      <c r="G778" s="49"/>
      <c r="H778" s="49"/>
      <c r="I778" s="49"/>
      <c r="J778" s="49"/>
      <c r="K778" s="49"/>
      <c r="L778" s="49"/>
      <c r="M778" s="49"/>
      <c r="N778" s="49"/>
      <c r="O778" s="49"/>
      <c r="P778" s="49"/>
      <c r="Q778" s="49"/>
      <c r="R778" s="49"/>
      <c r="S778" s="49"/>
      <c r="T778" s="49"/>
      <c r="U778" s="49"/>
      <c r="V778" s="49"/>
      <c r="W778" s="49"/>
      <c r="X778" s="49"/>
      <c r="Y778" s="49"/>
      <c r="Z778" s="49"/>
    </row>
    <row r="779">
      <c r="A779" s="49"/>
      <c r="B779" s="49"/>
      <c r="C779" s="49"/>
      <c r="D779" s="49"/>
      <c r="E779" s="106"/>
      <c r="F779" s="49"/>
      <c r="G779" s="49"/>
      <c r="H779" s="49"/>
      <c r="I779" s="49"/>
      <c r="J779" s="49"/>
      <c r="K779" s="49"/>
      <c r="L779" s="49"/>
      <c r="M779" s="49"/>
      <c r="N779" s="49"/>
      <c r="O779" s="49"/>
      <c r="P779" s="49"/>
      <c r="Q779" s="49"/>
      <c r="R779" s="49"/>
      <c r="S779" s="49"/>
      <c r="T779" s="49"/>
      <c r="U779" s="49"/>
      <c r="V779" s="49"/>
      <c r="W779" s="49"/>
      <c r="X779" s="49"/>
      <c r="Y779" s="49"/>
      <c r="Z779" s="49"/>
    </row>
    <row r="780">
      <c r="A780" s="49"/>
      <c r="B780" s="49"/>
      <c r="C780" s="49"/>
      <c r="D780" s="49"/>
      <c r="E780" s="106"/>
      <c r="F780" s="49"/>
      <c r="G780" s="49"/>
      <c r="H780" s="49"/>
      <c r="I780" s="49"/>
      <c r="J780" s="49"/>
      <c r="K780" s="49"/>
      <c r="L780" s="49"/>
      <c r="M780" s="49"/>
      <c r="N780" s="49"/>
      <c r="O780" s="49"/>
      <c r="P780" s="49"/>
      <c r="Q780" s="49"/>
      <c r="R780" s="49"/>
      <c r="S780" s="49"/>
      <c r="T780" s="49"/>
      <c r="U780" s="49"/>
      <c r="V780" s="49"/>
      <c r="W780" s="49"/>
      <c r="X780" s="49"/>
      <c r="Y780" s="49"/>
      <c r="Z780" s="49"/>
    </row>
    <row r="781">
      <c r="A781" s="49"/>
      <c r="B781" s="49"/>
      <c r="C781" s="49"/>
      <c r="D781" s="49"/>
      <c r="E781" s="106"/>
      <c r="F781" s="49"/>
      <c r="G781" s="49"/>
      <c r="H781" s="49"/>
      <c r="I781" s="49"/>
      <c r="J781" s="49"/>
      <c r="K781" s="49"/>
      <c r="L781" s="49"/>
      <c r="M781" s="49"/>
      <c r="N781" s="49"/>
      <c r="O781" s="49"/>
      <c r="P781" s="49"/>
      <c r="Q781" s="49"/>
      <c r="R781" s="49"/>
      <c r="S781" s="49"/>
      <c r="T781" s="49"/>
      <c r="U781" s="49"/>
      <c r="V781" s="49"/>
      <c r="W781" s="49"/>
      <c r="X781" s="49"/>
      <c r="Y781" s="49"/>
      <c r="Z781" s="49"/>
    </row>
    <row r="782">
      <c r="A782" s="49"/>
      <c r="B782" s="49"/>
      <c r="C782" s="49"/>
      <c r="D782" s="49"/>
      <c r="E782" s="106"/>
      <c r="F782" s="49"/>
      <c r="G782" s="49"/>
      <c r="H782" s="49"/>
      <c r="I782" s="49"/>
      <c r="J782" s="49"/>
      <c r="K782" s="49"/>
      <c r="L782" s="49"/>
      <c r="M782" s="49"/>
      <c r="N782" s="49"/>
      <c r="O782" s="49"/>
      <c r="P782" s="49"/>
      <c r="Q782" s="49"/>
      <c r="R782" s="49"/>
      <c r="S782" s="49"/>
      <c r="T782" s="49"/>
      <c r="U782" s="49"/>
      <c r="V782" s="49"/>
      <c r="W782" s="49"/>
      <c r="X782" s="49"/>
      <c r="Y782" s="49"/>
      <c r="Z782" s="49"/>
    </row>
    <row r="783">
      <c r="A783" s="49"/>
      <c r="B783" s="49"/>
      <c r="C783" s="49"/>
      <c r="D783" s="49"/>
      <c r="E783" s="106"/>
      <c r="F783" s="49"/>
      <c r="G783" s="49"/>
      <c r="H783" s="49"/>
      <c r="I783" s="49"/>
      <c r="J783" s="49"/>
      <c r="K783" s="49"/>
      <c r="L783" s="49"/>
      <c r="M783" s="49"/>
      <c r="N783" s="49"/>
      <c r="O783" s="49"/>
      <c r="P783" s="49"/>
      <c r="Q783" s="49"/>
      <c r="R783" s="49"/>
      <c r="S783" s="49"/>
      <c r="T783" s="49"/>
      <c r="U783" s="49"/>
      <c r="V783" s="49"/>
      <c r="W783" s="49"/>
      <c r="X783" s="49"/>
      <c r="Y783" s="49"/>
      <c r="Z783" s="49"/>
    </row>
    <row r="784">
      <c r="A784" s="49"/>
      <c r="B784" s="49"/>
      <c r="C784" s="49"/>
      <c r="D784" s="49"/>
      <c r="E784" s="106"/>
      <c r="F784" s="49"/>
      <c r="G784" s="49"/>
      <c r="H784" s="49"/>
      <c r="I784" s="49"/>
      <c r="J784" s="49"/>
      <c r="K784" s="49"/>
      <c r="L784" s="49"/>
      <c r="M784" s="49"/>
      <c r="N784" s="49"/>
      <c r="O784" s="49"/>
      <c r="P784" s="49"/>
      <c r="Q784" s="49"/>
      <c r="R784" s="49"/>
      <c r="S784" s="49"/>
      <c r="T784" s="49"/>
      <c r="U784" s="49"/>
      <c r="V784" s="49"/>
      <c r="W784" s="49"/>
      <c r="X784" s="49"/>
      <c r="Y784" s="49"/>
      <c r="Z784" s="49"/>
    </row>
    <row r="785">
      <c r="A785" s="49"/>
      <c r="B785" s="49"/>
      <c r="C785" s="49"/>
      <c r="D785" s="49"/>
      <c r="E785" s="106"/>
      <c r="F785" s="49"/>
      <c r="G785" s="49"/>
      <c r="H785" s="49"/>
      <c r="I785" s="49"/>
      <c r="J785" s="49"/>
      <c r="K785" s="49"/>
      <c r="L785" s="49"/>
      <c r="M785" s="49"/>
      <c r="N785" s="49"/>
      <c r="O785" s="49"/>
      <c r="P785" s="49"/>
      <c r="Q785" s="49"/>
      <c r="R785" s="49"/>
      <c r="S785" s="49"/>
      <c r="T785" s="49"/>
      <c r="U785" s="49"/>
      <c r="V785" s="49"/>
      <c r="W785" s="49"/>
      <c r="X785" s="49"/>
      <c r="Y785" s="49"/>
      <c r="Z785" s="49"/>
    </row>
    <row r="786">
      <c r="A786" s="49"/>
      <c r="B786" s="49"/>
      <c r="C786" s="49"/>
      <c r="D786" s="49"/>
      <c r="E786" s="106"/>
      <c r="F786" s="49"/>
      <c r="G786" s="49"/>
      <c r="H786" s="49"/>
      <c r="I786" s="49"/>
      <c r="J786" s="49"/>
      <c r="K786" s="49"/>
      <c r="L786" s="49"/>
      <c r="M786" s="49"/>
      <c r="N786" s="49"/>
      <c r="O786" s="49"/>
      <c r="P786" s="49"/>
      <c r="Q786" s="49"/>
      <c r="R786" s="49"/>
      <c r="S786" s="49"/>
      <c r="T786" s="49"/>
      <c r="U786" s="49"/>
      <c r="V786" s="49"/>
      <c r="W786" s="49"/>
      <c r="X786" s="49"/>
      <c r="Y786" s="49"/>
      <c r="Z786" s="49"/>
    </row>
    <row r="787">
      <c r="A787" s="49"/>
      <c r="B787" s="49"/>
      <c r="C787" s="49"/>
      <c r="D787" s="49"/>
      <c r="E787" s="106"/>
      <c r="F787" s="49"/>
      <c r="G787" s="49"/>
      <c r="H787" s="49"/>
      <c r="I787" s="49"/>
      <c r="J787" s="49"/>
      <c r="K787" s="49"/>
      <c r="L787" s="49"/>
      <c r="M787" s="49"/>
      <c r="N787" s="49"/>
      <c r="O787" s="49"/>
      <c r="P787" s="49"/>
      <c r="Q787" s="49"/>
      <c r="R787" s="49"/>
      <c r="S787" s="49"/>
      <c r="T787" s="49"/>
      <c r="U787" s="49"/>
      <c r="V787" s="49"/>
      <c r="W787" s="49"/>
      <c r="X787" s="49"/>
      <c r="Y787" s="49"/>
      <c r="Z787" s="49"/>
    </row>
    <row r="788">
      <c r="A788" s="49"/>
      <c r="B788" s="49"/>
      <c r="C788" s="49"/>
      <c r="D788" s="49"/>
      <c r="E788" s="106"/>
      <c r="F788" s="49"/>
      <c r="G788" s="49"/>
      <c r="H788" s="49"/>
      <c r="I788" s="49"/>
      <c r="J788" s="49"/>
      <c r="K788" s="49"/>
      <c r="L788" s="49"/>
      <c r="M788" s="49"/>
      <c r="N788" s="49"/>
      <c r="O788" s="49"/>
      <c r="P788" s="49"/>
      <c r="Q788" s="49"/>
      <c r="R788" s="49"/>
      <c r="S788" s="49"/>
      <c r="T788" s="49"/>
      <c r="U788" s="49"/>
      <c r="V788" s="49"/>
      <c r="W788" s="49"/>
      <c r="X788" s="49"/>
      <c r="Y788" s="49"/>
      <c r="Z788" s="49"/>
    </row>
    <row r="789">
      <c r="A789" s="49"/>
      <c r="B789" s="49"/>
      <c r="C789" s="49"/>
      <c r="D789" s="49"/>
      <c r="E789" s="106"/>
      <c r="F789" s="49"/>
      <c r="G789" s="49"/>
      <c r="H789" s="49"/>
      <c r="I789" s="49"/>
      <c r="J789" s="49"/>
      <c r="K789" s="49"/>
      <c r="L789" s="49"/>
      <c r="M789" s="49"/>
      <c r="N789" s="49"/>
      <c r="O789" s="49"/>
      <c r="P789" s="49"/>
      <c r="Q789" s="49"/>
      <c r="R789" s="49"/>
      <c r="S789" s="49"/>
      <c r="T789" s="49"/>
      <c r="U789" s="49"/>
      <c r="V789" s="49"/>
      <c r="W789" s="49"/>
      <c r="X789" s="49"/>
      <c r="Y789" s="49"/>
      <c r="Z789" s="49"/>
    </row>
    <row r="790">
      <c r="A790" s="49"/>
      <c r="B790" s="49"/>
      <c r="C790" s="49"/>
      <c r="D790" s="49"/>
      <c r="E790" s="106"/>
      <c r="F790" s="49"/>
      <c r="G790" s="49"/>
      <c r="H790" s="49"/>
      <c r="I790" s="49"/>
      <c r="J790" s="49"/>
      <c r="K790" s="49"/>
      <c r="L790" s="49"/>
      <c r="M790" s="49"/>
      <c r="N790" s="49"/>
      <c r="O790" s="49"/>
      <c r="P790" s="49"/>
      <c r="Q790" s="49"/>
      <c r="R790" s="49"/>
      <c r="S790" s="49"/>
      <c r="T790" s="49"/>
      <c r="U790" s="49"/>
      <c r="V790" s="49"/>
      <c r="W790" s="49"/>
      <c r="X790" s="49"/>
      <c r="Y790" s="49"/>
      <c r="Z790" s="49"/>
    </row>
    <row r="791">
      <c r="A791" s="49"/>
      <c r="B791" s="49"/>
      <c r="C791" s="49"/>
      <c r="D791" s="49"/>
      <c r="E791" s="106"/>
      <c r="F791" s="49"/>
      <c r="G791" s="49"/>
      <c r="H791" s="49"/>
      <c r="I791" s="49"/>
      <c r="J791" s="49"/>
      <c r="K791" s="49"/>
      <c r="L791" s="49"/>
      <c r="M791" s="49"/>
      <c r="N791" s="49"/>
      <c r="O791" s="49"/>
      <c r="P791" s="49"/>
      <c r="Q791" s="49"/>
      <c r="R791" s="49"/>
      <c r="S791" s="49"/>
      <c r="T791" s="49"/>
      <c r="U791" s="49"/>
      <c r="V791" s="49"/>
      <c r="W791" s="49"/>
      <c r="X791" s="49"/>
      <c r="Y791" s="49"/>
      <c r="Z791" s="49"/>
    </row>
    <row r="792">
      <c r="A792" s="49"/>
      <c r="B792" s="49"/>
      <c r="C792" s="49"/>
      <c r="D792" s="49"/>
      <c r="E792" s="106"/>
      <c r="F792" s="49"/>
      <c r="G792" s="49"/>
      <c r="H792" s="49"/>
      <c r="I792" s="49"/>
      <c r="J792" s="49"/>
      <c r="K792" s="49"/>
      <c r="L792" s="49"/>
      <c r="M792" s="49"/>
      <c r="N792" s="49"/>
      <c r="O792" s="49"/>
      <c r="P792" s="49"/>
      <c r="Q792" s="49"/>
      <c r="R792" s="49"/>
      <c r="S792" s="49"/>
      <c r="T792" s="49"/>
      <c r="U792" s="49"/>
      <c r="V792" s="49"/>
      <c r="W792" s="49"/>
      <c r="X792" s="49"/>
      <c r="Y792" s="49"/>
      <c r="Z792" s="49"/>
    </row>
    <row r="793">
      <c r="A793" s="49"/>
      <c r="B793" s="49"/>
      <c r="C793" s="49"/>
      <c r="D793" s="49"/>
      <c r="E793" s="106"/>
      <c r="F793" s="49"/>
      <c r="G793" s="49"/>
      <c r="H793" s="49"/>
      <c r="I793" s="49"/>
      <c r="J793" s="49"/>
      <c r="K793" s="49"/>
      <c r="L793" s="49"/>
      <c r="M793" s="49"/>
      <c r="N793" s="49"/>
      <c r="O793" s="49"/>
      <c r="P793" s="49"/>
      <c r="Q793" s="49"/>
      <c r="R793" s="49"/>
      <c r="S793" s="49"/>
      <c r="T793" s="49"/>
      <c r="U793" s="49"/>
      <c r="V793" s="49"/>
      <c r="W793" s="49"/>
      <c r="X793" s="49"/>
      <c r="Y793" s="49"/>
      <c r="Z793" s="49"/>
    </row>
    <row r="794">
      <c r="A794" s="49"/>
      <c r="B794" s="49"/>
      <c r="C794" s="49"/>
      <c r="D794" s="49"/>
      <c r="E794" s="106"/>
      <c r="F794" s="49"/>
      <c r="G794" s="49"/>
      <c r="H794" s="49"/>
      <c r="I794" s="49"/>
      <c r="J794" s="49"/>
      <c r="K794" s="49"/>
      <c r="L794" s="49"/>
      <c r="M794" s="49"/>
      <c r="N794" s="49"/>
      <c r="O794" s="49"/>
      <c r="P794" s="49"/>
      <c r="Q794" s="49"/>
      <c r="R794" s="49"/>
      <c r="S794" s="49"/>
      <c r="T794" s="49"/>
      <c r="U794" s="49"/>
      <c r="V794" s="49"/>
      <c r="W794" s="49"/>
      <c r="X794" s="49"/>
      <c r="Y794" s="49"/>
      <c r="Z794" s="49"/>
    </row>
    <row r="795">
      <c r="A795" s="49"/>
      <c r="B795" s="49"/>
      <c r="C795" s="49"/>
      <c r="D795" s="49"/>
      <c r="E795" s="106"/>
      <c r="F795" s="49"/>
      <c r="G795" s="49"/>
      <c r="H795" s="49"/>
      <c r="I795" s="49"/>
      <c r="J795" s="49"/>
      <c r="K795" s="49"/>
      <c r="L795" s="49"/>
      <c r="M795" s="49"/>
      <c r="N795" s="49"/>
      <c r="O795" s="49"/>
      <c r="P795" s="49"/>
      <c r="Q795" s="49"/>
      <c r="R795" s="49"/>
      <c r="S795" s="49"/>
      <c r="T795" s="49"/>
      <c r="U795" s="49"/>
      <c r="V795" s="49"/>
      <c r="W795" s="49"/>
      <c r="X795" s="49"/>
      <c r="Y795" s="49"/>
      <c r="Z795" s="49"/>
    </row>
    <row r="796">
      <c r="A796" s="49"/>
      <c r="B796" s="49"/>
      <c r="C796" s="49"/>
      <c r="D796" s="49"/>
      <c r="E796" s="106"/>
      <c r="F796" s="49"/>
      <c r="G796" s="49"/>
      <c r="H796" s="49"/>
      <c r="I796" s="49"/>
      <c r="J796" s="49"/>
      <c r="K796" s="49"/>
      <c r="L796" s="49"/>
      <c r="M796" s="49"/>
      <c r="N796" s="49"/>
      <c r="O796" s="49"/>
      <c r="P796" s="49"/>
      <c r="Q796" s="49"/>
      <c r="R796" s="49"/>
      <c r="S796" s="49"/>
      <c r="T796" s="49"/>
      <c r="U796" s="49"/>
      <c r="V796" s="49"/>
      <c r="W796" s="49"/>
      <c r="X796" s="49"/>
      <c r="Y796" s="49"/>
      <c r="Z796" s="49"/>
    </row>
    <row r="797">
      <c r="A797" s="49"/>
      <c r="B797" s="49"/>
      <c r="C797" s="49"/>
      <c r="D797" s="49"/>
      <c r="E797" s="106"/>
      <c r="F797" s="49"/>
      <c r="G797" s="49"/>
      <c r="H797" s="49"/>
      <c r="I797" s="49"/>
      <c r="J797" s="49"/>
      <c r="K797" s="49"/>
      <c r="L797" s="49"/>
      <c r="M797" s="49"/>
      <c r="N797" s="49"/>
      <c r="O797" s="49"/>
      <c r="P797" s="49"/>
      <c r="Q797" s="49"/>
      <c r="R797" s="49"/>
      <c r="S797" s="49"/>
      <c r="T797" s="49"/>
      <c r="U797" s="49"/>
      <c r="V797" s="49"/>
      <c r="W797" s="49"/>
      <c r="X797" s="49"/>
      <c r="Y797" s="49"/>
      <c r="Z797" s="49"/>
    </row>
    <row r="798">
      <c r="A798" s="49"/>
      <c r="B798" s="49"/>
      <c r="C798" s="49"/>
      <c r="D798" s="49"/>
      <c r="E798" s="106"/>
      <c r="F798" s="49"/>
      <c r="G798" s="49"/>
      <c r="H798" s="49"/>
      <c r="I798" s="49"/>
      <c r="J798" s="49"/>
      <c r="K798" s="49"/>
      <c r="L798" s="49"/>
      <c r="M798" s="49"/>
      <c r="N798" s="49"/>
      <c r="O798" s="49"/>
      <c r="P798" s="49"/>
      <c r="Q798" s="49"/>
      <c r="R798" s="49"/>
      <c r="S798" s="49"/>
      <c r="T798" s="49"/>
      <c r="U798" s="49"/>
      <c r="V798" s="49"/>
      <c r="W798" s="49"/>
      <c r="X798" s="49"/>
      <c r="Y798" s="49"/>
      <c r="Z798" s="49"/>
    </row>
    <row r="799">
      <c r="A799" s="49"/>
      <c r="B799" s="49"/>
      <c r="C799" s="49"/>
      <c r="D799" s="49"/>
      <c r="E799" s="106"/>
      <c r="F799" s="49"/>
      <c r="G799" s="49"/>
      <c r="H799" s="49"/>
      <c r="I799" s="49"/>
      <c r="J799" s="49"/>
      <c r="K799" s="49"/>
      <c r="L799" s="49"/>
      <c r="M799" s="49"/>
      <c r="N799" s="49"/>
      <c r="O799" s="49"/>
      <c r="P799" s="49"/>
      <c r="Q799" s="49"/>
      <c r="R799" s="49"/>
      <c r="S799" s="49"/>
      <c r="T799" s="49"/>
      <c r="U799" s="49"/>
      <c r="V799" s="49"/>
      <c r="W799" s="49"/>
      <c r="X799" s="49"/>
      <c r="Y799" s="49"/>
      <c r="Z799" s="49"/>
    </row>
    <row r="800">
      <c r="A800" s="49"/>
      <c r="B800" s="49"/>
      <c r="C800" s="49"/>
      <c r="D800" s="49"/>
      <c r="E800" s="106"/>
      <c r="F800" s="49"/>
      <c r="G800" s="49"/>
      <c r="H800" s="49"/>
      <c r="I800" s="49"/>
      <c r="J800" s="49"/>
      <c r="K800" s="49"/>
      <c r="L800" s="49"/>
      <c r="M800" s="49"/>
      <c r="N800" s="49"/>
      <c r="O800" s="49"/>
      <c r="P800" s="49"/>
      <c r="Q800" s="49"/>
      <c r="R800" s="49"/>
      <c r="S800" s="49"/>
      <c r="T800" s="49"/>
      <c r="U800" s="49"/>
      <c r="V800" s="49"/>
      <c r="W800" s="49"/>
      <c r="X800" s="49"/>
      <c r="Y800" s="49"/>
      <c r="Z800" s="49"/>
    </row>
    <row r="801">
      <c r="A801" s="49"/>
      <c r="B801" s="49"/>
      <c r="C801" s="49"/>
      <c r="D801" s="49"/>
      <c r="E801" s="106"/>
      <c r="F801" s="49"/>
      <c r="G801" s="49"/>
      <c r="H801" s="49"/>
      <c r="I801" s="49"/>
      <c r="J801" s="49"/>
      <c r="K801" s="49"/>
      <c r="L801" s="49"/>
      <c r="M801" s="49"/>
      <c r="N801" s="49"/>
      <c r="O801" s="49"/>
      <c r="P801" s="49"/>
      <c r="Q801" s="49"/>
      <c r="R801" s="49"/>
      <c r="S801" s="49"/>
      <c r="T801" s="49"/>
      <c r="U801" s="49"/>
      <c r="V801" s="49"/>
      <c r="W801" s="49"/>
      <c r="X801" s="49"/>
      <c r="Y801" s="49"/>
      <c r="Z801" s="49"/>
    </row>
    <row r="802">
      <c r="A802" s="49"/>
      <c r="B802" s="49"/>
      <c r="C802" s="49"/>
      <c r="D802" s="49"/>
      <c r="E802" s="106"/>
      <c r="F802" s="49"/>
      <c r="G802" s="49"/>
      <c r="H802" s="49"/>
      <c r="I802" s="49"/>
      <c r="J802" s="49"/>
      <c r="K802" s="49"/>
      <c r="L802" s="49"/>
      <c r="M802" s="49"/>
      <c r="N802" s="49"/>
      <c r="O802" s="49"/>
      <c r="P802" s="49"/>
      <c r="Q802" s="49"/>
      <c r="R802" s="49"/>
      <c r="S802" s="49"/>
      <c r="T802" s="49"/>
      <c r="U802" s="49"/>
      <c r="V802" s="49"/>
      <c r="W802" s="49"/>
      <c r="X802" s="49"/>
      <c r="Y802" s="49"/>
      <c r="Z802" s="49"/>
    </row>
    <row r="803">
      <c r="A803" s="49"/>
      <c r="B803" s="49"/>
      <c r="C803" s="49"/>
      <c r="D803" s="49"/>
      <c r="E803" s="106"/>
      <c r="F803" s="49"/>
      <c r="G803" s="49"/>
      <c r="H803" s="49"/>
      <c r="I803" s="49"/>
      <c r="J803" s="49"/>
      <c r="K803" s="49"/>
      <c r="L803" s="49"/>
      <c r="M803" s="49"/>
      <c r="N803" s="49"/>
      <c r="O803" s="49"/>
      <c r="P803" s="49"/>
      <c r="Q803" s="49"/>
      <c r="R803" s="49"/>
      <c r="S803" s="49"/>
      <c r="T803" s="49"/>
      <c r="U803" s="49"/>
      <c r="V803" s="49"/>
      <c r="W803" s="49"/>
      <c r="X803" s="49"/>
      <c r="Y803" s="49"/>
      <c r="Z803" s="49"/>
    </row>
    <row r="804">
      <c r="A804" s="49"/>
      <c r="B804" s="49"/>
      <c r="C804" s="49"/>
      <c r="D804" s="49"/>
      <c r="E804" s="106"/>
      <c r="F804" s="49"/>
      <c r="G804" s="49"/>
      <c r="H804" s="49"/>
      <c r="I804" s="49"/>
      <c r="J804" s="49"/>
      <c r="K804" s="49"/>
      <c r="L804" s="49"/>
      <c r="M804" s="49"/>
      <c r="N804" s="49"/>
      <c r="O804" s="49"/>
      <c r="P804" s="49"/>
      <c r="Q804" s="49"/>
      <c r="R804" s="49"/>
      <c r="S804" s="49"/>
      <c r="T804" s="49"/>
      <c r="U804" s="49"/>
      <c r="V804" s="49"/>
      <c r="W804" s="49"/>
      <c r="X804" s="49"/>
      <c r="Y804" s="49"/>
      <c r="Z804" s="49"/>
    </row>
    <row r="805">
      <c r="A805" s="49"/>
      <c r="B805" s="49"/>
      <c r="C805" s="49"/>
      <c r="D805" s="49"/>
      <c r="E805" s="106"/>
      <c r="F805" s="49"/>
      <c r="G805" s="49"/>
      <c r="H805" s="49"/>
      <c r="I805" s="49"/>
      <c r="J805" s="49"/>
      <c r="K805" s="49"/>
      <c r="L805" s="49"/>
      <c r="M805" s="49"/>
      <c r="N805" s="49"/>
      <c r="O805" s="49"/>
      <c r="P805" s="49"/>
      <c r="Q805" s="49"/>
      <c r="R805" s="49"/>
      <c r="S805" s="49"/>
      <c r="T805" s="49"/>
      <c r="U805" s="49"/>
      <c r="V805" s="49"/>
      <c r="W805" s="49"/>
      <c r="X805" s="49"/>
      <c r="Y805" s="49"/>
      <c r="Z805" s="49"/>
    </row>
    <row r="806">
      <c r="A806" s="49"/>
      <c r="B806" s="49"/>
      <c r="C806" s="49"/>
      <c r="D806" s="49"/>
      <c r="E806" s="106"/>
      <c r="F806" s="49"/>
      <c r="G806" s="49"/>
      <c r="H806" s="49"/>
      <c r="I806" s="49"/>
      <c r="J806" s="49"/>
      <c r="K806" s="49"/>
      <c r="L806" s="49"/>
      <c r="M806" s="49"/>
      <c r="N806" s="49"/>
      <c r="O806" s="49"/>
      <c r="P806" s="49"/>
      <c r="Q806" s="49"/>
      <c r="R806" s="49"/>
      <c r="S806" s="49"/>
      <c r="T806" s="49"/>
      <c r="U806" s="49"/>
      <c r="V806" s="49"/>
      <c r="W806" s="49"/>
      <c r="X806" s="49"/>
      <c r="Y806" s="49"/>
      <c r="Z806" s="49"/>
    </row>
    <row r="807">
      <c r="A807" s="49"/>
      <c r="B807" s="49"/>
      <c r="C807" s="49"/>
      <c r="D807" s="49"/>
      <c r="E807" s="106"/>
      <c r="F807" s="49"/>
      <c r="G807" s="49"/>
      <c r="H807" s="49"/>
      <c r="I807" s="49"/>
      <c r="J807" s="49"/>
      <c r="K807" s="49"/>
      <c r="L807" s="49"/>
      <c r="M807" s="49"/>
      <c r="N807" s="49"/>
      <c r="O807" s="49"/>
      <c r="P807" s="49"/>
      <c r="Q807" s="49"/>
      <c r="R807" s="49"/>
      <c r="S807" s="49"/>
      <c r="T807" s="49"/>
      <c r="U807" s="49"/>
      <c r="V807" s="49"/>
      <c r="W807" s="49"/>
      <c r="X807" s="49"/>
      <c r="Y807" s="49"/>
      <c r="Z807" s="49"/>
    </row>
    <row r="808">
      <c r="A808" s="49"/>
      <c r="B808" s="49"/>
      <c r="C808" s="49"/>
      <c r="D808" s="49"/>
      <c r="E808" s="106"/>
      <c r="F808" s="49"/>
      <c r="G808" s="49"/>
      <c r="H808" s="49"/>
      <c r="I808" s="49"/>
      <c r="J808" s="49"/>
      <c r="K808" s="49"/>
      <c r="L808" s="49"/>
      <c r="M808" s="49"/>
      <c r="N808" s="49"/>
      <c r="O808" s="49"/>
      <c r="P808" s="49"/>
      <c r="Q808" s="49"/>
      <c r="R808" s="49"/>
      <c r="S808" s="49"/>
      <c r="T808" s="49"/>
      <c r="U808" s="49"/>
      <c r="V808" s="49"/>
      <c r="W808" s="49"/>
      <c r="X808" s="49"/>
      <c r="Y808" s="49"/>
      <c r="Z808" s="49"/>
    </row>
    <row r="809">
      <c r="A809" s="49"/>
      <c r="B809" s="49"/>
      <c r="C809" s="49"/>
      <c r="D809" s="49"/>
      <c r="E809" s="106"/>
      <c r="F809" s="49"/>
      <c r="G809" s="49"/>
      <c r="H809" s="49"/>
      <c r="I809" s="49"/>
      <c r="J809" s="49"/>
      <c r="K809" s="49"/>
      <c r="L809" s="49"/>
      <c r="M809" s="49"/>
      <c r="N809" s="49"/>
      <c r="O809" s="49"/>
      <c r="P809" s="49"/>
      <c r="Q809" s="49"/>
      <c r="R809" s="49"/>
      <c r="S809" s="49"/>
      <c r="T809" s="49"/>
      <c r="U809" s="49"/>
      <c r="V809" s="49"/>
      <c r="W809" s="49"/>
      <c r="X809" s="49"/>
      <c r="Y809" s="49"/>
      <c r="Z809" s="49"/>
    </row>
    <row r="810">
      <c r="A810" s="49"/>
      <c r="B810" s="49"/>
      <c r="C810" s="49"/>
      <c r="D810" s="49"/>
      <c r="E810" s="106"/>
      <c r="F810" s="49"/>
      <c r="G810" s="49"/>
      <c r="H810" s="49"/>
      <c r="I810" s="49"/>
      <c r="J810" s="49"/>
      <c r="K810" s="49"/>
      <c r="L810" s="49"/>
      <c r="M810" s="49"/>
      <c r="N810" s="49"/>
      <c r="O810" s="49"/>
      <c r="P810" s="49"/>
      <c r="Q810" s="49"/>
      <c r="R810" s="49"/>
      <c r="S810" s="49"/>
      <c r="T810" s="49"/>
      <c r="U810" s="49"/>
      <c r="V810" s="49"/>
      <c r="W810" s="49"/>
      <c r="X810" s="49"/>
      <c r="Y810" s="49"/>
      <c r="Z810" s="49"/>
    </row>
    <row r="811">
      <c r="A811" s="49"/>
      <c r="B811" s="49"/>
      <c r="C811" s="49"/>
      <c r="D811" s="49"/>
      <c r="E811" s="106"/>
      <c r="F811" s="49"/>
      <c r="G811" s="49"/>
      <c r="H811" s="49"/>
      <c r="I811" s="49"/>
      <c r="J811" s="49"/>
      <c r="K811" s="49"/>
      <c r="L811" s="49"/>
      <c r="M811" s="49"/>
      <c r="N811" s="49"/>
      <c r="O811" s="49"/>
      <c r="P811" s="49"/>
      <c r="Q811" s="49"/>
      <c r="R811" s="49"/>
      <c r="S811" s="49"/>
      <c r="T811" s="49"/>
      <c r="U811" s="49"/>
      <c r="V811" s="49"/>
      <c r="W811" s="49"/>
      <c r="X811" s="49"/>
      <c r="Y811" s="49"/>
      <c r="Z811" s="49"/>
    </row>
    <row r="812">
      <c r="A812" s="49"/>
      <c r="B812" s="49"/>
      <c r="C812" s="49"/>
      <c r="D812" s="49"/>
      <c r="E812" s="106"/>
      <c r="F812" s="49"/>
      <c r="G812" s="49"/>
      <c r="H812" s="49"/>
      <c r="I812" s="49"/>
      <c r="J812" s="49"/>
      <c r="K812" s="49"/>
      <c r="L812" s="49"/>
      <c r="M812" s="49"/>
      <c r="N812" s="49"/>
      <c r="O812" s="49"/>
      <c r="P812" s="49"/>
      <c r="Q812" s="49"/>
      <c r="R812" s="49"/>
      <c r="S812" s="49"/>
      <c r="T812" s="49"/>
      <c r="U812" s="49"/>
      <c r="V812" s="49"/>
      <c r="W812" s="49"/>
      <c r="X812" s="49"/>
      <c r="Y812" s="49"/>
      <c r="Z812" s="49"/>
    </row>
    <row r="813">
      <c r="A813" s="49"/>
      <c r="B813" s="49"/>
      <c r="C813" s="49"/>
      <c r="D813" s="49"/>
      <c r="E813" s="106"/>
      <c r="F813" s="49"/>
      <c r="G813" s="49"/>
      <c r="H813" s="49"/>
      <c r="I813" s="49"/>
      <c r="J813" s="49"/>
      <c r="K813" s="49"/>
      <c r="L813" s="49"/>
      <c r="M813" s="49"/>
      <c r="N813" s="49"/>
      <c r="O813" s="49"/>
      <c r="P813" s="49"/>
      <c r="Q813" s="49"/>
      <c r="R813" s="49"/>
      <c r="S813" s="49"/>
      <c r="T813" s="49"/>
      <c r="U813" s="49"/>
      <c r="V813" s="49"/>
      <c r="W813" s="49"/>
      <c r="X813" s="49"/>
      <c r="Y813" s="49"/>
      <c r="Z813" s="49"/>
    </row>
    <row r="814">
      <c r="A814" s="49"/>
      <c r="B814" s="49"/>
      <c r="C814" s="49"/>
      <c r="D814" s="49"/>
      <c r="E814" s="106"/>
      <c r="F814" s="49"/>
      <c r="G814" s="49"/>
      <c r="H814" s="49"/>
      <c r="I814" s="49"/>
      <c r="J814" s="49"/>
      <c r="K814" s="49"/>
      <c r="L814" s="49"/>
      <c r="M814" s="49"/>
      <c r="N814" s="49"/>
      <c r="O814" s="49"/>
      <c r="P814" s="49"/>
      <c r="Q814" s="49"/>
      <c r="R814" s="49"/>
      <c r="S814" s="49"/>
      <c r="T814" s="49"/>
      <c r="U814" s="49"/>
      <c r="V814" s="49"/>
      <c r="W814" s="49"/>
      <c r="X814" s="49"/>
      <c r="Y814" s="49"/>
      <c r="Z814" s="49"/>
    </row>
    <row r="815">
      <c r="A815" s="49"/>
      <c r="B815" s="49"/>
      <c r="C815" s="49"/>
      <c r="D815" s="49"/>
      <c r="E815" s="106"/>
      <c r="F815" s="49"/>
      <c r="G815" s="49"/>
      <c r="H815" s="49"/>
      <c r="I815" s="49"/>
      <c r="J815" s="49"/>
      <c r="K815" s="49"/>
      <c r="L815" s="49"/>
      <c r="M815" s="49"/>
      <c r="N815" s="49"/>
      <c r="O815" s="49"/>
      <c r="P815" s="49"/>
      <c r="Q815" s="49"/>
      <c r="R815" s="49"/>
      <c r="S815" s="49"/>
      <c r="T815" s="49"/>
      <c r="U815" s="49"/>
      <c r="V815" s="49"/>
      <c r="W815" s="49"/>
      <c r="X815" s="49"/>
      <c r="Y815" s="49"/>
      <c r="Z815" s="49"/>
    </row>
    <row r="816">
      <c r="A816" s="49"/>
      <c r="B816" s="49"/>
      <c r="C816" s="49"/>
      <c r="D816" s="49"/>
      <c r="E816" s="106"/>
      <c r="F816" s="49"/>
      <c r="G816" s="49"/>
      <c r="H816" s="49"/>
      <c r="I816" s="49"/>
      <c r="J816" s="49"/>
      <c r="K816" s="49"/>
      <c r="L816" s="49"/>
      <c r="M816" s="49"/>
      <c r="N816" s="49"/>
      <c r="O816" s="49"/>
      <c r="P816" s="49"/>
      <c r="Q816" s="49"/>
      <c r="R816" s="49"/>
      <c r="S816" s="49"/>
      <c r="T816" s="49"/>
      <c r="U816" s="49"/>
      <c r="V816" s="49"/>
      <c r="W816" s="49"/>
      <c r="X816" s="49"/>
      <c r="Y816" s="49"/>
      <c r="Z816" s="49"/>
    </row>
    <row r="817">
      <c r="A817" s="49"/>
      <c r="B817" s="49"/>
      <c r="C817" s="49"/>
      <c r="D817" s="49"/>
      <c r="E817" s="106"/>
      <c r="F817" s="49"/>
      <c r="G817" s="49"/>
      <c r="H817" s="49"/>
      <c r="I817" s="49"/>
      <c r="J817" s="49"/>
      <c r="K817" s="49"/>
      <c r="L817" s="49"/>
      <c r="M817" s="49"/>
      <c r="N817" s="49"/>
      <c r="O817" s="49"/>
      <c r="P817" s="49"/>
      <c r="Q817" s="49"/>
      <c r="R817" s="49"/>
      <c r="S817" s="49"/>
      <c r="T817" s="49"/>
      <c r="U817" s="49"/>
      <c r="V817" s="49"/>
      <c r="W817" s="49"/>
      <c r="X817" s="49"/>
      <c r="Y817" s="49"/>
      <c r="Z817" s="49"/>
    </row>
    <row r="818">
      <c r="A818" s="49"/>
      <c r="B818" s="49"/>
      <c r="C818" s="49"/>
      <c r="D818" s="49"/>
      <c r="E818" s="106"/>
      <c r="F818" s="49"/>
      <c r="G818" s="49"/>
      <c r="H818" s="49"/>
      <c r="I818" s="49"/>
      <c r="J818" s="49"/>
      <c r="K818" s="49"/>
      <c r="L818" s="49"/>
      <c r="M818" s="49"/>
      <c r="N818" s="49"/>
      <c r="O818" s="49"/>
      <c r="P818" s="49"/>
      <c r="Q818" s="49"/>
      <c r="R818" s="49"/>
      <c r="S818" s="49"/>
      <c r="T818" s="49"/>
      <c r="U818" s="49"/>
      <c r="V818" s="49"/>
      <c r="W818" s="49"/>
      <c r="X818" s="49"/>
      <c r="Y818" s="49"/>
      <c r="Z818" s="49"/>
    </row>
    <row r="819">
      <c r="A819" s="49"/>
      <c r="B819" s="49"/>
      <c r="C819" s="49"/>
      <c r="D819" s="49"/>
      <c r="E819" s="106"/>
      <c r="F819" s="49"/>
      <c r="G819" s="49"/>
      <c r="H819" s="49"/>
      <c r="I819" s="49"/>
      <c r="J819" s="49"/>
      <c r="K819" s="49"/>
      <c r="L819" s="49"/>
      <c r="M819" s="49"/>
      <c r="N819" s="49"/>
      <c r="O819" s="49"/>
      <c r="P819" s="49"/>
      <c r="Q819" s="49"/>
      <c r="R819" s="49"/>
      <c r="S819" s="49"/>
      <c r="T819" s="49"/>
      <c r="U819" s="49"/>
      <c r="V819" s="49"/>
      <c r="W819" s="49"/>
      <c r="X819" s="49"/>
      <c r="Y819" s="49"/>
      <c r="Z819" s="49"/>
    </row>
    <row r="820">
      <c r="A820" s="49"/>
      <c r="B820" s="49"/>
      <c r="C820" s="49"/>
      <c r="D820" s="49"/>
      <c r="E820" s="106"/>
      <c r="F820" s="49"/>
      <c r="G820" s="49"/>
      <c r="H820" s="49"/>
      <c r="I820" s="49"/>
      <c r="J820" s="49"/>
      <c r="K820" s="49"/>
      <c r="L820" s="49"/>
      <c r="M820" s="49"/>
      <c r="N820" s="49"/>
      <c r="O820" s="49"/>
      <c r="P820" s="49"/>
      <c r="Q820" s="49"/>
      <c r="R820" s="49"/>
      <c r="S820" s="49"/>
      <c r="T820" s="49"/>
      <c r="U820" s="49"/>
      <c r="V820" s="49"/>
      <c r="W820" s="49"/>
      <c r="X820" s="49"/>
      <c r="Y820" s="49"/>
      <c r="Z820" s="49"/>
    </row>
    <row r="821">
      <c r="A821" s="49"/>
      <c r="B821" s="49"/>
      <c r="C821" s="49"/>
      <c r="D821" s="49"/>
      <c r="E821" s="106"/>
      <c r="F821" s="49"/>
      <c r="G821" s="49"/>
      <c r="H821" s="49"/>
      <c r="I821" s="49"/>
      <c r="J821" s="49"/>
      <c r="K821" s="49"/>
      <c r="L821" s="49"/>
      <c r="M821" s="49"/>
      <c r="N821" s="49"/>
      <c r="O821" s="49"/>
      <c r="P821" s="49"/>
      <c r="Q821" s="49"/>
      <c r="R821" s="49"/>
      <c r="S821" s="49"/>
      <c r="T821" s="49"/>
      <c r="U821" s="49"/>
      <c r="V821" s="49"/>
      <c r="W821" s="49"/>
      <c r="X821" s="49"/>
      <c r="Y821" s="49"/>
      <c r="Z821" s="49"/>
    </row>
    <row r="822">
      <c r="A822" s="49"/>
      <c r="B822" s="49"/>
      <c r="C822" s="49"/>
      <c r="D822" s="49"/>
      <c r="E822" s="106"/>
      <c r="F822" s="49"/>
      <c r="G822" s="49"/>
      <c r="H822" s="49"/>
      <c r="I822" s="49"/>
      <c r="J822" s="49"/>
      <c r="K822" s="49"/>
      <c r="L822" s="49"/>
      <c r="M822" s="49"/>
      <c r="N822" s="49"/>
      <c r="O822" s="49"/>
      <c r="P822" s="49"/>
      <c r="Q822" s="49"/>
      <c r="R822" s="49"/>
      <c r="S822" s="49"/>
      <c r="T822" s="49"/>
      <c r="U822" s="49"/>
      <c r="V822" s="49"/>
      <c r="W822" s="49"/>
      <c r="X822" s="49"/>
      <c r="Y822" s="49"/>
      <c r="Z822" s="49"/>
    </row>
    <row r="823">
      <c r="A823" s="49"/>
      <c r="B823" s="49"/>
      <c r="C823" s="49"/>
      <c r="D823" s="49"/>
      <c r="E823" s="106"/>
      <c r="F823" s="49"/>
      <c r="G823" s="49"/>
      <c r="H823" s="49"/>
      <c r="I823" s="49"/>
      <c r="J823" s="49"/>
      <c r="K823" s="49"/>
      <c r="L823" s="49"/>
      <c r="M823" s="49"/>
      <c r="N823" s="49"/>
      <c r="O823" s="49"/>
      <c r="P823" s="49"/>
      <c r="Q823" s="49"/>
      <c r="R823" s="49"/>
      <c r="S823" s="49"/>
      <c r="T823" s="49"/>
      <c r="U823" s="49"/>
      <c r="V823" s="49"/>
      <c r="W823" s="49"/>
      <c r="X823" s="49"/>
      <c r="Y823" s="49"/>
      <c r="Z823" s="49"/>
    </row>
    <row r="824">
      <c r="A824" s="49"/>
      <c r="B824" s="49"/>
      <c r="C824" s="49"/>
      <c r="D824" s="49"/>
      <c r="E824" s="106"/>
      <c r="F824" s="49"/>
      <c r="G824" s="49"/>
      <c r="H824" s="49"/>
      <c r="I824" s="49"/>
      <c r="J824" s="49"/>
      <c r="K824" s="49"/>
      <c r="L824" s="49"/>
      <c r="M824" s="49"/>
      <c r="N824" s="49"/>
      <c r="O824" s="49"/>
      <c r="P824" s="49"/>
      <c r="Q824" s="49"/>
      <c r="R824" s="49"/>
      <c r="S824" s="49"/>
      <c r="T824" s="49"/>
      <c r="U824" s="49"/>
      <c r="V824" s="49"/>
      <c r="W824" s="49"/>
      <c r="X824" s="49"/>
      <c r="Y824" s="49"/>
      <c r="Z824" s="49"/>
    </row>
    <row r="825">
      <c r="A825" s="49"/>
      <c r="B825" s="49"/>
      <c r="C825" s="49"/>
      <c r="D825" s="49"/>
      <c r="E825" s="106"/>
      <c r="F825" s="49"/>
      <c r="G825" s="49"/>
      <c r="H825" s="49"/>
      <c r="I825" s="49"/>
      <c r="J825" s="49"/>
      <c r="K825" s="49"/>
      <c r="L825" s="49"/>
      <c r="M825" s="49"/>
      <c r="N825" s="49"/>
      <c r="O825" s="49"/>
      <c r="P825" s="49"/>
      <c r="Q825" s="49"/>
      <c r="R825" s="49"/>
      <c r="S825" s="49"/>
      <c r="T825" s="49"/>
      <c r="U825" s="49"/>
      <c r="V825" s="49"/>
      <c r="W825" s="49"/>
      <c r="X825" s="49"/>
      <c r="Y825" s="49"/>
      <c r="Z825" s="49"/>
    </row>
    <row r="826">
      <c r="A826" s="49"/>
      <c r="B826" s="49"/>
      <c r="C826" s="49"/>
      <c r="D826" s="49"/>
      <c r="E826" s="106"/>
      <c r="F826" s="49"/>
      <c r="G826" s="49"/>
      <c r="H826" s="49"/>
      <c r="I826" s="49"/>
      <c r="J826" s="49"/>
      <c r="K826" s="49"/>
      <c r="L826" s="49"/>
      <c r="M826" s="49"/>
      <c r="N826" s="49"/>
      <c r="O826" s="49"/>
      <c r="P826" s="49"/>
      <c r="Q826" s="49"/>
      <c r="R826" s="49"/>
      <c r="S826" s="49"/>
      <c r="T826" s="49"/>
      <c r="U826" s="49"/>
      <c r="V826" s="49"/>
      <c r="W826" s="49"/>
      <c r="X826" s="49"/>
      <c r="Y826" s="49"/>
      <c r="Z826" s="49"/>
    </row>
    <row r="827">
      <c r="A827" s="49"/>
      <c r="B827" s="49"/>
      <c r="C827" s="49"/>
      <c r="D827" s="49"/>
      <c r="E827" s="106"/>
      <c r="F827" s="49"/>
      <c r="G827" s="49"/>
      <c r="H827" s="49"/>
      <c r="I827" s="49"/>
      <c r="J827" s="49"/>
      <c r="K827" s="49"/>
      <c r="L827" s="49"/>
      <c r="M827" s="49"/>
      <c r="N827" s="49"/>
      <c r="O827" s="49"/>
      <c r="P827" s="49"/>
      <c r="Q827" s="49"/>
      <c r="R827" s="49"/>
      <c r="S827" s="49"/>
      <c r="T827" s="49"/>
      <c r="U827" s="49"/>
      <c r="V827" s="49"/>
      <c r="W827" s="49"/>
      <c r="X827" s="49"/>
      <c r="Y827" s="49"/>
      <c r="Z827" s="49"/>
    </row>
    <row r="828">
      <c r="A828" s="49"/>
      <c r="B828" s="49"/>
      <c r="C828" s="49"/>
      <c r="D828" s="49"/>
      <c r="E828" s="106"/>
      <c r="F828" s="49"/>
      <c r="G828" s="49"/>
      <c r="H828" s="49"/>
      <c r="I828" s="49"/>
      <c r="J828" s="49"/>
      <c r="K828" s="49"/>
      <c r="L828" s="49"/>
      <c r="M828" s="49"/>
      <c r="N828" s="49"/>
      <c r="O828" s="49"/>
      <c r="P828" s="49"/>
      <c r="Q828" s="49"/>
      <c r="R828" s="49"/>
      <c r="S828" s="49"/>
      <c r="T828" s="49"/>
      <c r="U828" s="49"/>
      <c r="V828" s="49"/>
      <c r="W828" s="49"/>
      <c r="X828" s="49"/>
      <c r="Y828" s="49"/>
      <c r="Z828" s="49"/>
    </row>
    <row r="829">
      <c r="A829" s="49"/>
      <c r="B829" s="49"/>
      <c r="C829" s="49"/>
      <c r="D829" s="49"/>
      <c r="E829" s="106"/>
      <c r="F829" s="49"/>
      <c r="G829" s="49"/>
      <c r="H829" s="49"/>
      <c r="I829" s="49"/>
      <c r="J829" s="49"/>
      <c r="K829" s="49"/>
      <c r="L829" s="49"/>
      <c r="M829" s="49"/>
      <c r="N829" s="49"/>
      <c r="O829" s="49"/>
      <c r="P829" s="49"/>
      <c r="Q829" s="49"/>
      <c r="R829" s="49"/>
      <c r="S829" s="49"/>
      <c r="T829" s="49"/>
      <c r="U829" s="49"/>
      <c r="V829" s="49"/>
      <c r="W829" s="49"/>
      <c r="X829" s="49"/>
      <c r="Y829" s="49"/>
      <c r="Z829" s="49"/>
    </row>
    <row r="830">
      <c r="A830" s="49"/>
      <c r="B830" s="49"/>
      <c r="C830" s="49"/>
      <c r="D830" s="49"/>
      <c r="E830" s="106"/>
      <c r="F830" s="49"/>
      <c r="G830" s="49"/>
      <c r="H830" s="49"/>
      <c r="I830" s="49"/>
      <c r="J830" s="49"/>
      <c r="K830" s="49"/>
      <c r="L830" s="49"/>
      <c r="M830" s="49"/>
      <c r="N830" s="49"/>
      <c r="O830" s="49"/>
      <c r="P830" s="49"/>
      <c r="Q830" s="49"/>
      <c r="R830" s="49"/>
      <c r="S830" s="49"/>
      <c r="T830" s="49"/>
      <c r="U830" s="49"/>
      <c r="V830" s="49"/>
      <c r="W830" s="49"/>
      <c r="X830" s="49"/>
      <c r="Y830" s="49"/>
      <c r="Z830" s="49"/>
    </row>
    <row r="831">
      <c r="A831" s="49"/>
      <c r="B831" s="49"/>
      <c r="C831" s="49"/>
      <c r="D831" s="49"/>
      <c r="E831" s="106"/>
      <c r="F831" s="49"/>
      <c r="G831" s="49"/>
      <c r="H831" s="49"/>
      <c r="I831" s="49"/>
      <c r="J831" s="49"/>
      <c r="K831" s="49"/>
      <c r="L831" s="49"/>
      <c r="M831" s="49"/>
      <c r="N831" s="49"/>
      <c r="O831" s="49"/>
      <c r="P831" s="49"/>
      <c r="Q831" s="49"/>
      <c r="R831" s="49"/>
      <c r="S831" s="49"/>
      <c r="T831" s="49"/>
      <c r="U831" s="49"/>
      <c r="V831" s="49"/>
      <c r="W831" s="49"/>
      <c r="X831" s="49"/>
      <c r="Y831" s="49"/>
      <c r="Z831" s="49"/>
    </row>
    <row r="832">
      <c r="A832" s="49"/>
      <c r="B832" s="49"/>
      <c r="C832" s="49"/>
      <c r="D832" s="49"/>
      <c r="E832" s="106"/>
      <c r="F832" s="49"/>
      <c r="G832" s="49"/>
      <c r="H832" s="49"/>
      <c r="I832" s="49"/>
      <c r="J832" s="49"/>
      <c r="K832" s="49"/>
      <c r="L832" s="49"/>
      <c r="M832" s="49"/>
      <c r="N832" s="49"/>
      <c r="O832" s="49"/>
      <c r="P832" s="49"/>
      <c r="Q832" s="49"/>
      <c r="R832" s="49"/>
      <c r="S832" s="49"/>
      <c r="T832" s="49"/>
      <c r="U832" s="49"/>
      <c r="V832" s="49"/>
      <c r="W832" s="49"/>
      <c r="X832" s="49"/>
      <c r="Y832" s="49"/>
      <c r="Z832" s="49"/>
    </row>
    <row r="833">
      <c r="A833" s="49"/>
      <c r="B833" s="49"/>
      <c r="C833" s="49"/>
      <c r="D833" s="49"/>
      <c r="E833" s="106"/>
      <c r="F833" s="49"/>
      <c r="G833" s="49"/>
      <c r="H833" s="49"/>
      <c r="I833" s="49"/>
      <c r="J833" s="49"/>
      <c r="K833" s="49"/>
      <c r="L833" s="49"/>
      <c r="M833" s="49"/>
      <c r="N833" s="49"/>
      <c r="O833" s="49"/>
      <c r="P833" s="49"/>
      <c r="Q833" s="49"/>
      <c r="R833" s="49"/>
      <c r="S833" s="49"/>
      <c r="T833" s="49"/>
      <c r="U833" s="49"/>
      <c r="V833" s="49"/>
      <c r="W833" s="49"/>
      <c r="X833" s="49"/>
      <c r="Y833" s="49"/>
      <c r="Z833" s="49"/>
    </row>
    <row r="834">
      <c r="A834" s="49"/>
      <c r="B834" s="49"/>
      <c r="C834" s="49"/>
      <c r="D834" s="49"/>
      <c r="E834" s="106"/>
      <c r="F834" s="49"/>
      <c r="G834" s="49"/>
      <c r="H834" s="49"/>
      <c r="I834" s="49"/>
      <c r="J834" s="49"/>
      <c r="K834" s="49"/>
      <c r="L834" s="49"/>
      <c r="M834" s="49"/>
      <c r="N834" s="49"/>
      <c r="O834" s="49"/>
      <c r="P834" s="49"/>
      <c r="Q834" s="49"/>
      <c r="R834" s="49"/>
      <c r="S834" s="49"/>
      <c r="T834" s="49"/>
      <c r="U834" s="49"/>
      <c r="V834" s="49"/>
      <c r="W834" s="49"/>
      <c r="X834" s="49"/>
      <c r="Y834" s="49"/>
      <c r="Z834" s="49"/>
    </row>
    <row r="835">
      <c r="A835" s="49"/>
      <c r="B835" s="49"/>
      <c r="C835" s="49"/>
      <c r="D835" s="49"/>
      <c r="E835" s="106"/>
      <c r="F835" s="49"/>
      <c r="G835" s="49"/>
      <c r="H835" s="49"/>
      <c r="I835" s="49"/>
      <c r="J835" s="49"/>
      <c r="K835" s="49"/>
      <c r="L835" s="49"/>
      <c r="M835" s="49"/>
      <c r="N835" s="49"/>
      <c r="O835" s="49"/>
      <c r="P835" s="49"/>
      <c r="Q835" s="49"/>
      <c r="R835" s="49"/>
      <c r="S835" s="49"/>
      <c r="T835" s="49"/>
      <c r="U835" s="49"/>
      <c r="V835" s="49"/>
      <c r="W835" s="49"/>
      <c r="X835" s="49"/>
      <c r="Y835" s="49"/>
      <c r="Z835" s="49"/>
    </row>
    <row r="836">
      <c r="A836" s="49"/>
      <c r="B836" s="49"/>
      <c r="C836" s="49"/>
      <c r="D836" s="49"/>
      <c r="E836" s="106"/>
      <c r="F836" s="49"/>
      <c r="G836" s="49"/>
      <c r="H836" s="49"/>
      <c r="I836" s="49"/>
      <c r="J836" s="49"/>
      <c r="K836" s="49"/>
      <c r="L836" s="49"/>
      <c r="M836" s="49"/>
      <c r="N836" s="49"/>
      <c r="O836" s="49"/>
      <c r="P836" s="49"/>
      <c r="Q836" s="49"/>
      <c r="R836" s="49"/>
      <c r="S836" s="49"/>
      <c r="T836" s="49"/>
      <c r="U836" s="49"/>
      <c r="V836" s="49"/>
      <c r="W836" s="49"/>
      <c r="X836" s="49"/>
      <c r="Y836" s="49"/>
      <c r="Z836" s="49"/>
    </row>
    <row r="837">
      <c r="A837" s="49"/>
      <c r="B837" s="49"/>
      <c r="C837" s="49"/>
      <c r="D837" s="49"/>
      <c r="E837" s="106"/>
      <c r="F837" s="49"/>
      <c r="G837" s="49"/>
      <c r="H837" s="49"/>
      <c r="I837" s="49"/>
      <c r="J837" s="49"/>
      <c r="K837" s="49"/>
      <c r="L837" s="49"/>
      <c r="M837" s="49"/>
      <c r="N837" s="49"/>
      <c r="O837" s="49"/>
      <c r="P837" s="49"/>
      <c r="Q837" s="49"/>
      <c r="R837" s="49"/>
      <c r="S837" s="49"/>
      <c r="T837" s="49"/>
      <c r="U837" s="49"/>
      <c r="V837" s="49"/>
      <c r="W837" s="49"/>
      <c r="X837" s="49"/>
      <c r="Y837" s="49"/>
      <c r="Z837" s="49"/>
    </row>
    <row r="838">
      <c r="A838" s="49"/>
      <c r="B838" s="49"/>
      <c r="C838" s="49"/>
      <c r="D838" s="49"/>
      <c r="E838" s="106"/>
      <c r="F838" s="49"/>
      <c r="G838" s="49"/>
      <c r="H838" s="49"/>
      <c r="I838" s="49"/>
      <c r="J838" s="49"/>
      <c r="K838" s="49"/>
      <c r="L838" s="49"/>
      <c r="M838" s="49"/>
      <c r="N838" s="49"/>
      <c r="O838" s="49"/>
      <c r="P838" s="49"/>
      <c r="Q838" s="49"/>
      <c r="R838" s="49"/>
      <c r="S838" s="49"/>
      <c r="T838" s="49"/>
      <c r="U838" s="49"/>
      <c r="V838" s="49"/>
      <c r="W838" s="49"/>
      <c r="X838" s="49"/>
      <c r="Y838" s="49"/>
      <c r="Z838" s="49"/>
    </row>
    <row r="839">
      <c r="A839" s="49"/>
      <c r="B839" s="49"/>
      <c r="C839" s="49"/>
      <c r="D839" s="49"/>
      <c r="E839" s="106"/>
      <c r="F839" s="49"/>
      <c r="G839" s="49"/>
      <c r="H839" s="49"/>
      <c r="I839" s="49"/>
      <c r="J839" s="49"/>
      <c r="K839" s="49"/>
      <c r="L839" s="49"/>
      <c r="M839" s="49"/>
      <c r="N839" s="49"/>
      <c r="O839" s="49"/>
      <c r="P839" s="49"/>
      <c r="Q839" s="49"/>
      <c r="R839" s="49"/>
      <c r="S839" s="49"/>
      <c r="T839" s="49"/>
      <c r="U839" s="49"/>
      <c r="V839" s="49"/>
      <c r="W839" s="49"/>
      <c r="X839" s="49"/>
      <c r="Y839" s="49"/>
      <c r="Z839" s="49"/>
    </row>
    <row r="840">
      <c r="A840" s="49"/>
      <c r="B840" s="49"/>
      <c r="C840" s="49"/>
      <c r="D840" s="49"/>
      <c r="E840" s="106"/>
      <c r="F840" s="49"/>
      <c r="G840" s="49"/>
      <c r="H840" s="49"/>
      <c r="I840" s="49"/>
      <c r="J840" s="49"/>
      <c r="K840" s="49"/>
      <c r="L840" s="49"/>
      <c r="M840" s="49"/>
      <c r="N840" s="49"/>
      <c r="O840" s="49"/>
      <c r="P840" s="49"/>
      <c r="Q840" s="49"/>
      <c r="R840" s="49"/>
      <c r="S840" s="49"/>
      <c r="T840" s="49"/>
      <c r="U840" s="49"/>
      <c r="V840" s="49"/>
      <c r="W840" s="49"/>
      <c r="X840" s="49"/>
      <c r="Y840" s="49"/>
      <c r="Z840" s="49"/>
    </row>
    <row r="841">
      <c r="A841" s="49"/>
      <c r="B841" s="49"/>
      <c r="C841" s="49"/>
      <c r="D841" s="49"/>
      <c r="E841" s="106"/>
      <c r="F841" s="49"/>
      <c r="G841" s="49"/>
      <c r="H841" s="49"/>
      <c r="I841" s="49"/>
      <c r="J841" s="49"/>
      <c r="K841" s="49"/>
      <c r="L841" s="49"/>
      <c r="M841" s="49"/>
      <c r="N841" s="49"/>
      <c r="O841" s="49"/>
      <c r="P841" s="49"/>
      <c r="Q841" s="49"/>
      <c r="R841" s="49"/>
      <c r="S841" s="49"/>
      <c r="T841" s="49"/>
      <c r="U841" s="49"/>
      <c r="V841" s="49"/>
      <c r="W841" s="49"/>
      <c r="X841" s="49"/>
      <c r="Y841" s="49"/>
      <c r="Z841" s="49"/>
    </row>
    <row r="842">
      <c r="A842" s="49"/>
      <c r="B842" s="49"/>
      <c r="C842" s="49"/>
      <c r="D842" s="49"/>
      <c r="E842" s="106"/>
      <c r="F842" s="49"/>
      <c r="G842" s="49"/>
      <c r="H842" s="49"/>
      <c r="I842" s="49"/>
      <c r="J842" s="49"/>
      <c r="K842" s="49"/>
      <c r="L842" s="49"/>
      <c r="M842" s="49"/>
      <c r="N842" s="49"/>
      <c r="O842" s="49"/>
      <c r="P842" s="49"/>
      <c r="Q842" s="49"/>
      <c r="R842" s="49"/>
      <c r="S842" s="49"/>
      <c r="T842" s="49"/>
      <c r="U842" s="49"/>
      <c r="V842" s="49"/>
      <c r="W842" s="49"/>
      <c r="X842" s="49"/>
      <c r="Y842" s="49"/>
      <c r="Z842" s="49"/>
    </row>
    <row r="843">
      <c r="A843" s="49"/>
      <c r="B843" s="49"/>
      <c r="C843" s="49"/>
      <c r="D843" s="49"/>
      <c r="E843" s="106"/>
      <c r="F843" s="49"/>
      <c r="G843" s="49"/>
      <c r="H843" s="49"/>
      <c r="I843" s="49"/>
      <c r="J843" s="49"/>
      <c r="K843" s="49"/>
      <c r="L843" s="49"/>
      <c r="M843" s="49"/>
      <c r="N843" s="49"/>
      <c r="O843" s="49"/>
      <c r="P843" s="49"/>
      <c r="Q843" s="49"/>
      <c r="R843" s="49"/>
      <c r="S843" s="49"/>
      <c r="T843" s="49"/>
      <c r="U843" s="49"/>
      <c r="V843" s="49"/>
      <c r="W843" s="49"/>
      <c r="X843" s="49"/>
      <c r="Y843" s="49"/>
      <c r="Z843" s="49"/>
    </row>
    <row r="844">
      <c r="A844" s="49"/>
      <c r="B844" s="49"/>
      <c r="C844" s="49"/>
      <c r="D844" s="49"/>
      <c r="E844" s="106"/>
      <c r="F844" s="49"/>
      <c r="G844" s="49"/>
      <c r="H844" s="49"/>
      <c r="I844" s="49"/>
      <c r="J844" s="49"/>
      <c r="K844" s="49"/>
      <c r="L844" s="49"/>
      <c r="M844" s="49"/>
      <c r="N844" s="49"/>
      <c r="O844" s="49"/>
      <c r="P844" s="49"/>
      <c r="Q844" s="49"/>
      <c r="R844" s="49"/>
      <c r="S844" s="49"/>
      <c r="T844" s="49"/>
      <c r="U844" s="49"/>
      <c r="V844" s="49"/>
      <c r="W844" s="49"/>
      <c r="X844" s="49"/>
      <c r="Y844" s="49"/>
      <c r="Z844" s="49"/>
    </row>
    <row r="845">
      <c r="A845" s="49"/>
      <c r="B845" s="49"/>
      <c r="C845" s="49"/>
      <c r="D845" s="49"/>
      <c r="E845" s="106"/>
      <c r="F845" s="49"/>
      <c r="G845" s="49"/>
      <c r="H845" s="49"/>
      <c r="I845" s="49"/>
      <c r="J845" s="49"/>
      <c r="K845" s="49"/>
      <c r="L845" s="49"/>
      <c r="M845" s="49"/>
      <c r="N845" s="49"/>
      <c r="O845" s="49"/>
      <c r="P845" s="49"/>
      <c r="Q845" s="49"/>
      <c r="R845" s="49"/>
      <c r="S845" s="49"/>
      <c r="T845" s="49"/>
      <c r="U845" s="49"/>
      <c r="V845" s="49"/>
      <c r="W845" s="49"/>
      <c r="X845" s="49"/>
      <c r="Y845" s="49"/>
      <c r="Z845" s="49"/>
    </row>
    <row r="846">
      <c r="A846" s="49"/>
      <c r="B846" s="49"/>
      <c r="C846" s="49"/>
      <c r="D846" s="49"/>
      <c r="E846" s="106"/>
      <c r="F846" s="49"/>
      <c r="G846" s="49"/>
      <c r="H846" s="49"/>
      <c r="I846" s="49"/>
      <c r="J846" s="49"/>
      <c r="K846" s="49"/>
      <c r="L846" s="49"/>
      <c r="M846" s="49"/>
      <c r="N846" s="49"/>
      <c r="O846" s="49"/>
      <c r="P846" s="49"/>
      <c r="Q846" s="49"/>
      <c r="R846" s="49"/>
      <c r="S846" s="49"/>
      <c r="T846" s="49"/>
      <c r="U846" s="49"/>
      <c r="V846" s="49"/>
      <c r="W846" s="49"/>
      <c r="X846" s="49"/>
      <c r="Y846" s="49"/>
      <c r="Z846" s="49"/>
    </row>
    <row r="847">
      <c r="A847" s="49"/>
      <c r="B847" s="49"/>
      <c r="C847" s="49"/>
      <c r="D847" s="49"/>
      <c r="E847" s="106"/>
      <c r="F847" s="49"/>
      <c r="G847" s="49"/>
      <c r="H847" s="49"/>
      <c r="I847" s="49"/>
      <c r="J847" s="49"/>
      <c r="K847" s="49"/>
      <c r="L847" s="49"/>
      <c r="M847" s="49"/>
      <c r="N847" s="49"/>
      <c r="O847" s="49"/>
      <c r="P847" s="49"/>
      <c r="Q847" s="49"/>
      <c r="R847" s="49"/>
      <c r="S847" s="49"/>
      <c r="T847" s="49"/>
      <c r="U847" s="49"/>
      <c r="V847" s="49"/>
      <c r="W847" s="49"/>
      <c r="X847" s="49"/>
      <c r="Y847" s="49"/>
      <c r="Z847" s="49"/>
    </row>
    <row r="848">
      <c r="A848" s="49"/>
      <c r="B848" s="49"/>
      <c r="C848" s="49"/>
      <c r="D848" s="49"/>
      <c r="E848" s="106"/>
      <c r="F848" s="49"/>
      <c r="G848" s="49"/>
      <c r="H848" s="49"/>
      <c r="I848" s="49"/>
      <c r="J848" s="49"/>
      <c r="K848" s="49"/>
      <c r="L848" s="49"/>
      <c r="M848" s="49"/>
      <c r="N848" s="49"/>
      <c r="O848" s="49"/>
      <c r="P848" s="49"/>
      <c r="Q848" s="49"/>
      <c r="R848" s="49"/>
      <c r="S848" s="49"/>
      <c r="T848" s="49"/>
      <c r="U848" s="49"/>
      <c r="V848" s="49"/>
      <c r="W848" s="49"/>
      <c r="X848" s="49"/>
      <c r="Y848" s="49"/>
      <c r="Z848" s="49"/>
    </row>
    <row r="849">
      <c r="A849" s="49"/>
      <c r="B849" s="49"/>
      <c r="C849" s="49"/>
      <c r="D849" s="49"/>
      <c r="E849" s="106"/>
      <c r="F849" s="49"/>
      <c r="G849" s="49"/>
      <c r="H849" s="49"/>
      <c r="I849" s="49"/>
      <c r="J849" s="49"/>
      <c r="K849" s="49"/>
      <c r="L849" s="49"/>
      <c r="M849" s="49"/>
      <c r="N849" s="49"/>
      <c r="O849" s="49"/>
      <c r="P849" s="49"/>
      <c r="Q849" s="49"/>
      <c r="R849" s="49"/>
      <c r="S849" s="49"/>
      <c r="T849" s="49"/>
      <c r="U849" s="49"/>
      <c r="V849" s="49"/>
      <c r="W849" s="49"/>
      <c r="X849" s="49"/>
      <c r="Y849" s="49"/>
      <c r="Z849" s="49"/>
    </row>
    <row r="850">
      <c r="A850" s="49"/>
      <c r="B850" s="49"/>
      <c r="C850" s="49"/>
      <c r="D850" s="49"/>
      <c r="E850" s="106"/>
      <c r="F850" s="49"/>
      <c r="G850" s="49"/>
      <c r="H850" s="49"/>
      <c r="I850" s="49"/>
      <c r="J850" s="49"/>
      <c r="K850" s="49"/>
      <c r="L850" s="49"/>
      <c r="M850" s="49"/>
      <c r="N850" s="49"/>
      <c r="O850" s="49"/>
      <c r="P850" s="49"/>
      <c r="Q850" s="49"/>
      <c r="R850" s="49"/>
      <c r="S850" s="49"/>
      <c r="T850" s="49"/>
      <c r="U850" s="49"/>
      <c r="V850" s="49"/>
      <c r="W850" s="49"/>
      <c r="X850" s="49"/>
      <c r="Y850" s="49"/>
      <c r="Z850" s="49"/>
    </row>
    <row r="851">
      <c r="A851" s="49"/>
      <c r="B851" s="49"/>
      <c r="C851" s="49"/>
      <c r="D851" s="49"/>
      <c r="E851" s="106"/>
      <c r="F851" s="49"/>
      <c r="G851" s="49"/>
      <c r="H851" s="49"/>
      <c r="I851" s="49"/>
      <c r="J851" s="49"/>
      <c r="K851" s="49"/>
      <c r="L851" s="49"/>
      <c r="M851" s="49"/>
      <c r="N851" s="49"/>
      <c r="O851" s="49"/>
      <c r="P851" s="49"/>
      <c r="Q851" s="49"/>
      <c r="R851" s="49"/>
      <c r="S851" s="49"/>
      <c r="T851" s="49"/>
      <c r="U851" s="49"/>
      <c r="V851" s="49"/>
      <c r="W851" s="49"/>
      <c r="X851" s="49"/>
      <c r="Y851" s="49"/>
      <c r="Z851" s="49"/>
    </row>
    <row r="852">
      <c r="A852" s="49"/>
      <c r="B852" s="49"/>
      <c r="C852" s="49"/>
      <c r="D852" s="49"/>
      <c r="E852" s="106"/>
      <c r="F852" s="49"/>
      <c r="G852" s="49"/>
      <c r="H852" s="49"/>
      <c r="I852" s="49"/>
      <c r="J852" s="49"/>
      <c r="K852" s="49"/>
      <c r="L852" s="49"/>
      <c r="M852" s="49"/>
      <c r="N852" s="49"/>
      <c r="O852" s="49"/>
      <c r="P852" s="49"/>
      <c r="Q852" s="49"/>
      <c r="R852" s="49"/>
      <c r="S852" s="49"/>
      <c r="T852" s="49"/>
      <c r="U852" s="49"/>
      <c r="V852" s="49"/>
      <c r="W852" s="49"/>
      <c r="X852" s="49"/>
      <c r="Y852" s="49"/>
      <c r="Z852" s="49"/>
    </row>
    <row r="853">
      <c r="A853" s="49"/>
      <c r="B853" s="49"/>
      <c r="C853" s="49"/>
      <c r="D853" s="49"/>
      <c r="E853" s="106"/>
      <c r="F853" s="49"/>
      <c r="G853" s="49"/>
      <c r="H853" s="49"/>
      <c r="I853" s="49"/>
      <c r="J853" s="49"/>
      <c r="K853" s="49"/>
      <c r="L853" s="49"/>
      <c r="M853" s="49"/>
      <c r="N853" s="49"/>
      <c r="O853" s="49"/>
      <c r="P853" s="49"/>
      <c r="Q853" s="49"/>
      <c r="R853" s="49"/>
      <c r="S853" s="49"/>
      <c r="T853" s="49"/>
      <c r="U853" s="49"/>
      <c r="V853" s="49"/>
      <c r="W853" s="49"/>
      <c r="X853" s="49"/>
      <c r="Y853" s="49"/>
      <c r="Z853" s="49"/>
    </row>
    <row r="854">
      <c r="A854" s="49"/>
      <c r="B854" s="49"/>
      <c r="C854" s="49"/>
      <c r="D854" s="49"/>
      <c r="E854" s="106"/>
      <c r="F854" s="49"/>
      <c r="G854" s="49"/>
      <c r="H854" s="49"/>
      <c r="I854" s="49"/>
      <c r="J854" s="49"/>
      <c r="K854" s="49"/>
      <c r="L854" s="49"/>
      <c r="M854" s="49"/>
      <c r="N854" s="49"/>
      <c r="O854" s="49"/>
      <c r="P854" s="49"/>
      <c r="Q854" s="49"/>
      <c r="R854" s="49"/>
      <c r="S854" s="49"/>
      <c r="T854" s="49"/>
      <c r="U854" s="49"/>
      <c r="V854" s="49"/>
      <c r="W854" s="49"/>
      <c r="X854" s="49"/>
      <c r="Y854" s="49"/>
      <c r="Z854" s="49"/>
    </row>
    <row r="855">
      <c r="A855" s="49"/>
      <c r="B855" s="49"/>
      <c r="C855" s="49"/>
      <c r="D855" s="49"/>
      <c r="E855" s="106"/>
      <c r="F855" s="49"/>
      <c r="G855" s="49"/>
      <c r="H855" s="49"/>
      <c r="I855" s="49"/>
      <c r="J855" s="49"/>
      <c r="K855" s="49"/>
      <c r="L855" s="49"/>
      <c r="M855" s="49"/>
      <c r="N855" s="49"/>
      <c r="O855" s="49"/>
      <c r="P855" s="49"/>
      <c r="Q855" s="49"/>
      <c r="R855" s="49"/>
      <c r="S855" s="49"/>
      <c r="T855" s="49"/>
      <c r="U855" s="49"/>
      <c r="V855" s="49"/>
      <c r="W855" s="49"/>
      <c r="X855" s="49"/>
      <c r="Y855" s="49"/>
      <c r="Z855" s="49"/>
    </row>
    <row r="856">
      <c r="A856" s="49"/>
      <c r="B856" s="49"/>
      <c r="C856" s="49"/>
      <c r="D856" s="49"/>
      <c r="E856" s="106"/>
      <c r="F856" s="49"/>
      <c r="G856" s="49"/>
      <c r="H856" s="49"/>
      <c r="I856" s="49"/>
      <c r="J856" s="49"/>
      <c r="K856" s="49"/>
      <c r="L856" s="49"/>
      <c r="M856" s="49"/>
      <c r="N856" s="49"/>
      <c r="O856" s="49"/>
      <c r="P856" s="49"/>
      <c r="Q856" s="49"/>
      <c r="R856" s="49"/>
      <c r="S856" s="49"/>
      <c r="T856" s="49"/>
      <c r="U856" s="49"/>
      <c r="V856" s="49"/>
      <c r="W856" s="49"/>
      <c r="X856" s="49"/>
      <c r="Y856" s="49"/>
      <c r="Z856" s="49"/>
    </row>
    <row r="857">
      <c r="A857" s="49"/>
      <c r="B857" s="49"/>
      <c r="C857" s="49"/>
      <c r="D857" s="49"/>
      <c r="E857" s="106"/>
      <c r="F857" s="49"/>
      <c r="G857" s="49"/>
      <c r="H857" s="49"/>
      <c r="I857" s="49"/>
      <c r="J857" s="49"/>
      <c r="K857" s="49"/>
      <c r="L857" s="49"/>
      <c r="M857" s="49"/>
      <c r="N857" s="49"/>
      <c r="O857" s="49"/>
      <c r="P857" s="49"/>
      <c r="Q857" s="49"/>
      <c r="R857" s="49"/>
      <c r="S857" s="49"/>
      <c r="T857" s="49"/>
      <c r="U857" s="49"/>
      <c r="V857" s="49"/>
      <c r="W857" s="49"/>
      <c r="X857" s="49"/>
      <c r="Y857" s="49"/>
      <c r="Z857" s="49"/>
    </row>
    <row r="858">
      <c r="A858" s="49"/>
      <c r="B858" s="49"/>
      <c r="C858" s="49"/>
      <c r="D858" s="49"/>
      <c r="E858" s="106"/>
      <c r="F858" s="49"/>
      <c r="G858" s="49"/>
      <c r="H858" s="49"/>
      <c r="I858" s="49"/>
      <c r="J858" s="49"/>
      <c r="K858" s="49"/>
      <c r="L858" s="49"/>
      <c r="M858" s="49"/>
      <c r="N858" s="49"/>
      <c r="O858" s="49"/>
      <c r="P858" s="49"/>
      <c r="Q858" s="49"/>
      <c r="R858" s="49"/>
      <c r="S858" s="49"/>
      <c r="T858" s="49"/>
      <c r="U858" s="49"/>
      <c r="V858" s="49"/>
      <c r="W858" s="49"/>
      <c r="X858" s="49"/>
      <c r="Y858" s="49"/>
      <c r="Z858" s="49"/>
    </row>
    <row r="859">
      <c r="A859" s="49"/>
      <c r="B859" s="49"/>
      <c r="C859" s="49"/>
      <c r="D859" s="49"/>
      <c r="E859" s="106"/>
      <c r="F859" s="49"/>
      <c r="G859" s="49"/>
      <c r="H859" s="49"/>
      <c r="I859" s="49"/>
      <c r="J859" s="49"/>
      <c r="K859" s="49"/>
      <c r="L859" s="49"/>
      <c r="M859" s="49"/>
      <c r="N859" s="49"/>
      <c r="O859" s="49"/>
      <c r="P859" s="49"/>
      <c r="Q859" s="49"/>
      <c r="R859" s="49"/>
      <c r="S859" s="49"/>
      <c r="T859" s="49"/>
      <c r="U859" s="49"/>
      <c r="V859" s="49"/>
      <c r="W859" s="49"/>
      <c r="X859" s="49"/>
      <c r="Y859" s="49"/>
      <c r="Z859" s="49"/>
    </row>
    <row r="860">
      <c r="A860" s="49"/>
      <c r="B860" s="49"/>
      <c r="C860" s="49"/>
      <c r="D860" s="49"/>
      <c r="E860" s="106"/>
      <c r="F860" s="49"/>
      <c r="G860" s="49"/>
      <c r="H860" s="49"/>
      <c r="I860" s="49"/>
      <c r="J860" s="49"/>
      <c r="K860" s="49"/>
      <c r="L860" s="49"/>
      <c r="M860" s="49"/>
      <c r="N860" s="49"/>
      <c r="O860" s="49"/>
      <c r="P860" s="49"/>
      <c r="Q860" s="49"/>
      <c r="R860" s="49"/>
      <c r="S860" s="49"/>
      <c r="T860" s="49"/>
      <c r="U860" s="49"/>
      <c r="V860" s="49"/>
      <c r="W860" s="49"/>
      <c r="X860" s="49"/>
      <c r="Y860" s="49"/>
      <c r="Z860" s="49"/>
    </row>
    <row r="861">
      <c r="A861" s="49"/>
      <c r="B861" s="49"/>
      <c r="C861" s="49"/>
      <c r="D861" s="49"/>
      <c r="E861" s="106"/>
      <c r="F861" s="49"/>
      <c r="G861" s="49"/>
      <c r="H861" s="49"/>
      <c r="I861" s="49"/>
      <c r="J861" s="49"/>
      <c r="K861" s="49"/>
      <c r="L861" s="49"/>
      <c r="M861" s="49"/>
      <c r="N861" s="49"/>
      <c r="O861" s="49"/>
      <c r="P861" s="49"/>
      <c r="Q861" s="49"/>
      <c r="R861" s="49"/>
      <c r="S861" s="49"/>
      <c r="T861" s="49"/>
      <c r="U861" s="49"/>
      <c r="V861" s="49"/>
      <c r="W861" s="49"/>
      <c r="X861" s="49"/>
      <c r="Y861" s="49"/>
      <c r="Z861" s="49"/>
    </row>
    <row r="862">
      <c r="A862" s="49"/>
      <c r="B862" s="49"/>
      <c r="C862" s="49"/>
      <c r="D862" s="49"/>
      <c r="E862" s="106"/>
      <c r="F862" s="49"/>
      <c r="G862" s="49"/>
      <c r="H862" s="49"/>
      <c r="I862" s="49"/>
      <c r="J862" s="49"/>
      <c r="K862" s="49"/>
      <c r="L862" s="49"/>
      <c r="M862" s="49"/>
      <c r="N862" s="49"/>
      <c r="O862" s="49"/>
      <c r="P862" s="49"/>
      <c r="Q862" s="49"/>
      <c r="R862" s="49"/>
      <c r="S862" s="49"/>
      <c r="T862" s="49"/>
      <c r="U862" s="49"/>
      <c r="V862" s="49"/>
      <c r="W862" s="49"/>
      <c r="X862" s="49"/>
      <c r="Y862" s="49"/>
      <c r="Z862" s="49"/>
    </row>
    <row r="863">
      <c r="A863" s="49"/>
      <c r="B863" s="49"/>
      <c r="C863" s="49"/>
      <c r="D863" s="49"/>
      <c r="E863" s="106"/>
      <c r="F863" s="49"/>
      <c r="G863" s="49"/>
      <c r="H863" s="49"/>
      <c r="I863" s="49"/>
      <c r="J863" s="49"/>
      <c r="K863" s="49"/>
      <c r="L863" s="49"/>
      <c r="M863" s="49"/>
      <c r="N863" s="49"/>
      <c r="O863" s="49"/>
      <c r="P863" s="49"/>
      <c r="Q863" s="49"/>
      <c r="R863" s="49"/>
      <c r="S863" s="49"/>
      <c r="T863" s="49"/>
      <c r="U863" s="49"/>
      <c r="V863" s="49"/>
      <c r="W863" s="49"/>
      <c r="X863" s="49"/>
      <c r="Y863" s="49"/>
      <c r="Z863" s="49"/>
    </row>
    <row r="864">
      <c r="A864" s="49"/>
      <c r="B864" s="49"/>
      <c r="C864" s="49"/>
      <c r="D864" s="49"/>
      <c r="E864" s="106"/>
      <c r="F864" s="49"/>
      <c r="G864" s="49"/>
      <c r="H864" s="49"/>
      <c r="I864" s="49"/>
      <c r="J864" s="49"/>
      <c r="K864" s="49"/>
      <c r="L864" s="49"/>
      <c r="M864" s="49"/>
      <c r="N864" s="49"/>
      <c r="O864" s="49"/>
      <c r="P864" s="49"/>
      <c r="Q864" s="49"/>
      <c r="R864" s="49"/>
      <c r="S864" s="49"/>
      <c r="T864" s="49"/>
      <c r="U864" s="49"/>
      <c r="V864" s="49"/>
      <c r="W864" s="49"/>
      <c r="X864" s="49"/>
      <c r="Y864" s="49"/>
      <c r="Z864" s="49"/>
    </row>
    <row r="865">
      <c r="A865" s="49"/>
      <c r="B865" s="49"/>
      <c r="C865" s="49"/>
      <c r="D865" s="49"/>
      <c r="E865" s="106"/>
      <c r="F865" s="49"/>
      <c r="G865" s="49"/>
      <c r="H865" s="49"/>
      <c r="I865" s="49"/>
      <c r="J865" s="49"/>
      <c r="K865" s="49"/>
      <c r="L865" s="49"/>
      <c r="M865" s="49"/>
      <c r="N865" s="49"/>
      <c r="O865" s="49"/>
      <c r="P865" s="49"/>
      <c r="Q865" s="49"/>
      <c r="R865" s="49"/>
      <c r="S865" s="49"/>
      <c r="T865" s="49"/>
      <c r="U865" s="49"/>
      <c r="V865" s="49"/>
      <c r="W865" s="49"/>
      <c r="X865" s="49"/>
      <c r="Y865" s="49"/>
      <c r="Z865" s="49"/>
    </row>
    <row r="866">
      <c r="A866" s="49"/>
      <c r="B866" s="49"/>
      <c r="C866" s="49"/>
      <c r="D866" s="49"/>
      <c r="E866" s="106"/>
      <c r="F866" s="49"/>
      <c r="G866" s="49"/>
      <c r="H866" s="49"/>
      <c r="I866" s="49"/>
      <c r="J866" s="49"/>
      <c r="K866" s="49"/>
      <c r="L866" s="49"/>
      <c r="M866" s="49"/>
      <c r="N866" s="49"/>
      <c r="O866" s="49"/>
      <c r="P866" s="49"/>
      <c r="Q866" s="49"/>
      <c r="R866" s="49"/>
      <c r="S866" s="49"/>
      <c r="T866" s="49"/>
      <c r="U866" s="49"/>
      <c r="V866" s="49"/>
      <c r="W866" s="49"/>
      <c r="X866" s="49"/>
      <c r="Y866" s="49"/>
      <c r="Z866" s="49"/>
    </row>
    <row r="867">
      <c r="A867" s="49"/>
      <c r="B867" s="49"/>
      <c r="C867" s="49"/>
      <c r="D867" s="49"/>
      <c r="E867" s="106"/>
      <c r="F867" s="49"/>
      <c r="G867" s="49"/>
      <c r="H867" s="49"/>
      <c r="I867" s="49"/>
      <c r="J867" s="49"/>
      <c r="K867" s="49"/>
      <c r="L867" s="49"/>
      <c r="M867" s="49"/>
      <c r="N867" s="49"/>
      <c r="O867" s="49"/>
      <c r="P867" s="49"/>
      <c r="Q867" s="49"/>
      <c r="R867" s="49"/>
      <c r="S867" s="49"/>
      <c r="T867" s="49"/>
      <c r="U867" s="49"/>
      <c r="V867" s="49"/>
      <c r="W867" s="49"/>
      <c r="X867" s="49"/>
      <c r="Y867" s="49"/>
      <c r="Z867" s="49"/>
    </row>
    <row r="868">
      <c r="A868" s="49"/>
      <c r="B868" s="49"/>
      <c r="C868" s="49"/>
      <c r="D868" s="49"/>
      <c r="E868" s="106"/>
      <c r="F868" s="49"/>
      <c r="G868" s="49"/>
      <c r="H868" s="49"/>
      <c r="I868" s="49"/>
      <c r="J868" s="49"/>
      <c r="K868" s="49"/>
      <c r="L868" s="49"/>
      <c r="M868" s="49"/>
      <c r="N868" s="49"/>
      <c r="O868" s="49"/>
      <c r="P868" s="49"/>
      <c r="Q868" s="49"/>
      <c r="R868" s="49"/>
      <c r="S868" s="49"/>
      <c r="T868" s="49"/>
      <c r="U868" s="49"/>
      <c r="V868" s="49"/>
      <c r="W868" s="49"/>
      <c r="X868" s="49"/>
      <c r="Y868" s="49"/>
      <c r="Z868" s="49"/>
    </row>
    <row r="869">
      <c r="A869" s="49"/>
      <c r="B869" s="49"/>
      <c r="C869" s="49"/>
      <c r="D869" s="49"/>
      <c r="E869" s="106"/>
      <c r="F869" s="49"/>
      <c r="G869" s="49"/>
      <c r="H869" s="49"/>
      <c r="I869" s="49"/>
      <c r="J869" s="49"/>
      <c r="K869" s="49"/>
      <c r="L869" s="49"/>
      <c r="M869" s="49"/>
      <c r="N869" s="49"/>
      <c r="O869" s="49"/>
      <c r="P869" s="49"/>
      <c r="Q869" s="49"/>
      <c r="R869" s="49"/>
      <c r="S869" s="49"/>
      <c r="T869" s="49"/>
      <c r="U869" s="49"/>
      <c r="V869" s="49"/>
      <c r="W869" s="49"/>
      <c r="X869" s="49"/>
      <c r="Y869" s="49"/>
      <c r="Z869" s="49"/>
    </row>
    <row r="870">
      <c r="A870" s="49"/>
      <c r="B870" s="49"/>
      <c r="C870" s="49"/>
      <c r="D870" s="49"/>
      <c r="E870" s="106"/>
      <c r="F870" s="49"/>
      <c r="G870" s="49"/>
      <c r="H870" s="49"/>
      <c r="I870" s="49"/>
      <c r="J870" s="49"/>
      <c r="K870" s="49"/>
      <c r="L870" s="49"/>
      <c r="M870" s="49"/>
      <c r="N870" s="49"/>
      <c r="O870" s="49"/>
      <c r="P870" s="49"/>
      <c r="Q870" s="49"/>
      <c r="R870" s="49"/>
      <c r="S870" s="49"/>
      <c r="T870" s="49"/>
      <c r="U870" s="49"/>
      <c r="V870" s="49"/>
      <c r="W870" s="49"/>
      <c r="X870" s="49"/>
      <c r="Y870" s="49"/>
      <c r="Z870" s="49"/>
    </row>
    <row r="871">
      <c r="A871" s="49"/>
      <c r="B871" s="49"/>
      <c r="C871" s="49"/>
      <c r="D871" s="49"/>
      <c r="E871" s="106"/>
      <c r="F871" s="49"/>
      <c r="G871" s="49"/>
      <c r="H871" s="49"/>
      <c r="I871" s="49"/>
      <c r="J871" s="49"/>
      <c r="K871" s="49"/>
      <c r="L871" s="49"/>
      <c r="M871" s="49"/>
      <c r="N871" s="49"/>
      <c r="O871" s="49"/>
      <c r="P871" s="49"/>
      <c r="Q871" s="49"/>
      <c r="R871" s="49"/>
      <c r="S871" s="49"/>
      <c r="T871" s="49"/>
      <c r="U871" s="49"/>
      <c r="V871" s="49"/>
      <c r="W871" s="49"/>
      <c r="X871" s="49"/>
      <c r="Y871" s="49"/>
      <c r="Z871" s="49"/>
    </row>
    <row r="872">
      <c r="A872" s="49"/>
      <c r="B872" s="49"/>
      <c r="C872" s="49"/>
      <c r="D872" s="49"/>
      <c r="E872" s="106"/>
      <c r="F872" s="49"/>
      <c r="G872" s="49"/>
      <c r="H872" s="49"/>
      <c r="I872" s="49"/>
      <c r="J872" s="49"/>
      <c r="K872" s="49"/>
      <c r="L872" s="49"/>
      <c r="M872" s="49"/>
      <c r="N872" s="49"/>
      <c r="O872" s="49"/>
      <c r="P872" s="49"/>
      <c r="Q872" s="49"/>
      <c r="R872" s="49"/>
      <c r="S872" s="49"/>
      <c r="T872" s="49"/>
      <c r="U872" s="49"/>
      <c r="V872" s="49"/>
      <c r="W872" s="49"/>
      <c r="X872" s="49"/>
      <c r="Y872" s="49"/>
      <c r="Z872" s="49"/>
    </row>
    <row r="873">
      <c r="A873" s="49"/>
      <c r="B873" s="49"/>
      <c r="C873" s="49"/>
      <c r="D873" s="49"/>
      <c r="E873" s="106"/>
      <c r="F873" s="49"/>
      <c r="G873" s="49"/>
      <c r="H873" s="49"/>
      <c r="I873" s="49"/>
      <c r="J873" s="49"/>
      <c r="K873" s="49"/>
      <c r="L873" s="49"/>
      <c r="M873" s="49"/>
      <c r="N873" s="49"/>
      <c r="O873" s="49"/>
      <c r="P873" s="49"/>
      <c r="Q873" s="49"/>
      <c r="R873" s="49"/>
      <c r="S873" s="49"/>
      <c r="T873" s="49"/>
      <c r="U873" s="49"/>
      <c r="V873" s="49"/>
      <c r="W873" s="49"/>
      <c r="X873" s="49"/>
      <c r="Y873" s="49"/>
      <c r="Z873" s="49"/>
    </row>
    <row r="874">
      <c r="A874" s="49"/>
      <c r="B874" s="49"/>
      <c r="C874" s="49"/>
      <c r="D874" s="49"/>
      <c r="E874" s="106"/>
      <c r="F874" s="49"/>
      <c r="G874" s="49"/>
      <c r="H874" s="49"/>
      <c r="I874" s="49"/>
      <c r="J874" s="49"/>
      <c r="K874" s="49"/>
      <c r="L874" s="49"/>
      <c r="M874" s="49"/>
      <c r="N874" s="49"/>
      <c r="O874" s="49"/>
      <c r="P874" s="49"/>
      <c r="Q874" s="49"/>
      <c r="R874" s="49"/>
      <c r="S874" s="49"/>
      <c r="T874" s="49"/>
      <c r="U874" s="49"/>
      <c r="V874" s="49"/>
      <c r="W874" s="49"/>
      <c r="X874" s="49"/>
      <c r="Y874" s="49"/>
      <c r="Z874" s="49"/>
    </row>
    <row r="875">
      <c r="A875" s="49"/>
      <c r="B875" s="49"/>
      <c r="C875" s="49"/>
      <c r="D875" s="49"/>
      <c r="E875" s="106"/>
      <c r="F875" s="49"/>
      <c r="G875" s="49"/>
      <c r="H875" s="49"/>
      <c r="I875" s="49"/>
      <c r="J875" s="49"/>
      <c r="K875" s="49"/>
      <c r="L875" s="49"/>
      <c r="M875" s="49"/>
      <c r="N875" s="49"/>
      <c r="O875" s="49"/>
      <c r="P875" s="49"/>
      <c r="Q875" s="49"/>
      <c r="R875" s="49"/>
      <c r="S875" s="49"/>
      <c r="T875" s="49"/>
      <c r="U875" s="49"/>
      <c r="V875" s="49"/>
      <c r="W875" s="49"/>
      <c r="X875" s="49"/>
      <c r="Y875" s="49"/>
      <c r="Z875" s="49"/>
    </row>
    <row r="876">
      <c r="A876" s="49"/>
      <c r="B876" s="49"/>
      <c r="C876" s="49"/>
      <c r="D876" s="49"/>
      <c r="E876" s="106"/>
      <c r="F876" s="49"/>
      <c r="G876" s="49"/>
      <c r="H876" s="49"/>
      <c r="I876" s="49"/>
      <c r="J876" s="49"/>
      <c r="K876" s="49"/>
      <c r="L876" s="49"/>
      <c r="M876" s="49"/>
      <c r="N876" s="49"/>
      <c r="O876" s="49"/>
      <c r="P876" s="49"/>
      <c r="Q876" s="49"/>
      <c r="R876" s="49"/>
      <c r="S876" s="49"/>
      <c r="T876" s="49"/>
      <c r="U876" s="49"/>
      <c r="V876" s="49"/>
      <c r="W876" s="49"/>
      <c r="X876" s="49"/>
      <c r="Y876" s="49"/>
      <c r="Z876" s="49"/>
    </row>
    <row r="877">
      <c r="A877" s="49"/>
      <c r="B877" s="49"/>
      <c r="C877" s="49"/>
      <c r="D877" s="49"/>
      <c r="E877" s="106"/>
      <c r="F877" s="49"/>
      <c r="G877" s="49"/>
      <c r="H877" s="49"/>
      <c r="I877" s="49"/>
      <c r="J877" s="49"/>
      <c r="K877" s="49"/>
      <c r="L877" s="49"/>
      <c r="M877" s="49"/>
      <c r="N877" s="49"/>
      <c r="O877" s="49"/>
      <c r="P877" s="49"/>
      <c r="Q877" s="49"/>
      <c r="R877" s="49"/>
      <c r="S877" s="49"/>
      <c r="T877" s="49"/>
      <c r="U877" s="49"/>
      <c r="V877" s="49"/>
      <c r="W877" s="49"/>
      <c r="X877" s="49"/>
      <c r="Y877" s="49"/>
      <c r="Z877" s="49"/>
    </row>
    <row r="878">
      <c r="A878" s="49"/>
      <c r="B878" s="49"/>
      <c r="C878" s="49"/>
      <c r="D878" s="49"/>
      <c r="E878" s="106"/>
      <c r="F878" s="49"/>
      <c r="G878" s="49"/>
      <c r="H878" s="49"/>
      <c r="I878" s="49"/>
      <c r="J878" s="49"/>
      <c r="K878" s="49"/>
      <c r="L878" s="49"/>
      <c r="M878" s="49"/>
      <c r="N878" s="49"/>
      <c r="O878" s="49"/>
      <c r="P878" s="49"/>
      <c r="Q878" s="49"/>
      <c r="R878" s="49"/>
      <c r="S878" s="49"/>
      <c r="T878" s="49"/>
      <c r="U878" s="49"/>
      <c r="V878" s="49"/>
      <c r="W878" s="49"/>
      <c r="X878" s="49"/>
      <c r="Y878" s="49"/>
      <c r="Z878" s="49"/>
    </row>
    <row r="879">
      <c r="A879" s="49"/>
      <c r="B879" s="49"/>
      <c r="C879" s="49"/>
      <c r="D879" s="49"/>
      <c r="E879" s="106"/>
      <c r="F879" s="49"/>
      <c r="G879" s="49"/>
      <c r="H879" s="49"/>
      <c r="I879" s="49"/>
      <c r="J879" s="49"/>
      <c r="K879" s="49"/>
      <c r="L879" s="49"/>
      <c r="M879" s="49"/>
      <c r="N879" s="49"/>
      <c r="O879" s="49"/>
      <c r="P879" s="49"/>
      <c r="Q879" s="49"/>
      <c r="R879" s="49"/>
      <c r="S879" s="49"/>
      <c r="T879" s="49"/>
      <c r="U879" s="49"/>
      <c r="V879" s="49"/>
      <c r="W879" s="49"/>
      <c r="X879" s="49"/>
      <c r="Y879" s="49"/>
      <c r="Z879" s="49"/>
    </row>
    <row r="880">
      <c r="A880" s="49"/>
      <c r="B880" s="49"/>
      <c r="C880" s="49"/>
      <c r="D880" s="49"/>
      <c r="E880" s="106"/>
      <c r="F880" s="49"/>
      <c r="G880" s="49"/>
      <c r="H880" s="49"/>
      <c r="I880" s="49"/>
      <c r="J880" s="49"/>
      <c r="K880" s="49"/>
      <c r="L880" s="49"/>
      <c r="M880" s="49"/>
      <c r="N880" s="49"/>
      <c r="O880" s="49"/>
      <c r="P880" s="49"/>
      <c r="Q880" s="49"/>
      <c r="R880" s="49"/>
      <c r="S880" s="49"/>
      <c r="T880" s="49"/>
      <c r="U880" s="49"/>
      <c r="V880" s="49"/>
      <c r="W880" s="49"/>
      <c r="X880" s="49"/>
      <c r="Y880" s="49"/>
      <c r="Z880" s="49"/>
    </row>
    <row r="881">
      <c r="A881" s="49"/>
      <c r="B881" s="49"/>
      <c r="C881" s="49"/>
      <c r="D881" s="49"/>
      <c r="E881" s="106"/>
      <c r="F881" s="49"/>
      <c r="G881" s="49"/>
      <c r="H881" s="49"/>
      <c r="I881" s="49"/>
      <c r="J881" s="49"/>
      <c r="K881" s="49"/>
      <c r="L881" s="49"/>
      <c r="M881" s="49"/>
      <c r="N881" s="49"/>
      <c r="O881" s="49"/>
      <c r="P881" s="49"/>
      <c r="Q881" s="49"/>
      <c r="R881" s="49"/>
      <c r="S881" s="49"/>
      <c r="T881" s="49"/>
      <c r="U881" s="49"/>
      <c r="V881" s="49"/>
      <c r="W881" s="49"/>
      <c r="X881" s="49"/>
      <c r="Y881" s="49"/>
      <c r="Z881" s="49"/>
    </row>
    <row r="882">
      <c r="A882" s="49"/>
      <c r="B882" s="49"/>
      <c r="C882" s="49"/>
      <c r="D882" s="49"/>
      <c r="E882" s="106"/>
      <c r="F882" s="49"/>
      <c r="G882" s="49"/>
      <c r="H882" s="49"/>
      <c r="I882" s="49"/>
      <c r="J882" s="49"/>
      <c r="K882" s="49"/>
      <c r="L882" s="49"/>
      <c r="M882" s="49"/>
      <c r="N882" s="49"/>
      <c r="O882" s="49"/>
      <c r="P882" s="49"/>
      <c r="Q882" s="49"/>
      <c r="R882" s="49"/>
      <c r="S882" s="49"/>
      <c r="T882" s="49"/>
      <c r="U882" s="49"/>
      <c r="V882" s="49"/>
      <c r="W882" s="49"/>
      <c r="X882" s="49"/>
      <c r="Y882" s="49"/>
      <c r="Z882" s="49"/>
    </row>
    <row r="883">
      <c r="A883" s="49"/>
      <c r="B883" s="49"/>
      <c r="C883" s="49"/>
      <c r="D883" s="49"/>
      <c r="E883" s="106"/>
      <c r="F883" s="49"/>
      <c r="G883" s="49"/>
      <c r="H883" s="49"/>
      <c r="I883" s="49"/>
      <c r="J883" s="49"/>
      <c r="K883" s="49"/>
      <c r="L883" s="49"/>
      <c r="M883" s="49"/>
      <c r="N883" s="49"/>
      <c r="O883" s="49"/>
      <c r="P883" s="49"/>
      <c r="Q883" s="49"/>
      <c r="R883" s="49"/>
      <c r="S883" s="49"/>
      <c r="T883" s="49"/>
      <c r="U883" s="49"/>
      <c r="V883" s="49"/>
      <c r="W883" s="49"/>
      <c r="X883" s="49"/>
      <c r="Y883" s="49"/>
      <c r="Z883" s="49"/>
    </row>
    <row r="884">
      <c r="A884" s="49"/>
      <c r="B884" s="49"/>
      <c r="C884" s="49"/>
      <c r="D884" s="49"/>
      <c r="E884" s="106"/>
      <c r="F884" s="49"/>
      <c r="G884" s="49"/>
      <c r="H884" s="49"/>
      <c r="I884" s="49"/>
      <c r="J884" s="49"/>
      <c r="K884" s="49"/>
      <c r="L884" s="49"/>
      <c r="M884" s="49"/>
      <c r="N884" s="49"/>
      <c r="O884" s="49"/>
      <c r="P884" s="49"/>
      <c r="Q884" s="49"/>
      <c r="R884" s="49"/>
      <c r="S884" s="49"/>
      <c r="T884" s="49"/>
      <c r="U884" s="49"/>
      <c r="V884" s="49"/>
      <c r="W884" s="49"/>
      <c r="X884" s="49"/>
      <c r="Y884" s="49"/>
      <c r="Z884" s="49"/>
    </row>
    <row r="885">
      <c r="A885" s="49"/>
      <c r="B885" s="49"/>
      <c r="C885" s="49"/>
      <c r="D885" s="49"/>
      <c r="E885" s="106"/>
      <c r="F885" s="49"/>
      <c r="G885" s="49"/>
      <c r="H885" s="49"/>
      <c r="I885" s="49"/>
      <c r="J885" s="49"/>
      <c r="K885" s="49"/>
      <c r="L885" s="49"/>
      <c r="M885" s="49"/>
      <c r="N885" s="49"/>
      <c r="O885" s="49"/>
      <c r="P885" s="49"/>
      <c r="Q885" s="49"/>
      <c r="R885" s="49"/>
      <c r="S885" s="49"/>
      <c r="T885" s="49"/>
      <c r="U885" s="49"/>
      <c r="V885" s="49"/>
      <c r="W885" s="49"/>
      <c r="X885" s="49"/>
      <c r="Y885" s="49"/>
      <c r="Z885" s="49"/>
    </row>
    <row r="886">
      <c r="A886" s="49"/>
      <c r="B886" s="49"/>
      <c r="C886" s="49"/>
      <c r="D886" s="49"/>
      <c r="E886" s="106"/>
      <c r="F886" s="49"/>
      <c r="G886" s="49"/>
      <c r="H886" s="49"/>
      <c r="I886" s="49"/>
      <c r="J886" s="49"/>
      <c r="K886" s="49"/>
      <c r="L886" s="49"/>
      <c r="M886" s="49"/>
      <c r="N886" s="49"/>
      <c r="O886" s="49"/>
      <c r="P886" s="49"/>
      <c r="Q886" s="49"/>
      <c r="R886" s="49"/>
      <c r="S886" s="49"/>
      <c r="T886" s="49"/>
      <c r="U886" s="49"/>
      <c r="V886" s="49"/>
      <c r="W886" s="49"/>
      <c r="X886" s="49"/>
      <c r="Y886" s="49"/>
      <c r="Z886" s="49"/>
    </row>
    <row r="887">
      <c r="A887" s="49"/>
      <c r="B887" s="49"/>
      <c r="C887" s="49"/>
      <c r="D887" s="49"/>
      <c r="E887" s="106"/>
      <c r="F887" s="49"/>
      <c r="G887" s="49"/>
      <c r="H887" s="49"/>
      <c r="I887" s="49"/>
      <c r="J887" s="49"/>
      <c r="K887" s="49"/>
      <c r="L887" s="49"/>
      <c r="M887" s="49"/>
      <c r="N887" s="49"/>
      <c r="O887" s="49"/>
      <c r="P887" s="49"/>
      <c r="Q887" s="49"/>
      <c r="R887" s="49"/>
      <c r="S887" s="49"/>
      <c r="T887" s="49"/>
      <c r="U887" s="49"/>
      <c r="V887" s="49"/>
      <c r="W887" s="49"/>
      <c r="X887" s="49"/>
      <c r="Y887" s="49"/>
      <c r="Z887" s="49"/>
    </row>
    <row r="888">
      <c r="A888" s="49"/>
      <c r="B888" s="49"/>
      <c r="C888" s="49"/>
      <c r="D888" s="49"/>
      <c r="E888" s="106"/>
      <c r="F888" s="49"/>
      <c r="G888" s="49"/>
      <c r="H888" s="49"/>
      <c r="I888" s="49"/>
      <c r="J888" s="49"/>
      <c r="K888" s="49"/>
      <c r="L888" s="49"/>
      <c r="M888" s="49"/>
      <c r="N888" s="49"/>
      <c r="O888" s="49"/>
      <c r="P888" s="49"/>
      <c r="Q888" s="49"/>
      <c r="R888" s="49"/>
      <c r="S888" s="49"/>
      <c r="T888" s="49"/>
      <c r="U888" s="49"/>
      <c r="V888" s="49"/>
      <c r="W888" s="49"/>
      <c r="X888" s="49"/>
      <c r="Y888" s="49"/>
      <c r="Z888" s="49"/>
    </row>
    <row r="889">
      <c r="A889" s="49"/>
      <c r="B889" s="49"/>
      <c r="C889" s="49"/>
      <c r="D889" s="49"/>
      <c r="E889" s="106"/>
      <c r="F889" s="49"/>
      <c r="G889" s="49"/>
      <c r="H889" s="49"/>
      <c r="I889" s="49"/>
      <c r="J889" s="49"/>
      <c r="K889" s="49"/>
      <c r="L889" s="49"/>
      <c r="M889" s="49"/>
      <c r="N889" s="49"/>
      <c r="O889" s="49"/>
      <c r="P889" s="49"/>
      <c r="Q889" s="49"/>
      <c r="R889" s="49"/>
      <c r="S889" s="49"/>
      <c r="T889" s="49"/>
      <c r="U889" s="49"/>
      <c r="V889" s="49"/>
      <c r="W889" s="49"/>
      <c r="X889" s="49"/>
      <c r="Y889" s="49"/>
      <c r="Z889" s="49"/>
    </row>
    <row r="890">
      <c r="A890" s="49"/>
      <c r="B890" s="49"/>
      <c r="C890" s="49"/>
      <c r="D890" s="49"/>
      <c r="E890" s="106"/>
      <c r="F890" s="49"/>
      <c r="G890" s="49"/>
      <c r="H890" s="49"/>
      <c r="I890" s="49"/>
      <c r="J890" s="49"/>
      <c r="K890" s="49"/>
      <c r="L890" s="49"/>
      <c r="M890" s="49"/>
      <c r="N890" s="49"/>
      <c r="O890" s="49"/>
      <c r="P890" s="49"/>
      <c r="Q890" s="49"/>
      <c r="R890" s="49"/>
      <c r="S890" s="49"/>
      <c r="T890" s="49"/>
      <c r="U890" s="49"/>
      <c r="V890" s="49"/>
      <c r="W890" s="49"/>
      <c r="X890" s="49"/>
      <c r="Y890" s="49"/>
      <c r="Z890" s="49"/>
    </row>
    <row r="891">
      <c r="A891" s="49"/>
      <c r="B891" s="49"/>
      <c r="C891" s="49"/>
      <c r="D891" s="49"/>
      <c r="E891" s="106"/>
      <c r="F891" s="49"/>
      <c r="G891" s="49"/>
      <c r="H891" s="49"/>
      <c r="I891" s="49"/>
      <c r="J891" s="49"/>
      <c r="K891" s="49"/>
      <c r="L891" s="49"/>
      <c r="M891" s="49"/>
      <c r="N891" s="49"/>
      <c r="O891" s="49"/>
      <c r="P891" s="49"/>
      <c r="Q891" s="49"/>
      <c r="R891" s="49"/>
      <c r="S891" s="49"/>
      <c r="T891" s="49"/>
      <c r="U891" s="49"/>
      <c r="V891" s="49"/>
      <c r="W891" s="49"/>
      <c r="X891" s="49"/>
      <c r="Y891" s="49"/>
      <c r="Z891" s="49"/>
    </row>
    <row r="892">
      <c r="A892" s="49"/>
      <c r="B892" s="49"/>
      <c r="C892" s="49"/>
      <c r="D892" s="49"/>
      <c r="E892" s="106"/>
      <c r="F892" s="49"/>
      <c r="G892" s="49"/>
      <c r="H892" s="49"/>
      <c r="I892" s="49"/>
      <c r="J892" s="49"/>
      <c r="K892" s="49"/>
      <c r="L892" s="49"/>
      <c r="M892" s="49"/>
      <c r="N892" s="49"/>
      <c r="O892" s="49"/>
      <c r="P892" s="49"/>
      <c r="Q892" s="49"/>
      <c r="R892" s="49"/>
      <c r="S892" s="49"/>
      <c r="T892" s="49"/>
      <c r="U892" s="49"/>
      <c r="V892" s="49"/>
      <c r="W892" s="49"/>
      <c r="X892" s="49"/>
      <c r="Y892" s="49"/>
      <c r="Z892" s="49"/>
    </row>
    <row r="893">
      <c r="A893" s="49"/>
      <c r="B893" s="49"/>
      <c r="C893" s="49"/>
      <c r="D893" s="49"/>
      <c r="E893" s="106"/>
      <c r="F893" s="49"/>
      <c r="G893" s="49"/>
      <c r="H893" s="49"/>
      <c r="I893" s="49"/>
      <c r="J893" s="49"/>
      <c r="K893" s="49"/>
      <c r="L893" s="49"/>
      <c r="M893" s="49"/>
      <c r="N893" s="49"/>
      <c r="O893" s="49"/>
      <c r="P893" s="49"/>
      <c r="Q893" s="49"/>
      <c r="R893" s="49"/>
      <c r="S893" s="49"/>
      <c r="T893" s="49"/>
      <c r="U893" s="49"/>
      <c r="V893" s="49"/>
      <c r="W893" s="49"/>
      <c r="X893" s="49"/>
      <c r="Y893" s="49"/>
      <c r="Z893" s="49"/>
    </row>
    <row r="894">
      <c r="A894" s="49"/>
      <c r="B894" s="49"/>
      <c r="C894" s="49"/>
      <c r="D894" s="49"/>
      <c r="E894" s="106"/>
      <c r="F894" s="49"/>
      <c r="G894" s="49"/>
      <c r="H894" s="49"/>
      <c r="I894" s="49"/>
      <c r="J894" s="49"/>
      <c r="K894" s="49"/>
      <c r="L894" s="49"/>
      <c r="M894" s="49"/>
      <c r="N894" s="49"/>
      <c r="O894" s="49"/>
      <c r="P894" s="49"/>
      <c r="Q894" s="49"/>
      <c r="R894" s="49"/>
      <c r="S894" s="49"/>
      <c r="T894" s="49"/>
      <c r="U894" s="49"/>
      <c r="V894" s="49"/>
      <c r="W894" s="49"/>
      <c r="X894" s="49"/>
      <c r="Y894" s="49"/>
      <c r="Z894" s="49"/>
    </row>
    <row r="895">
      <c r="A895" s="49"/>
      <c r="B895" s="49"/>
      <c r="C895" s="49"/>
      <c r="D895" s="49"/>
      <c r="E895" s="106"/>
      <c r="F895" s="49"/>
      <c r="G895" s="49"/>
      <c r="H895" s="49"/>
      <c r="I895" s="49"/>
      <c r="J895" s="49"/>
      <c r="K895" s="49"/>
      <c r="L895" s="49"/>
      <c r="M895" s="49"/>
      <c r="N895" s="49"/>
      <c r="O895" s="49"/>
      <c r="P895" s="49"/>
      <c r="Q895" s="49"/>
      <c r="R895" s="49"/>
      <c r="S895" s="49"/>
      <c r="T895" s="49"/>
      <c r="U895" s="49"/>
      <c r="V895" s="49"/>
      <c r="W895" s="49"/>
      <c r="X895" s="49"/>
      <c r="Y895" s="49"/>
      <c r="Z895" s="49"/>
    </row>
    <row r="896">
      <c r="A896" s="49"/>
      <c r="B896" s="49"/>
      <c r="C896" s="49"/>
      <c r="D896" s="49"/>
      <c r="E896" s="106"/>
      <c r="F896" s="49"/>
      <c r="G896" s="49"/>
      <c r="H896" s="49"/>
      <c r="I896" s="49"/>
      <c r="J896" s="49"/>
      <c r="K896" s="49"/>
      <c r="L896" s="49"/>
      <c r="M896" s="49"/>
      <c r="N896" s="49"/>
      <c r="O896" s="49"/>
      <c r="P896" s="49"/>
      <c r="Q896" s="49"/>
      <c r="R896" s="49"/>
      <c r="S896" s="49"/>
      <c r="T896" s="49"/>
      <c r="U896" s="49"/>
      <c r="V896" s="49"/>
      <c r="W896" s="49"/>
      <c r="X896" s="49"/>
      <c r="Y896" s="49"/>
      <c r="Z896" s="49"/>
    </row>
    <row r="897">
      <c r="A897" s="49"/>
      <c r="B897" s="49"/>
      <c r="C897" s="49"/>
      <c r="D897" s="49"/>
      <c r="E897" s="106"/>
      <c r="F897" s="49"/>
      <c r="G897" s="49"/>
      <c r="H897" s="49"/>
      <c r="I897" s="49"/>
      <c r="J897" s="49"/>
      <c r="K897" s="49"/>
      <c r="L897" s="49"/>
      <c r="M897" s="49"/>
      <c r="N897" s="49"/>
      <c r="O897" s="49"/>
      <c r="P897" s="49"/>
      <c r="Q897" s="49"/>
      <c r="R897" s="49"/>
      <c r="S897" s="49"/>
      <c r="T897" s="49"/>
      <c r="U897" s="49"/>
      <c r="V897" s="49"/>
      <c r="W897" s="49"/>
      <c r="X897" s="49"/>
      <c r="Y897" s="49"/>
      <c r="Z897" s="49"/>
    </row>
    <row r="898">
      <c r="A898" s="49"/>
      <c r="B898" s="49"/>
      <c r="C898" s="49"/>
      <c r="D898" s="49"/>
      <c r="E898" s="106"/>
      <c r="F898" s="49"/>
      <c r="G898" s="49"/>
      <c r="H898" s="49"/>
      <c r="I898" s="49"/>
      <c r="J898" s="49"/>
      <c r="K898" s="49"/>
      <c r="L898" s="49"/>
      <c r="M898" s="49"/>
      <c r="N898" s="49"/>
      <c r="O898" s="49"/>
      <c r="P898" s="49"/>
      <c r="Q898" s="49"/>
      <c r="R898" s="49"/>
      <c r="S898" s="49"/>
      <c r="T898" s="49"/>
      <c r="U898" s="49"/>
      <c r="V898" s="49"/>
      <c r="W898" s="49"/>
      <c r="X898" s="49"/>
      <c r="Y898" s="49"/>
      <c r="Z898" s="49"/>
    </row>
    <row r="899">
      <c r="A899" s="49"/>
      <c r="B899" s="49"/>
      <c r="C899" s="49"/>
      <c r="D899" s="49"/>
      <c r="E899" s="106"/>
      <c r="F899" s="49"/>
      <c r="G899" s="49"/>
      <c r="H899" s="49"/>
      <c r="I899" s="49"/>
      <c r="J899" s="49"/>
      <c r="K899" s="49"/>
      <c r="L899" s="49"/>
      <c r="M899" s="49"/>
      <c r="N899" s="49"/>
      <c r="O899" s="49"/>
      <c r="P899" s="49"/>
      <c r="Q899" s="49"/>
      <c r="R899" s="49"/>
      <c r="S899" s="49"/>
      <c r="T899" s="49"/>
      <c r="U899" s="49"/>
      <c r="V899" s="49"/>
      <c r="W899" s="49"/>
      <c r="X899" s="49"/>
      <c r="Y899" s="49"/>
      <c r="Z899" s="49"/>
    </row>
    <row r="900">
      <c r="A900" s="49"/>
      <c r="B900" s="49"/>
      <c r="C900" s="49"/>
      <c r="D900" s="49"/>
      <c r="E900" s="106"/>
      <c r="F900" s="49"/>
      <c r="G900" s="49"/>
      <c r="H900" s="49"/>
      <c r="I900" s="49"/>
      <c r="J900" s="49"/>
      <c r="K900" s="49"/>
      <c r="L900" s="49"/>
      <c r="M900" s="49"/>
      <c r="N900" s="49"/>
      <c r="O900" s="49"/>
      <c r="P900" s="49"/>
      <c r="Q900" s="49"/>
      <c r="R900" s="49"/>
      <c r="S900" s="49"/>
      <c r="T900" s="49"/>
      <c r="U900" s="49"/>
      <c r="V900" s="49"/>
      <c r="W900" s="49"/>
      <c r="X900" s="49"/>
      <c r="Y900" s="49"/>
      <c r="Z900" s="49"/>
    </row>
    <row r="901">
      <c r="A901" s="49"/>
      <c r="B901" s="49"/>
      <c r="C901" s="49"/>
      <c r="D901" s="49"/>
      <c r="E901" s="106"/>
      <c r="F901" s="49"/>
      <c r="G901" s="49"/>
      <c r="H901" s="49"/>
      <c r="I901" s="49"/>
      <c r="J901" s="49"/>
      <c r="K901" s="49"/>
      <c r="L901" s="49"/>
      <c r="M901" s="49"/>
      <c r="N901" s="49"/>
      <c r="O901" s="49"/>
      <c r="P901" s="49"/>
      <c r="Q901" s="49"/>
      <c r="R901" s="49"/>
      <c r="S901" s="49"/>
      <c r="T901" s="49"/>
      <c r="U901" s="49"/>
      <c r="V901" s="49"/>
      <c r="W901" s="49"/>
      <c r="X901" s="49"/>
      <c r="Y901" s="49"/>
      <c r="Z901" s="49"/>
    </row>
    <row r="902">
      <c r="A902" s="49"/>
      <c r="B902" s="49"/>
      <c r="C902" s="49"/>
      <c r="D902" s="49"/>
      <c r="E902" s="106"/>
      <c r="F902" s="49"/>
      <c r="G902" s="49"/>
      <c r="H902" s="49"/>
      <c r="I902" s="49"/>
      <c r="J902" s="49"/>
      <c r="K902" s="49"/>
      <c r="L902" s="49"/>
      <c r="M902" s="49"/>
      <c r="N902" s="49"/>
      <c r="O902" s="49"/>
      <c r="P902" s="49"/>
      <c r="Q902" s="49"/>
      <c r="R902" s="49"/>
      <c r="S902" s="49"/>
      <c r="T902" s="49"/>
      <c r="U902" s="49"/>
      <c r="V902" s="49"/>
      <c r="W902" s="49"/>
      <c r="X902" s="49"/>
      <c r="Y902" s="49"/>
      <c r="Z902" s="49"/>
    </row>
    <row r="903">
      <c r="A903" s="49"/>
      <c r="B903" s="49"/>
      <c r="C903" s="49"/>
      <c r="D903" s="49"/>
      <c r="E903" s="106"/>
      <c r="F903" s="49"/>
      <c r="G903" s="49"/>
      <c r="H903" s="49"/>
      <c r="I903" s="49"/>
      <c r="J903" s="49"/>
      <c r="K903" s="49"/>
      <c r="L903" s="49"/>
      <c r="M903" s="49"/>
      <c r="N903" s="49"/>
      <c r="O903" s="49"/>
      <c r="P903" s="49"/>
      <c r="Q903" s="49"/>
      <c r="R903" s="49"/>
      <c r="S903" s="49"/>
      <c r="T903" s="49"/>
      <c r="U903" s="49"/>
      <c r="V903" s="49"/>
      <c r="W903" s="49"/>
      <c r="X903" s="49"/>
      <c r="Y903" s="49"/>
      <c r="Z903" s="49"/>
    </row>
    <row r="904">
      <c r="A904" s="49"/>
      <c r="B904" s="49"/>
      <c r="C904" s="49"/>
      <c r="D904" s="49"/>
      <c r="E904" s="106"/>
      <c r="F904" s="49"/>
      <c r="G904" s="49"/>
      <c r="H904" s="49"/>
      <c r="I904" s="49"/>
      <c r="J904" s="49"/>
      <c r="K904" s="49"/>
      <c r="L904" s="49"/>
      <c r="M904" s="49"/>
      <c r="N904" s="49"/>
      <c r="O904" s="49"/>
      <c r="P904" s="49"/>
      <c r="Q904" s="49"/>
      <c r="R904" s="49"/>
      <c r="S904" s="49"/>
      <c r="T904" s="49"/>
      <c r="U904" s="49"/>
      <c r="V904" s="49"/>
      <c r="W904" s="49"/>
      <c r="X904" s="49"/>
      <c r="Y904" s="49"/>
      <c r="Z904" s="49"/>
    </row>
    <row r="905">
      <c r="A905" s="49"/>
      <c r="B905" s="49"/>
      <c r="C905" s="49"/>
      <c r="D905" s="49"/>
      <c r="E905" s="106"/>
      <c r="F905" s="49"/>
      <c r="G905" s="49"/>
      <c r="H905" s="49"/>
      <c r="I905" s="49"/>
      <c r="J905" s="49"/>
      <c r="K905" s="49"/>
      <c r="L905" s="49"/>
      <c r="M905" s="49"/>
      <c r="N905" s="49"/>
      <c r="O905" s="49"/>
      <c r="P905" s="49"/>
      <c r="Q905" s="49"/>
      <c r="R905" s="49"/>
      <c r="S905" s="49"/>
      <c r="T905" s="49"/>
      <c r="U905" s="49"/>
      <c r="V905" s="49"/>
      <c r="W905" s="49"/>
      <c r="X905" s="49"/>
      <c r="Y905" s="49"/>
      <c r="Z905" s="49"/>
    </row>
    <row r="906">
      <c r="A906" s="49"/>
      <c r="B906" s="49"/>
      <c r="C906" s="49"/>
      <c r="D906" s="49"/>
      <c r="E906" s="106"/>
      <c r="F906" s="49"/>
      <c r="G906" s="49"/>
      <c r="H906" s="49"/>
      <c r="I906" s="49"/>
      <c r="J906" s="49"/>
      <c r="K906" s="49"/>
      <c r="L906" s="49"/>
      <c r="M906" s="49"/>
      <c r="N906" s="49"/>
      <c r="O906" s="49"/>
      <c r="P906" s="49"/>
      <c r="Q906" s="49"/>
      <c r="R906" s="49"/>
      <c r="S906" s="49"/>
      <c r="T906" s="49"/>
      <c r="U906" s="49"/>
      <c r="V906" s="49"/>
      <c r="W906" s="49"/>
      <c r="X906" s="49"/>
      <c r="Y906" s="49"/>
      <c r="Z906" s="49"/>
    </row>
    <row r="907">
      <c r="A907" s="49"/>
      <c r="B907" s="49"/>
      <c r="C907" s="49"/>
      <c r="D907" s="49"/>
      <c r="E907" s="106"/>
      <c r="F907" s="49"/>
      <c r="G907" s="49"/>
      <c r="H907" s="49"/>
      <c r="I907" s="49"/>
      <c r="J907" s="49"/>
      <c r="K907" s="49"/>
      <c r="L907" s="49"/>
      <c r="M907" s="49"/>
      <c r="N907" s="49"/>
      <c r="O907" s="49"/>
      <c r="P907" s="49"/>
      <c r="Q907" s="49"/>
      <c r="R907" s="49"/>
      <c r="S907" s="49"/>
      <c r="T907" s="49"/>
      <c r="U907" s="49"/>
      <c r="V907" s="49"/>
      <c r="W907" s="49"/>
      <c r="X907" s="49"/>
      <c r="Y907" s="49"/>
      <c r="Z907" s="49"/>
    </row>
    <row r="908">
      <c r="A908" s="49"/>
      <c r="B908" s="49"/>
      <c r="C908" s="49"/>
      <c r="D908" s="49"/>
      <c r="E908" s="106"/>
      <c r="F908" s="49"/>
      <c r="G908" s="49"/>
      <c r="H908" s="49"/>
      <c r="I908" s="49"/>
      <c r="J908" s="49"/>
      <c r="K908" s="49"/>
      <c r="L908" s="49"/>
      <c r="M908" s="49"/>
      <c r="N908" s="49"/>
      <c r="O908" s="49"/>
      <c r="P908" s="49"/>
      <c r="Q908" s="49"/>
      <c r="R908" s="49"/>
      <c r="S908" s="49"/>
      <c r="T908" s="49"/>
      <c r="U908" s="49"/>
      <c r="V908" s="49"/>
      <c r="W908" s="49"/>
      <c r="X908" s="49"/>
      <c r="Y908" s="49"/>
      <c r="Z908" s="49"/>
    </row>
    <row r="909">
      <c r="A909" s="49"/>
      <c r="B909" s="49"/>
      <c r="C909" s="49"/>
      <c r="D909" s="49"/>
      <c r="E909" s="106"/>
      <c r="F909" s="49"/>
      <c r="G909" s="49"/>
      <c r="H909" s="49"/>
      <c r="I909" s="49"/>
      <c r="J909" s="49"/>
      <c r="K909" s="49"/>
      <c r="L909" s="49"/>
      <c r="M909" s="49"/>
      <c r="N909" s="49"/>
      <c r="O909" s="49"/>
      <c r="P909" s="49"/>
      <c r="Q909" s="49"/>
      <c r="R909" s="49"/>
      <c r="S909" s="49"/>
      <c r="T909" s="49"/>
      <c r="U909" s="49"/>
      <c r="V909" s="49"/>
      <c r="W909" s="49"/>
      <c r="X909" s="49"/>
      <c r="Y909" s="49"/>
      <c r="Z909" s="49"/>
    </row>
    <row r="910">
      <c r="A910" s="49"/>
      <c r="B910" s="49"/>
      <c r="C910" s="49"/>
      <c r="D910" s="49"/>
      <c r="E910" s="106"/>
      <c r="F910" s="49"/>
      <c r="G910" s="49"/>
      <c r="H910" s="49"/>
      <c r="I910" s="49"/>
      <c r="J910" s="49"/>
      <c r="K910" s="49"/>
      <c r="L910" s="49"/>
      <c r="M910" s="49"/>
      <c r="N910" s="49"/>
      <c r="O910" s="49"/>
      <c r="P910" s="49"/>
      <c r="Q910" s="49"/>
      <c r="R910" s="49"/>
      <c r="S910" s="49"/>
      <c r="T910" s="49"/>
      <c r="U910" s="49"/>
      <c r="V910" s="49"/>
      <c r="W910" s="49"/>
      <c r="X910" s="49"/>
      <c r="Y910" s="49"/>
      <c r="Z910" s="49"/>
    </row>
    <row r="911">
      <c r="A911" s="49"/>
      <c r="B911" s="49"/>
      <c r="C911" s="49"/>
      <c r="D911" s="49"/>
      <c r="E911" s="106"/>
      <c r="F911" s="49"/>
      <c r="G911" s="49"/>
      <c r="H911" s="49"/>
      <c r="I911" s="49"/>
      <c r="J911" s="49"/>
      <c r="K911" s="49"/>
      <c r="L911" s="49"/>
      <c r="M911" s="49"/>
      <c r="N911" s="49"/>
      <c r="O911" s="49"/>
      <c r="P911" s="49"/>
      <c r="Q911" s="49"/>
      <c r="R911" s="49"/>
      <c r="S911" s="49"/>
      <c r="T911" s="49"/>
      <c r="U911" s="49"/>
      <c r="V911" s="49"/>
      <c r="W911" s="49"/>
      <c r="X911" s="49"/>
      <c r="Y911" s="49"/>
      <c r="Z911" s="49"/>
    </row>
    <row r="912">
      <c r="A912" s="49"/>
      <c r="B912" s="49"/>
      <c r="C912" s="49"/>
      <c r="D912" s="49"/>
      <c r="E912" s="106"/>
      <c r="F912" s="49"/>
      <c r="G912" s="49"/>
      <c r="H912" s="49"/>
      <c r="I912" s="49"/>
      <c r="J912" s="49"/>
      <c r="K912" s="49"/>
      <c r="L912" s="49"/>
      <c r="M912" s="49"/>
      <c r="N912" s="49"/>
      <c r="O912" s="49"/>
      <c r="P912" s="49"/>
      <c r="Q912" s="49"/>
      <c r="R912" s="49"/>
      <c r="S912" s="49"/>
      <c r="T912" s="49"/>
      <c r="U912" s="49"/>
      <c r="V912" s="49"/>
      <c r="W912" s="49"/>
      <c r="X912" s="49"/>
      <c r="Y912" s="49"/>
      <c r="Z912" s="49"/>
    </row>
    <row r="913">
      <c r="A913" s="49"/>
      <c r="B913" s="49"/>
      <c r="C913" s="49"/>
      <c r="D913" s="49"/>
      <c r="E913" s="106"/>
      <c r="F913" s="49"/>
      <c r="G913" s="49"/>
      <c r="H913" s="49"/>
      <c r="I913" s="49"/>
      <c r="J913" s="49"/>
      <c r="K913" s="49"/>
      <c r="L913" s="49"/>
      <c r="M913" s="49"/>
      <c r="N913" s="49"/>
      <c r="O913" s="49"/>
      <c r="P913" s="49"/>
      <c r="Q913" s="49"/>
      <c r="R913" s="49"/>
      <c r="S913" s="49"/>
      <c r="T913" s="49"/>
      <c r="U913" s="49"/>
      <c r="V913" s="49"/>
      <c r="W913" s="49"/>
      <c r="X913" s="49"/>
      <c r="Y913" s="49"/>
      <c r="Z913" s="49"/>
    </row>
    <row r="914">
      <c r="A914" s="49"/>
      <c r="B914" s="49"/>
      <c r="C914" s="49"/>
      <c r="D914" s="49"/>
      <c r="E914" s="106"/>
      <c r="F914" s="49"/>
      <c r="G914" s="49"/>
      <c r="H914" s="49"/>
      <c r="I914" s="49"/>
      <c r="J914" s="49"/>
      <c r="K914" s="49"/>
      <c r="L914" s="49"/>
      <c r="M914" s="49"/>
      <c r="N914" s="49"/>
      <c r="O914" s="49"/>
      <c r="P914" s="49"/>
      <c r="Q914" s="49"/>
      <c r="R914" s="49"/>
      <c r="S914" s="49"/>
      <c r="T914" s="49"/>
      <c r="U914" s="49"/>
      <c r="V914" s="49"/>
      <c r="W914" s="49"/>
      <c r="X914" s="49"/>
      <c r="Y914" s="49"/>
      <c r="Z914" s="49"/>
    </row>
    <row r="915">
      <c r="A915" s="49"/>
      <c r="B915" s="49"/>
      <c r="C915" s="49"/>
      <c r="D915" s="49"/>
      <c r="E915" s="106"/>
      <c r="F915" s="49"/>
      <c r="G915" s="49"/>
      <c r="H915" s="49"/>
      <c r="I915" s="49"/>
      <c r="J915" s="49"/>
      <c r="K915" s="49"/>
      <c r="L915" s="49"/>
      <c r="M915" s="49"/>
      <c r="N915" s="49"/>
      <c r="O915" s="49"/>
      <c r="P915" s="49"/>
      <c r="Q915" s="49"/>
      <c r="R915" s="49"/>
      <c r="S915" s="49"/>
      <c r="T915" s="49"/>
      <c r="U915" s="49"/>
      <c r="V915" s="49"/>
      <c r="W915" s="49"/>
      <c r="X915" s="49"/>
      <c r="Y915" s="49"/>
      <c r="Z915" s="49"/>
    </row>
    <row r="916">
      <c r="A916" s="49"/>
      <c r="B916" s="49"/>
      <c r="C916" s="49"/>
      <c r="D916" s="49"/>
      <c r="E916" s="106"/>
      <c r="F916" s="49"/>
      <c r="G916" s="49"/>
      <c r="H916" s="49"/>
      <c r="I916" s="49"/>
      <c r="J916" s="49"/>
      <c r="K916" s="49"/>
      <c r="L916" s="49"/>
      <c r="M916" s="49"/>
      <c r="N916" s="49"/>
      <c r="O916" s="49"/>
      <c r="P916" s="49"/>
      <c r="Q916" s="49"/>
      <c r="R916" s="49"/>
      <c r="S916" s="49"/>
      <c r="T916" s="49"/>
      <c r="U916" s="49"/>
      <c r="V916" s="49"/>
      <c r="W916" s="49"/>
      <c r="X916" s="49"/>
      <c r="Y916" s="49"/>
      <c r="Z916" s="49"/>
    </row>
    <row r="917">
      <c r="A917" s="49"/>
      <c r="B917" s="49"/>
      <c r="C917" s="49"/>
      <c r="D917" s="49"/>
      <c r="E917" s="106"/>
      <c r="F917" s="49"/>
      <c r="G917" s="49"/>
      <c r="H917" s="49"/>
      <c r="I917" s="49"/>
      <c r="J917" s="49"/>
      <c r="K917" s="49"/>
      <c r="L917" s="49"/>
      <c r="M917" s="49"/>
      <c r="N917" s="49"/>
      <c r="O917" s="49"/>
      <c r="P917" s="49"/>
      <c r="Q917" s="49"/>
      <c r="R917" s="49"/>
      <c r="S917" s="49"/>
      <c r="T917" s="49"/>
      <c r="U917" s="49"/>
      <c r="V917" s="49"/>
      <c r="W917" s="49"/>
      <c r="X917" s="49"/>
      <c r="Y917" s="49"/>
      <c r="Z917" s="49"/>
    </row>
    <row r="918">
      <c r="A918" s="49"/>
      <c r="B918" s="49"/>
      <c r="C918" s="49"/>
      <c r="D918" s="49"/>
      <c r="E918" s="106"/>
      <c r="F918" s="49"/>
      <c r="G918" s="49"/>
      <c r="H918" s="49"/>
      <c r="I918" s="49"/>
      <c r="J918" s="49"/>
      <c r="K918" s="49"/>
      <c r="L918" s="49"/>
      <c r="M918" s="49"/>
      <c r="N918" s="49"/>
      <c r="O918" s="49"/>
      <c r="P918" s="49"/>
      <c r="Q918" s="49"/>
      <c r="R918" s="49"/>
      <c r="S918" s="49"/>
      <c r="T918" s="49"/>
      <c r="U918" s="49"/>
      <c r="V918" s="49"/>
      <c r="W918" s="49"/>
      <c r="X918" s="49"/>
      <c r="Y918" s="49"/>
      <c r="Z918" s="49"/>
    </row>
    <row r="919">
      <c r="A919" s="49"/>
      <c r="B919" s="49"/>
      <c r="C919" s="49"/>
      <c r="D919" s="49"/>
      <c r="E919" s="106"/>
      <c r="F919" s="49"/>
      <c r="G919" s="49"/>
      <c r="H919" s="49"/>
      <c r="I919" s="49"/>
      <c r="J919" s="49"/>
      <c r="K919" s="49"/>
      <c r="L919" s="49"/>
      <c r="M919" s="49"/>
      <c r="N919" s="49"/>
      <c r="O919" s="49"/>
      <c r="P919" s="49"/>
      <c r="Q919" s="49"/>
      <c r="R919" s="49"/>
      <c r="S919" s="49"/>
      <c r="T919" s="49"/>
      <c r="U919" s="49"/>
      <c r="V919" s="49"/>
      <c r="W919" s="49"/>
      <c r="X919" s="49"/>
      <c r="Y919" s="49"/>
      <c r="Z919" s="49"/>
    </row>
    <row r="920">
      <c r="A920" s="49"/>
      <c r="B920" s="49"/>
      <c r="C920" s="49"/>
      <c r="D920" s="49"/>
      <c r="E920" s="106"/>
      <c r="F920" s="49"/>
      <c r="G920" s="49"/>
      <c r="H920" s="49"/>
      <c r="I920" s="49"/>
      <c r="J920" s="49"/>
      <c r="K920" s="49"/>
      <c r="L920" s="49"/>
      <c r="M920" s="49"/>
      <c r="N920" s="49"/>
      <c r="O920" s="49"/>
      <c r="P920" s="49"/>
      <c r="Q920" s="49"/>
      <c r="R920" s="49"/>
      <c r="S920" s="49"/>
      <c r="T920" s="49"/>
      <c r="U920" s="49"/>
      <c r="V920" s="49"/>
      <c r="W920" s="49"/>
      <c r="X920" s="49"/>
      <c r="Y920" s="49"/>
      <c r="Z920" s="49"/>
    </row>
    <row r="921">
      <c r="A921" s="49"/>
      <c r="B921" s="49"/>
      <c r="C921" s="49"/>
      <c r="D921" s="49"/>
      <c r="E921" s="106"/>
      <c r="F921" s="49"/>
      <c r="G921" s="49"/>
      <c r="H921" s="49"/>
      <c r="I921" s="49"/>
      <c r="J921" s="49"/>
      <c r="K921" s="49"/>
      <c r="L921" s="49"/>
      <c r="M921" s="49"/>
      <c r="N921" s="49"/>
      <c r="O921" s="49"/>
      <c r="P921" s="49"/>
      <c r="Q921" s="49"/>
      <c r="R921" s="49"/>
      <c r="S921" s="49"/>
      <c r="T921" s="49"/>
      <c r="U921" s="49"/>
      <c r="V921" s="49"/>
      <c r="W921" s="49"/>
      <c r="X921" s="49"/>
      <c r="Y921" s="49"/>
      <c r="Z921" s="49"/>
    </row>
    <row r="922">
      <c r="A922" s="49"/>
      <c r="B922" s="49"/>
      <c r="C922" s="49"/>
      <c r="D922" s="49"/>
      <c r="E922" s="106"/>
      <c r="F922" s="49"/>
      <c r="G922" s="49"/>
      <c r="H922" s="49"/>
      <c r="I922" s="49"/>
      <c r="J922" s="49"/>
      <c r="K922" s="49"/>
      <c r="L922" s="49"/>
      <c r="M922" s="49"/>
      <c r="N922" s="49"/>
      <c r="O922" s="49"/>
      <c r="P922" s="49"/>
      <c r="Q922" s="49"/>
      <c r="R922" s="49"/>
      <c r="S922" s="49"/>
      <c r="T922" s="49"/>
      <c r="U922" s="49"/>
      <c r="V922" s="49"/>
      <c r="W922" s="49"/>
      <c r="X922" s="49"/>
      <c r="Y922" s="49"/>
      <c r="Z922" s="49"/>
    </row>
    <row r="923">
      <c r="A923" s="49"/>
      <c r="B923" s="49"/>
      <c r="C923" s="49"/>
      <c r="D923" s="49"/>
      <c r="E923" s="106"/>
      <c r="F923" s="49"/>
      <c r="G923" s="49"/>
      <c r="H923" s="49"/>
      <c r="I923" s="49"/>
      <c r="J923" s="49"/>
      <c r="K923" s="49"/>
      <c r="L923" s="49"/>
      <c r="M923" s="49"/>
      <c r="N923" s="49"/>
      <c r="O923" s="49"/>
      <c r="P923" s="49"/>
      <c r="Q923" s="49"/>
      <c r="R923" s="49"/>
      <c r="S923" s="49"/>
      <c r="T923" s="49"/>
      <c r="U923" s="49"/>
      <c r="V923" s="49"/>
      <c r="W923" s="49"/>
      <c r="X923" s="49"/>
      <c r="Y923" s="49"/>
      <c r="Z923" s="49"/>
    </row>
    <row r="924">
      <c r="A924" s="49"/>
      <c r="B924" s="49"/>
      <c r="C924" s="49"/>
      <c r="D924" s="49"/>
      <c r="E924" s="106"/>
      <c r="F924" s="49"/>
      <c r="G924" s="49"/>
      <c r="H924" s="49"/>
      <c r="I924" s="49"/>
      <c r="J924" s="49"/>
      <c r="K924" s="49"/>
      <c r="L924" s="49"/>
      <c r="M924" s="49"/>
      <c r="N924" s="49"/>
      <c r="O924" s="49"/>
      <c r="P924" s="49"/>
      <c r="Q924" s="49"/>
      <c r="R924" s="49"/>
      <c r="S924" s="49"/>
      <c r="T924" s="49"/>
      <c r="U924" s="49"/>
      <c r="V924" s="49"/>
      <c r="W924" s="49"/>
      <c r="X924" s="49"/>
      <c r="Y924" s="49"/>
      <c r="Z924" s="49"/>
    </row>
    <row r="925">
      <c r="A925" s="49"/>
      <c r="B925" s="49"/>
      <c r="C925" s="49"/>
      <c r="D925" s="49"/>
      <c r="E925" s="106"/>
      <c r="F925" s="49"/>
      <c r="G925" s="49"/>
      <c r="H925" s="49"/>
      <c r="I925" s="49"/>
      <c r="J925" s="49"/>
      <c r="K925" s="49"/>
      <c r="L925" s="49"/>
      <c r="M925" s="49"/>
      <c r="N925" s="49"/>
      <c r="O925" s="49"/>
      <c r="P925" s="49"/>
      <c r="Q925" s="49"/>
      <c r="R925" s="49"/>
      <c r="S925" s="49"/>
      <c r="T925" s="49"/>
      <c r="U925" s="49"/>
      <c r="V925" s="49"/>
      <c r="W925" s="49"/>
      <c r="X925" s="49"/>
      <c r="Y925" s="49"/>
      <c r="Z925" s="49"/>
    </row>
    <row r="926">
      <c r="A926" s="49"/>
      <c r="B926" s="49"/>
      <c r="C926" s="49"/>
      <c r="D926" s="49"/>
      <c r="E926" s="106"/>
      <c r="F926" s="49"/>
      <c r="G926" s="49"/>
      <c r="H926" s="49"/>
      <c r="I926" s="49"/>
      <c r="J926" s="49"/>
      <c r="K926" s="49"/>
      <c r="L926" s="49"/>
      <c r="M926" s="49"/>
      <c r="N926" s="49"/>
      <c r="O926" s="49"/>
      <c r="P926" s="49"/>
      <c r="Q926" s="49"/>
      <c r="R926" s="49"/>
      <c r="S926" s="49"/>
      <c r="T926" s="49"/>
      <c r="U926" s="49"/>
      <c r="V926" s="49"/>
      <c r="W926" s="49"/>
      <c r="X926" s="49"/>
      <c r="Y926" s="49"/>
      <c r="Z926" s="49"/>
    </row>
    <row r="927">
      <c r="A927" s="49"/>
      <c r="B927" s="49"/>
      <c r="C927" s="49"/>
      <c r="D927" s="49"/>
      <c r="E927" s="106"/>
      <c r="F927" s="49"/>
      <c r="G927" s="49"/>
      <c r="H927" s="49"/>
      <c r="I927" s="49"/>
      <c r="J927" s="49"/>
      <c r="K927" s="49"/>
      <c r="L927" s="49"/>
      <c r="M927" s="49"/>
      <c r="N927" s="49"/>
      <c r="O927" s="49"/>
      <c r="P927" s="49"/>
      <c r="Q927" s="49"/>
      <c r="R927" s="49"/>
      <c r="S927" s="49"/>
      <c r="T927" s="49"/>
      <c r="U927" s="49"/>
      <c r="V927" s="49"/>
      <c r="W927" s="49"/>
      <c r="X927" s="49"/>
      <c r="Y927" s="49"/>
      <c r="Z927" s="49"/>
    </row>
    <row r="928">
      <c r="A928" s="49"/>
      <c r="B928" s="49"/>
      <c r="C928" s="49"/>
      <c r="D928" s="49"/>
      <c r="E928" s="106"/>
      <c r="F928" s="49"/>
      <c r="G928" s="49"/>
      <c r="H928" s="49"/>
      <c r="I928" s="49"/>
      <c r="J928" s="49"/>
      <c r="K928" s="49"/>
      <c r="L928" s="49"/>
      <c r="M928" s="49"/>
      <c r="N928" s="49"/>
      <c r="O928" s="49"/>
      <c r="P928" s="49"/>
      <c r="Q928" s="49"/>
      <c r="R928" s="49"/>
      <c r="S928" s="49"/>
      <c r="T928" s="49"/>
      <c r="U928" s="49"/>
      <c r="V928" s="49"/>
      <c r="W928" s="49"/>
      <c r="X928" s="49"/>
      <c r="Y928" s="49"/>
      <c r="Z928" s="49"/>
    </row>
    <row r="929">
      <c r="A929" s="49"/>
      <c r="B929" s="49"/>
      <c r="C929" s="49"/>
      <c r="D929" s="49"/>
      <c r="E929" s="106"/>
      <c r="F929" s="49"/>
      <c r="G929" s="49"/>
      <c r="H929" s="49"/>
      <c r="I929" s="49"/>
      <c r="J929" s="49"/>
      <c r="K929" s="49"/>
      <c r="L929" s="49"/>
      <c r="M929" s="49"/>
      <c r="N929" s="49"/>
      <c r="O929" s="49"/>
      <c r="P929" s="49"/>
      <c r="Q929" s="49"/>
      <c r="R929" s="49"/>
      <c r="S929" s="49"/>
      <c r="T929" s="49"/>
      <c r="U929" s="49"/>
      <c r="V929" s="49"/>
      <c r="W929" s="49"/>
      <c r="X929" s="49"/>
      <c r="Y929" s="49"/>
      <c r="Z929" s="49"/>
    </row>
    <row r="930">
      <c r="A930" s="49"/>
      <c r="B930" s="49"/>
      <c r="C930" s="49"/>
      <c r="D930" s="49"/>
      <c r="E930" s="106"/>
      <c r="F930" s="49"/>
      <c r="G930" s="49"/>
      <c r="H930" s="49"/>
      <c r="I930" s="49"/>
      <c r="J930" s="49"/>
      <c r="K930" s="49"/>
      <c r="L930" s="49"/>
      <c r="M930" s="49"/>
      <c r="N930" s="49"/>
      <c r="O930" s="49"/>
      <c r="P930" s="49"/>
      <c r="Q930" s="49"/>
      <c r="R930" s="49"/>
      <c r="S930" s="49"/>
      <c r="T930" s="49"/>
      <c r="U930" s="49"/>
      <c r="V930" s="49"/>
      <c r="W930" s="49"/>
      <c r="X930" s="49"/>
      <c r="Y930" s="49"/>
      <c r="Z930" s="49"/>
    </row>
    <row r="931">
      <c r="A931" s="49"/>
      <c r="B931" s="49"/>
      <c r="C931" s="49"/>
      <c r="D931" s="49"/>
      <c r="E931" s="106"/>
      <c r="F931" s="49"/>
      <c r="G931" s="49"/>
      <c r="H931" s="49"/>
      <c r="I931" s="49"/>
      <c r="J931" s="49"/>
      <c r="K931" s="49"/>
      <c r="L931" s="49"/>
      <c r="M931" s="49"/>
      <c r="N931" s="49"/>
      <c r="O931" s="49"/>
      <c r="P931" s="49"/>
      <c r="Q931" s="49"/>
      <c r="R931" s="49"/>
      <c r="S931" s="49"/>
      <c r="T931" s="49"/>
      <c r="U931" s="49"/>
      <c r="V931" s="49"/>
      <c r="W931" s="49"/>
      <c r="X931" s="49"/>
      <c r="Y931" s="49"/>
      <c r="Z931" s="49"/>
    </row>
    <row r="932">
      <c r="A932" s="49"/>
      <c r="B932" s="49"/>
      <c r="C932" s="49"/>
      <c r="D932" s="49"/>
      <c r="E932" s="106"/>
      <c r="F932" s="49"/>
      <c r="G932" s="49"/>
      <c r="H932" s="49"/>
      <c r="I932" s="49"/>
      <c r="J932" s="49"/>
      <c r="K932" s="49"/>
      <c r="L932" s="49"/>
      <c r="M932" s="49"/>
      <c r="N932" s="49"/>
      <c r="O932" s="49"/>
      <c r="P932" s="49"/>
      <c r="Q932" s="49"/>
      <c r="R932" s="49"/>
      <c r="S932" s="49"/>
      <c r="T932" s="49"/>
      <c r="U932" s="49"/>
      <c r="V932" s="49"/>
      <c r="W932" s="49"/>
      <c r="X932" s="49"/>
      <c r="Y932" s="49"/>
      <c r="Z932" s="49"/>
    </row>
    <row r="933">
      <c r="A933" s="49"/>
      <c r="B933" s="49"/>
      <c r="C933" s="49"/>
      <c r="D933" s="49"/>
      <c r="E933" s="106"/>
      <c r="F933" s="49"/>
      <c r="G933" s="49"/>
      <c r="H933" s="49"/>
      <c r="I933" s="49"/>
      <c r="J933" s="49"/>
      <c r="K933" s="49"/>
      <c r="L933" s="49"/>
      <c r="M933" s="49"/>
      <c r="N933" s="49"/>
      <c r="O933" s="49"/>
      <c r="P933" s="49"/>
      <c r="Q933" s="49"/>
      <c r="R933" s="49"/>
      <c r="S933" s="49"/>
      <c r="T933" s="49"/>
      <c r="U933" s="49"/>
      <c r="V933" s="49"/>
      <c r="W933" s="49"/>
      <c r="X933" s="49"/>
      <c r="Y933" s="49"/>
      <c r="Z933" s="49"/>
    </row>
    <row r="934">
      <c r="A934" s="49"/>
      <c r="B934" s="49"/>
      <c r="C934" s="49"/>
      <c r="D934" s="49"/>
      <c r="E934" s="106"/>
      <c r="F934" s="49"/>
      <c r="G934" s="49"/>
      <c r="H934" s="49"/>
      <c r="I934" s="49"/>
      <c r="J934" s="49"/>
      <c r="K934" s="49"/>
      <c r="L934" s="49"/>
      <c r="M934" s="49"/>
      <c r="N934" s="49"/>
      <c r="O934" s="49"/>
      <c r="P934" s="49"/>
      <c r="Q934" s="49"/>
      <c r="R934" s="49"/>
      <c r="S934" s="49"/>
      <c r="T934" s="49"/>
      <c r="U934" s="49"/>
      <c r="V934" s="49"/>
      <c r="W934" s="49"/>
      <c r="X934" s="49"/>
      <c r="Y934" s="49"/>
      <c r="Z934" s="49"/>
    </row>
    <row r="935">
      <c r="A935" s="49"/>
      <c r="B935" s="49"/>
      <c r="C935" s="49"/>
      <c r="D935" s="49"/>
      <c r="E935" s="106"/>
      <c r="F935" s="49"/>
      <c r="G935" s="49"/>
      <c r="H935" s="49"/>
      <c r="I935" s="49"/>
      <c r="J935" s="49"/>
      <c r="K935" s="49"/>
      <c r="L935" s="49"/>
      <c r="M935" s="49"/>
      <c r="N935" s="49"/>
      <c r="O935" s="49"/>
      <c r="P935" s="49"/>
      <c r="Q935" s="49"/>
      <c r="R935" s="49"/>
      <c r="S935" s="49"/>
      <c r="T935" s="49"/>
      <c r="U935" s="49"/>
      <c r="V935" s="49"/>
      <c r="W935" s="49"/>
      <c r="X935" s="49"/>
      <c r="Y935" s="49"/>
      <c r="Z935" s="49"/>
    </row>
    <row r="936">
      <c r="A936" s="49"/>
      <c r="B936" s="49"/>
      <c r="C936" s="49"/>
      <c r="D936" s="49"/>
      <c r="E936" s="106"/>
      <c r="F936" s="49"/>
      <c r="G936" s="49"/>
      <c r="H936" s="49"/>
      <c r="I936" s="49"/>
      <c r="J936" s="49"/>
      <c r="K936" s="49"/>
      <c r="L936" s="49"/>
      <c r="M936" s="49"/>
      <c r="N936" s="49"/>
      <c r="O936" s="49"/>
      <c r="P936" s="49"/>
      <c r="Q936" s="49"/>
      <c r="R936" s="49"/>
      <c r="S936" s="49"/>
      <c r="T936" s="49"/>
      <c r="U936" s="49"/>
      <c r="V936" s="49"/>
      <c r="W936" s="49"/>
      <c r="X936" s="49"/>
      <c r="Y936" s="49"/>
      <c r="Z936" s="49"/>
    </row>
    <row r="937">
      <c r="A937" s="49"/>
      <c r="B937" s="49"/>
      <c r="C937" s="49"/>
      <c r="D937" s="49"/>
      <c r="E937" s="106"/>
      <c r="F937" s="49"/>
      <c r="G937" s="49"/>
      <c r="H937" s="49"/>
      <c r="I937" s="49"/>
      <c r="J937" s="49"/>
      <c r="K937" s="49"/>
      <c r="L937" s="49"/>
      <c r="M937" s="49"/>
      <c r="N937" s="49"/>
      <c r="O937" s="49"/>
      <c r="P937" s="49"/>
      <c r="Q937" s="49"/>
      <c r="R937" s="49"/>
      <c r="S937" s="49"/>
      <c r="T937" s="49"/>
      <c r="U937" s="49"/>
      <c r="V937" s="49"/>
      <c r="W937" s="49"/>
      <c r="X937" s="49"/>
      <c r="Y937" s="49"/>
      <c r="Z937" s="49"/>
    </row>
    <row r="938">
      <c r="A938" s="49"/>
      <c r="B938" s="49"/>
      <c r="C938" s="49"/>
      <c r="D938" s="49"/>
      <c r="E938" s="106"/>
      <c r="F938" s="49"/>
      <c r="G938" s="49"/>
      <c r="H938" s="49"/>
      <c r="I938" s="49"/>
      <c r="J938" s="49"/>
      <c r="K938" s="49"/>
      <c r="L938" s="49"/>
      <c r="M938" s="49"/>
      <c r="N938" s="49"/>
      <c r="O938" s="49"/>
      <c r="P938" s="49"/>
      <c r="Q938" s="49"/>
      <c r="R938" s="49"/>
      <c r="S938" s="49"/>
      <c r="T938" s="49"/>
      <c r="U938" s="49"/>
      <c r="V938" s="49"/>
      <c r="W938" s="49"/>
      <c r="X938" s="49"/>
      <c r="Y938" s="49"/>
      <c r="Z938" s="49"/>
    </row>
    <row r="939">
      <c r="A939" s="49"/>
      <c r="B939" s="49"/>
      <c r="C939" s="49"/>
      <c r="D939" s="49"/>
      <c r="E939" s="106"/>
      <c r="F939" s="49"/>
      <c r="G939" s="49"/>
      <c r="H939" s="49"/>
      <c r="I939" s="49"/>
      <c r="J939" s="49"/>
      <c r="K939" s="49"/>
      <c r="L939" s="49"/>
      <c r="M939" s="49"/>
      <c r="N939" s="49"/>
      <c r="O939" s="49"/>
      <c r="P939" s="49"/>
      <c r="Q939" s="49"/>
      <c r="R939" s="49"/>
      <c r="S939" s="49"/>
      <c r="T939" s="49"/>
      <c r="U939" s="49"/>
      <c r="V939" s="49"/>
      <c r="W939" s="49"/>
      <c r="X939" s="49"/>
      <c r="Y939" s="49"/>
      <c r="Z939" s="49"/>
    </row>
    <row r="940">
      <c r="A940" s="49"/>
      <c r="B940" s="49"/>
      <c r="C940" s="49"/>
      <c r="D940" s="49"/>
      <c r="E940" s="106"/>
      <c r="F940" s="49"/>
      <c r="G940" s="49"/>
      <c r="H940" s="49"/>
      <c r="I940" s="49"/>
      <c r="J940" s="49"/>
      <c r="K940" s="49"/>
      <c r="L940" s="49"/>
      <c r="M940" s="49"/>
      <c r="N940" s="49"/>
      <c r="O940" s="49"/>
      <c r="P940" s="49"/>
      <c r="Q940" s="49"/>
      <c r="R940" s="49"/>
      <c r="S940" s="49"/>
      <c r="T940" s="49"/>
      <c r="U940" s="49"/>
      <c r="V940" s="49"/>
      <c r="W940" s="49"/>
      <c r="X940" s="49"/>
      <c r="Y940" s="49"/>
      <c r="Z940" s="49"/>
    </row>
    <row r="941">
      <c r="A941" s="49"/>
      <c r="B941" s="49"/>
      <c r="C941" s="49"/>
      <c r="D941" s="49"/>
      <c r="E941" s="106"/>
      <c r="F941" s="49"/>
      <c r="G941" s="49"/>
      <c r="H941" s="49"/>
      <c r="I941" s="49"/>
      <c r="J941" s="49"/>
      <c r="K941" s="49"/>
      <c r="L941" s="49"/>
      <c r="M941" s="49"/>
      <c r="N941" s="49"/>
      <c r="O941" s="49"/>
      <c r="P941" s="49"/>
      <c r="Q941" s="49"/>
      <c r="R941" s="49"/>
      <c r="S941" s="49"/>
      <c r="T941" s="49"/>
      <c r="U941" s="49"/>
      <c r="V941" s="49"/>
      <c r="W941" s="49"/>
      <c r="X941" s="49"/>
      <c r="Y941" s="49"/>
      <c r="Z941" s="49"/>
    </row>
    <row r="942">
      <c r="A942" s="49"/>
      <c r="B942" s="49"/>
      <c r="C942" s="49"/>
      <c r="D942" s="49"/>
      <c r="E942" s="106"/>
      <c r="F942" s="49"/>
      <c r="G942" s="49"/>
      <c r="H942" s="49"/>
      <c r="I942" s="49"/>
      <c r="J942" s="49"/>
      <c r="K942" s="49"/>
      <c r="L942" s="49"/>
      <c r="M942" s="49"/>
      <c r="N942" s="49"/>
      <c r="O942" s="49"/>
      <c r="P942" s="49"/>
      <c r="Q942" s="49"/>
      <c r="R942" s="49"/>
      <c r="S942" s="49"/>
      <c r="T942" s="49"/>
      <c r="U942" s="49"/>
      <c r="V942" s="49"/>
      <c r="W942" s="49"/>
      <c r="X942" s="49"/>
      <c r="Y942" s="49"/>
      <c r="Z942" s="49"/>
    </row>
    <row r="943">
      <c r="A943" s="49"/>
      <c r="B943" s="49"/>
      <c r="C943" s="49"/>
      <c r="D943" s="49"/>
      <c r="E943" s="106"/>
      <c r="F943" s="49"/>
      <c r="G943" s="49"/>
      <c r="H943" s="49"/>
      <c r="I943" s="49"/>
      <c r="J943" s="49"/>
      <c r="K943" s="49"/>
      <c r="L943" s="49"/>
      <c r="M943" s="49"/>
      <c r="N943" s="49"/>
      <c r="O943" s="49"/>
      <c r="P943" s="49"/>
      <c r="Q943" s="49"/>
      <c r="R943" s="49"/>
      <c r="S943" s="49"/>
      <c r="T943" s="49"/>
      <c r="U943" s="49"/>
      <c r="V943" s="49"/>
      <c r="W943" s="49"/>
      <c r="X943" s="49"/>
      <c r="Y943" s="49"/>
      <c r="Z943" s="49"/>
    </row>
    <row r="944">
      <c r="A944" s="49"/>
      <c r="B944" s="49"/>
      <c r="C944" s="49"/>
      <c r="D944" s="49"/>
      <c r="E944" s="106"/>
      <c r="F944" s="49"/>
      <c r="G944" s="49"/>
      <c r="H944" s="49"/>
      <c r="I944" s="49"/>
      <c r="J944" s="49"/>
      <c r="K944" s="49"/>
      <c r="L944" s="49"/>
      <c r="M944" s="49"/>
      <c r="N944" s="49"/>
      <c r="O944" s="49"/>
      <c r="P944" s="49"/>
      <c r="Q944" s="49"/>
      <c r="R944" s="49"/>
      <c r="S944" s="49"/>
      <c r="T944" s="49"/>
      <c r="U944" s="49"/>
      <c r="V944" s="49"/>
      <c r="W944" s="49"/>
      <c r="X944" s="49"/>
      <c r="Y944" s="49"/>
      <c r="Z944" s="49"/>
    </row>
    <row r="945">
      <c r="A945" s="49"/>
      <c r="B945" s="49"/>
      <c r="C945" s="49"/>
      <c r="D945" s="49"/>
      <c r="E945" s="106"/>
      <c r="F945" s="49"/>
      <c r="G945" s="49"/>
      <c r="H945" s="49"/>
      <c r="I945" s="49"/>
      <c r="J945" s="49"/>
      <c r="K945" s="49"/>
      <c r="L945" s="49"/>
      <c r="M945" s="49"/>
      <c r="N945" s="49"/>
      <c r="O945" s="49"/>
      <c r="P945" s="49"/>
      <c r="Q945" s="49"/>
      <c r="R945" s="49"/>
      <c r="S945" s="49"/>
      <c r="T945" s="49"/>
      <c r="U945" s="49"/>
      <c r="V945" s="49"/>
      <c r="W945" s="49"/>
      <c r="X945" s="49"/>
      <c r="Y945" s="49"/>
      <c r="Z945" s="49"/>
    </row>
    <row r="946">
      <c r="A946" s="49"/>
      <c r="B946" s="49"/>
      <c r="C946" s="49"/>
      <c r="D946" s="49"/>
      <c r="E946" s="106"/>
      <c r="F946" s="49"/>
      <c r="G946" s="49"/>
      <c r="H946" s="49"/>
      <c r="I946" s="49"/>
      <c r="J946" s="49"/>
      <c r="K946" s="49"/>
      <c r="L946" s="49"/>
      <c r="M946" s="49"/>
      <c r="N946" s="49"/>
      <c r="O946" s="49"/>
      <c r="P946" s="49"/>
      <c r="Q946" s="49"/>
      <c r="R946" s="49"/>
      <c r="S946" s="49"/>
      <c r="T946" s="49"/>
      <c r="U946" s="49"/>
      <c r="V946" s="49"/>
      <c r="W946" s="49"/>
      <c r="X946" s="49"/>
      <c r="Y946" s="49"/>
      <c r="Z946" s="49"/>
    </row>
    <row r="947">
      <c r="A947" s="49"/>
      <c r="B947" s="49"/>
      <c r="C947" s="49"/>
      <c r="D947" s="49"/>
      <c r="E947" s="106"/>
      <c r="F947" s="49"/>
      <c r="G947" s="49"/>
      <c r="H947" s="49"/>
      <c r="I947" s="49"/>
      <c r="J947" s="49"/>
      <c r="K947" s="49"/>
      <c r="L947" s="49"/>
      <c r="M947" s="49"/>
      <c r="N947" s="49"/>
      <c r="O947" s="49"/>
      <c r="P947" s="49"/>
      <c r="Q947" s="49"/>
      <c r="R947" s="49"/>
      <c r="S947" s="49"/>
      <c r="T947" s="49"/>
      <c r="U947" s="49"/>
      <c r="V947" s="49"/>
      <c r="W947" s="49"/>
      <c r="X947" s="49"/>
      <c r="Y947" s="49"/>
      <c r="Z947" s="49"/>
    </row>
    <row r="948">
      <c r="A948" s="49"/>
      <c r="B948" s="49"/>
      <c r="C948" s="49"/>
      <c r="D948" s="49"/>
      <c r="E948" s="106"/>
      <c r="F948" s="49"/>
      <c r="G948" s="49"/>
      <c r="H948" s="49"/>
      <c r="I948" s="49"/>
      <c r="J948" s="49"/>
      <c r="K948" s="49"/>
      <c r="L948" s="49"/>
      <c r="M948" s="49"/>
      <c r="N948" s="49"/>
      <c r="O948" s="49"/>
      <c r="P948" s="49"/>
      <c r="Q948" s="49"/>
      <c r="R948" s="49"/>
      <c r="S948" s="49"/>
      <c r="T948" s="49"/>
      <c r="U948" s="49"/>
      <c r="V948" s="49"/>
      <c r="W948" s="49"/>
      <c r="X948" s="49"/>
      <c r="Y948" s="49"/>
      <c r="Z948" s="49"/>
    </row>
    <row r="949">
      <c r="A949" s="49"/>
      <c r="B949" s="49"/>
      <c r="C949" s="49"/>
      <c r="D949" s="49"/>
      <c r="E949" s="106"/>
      <c r="F949" s="49"/>
      <c r="G949" s="49"/>
      <c r="H949" s="49"/>
      <c r="I949" s="49"/>
      <c r="J949" s="49"/>
      <c r="K949" s="49"/>
      <c r="L949" s="49"/>
      <c r="M949" s="49"/>
      <c r="N949" s="49"/>
      <c r="O949" s="49"/>
      <c r="P949" s="49"/>
      <c r="Q949" s="49"/>
      <c r="R949" s="49"/>
      <c r="S949" s="49"/>
      <c r="T949" s="49"/>
      <c r="U949" s="49"/>
      <c r="V949" s="49"/>
      <c r="W949" s="49"/>
      <c r="X949" s="49"/>
      <c r="Y949" s="49"/>
      <c r="Z949" s="49"/>
    </row>
    <row r="950">
      <c r="A950" s="49"/>
      <c r="B950" s="49"/>
      <c r="C950" s="49"/>
      <c r="D950" s="49"/>
      <c r="E950" s="106"/>
      <c r="F950" s="49"/>
      <c r="G950" s="49"/>
      <c r="H950" s="49"/>
      <c r="I950" s="49"/>
      <c r="J950" s="49"/>
      <c r="K950" s="49"/>
      <c r="L950" s="49"/>
      <c r="M950" s="49"/>
      <c r="N950" s="49"/>
      <c r="O950" s="49"/>
      <c r="P950" s="49"/>
      <c r="Q950" s="49"/>
      <c r="R950" s="49"/>
      <c r="S950" s="49"/>
      <c r="T950" s="49"/>
      <c r="U950" s="49"/>
      <c r="V950" s="49"/>
      <c r="W950" s="49"/>
      <c r="X950" s="49"/>
      <c r="Y950" s="49"/>
      <c r="Z950" s="49"/>
    </row>
    <row r="951">
      <c r="A951" s="49"/>
      <c r="B951" s="49"/>
      <c r="C951" s="49"/>
      <c r="D951" s="49"/>
      <c r="E951" s="106"/>
      <c r="F951" s="49"/>
      <c r="G951" s="49"/>
      <c r="H951" s="49"/>
      <c r="I951" s="49"/>
      <c r="J951" s="49"/>
      <c r="K951" s="49"/>
      <c r="L951" s="49"/>
      <c r="M951" s="49"/>
      <c r="N951" s="49"/>
      <c r="O951" s="49"/>
      <c r="P951" s="49"/>
      <c r="Q951" s="49"/>
      <c r="R951" s="49"/>
      <c r="S951" s="49"/>
      <c r="T951" s="49"/>
      <c r="U951" s="49"/>
      <c r="V951" s="49"/>
      <c r="W951" s="49"/>
      <c r="X951" s="49"/>
      <c r="Y951" s="49"/>
      <c r="Z951" s="49"/>
    </row>
    <row r="952">
      <c r="A952" s="49"/>
      <c r="B952" s="49"/>
      <c r="C952" s="49"/>
      <c r="D952" s="49"/>
      <c r="E952" s="106"/>
      <c r="F952" s="49"/>
      <c r="G952" s="49"/>
      <c r="H952" s="49"/>
      <c r="I952" s="49"/>
      <c r="J952" s="49"/>
      <c r="K952" s="49"/>
      <c r="L952" s="49"/>
      <c r="M952" s="49"/>
      <c r="N952" s="49"/>
      <c r="O952" s="49"/>
      <c r="P952" s="49"/>
      <c r="Q952" s="49"/>
      <c r="R952" s="49"/>
      <c r="S952" s="49"/>
      <c r="T952" s="49"/>
      <c r="U952" s="49"/>
      <c r="V952" s="49"/>
      <c r="W952" s="49"/>
      <c r="X952" s="49"/>
      <c r="Y952" s="49"/>
      <c r="Z952" s="49"/>
    </row>
    <row r="953">
      <c r="A953" s="49"/>
      <c r="B953" s="49"/>
      <c r="C953" s="49"/>
      <c r="D953" s="49"/>
      <c r="E953" s="106"/>
      <c r="F953" s="49"/>
      <c r="G953" s="49"/>
      <c r="H953" s="49"/>
      <c r="I953" s="49"/>
      <c r="J953" s="49"/>
      <c r="K953" s="49"/>
      <c r="L953" s="49"/>
      <c r="M953" s="49"/>
      <c r="N953" s="49"/>
      <c r="O953" s="49"/>
      <c r="P953" s="49"/>
      <c r="Q953" s="49"/>
      <c r="R953" s="49"/>
      <c r="S953" s="49"/>
      <c r="T953" s="49"/>
      <c r="U953" s="49"/>
      <c r="V953" s="49"/>
      <c r="W953" s="49"/>
      <c r="X953" s="49"/>
      <c r="Y953" s="49"/>
      <c r="Z953" s="49"/>
    </row>
    <row r="954">
      <c r="A954" s="49"/>
      <c r="B954" s="49"/>
      <c r="C954" s="49"/>
      <c r="D954" s="49"/>
      <c r="E954" s="106"/>
      <c r="F954" s="49"/>
      <c r="G954" s="49"/>
      <c r="H954" s="49"/>
      <c r="I954" s="49"/>
      <c r="J954" s="49"/>
      <c r="K954" s="49"/>
      <c r="L954" s="49"/>
      <c r="M954" s="49"/>
      <c r="N954" s="49"/>
      <c r="O954" s="49"/>
      <c r="P954" s="49"/>
      <c r="Q954" s="49"/>
      <c r="R954" s="49"/>
      <c r="S954" s="49"/>
      <c r="T954" s="49"/>
      <c r="U954" s="49"/>
      <c r="V954" s="49"/>
      <c r="W954" s="49"/>
      <c r="X954" s="49"/>
      <c r="Y954" s="49"/>
      <c r="Z954" s="49"/>
    </row>
    <row r="955">
      <c r="A955" s="49"/>
      <c r="B955" s="49"/>
      <c r="C955" s="49"/>
      <c r="D955" s="49"/>
      <c r="E955" s="106"/>
      <c r="F955" s="49"/>
      <c r="G955" s="49"/>
      <c r="H955" s="49"/>
      <c r="I955" s="49"/>
      <c r="J955" s="49"/>
      <c r="K955" s="49"/>
      <c r="L955" s="49"/>
      <c r="M955" s="49"/>
      <c r="N955" s="49"/>
      <c r="O955" s="49"/>
      <c r="P955" s="49"/>
      <c r="Q955" s="49"/>
      <c r="R955" s="49"/>
      <c r="S955" s="49"/>
      <c r="T955" s="49"/>
      <c r="U955" s="49"/>
      <c r="V955" s="49"/>
      <c r="W955" s="49"/>
      <c r="X955" s="49"/>
      <c r="Y955" s="49"/>
      <c r="Z955" s="49"/>
    </row>
    <row r="956">
      <c r="A956" s="49"/>
      <c r="B956" s="49"/>
      <c r="C956" s="49"/>
      <c r="D956" s="49"/>
      <c r="E956" s="106"/>
      <c r="F956" s="49"/>
      <c r="G956" s="49"/>
      <c r="H956" s="49"/>
      <c r="I956" s="49"/>
      <c r="J956" s="49"/>
      <c r="K956" s="49"/>
      <c r="L956" s="49"/>
      <c r="M956" s="49"/>
      <c r="N956" s="49"/>
      <c r="O956" s="49"/>
      <c r="P956" s="49"/>
      <c r="Q956" s="49"/>
      <c r="R956" s="49"/>
      <c r="S956" s="49"/>
      <c r="T956" s="49"/>
      <c r="U956" s="49"/>
      <c r="V956" s="49"/>
      <c r="W956" s="49"/>
      <c r="X956" s="49"/>
      <c r="Y956" s="49"/>
      <c r="Z956" s="49"/>
    </row>
    <row r="957">
      <c r="A957" s="49"/>
      <c r="B957" s="49"/>
      <c r="C957" s="49"/>
      <c r="D957" s="49"/>
      <c r="E957" s="106"/>
      <c r="F957" s="49"/>
      <c r="G957" s="49"/>
      <c r="H957" s="49"/>
      <c r="I957" s="49"/>
      <c r="J957" s="49"/>
      <c r="K957" s="49"/>
      <c r="L957" s="49"/>
      <c r="M957" s="49"/>
      <c r="N957" s="49"/>
      <c r="O957" s="49"/>
      <c r="P957" s="49"/>
      <c r="Q957" s="49"/>
      <c r="R957" s="49"/>
      <c r="S957" s="49"/>
      <c r="T957" s="49"/>
      <c r="U957" s="49"/>
      <c r="V957" s="49"/>
      <c r="W957" s="49"/>
      <c r="X957" s="49"/>
      <c r="Y957" s="49"/>
      <c r="Z957" s="49"/>
    </row>
    <row r="958">
      <c r="A958" s="49"/>
      <c r="B958" s="49"/>
      <c r="C958" s="49"/>
      <c r="D958" s="49"/>
      <c r="E958" s="106"/>
      <c r="F958" s="49"/>
      <c r="G958" s="49"/>
      <c r="H958" s="49"/>
      <c r="I958" s="49"/>
      <c r="J958" s="49"/>
      <c r="K958" s="49"/>
      <c r="L958" s="49"/>
      <c r="M958" s="49"/>
      <c r="N958" s="49"/>
      <c r="O958" s="49"/>
      <c r="P958" s="49"/>
      <c r="Q958" s="49"/>
      <c r="R958" s="49"/>
      <c r="S958" s="49"/>
      <c r="T958" s="49"/>
      <c r="U958" s="49"/>
      <c r="V958" s="49"/>
      <c r="W958" s="49"/>
      <c r="X958" s="49"/>
      <c r="Y958" s="49"/>
      <c r="Z958" s="49"/>
    </row>
    <row r="959">
      <c r="A959" s="49"/>
      <c r="B959" s="49"/>
      <c r="C959" s="49"/>
      <c r="D959" s="49"/>
      <c r="E959" s="106"/>
      <c r="F959" s="49"/>
      <c r="G959" s="49"/>
      <c r="H959" s="49"/>
      <c r="I959" s="49"/>
      <c r="J959" s="49"/>
      <c r="K959" s="49"/>
      <c r="L959" s="49"/>
      <c r="M959" s="49"/>
      <c r="N959" s="49"/>
      <c r="O959" s="49"/>
      <c r="P959" s="49"/>
      <c r="Q959" s="49"/>
      <c r="R959" s="49"/>
      <c r="S959" s="49"/>
      <c r="T959" s="49"/>
      <c r="U959" s="49"/>
      <c r="V959" s="49"/>
      <c r="W959" s="49"/>
      <c r="X959" s="49"/>
      <c r="Y959" s="49"/>
      <c r="Z959" s="49"/>
    </row>
    <row r="960">
      <c r="A960" s="49"/>
      <c r="B960" s="49"/>
      <c r="C960" s="49"/>
      <c r="D960" s="49"/>
      <c r="E960" s="106"/>
      <c r="F960" s="49"/>
      <c r="G960" s="49"/>
      <c r="H960" s="49"/>
      <c r="I960" s="49"/>
      <c r="J960" s="49"/>
      <c r="K960" s="49"/>
      <c r="L960" s="49"/>
      <c r="M960" s="49"/>
      <c r="N960" s="49"/>
      <c r="O960" s="49"/>
      <c r="P960" s="49"/>
      <c r="Q960" s="49"/>
      <c r="R960" s="49"/>
      <c r="S960" s="49"/>
      <c r="T960" s="49"/>
      <c r="U960" s="49"/>
      <c r="V960" s="49"/>
      <c r="W960" s="49"/>
      <c r="X960" s="49"/>
      <c r="Y960" s="49"/>
      <c r="Z960" s="49"/>
    </row>
    <row r="961">
      <c r="A961" s="49"/>
      <c r="B961" s="49"/>
      <c r="C961" s="49"/>
      <c r="D961" s="49"/>
      <c r="E961" s="106"/>
      <c r="F961" s="49"/>
      <c r="G961" s="49"/>
      <c r="H961" s="49"/>
      <c r="I961" s="49"/>
      <c r="J961" s="49"/>
      <c r="K961" s="49"/>
      <c r="L961" s="49"/>
      <c r="M961" s="49"/>
      <c r="N961" s="49"/>
      <c r="O961" s="49"/>
      <c r="P961" s="49"/>
      <c r="Q961" s="49"/>
      <c r="R961" s="49"/>
      <c r="S961" s="49"/>
      <c r="T961" s="49"/>
      <c r="U961" s="49"/>
      <c r="V961" s="49"/>
      <c r="W961" s="49"/>
      <c r="X961" s="49"/>
      <c r="Y961" s="49"/>
      <c r="Z961" s="49"/>
    </row>
    <row r="962">
      <c r="A962" s="49"/>
      <c r="B962" s="49"/>
      <c r="C962" s="49"/>
      <c r="D962" s="49"/>
      <c r="E962" s="106"/>
      <c r="F962" s="49"/>
      <c r="G962" s="49"/>
      <c r="H962" s="49"/>
      <c r="I962" s="49"/>
      <c r="J962" s="49"/>
      <c r="K962" s="49"/>
      <c r="L962" s="49"/>
      <c r="M962" s="49"/>
      <c r="N962" s="49"/>
      <c r="O962" s="49"/>
      <c r="P962" s="49"/>
      <c r="Q962" s="49"/>
      <c r="R962" s="49"/>
      <c r="S962" s="49"/>
      <c r="T962" s="49"/>
      <c r="U962" s="49"/>
      <c r="V962" s="49"/>
      <c r="W962" s="49"/>
      <c r="X962" s="49"/>
      <c r="Y962" s="49"/>
      <c r="Z962" s="49"/>
    </row>
    <row r="963">
      <c r="A963" s="49"/>
      <c r="B963" s="49"/>
      <c r="C963" s="49"/>
      <c r="D963" s="49"/>
      <c r="E963" s="106"/>
      <c r="F963" s="49"/>
      <c r="G963" s="49"/>
      <c r="H963" s="49"/>
      <c r="I963" s="49"/>
      <c r="J963" s="49"/>
      <c r="K963" s="49"/>
      <c r="L963" s="49"/>
      <c r="M963" s="49"/>
      <c r="N963" s="49"/>
      <c r="O963" s="49"/>
      <c r="P963" s="49"/>
      <c r="Q963" s="49"/>
      <c r="R963" s="49"/>
      <c r="S963" s="49"/>
      <c r="T963" s="49"/>
      <c r="U963" s="49"/>
      <c r="V963" s="49"/>
      <c r="W963" s="49"/>
      <c r="X963" s="49"/>
      <c r="Y963" s="49"/>
      <c r="Z963" s="49"/>
    </row>
    <row r="964">
      <c r="A964" s="49"/>
      <c r="B964" s="49"/>
      <c r="C964" s="49"/>
      <c r="D964" s="49"/>
      <c r="E964" s="106"/>
      <c r="F964" s="49"/>
      <c r="G964" s="49"/>
      <c r="H964" s="49"/>
      <c r="I964" s="49"/>
      <c r="J964" s="49"/>
      <c r="K964" s="49"/>
      <c r="L964" s="49"/>
      <c r="M964" s="49"/>
      <c r="N964" s="49"/>
      <c r="O964" s="49"/>
      <c r="P964" s="49"/>
      <c r="Q964" s="49"/>
      <c r="R964" s="49"/>
      <c r="S964" s="49"/>
      <c r="T964" s="49"/>
      <c r="U964" s="49"/>
      <c r="V964" s="49"/>
      <c r="W964" s="49"/>
      <c r="X964" s="49"/>
      <c r="Y964" s="49"/>
      <c r="Z964" s="49"/>
    </row>
    <row r="965">
      <c r="A965" s="49"/>
      <c r="B965" s="49"/>
      <c r="C965" s="49"/>
      <c r="D965" s="49"/>
      <c r="E965" s="106"/>
      <c r="F965" s="49"/>
      <c r="G965" s="49"/>
      <c r="H965" s="49"/>
      <c r="I965" s="49"/>
      <c r="J965" s="49"/>
      <c r="K965" s="49"/>
      <c r="L965" s="49"/>
      <c r="M965" s="49"/>
      <c r="N965" s="49"/>
      <c r="O965" s="49"/>
      <c r="P965" s="49"/>
      <c r="Q965" s="49"/>
      <c r="R965" s="49"/>
      <c r="S965" s="49"/>
      <c r="T965" s="49"/>
      <c r="U965" s="49"/>
      <c r="V965" s="49"/>
      <c r="W965" s="49"/>
      <c r="X965" s="49"/>
      <c r="Y965" s="49"/>
      <c r="Z965" s="49"/>
    </row>
    <row r="966">
      <c r="A966" s="49"/>
      <c r="B966" s="49"/>
      <c r="C966" s="49"/>
      <c r="D966" s="49"/>
      <c r="E966" s="106"/>
      <c r="F966" s="49"/>
      <c r="G966" s="49"/>
      <c r="H966" s="49"/>
      <c r="I966" s="49"/>
      <c r="J966" s="49"/>
      <c r="K966" s="49"/>
      <c r="L966" s="49"/>
      <c r="M966" s="49"/>
      <c r="N966" s="49"/>
      <c r="O966" s="49"/>
      <c r="P966" s="49"/>
      <c r="Q966" s="49"/>
      <c r="R966" s="49"/>
      <c r="S966" s="49"/>
      <c r="T966" s="49"/>
      <c r="U966" s="49"/>
      <c r="V966" s="49"/>
      <c r="W966" s="49"/>
      <c r="X966" s="49"/>
      <c r="Y966" s="49"/>
      <c r="Z966" s="49"/>
    </row>
    <row r="967">
      <c r="A967" s="49"/>
      <c r="B967" s="49"/>
      <c r="C967" s="49"/>
      <c r="D967" s="49"/>
      <c r="E967" s="106"/>
      <c r="F967" s="49"/>
      <c r="G967" s="49"/>
      <c r="H967" s="49"/>
      <c r="I967" s="49"/>
      <c r="J967" s="49"/>
      <c r="K967" s="49"/>
      <c r="L967" s="49"/>
      <c r="M967" s="49"/>
      <c r="N967" s="49"/>
      <c r="O967" s="49"/>
      <c r="P967" s="49"/>
      <c r="Q967" s="49"/>
      <c r="R967" s="49"/>
      <c r="S967" s="49"/>
      <c r="T967" s="49"/>
      <c r="U967" s="49"/>
      <c r="V967" s="49"/>
      <c r="W967" s="49"/>
      <c r="X967" s="49"/>
      <c r="Y967" s="49"/>
      <c r="Z967" s="49"/>
    </row>
    <row r="968">
      <c r="A968" s="49"/>
      <c r="B968" s="49"/>
      <c r="C968" s="49"/>
      <c r="D968" s="49"/>
      <c r="E968" s="106"/>
      <c r="F968" s="49"/>
      <c r="G968" s="49"/>
      <c r="H968" s="49"/>
      <c r="I968" s="49"/>
      <c r="J968" s="49"/>
      <c r="K968" s="49"/>
      <c r="L968" s="49"/>
      <c r="M968" s="49"/>
      <c r="N968" s="49"/>
      <c r="O968" s="49"/>
      <c r="P968" s="49"/>
      <c r="Q968" s="49"/>
      <c r="R968" s="49"/>
      <c r="S968" s="49"/>
      <c r="T968" s="49"/>
      <c r="U968" s="49"/>
      <c r="V968" s="49"/>
      <c r="W968" s="49"/>
      <c r="X968" s="49"/>
      <c r="Y968" s="49"/>
      <c r="Z968" s="49"/>
    </row>
    <row r="969">
      <c r="A969" s="49"/>
      <c r="B969" s="49"/>
      <c r="C969" s="49"/>
      <c r="D969" s="49"/>
      <c r="E969" s="106"/>
      <c r="F969" s="49"/>
      <c r="G969" s="49"/>
      <c r="H969" s="49"/>
      <c r="I969" s="49"/>
      <c r="J969" s="49"/>
      <c r="K969" s="49"/>
      <c r="L969" s="49"/>
      <c r="M969" s="49"/>
      <c r="N969" s="49"/>
      <c r="O969" s="49"/>
      <c r="P969" s="49"/>
      <c r="Q969" s="49"/>
      <c r="R969" s="49"/>
      <c r="S969" s="49"/>
      <c r="T969" s="49"/>
      <c r="U969" s="49"/>
      <c r="V969" s="49"/>
      <c r="W969" s="49"/>
      <c r="X969" s="49"/>
      <c r="Y969" s="49"/>
      <c r="Z969" s="49"/>
    </row>
    <row r="970">
      <c r="A970" s="49"/>
      <c r="B970" s="49"/>
      <c r="C970" s="49"/>
      <c r="D970" s="49"/>
      <c r="E970" s="106"/>
      <c r="F970" s="49"/>
      <c r="G970" s="49"/>
      <c r="H970" s="49"/>
      <c r="I970" s="49"/>
      <c r="J970" s="49"/>
      <c r="K970" s="49"/>
      <c r="L970" s="49"/>
      <c r="M970" s="49"/>
      <c r="N970" s="49"/>
      <c r="O970" s="49"/>
      <c r="P970" s="49"/>
      <c r="Q970" s="49"/>
      <c r="R970" s="49"/>
      <c r="S970" s="49"/>
      <c r="T970" s="49"/>
      <c r="U970" s="49"/>
      <c r="V970" s="49"/>
      <c r="W970" s="49"/>
      <c r="X970" s="49"/>
      <c r="Y970" s="49"/>
      <c r="Z970" s="49"/>
    </row>
    <row r="971">
      <c r="A971" s="49"/>
      <c r="B971" s="49"/>
      <c r="C971" s="49"/>
      <c r="D971" s="49"/>
      <c r="E971" s="106"/>
      <c r="F971" s="49"/>
      <c r="G971" s="49"/>
      <c r="H971" s="49"/>
      <c r="I971" s="49"/>
      <c r="J971" s="49"/>
      <c r="K971" s="49"/>
      <c r="L971" s="49"/>
      <c r="M971" s="49"/>
      <c r="N971" s="49"/>
      <c r="O971" s="49"/>
      <c r="P971" s="49"/>
      <c r="Q971" s="49"/>
      <c r="R971" s="49"/>
      <c r="S971" s="49"/>
      <c r="T971" s="49"/>
      <c r="U971" s="49"/>
      <c r="V971" s="49"/>
      <c r="W971" s="49"/>
      <c r="X971" s="49"/>
      <c r="Y971" s="49"/>
      <c r="Z971" s="49"/>
    </row>
    <row r="972">
      <c r="A972" s="49"/>
      <c r="B972" s="49"/>
      <c r="C972" s="49"/>
      <c r="D972" s="49"/>
      <c r="E972" s="106"/>
      <c r="F972" s="49"/>
      <c r="G972" s="49"/>
      <c r="H972" s="49"/>
      <c r="I972" s="49"/>
      <c r="J972" s="49"/>
      <c r="K972" s="49"/>
      <c r="L972" s="49"/>
      <c r="M972" s="49"/>
      <c r="N972" s="49"/>
      <c r="O972" s="49"/>
      <c r="P972" s="49"/>
      <c r="Q972" s="49"/>
      <c r="R972" s="49"/>
      <c r="S972" s="49"/>
      <c r="T972" s="49"/>
      <c r="U972" s="49"/>
      <c r="V972" s="49"/>
      <c r="W972" s="49"/>
      <c r="X972" s="49"/>
      <c r="Y972" s="49"/>
      <c r="Z972" s="49"/>
    </row>
    <row r="973">
      <c r="A973" s="49"/>
      <c r="B973" s="49"/>
      <c r="C973" s="49"/>
      <c r="D973" s="49"/>
      <c r="E973" s="106"/>
      <c r="F973" s="49"/>
      <c r="G973" s="49"/>
      <c r="H973" s="49"/>
      <c r="I973" s="49"/>
      <c r="J973" s="49"/>
      <c r="K973" s="49"/>
      <c r="L973" s="49"/>
      <c r="M973" s="49"/>
      <c r="N973" s="49"/>
      <c r="O973" s="49"/>
      <c r="P973" s="49"/>
      <c r="Q973" s="49"/>
      <c r="R973" s="49"/>
      <c r="S973" s="49"/>
      <c r="T973" s="49"/>
      <c r="U973" s="49"/>
      <c r="V973" s="49"/>
      <c r="W973" s="49"/>
      <c r="X973" s="49"/>
      <c r="Y973" s="49"/>
      <c r="Z973" s="49"/>
    </row>
    <row r="974">
      <c r="A974" s="49"/>
      <c r="B974" s="49"/>
      <c r="C974" s="49"/>
      <c r="D974" s="49"/>
      <c r="E974" s="106"/>
      <c r="F974" s="49"/>
      <c r="G974" s="49"/>
      <c r="H974" s="49"/>
      <c r="I974" s="49"/>
      <c r="J974" s="49"/>
      <c r="K974" s="49"/>
      <c r="L974" s="49"/>
      <c r="M974" s="49"/>
      <c r="N974" s="49"/>
      <c r="O974" s="49"/>
      <c r="P974" s="49"/>
      <c r="Q974" s="49"/>
      <c r="R974" s="49"/>
      <c r="S974" s="49"/>
      <c r="T974" s="49"/>
      <c r="U974" s="49"/>
      <c r="V974" s="49"/>
      <c r="W974" s="49"/>
      <c r="X974" s="49"/>
      <c r="Y974" s="49"/>
      <c r="Z974" s="49"/>
    </row>
    <row r="975">
      <c r="A975" s="49"/>
      <c r="B975" s="49"/>
      <c r="C975" s="49"/>
      <c r="D975" s="49"/>
      <c r="E975" s="106"/>
      <c r="F975" s="49"/>
      <c r="G975" s="49"/>
      <c r="H975" s="49"/>
      <c r="I975" s="49"/>
      <c r="J975" s="49"/>
      <c r="K975" s="49"/>
      <c r="L975" s="49"/>
      <c r="M975" s="49"/>
      <c r="N975" s="49"/>
      <c r="O975" s="49"/>
      <c r="P975" s="49"/>
      <c r="Q975" s="49"/>
      <c r="R975" s="49"/>
      <c r="S975" s="49"/>
      <c r="T975" s="49"/>
      <c r="U975" s="49"/>
      <c r="V975" s="49"/>
      <c r="W975" s="49"/>
      <c r="X975" s="49"/>
      <c r="Y975" s="49"/>
      <c r="Z975" s="49"/>
    </row>
    <row r="976">
      <c r="A976" s="49"/>
      <c r="B976" s="49"/>
      <c r="C976" s="49"/>
      <c r="D976" s="49"/>
      <c r="E976" s="106"/>
      <c r="F976" s="49"/>
      <c r="G976" s="49"/>
      <c r="H976" s="49"/>
      <c r="I976" s="49"/>
      <c r="J976" s="49"/>
      <c r="K976" s="49"/>
      <c r="L976" s="49"/>
      <c r="M976" s="49"/>
      <c r="N976" s="49"/>
      <c r="O976" s="49"/>
      <c r="P976" s="49"/>
      <c r="Q976" s="49"/>
      <c r="R976" s="49"/>
      <c r="S976" s="49"/>
      <c r="T976" s="49"/>
      <c r="U976" s="49"/>
      <c r="V976" s="49"/>
      <c r="W976" s="49"/>
      <c r="X976" s="49"/>
      <c r="Y976" s="49"/>
      <c r="Z976" s="49"/>
    </row>
    <row r="977">
      <c r="A977" s="49"/>
      <c r="B977" s="49"/>
      <c r="C977" s="49"/>
      <c r="D977" s="49"/>
      <c r="E977" s="106"/>
      <c r="F977" s="49"/>
      <c r="G977" s="49"/>
      <c r="H977" s="49"/>
      <c r="I977" s="49"/>
      <c r="J977" s="49"/>
      <c r="K977" s="49"/>
      <c r="L977" s="49"/>
      <c r="M977" s="49"/>
      <c r="N977" s="49"/>
      <c r="O977" s="49"/>
      <c r="P977" s="49"/>
      <c r="Q977" s="49"/>
      <c r="R977" s="49"/>
      <c r="S977" s="49"/>
      <c r="T977" s="49"/>
      <c r="U977" s="49"/>
      <c r="V977" s="49"/>
      <c r="W977" s="49"/>
      <c r="X977" s="49"/>
      <c r="Y977" s="49"/>
      <c r="Z977" s="49"/>
    </row>
    <row r="978">
      <c r="A978" s="49"/>
      <c r="B978" s="49"/>
      <c r="C978" s="49"/>
      <c r="D978" s="49"/>
      <c r="E978" s="106"/>
      <c r="F978" s="49"/>
      <c r="G978" s="49"/>
      <c r="H978" s="49"/>
      <c r="I978" s="49"/>
      <c r="J978" s="49"/>
      <c r="K978" s="49"/>
      <c r="L978" s="49"/>
      <c r="M978" s="49"/>
      <c r="N978" s="49"/>
      <c r="O978" s="49"/>
      <c r="P978" s="49"/>
      <c r="Q978" s="49"/>
      <c r="R978" s="49"/>
      <c r="S978" s="49"/>
      <c r="T978" s="49"/>
      <c r="U978" s="49"/>
      <c r="V978" s="49"/>
      <c r="W978" s="49"/>
      <c r="X978" s="49"/>
      <c r="Y978" s="49"/>
      <c r="Z978" s="49"/>
    </row>
    <row r="979">
      <c r="A979" s="49"/>
      <c r="B979" s="49"/>
      <c r="C979" s="49"/>
      <c r="D979" s="49"/>
      <c r="E979" s="106"/>
      <c r="F979" s="49"/>
      <c r="G979" s="49"/>
      <c r="H979" s="49"/>
      <c r="I979" s="49"/>
      <c r="J979" s="49"/>
      <c r="K979" s="49"/>
      <c r="L979" s="49"/>
      <c r="M979" s="49"/>
      <c r="N979" s="49"/>
      <c r="O979" s="49"/>
      <c r="P979" s="49"/>
      <c r="Q979" s="49"/>
      <c r="R979" s="49"/>
      <c r="S979" s="49"/>
      <c r="T979" s="49"/>
      <c r="U979" s="49"/>
      <c r="V979" s="49"/>
      <c r="W979" s="49"/>
      <c r="X979" s="49"/>
      <c r="Y979" s="49"/>
      <c r="Z979" s="49"/>
    </row>
    <row r="980">
      <c r="A980" s="49"/>
      <c r="B980" s="49"/>
      <c r="C980" s="49"/>
      <c r="D980" s="49"/>
      <c r="E980" s="106"/>
      <c r="F980" s="49"/>
      <c r="G980" s="49"/>
      <c r="H980" s="49"/>
      <c r="I980" s="49"/>
      <c r="J980" s="49"/>
      <c r="K980" s="49"/>
      <c r="L980" s="49"/>
      <c r="M980" s="49"/>
      <c r="N980" s="49"/>
      <c r="O980" s="49"/>
      <c r="P980" s="49"/>
      <c r="Q980" s="49"/>
      <c r="R980" s="49"/>
      <c r="S980" s="49"/>
      <c r="T980" s="49"/>
      <c r="U980" s="49"/>
      <c r="V980" s="49"/>
      <c r="W980" s="49"/>
      <c r="X980" s="49"/>
      <c r="Y980" s="49"/>
      <c r="Z980" s="49"/>
    </row>
    <row r="981">
      <c r="A981" s="49"/>
      <c r="B981" s="49"/>
      <c r="C981" s="49"/>
      <c r="D981" s="49"/>
      <c r="E981" s="106"/>
      <c r="F981" s="49"/>
      <c r="G981" s="49"/>
      <c r="H981" s="49"/>
      <c r="I981" s="49"/>
      <c r="J981" s="49"/>
      <c r="K981" s="49"/>
      <c r="L981" s="49"/>
      <c r="M981" s="49"/>
      <c r="N981" s="49"/>
      <c r="O981" s="49"/>
      <c r="P981" s="49"/>
      <c r="Q981" s="49"/>
      <c r="R981" s="49"/>
      <c r="S981" s="49"/>
      <c r="T981" s="49"/>
      <c r="U981" s="49"/>
      <c r="V981" s="49"/>
      <c r="W981" s="49"/>
      <c r="X981" s="49"/>
      <c r="Y981" s="49"/>
      <c r="Z981" s="49"/>
    </row>
    <row r="982">
      <c r="A982" s="49"/>
      <c r="B982" s="49"/>
      <c r="C982" s="49"/>
      <c r="D982" s="49"/>
      <c r="E982" s="106"/>
      <c r="F982" s="49"/>
      <c r="G982" s="49"/>
      <c r="H982" s="49"/>
      <c r="I982" s="49"/>
      <c r="J982" s="49"/>
      <c r="K982" s="49"/>
      <c r="L982" s="49"/>
      <c r="M982" s="49"/>
      <c r="N982" s="49"/>
      <c r="O982" s="49"/>
      <c r="P982" s="49"/>
      <c r="Q982" s="49"/>
      <c r="R982" s="49"/>
      <c r="S982" s="49"/>
      <c r="T982" s="49"/>
      <c r="U982" s="49"/>
      <c r="V982" s="49"/>
      <c r="W982" s="49"/>
      <c r="X982" s="49"/>
      <c r="Y982" s="49"/>
      <c r="Z982" s="49"/>
    </row>
    <row r="983">
      <c r="A983" s="49"/>
      <c r="B983" s="49"/>
      <c r="C983" s="49"/>
      <c r="D983" s="49"/>
      <c r="E983" s="106"/>
      <c r="F983" s="49"/>
      <c r="G983" s="49"/>
      <c r="H983" s="49"/>
      <c r="I983" s="49"/>
      <c r="J983" s="49"/>
      <c r="K983" s="49"/>
      <c r="L983" s="49"/>
      <c r="M983" s="49"/>
      <c r="N983" s="49"/>
      <c r="O983" s="49"/>
      <c r="P983" s="49"/>
      <c r="Q983" s="49"/>
      <c r="R983" s="49"/>
      <c r="S983" s="49"/>
      <c r="T983" s="49"/>
      <c r="U983" s="49"/>
      <c r="V983" s="49"/>
      <c r="W983" s="49"/>
      <c r="X983" s="49"/>
      <c r="Y983" s="49"/>
      <c r="Z983" s="49"/>
    </row>
    <row r="984">
      <c r="A984" s="49"/>
      <c r="B984" s="49"/>
      <c r="C984" s="49"/>
      <c r="D984" s="49"/>
      <c r="E984" s="106"/>
      <c r="F984" s="49"/>
      <c r="G984" s="49"/>
      <c r="H984" s="49"/>
      <c r="I984" s="49"/>
      <c r="J984" s="49"/>
      <c r="K984" s="49"/>
      <c r="L984" s="49"/>
      <c r="M984" s="49"/>
      <c r="N984" s="49"/>
      <c r="O984" s="49"/>
      <c r="P984" s="49"/>
      <c r="Q984" s="49"/>
      <c r="R984" s="49"/>
      <c r="S984" s="49"/>
      <c r="T984" s="49"/>
      <c r="U984" s="49"/>
      <c r="V984" s="49"/>
      <c r="W984" s="49"/>
      <c r="X984" s="49"/>
      <c r="Y984" s="49"/>
      <c r="Z984" s="49"/>
    </row>
    <row r="985">
      <c r="A985" s="49"/>
      <c r="B985" s="49"/>
      <c r="C985" s="49"/>
      <c r="D985" s="49"/>
      <c r="E985" s="106"/>
      <c r="F985" s="49"/>
      <c r="G985" s="49"/>
      <c r="H985" s="49"/>
      <c r="I985" s="49"/>
      <c r="J985" s="49"/>
      <c r="K985" s="49"/>
      <c r="L985" s="49"/>
      <c r="M985" s="49"/>
      <c r="N985" s="49"/>
      <c r="O985" s="49"/>
      <c r="P985" s="49"/>
      <c r="Q985" s="49"/>
      <c r="R985" s="49"/>
      <c r="S985" s="49"/>
      <c r="T985" s="49"/>
      <c r="U985" s="49"/>
      <c r="V985" s="49"/>
      <c r="W985" s="49"/>
      <c r="X985" s="49"/>
      <c r="Y985" s="49"/>
      <c r="Z985" s="49"/>
    </row>
    <row r="986">
      <c r="A986" s="49"/>
      <c r="B986" s="49"/>
      <c r="C986" s="49"/>
      <c r="D986" s="49"/>
      <c r="E986" s="106"/>
      <c r="F986" s="49"/>
      <c r="G986" s="49"/>
      <c r="H986" s="49"/>
      <c r="I986" s="49"/>
      <c r="J986" s="49"/>
      <c r="K986" s="49"/>
      <c r="L986" s="49"/>
      <c r="M986" s="49"/>
      <c r="N986" s="49"/>
      <c r="O986" s="49"/>
      <c r="P986" s="49"/>
      <c r="Q986" s="49"/>
      <c r="R986" s="49"/>
      <c r="S986" s="49"/>
      <c r="T986" s="49"/>
      <c r="U986" s="49"/>
      <c r="V986" s="49"/>
      <c r="W986" s="49"/>
      <c r="X986" s="49"/>
      <c r="Y986" s="49"/>
      <c r="Z986" s="49"/>
    </row>
    <row r="987">
      <c r="A987" s="49"/>
      <c r="B987" s="49"/>
      <c r="C987" s="49"/>
      <c r="D987" s="49"/>
      <c r="E987" s="106"/>
      <c r="F987" s="49"/>
      <c r="G987" s="49"/>
      <c r="H987" s="49"/>
      <c r="I987" s="49"/>
      <c r="J987" s="49"/>
      <c r="K987" s="49"/>
      <c r="L987" s="49"/>
      <c r="M987" s="49"/>
      <c r="N987" s="49"/>
      <c r="O987" s="49"/>
      <c r="P987" s="49"/>
      <c r="Q987" s="49"/>
      <c r="R987" s="49"/>
      <c r="S987" s="49"/>
      <c r="T987" s="49"/>
      <c r="U987" s="49"/>
      <c r="V987" s="49"/>
      <c r="W987" s="49"/>
      <c r="X987" s="49"/>
      <c r="Y987" s="49"/>
      <c r="Z987" s="49"/>
    </row>
    <row r="988">
      <c r="A988" s="49"/>
      <c r="B988" s="49"/>
      <c r="C988" s="49"/>
      <c r="D988" s="49"/>
      <c r="E988" s="106"/>
      <c r="F988" s="49"/>
      <c r="G988" s="49"/>
      <c r="H988" s="49"/>
      <c r="I988" s="49"/>
      <c r="J988" s="49"/>
      <c r="K988" s="49"/>
      <c r="L988" s="49"/>
      <c r="M988" s="49"/>
      <c r="N988" s="49"/>
      <c r="O988" s="49"/>
      <c r="P988" s="49"/>
      <c r="Q988" s="49"/>
      <c r="R988" s="49"/>
      <c r="S988" s="49"/>
      <c r="T988" s="49"/>
      <c r="U988" s="49"/>
      <c r="V988" s="49"/>
      <c r="W988" s="49"/>
      <c r="X988" s="49"/>
      <c r="Y988" s="49"/>
      <c r="Z988" s="49"/>
    </row>
    <row r="989">
      <c r="A989" s="49"/>
      <c r="B989" s="49"/>
      <c r="C989" s="49"/>
      <c r="D989" s="49"/>
      <c r="E989" s="106"/>
      <c r="F989" s="49"/>
      <c r="G989" s="49"/>
      <c r="H989" s="49"/>
      <c r="I989" s="49"/>
      <c r="J989" s="49"/>
      <c r="K989" s="49"/>
      <c r="L989" s="49"/>
      <c r="M989" s="49"/>
      <c r="N989" s="49"/>
      <c r="O989" s="49"/>
      <c r="P989" s="49"/>
      <c r="Q989" s="49"/>
      <c r="R989" s="49"/>
      <c r="S989" s="49"/>
      <c r="T989" s="49"/>
      <c r="U989" s="49"/>
      <c r="V989" s="49"/>
      <c r="W989" s="49"/>
      <c r="X989" s="49"/>
      <c r="Y989" s="49"/>
      <c r="Z989" s="49"/>
    </row>
    <row r="990">
      <c r="A990" s="49"/>
      <c r="B990" s="49"/>
      <c r="C990" s="49"/>
      <c r="D990" s="49"/>
      <c r="E990" s="106"/>
      <c r="F990" s="49"/>
      <c r="G990" s="49"/>
      <c r="H990" s="49"/>
      <c r="I990" s="49"/>
      <c r="J990" s="49"/>
      <c r="K990" s="49"/>
      <c r="L990" s="49"/>
      <c r="M990" s="49"/>
      <c r="N990" s="49"/>
      <c r="O990" s="49"/>
      <c r="P990" s="49"/>
      <c r="Q990" s="49"/>
      <c r="R990" s="49"/>
      <c r="S990" s="49"/>
      <c r="T990" s="49"/>
      <c r="U990" s="49"/>
      <c r="V990" s="49"/>
      <c r="W990" s="49"/>
      <c r="X990" s="49"/>
      <c r="Y990" s="49"/>
      <c r="Z990" s="49"/>
    </row>
    <row r="991">
      <c r="A991" s="49"/>
      <c r="B991" s="49"/>
      <c r="C991" s="49"/>
      <c r="D991" s="49"/>
      <c r="E991" s="106"/>
      <c r="F991" s="49"/>
      <c r="G991" s="49"/>
      <c r="H991" s="49"/>
      <c r="I991" s="49"/>
      <c r="J991" s="49"/>
      <c r="K991" s="49"/>
      <c r="L991" s="49"/>
      <c r="M991" s="49"/>
      <c r="N991" s="49"/>
      <c r="O991" s="49"/>
      <c r="P991" s="49"/>
      <c r="Q991" s="49"/>
      <c r="R991" s="49"/>
      <c r="S991" s="49"/>
      <c r="T991" s="49"/>
      <c r="U991" s="49"/>
      <c r="V991" s="49"/>
      <c r="W991" s="49"/>
      <c r="X991" s="49"/>
      <c r="Y991" s="49"/>
      <c r="Z991" s="49"/>
    </row>
    <row r="992">
      <c r="A992" s="49"/>
      <c r="B992" s="49"/>
      <c r="C992" s="49"/>
      <c r="D992" s="49"/>
      <c r="E992" s="106"/>
      <c r="F992" s="49"/>
      <c r="G992" s="49"/>
      <c r="H992" s="49"/>
      <c r="I992" s="49"/>
      <c r="J992" s="49"/>
      <c r="K992" s="49"/>
      <c r="L992" s="49"/>
      <c r="M992" s="49"/>
      <c r="N992" s="49"/>
      <c r="O992" s="49"/>
      <c r="P992" s="49"/>
      <c r="Q992" s="49"/>
      <c r="R992" s="49"/>
      <c r="S992" s="49"/>
      <c r="T992" s="49"/>
      <c r="U992" s="49"/>
      <c r="V992" s="49"/>
      <c r="W992" s="49"/>
      <c r="X992" s="49"/>
      <c r="Y992" s="49"/>
      <c r="Z992" s="49"/>
    </row>
    <row r="993">
      <c r="A993" s="49"/>
      <c r="B993" s="49"/>
      <c r="C993" s="49"/>
      <c r="D993" s="49"/>
      <c r="E993" s="106"/>
      <c r="F993" s="49"/>
      <c r="G993" s="49"/>
      <c r="H993" s="49"/>
      <c r="I993" s="49"/>
      <c r="J993" s="49"/>
      <c r="K993" s="49"/>
      <c r="L993" s="49"/>
      <c r="M993" s="49"/>
      <c r="N993" s="49"/>
      <c r="O993" s="49"/>
      <c r="P993" s="49"/>
      <c r="Q993" s="49"/>
      <c r="R993" s="49"/>
      <c r="S993" s="49"/>
      <c r="T993" s="49"/>
      <c r="U993" s="49"/>
      <c r="V993" s="49"/>
      <c r="W993" s="49"/>
      <c r="X993" s="49"/>
      <c r="Y993" s="49"/>
      <c r="Z993" s="49"/>
    </row>
    <row r="994">
      <c r="A994" s="49"/>
      <c r="B994" s="49"/>
      <c r="C994" s="49"/>
      <c r="D994" s="49"/>
      <c r="E994" s="106"/>
      <c r="F994" s="49"/>
      <c r="G994" s="49"/>
      <c r="H994" s="49"/>
      <c r="I994" s="49"/>
      <c r="J994" s="49"/>
      <c r="K994" s="49"/>
      <c r="L994" s="49"/>
      <c r="M994" s="49"/>
      <c r="N994" s="49"/>
      <c r="O994" s="49"/>
      <c r="P994" s="49"/>
      <c r="Q994" s="49"/>
      <c r="R994" s="49"/>
      <c r="S994" s="49"/>
      <c r="T994" s="49"/>
      <c r="U994" s="49"/>
      <c r="V994" s="49"/>
      <c r="W994" s="49"/>
      <c r="X994" s="49"/>
      <c r="Y994" s="49"/>
      <c r="Z994" s="49"/>
    </row>
    <row r="995">
      <c r="A995" s="49"/>
      <c r="B995" s="49"/>
      <c r="C995" s="49"/>
      <c r="D995" s="49"/>
      <c r="E995" s="106"/>
      <c r="F995" s="49"/>
      <c r="G995" s="49"/>
      <c r="H995" s="49"/>
      <c r="I995" s="49"/>
      <c r="J995" s="49"/>
      <c r="K995" s="49"/>
      <c r="L995" s="49"/>
      <c r="M995" s="49"/>
      <c r="N995" s="49"/>
      <c r="O995" s="49"/>
      <c r="P995" s="49"/>
      <c r="Q995" s="49"/>
      <c r="R995" s="49"/>
      <c r="S995" s="49"/>
      <c r="T995" s="49"/>
      <c r="U995" s="49"/>
      <c r="V995" s="49"/>
      <c r="W995" s="49"/>
      <c r="X995" s="49"/>
      <c r="Y995" s="49"/>
      <c r="Z995" s="49"/>
    </row>
    <row r="996">
      <c r="A996" s="49"/>
      <c r="B996" s="49"/>
      <c r="C996" s="49"/>
      <c r="D996" s="49"/>
      <c r="E996" s="106"/>
      <c r="F996" s="49"/>
      <c r="G996" s="49"/>
      <c r="H996" s="49"/>
      <c r="I996" s="49"/>
      <c r="J996" s="49"/>
      <c r="K996" s="49"/>
      <c r="L996" s="49"/>
      <c r="M996" s="49"/>
      <c r="N996" s="49"/>
      <c r="O996" s="49"/>
      <c r="P996" s="49"/>
      <c r="Q996" s="49"/>
      <c r="R996" s="49"/>
      <c r="S996" s="49"/>
      <c r="T996" s="49"/>
      <c r="U996" s="49"/>
      <c r="V996" s="49"/>
      <c r="W996" s="49"/>
      <c r="X996" s="49"/>
      <c r="Y996" s="49"/>
      <c r="Z996" s="49"/>
    </row>
    <row r="997">
      <c r="A997" s="49"/>
      <c r="B997" s="49"/>
      <c r="C997" s="49"/>
      <c r="D997" s="49"/>
      <c r="E997" s="106"/>
      <c r="F997" s="49"/>
      <c r="G997" s="49"/>
      <c r="H997" s="49"/>
      <c r="I997" s="49"/>
      <c r="J997" s="49"/>
      <c r="K997" s="49"/>
      <c r="L997" s="49"/>
      <c r="M997" s="49"/>
      <c r="N997" s="49"/>
      <c r="O997" s="49"/>
      <c r="P997" s="49"/>
      <c r="Q997" s="49"/>
      <c r="R997" s="49"/>
      <c r="S997" s="49"/>
      <c r="T997" s="49"/>
      <c r="U997" s="49"/>
      <c r="V997" s="49"/>
      <c r="W997" s="49"/>
      <c r="X997" s="49"/>
      <c r="Y997" s="49"/>
      <c r="Z997" s="49"/>
    </row>
    <row r="998">
      <c r="A998" s="49"/>
      <c r="B998" s="49"/>
      <c r="C998" s="49"/>
      <c r="D998" s="49"/>
      <c r="E998" s="106"/>
      <c r="F998" s="49"/>
      <c r="G998" s="49"/>
      <c r="H998" s="49"/>
      <c r="I998" s="49"/>
      <c r="J998" s="49"/>
      <c r="K998" s="49"/>
      <c r="L998" s="49"/>
      <c r="M998" s="49"/>
      <c r="N998" s="49"/>
      <c r="O998" s="49"/>
      <c r="P998" s="49"/>
      <c r="Q998" s="49"/>
      <c r="R998" s="49"/>
      <c r="S998" s="49"/>
      <c r="T998" s="49"/>
      <c r="U998" s="49"/>
      <c r="V998" s="49"/>
      <c r="W998" s="49"/>
      <c r="X998" s="49"/>
      <c r="Y998" s="49"/>
      <c r="Z998" s="49"/>
    </row>
    <row r="999">
      <c r="A999" s="49"/>
      <c r="B999" s="49"/>
      <c r="C999" s="49"/>
      <c r="D999" s="49"/>
      <c r="E999" s="106"/>
      <c r="F999" s="49"/>
      <c r="G999" s="49"/>
      <c r="H999" s="49"/>
      <c r="I999" s="49"/>
      <c r="J999" s="49"/>
      <c r="K999" s="49"/>
      <c r="L999" s="49"/>
      <c r="M999" s="49"/>
      <c r="N999" s="49"/>
      <c r="O999" s="49"/>
      <c r="P999" s="49"/>
      <c r="Q999" s="49"/>
      <c r="R999" s="49"/>
      <c r="S999" s="49"/>
      <c r="T999" s="49"/>
      <c r="U999" s="49"/>
      <c r="V999" s="49"/>
      <c r="W999" s="49"/>
      <c r="X999" s="49"/>
      <c r="Y999" s="49"/>
      <c r="Z999" s="49"/>
    </row>
    <row r="1000">
      <c r="A1000" s="49"/>
      <c r="B1000" s="49"/>
      <c r="C1000" s="49"/>
      <c r="D1000" s="49"/>
      <c r="E1000" s="106"/>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s>
  <sheetData>
    <row r="1">
      <c r="A1" s="49" t="str">
        <f>IFERROR(__xludf.DUMMYFUNCTION("IMPORTRANGE(""https://docs.google.com/spreadsheets/d/""&amp;Config!B2,""Towns!$A:$AX"")"),"Name")</f>
        <v>Name</v>
      </c>
      <c r="B1" s="49" t="str">
        <f>IFERROR(__xludf.DUMMYFUNCTION("""COMPUTED_VALUE"""),"Description")</f>
        <v>Description</v>
      </c>
      <c r="C1" s="49" t="str">
        <f>IFERROR(__xludf.DUMMYFUNCTION("""COMPUTED_VALUE"""),"World")</f>
        <v>World</v>
      </c>
      <c r="D1" s="49" t="str">
        <f>IFERROR(__xludf.DUMMYFUNCTION("""COMPUTED_VALUE"""),"Link to Town Market/Bank")</f>
        <v>Link to Town Market/Bank</v>
      </c>
      <c r="E1" s="49" t="str">
        <f>IFERROR(__xludf.DUMMYFUNCTION("""COMPUTED_VALUE"""),"Bank Vault")</f>
        <v>Bank Vault</v>
      </c>
      <c r="F1" s="49" t="str">
        <f>IFERROR(__xludf.DUMMYFUNCTION("""COMPUTED_VALUE"""),"Bank Currency Type")</f>
        <v>Bank Currency Type</v>
      </c>
      <c r="G1" s="49"/>
      <c r="H1" s="49"/>
      <c r="I1" s="49"/>
      <c r="J1" s="49"/>
      <c r="K1" s="49"/>
      <c r="L1" s="49"/>
      <c r="M1" s="49"/>
      <c r="N1" s="49"/>
      <c r="O1" s="49"/>
      <c r="P1" s="49"/>
      <c r="Q1" s="49"/>
      <c r="R1" s="49"/>
      <c r="S1" s="49"/>
      <c r="T1" s="49"/>
      <c r="U1" s="49"/>
      <c r="V1" s="49"/>
      <c r="W1" s="49"/>
      <c r="X1" s="49"/>
      <c r="Y1" s="49"/>
      <c r="Z1" s="49"/>
    </row>
    <row r="2">
      <c r="A2" s="49" t="str">
        <f>IFERROR(__xludf.DUMMYFUNCTION("""COMPUTED_VALUE"""),"Blackhorn")</f>
        <v>Blackhorn</v>
      </c>
      <c r="B2" s="49"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49" t="str">
        <f>IFERROR(__xludf.DUMMYFUNCTION("""COMPUTED_VALUE"""),"Land of Spira")</f>
        <v>Land of Spira</v>
      </c>
      <c r="D2" s="49"/>
      <c r="E2" s="106">
        <f>IFERROR(__xludf.DUMMYFUNCTION("""COMPUTED_VALUE"""),1.05E9)</f>
        <v>1050000000</v>
      </c>
      <c r="F2" s="49" t="str">
        <f>IFERROR(__xludf.DUMMYFUNCTION("""COMPUTED_VALUE"""),"Gilder")</f>
        <v>Gilder</v>
      </c>
      <c r="G2" s="49"/>
      <c r="H2" s="49"/>
      <c r="I2" s="49"/>
      <c r="J2" s="49"/>
      <c r="K2" s="49"/>
      <c r="L2" s="49"/>
      <c r="M2" s="49"/>
      <c r="N2" s="49"/>
      <c r="O2" s="49"/>
      <c r="P2" s="49"/>
      <c r="Q2" s="49"/>
      <c r="R2" s="49"/>
      <c r="S2" s="49"/>
      <c r="T2" s="49"/>
      <c r="U2" s="49"/>
      <c r="V2" s="49"/>
      <c r="W2" s="49"/>
      <c r="X2" s="49"/>
      <c r="Y2" s="49"/>
      <c r="Z2" s="49"/>
    </row>
    <row r="3">
      <c r="A3" s="49" t="str">
        <f>IFERROR(__xludf.DUMMYFUNCTION("""COMPUTED_VALUE"""),"Chaotic Seas")</f>
        <v>Chaotic Seas</v>
      </c>
      <c r="B3" s="49"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49" t="str">
        <f>IFERROR(__xludf.DUMMYFUNCTION("""COMPUTED_VALUE"""),"Land of Spira")</f>
        <v>Land of Spira</v>
      </c>
      <c r="D3" s="49"/>
      <c r="E3" s="106">
        <f>IFERROR(__xludf.DUMMYFUNCTION("""COMPUTED_VALUE"""),1.0E9)</f>
        <v>1000000000</v>
      </c>
      <c r="F3" s="49" t="str">
        <f>IFERROR(__xludf.DUMMYFUNCTION("""COMPUTED_VALUE"""),"Gilder")</f>
        <v>Gilder</v>
      </c>
      <c r="G3" s="49"/>
      <c r="H3" s="49"/>
      <c r="I3" s="49"/>
      <c r="J3" s="49"/>
      <c r="K3" s="49"/>
      <c r="L3" s="49"/>
      <c r="M3" s="49"/>
      <c r="N3" s="49"/>
      <c r="O3" s="49"/>
      <c r="P3" s="49"/>
      <c r="Q3" s="49"/>
      <c r="R3" s="49"/>
      <c r="S3" s="49"/>
      <c r="T3" s="49"/>
      <c r="U3" s="49"/>
      <c r="V3" s="49"/>
      <c r="W3" s="49"/>
      <c r="X3" s="49"/>
      <c r="Y3" s="49"/>
      <c r="Z3" s="49"/>
    </row>
    <row r="4">
      <c r="A4" s="49" t="str">
        <f>IFERROR(__xludf.DUMMYFUNCTION("""COMPUTED_VALUE"""),"Civille")</f>
        <v>Civille</v>
      </c>
      <c r="B4" s="49"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49" t="str">
        <f>IFERROR(__xludf.DUMMYFUNCTION("""COMPUTED_VALUE"""),"Land of Spira")</f>
        <v>Land of Spira</v>
      </c>
      <c r="D4" s="49"/>
      <c r="E4" s="106">
        <f>IFERROR(__xludf.DUMMYFUNCTION("""COMPUTED_VALUE"""),1.00401E9)</f>
        <v>1004010000</v>
      </c>
      <c r="F4" s="49" t="str">
        <f>IFERROR(__xludf.DUMMYFUNCTION("""COMPUTED_VALUE"""),"Gilder")</f>
        <v>Gilder</v>
      </c>
      <c r="G4" s="49"/>
      <c r="H4" s="49"/>
      <c r="I4" s="49"/>
      <c r="J4" s="49"/>
      <c r="K4" s="49"/>
      <c r="L4" s="49"/>
      <c r="M4" s="49"/>
      <c r="N4" s="49"/>
      <c r="O4" s="49"/>
      <c r="P4" s="49"/>
      <c r="Q4" s="49"/>
      <c r="R4" s="49"/>
      <c r="S4" s="49"/>
      <c r="T4" s="49"/>
      <c r="U4" s="49"/>
      <c r="V4" s="49"/>
      <c r="W4" s="49"/>
      <c r="X4" s="49"/>
      <c r="Y4" s="49"/>
      <c r="Z4" s="49"/>
    </row>
    <row r="5">
      <c r="A5" s="49" t="str">
        <f>IFERROR(__xludf.DUMMYFUNCTION("""COMPUTED_VALUE"""),"Crystal Cave")</f>
        <v>Crystal Cave</v>
      </c>
      <c r="B5" s="49" t="str">
        <f>IFERROR(__xludf.DUMMYFUNCTION("""COMPUTED_VALUE"""),"A cavern city made of gemstones and mostly crystals. Home to The Crystal King and undead Citizens.")</f>
        <v>A cavern city made of gemstones and mostly crystals. Home to The Crystal King and undead Citizens.</v>
      </c>
      <c r="C5" s="49" t="str">
        <f>IFERROR(__xludf.DUMMYFUNCTION("""COMPUTED_VALUE"""),"Land of Spira")</f>
        <v>Land of Spira</v>
      </c>
      <c r="D5" s="49"/>
      <c r="E5" s="106">
        <f>IFERROR(__xludf.DUMMYFUNCTION("""COMPUTED_VALUE"""),1.0E9)</f>
        <v>1000000000</v>
      </c>
      <c r="F5" s="49" t="str">
        <f>IFERROR(__xludf.DUMMYFUNCTION("""COMPUTED_VALUE"""),"Gilder")</f>
        <v>Gilder</v>
      </c>
      <c r="G5" s="49"/>
      <c r="H5" s="49"/>
      <c r="I5" s="49"/>
      <c r="J5" s="49"/>
      <c r="K5" s="49"/>
      <c r="L5" s="49"/>
      <c r="M5" s="49"/>
      <c r="N5" s="49"/>
      <c r="O5" s="49"/>
      <c r="P5" s="49"/>
      <c r="Q5" s="49"/>
      <c r="R5" s="49"/>
      <c r="S5" s="49"/>
      <c r="T5" s="49"/>
      <c r="U5" s="49"/>
      <c r="V5" s="49"/>
      <c r="W5" s="49"/>
      <c r="X5" s="49"/>
      <c r="Y5" s="49"/>
      <c r="Z5" s="49"/>
    </row>
    <row r="6">
      <c r="A6" s="49" t="str">
        <f>IFERROR(__xludf.DUMMYFUNCTION("""COMPUTED_VALUE"""),"Cursed Iceland")</f>
        <v>Cursed Iceland</v>
      </c>
      <c r="B6" s="49"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49" t="str">
        <f>IFERROR(__xludf.DUMMYFUNCTION("""COMPUTED_VALUE"""),"Land of Spira")</f>
        <v>Land of Spira</v>
      </c>
      <c r="D6" s="49"/>
      <c r="E6" s="106">
        <f>IFERROR(__xludf.DUMMYFUNCTION("""COMPUTED_VALUE"""),1.0E9)</f>
        <v>1000000000</v>
      </c>
      <c r="F6" s="49" t="str">
        <f>IFERROR(__xludf.DUMMYFUNCTION("""COMPUTED_VALUE"""),"Gilder")</f>
        <v>Gilder</v>
      </c>
      <c r="G6" s="49"/>
      <c r="H6" s="49"/>
      <c r="I6" s="49"/>
      <c r="J6" s="49"/>
      <c r="K6" s="49"/>
      <c r="L6" s="49"/>
      <c r="M6" s="49"/>
      <c r="N6" s="49"/>
      <c r="O6" s="49"/>
      <c r="P6" s="49"/>
      <c r="Q6" s="49"/>
      <c r="R6" s="49"/>
      <c r="S6" s="49"/>
      <c r="T6" s="49"/>
      <c r="U6" s="49"/>
      <c r="V6" s="49"/>
      <c r="W6" s="49"/>
      <c r="X6" s="49"/>
      <c r="Y6" s="49"/>
      <c r="Z6" s="49"/>
    </row>
    <row r="7">
      <c r="A7" s="49" t="str">
        <f>IFERROR(__xludf.DUMMYFUNCTION("""COMPUTED_VALUE"""),"Dead Forest")</f>
        <v>Dead Forest</v>
      </c>
      <c r="B7" s="49" t="str">
        <f>IFERROR(__xludf.DUMMYFUNCTION("""COMPUTED_VALUE"""),"A forest of dead trees surrounded by undead and a hidden city beneath the forest.")</f>
        <v>A forest of dead trees surrounded by undead and a hidden city beneath the forest.</v>
      </c>
      <c r="C7" s="49" t="str">
        <f>IFERROR(__xludf.DUMMYFUNCTION("""COMPUTED_VALUE"""),"Land of Spira")</f>
        <v>Land of Spira</v>
      </c>
      <c r="D7" s="49"/>
      <c r="E7" s="106">
        <f>IFERROR(__xludf.DUMMYFUNCTION("""COMPUTED_VALUE"""),1.0E9)</f>
        <v>1000000000</v>
      </c>
      <c r="F7" s="49" t="str">
        <f>IFERROR(__xludf.DUMMYFUNCTION("""COMPUTED_VALUE"""),"Gilder")</f>
        <v>Gilder</v>
      </c>
      <c r="G7" s="49"/>
      <c r="H7" s="49"/>
      <c r="I7" s="49"/>
      <c r="J7" s="49"/>
      <c r="K7" s="49"/>
      <c r="L7" s="49"/>
      <c r="M7" s="49"/>
      <c r="N7" s="49"/>
      <c r="O7" s="49"/>
      <c r="P7" s="49"/>
      <c r="Q7" s="49"/>
      <c r="R7" s="49"/>
      <c r="S7" s="49"/>
      <c r="T7" s="49"/>
      <c r="U7" s="49"/>
      <c r="V7" s="49"/>
      <c r="W7" s="49"/>
      <c r="X7" s="49"/>
      <c r="Y7" s="49"/>
      <c r="Z7" s="49"/>
    </row>
    <row r="8">
      <c r="A8" s="49" t="str">
        <f>IFERROR(__xludf.DUMMYFUNCTION("""COMPUTED_VALUE"""),"Desert island")</f>
        <v>Desert island</v>
      </c>
      <c r="B8" s="49" t="str">
        <f>IFERROR(__xludf.DUMMYFUNCTION("""COMPUTED_VALUE"""),"Founded and Ruled by King Zorgod. A very powerful kingdom for its size that is protected by giant sand worms.")</f>
        <v>Founded and Ruled by King Zorgod. A very powerful kingdom for its size that is protected by giant sand worms.</v>
      </c>
      <c r="C8" s="49" t="str">
        <f>IFERROR(__xludf.DUMMYFUNCTION("""COMPUTED_VALUE"""),"Land of Spira")</f>
        <v>Land of Spira</v>
      </c>
      <c r="D8" s="49"/>
      <c r="E8" s="106">
        <f>IFERROR(__xludf.DUMMYFUNCTION("""COMPUTED_VALUE"""),1.0E9)</f>
        <v>1000000000</v>
      </c>
      <c r="F8" s="49" t="str">
        <f>IFERROR(__xludf.DUMMYFUNCTION("""COMPUTED_VALUE"""),"Gilder")</f>
        <v>Gilder</v>
      </c>
      <c r="G8" s="49"/>
      <c r="H8" s="49"/>
      <c r="I8" s="49"/>
      <c r="J8" s="49"/>
      <c r="K8" s="49"/>
      <c r="L8" s="49"/>
      <c r="M8" s="49"/>
      <c r="N8" s="49"/>
      <c r="O8" s="49"/>
      <c r="P8" s="49"/>
      <c r="Q8" s="49"/>
      <c r="R8" s="49"/>
      <c r="S8" s="49"/>
      <c r="T8" s="49"/>
      <c r="U8" s="49"/>
      <c r="V8" s="49"/>
      <c r="W8" s="49"/>
      <c r="X8" s="49"/>
      <c r="Y8" s="49"/>
      <c r="Z8" s="49"/>
    </row>
    <row r="9">
      <c r="A9" s="49" t="str">
        <f>IFERROR(__xludf.DUMMYFUNCTION("""COMPUTED_VALUE"""),"Docile Plains")</f>
        <v>Docile Plains</v>
      </c>
      <c r="B9" s="49"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49" t="str">
        <f>IFERROR(__xludf.DUMMYFUNCTION("""COMPUTED_VALUE"""),"Land of Spira")</f>
        <v>Land of Spira</v>
      </c>
      <c r="D9" s="49"/>
      <c r="E9" s="106">
        <f>IFERROR(__xludf.DUMMYFUNCTION("""COMPUTED_VALUE"""),1.0E9)</f>
        <v>1000000000</v>
      </c>
      <c r="F9" s="49" t="str">
        <f>IFERROR(__xludf.DUMMYFUNCTION("""COMPUTED_VALUE"""),"Gilder")</f>
        <v>Gilder</v>
      </c>
      <c r="G9" s="49"/>
      <c r="H9" s="49"/>
      <c r="I9" s="49"/>
      <c r="J9" s="49"/>
      <c r="K9" s="49"/>
      <c r="L9" s="49"/>
      <c r="M9" s="49"/>
      <c r="N9" s="49"/>
      <c r="O9" s="49"/>
      <c r="P9" s="49"/>
      <c r="Q9" s="49"/>
      <c r="R9" s="49"/>
      <c r="S9" s="49"/>
      <c r="T9" s="49"/>
      <c r="U9" s="49"/>
      <c r="V9" s="49"/>
      <c r="W9" s="49"/>
      <c r="X9" s="49"/>
      <c r="Y9" s="49"/>
      <c r="Z9" s="49"/>
    </row>
    <row r="10">
      <c r="A10" s="49" t="str">
        <f>IFERROR(__xludf.DUMMYFUNCTION("""COMPUTED_VALUE"""),"Dryland Desert")</f>
        <v>Dryland Desert</v>
      </c>
      <c r="B10" s="49"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49" t="str">
        <f>IFERROR(__xludf.DUMMYFUNCTION("""COMPUTED_VALUE"""),"Land of Spira")</f>
        <v>Land of Spira</v>
      </c>
      <c r="D10" s="49"/>
      <c r="E10" s="106">
        <f>IFERROR(__xludf.DUMMYFUNCTION("""COMPUTED_VALUE"""),1.0E9)</f>
        <v>1000000000</v>
      </c>
      <c r="F10" s="49" t="str">
        <f>IFERROR(__xludf.DUMMYFUNCTION("""COMPUTED_VALUE"""),"Gilder")</f>
        <v>Gilder</v>
      </c>
      <c r="G10" s="49"/>
      <c r="H10" s="49"/>
      <c r="I10" s="49"/>
      <c r="J10" s="49"/>
      <c r="K10" s="49"/>
      <c r="L10" s="49"/>
      <c r="M10" s="49"/>
      <c r="N10" s="49"/>
      <c r="O10" s="49"/>
      <c r="P10" s="49"/>
      <c r="Q10" s="49"/>
      <c r="R10" s="49"/>
      <c r="S10" s="49"/>
      <c r="T10" s="49"/>
      <c r="U10" s="49"/>
      <c r="V10" s="49"/>
      <c r="W10" s="49"/>
      <c r="X10" s="49"/>
      <c r="Y10" s="49"/>
      <c r="Z10" s="49"/>
    </row>
    <row r="11">
      <c r="A11" s="49" t="str">
        <f>IFERROR(__xludf.DUMMYFUNCTION("""COMPUTED_VALUE"""),"Dryland Mesa")</f>
        <v>Dryland Mesa</v>
      </c>
      <c r="B11" s="49"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49" t="str">
        <f>IFERROR(__xludf.DUMMYFUNCTION("""COMPUTED_VALUE"""),"Land of Spira")</f>
        <v>Land of Spira</v>
      </c>
      <c r="D11" s="49"/>
      <c r="E11" s="106">
        <f>IFERROR(__xludf.DUMMYFUNCTION("""COMPUTED_VALUE"""),1.0E9)</f>
        <v>1000000000</v>
      </c>
      <c r="F11" s="49" t="str">
        <f>IFERROR(__xludf.DUMMYFUNCTION("""COMPUTED_VALUE"""),"Gilder")</f>
        <v>Gilder</v>
      </c>
      <c r="G11" s="49"/>
      <c r="H11" s="49"/>
      <c r="I11" s="49"/>
      <c r="J11" s="49"/>
      <c r="K11" s="49"/>
      <c r="L11" s="49"/>
      <c r="M11" s="49"/>
      <c r="N11" s="49"/>
      <c r="O11" s="49"/>
      <c r="P11" s="49"/>
      <c r="Q11" s="49"/>
      <c r="R11" s="49"/>
      <c r="S11" s="49"/>
      <c r="T11" s="49"/>
      <c r="U11" s="49"/>
      <c r="V11" s="49"/>
      <c r="W11" s="49"/>
      <c r="X11" s="49"/>
      <c r="Y11" s="49"/>
      <c r="Z11" s="49"/>
    </row>
    <row r="12">
      <c r="A12" s="49" t="str">
        <f>IFERROR(__xludf.DUMMYFUNCTION("""COMPUTED_VALUE"""),"Fertile Plains")</f>
        <v>Fertile Plains</v>
      </c>
      <c r="B12" s="49"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49" t="str">
        <f>IFERROR(__xludf.DUMMYFUNCTION("""COMPUTED_VALUE"""),"Land of Spira")</f>
        <v>Land of Spira</v>
      </c>
      <c r="D12" s="49"/>
      <c r="E12" s="106">
        <f>IFERROR(__xludf.DUMMYFUNCTION("""COMPUTED_VALUE"""),1.03E9)</f>
        <v>1030000000</v>
      </c>
      <c r="F12" s="49" t="str">
        <f>IFERROR(__xludf.DUMMYFUNCTION("""COMPUTED_VALUE"""),"Gilder")</f>
        <v>Gilder</v>
      </c>
      <c r="G12" s="49"/>
      <c r="H12" s="49"/>
      <c r="I12" s="49"/>
      <c r="J12" s="49"/>
      <c r="K12" s="49"/>
      <c r="L12" s="49"/>
      <c r="M12" s="49"/>
      <c r="N12" s="49"/>
      <c r="O12" s="49"/>
      <c r="P12" s="49"/>
      <c r="Q12" s="49"/>
      <c r="R12" s="49"/>
      <c r="S12" s="49"/>
      <c r="T12" s="49"/>
      <c r="U12" s="49"/>
      <c r="V12" s="49"/>
      <c r="W12" s="49"/>
      <c r="X12" s="49"/>
      <c r="Y12" s="49"/>
      <c r="Z12" s="49"/>
    </row>
    <row r="13">
      <c r="A13" s="49" t="str">
        <f>IFERROR(__xludf.DUMMYFUNCTION("""COMPUTED_VALUE"""),"Fire Tiki Mountain")</f>
        <v>Fire Tiki Mountain</v>
      </c>
      <c r="B13" s="49"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49" t="str">
        <f>IFERROR(__xludf.DUMMYFUNCTION("""COMPUTED_VALUE"""),"Land of Spira")</f>
        <v>Land of Spira</v>
      </c>
      <c r="D13" s="49"/>
      <c r="E13" s="106">
        <f>IFERROR(__xludf.DUMMYFUNCTION("""COMPUTED_VALUE"""),1.0E9)</f>
        <v>1000000000</v>
      </c>
      <c r="F13" s="49" t="str">
        <f>IFERROR(__xludf.DUMMYFUNCTION("""COMPUTED_VALUE"""),"Gilder")</f>
        <v>Gilder</v>
      </c>
      <c r="G13" s="49"/>
      <c r="H13" s="49"/>
      <c r="I13" s="49"/>
      <c r="J13" s="49"/>
      <c r="K13" s="49"/>
      <c r="L13" s="49"/>
      <c r="M13" s="49"/>
      <c r="N13" s="49"/>
      <c r="O13" s="49"/>
      <c r="P13" s="49"/>
      <c r="Q13" s="49"/>
      <c r="R13" s="49"/>
      <c r="S13" s="49"/>
      <c r="T13" s="49"/>
      <c r="U13" s="49"/>
      <c r="V13" s="49"/>
      <c r="W13" s="49"/>
      <c r="X13" s="49"/>
      <c r="Y13" s="49"/>
      <c r="Z13" s="49"/>
    </row>
    <row r="14">
      <c r="A14" s="49" t="str">
        <f>IFERROR(__xludf.DUMMYFUNCTION("""COMPUTED_VALUE"""),"Forest View")</f>
        <v>Forest View</v>
      </c>
      <c r="B14" s="49" t="str">
        <f>IFERROR(__xludf.DUMMYFUNCTION("""COMPUTED_VALUE"""),"A forest like city almost everyone wants to set on fire.")</f>
        <v>A forest like city almost everyone wants to set on fire.</v>
      </c>
      <c r="C14" s="49" t="str">
        <f>IFERROR(__xludf.DUMMYFUNCTION("""COMPUTED_VALUE"""),"Land of Spira")</f>
        <v>Land of Spira</v>
      </c>
      <c r="D14" s="49"/>
      <c r="E14" s="106">
        <f>IFERROR(__xludf.DUMMYFUNCTION("""COMPUTED_VALUE"""),1.0511E9)</f>
        <v>1051100000</v>
      </c>
      <c r="F14" s="49" t="str">
        <f>IFERROR(__xludf.DUMMYFUNCTION("""COMPUTED_VALUE"""),"Gilder")</f>
        <v>Gilder</v>
      </c>
      <c r="G14" s="49"/>
      <c r="H14" s="49"/>
      <c r="I14" s="49"/>
      <c r="J14" s="49"/>
      <c r="K14" s="49"/>
      <c r="L14" s="49"/>
      <c r="M14" s="49"/>
      <c r="N14" s="49"/>
      <c r="O14" s="49"/>
      <c r="P14" s="49"/>
      <c r="Q14" s="49"/>
      <c r="R14" s="49"/>
      <c r="S14" s="49"/>
      <c r="T14" s="49"/>
      <c r="U14" s="49"/>
      <c r="V14" s="49"/>
      <c r="W14" s="49"/>
      <c r="X14" s="49"/>
      <c r="Y14" s="49"/>
      <c r="Z14" s="49"/>
    </row>
    <row r="15">
      <c r="A15" s="49"/>
      <c r="B15" s="49"/>
      <c r="C15" s="49"/>
      <c r="D15" s="49"/>
      <c r="E15" s="49"/>
      <c r="F15" s="49" t="str">
        <f>IFERROR(__xludf.DUMMYFUNCTION("""COMPUTED_VALUE"""),"Gilder")</f>
        <v>Gilder</v>
      </c>
      <c r="G15" s="49"/>
      <c r="H15" s="49"/>
      <c r="I15" s="49"/>
      <c r="J15" s="49"/>
      <c r="K15" s="49"/>
      <c r="L15" s="49"/>
      <c r="M15" s="49"/>
      <c r="N15" s="49"/>
      <c r="O15" s="49"/>
      <c r="P15" s="49"/>
      <c r="Q15" s="49"/>
      <c r="R15" s="49"/>
      <c r="S15" s="49"/>
      <c r="T15" s="49"/>
      <c r="U15" s="49"/>
      <c r="V15" s="49"/>
      <c r="W15" s="49"/>
      <c r="X15" s="49"/>
      <c r="Y15" s="49"/>
      <c r="Z15" s="49"/>
    </row>
    <row r="16">
      <c r="A16" s="49" t="str">
        <f>IFERROR(__xludf.DUMMYFUNCTION("""COMPUTED_VALUE"""),"Foul Night Swamp")</f>
        <v>Foul Night Swamp</v>
      </c>
      <c r="B16" s="49" t="str">
        <f>IFERROR(__xludf.DUMMYFUNCTION("""COMPUTED_VALUE"""),"Boadreing Hallowtown, Wildwood, and Docile Plains, Is the Foul Night Swamp, Full of Darkness and Mystery.")</f>
        <v>Boadreing Hallowtown, Wildwood, and Docile Plains, Is the Foul Night Swamp, Full of Darkness and Mystery.</v>
      </c>
      <c r="C16" s="49" t="str">
        <f>IFERROR(__xludf.DUMMYFUNCTION("""COMPUTED_VALUE"""),"Land of Spira")</f>
        <v>Land of Spira</v>
      </c>
      <c r="D16" s="49"/>
      <c r="E16" s="106">
        <f>IFERROR(__xludf.DUMMYFUNCTION("""COMPUTED_VALUE"""),2.0235E9)</f>
        <v>2023500000</v>
      </c>
      <c r="F16" s="49" t="str">
        <f>IFERROR(__xludf.DUMMYFUNCTION("""COMPUTED_VALUE"""),"Gilder")</f>
        <v>Gilder</v>
      </c>
      <c r="G16" s="49"/>
      <c r="H16" s="49"/>
      <c r="I16" s="49"/>
      <c r="J16" s="49"/>
      <c r="K16" s="49"/>
      <c r="L16" s="49"/>
      <c r="M16" s="49"/>
      <c r="N16" s="49"/>
      <c r="O16" s="49"/>
      <c r="P16" s="49"/>
      <c r="Q16" s="49"/>
      <c r="R16" s="49"/>
      <c r="S16" s="49"/>
      <c r="T16" s="49"/>
      <c r="U16" s="49"/>
      <c r="V16" s="49"/>
      <c r="W16" s="49"/>
      <c r="X16" s="49"/>
      <c r="Y16" s="49"/>
      <c r="Z16" s="49"/>
    </row>
    <row r="17">
      <c r="A17" s="49" t="str">
        <f>IFERROR(__xludf.DUMMYFUNCTION("""COMPUTED_VALUE"""),"Northern Frozen Terrain")</f>
        <v>Northern Frozen Terrain</v>
      </c>
      <c r="B17" s="49"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49" t="str">
        <f>IFERROR(__xludf.DUMMYFUNCTION("""COMPUTED_VALUE"""),"Land of Spira")</f>
        <v>Land of Spira</v>
      </c>
      <c r="D17" s="49"/>
      <c r="E17" s="106">
        <f>IFERROR(__xludf.DUMMYFUNCTION("""COMPUTED_VALUE"""),1.0E9)</f>
        <v>1000000000</v>
      </c>
      <c r="F17" s="49" t="str">
        <f>IFERROR(__xludf.DUMMYFUNCTION("""COMPUTED_VALUE"""),"Gilder")</f>
        <v>Gilder</v>
      </c>
      <c r="G17" s="49"/>
      <c r="H17" s="49"/>
      <c r="I17" s="49"/>
      <c r="J17" s="49"/>
      <c r="K17" s="49"/>
      <c r="L17" s="49"/>
      <c r="M17" s="49"/>
      <c r="N17" s="49"/>
      <c r="O17" s="49"/>
      <c r="P17" s="49"/>
      <c r="Q17" s="49"/>
      <c r="R17" s="49"/>
      <c r="S17" s="49"/>
      <c r="T17" s="49"/>
      <c r="U17" s="49"/>
      <c r="V17" s="49"/>
      <c r="W17" s="49"/>
      <c r="X17" s="49"/>
      <c r="Y17" s="49"/>
      <c r="Z17" s="49"/>
    </row>
    <row r="18">
      <c r="A18" s="49" t="str">
        <f>IFERROR(__xludf.DUMMYFUNCTION("""COMPUTED_VALUE"""),"Eastern Frozen Terrain")</f>
        <v>Eastern Frozen Terrain</v>
      </c>
      <c r="B18" s="49" t="str">
        <f>IFERROR(__xludf.DUMMYFUNCTION("""COMPUTED_VALUE"""),"Ruled by The King and Queen of the Northern Frozen Terrain.")</f>
        <v>Ruled by The King and Queen of the Northern Frozen Terrain.</v>
      </c>
      <c r="C18" s="49" t="str">
        <f>IFERROR(__xludf.DUMMYFUNCTION("""COMPUTED_VALUE"""),"Land of Spira")</f>
        <v>Land of Spira</v>
      </c>
      <c r="D18" s="49"/>
      <c r="E18" s="106">
        <f>IFERROR(__xludf.DUMMYFUNCTION("""COMPUTED_VALUE"""),1.0E9)</f>
        <v>1000000000</v>
      </c>
      <c r="F18" s="49" t="str">
        <f>IFERROR(__xludf.DUMMYFUNCTION("""COMPUTED_VALUE"""),"Gilder")</f>
        <v>Gilder</v>
      </c>
      <c r="G18" s="49"/>
      <c r="H18" s="49"/>
      <c r="I18" s="49"/>
      <c r="J18" s="49"/>
      <c r="K18" s="49"/>
      <c r="L18" s="49"/>
      <c r="M18" s="49"/>
      <c r="N18" s="49"/>
      <c r="O18" s="49"/>
      <c r="P18" s="49"/>
      <c r="Q18" s="49"/>
      <c r="R18" s="49"/>
      <c r="S18" s="49"/>
      <c r="T18" s="49"/>
      <c r="U18" s="49"/>
      <c r="V18" s="49"/>
      <c r="W18" s="49"/>
      <c r="X18" s="49"/>
      <c r="Y18" s="49"/>
      <c r="Z18" s="49"/>
    </row>
    <row r="19">
      <c r="A19" s="49" t="str">
        <f>IFERROR(__xludf.DUMMYFUNCTION("""COMPUTED_VALUE"""),"Western Frozen Terrain")</f>
        <v>Western Frozen Terrain</v>
      </c>
      <c r="B19" s="49" t="str">
        <f>IFERROR(__xludf.DUMMYFUNCTION("""COMPUTED_VALUE"""),"Ruled by The King and Queen of the Northern Frozen Terrain.")</f>
        <v>Ruled by The King and Queen of the Northern Frozen Terrain.</v>
      </c>
      <c r="C19" s="49" t="str">
        <f>IFERROR(__xludf.DUMMYFUNCTION("""COMPUTED_VALUE"""),"Land of Spira")</f>
        <v>Land of Spira</v>
      </c>
      <c r="D19" s="49"/>
      <c r="E19" s="106">
        <f>IFERROR(__xludf.DUMMYFUNCTION("""COMPUTED_VALUE"""),1.0E9)</f>
        <v>1000000000</v>
      </c>
      <c r="F19" s="49" t="str">
        <f>IFERROR(__xludf.DUMMYFUNCTION("""COMPUTED_VALUE"""),"Gilder")</f>
        <v>Gilder</v>
      </c>
      <c r="G19" s="49"/>
      <c r="H19" s="49"/>
      <c r="I19" s="49"/>
      <c r="J19" s="49"/>
      <c r="K19" s="49"/>
      <c r="L19" s="49"/>
      <c r="M19" s="49"/>
      <c r="N19" s="49"/>
      <c r="O19" s="49"/>
      <c r="P19" s="49"/>
      <c r="Q19" s="49"/>
      <c r="R19" s="49"/>
      <c r="S19" s="49"/>
      <c r="T19" s="49"/>
      <c r="U19" s="49"/>
      <c r="V19" s="49"/>
      <c r="W19" s="49"/>
      <c r="X19" s="49"/>
      <c r="Y19" s="49"/>
      <c r="Z19" s="49"/>
    </row>
    <row r="20">
      <c r="A20" s="49" t="str">
        <f>IFERROR(__xludf.DUMMYFUNCTION("""COMPUTED_VALUE"""),"Frozen Forest (Southern Frozen Terrain)")</f>
        <v>Frozen Forest (Southern Frozen Terrain)</v>
      </c>
      <c r="B20" s="49" t="str">
        <f>IFERROR(__xludf.DUMMYFUNCTION("""COMPUTED_VALUE"""),"A mystical frozen forest with a small city in the center Ruled by the queen of the frozen forest.")</f>
        <v>A mystical frozen forest with a small city in the center Ruled by the queen of the frozen forest.</v>
      </c>
      <c r="C20" s="49" t="str">
        <f>IFERROR(__xludf.DUMMYFUNCTION("""COMPUTED_VALUE"""),"Land of Spira")</f>
        <v>Land of Spira</v>
      </c>
      <c r="D20" s="49"/>
      <c r="E20" s="106">
        <f>IFERROR(__xludf.DUMMYFUNCTION("""COMPUTED_VALUE"""),1.0E9)</f>
        <v>1000000000</v>
      </c>
      <c r="F20" s="49" t="str">
        <f>IFERROR(__xludf.DUMMYFUNCTION("""COMPUTED_VALUE"""),"Gilder")</f>
        <v>Gilder</v>
      </c>
      <c r="G20" s="49"/>
      <c r="H20" s="49"/>
      <c r="I20" s="49"/>
      <c r="J20" s="49"/>
      <c r="K20" s="49"/>
      <c r="L20" s="49"/>
      <c r="M20" s="49"/>
      <c r="N20" s="49"/>
      <c r="O20" s="49"/>
      <c r="P20" s="49"/>
      <c r="Q20" s="49"/>
      <c r="R20" s="49"/>
      <c r="S20" s="49"/>
      <c r="T20" s="49"/>
      <c r="U20" s="49"/>
      <c r="V20" s="49"/>
      <c r="W20" s="49"/>
      <c r="X20" s="49"/>
      <c r="Y20" s="49"/>
      <c r="Z20" s="49"/>
    </row>
    <row r="21">
      <c r="A21" s="49" t="str">
        <f>IFERROR(__xludf.DUMMYFUNCTION("""COMPUTED_VALUE"""),"Hallowtown ")</f>
        <v>Hallowtown </v>
      </c>
      <c r="B21" s="49"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49" t="str">
        <f>IFERROR(__xludf.DUMMYFUNCTION("""COMPUTED_VALUE"""),"Land of Spira")</f>
        <v>Land of Spira</v>
      </c>
      <c r="D21" s="49"/>
      <c r="E21" s="106">
        <f>IFERROR(__xludf.DUMMYFUNCTION("""COMPUTED_VALUE"""),1.05001E9)</f>
        <v>1050010000</v>
      </c>
      <c r="F21" s="49" t="str">
        <f>IFERROR(__xludf.DUMMYFUNCTION("""COMPUTED_VALUE"""),"Gilder")</f>
        <v>Gilder</v>
      </c>
      <c r="G21" s="49"/>
      <c r="H21" s="49"/>
      <c r="I21" s="49"/>
      <c r="J21" s="49"/>
      <c r="K21" s="49"/>
      <c r="L21" s="49"/>
      <c r="M21" s="49"/>
      <c r="N21" s="49"/>
      <c r="O21" s="49"/>
      <c r="P21" s="49"/>
      <c r="Q21" s="49"/>
      <c r="R21" s="49"/>
      <c r="S21" s="49"/>
      <c r="T21" s="49"/>
      <c r="U21" s="49"/>
      <c r="V21" s="49"/>
      <c r="W21" s="49"/>
      <c r="X21" s="49"/>
      <c r="Y21" s="49"/>
      <c r="Z21" s="49"/>
    </row>
    <row r="22">
      <c r="A22" s="49" t="str">
        <f>IFERROR(__xludf.DUMMYFUNCTION("""COMPUTED_VALUE"""),"Heatmore Jungle")</f>
        <v>Heatmore Jungle</v>
      </c>
      <c r="B22" s="49" t="str">
        <f>IFERROR(__xludf.DUMMYFUNCTION("""COMPUTED_VALUE"""),"A jungle engulfed in flames containing Fire Tiki Mountain within it. ")</f>
        <v>A jungle engulfed in flames containing Fire Tiki Mountain within it. </v>
      </c>
      <c r="C22" s="49" t="str">
        <f>IFERROR(__xludf.DUMMYFUNCTION("""COMPUTED_VALUE"""),"Land of Spira")</f>
        <v>Land of Spira</v>
      </c>
      <c r="D22" s="49"/>
      <c r="E22" s="106">
        <f>IFERROR(__xludf.DUMMYFUNCTION("""COMPUTED_VALUE"""),1.0E9)</f>
        <v>1000000000</v>
      </c>
      <c r="F22" s="49" t="str">
        <f>IFERROR(__xludf.DUMMYFUNCTION("""COMPUTED_VALUE"""),"Gilder")</f>
        <v>Gilder</v>
      </c>
      <c r="G22" s="49"/>
      <c r="H22" s="49"/>
      <c r="I22" s="49"/>
      <c r="J22" s="49"/>
      <c r="K22" s="49"/>
      <c r="L22" s="49"/>
      <c r="M22" s="49"/>
      <c r="N22" s="49"/>
      <c r="O22" s="49"/>
      <c r="P22" s="49"/>
      <c r="Q22" s="49"/>
      <c r="R22" s="49"/>
      <c r="S22" s="49"/>
      <c r="T22" s="49"/>
      <c r="U22" s="49"/>
      <c r="V22" s="49"/>
      <c r="W22" s="49"/>
      <c r="X22" s="49"/>
      <c r="Y22" s="49"/>
      <c r="Z22" s="49"/>
    </row>
    <row r="23">
      <c r="A23" s="49" t="str">
        <f>IFERROR(__xludf.DUMMYFUNCTION("""COMPUTED_VALUE"""),"Jungle Of Miss Direction")</f>
        <v>Jungle Of Miss Direction</v>
      </c>
      <c r="B23" s="49"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49" t="str">
        <f>IFERROR(__xludf.DUMMYFUNCTION("""COMPUTED_VALUE"""),"Land of Spira")</f>
        <v>Land of Spira</v>
      </c>
      <c r="D23" s="49"/>
      <c r="E23" s="106">
        <f>IFERROR(__xludf.DUMMYFUNCTION("""COMPUTED_VALUE"""),1.0E9)</f>
        <v>1000000000</v>
      </c>
      <c r="F23" s="49" t="str">
        <f>IFERROR(__xludf.DUMMYFUNCTION("""COMPUTED_VALUE"""),"Gilder")</f>
        <v>Gilder</v>
      </c>
      <c r="G23" s="49"/>
      <c r="H23" s="49"/>
      <c r="I23" s="49"/>
      <c r="J23" s="49"/>
      <c r="K23" s="49"/>
      <c r="L23" s="49"/>
      <c r="M23" s="49"/>
      <c r="N23" s="49"/>
      <c r="O23" s="49"/>
      <c r="P23" s="49"/>
      <c r="Q23" s="49"/>
      <c r="R23" s="49"/>
      <c r="S23" s="49"/>
      <c r="T23" s="49"/>
      <c r="U23" s="49"/>
      <c r="V23" s="49"/>
      <c r="W23" s="49"/>
      <c r="X23" s="49"/>
      <c r="Y23" s="49"/>
      <c r="Z23" s="49"/>
    </row>
    <row r="24">
      <c r="A24" s="49" t="str">
        <f>IFERROR(__xludf.DUMMYFUNCTION("""COMPUTED_VALUE"""),"Jungle Of Shadows")</f>
        <v>Jungle Of Shadows</v>
      </c>
      <c r="B24" s="49"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49" t="str">
        <f>IFERROR(__xludf.DUMMYFUNCTION("""COMPUTED_VALUE"""),"Land of Spira")</f>
        <v>Land of Spira</v>
      </c>
      <c r="D24" s="49"/>
      <c r="E24" s="106">
        <f>IFERROR(__xludf.DUMMYFUNCTION("""COMPUTED_VALUE"""),1.0E9)</f>
        <v>1000000000</v>
      </c>
      <c r="F24" s="49" t="str">
        <f>IFERROR(__xludf.DUMMYFUNCTION("""COMPUTED_VALUE"""),"Gilder")</f>
        <v>Gilder</v>
      </c>
      <c r="G24" s="49"/>
      <c r="H24" s="49"/>
      <c r="I24" s="49"/>
      <c r="J24" s="49"/>
      <c r="K24" s="49"/>
      <c r="L24" s="49"/>
      <c r="M24" s="49"/>
      <c r="N24" s="49"/>
      <c r="O24" s="49"/>
      <c r="P24" s="49"/>
      <c r="Q24" s="49"/>
      <c r="R24" s="49"/>
      <c r="S24" s="49"/>
      <c r="T24" s="49"/>
      <c r="U24" s="49"/>
      <c r="V24" s="49"/>
      <c r="W24" s="49"/>
      <c r="X24" s="49"/>
      <c r="Y24" s="49"/>
      <c r="Z24" s="49"/>
    </row>
    <row r="25">
      <c r="A25" s="49" t="str">
        <f>IFERROR(__xludf.DUMMYFUNCTION("""COMPUTED_VALUE"""),"Lake Town")</f>
        <v>Lake Town</v>
      </c>
      <c r="B25" s="49" t="str">
        <f>IFERROR(__xludf.DUMMYFUNCTION("""COMPUTED_VALUE"""),"A fishemans town where people come to buy and sell all sorts of different fish.")</f>
        <v>A fishemans town where people come to buy and sell all sorts of different fish.</v>
      </c>
      <c r="C25" s="49" t="str">
        <f>IFERROR(__xludf.DUMMYFUNCTION("""COMPUTED_VALUE"""),"Land of Spira")</f>
        <v>Land of Spira</v>
      </c>
      <c r="D25" s="49"/>
      <c r="E25" s="106">
        <f>IFERROR(__xludf.DUMMYFUNCTION("""COMPUTED_VALUE"""),1.0012E9)</f>
        <v>1001200000</v>
      </c>
      <c r="F25" s="49" t="str">
        <f>IFERROR(__xludf.DUMMYFUNCTION("""COMPUTED_VALUE"""),"Gilder")</f>
        <v>Gilder</v>
      </c>
      <c r="G25" s="49"/>
      <c r="H25" s="49"/>
      <c r="I25" s="49"/>
      <c r="J25" s="49"/>
      <c r="K25" s="49"/>
      <c r="L25" s="49"/>
      <c r="M25" s="49"/>
      <c r="N25" s="49"/>
      <c r="O25" s="49"/>
      <c r="P25" s="49"/>
      <c r="Q25" s="49"/>
      <c r="R25" s="49"/>
      <c r="S25" s="49"/>
      <c r="T25" s="49"/>
      <c r="U25" s="49"/>
      <c r="V25" s="49"/>
      <c r="W25" s="49"/>
      <c r="X25" s="49"/>
      <c r="Y25" s="49"/>
      <c r="Z25" s="49"/>
    </row>
    <row r="26">
      <c r="A26" s="49" t="str">
        <f>IFERROR(__xludf.DUMMYFUNCTION("""COMPUTED_VALUE"""),"Mekana")</f>
        <v>Mekana</v>
      </c>
      <c r="B26" s="49" t="str">
        <f>IFERROR(__xludf.DUMMYFUNCTION("""COMPUTED_VALUE"""),"Home to the Mekanians and Their Creator, A Steampunk like city filled with futuristic contraptions.")</f>
        <v>Home to the Mekanians and Their Creator, A Steampunk like city filled with futuristic contraptions.</v>
      </c>
      <c r="C26" s="49" t="str">
        <f>IFERROR(__xludf.DUMMYFUNCTION("""COMPUTED_VALUE"""),"Land of Spira")</f>
        <v>Land of Spira</v>
      </c>
      <c r="D26" s="49"/>
      <c r="E26" s="106">
        <f>IFERROR(__xludf.DUMMYFUNCTION("""COMPUTED_VALUE"""),1.05657E9)</f>
        <v>1056570000</v>
      </c>
      <c r="F26" s="49" t="str">
        <f>IFERROR(__xludf.DUMMYFUNCTION("""COMPUTED_VALUE"""),"Gilder")</f>
        <v>Gilder</v>
      </c>
      <c r="G26" s="49"/>
      <c r="H26" s="49"/>
      <c r="I26" s="49"/>
      <c r="J26" s="49"/>
      <c r="K26" s="49"/>
      <c r="L26" s="49"/>
      <c r="M26" s="49"/>
      <c r="N26" s="49"/>
      <c r="O26" s="49"/>
      <c r="P26" s="49"/>
      <c r="Q26" s="49"/>
      <c r="R26" s="49"/>
      <c r="S26" s="49"/>
      <c r="T26" s="49"/>
      <c r="U26" s="49"/>
      <c r="V26" s="49"/>
      <c r="W26" s="49"/>
      <c r="X26" s="49"/>
      <c r="Y26" s="49"/>
      <c r="Z26" s="49"/>
    </row>
    <row r="27">
      <c r="A27" s="49" t="str">
        <f>IFERROR(__xludf.DUMMYFUNCTION("""COMPUTED_VALUE"""),"Mountains Of Peace And Harmony")</f>
        <v>Mountains Of Peace And Harmony</v>
      </c>
      <c r="B27" s="49" t="str">
        <f>IFERROR(__xludf.DUMMYFUNCTION("""COMPUTED_VALUE"""),"A peacful mountain range that rests between lake Town and Civille.")</f>
        <v>A peacful mountain range that rests between lake Town and Civille.</v>
      </c>
      <c r="C27" s="49" t="str">
        <f>IFERROR(__xludf.DUMMYFUNCTION("""COMPUTED_VALUE"""),"Land of Spira")</f>
        <v>Land of Spira</v>
      </c>
      <c r="D27" s="49"/>
      <c r="E27" s="106">
        <f>IFERROR(__xludf.DUMMYFUNCTION("""COMPUTED_VALUE"""),1.0E9)</f>
        <v>1000000000</v>
      </c>
      <c r="F27" s="49" t="str">
        <f>IFERROR(__xludf.DUMMYFUNCTION("""COMPUTED_VALUE"""),"Gilder")</f>
        <v>Gilder</v>
      </c>
      <c r="G27" s="49"/>
      <c r="H27" s="49"/>
      <c r="I27" s="49"/>
      <c r="J27" s="49"/>
      <c r="K27" s="49"/>
      <c r="L27" s="49"/>
      <c r="M27" s="49"/>
      <c r="N27" s="49"/>
      <c r="O27" s="49"/>
      <c r="P27" s="49"/>
      <c r="Q27" s="49"/>
      <c r="R27" s="49"/>
      <c r="S27" s="49"/>
      <c r="T27" s="49"/>
      <c r="U27" s="49"/>
      <c r="V27" s="49"/>
      <c r="W27" s="49"/>
      <c r="X27" s="49"/>
      <c r="Y27" s="49"/>
      <c r="Z27" s="49"/>
    </row>
    <row r="28">
      <c r="A28" s="49" t="str">
        <f>IFERROR(__xludf.DUMMYFUNCTION("""COMPUTED_VALUE"""),"Mt. Fury (Locked)")</f>
        <v>Mt. Fury (Locked)</v>
      </c>
      <c r="B28" s="49"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49" t="str">
        <f>IFERROR(__xludf.DUMMYFUNCTION("""COMPUTED_VALUE"""),"Land of Spira")</f>
        <v>Land of Spira</v>
      </c>
      <c r="D28" s="49"/>
      <c r="E28" s="106">
        <f>IFERROR(__xludf.DUMMYFUNCTION("""COMPUTED_VALUE"""),1.0E9)</f>
        <v>1000000000</v>
      </c>
      <c r="F28" s="49" t="str">
        <f>IFERROR(__xludf.DUMMYFUNCTION("""COMPUTED_VALUE"""),"Gilder")</f>
        <v>Gilder</v>
      </c>
      <c r="G28" s="49"/>
      <c r="H28" s="49"/>
      <c r="I28" s="49"/>
      <c r="J28" s="49"/>
      <c r="K28" s="49"/>
      <c r="L28" s="49"/>
      <c r="M28" s="49"/>
      <c r="N28" s="49"/>
      <c r="O28" s="49"/>
      <c r="P28" s="49"/>
      <c r="Q28" s="49"/>
      <c r="R28" s="49"/>
      <c r="S28" s="49"/>
      <c r="T28" s="49"/>
      <c r="U28" s="49"/>
      <c r="V28" s="49"/>
      <c r="W28" s="49"/>
      <c r="X28" s="49"/>
      <c r="Y28" s="49"/>
      <c r="Z28" s="49"/>
    </row>
    <row r="29">
      <c r="A29" s="49" t="str">
        <f>IFERROR(__xludf.DUMMYFUNCTION("""COMPUTED_VALUE"""),"Pond City")</f>
        <v>Pond City</v>
      </c>
      <c r="B29" s="49"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49" t="str">
        <f>IFERROR(__xludf.DUMMYFUNCTION("""COMPUTED_VALUE"""),"Land of Spira")</f>
        <v>Land of Spira</v>
      </c>
      <c r="D29" s="49"/>
      <c r="E29" s="106">
        <f>IFERROR(__xludf.DUMMYFUNCTION("""COMPUTED_VALUE"""),1.0E9)</f>
        <v>1000000000</v>
      </c>
      <c r="F29" s="49" t="str">
        <f>IFERROR(__xludf.DUMMYFUNCTION("""COMPUTED_VALUE"""),"Gilder")</f>
        <v>Gilder</v>
      </c>
      <c r="G29" s="49"/>
      <c r="H29" s="49"/>
      <c r="I29" s="49"/>
      <c r="J29" s="49"/>
      <c r="K29" s="49"/>
      <c r="L29" s="49"/>
      <c r="M29" s="49"/>
      <c r="N29" s="49"/>
      <c r="O29" s="49"/>
      <c r="P29" s="49"/>
      <c r="Q29" s="49"/>
      <c r="R29" s="49"/>
      <c r="S29" s="49"/>
      <c r="T29" s="49"/>
      <c r="U29" s="49"/>
      <c r="V29" s="49"/>
      <c r="W29" s="49"/>
      <c r="X29" s="49"/>
      <c r="Y29" s="49"/>
      <c r="Z29" s="49"/>
    </row>
    <row r="30">
      <c r="A30" s="49" t="str">
        <f>IFERROR(__xludf.DUMMYFUNCTION("""COMPUTED_VALUE"""),"Port Fawn")</f>
        <v>Port Fawn</v>
      </c>
      <c r="B30" s="49" t="str">
        <f>IFERROR(__xludf.DUMMYFUNCTION("""COMPUTED_VALUE"""),"A harbor town south west of Forest View famous for the most imports and exports around the land of spira.")</f>
        <v>A harbor town south west of Forest View famous for the most imports and exports around the land of spira.</v>
      </c>
      <c r="C30" s="49" t="str">
        <f>IFERROR(__xludf.DUMMYFUNCTION("""COMPUTED_VALUE"""),"Land of Spira")</f>
        <v>Land of Spira</v>
      </c>
      <c r="D30" s="49"/>
      <c r="E30" s="106">
        <f>IFERROR(__xludf.DUMMYFUNCTION("""COMPUTED_VALUE"""),1.056375E9)</f>
        <v>1056375000</v>
      </c>
      <c r="F30" s="49" t="str">
        <f>IFERROR(__xludf.DUMMYFUNCTION("""COMPUTED_VALUE"""),"Gilder")</f>
        <v>Gilder</v>
      </c>
      <c r="G30" s="49"/>
      <c r="H30" s="49"/>
      <c r="I30" s="49"/>
      <c r="J30" s="49"/>
      <c r="K30" s="49"/>
      <c r="L30" s="49"/>
      <c r="M30" s="49"/>
      <c r="N30" s="49"/>
      <c r="O30" s="49"/>
      <c r="P30" s="49"/>
      <c r="Q30" s="49"/>
      <c r="R30" s="49"/>
      <c r="S30" s="49"/>
      <c r="T30" s="49"/>
      <c r="U30" s="49"/>
      <c r="V30" s="49"/>
      <c r="W30" s="49"/>
      <c r="X30" s="49"/>
      <c r="Y30" s="49"/>
      <c r="Z30" s="49"/>
    </row>
    <row r="31">
      <c r="A31" s="49" t="str">
        <f>IFERROR(__xludf.DUMMYFUNCTION("""COMPUTED_VALUE"""),"Royal Woodlands")</f>
        <v>Royal Woodlands</v>
      </c>
      <c r="B31" s="49"/>
      <c r="C31" s="49" t="str">
        <f>IFERROR(__xludf.DUMMYFUNCTION("""COMPUTED_VALUE"""),"Land of Spira")</f>
        <v>Land of Spira</v>
      </c>
      <c r="D31" s="49"/>
      <c r="E31" s="106">
        <f>IFERROR(__xludf.DUMMYFUNCTION("""COMPUTED_VALUE"""),1.0E9)</f>
        <v>1000000000</v>
      </c>
      <c r="F31" s="49" t="str">
        <f>IFERROR(__xludf.DUMMYFUNCTION("""COMPUTED_VALUE"""),"Gilder")</f>
        <v>Gilder</v>
      </c>
      <c r="G31" s="49"/>
      <c r="H31" s="49"/>
      <c r="I31" s="49"/>
      <c r="J31" s="49"/>
      <c r="K31" s="49"/>
      <c r="L31" s="49"/>
      <c r="M31" s="49"/>
      <c r="N31" s="49"/>
      <c r="O31" s="49"/>
      <c r="P31" s="49"/>
      <c r="Q31" s="49"/>
      <c r="R31" s="49"/>
      <c r="S31" s="49"/>
      <c r="T31" s="49"/>
      <c r="U31" s="49"/>
      <c r="V31" s="49"/>
      <c r="W31" s="49"/>
      <c r="X31" s="49"/>
      <c r="Y31" s="49"/>
      <c r="Z31" s="49"/>
    </row>
    <row r="32">
      <c r="A32" s="49" t="str">
        <f>IFERROR(__xludf.DUMMYFUNCTION("""COMPUTED_VALUE"""),"Ruins Of Mana")</f>
        <v>Ruins Of Mana</v>
      </c>
      <c r="B32" s="49"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49" t="str">
        <f>IFERROR(__xludf.DUMMYFUNCTION("""COMPUTED_VALUE"""),"Land of Spira")</f>
        <v>Land of Spira</v>
      </c>
      <c r="D32" s="49"/>
      <c r="E32" s="106">
        <f>IFERROR(__xludf.DUMMYFUNCTION("""COMPUTED_VALUE"""),1.0E9)</f>
        <v>1000000000</v>
      </c>
      <c r="F32" s="49" t="str">
        <f>IFERROR(__xludf.DUMMYFUNCTION("""COMPUTED_VALUE"""),"Gilder")</f>
        <v>Gilder</v>
      </c>
      <c r="G32" s="49"/>
      <c r="H32" s="49"/>
      <c r="I32" s="49"/>
      <c r="J32" s="49"/>
      <c r="K32" s="49"/>
      <c r="L32" s="49"/>
      <c r="M32" s="49"/>
      <c r="N32" s="49"/>
      <c r="O32" s="49"/>
      <c r="P32" s="49"/>
      <c r="Q32" s="49"/>
      <c r="R32" s="49"/>
      <c r="S32" s="49"/>
      <c r="T32" s="49"/>
      <c r="U32" s="49"/>
      <c r="V32" s="49"/>
      <c r="W32" s="49"/>
      <c r="X32" s="49"/>
      <c r="Y32" s="49"/>
      <c r="Z32" s="49"/>
    </row>
    <row r="33">
      <c r="A33" s="49" t="str">
        <f>IFERROR(__xludf.DUMMYFUNCTION("""COMPUTED_VALUE"""),"Ship Graveyard")</f>
        <v>Ship Graveyard</v>
      </c>
      <c r="B33" s="49" t="str">
        <f>IFERROR(__xludf.DUMMYFUNCTION("""COMPUTED_VALUE"""),"The ocean of Spira's deepest creatures hunt here.")</f>
        <v>The ocean of Spira's deepest creatures hunt here.</v>
      </c>
      <c r="C33" s="49" t="str">
        <f>IFERROR(__xludf.DUMMYFUNCTION("""COMPUTED_VALUE"""),"Land of Spira")</f>
        <v>Land of Spira</v>
      </c>
      <c r="D33" s="49"/>
      <c r="E33" s="106">
        <f>IFERROR(__xludf.DUMMYFUNCTION("""COMPUTED_VALUE"""),1.0E9)</f>
        <v>1000000000</v>
      </c>
      <c r="F33" s="49" t="str">
        <f>IFERROR(__xludf.DUMMYFUNCTION("""COMPUTED_VALUE"""),"Gilder")</f>
        <v>Gilder</v>
      </c>
      <c r="G33" s="49"/>
      <c r="H33" s="49"/>
      <c r="I33" s="49"/>
      <c r="J33" s="49"/>
      <c r="K33" s="49"/>
      <c r="L33" s="49"/>
      <c r="M33" s="49"/>
      <c r="N33" s="49"/>
      <c r="O33" s="49"/>
      <c r="P33" s="49"/>
      <c r="Q33" s="49"/>
      <c r="R33" s="49"/>
      <c r="S33" s="49"/>
      <c r="T33" s="49"/>
      <c r="U33" s="49"/>
      <c r="V33" s="49"/>
      <c r="W33" s="49"/>
      <c r="X33" s="49"/>
      <c r="Y33" s="49"/>
      <c r="Z33" s="49"/>
    </row>
    <row r="34">
      <c r="A34" s="49" t="str">
        <f>IFERROR(__xludf.DUMMYFUNCTION("""COMPUTED_VALUE"""),"Silence Edge Point")</f>
        <v>Silence Edge Point</v>
      </c>
      <c r="B34" s="49" t="str">
        <f>IFERROR(__xludf.DUMMYFUNCTION("""COMPUTED_VALUE"""),"A dark rocky mountain like terrain. The Tower Of Chaos, Also known as Lord Dreadful's Tower can be found here.")</f>
        <v>A dark rocky mountain like terrain. The Tower Of Chaos, Also known as Lord Dreadful's Tower can be found here.</v>
      </c>
      <c r="C34" s="49" t="str">
        <f>IFERROR(__xludf.DUMMYFUNCTION("""COMPUTED_VALUE"""),"Land of Spira")</f>
        <v>Land of Spira</v>
      </c>
      <c r="D34" s="49"/>
      <c r="E34" s="106">
        <f>IFERROR(__xludf.DUMMYFUNCTION("""COMPUTED_VALUE"""),1.0E9)</f>
        <v>1000000000</v>
      </c>
      <c r="F34" s="49" t="str">
        <f>IFERROR(__xludf.DUMMYFUNCTION("""COMPUTED_VALUE"""),"Gilder")</f>
        <v>Gilder</v>
      </c>
      <c r="G34" s="49"/>
      <c r="H34" s="49"/>
      <c r="I34" s="49"/>
      <c r="J34" s="49"/>
      <c r="K34" s="49"/>
      <c r="L34" s="49"/>
      <c r="M34" s="49"/>
      <c r="N34" s="49"/>
      <c r="O34" s="49"/>
      <c r="P34" s="49"/>
      <c r="Q34" s="49"/>
      <c r="R34" s="49"/>
      <c r="S34" s="49"/>
      <c r="T34" s="49"/>
      <c r="U34" s="49"/>
      <c r="V34" s="49"/>
      <c r="W34" s="49"/>
      <c r="X34" s="49"/>
      <c r="Y34" s="49"/>
      <c r="Z34" s="49"/>
    </row>
    <row r="35">
      <c r="A35" s="49" t="str">
        <f>IFERROR(__xludf.DUMMYFUNCTION("""COMPUTED_VALUE"""),"Swampville")</f>
        <v>Swampville</v>
      </c>
      <c r="B35" s="49" t="str">
        <f>IFERROR(__xludf.DUMMYFUNCTION("""COMPUTED_VALUE"""),"A swamp like village. Home to the most evil Cults Of Spira.")</f>
        <v>A swamp like village. Home to the most evil Cults Of Spira.</v>
      </c>
      <c r="C35" s="49" t="str">
        <f>IFERROR(__xludf.DUMMYFUNCTION("""COMPUTED_VALUE"""),"Land of Spira")</f>
        <v>Land of Spira</v>
      </c>
      <c r="D35" s="49"/>
      <c r="E35" s="106">
        <f>IFERROR(__xludf.DUMMYFUNCTION("""COMPUTED_VALUE"""),1.01E9)</f>
        <v>1010000000</v>
      </c>
      <c r="F35" s="49" t="str">
        <f>IFERROR(__xludf.DUMMYFUNCTION("""COMPUTED_VALUE"""),"Gilder")</f>
        <v>Gilder</v>
      </c>
      <c r="G35" s="49"/>
      <c r="H35" s="49"/>
      <c r="I35" s="49"/>
      <c r="J35" s="49"/>
      <c r="K35" s="49"/>
      <c r="L35" s="49"/>
      <c r="M35" s="49"/>
      <c r="N35" s="49"/>
      <c r="O35" s="49"/>
      <c r="P35" s="49"/>
      <c r="Q35" s="49"/>
      <c r="R35" s="49"/>
      <c r="S35" s="49"/>
      <c r="T35" s="49"/>
      <c r="U35" s="49"/>
      <c r="V35" s="49"/>
      <c r="W35" s="49"/>
      <c r="X35" s="49"/>
      <c r="Y35" s="49"/>
      <c r="Z35" s="49"/>
    </row>
    <row r="36">
      <c r="A36" s="49" t="str">
        <f>IFERROR(__xludf.DUMMYFUNCTION("""COMPUTED_VALUE"""),"Temple Of Dawn")</f>
        <v>Temple Of Dawn</v>
      </c>
      <c r="B36" s="49" t="str">
        <f>IFERROR(__xludf.DUMMYFUNCTION("""COMPUTED_VALUE"""),"Its said that when the sun starts to rise the temple doors open.")</f>
        <v>Its said that when the sun starts to rise the temple doors open.</v>
      </c>
      <c r="C36" s="49" t="str">
        <f>IFERROR(__xludf.DUMMYFUNCTION("""COMPUTED_VALUE"""),"Land of Spira")</f>
        <v>Land of Spira</v>
      </c>
      <c r="D36" s="49"/>
      <c r="E36" s="106">
        <f>IFERROR(__xludf.DUMMYFUNCTION("""COMPUTED_VALUE"""),1.0E9)</f>
        <v>1000000000</v>
      </c>
      <c r="F36" s="49" t="str">
        <f>IFERROR(__xludf.DUMMYFUNCTION("""COMPUTED_VALUE"""),"Gilder")</f>
        <v>Gilder</v>
      </c>
      <c r="G36" s="49"/>
      <c r="H36" s="49"/>
      <c r="I36" s="49"/>
      <c r="J36" s="49"/>
      <c r="K36" s="49"/>
      <c r="L36" s="49"/>
      <c r="M36" s="49"/>
      <c r="N36" s="49"/>
      <c r="O36" s="49"/>
      <c r="P36" s="49"/>
      <c r="Q36" s="49"/>
      <c r="R36" s="49"/>
      <c r="S36" s="49"/>
      <c r="T36" s="49"/>
      <c r="U36" s="49"/>
      <c r="V36" s="49"/>
      <c r="W36" s="49"/>
      <c r="X36" s="49"/>
      <c r="Y36" s="49"/>
      <c r="Z36" s="49"/>
    </row>
    <row r="37">
      <c r="A37" s="49" t="str">
        <f>IFERROR(__xludf.DUMMYFUNCTION("""COMPUTED_VALUE"""),"Temple Of The Rising Sun")</f>
        <v>Temple Of The Rising Sun</v>
      </c>
      <c r="B37" s="49" t="str">
        <f>IFERROR(__xludf.DUMMYFUNCTION("""COMPUTED_VALUE"""),"Its said that when the sun fully rises the temple doors open.")</f>
        <v>Its said that when the sun fully rises the temple doors open.</v>
      </c>
      <c r="C37" s="49" t="str">
        <f>IFERROR(__xludf.DUMMYFUNCTION("""COMPUTED_VALUE"""),"Land of Spira")</f>
        <v>Land of Spira</v>
      </c>
      <c r="D37" s="49"/>
      <c r="E37" s="106">
        <f>IFERROR(__xludf.DUMMYFUNCTION("""COMPUTED_VALUE"""),1.0E9)</f>
        <v>1000000000</v>
      </c>
      <c r="F37" s="49" t="str">
        <f>IFERROR(__xludf.DUMMYFUNCTION("""COMPUTED_VALUE"""),"Gilder")</f>
        <v>Gilder</v>
      </c>
      <c r="G37" s="49"/>
      <c r="H37" s="49"/>
      <c r="I37" s="49"/>
      <c r="J37" s="49"/>
      <c r="K37" s="49"/>
      <c r="L37" s="49"/>
      <c r="M37" s="49"/>
      <c r="N37" s="49"/>
      <c r="O37" s="49"/>
      <c r="P37" s="49"/>
      <c r="Q37" s="49"/>
      <c r="R37" s="49"/>
      <c r="S37" s="49"/>
      <c r="T37" s="49"/>
      <c r="U37" s="49"/>
      <c r="V37" s="49"/>
      <c r="W37" s="49"/>
      <c r="X37" s="49"/>
      <c r="Y37" s="49"/>
      <c r="Z37" s="49"/>
    </row>
    <row r="38">
      <c r="A38" s="49" t="str">
        <f>IFERROR(__xludf.DUMMYFUNCTION("""COMPUTED_VALUE"""),"Temple Of The Rising Moon")</f>
        <v>Temple Of The Rising Moon</v>
      </c>
      <c r="B38" s="49" t="str">
        <f>IFERROR(__xludf.DUMMYFUNCTION("""COMPUTED_VALUE"""),"Its said that when the moon fully rises the temple doors open.")</f>
        <v>Its said that when the moon fully rises the temple doors open.</v>
      </c>
      <c r="C38" s="49" t="str">
        <f>IFERROR(__xludf.DUMMYFUNCTION("""COMPUTED_VALUE"""),"Land of Spira")</f>
        <v>Land of Spira</v>
      </c>
      <c r="D38" s="49"/>
      <c r="E38" s="106">
        <f>IFERROR(__xludf.DUMMYFUNCTION("""COMPUTED_VALUE"""),1.0E9)</f>
        <v>1000000000</v>
      </c>
      <c r="F38" s="49" t="str">
        <f>IFERROR(__xludf.DUMMYFUNCTION("""COMPUTED_VALUE"""),"Gilder")</f>
        <v>Gilder</v>
      </c>
      <c r="G38" s="49"/>
      <c r="H38" s="49"/>
      <c r="I38" s="49"/>
      <c r="J38" s="49"/>
      <c r="K38" s="49"/>
      <c r="L38" s="49"/>
      <c r="M38" s="49"/>
      <c r="N38" s="49"/>
      <c r="O38" s="49"/>
      <c r="P38" s="49"/>
      <c r="Q38" s="49"/>
      <c r="R38" s="49"/>
      <c r="S38" s="49"/>
      <c r="T38" s="49"/>
      <c r="U38" s="49"/>
      <c r="V38" s="49"/>
      <c r="W38" s="49"/>
      <c r="X38" s="49"/>
      <c r="Y38" s="49"/>
      <c r="Z38" s="49"/>
    </row>
    <row r="39">
      <c r="A39" s="49" t="str">
        <f>IFERROR(__xludf.DUMMYFUNCTION("""COMPUTED_VALUE"""),"Temple Of Dusk")</f>
        <v>Temple Of Dusk</v>
      </c>
      <c r="B39" s="49" t="str">
        <f>IFERROR(__xludf.DUMMYFUNCTION("""COMPUTED_VALUE"""),"Its said that when the sun starts to set the temple doors open.")</f>
        <v>Its said that when the sun starts to set the temple doors open.</v>
      </c>
      <c r="C39" s="49" t="str">
        <f>IFERROR(__xludf.DUMMYFUNCTION("""COMPUTED_VALUE"""),"Land of Spira")</f>
        <v>Land of Spira</v>
      </c>
      <c r="D39" s="49"/>
      <c r="E39" s="106">
        <f>IFERROR(__xludf.DUMMYFUNCTION("""COMPUTED_VALUE"""),1.0E9)</f>
        <v>1000000000</v>
      </c>
      <c r="F39" s="49" t="str">
        <f>IFERROR(__xludf.DUMMYFUNCTION("""COMPUTED_VALUE"""),"Gilder")</f>
        <v>Gilder</v>
      </c>
      <c r="G39" s="49"/>
      <c r="H39" s="49"/>
      <c r="I39" s="49"/>
      <c r="J39" s="49"/>
      <c r="K39" s="49"/>
      <c r="L39" s="49"/>
      <c r="M39" s="49"/>
      <c r="N39" s="49"/>
      <c r="O39" s="49"/>
      <c r="P39" s="49"/>
      <c r="Q39" s="49"/>
      <c r="R39" s="49"/>
      <c r="S39" s="49"/>
      <c r="T39" s="49"/>
      <c r="U39" s="49"/>
      <c r="V39" s="49"/>
      <c r="W39" s="49"/>
      <c r="X39" s="49"/>
      <c r="Y39" s="49"/>
      <c r="Z39" s="49"/>
    </row>
    <row r="40">
      <c r="A40" s="49" t="str">
        <f>IFERROR(__xludf.DUMMYFUNCTION("""COMPUTED_VALUE"""),"The Corrupt Forest")</f>
        <v>The Corrupt Forest</v>
      </c>
      <c r="B40" s="49" t="str">
        <f>IFERROR(__xludf.DUMMYFUNCTION("""COMPUTED_VALUE"""),"A corrupt forest that makes it so anyone who travels within the forest must die to get out.")</f>
        <v>A corrupt forest that makes it so anyone who travels within the forest must die to get out.</v>
      </c>
      <c r="C40" s="49" t="str">
        <f>IFERROR(__xludf.DUMMYFUNCTION("""COMPUTED_VALUE"""),"Land of Spira")</f>
        <v>Land of Spira</v>
      </c>
      <c r="D40" s="49"/>
      <c r="E40" s="106">
        <f>IFERROR(__xludf.DUMMYFUNCTION("""COMPUTED_VALUE"""),1.0E9)</f>
        <v>1000000000</v>
      </c>
      <c r="F40" s="49" t="str">
        <f>IFERROR(__xludf.DUMMYFUNCTION("""COMPUTED_VALUE"""),"Gilder")</f>
        <v>Gilder</v>
      </c>
      <c r="G40" s="49"/>
      <c r="H40" s="49"/>
      <c r="I40" s="49"/>
      <c r="J40" s="49"/>
      <c r="K40" s="49"/>
      <c r="L40" s="49"/>
      <c r="M40" s="49"/>
      <c r="N40" s="49"/>
      <c r="O40" s="49"/>
      <c r="P40" s="49"/>
      <c r="Q40" s="49"/>
      <c r="R40" s="49"/>
      <c r="S40" s="49"/>
      <c r="T40" s="49"/>
      <c r="U40" s="49"/>
      <c r="V40" s="49"/>
      <c r="W40" s="49"/>
      <c r="X40" s="49"/>
      <c r="Y40" s="49"/>
      <c r="Z40" s="49"/>
    </row>
    <row r="41">
      <c r="A41" s="49" t="str">
        <f>IFERROR(__xludf.DUMMYFUNCTION("""COMPUTED_VALUE"""),"The Hidden Forest Of Celeste")</f>
        <v>The Hidden Forest Of Celeste</v>
      </c>
      <c r="B41" s="49"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49" t="str">
        <f>IFERROR(__xludf.DUMMYFUNCTION("""COMPUTED_VALUE"""),"Land of Spira")</f>
        <v>Land of Spira</v>
      </c>
      <c r="D41" s="49"/>
      <c r="E41" s="106">
        <f>IFERROR(__xludf.DUMMYFUNCTION("""COMPUTED_VALUE"""),1.0E9)</f>
        <v>1000000000</v>
      </c>
      <c r="F41" s="49" t="str">
        <f>IFERROR(__xludf.DUMMYFUNCTION("""COMPUTED_VALUE"""),"Gilder")</f>
        <v>Gilder</v>
      </c>
      <c r="G41" s="49"/>
      <c r="H41" s="49"/>
      <c r="I41" s="49"/>
      <c r="J41" s="49"/>
      <c r="K41" s="49"/>
      <c r="L41" s="49"/>
      <c r="M41" s="49"/>
      <c r="N41" s="49"/>
      <c r="O41" s="49"/>
      <c r="P41" s="49"/>
      <c r="Q41" s="49"/>
      <c r="R41" s="49"/>
      <c r="S41" s="49"/>
      <c r="T41" s="49"/>
      <c r="U41" s="49"/>
      <c r="V41" s="49"/>
      <c r="W41" s="49"/>
      <c r="X41" s="49"/>
      <c r="Y41" s="49"/>
      <c r="Z41" s="49"/>
    </row>
    <row r="42">
      <c r="A42" s="49" t="str">
        <f>IFERROR(__xludf.DUMMYFUNCTION("""COMPUTED_VALUE"""),"The Red Sands")</f>
        <v>The Red Sands</v>
      </c>
      <c r="B42" s="49"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49" t="str">
        <f>IFERROR(__xludf.DUMMYFUNCTION("""COMPUTED_VALUE"""),"Land of Spira")</f>
        <v>Land of Spira</v>
      </c>
      <c r="D42" s="49"/>
      <c r="E42" s="106">
        <f>IFERROR(__xludf.DUMMYFUNCTION("""COMPUTED_VALUE"""),1.0025E9)</f>
        <v>1002500000</v>
      </c>
      <c r="F42" s="49" t="str">
        <f>IFERROR(__xludf.DUMMYFUNCTION("""COMPUTED_VALUE"""),"Gilder")</f>
        <v>Gilder</v>
      </c>
      <c r="G42" s="49"/>
      <c r="H42" s="49"/>
      <c r="I42" s="49"/>
      <c r="J42" s="49"/>
      <c r="K42" s="49"/>
      <c r="L42" s="49"/>
      <c r="M42" s="49"/>
      <c r="N42" s="49"/>
      <c r="O42" s="49"/>
      <c r="P42" s="49"/>
      <c r="Q42" s="49"/>
      <c r="R42" s="49"/>
      <c r="S42" s="49"/>
      <c r="T42" s="49"/>
      <c r="U42" s="49"/>
      <c r="V42" s="49"/>
      <c r="W42" s="49"/>
      <c r="X42" s="49"/>
      <c r="Y42" s="49"/>
      <c r="Z42" s="49"/>
    </row>
    <row r="43">
      <c r="A43" s="49" t="str">
        <f>IFERROR(__xludf.DUMMYFUNCTION("""COMPUTED_VALUE"""),"The Submerged City Of Tritonoch")</f>
        <v>The Submerged City Of Tritonoch</v>
      </c>
      <c r="B43" s="49" t="str">
        <f>IFERROR(__xludf.DUMMYFUNCTION("""COMPUTED_VALUE"""),"An ancient underwater city ruled by the Kraken himself. ")</f>
        <v>An ancient underwater city ruled by the Kraken himself. </v>
      </c>
      <c r="C43" s="49" t="str">
        <f>IFERROR(__xludf.DUMMYFUNCTION("""COMPUTED_VALUE"""),"Land of Spira")</f>
        <v>Land of Spira</v>
      </c>
      <c r="D43" s="49"/>
      <c r="E43" s="106">
        <f>IFERROR(__xludf.DUMMYFUNCTION("""COMPUTED_VALUE"""),1.0E9)</f>
        <v>1000000000</v>
      </c>
      <c r="F43" s="49" t="str">
        <f>IFERROR(__xludf.DUMMYFUNCTION("""COMPUTED_VALUE"""),"Gilder")</f>
        <v>Gilder</v>
      </c>
      <c r="G43" s="49"/>
      <c r="H43" s="49"/>
      <c r="I43" s="49"/>
      <c r="J43" s="49"/>
      <c r="K43" s="49"/>
      <c r="L43" s="49"/>
      <c r="M43" s="49"/>
      <c r="N43" s="49"/>
      <c r="O43" s="49"/>
      <c r="P43" s="49"/>
      <c r="Q43" s="49"/>
      <c r="R43" s="49"/>
      <c r="S43" s="49"/>
      <c r="T43" s="49"/>
      <c r="U43" s="49"/>
      <c r="V43" s="49"/>
      <c r="W43" s="49"/>
      <c r="X43" s="49"/>
      <c r="Y43" s="49"/>
      <c r="Z43" s="49"/>
    </row>
    <row r="44">
      <c r="A44" s="49" t="str">
        <f>IFERROR(__xludf.DUMMYFUNCTION("""COMPUTED_VALUE"""),"Tower Of Secret Mages")</f>
        <v>Tower Of Secret Mages</v>
      </c>
      <c r="B44" s="49" t="str">
        <f>IFERROR(__xludf.DUMMYFUNCTION("""COMPUTED_VALUE"""),"Home to the Mages Of Spira, You can find a mage of each element here and the Grand Mage at the very top.")</f>
        <v>Home to the Mages Of Spira, You can find a mage of each element here and the Grand Mage at the very top.</v>
      </c>
      <c r="C44" s="49" t="str">
        <f>IFERROR(__xludf.DUMMYFUNCTION("""COMPUTED_VALUE"""),"Land of Spira")</f>
        <v>Land of Spira</v>
      </c>
      <c r="D44" s="49"/>
      <c r="E44" s="106">
        <f>IFERROR(__xludf.DUMMYFUNCTION("""COMPUTED_VALUE"""),1.0E9)</f>
        <v>1000000000</v>
      </c>
      <c r="F44" s="49" t="str">
        <f>IFERROR(__xludf.DUMMYFUNCTION("""COMPUTED_VALUE"""),"Gilder")</f>
        <v>Gilder</v>
      </c>
      <c r="G44" s="49"/>
      <c r="H44" s="49"/>
      <c r="I44" s="49"/>
      <c r="J44" s="49"/>
      <c r="K44" s="49"/>
      <c r="L44" s="49"/>
      <c r="M44" s="49"/>
      <c r="N44" s="49"/>
      <c r="O44" s="49"/>
      <c r="P44" s="49"/>
      <c r="Q44" s="49"/>
      <c r="R44" s="49"/>
      <c r="S44" s="49"/>
      <c r="T44" s="49"/>
      <c r="U44" s="49"/>
      <c r="V44" s="49"/>
      <c r="W44" s="49"/>
      <c r="X44" s="49"/>
      <c r="Y44" s="49"/>
      <c r="Z44" s="49"/>
    </row>
    <row r="45">
      <c r="A45" s="49" t="str">
        <f>IFERROR(__xludf.DUMMYFUNCTION("""COMPUTED_VALUE"""),"WildWood")</f>
        <v>WildWood</v>
      </c>
      <c r="B45" s="49"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49" t="str">
        <f>IFERROR(__xludf.DUMMYFUNCTION("""COMPUTED_VALUE"""),"Land of Spira")</f>
        <v>Land of Spira</v>
      </c>
      <c r="D45" s="49"/>
      <c r="E45" s="106">
        <f>IFERROR(__xludf.DUMMYFUNCTION("""COMPUTED_VALUE"""),2.3078E9)</f>
        <v>2307800000</v>
      </c>
      <c r="F45" s="49" t="str">
        <f>IFERROR(__xludf.DUMMYFUNCTION("""COMPUTED_VALUE"""),"Gilder")</f>
        <v>Gilder</v>
      </c>
      <c r="G45" s="49"/>
      <c r="H45" s="49"/>
      <c r="I45" s="49"/>
      <c r="J45" s="49"/>
      <c r="K45" s="49"/>
      <c r="L45" s="49"/>
      <c r="M45" s="49"/>
      <c r="N45" s="49"/>
      <c r="O45" s="49"/>
      <c r="P45" s="49"/>
      <c r="Q45" s="49"/>
      <c r="R45" s="49"/>
      <c r="S45" s="49"/>
      <c r="T45" s="49"/>
      <c r="U45" s="49"/>
      <c r="V45" s="49"/>
      <c r="W45" s="49"/>
      <c r="X45" s="49"/>
      <c r="Y45" s="49"/>
      <c r="Z45" s="49"/>
    </row>
    <row r="46">
      <c r="A46" s="49" t="str">
        <f>IFERROR(__xludf.DUMMYFUNCTION("""COMPUTED_VALUE"""),"The World Tree of Spira")</f>
        <v>The World Tree of Spira</v>
      </c>
      <c r="B46" s="49"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49" t="str">
        <f>IFERROR(__xludf.DUMMYFUNCTION("""COMPUTED_VALUE"""),"Land of Spira")</f>
        <v>Land of Spira</v>
      </c>
      <c r="D46" s="49"/>
      <c r="E46" s="106">
        <f>IFERROR(__xludf.DUMMYFUNCTION("""COMPUTED_VALUE"""),1.1032E9)</f>
        <v>1103200000</v>
      </c>
      <c r="F46" s="49" t="str">
        <f>IFERROR(__xludf.DUMMYFUNCTION("""COMPUTED_VALUE"""),"Gilder")</f>
        <v>Gilder</v>
      </c>
      <c r="G46" s="49"/>
      <c r="H46" s="49"/>
      <c r="I46" s="49"/>
      <c r="J46" s="49"/>
      <c r="K46" s="49"/>
      <c r="L46" s="49"/>
      <c r="M46" s="49"/>
      <c r="N46" s="49"/>
      <c r="O46" s="49"/>
      <c r="P46" s="49"/>
      <c r="Q46" s="49"/>
      <c r="R46" s="49"/>
      <c r="S46" s="49"/>
      <c r="T46" s="49"/>
      <c r="U46" s="49"/>
      <c r="V46" s="49"/>
      <c r="W46" s="49"/>
      <c r="X46" s="49"/>
      <c r="Y46" s="49"/>
      <c r="Z46" s="49"/>
    </row>
    <row r="47">
      <c r="A47" s="49" t="str">
        <f>IFERROR(__xludf.DUMMYFUNCTION("""COMPUTED_VALUE"""),"Zhenmay")</f>
        <v>Zhenmay</v>
      </c>
      <c r="B47" s="49"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49" t="str">
        <f>IFERROR(__xludf.DUMMYFUNCTION("""COMPUTED_VALUE"""),"Land of Spira")</f>
        <v>Land of Spira</v>
      </c>
      <c r="D47" s="49"/>
      <c r="E47" s="106">
        <f>IFERROR(__xludf.DUMMYFUNCTION("""COMPUTED_VALUE"""),1.53E9)</f>
        <v>1530000000</v>
      </c>
      <c r="F47" s="49" t="str">
        <f>IFERROR(__xludf.DUMMYFUNCTION("""COMPUTED_VALUE"""),"Gilder")</f>
        <v>Gilder</v>
      </c>
      <c r="G47" s="49"/>
      <c r="H47" s="49"/>
      <c r="I47" s="49"/>
      <c r="J47" s="49"/>
      <c r="K47" s="49"/>
      <c r="L47" s="49"/>
      <c r="M47" s="49"/>
      <c r="N47" s="49"/>
      <c r="O47" s="49"/>
      <c r="P47" s="49"/>
      <c r="Q47" s="49"/>
      <c r="R47" s="49"/>
      <c r="S47" s="49"/>
      <c r="T47" s="49"/>
      <c r="U47" s="49"/>
      <c r="V47" s="49"/>
      <c r="W47" s="49"/>
      <c r="X47" s="49"/>
      <c r="Y47" s="49"/>
      <c r="Z47" s="49"/>
    </row>
    <row r="48">
      <c r="A48" s="49"/>
      <c r="B48" s="49"/>
      <c r="C48" s="49"/>
      <c r="D48" s="49"/>
      <c r="E48" s="49"/>
      <c r="F48" s="49"/>
      <c r="G48" s="49"/>
      <c r="H48" s="49"/>
      <c r="I48" s="49"/>
      <c r="J48" s="49"/>
      <c r="K48" s="49"/>
      <c r="L48" s="49"/>
      <c r="M48" s="49"/>
      <c r="N48" s="49"/>
      <c r="O48" s="49"/>
      <c r="P48" s="49"/>
      <c r="Q48" s="49"/>
      <c r="R48" s="49"/>
      <c r="S48" s="49"/>
      <c r="T48" s="49"/>
      <c r="U48" s="49"/>
      <c r="V48" s="49"/>
      <c r="W48" s="49"/>
      <c r="X48" s="49"/>
      <c r="Y48" s="49"/>
      <c r="Z48" s="49"/>
    </row>
    <row r="49">
      <c r="A49" s="49" t="str">
        <f>IFERROR(__xludf.DUMMYFUNCTION("""COMPUTED_VALUE"""),"Abyssville")</f>
        <v>Abyssville</v>
      </c>
      <c r="B49" s="49"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49" t="str">
        <f>IFERROR(__xludf.DUMMYFUNCTION("""COMPUTED_VALUE"""),"Abstara")</f>
        <v>Abstara</v>
      </c>
      <c r="D49" s="49"/>
      <c r="E49" s="106">
        <f>IFERROR(__xludf.DUMMYFUNCTION("""COMPUTED_VALUE"""),1.0E9)</f>
        <v>1000000000</v>
      </c>
      <c r="F49" s="49" t="str">
        <f>IFERROR(__xludf.DUMMYFUNCTION("""COMPUTED_VALUE"""),"UndeadCoin")</f>
        <v>UndeadCoin</v>
      </c>
      <c r="G49" s="49"/>
      <c r="H49" s="49"/>
      <c r="I49" s="49"/>
      <c r="J49" s="49"/>
      <c r="K49" s="49"/>
      <c r="L49" s="49"/>
      <c r="M49" s="49"/>
      <c r="N49" s="49"/>
      <c r="O49" s="49"/>
      <c r="P49" s="49"/>
      <c r="Q49" s="49"/>
      <c r="R49" s="49"/>
      <c r="S49" s="49"/>
      <c r="T49" s="49"/>
      <c r="U49" s="49"/>
      <c r="V49" s="49"/>
      <c r="W49" s="49"/>
      <c r="X49" s="49"/>
      <c r="Y49" s="49"/>
      <c r="Z49" s="49"/>
    </row>
    <row r="50">
      <c r="A50" s="49" t="str">
        <f>IFERROR(__xludf.DUMMYFUNCTION("""COMPUTED_VALUE"""),"Chaotic Village of Suffering")</f>
        <v>Chaotic Village of Suffering</v>
      </c>
      <c r="B50" s="49"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49" t="str">
        <f>IFERROR(__xludf.DUMMYFUNCTION("""COMPUTED_VALUE"""),"Abstara")</f>
        <v>Abstara</v>
      </c>
      <c r="D50" s="49"/>
      <c r="E50" s="106">
        <f>IFERROR(__xludf.DUMMYFUNCTION("""COMPUTED_VALUE"""),1.0E9)</f>
        <v>1000000000</v>
      </c>
      <c r="F50" s="49" t="str">
        <f>IFERROR(__xludf.DUMMYFUNCTION("""COMPUTED_VALUE"""),"UndeadCoin")</f>
        <v>UndeadCoin</v>
      </c>
      <c r="G50" s="49"/>
      <c r="H50" s="49"/>
      <c r="I50" s="49"/>
      <c r="J50" s="49"/>
      <c r="K50" s="49"/>
      <c r="L50" s="49"/>
      <c r="M50" s="49"/>
      <c r="N50" s="49"/>
      <c r="O50" s="49"/>
      <c r="P50" s="49"/>
      <c r="Q50" s="49"/>
      <c r="R50" s="49"/>
      <c r="S50" s="49"/>
      <c r="T50" s="49"/>
      <c r="U50" s="49"/>
      <c r="V50" s="49"/>
      <c r="W50" s="49"/>
      <c r="X50" s="49"/>
      <c r="Y50" s="49"/>
      <c r="Z50" s="49"/>
    </row>
    <row r="51">
      <c r="A51" s="49" t="str">
        <f>IFERROR(__xludf.DUMMYFUNCTION("""COMPUTED_VALUE"""),"City of Flames")</f>
        <v>City of Flames</v>
      </c>
      <c r="B51" s="49"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49" t="str">
        <f>IFERROR(__xludf.DUMMYFUNCTION("""COMPUTED_VALUE"""),"Abstara")</f>
        <v>Abstara</v>
      </c>
      <c r="D51" s="49"/>
      <c r="E51" s="106">
        <f>IFERROR(__xludf.DUMMYFUNCTION("""COMPUTED_VALUE"""),1.0E9)</f>
        <v>1000000000</v>
      </c>
      <c r="F51" s="49" t="str">
        <f>IFERROR(__xludf.DUMMYFUNCTION("""COMPUTED_VALUE"""),"UndeadCoin")</f>
        <v>UndeadCoin</v>
      </c>
      <c r="G51" s="49"/>
      <c r="H51" s="49"/>
      <c r="I51" s="49"/>
      <c r="J51" s="49"/>
      <c r="K51" s="49"/>
      <c r="L51" s="49"/>
      <c r="M51" s="49"/>
      <c r="N51" s="49"/>
      <c r="O51" s="49"/>
      <c r="P51" s="49"/>
      <c r="Q51" s="49"/>
      <c r="R51" s="49"/>
      <c r="S51" s="49"/>
      <c r="T51" s="49"/>
      <c r="U51" s="49"/>
      <c r="V51" s="49"/>
      <c r="W51" s="49"/>
      <c r="X51" s="49"/>
      <c r="Y51" s="49"/>
      <c r="Z51" s="49"/>
    </row>
    <row r="52">
      <c r="A52" s="49" t="str">
        <f>IFERROR(__xludf.DUMMYFUNCTION("""COMPUTED_VALUE"""),"City of Undying")</f>
        <v>City of Undying</v>
      </c>
      <c r="B52" s="49"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49" t="str">
        <f>IFERROR(__xludf.DUMMYFUNCTION("""COMPUTED_VALUE"""),"Abstara")</f>
        <v>Abstara</v>
      </c>
      <c r="D52" s="49"/>
      <c r="E52" s="106">
        <f>IFERROR(__xludf.DUMMYFUNCTION("""COMPUTED_VALUE"""),1.0E9)</f>
        <v>1000000000</v>
      </c>
      <c r="F52" s="49" t="str">
        <f>IFERROR(__xludf.DUMMYFUNCTION("""COMPUTED_VALUE"""),"UndeadCoin")</f>
        <v>UndeadCoin</v>
      </c>
      <c r="G52" s="49"/>
      <c r="H52" s="49"/>
      <c r="I52" s="49"/>
      <c r="J52" s="49"/>
      <c r="K52" s="49"/>
      <c r="L52" s="49"/>
      <c r="M52" s="49"/>
      <c r="N52" s="49"/>
      <c r="O52" s="49"/>
      <c r="P52" s="49"/>
      <c r="Q52" s="49"/>
      <c r="R52" s="49"/>
      <c r="S52" s="49"/>
      <c r="T52" s="49"/>
      <c r="U52" s="49"/>
      <c r="V52" s="49"/>
      <c r="W52" s="49"/>
      <c r="X52" s="49"/>
      <c r="Y52" s="49"/>
      <c r="Z52" s="49"/>
    </row>
    <row r="53">
      <c r="A53" s="49" t="str">
        <f>IFERROR(__xludf.DUMMYFUNCTION("""COMPUTED_VALUE"""),"Ember Ocean")</f>
        <v>Ember Ocean</v>
      </c>
      <c r="B53" s="49"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49" t="str">
        <f>IFERROR(__xludf.DUMMYFUNCTION("""COMPUTED_VALUE"""),"Abstara")</f>
        <v>Abstara</v>
      </c>
      <c r="D53" s="49"/>
      <c r="E53" s="106">
        <f>IFERROR(__xludf.DUMMYFUNCTION("""COMPUTED_VALUE"""),1.0E9)</f>
        <v>1000000000</v>
      </c>
      <c r="F53" s="49" t="str">
        <f>IFERROR(__xludf.DUMMYFUNCTION("""COMPUTED_VALUE"""),"UndeadCoin")</f>
        <v>UndeadCoin</v>
      </c>
      <c r="G53" s="49"/>
      <c r="H53" s="49"/>
      <c r="I53" s="49"/>
      <c r="J53" s="49"/>
      <c r="K53" s="49"/>
      <c r="L53" s="49"/>
      <c r="M53" s="49"/>
      <c r="N53" s="49"/>
      <c r="O53" s="49"/>
      <c r="P53" s="49"/>
      <c r="Q53" s="49"/>
      <c r="R53" s="49"/>
      <c r="S53" s="49"/>
      <c r="T53" s="49"/>
      <c r="U53" s="49"/>
      <c r="V53" s="49"/>
      <c r="W53" s="49"/>
      <c r="X53" s="49"/>
      <c r="Y53" s="49"/>
      <c r="Z53" s="49"/>
    </row>
    <row r="54">
      <c r="A54" s="49" t="str">
        <f>IFERROR(__xludf.DUMMYFUNCTION("""COMPUTED_VALUE"""),"Feral Empire")</f>
        <v>Feral Empire</v>
      </c>
      <c r="B54" s="49"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49" t="str">
        <f>IFERROR(__xludf.DUMMYFUNCTION("""COMPUTED_VALUE"""),"Abstara")</f>
        <v>Abstara</v>
      </c>
      <c r="D54" s="49"/>
      <c r="E54" s="106">
        <f>IFERROR(__xludf.DUMMYFUNCTION("""COMPUTED_VALUE"""),1.0E9)</f>
        <v>1000000000</v>
      </c>
      <c r="F54" s="49" t="str">
        <f>IFERROR(__xludf.DUMMYFUNCTION("""COMPUTED_VALUE"""),"UndeadCoin")</f>
        <v>UndeadCoin</v>
      </c>
      <c r="G54" s="49"/>
      <c r="H54" s="49"/>
      <c r="I54" s="49"/>
      <c r="J54" s="49"/>
      <c r="K54" s="49"/>
      <c r="L54" s="49"/>
      <c r="M54" s="49"/>
      <c r="N54" s="49"/>
      <c r="O54" s="49"/>
      <c r="P54" s="49"/>
      <c r="Q54" s="49"/>
      <c r="R54" s="49"/>
      <c r="S54" s="49"/>
      <c r="T54" s="49"/>
      <c r="U54" s="49"/>
      <c r="V54" s="49"/>
      <c r="W54" s="49"/>
      <c r="X54" s="49"/>
      <c r="Y54" s="49"/>
      <c r="Z54" s="49"/>
    </row>
    <row r="55">
      <c r="A55" s="49" t="str">
        <f>IFERROR(__xludf.DUMMYFUNCTION("""COMPUTED_VALUE"""),"Gargoyle Fortress")</f>
        <v>Gargoyle Fortress</v>
      </c>
      <c r="B55" s="49"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49" t="str">
        <f>IFERROR(__xludf.DUMMYFUNCTION("""COMPUTED_VALUE"""),"Abstara")</f>
        <v>Abstara</v>
      </c>
      <c r="D55" s="49"/>
      <c r="E55" s="106">
        <f>IFERROR(__xludf.DUMMYFUNCTION("""COMPUTED_VALUE"""),1.0E9)</f>
        <v>1000000000</v>
      </c>
      <c r="F55" s="49" t="str">
        <f>IFERROR(__xludf.DUMMYFUNCTION("""COMPUTED_VALUE"""),"UndeadCoin")</f>
        <v>UndeadCoin</v>
      </c>
      <c r="G55" s="49"/>
      <c r="H55" s="49"/>
      <c r="I55" s="49"/>
      <c r="J55" s="49"/>
      <c r="K55" s="49"/>
      <c r="L55" s="49"/>
      <c r="M55" s="49"/>
      <c r="N55" s="49"/>
      <c r="O55" s="49"/>
      <c r="P55" s="49"/>
      <c r="Q55" s="49"/>
      <c r="R55" s="49"/>
      <c r="S55" s="49"/>
      <c r="T55" s="49"/>
      <c r="U55" s="49"/>
      <c r="V55" s="49"/>
      <c r="W55" s="49"/>
      <c r="X55" s="49"/>
      <c r="Y55" s="49"/>
      <c r="Z55" s="49"/>
    </row>
    <row r="56">
      <c r="A56" s="49" t="str">
        <f>IFERROR(__xludf.DUMMYFUNCTION("""COMPUTED_VALUE"""),"Land of The Banished")</f>
        <v>Land of The Banished</v>
      </c>
      <c r="B56" s="49"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49" t="str">
        <f>IFERROR(__xludf.DUMMYFUNCTION("""COMPUTED_VALUE"""),"Abstara")</f>
        <v>Abstara</v>
      </c>
      <c r="D56" s="49"/>
      <c r="E56" s="106">
        <f>IFERROR(__xludf.DUMMYFUNCTION("""COMPUTED_VALUE"""),1.0E9)</f>
        <v>1000000000</v>
      </c>
      <c r="F56" s="49" t="str">
        <f>IFERROR(__xludf.DUMMYFUNCTION("""COMPUTED_VALUE"""),"UndeadCoin")</f>
        <v>UndeadCoin</v>
      </c>
      <c r="G56" s="49"/>
      <c r="H56" s="49"/>
      <c r="I56" s="49"/>
      <c r="J56" s="49"/>
      <c r="K56" s="49"/>
      <c r="L56" s="49"/>
      <c r="M56" s="49"/>
      <c r="N56" s="49"/>
      <c r="O56" s="49"/>
      <c r="P56" s="49"/>
      <c r="Q56" s="49"/>
      <c r="R56" s="49"/>
      <c r="S56" s="49"/>
      <c r="T56" s="49"/>
      <c r="U56" s="49"/>
      <c r="V56" s="49"/>
      <c r="W56" s="49"/>
      <c r="X56" s="49"/>
      <c r="Y56" s="49"/>
      <c r="Z56" s="49"/>
    </row>
    <row r="57">
      <c r="A57" s="49" t="str">
        <f>IFERROR(__xludf.DUMMYFUNCTION("""COMPUTED_VALUE"""),"Land of The Demons")</f>
        <v>Land of The Demons</v>
      </c>
      <c r="B57" s="49"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49" t="str">
        <f>IFERROR(__xludf.DUMMYFUNCTION("""COMPUTED_VALUE"""),"Abstara")</f>
        <v>Abstara</v>
      </c>
      <c r="D57" s="49"/>
      <c r="E57" s="106">
        <f>IFERROR(__xludf.DUMMYFUNCTION("""COMPUTED_VALUE"""),1.0E9)</f>
        <v>1000000000</v>
      </c>
      <c r="F57" s="49" t="str">
        <f>IFERROR(__xludf.DUMMYFUNCTION("""COMPUTED_VALUE"""),"UndeadCoin")</f>
        <v>UndeadCoin</v>
      </c>
      <c r="G57" s="49"/>
      <c r="H57" s="49"/>
      <c r="I57" s="49"/>
      <c r="J57" s="49"/>
      <c r="K57" s="49"/>
      <c r="L57" s="49"/>
      <c r="M57" s="49"/>
      <c r="N57" s="49"/>
      <c r="O57" s="49"/>
      <c r="P57" s="49"/>
      <c r="Q57" s="49"/>
      <c r="R57" s="49"/>
      <c r="S57" s="49"/>
      <c r="T57" s="49"/>
      <c r="U57" s="49"/>
      <c r="V57" s="49"/>
      <c r="W57" s="49"/>
      <c r="X57" s="49"/>
      <c r="Y57" s="49"/>
      <c r="Z57" s="49"/>
    </row>
    <row r="58">
      <c r="A58" s="49" t="str">
        <f>IFERROR(__xludf.DUMMYFUNCTION("""COMPUTED_VALUE"""),"Satanic City")</f>
        <v>Satanic City</v>
      </c>
      <c r="B58" s="49"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49" t="str">
        <f>IFERROR(__xludf.DUMMYFUNCTION("""COMPUTED_VALUE"""),"Abstara")</f>
        <v>Abstara</v>
      </c>
      <c r="D58" s="49"/>
      <c r="E58" s="106">
        <f>IFERROR(__xludf.DUMMYFUNCTION("""COMPUTED_VALUE"""),1.0E9)</f>
        <v>1000000000</v>
      </c>
      <c r="F58" s="49" t="str">
        <f>IFERROR(__xludf.DUMMYFUNCTION("""COMPUTED_VALUE"""),"UndeadCoin")</f>
        <v>UndeadCoin</v>
      </c>
      <c r="G58" s="49"/>
      <c r="H58" s="49"/>
      <c r="I58" s="49"/>
      <c r="J58" s="49"/>
      <c r="K58" s="49"/>
      <c r="L58" s="49"/>
      <c r="M58" s="49"/>
      <c r="N58" s="49"/>
      <c r="O58" s="49"/>
      <c r="P58" s="49"/>
      <c r="Q58" s="49"/>
      <c r="R58" s="49"/>
      <c r="S58" s="49"/>
      <c r="T58" s="49"/>
      <c r="U58" s="49"/>
      <c r="V58" s="49"/>
      <c r="W58" s="49"/>
      <c r="X58" s="49"/>
      <c r="Y58" s="49"/>
      <c r="Z58" s="49"/>
    </row>
    <row r="59">
      <c r="A59" s="49" t="str">
        <f>IFERROR(__xludf.DUMMYFUNCTION("""COMPUTED_VALUE"""),"Smoldering Ocean")</f>
        <v>Smoldering Ocean</v>
      </c>
      <c r="B59" s="49"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49" t="str">
        <f>IFERROR(__xludf.DUMMYFUNCTION("""COMPUTED_VALUE"""),"Abstara")</f>
        <v>Abstara</v>
      </c>
      <c r="D59" s="49"/>
      <c r="E59" s="106">
        <f>IFERROR(__xludf.DUMMYFUNCTION("""COMPUTED_VALUE"""),1.0E9)</f>
        <v>1000000000</v>
      </c>
      <c r="F59" s="49" t="str">
        <f>IFERROR(__xludf.DUMMYFUNCTION("""COMPUTED_VALUE"""),"UndeadCoin")</f>
        <v>UndeadCoin</v>
      </c>
      <c r="G59" s="49"/>
      <c r="H59" s="49"/>
      <c r="I59" s="49"/>
      <c r="J59" s="49"/>
      <c r="K59" s="49"/>
      <c r="L59" s="49"/>
      <c r="M59" s="49"/>
      <c r="N59" s="49"/>
      <c r="O59" s="49"/>
      <c r="P59" s="49"/>
      <c r="Q59" s="49"/>
      <c r="R59" s="49"/>
      <c r="S59" s="49"/>
      <c r="T59" s="49"/>
      <c r="U59" s="49"/>
      <c r="V59" s="49"/>
      <c r="W59" s="49"/>
      <c r="X59" s="49"/>
      <c r="Y59" s="49"/>
      <c r="Z59" s="49"/>
    </row>
    <row r="60">
      <c r="A60" s="49" t="str">
        <f>IFERROR(__xludf.DUMMYFUNCTION("""COMPUTED_VALUE"""),"Soul Empire")</f>
        <v>Soul Empire</v>
      </c>
      <c r="B60" s="49"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49" t="str">
        <f>IFERROR(__xludf.DUMMYFUNCTION("""COMPUTED_VALUE"""),"Abstara")</f>
        <v>Abstara</v>
      </c>
      <c r="D60" s="49"/>
      <c r="E60" s="106">
        <f>IFERROR(__xludf.DUMMYFUNCTION("""COMPUTED_VALUE"""),1.0E9)</f>
        <v>1000000000</v>
      </c>
      <c r="F60" s="49" t="str">
        <f>IFERROR(__xludf.DUMMYFUNCTION("""COMPUTED_VALUE"""),"UndeadCoin")</f>
        <v>UndeadCoin</v>
      </c>
      <c r="G60" s="49"/>
      <c r="H60" s="49"/>
      <c r="I60" s="49"/>
      <c r="J60" s="49"/>
      <c r="K60" s="49"/>
      <c r="L60" s="49"/>
      <c r="M60" s="49"/>
      <c r="N60" s="49"/>
      <c r="O60" s="49"/>
      <c r="P60" s="49"/>
      <c r="Q60" s="49"/>
      <c r="R60" s="49"/>
      <c r="S60" s="49"/>
      <c r="T60" s="49"/>
      <c r="U60" s="49"/>
      <c r="V60" s="49"/>
      <c r="W60" s="49"/>
      <c r="X60" s="49"/>
      <c r="Y60" s="49"/>
      <c r="Z60" s="49"/>
    </row>
    <row r="61">
      <c r="A61" s="49" t="str">
        <f>IFERROR(__xludf.DUMMYFUNCTION("""COMPUTED_VALUE"""),"The Black Lake")</f>
        <v>The Black Lake</v>
      </c>
      <c r="B61" s="49"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49" t="str">
        <f>IFERROR(__xludf.DUMMYFUNCTION("""COMPUTED_VALUE"""),"Abstara")</f>
        <v>Abstara</v>
      </c>
      <c r="D61" s="49"/>
      <c r="E61" s="106">
        <f>IFERROR(__xludf.DUMMYFUNCTION("""COMPUTED_VALUE"""),1.0E9)</f>
        <v>1000000000</v>
      </c>
      <c r="F61" s="49" t="str">
        <f>IFERROR(__xludf.DUMMYFUNCTION("""COMPUTED_VALUE"""),"UndeadCoin")</f>
        <v>UndeadCoin</v>
      </c>
      <c r="G61" s="49"/>
      <c r="H61" s="49"/>
      <c r="I61" s="49"/>
      <c r="J61" s="49"/>
      <c r="K61" s="49"/>
      <c r="L61" s="49"/>
      <c r="M61" s="49"/>
      <c r="N61" s="49"/>
      <c r="O61" s="49"/>
      <c r="P61" s="49"/>
      <c r="Q61" s="49"/>
      <c r="R61" s="49"/>
      <c r="S61" s="49"/>
      <c r="T61" s="49"/>
      <c r="U61" s="49"/>
      <c r="V61" s="49"/>
      <c r="W61" s="49"/>
      <c r="X61" s="49"/>
      <c r="Y61" s="49"/>
      <c r="Z61" s="49"/>
    </row>
    <row r="62">
      <c r="A62" s="49" t="str">
        <f>IFERROR(__xludf.DUMMYFUNCTION("""COMPUTED_VALUE"""),"The Inferno Lake")</f>
        <v>The Inferno Lake</v>
      </c>
      <c r="B62" s="49"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49" t="str">
        <f>IFERROR(__xludf.DUMMYFUNCTION("""COMPUTED_VALUE"""),"Abstara")</f>
        <v>Abstara</v>
      </c>
      <c r="D62" s="49"/>
      <c r="E62" s="106">
        <f>IFERROR(__xludf.DUMMYFUNCTION("""COMPUTED_VALUE"""),1.0E9)</f>
        <v>1000000000</v>
      </c>
      <c r="F62" s="49" t="str">
        <f>IFERROR(__xludf.DUMMYFUNCTION("""COMPUTED_VALUE"""),"UndeadCoin")</f>
        <v>UndeadCoin</v>
      </c>
      <c r="G62" s="49"/>
      <c r="H62" s="49"/>
      <c r="I62" s="49"/>
      <c r="J62" s="49"/>
      <c r="K62" s="49"/>
      <c r="L62" s="49"/>
      <c r="M62" s="49"/>
      <c r="N62" s="49"/>
      <c r="O62" s="49"/>
      <c r="P62" s="49"/>
      <c r="Q62" s="49"/>
      <c r="R62" s="49"/>
      <c r="S62" s="49"/>
      <c r="T62" s="49"/>
      <c r="U62" s="49"/>
      <c r="V62" s="49"/>
      <c r="W62" s="49"/>
      <c r="X62" s="49"/>
      <c r="Y62" s="49"/>
      <c r="Z62" s="49"/>
    </row>
    <row r="63">
      <c r="A63" s="49" t="str">
        <f>IFERROR(__xludf.DUMMYFUNCTION("""COMPUTED_VALUE"""),"The Night Region")</f>
        <v>The Night Region</v>
      </c>
      <c r="B63" s="49"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49" t="str">
        <f>IFERROR(__xludf.DUMMYFUNCTION("""COMPUTED_VALUE"""),"Abstara")</f>
        <v>Abstara</v>
      </c>
      <c r="D63" s="49"/>
      <c r="E63" s="106">
        <f>IFERROR(__xludf.DUMMYFUNCTION("""COMPUTED_VALUE"""),1.0E9)</f>
        <v>1000000000</v>
      </c>
      <c r="F63" s="49" t="str">
        <f>IFERROR(__xludf.DUMMYFUNCTION("""COMPUTED_VALUE"""),"UndeadCoin")</f>
        <v>UndeadCoin</v>
      </c>
      <c r="G63" s="49"/>
      <c r="H63" s="49"/>
      <c r="I63" s="49"/>
      <c r="J63" s="49"/>
      <c r="K63" s="49"/>
      <c r="L63" s="49"/>
      <c r="M63" s="49"/>
      <c r="N63" s="49"/>
      <c r="O63" s="49"/>
      <c r="P63" s="49"/>
      <c r="Q63" s="49"/>
      <c r="R63" s="49"/>
      <c r="S63" s="49"/>
      <c r="T63" s="49"/>
      <c r="U63" s="49"/>
      <c r="V63" s="49"/>
      <c r="W63" s="49"/>
      <c r="X63" s="49"/>
      <c r="Y63" s="49"/>
      <c r="Z63" s="49"/>
    </row>
    <row r="64">
      <c r="A64" s="49" t="str">
        <f>IFERROR(__xludf.DUMMYFUNCTION("""COMPUTED_VALUE"""),"The Nightmare Realm")</f>
        <v>The Nightmare Realm</v>
      </c>
      <c r="B64" s="49"/>
      <c r="C64" s="49" t="str">
        <f>IFERROR(__xludf.DUMMYFUNCTION("""COMPUTED_VALUE"""),"Abstara")</f>
        <v>Abstara</v>
      </c>
      <c r="D64" s="49"/>
      <c r="E64" s="106">
        <f>IFERROR(__xludf.DUMMYFUNCTION("""COMPUTED_VALUE"""),1.0E9)</f>
        <v>1000000000</v>
      </c>
      <c r="F64" s="49" t="str">
        <f>IFERROR(__xludf.DUMMYFUNCTION("""COMPUTED_VALUE"""),"UndeadCoin")</f>
        <v>UndeadCoin</v>
      </c>
      <c r="G64" s="49"/>
      <c r="H64" s="49"/>
      <c r="I64" s="49"/>
      <c r="J64" s="49"/>
      <c r="K64" s="49"/>
      <c r="L64" s="49"/>
      <c r="M64" s="49"/>
      <c r="N64" s="49"/>
      <c r="O64" s="49"/>
      <c r="P64" s="49"/>
      <c r="Q64" s="49"/>
      <c r="R64" s="49"/>
      <c r="S64" s="49"/>
      <c r="T64" s="49"/>
      <c r="U64" s="49"/>
      <c r="V64" s="49"/>
      <c r="W64" s="49"/>
      <c r="X64" s="49"/>
      <c r="Y64" s="49"/>
      <c r="Z64" s="49"/>
    </row>
    <row r="65">
      <c r="A65" s="49"/>
      <c r="B65" s="49"/>
      <c r="C65" s="49"/>
      <c r="D65" s="49"/>
      <c r="E65" s="106">
        <f>IFERROR(__xludf.DUMMYFUNCTION("""COMPUTED_VALUE"""),1.0E9)</f>
        <v>1000000000</v>
      </c>
      <c r="F65" s="49"/>
      <c r="G65" s="49"/>
      <c r="H65" s="49"/>
      <c r="I65" s="49"/>
      <c r="J65" s="49"/>
      <c r="K65" s="49"/>
      <c r="L65" s="49"/>
      <c r="M65" s="49"/>
      <c r="N65" s="49"/>
      <c r="O65" s="49"/>
      <c r="P65" s="49"/>
      <c r="Q65" s="49"/>
      <c r="R65" s="49"/>
      <c r="S65" s="49"/>
      <c r="T65" s="49"/>
      <c r="U65" s="49"/>
      <c r="V65" s="49"/>
      <c r="W65" s="49"/>
      <c r="X65" s="49"/>
      <c r="Y65" s="49"/>
      <c r="Z65" s="49"/>
    </row>
    <row r="66">
      <c r="A66" s="49" t="str">
        <f>IFERROR(__xludf.DUMMYFUNCTION("""COMPUTED_VALUE"""),"Cathedral of the Forsaken")</f>
        <v>Cathedral of the Forsaken</v>
      </c>
      <c r="B66" s="49"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49" t="str">
        <f>IFERROR(__xludf.DUMMYFUNCTION("""COMPUTED_VALUE"""),"Abstara")</f>
        <v>Abstara</v>
      </c>
      <c r="D66" s="49"/>
      <c r="E66" s="106">
        <f>IFERROR(__xludf.DUMMYFUNCTION("""COMPUTED_VALUE"""),1.0E9)</f>
        <v>1000000000</v>
      </c>
      <c r="F66" s="49" t="str">
        <f>IFERROR(__xludf.DUMMYFUNCTION("""COMPUTED_VALUE"""),"UndeadCoin")</f>
        <v>UndeadCoin</v>
      </c>
      <c r="G66" s="49"/>
      <c r="H66" s="49"/>
      <c r="I66" s="49"/>
      <c r="J66" s="49"/>
      <c r="K66" s="49"/>
      <c r="L66" s="49"/>
      <c r="M66" s="49"/>
      <c r="N66" s="49"/>
      <c r="O66" s="49"/>
      <c r="P66" s="49"/>
      <c r="Q66" s="49"/>
      <c r="R66" s="49"/>
      <c r="S66" s="49"/>
      <c r="T66" s="49"/>
      <c r="U66" s="49"/>
      <c r="V66" s="49"/>
      <c r="W66" s="49"/>
      <c r="X66" s="49"/>
      <c r="Y66" s="49"/>
      <c r="Z66" s="49"/>
    </row>
    <row r="67">
      <c r="A67" s="49" t="str">
        <f>IFERROR(__xludf.DUMMYFUNCTION("""COMPUTED_VALUE"""),"The Ancient City of Jinnlar (Currently Unavailable)")</f>
        <v>The Ancient City of Jinnlar (Currently Unavailable)</v>
      </c>
      <c r="B67" s="49"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49" t="str">
        <f>IFERROR(__xludf.DUMMYFUNCTION("""COMPUTED_VALUE"""),"Abstara")</f>
        <v>Abstara</v>
      </c>
      <c r="D67" s="49"/>
      <c r="E67" s="106">
        <f>IFERROR(__xludf.DUMMYFUNCTION("""COMPUTED_VALUE"""),1.0E9)</f>
        <v>1000000000</v>
      </c>
      <c r="F67" s="49" t="str">
        <f>IFERROR(__xludf.DUMMYFUNCTION("""COMPUTED_VALUE"""),"UndeadCoin")</f>
        <v>UndeadCoin</v>
      </c>
      <c r="G67" s="49"/>
      <c r="H67" s="49"/>
      <c r="I67" s="49"/>
      <c r="J67" s="49"/>
      <c r="K67" s="49"/>
      <c r="L67" s="49"/>
      <c r="M67" s="49"/>
      <c r="N67" s="49"/>
      <c r="O67" s="49"/>
      <c r="P67" s="49"/>
      <c r="Q67" s="49"/>
      <c r="R67" s="49"/>
      <c r="S67" s="49"/>
      <c r="T67" s="49"/>
      <c r="U67" s="49"/>
      <c r="V67" s="49"/>
      <c r="W67" s="49"/>
      <c r="X67" s="49"/>
      <c r="Y67" s="49"/>
      <c r="Z67" s="49"/>
    </row>
    <row r="68">
      <c r="A68" s="49" t="str">
        <f>IFERROR(__xludf.DUMMYFUNCTION("""COMPUTED_VALUE"""),"Chaotic Old Village")</f>
        <v>Chaotic Old Village</v>
      </c>
      <c r="B68" s="49"/>
      <c r="C68" s="49" t="str">
        <f>IFERROR(__xludf.DUMMYFUNCTION("""COMPUTED_VALUE"""),"Land of The Forgotten")</f>
        <v>Land of The Forgotten</v>
      </c>
      <c r="D68" s="49"/>
      <c r="E68" s="106">
        <f>IFERROR(__xludf.DUMMYFUNCTION("""COMPUTED_VALUE"""),1.0E9)</f>
        <v>1000000000</v>
      </c>
      <c r="F68" s="49" t="str">
        <f>IFERROR(__xludf.DUMMYFUNCTION("""COMPUTED_VALUE"""),"Gilder")</f>
        <v>Gilder</v>
      </c>
      <c r="G68" s="49"/>
      <c r="H68" s="49"/>
      <c r="I68" s="49"/>
      <c r="J68" s="49"/>
      <c r="K68" s="49"/>
      <c r="L68" s="49"/>
      <c r="M68" s="49"/>
      <c r="N68" s="49"/>
      <c r="O68" s="49"/>
      <c r="P68" s="49"/>
      <c r="Q68" s="49"/>
      <c r="R68" s="49"/>
      <c r="S68" s="49"/>
      <c r="T68" s="49"/>
      <c r="U68" s="49"/>
      <c r="V68" s="49"/>
      <c r="W68" s="49"/>
      <c r="X68" s="49"/>
      <c r="Y68" s="49"/>
      <c r="Z68" s="49"/>
    </row>
    <row r="69">
      <c r="A69" s="49" t="str">
        <f>IFERROR(__xludf.DUMMYFUNCTION("""COMPUTED_VALUE"""),"Puppet Masters Cave")</f>
        <v>Puppet Masters Cave</v>
      </c>
      <c r="B69" s="49"/>
      <c r="C69" s="49" t="str">
        <f>IFERROR(__xludf.DUMMYFUNCTION("""COMPUTED_VALUE"""),"Land of The Forgotten")</f>
        <v>Land of The Forgotten</v>
      </c>
      <c r="D69" s="49"/>
      <c r="E69" s="106">
        <f>IFERROR(__xludf.DUMMYFUNCTION("""COMPUTED_VALUE"""),1.0E9)</f>
        <v>1000000000</v>
      </c>
      <c r="F69" s="49" t="str">
        <f>IFERROR(__xludf.DUMMYFUNCTION("""COMPUTED_VALUE"""),"Gilder")</f>
        <v>Gilder</v>
      </c>
      <c r="G69" s="49"/>
      <c r="H69" s="49"/>
      <c r="I69" s="49"/>
      <c r="J69" s="49"/>
      <c r="K69" s="49"/>
      <c r="L69" s="49"/>
      <c r="M69" s="49"/>
      <c r="N69" s="49"/>
      <c r="O69" s="49"/>
      <c r="P69" s="49"/>
      <c r="Q69" s="49"/>
      <c r="R69" s="49"/>
      <c r="S69" s="49"/>
      <c r="T69" s="49"/>
      <c r="U69" s="49"/>
      <c r="V69" s="49"/>
      <c r="W69" s="49"/>
      <c r="X69" s="49"/>
      <c r="Y69" s="49"/>
      <c r="Z69" s="49"/>
    </row>
    <row r="70">
      <c r="A70" s="49" t="str">
        <f>IFERROR(__xludf.DUMMYFUNCTION("""COMPUTED_VALUE"""),"Puppet Masters Hedge Maze")</f>
        <v>Puppet Masters Hedge Maze</v>
      </c>
      <c r="B70" s="49"/>
      <c r="C70" s="49" t="str">
        <f>IFERROR(__xludf.DUMMYFUNCTION("""COMPUTED_VALUE"""),"Land of The Forgotten")</f>
        <v>Land of The Forgotten</v>
      </c>
      <c r="D70" s="49"/>
      <c r="E70" s="106">
        <f>IFERROR(__xludf.DUMMYFUNCTION("""COMPUTED_VALUE"""),1.0E9)</f>
        <v>1000000000</v>
      </c>
      <c r="F70" s="49" t="str">
        <f>IFERROR(__xludf.DUMMYFUNCTION("""COMPUTED_VALUE"""),"Gilder")</f>
        <v>Gilder</v>
      </c>
      <c r="G70" s="49"/>
      <c r="H70" s="49"/>
      <c r="I70" s="49"/>
      <c r="J70" s="49"/>
      <c r="K70" s="49"/>
      <c r="L70" s="49"/>
      <c r="M70" s="49"/>
      <c r="N70" s="49"/>
      <c r="O70" s="49"/>
      <c r="P70" s="49"/>
      <c r="Q70" s="49"/>
      <c r="R70" s="49"/>
      <c r="S70" s="49"/>
      <c r="T70" s="49"/>
      <c r="U70" s="49"/>
      <c r="V70" s="49"/>
      <c r="W70" s="49"/>
      <c r="X70" s="49"/>
      <c r="Y70" s="49"/>
      <c r="Z70" s="49"/>
    </row>
    <row r="71">
      <c r="A71" s="49" t="str">
        <f>IFERROR(__xludf.DUMMYFUNCTION("""COMPUTED_VALUE"""),"SerpentScale Village")</f>
        <v>SerpentScale Village</v>
      </c>
      <c r="B71" s="49"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49" t="str">
        <f>IFERROR(__xludf.DUMMYFUNCTION("""COMPUTED_VALUE"""),"Dragonscale Island")</f>
        <v>Dragonscale Island</v>
      </c>
      <c r="D71" s="49"/>
      <c r="E71" s="106">
        <f>IFERROR(__xludf.DUMMYFUNCTION("""COMPUTED_VALUE"""),1.0E9)</f>
        <v>1000000000</v>
      </c>
      <c r="F71" s="49" t="str">
        <f>IFERROR(__xludf.DUMMYFUNCTION("""COMPUTED_VALUE"""),"Gilder")</f>
        <v>Gilder</v>
      </c>
      <c r="G71" s="49"/>
      <c r="H71" s="49"/>
      <c r="I71" s="49"/>
      <c r="J71" s="49"/>
      <c r="K71" s="49"/>
      <c r="L71" s="49"/>
      <c r="M71" s="49"/>
      <c r="N71" s="49"/>
      <c r="O71" s="49"/>
      <c r="P71" s="49"/>
      <c r="Q71" s="49"/>
      <c r="R71" s="49"/>
      <c r="S71" s="49"/>
      <c r="T71" s="49"/>
      <c r="U71" s="49"/>
      <c r="V71" s="49"/>
      <c r="W71" s="49"/>
      <c r="X71" s="49"/>
      <c r="Y71" s="49"/>
      <c r="Z71" s="49"/>
    </row>
    <row r="72">
      <c r="A72" s="49" t="str">
        <f>IFERROR(__xludf.DUMMYFUNCTION("""COMPUTED_VALUE"""),"Mouth of The Dragon")</f>
        <v>Mouth of The Dragon</v>
      </c>
      <c r="B72" s="49"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49" t="str">
        <f>IFERROR(__xludf.DUMMYFUNCTION("""COMPUTED_VALUE"""),"Dragonscale Island")</f>
        <v>Dragonscale Island</v>
      </c>
      <c r="D72" s="49"/>
      <c r="E72" s="106">
        <f>IFERROR(__xludf.DUMMYFUNCTION("""COMPUTED_VALUE"""),1.0E9)</f>
        <v>1000000000</v>
      </c>
      <c r="F72" s="49" t="str">
        <f>IFERROR(__xludf.DUMMYFUNCTION("""COMPUTED_VALUE"""),"Gilder")</f>
        <v>Gilder</v>
      </c>
      <c r="G72" s="49"/>
      <c r="H72" s="49"/>
      <c r="I72" s="49"/>
      <c r="J72" s="49"/>
      <c r="K72" s="49"/>
      <c r="L72" s="49"/>
      <c r="M72" s="49"/>
      <c r="N72" s="49"/>
      <c r="O72" s="49"/>
      <c r="P72" s="49"/>
      <c r="Q72" s="49"/>
      <c r="R72" s="49"/>
      <c r="S72" s="49"/>
      <c r="T72" s="49"/>
      <c r="U72" s="49"/>
      <c r="V72" s="49"/>
      <c r="W72" s="49"/>
      <c r="X72" s="49"/>
      <c r="Y72" s="49"/>
      <c r="Z72" s="49"/>
    </row>
    <row r="73">
      <c r="A73" s="49" t="str">
        <f>IFERROR(__xludf.DUMMYFUNCTION("""COMPUTED_VALUE"""),"Dragonscale Dungeon")</f>
        <v>Dragonscale Dungeon</v>
      </c>
      <c r="B73" s="49"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49" t="str">
        <f>IFERROR(__xludf.DUMMYFUNCTION("""COMPUTED_VALUE"""),"Dragonscale Island")</f>
        <v>Dragonscale Island</v>
      </c>
      <c r="D73" s="49"/>
      <c r="E73" s="106">
        <f>IFERROR(__xludf.DUMMYFUNCTION("""COMPUTED_VALUE"""),1.0E9)</f>
        <v>1000000000</v>
      </c>
      <c r="F73" s="49" t="str">
        <f>IFERROR(__xludf.DUMMYFUNCTION("""COMPUTED_VALUE"""),"Gilder")</f>
        <v>Gilder</v>
      </c>
      <c r="G73" s="49"/>
      <c r="H73" s="49"/>
      <c r="I73" s="49"/>
      <c r="J73" s="49"/>
      <c r="K73" s="49"/>
      <c r="L73" s="49"/>
      <c r="M73" s="49"/>
      <c r="N73" s="49"/>
      <c r="O73" s="49"/>
      <c r="P73" s="49"/>
      <c r="Q73" s="49"/>
      <c r="R73" s="49"/>
      <c r="S73" s="49"/>
      <c r="T73" s="49"/>
      <c r="U73" s="49"/>
      <c r="V73" s="49"/>
      <c r="W73" s="49"/>
      <c r="X73" s="49"/>
      <c r="Y73" s="49"/>
      <c r="Z73" s="49"/>
    </row>
    <row r="74">
      <c r="A74" s="49" t="str">
        <f>IFERROR(__xludf.DUMMYFUNCTION("""COMPUTED_VALUE"""),"Sweltering Salamander Swamp")</f>
        <v>Sweltering Salamander Swamp</v>
      </c>
      <c r="B74" s="49"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49" t="str">
        <f>IFERROR(__xludf.DUMMYFUNCTION("""COMPUTED_VALUE"""),"Dragonscale Island")</f>
        <v>Dragonscale Island</v>
      </c>
      <c r="D74" s="49"/>
      <c r="E74" s="106">
        <f>IFERROR(__xludf.DUMMYFUNCTION("""COMPUTED_VALUE"""),1.0E9)</f>
        <v>1000000000</v>
      </c>
      <c r="F74" s="49" t="str">
        <f>IFERROR(__xludf.DUMMYFUNCTION("""COMPUTED_VALUE"""),"Gilder")</f>
        <v>Gilder</v>
      </c>
      <c r="G74" s="49"/>
      <c r="H74" s="49"/>
      <c r="I74" s="49"/>
      <c r="J74" s="49"/>
      <c r="K74" s="49"/>
      <c r="L74" s="49"/>
      <c r="M74" s="49"/>
      <c r="N74" s="49"/>
      <c r="O74" s="49"/>
      <c r="P74" s="49"/>
      <c r="Q74" s="49"/>
      <c r="R74" s="49"/>
      <c r="S74" s="49"/>
      <c r="T74" s="49"/>
      <c r="U74" s="49"/>
      <c r="V74" s="49"/>
      <c r="W74" s="49"/>
      <c r="X74" s="49"/>
      <c r="Y74" s="49"/>
      <c r="Z74" s="49"/>
    </row>
    <row r="75">
      <c r="A75" s="49" t="str">
        <f>IFERROR(__xludf.DUMMYFUNCTION("""COMPUTED_VALUE"""),"Gecko-Tail Passage")</f>
        <v>Gecko-Tail Passage</v>
      </c>
      <c r="B75" s="49"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49" t="str">
        <f>IFERROR(__xludf.DUMMYFUNCTION("""COMPUTED_VALUE"""),"Dragonscale Island")</f>
        <v>Dragonscale Island</v>
      </c>
      <c r="D75" s="49"/>
      <c r="E75" s="106">
        <f>IFERROR(__xludf.DUMMYFUNCTION("""COMPUTED_VALUE"""),1.0E9)</f>
        <v>1000000000</v>
      </c>
      <c r="F75" s="49" t="str">
        <f>IFERROR(__xludf.DUMMYFUNCTION("""COMPUTED_VALUE"""),"Gilder")</f>
        <v>Gilder</v>
      </c>
      <c r="G75" s="49"/>
      <c r="H75" s="49"/>
      <c r="I75" s="49"/>
      <c r="J75" s="49"/>
      <c r="K75" s="49"/>
      <c r="L75" s="49"/>
      <c r="M75" s="49"/>
      <c r="N75" s="49"/>
      <c r="O75" s="49"/>
      <c r="P75" s="49"/>
      <c r="Q75" s="49"/>
      <c r="R75" s="49"/>
      <c r="S75" s="49"/>
      <c r="T75" s="49"/>
      <c r="U75" s="49"/>
      <c r="V75" s="49"/>
      <c r="W75" s="49"/>
      <c r="X75" s="49"/>
      <c r="Y75" s="49"/>
      <c r="Z75" s="49"/>
    </row>
    <row r="76">
      <c r="A76" s="49" t="str">
        <f>IFERROR(__xludf.DUMMYFUNCTION("""COMPUTED_VALUE"""),"Wyverntail Waterfalls")</f>
        <v>Wyverntail Waterfalls</v>
      </c>
      <c r="B76" s="49"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49" t="str">
        <f>IFERROR(__xludf.DUMMYFUNCTION("""COMPUTED_VALUE"""),"Dragonscale Island")</f>
        <v>Dragonscale Island</v>
      </c>
      <c r="D76" s="49"/>
      <c r="E76" s="106">
        <f>IFERROR(__xludf.DUMMYFUNCTION("""COMPUTED_VALUE"""),1.0E9)</f>
        <v>1000000000</v>
      </c>
      <c r="F76" s="49" t="str">
        <f>IFERROR(__xludf.DUMMYFUNCTION("""COMPUTED_VALUE"""),"Gilder")</f>
        <v>Gilder</v>
      </c>
      <c r="G76" s="49"/>
      <c r="H76" s="49"/>
      <c r="I76" s="49"/>
      <c r="J76" s="49"/>
      <c r="K76" s="49"/>
      <c r="L76" s="49"/>
      <c r="M76" s="49"/>
      <c r="N76" s="49"/>
      <c r="O76" s="49"/>
      <c r="P76" s="49"/>
      <c r="Q76" s="49"/>
      <c r="R76" s="49"/>
      <c r="S76" s="49"/>
      <c r="T76" s="49"/>
      <c r="U76" s="49"/>
      <c r="V76" s="49"/>
      <c r="W76" s="49"/>
      <c r="X76" s="49"/>
      <c r="Y76" s="49"/>
      <c r="Z76" s="49"/>
    </row>
    <row r="77">
      <c r="A77" s="49" t="str">
        <f>IFERROR(__xludf.DUMMYFUNCTION("""COMPUTED_VALUE"""),"Tortoise Shell Island")</f>
        <v>Tortoise Shell Island</v>
      </c>
      <c r="B77" s="49"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49" t="str">
        <f>IFERROR(__xludf.DUMMYFUNCTION("""COMPUTED_VALUE"""),"Dragonscale Island")</f>
        <v>Dragonscale Island</v>
      </c>
      <c r="D77" s="49"/>
      <c r="E77" s="106">
        <f>IFERROR(__xludf.DUMMYFUNCTION("""COMPUTED_VALUE"""),1.1E9)</f>
        <v>1100000000</v>
      </c>
      <c r="F77" s="49" t="str">
        <f>IFERROR(__xludf.DUMMYFUNCTION("""COMPUTED_VALUE"""),"Gilder")</f>
        <v>Gilder</v>
      </c>
      <c r="G77" s="49"/>
      <c r="H77" s="49"/>
      <c r="I77" s="49"/>
      <c r="J77" s="49"/>
      <c r="K77" s="49"/>
      <c r="L77" s="49"/>
      <c r="M77" s="49"/>
      <c r="N77" s="49"/>
      <c r="O77" s="49"/>
      <c r="P77" s="49"/>
      <c r="Q77" s="49"/>
      <c r="R77" s="49"/>
      <c r="S77" s="49"/>
      <c r="T77" s="49"/>
      <c r="U77" s="49"/>
      <c r="V77" s="49"/>
      <c r="W77" s="49"/>
      <c r="X77" s="49"/>
      <c r="Y77" s="49"/>
      <c r="Z77" s="49"/>
    </row>
    <row r="78">
      <c r="A78" s="49" t="str">
        <f>IFERROR(__xludf.DUMMYFUNCTION("""COMPUTED_VALUE"""),"Komodo Caverns")</f>
        <v>Komodo Caverns</v>
      </c>
      <c r="B78" s="49"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49" t="str">
        <f>IFERROR(__xludf.DUMMYFUNCTION("""COMPUTED_VALUE"""),"Dragonscale Island")</f>
        <v>Dragonscale Island</v>
      </c>
      <c r="D78" s="49"/>
      <c r="E78" s="106">
        <f>IFERROR(__xludf.DUMMYFUNCTION("""COMPUTED_VALUE"""),1.0E9)</f>
        <v>1000000000</v>
      </c>
      <c r="F78" s="49" t="str">
        <f>IFERROR(__xludf.DUMMYFUNCTION("""COMPUTED_VALUE"""),"Gilder")</f>
        <v>Gilder</v>
      </c>
      <c r="G78" s="49"/>
      <c r="H78" s="49"/>
      <c r="I78" s="49"/>
      <c r="J78" s="49"/>
      <c r="K78" s="49"/>
      <c r="L78" s="49"/>
      <c r="M78" s="49"/>
      <c r="N78" s="49"/>
      <c r="O78" s="49"/>
      <c r="P78" s="49"/>
      <c r="Q78" s="49"/>
      <c r="R78" s="49"/>
      <c r="S78" s="49"/>
      <c r="T78" s="49"/>
      <c r="U78" s="49"/>
      <c r="V78" s="49"/>
      <c r="W78" s="49"/>
      <c r="X78" s="49"/>
      <c r="Y78" s="49"/>
      <c r="Z78" s="49"/>
    </row>
    <row r="79">
      <c r="A79" s="49" t="str">
        <f>IFERROR(__xludf.DUMMYFUNCTION("""COMPUTED_VALUE"""),"DragonTear Lake (Eye of The Dragon)")</f>
        <v>DragonTear Lake (Eye of The Dragon)</v>
      </c>
      <c r="B79" s="49"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49" t="str">
        <f>IFERROR(__xludf.DUMMYFUNCTION("""COMPUTED_VALUE"""),"Dragonscale Island")</f>
        <v>Dragonscale Island</v>
      </c>
      <c r="D79" s="49"/>
      <c r="E79" s="106">
        <f>IFERROR(__xludf.DUMMYFUNCTION("""COMPUTED_VALUE"""),1.0E9)</f>
        <v>1000000000</v>
      </c>
      <c r="F79" s="49" t="str">
        <f>IFERROR(__xludf.DUMMYFUNCTION("""COMPUTED_VALUE"""),"Gilder")</f>
        <v>Gilder</v>
      </c>
      <c r="G79" s="49"/>
      <c r="H79" s="49"/>
      <c r="I79" s="49"/>
      <c r="J79" s="49"/>
      <c r="K79" s="49"/>
      <c r="L79" s="49"/>
      <c r="M79" s="49"/>
      <c r="N79" s="49"/>
      <c r="O79" s="49"/>
      <c r="P79" s="49"/>
      <c r="Q79" s="49"/>
      <c r="R79" s="49"/>
      <c r="S79" s="49"/>
      <c r="T79" s="49"/>
      <c r="U79" s="49"/>
      <c r="V79" s="49"/>
      <c r="W79" s="49"/>
      <c r="X79" s="49"/>
      <c r="Y79" s="49"/>
      <c r="Z79" s="49"/>
    </row>
    <row r="80">
      <c r="A80" s="49" t="str">
        <f>IFERROR(__xludf.DUMMYFUNCTION("""COMPUTED_VALUE"""),"DragonScale Summit")</f>
        <v>DragonScale Summit</v>
      </c>
      <c r="B80" s="49"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49" t="str">
        <f>IFERROR(__xludf.DUMMYFUNCTION("""COMPUTED_VALUE"""),"Dragonscale Island")</f>
        <v>Dragonscale Island</v>
      </c>
      <c r="D80" s="49"/>
      <c r="E80" s="106">
        <f>IFERROR(__xludf.DUMMYFUNCTION("""COMPUTED_VALUE"""),1.0E9)</f>
        <v>1000000000</v>
      </c>
      <c r="F80" s="49" t="str">
        <f>IFERROR(__xludf.DUMMYFUNCTION("""COMPUTED_VALUE"""),"Gilder")</f>
        <v>Gilder</v>
      </c>
      <c r="G80" s="49"/>
      <c r="H80" s="49"/>
      <c r="I80" s="49"/>
      <c r="J80" s="49"/>
      <c r="K80" s="49"/>
      <c r="L80" s="49"/>
      <c r="M80" s="49"/>
      <c r="N80" s="49"/>
      <c r="O80" s="49"/>
      <c r="P80" s="49"/>
      <c r="Q80" s="49"/>
      <c r="R80" s="49"/>
      <c r="S80" s="49"/>
      <c r="T80" s="49"/>
      <c r="U80" s="49"/>
      <c r="V80" s="49"/>
      <c r="W80" s="49"/>
      <c r="X80" s="49"/>
      <c r="Y80" s="49"/>
      <c r="Z80" s="49"/>
    </row>
    <row r="81">
      <c r="A81" s="49" t="str">
        <f>IFERROR(__xludf.DUMMYFUNCTION("""COMPUTED_VALUE"""),"DragonScale Vale")</f>
        <v>DragonScale Vale</v>
      </c>
      <c r="B81" s="49"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49" t="str">
        <f>IFERROR(__xludf.DUMMYFUNCTION("""COMPUTED_VALUE"""),"Dragonscale Island")</f>
        <v>Dragonscale Island</v>
      </c>
      <c r="D81" s="49"/>
      <c r="E81" s="106">
        <f>IFERROR(__xludf.DUMMYFUNCTION("""COMPUTED_VALUE"""),1.0E9)</f>
        <v>1000000000</v>
      </c>
      <c r="F81" s="49" t="str">
        <f>IFERROR(__xludf.DUMMYFUNCTION("""COMPUTED_VALUE"""),"Gilder")</f>
        <v>Gilder</v>
      </c>
      <c r="G81" s="49"/>
      <c r="H81" s="49"/>
      <c r="I81" s="49"/>
      <c r="J81" s="49"/>
      <c r="K81" s="49"/>
      <c r="L81" s="49"/>
      <c r="M81" s="49"/>
      <c r="N81" s="49"/>
      <c r="O81" s="49"/>
      <c r="P81" s="49"/>
      <c r="Q81" s="49"/>
      <c r="R81" s="49"/>
      <c r="S81" s="49"/>
      <c r="T81" s="49"/>
      <c r="U81" s="49"/>
      <c r="V81" s="49"/>
      <c r="W81" s="49"/>
      <c r="X81" s="49"/>
      <c r="Y81" s="49"/>
      <c r="Z81" s="49"/>
    </row>
    <row r="82">
      <c r="A82" s="49" t="str">
        <f>IFERROR(__xludf.DUMMYFUNCTION("""COMPUTED_VALUE"""),"DragonScale Grotto")</f>
        <v>DragonScale Grotto</v>
      </c>
      <c r="B82" s="49"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49" t="str">
        <f>IFERROR(__xludf.DUMMYFUNCTION("""COMPUTED_VALUE"""),"Dragonscale Island")</f>
        <v>Dragonscale Island</v>
      </c>
      <c r="D82" s="49"/>
      <c r="E82" s="106">
        <f>IFERROR(__xludf.DUMMYFUNCTION("""COMPUTED_VALUE"""),1.0E9)</f>
        <v>1000000000</v>
      </c>
      <c r="F82" s="49" t="str">
        <f>IFERROR(__xludf.DUMMYFUNCTION("""COMPUTED_VALUE"""),"Gilder")</f>
        <v>Gilder</v>
      </c>
      <c r="G82" s="49"/>
      <c r="H82" s="49"/>
      <c r="I82" s="49"/>
      <c r="J82" s="49"/>
      <c r="K82" s="49"/>
      <c r="L82" s="49"/>
      <c r="M82" s="49"/>
      <c r="N82" s="49"/>
      <c r="O82" s="49"/>
      <c r="P82" s="49"/>
      <c r="Q82" s="49"/>
      <c r="R82" s="49"/>
      <c r="S82" s="49"/>
      <c r="T82" s="49"/>
      <c r="U82" s="49"/>
      <c r="V82" s="49"/>
      <c r="W82" s="49"/>
      <c r="X82" s="49"/>
      <c r="Y82" s="49"/>
      <c r="Z82" s="49"/>
    </row>
    <row r="83">
      <c r="A83" s="49" t="str">
        <f>IFERROR(__xludf.DUMMYFUNCTION("""COMPUTED_VALUE"""),"Lava Lizard Lake")</f>
        <v>Lava Lizard Lake</v>
      </c>
      <c r="B83" s="49"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49" t="str">
        <f>IFERROR(__xludf.DUMMYFUNCTION("""COMPUTED_VALUE"""),"Dragonscale Island")</f>
        <v>Dragonscale Island</v>
      </c>
      <c r="D83" s="49"/>
      <c r="E83" s="106">
        <f>IFERROR(__xludf.DUMMYFUNCTION("""COMPUTED_VALUE"""),1.0E9)</f>
        <v>1000000000</v>
      </c>
      <c r="F83" s="49" t="str">
        <f>IFERROR(__xludf.DUMMYFUNCTION("""COMPUTED_VALUE"""),"Gilder")</f>
        <v>Gilder</v>
      </c>
      <c r="G83" s="49"/>
      <c r="H83" s="49"/>
      <c r="I83" s="49"/>
      <c r="J83" s="49"/>
      <c r="K83" s="49"/>
      <c r="L83" s="49"/>
      <c r="M83" s="49"/>
      <c r="N83" s="49"/>
      <c r="O83" s="49"/>
      <c r="P83" s="49"/>
      <c r="Q83" s="49"/>
      <c r="R83" s="49"/>
      <c r="S83" s="49"/>
      <c r="T83" s="49"/>
      <c r="U83" s="49"/>
      <c r="V83" s="49"/>
      <c r="W83" s="49"/>
      <c r="X83" s="49"/>
      <c r="Y83" s="49"/>
      <c r="Z83" s="49"/>
    </row>
    <row r="84">
      <c r="A84" s="49" t="str">
        <f>IFERROR(__xludf.DUMMYFUNCTION("""COMPUTED_VALUE"""),"Crypts of the Ancient One")</f>
        <v>Crypts of the Ancient One</v>
      </c>
      <c r="B84" s="49"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49" t="str">
        <f>IFERROR(__xludf.DUMMYFUNCTION("""COMPUTED_VALUE"""),"Dragonscale Island")</f>
        <v>Dragonscale Island</v>
      </c>
      <c r="D84" s="49"/>
      <c r="E84" s="106">
        <f>IFERROR(__xludf.DUMMYFUNCTION("""COMPUTED_VALUE"""),1.0E9)</f>
        <v>1000000000</v>
      </c>
      <c r="F84" s="49" t="str">
        <f>IFERROR(__xludf.DUMMYFUNCTION("""COMPUTED_VALUE"""),"Gilder")</f>
        <v>Gilder</v>
      </c>
      <c r="G84" s="49"/>
      <c r="H84" s="49"/>
      <c r="I84" s="49"/>
      <c r="J84" s="49"/>
      <c r="K84" s="49"/>
      <c r="L84" s="49"/>
      <c r="M84" s="49"/>
      <c r="N84" s="49"/>
      <c r="O84" s="49"/>
      <c r="P84" s="49"/>
      <c r="Q84" s="49"/>
      <c r="R84" s="49"/>
      <c r="S84" s="49"/>
      <c r="T84" s="49"/>
      <c r="U84" s="49"/>
      <c r="V84" s="49"/>
      <c r="W84" s="49"/>
      <c r="X84" s="49"/>
      <c r="Y84" s="49"/>
      <c r="Z84" s="49"/>
    </row>
    <row r="85">
      <c r="A85" s="49" t="str">
        <f>IFERROR(__xludf.DUMMYFUNCTION("""COMPUTED_VALUE"""),"DragonScale Arena")</f>
        <v>DragonScale Arena</v>
      </c>
      <c r="B85" s="49"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49" t="str">
        <f>IFERROR(__xludf.DUMMYFUNCTION("""COMPUTED_VALUE"""),"Dragonscale Island")</f>
        <v>Dragonscale Island</v>
      </c>
      <c r="D85" s="49"/>
      <c r="E85" s="106">
        <f>IFERROR(__xludf.DUMMYFUNCTION("""COMPUTED_VALUE"""),1.0E9)</f>
        <v>1000000000</v>
      </c>
      <c r="F85" s="49" t="str">
        <f>IFERROR(__xludf.DUMMYFUNCTION("""COMPUTED_VALUE"""),"Gilder")</f>
        <v>Gilder</v>
      </c>
      <c r="G85" s="49"/>
      <c r="H85" s="49"/>
      <c r="I85" s="49"/>
      <c r="J85" s="49"/>
      <c r="K85" s="49"/>
      <c r="L85" s="49"/>
      <c r="M85" s="49"/>
      <c r="N85" s="49"/>
      <c r="O85" s="49"/>
      <c r="P85" s="49"/>
      <c r="Q85" s="49"/>
      <c r="R85" s="49"/>
      <c r="S85" s="49"/>
      <c r="T85" s="49"/>
      <c r="U85" s="49"/>
      <c r="V85" s="49"/>
      <c r="W85" s="49"/>
      <c r="X85" s="49"/>
      <c r="Y85" s="49"/>
      <c r="Z85" s="49"/>
    </row>
    <row r="86">
      <c r="A86" s="49" t="str">
        <f>IFERROR(__xludf.DUMMYFUNCTION("""COMPUTED_VALUE"""),"Thundertail Falls")</f>
        <v>Thundertail Falls</v>
      </c>
      <c r="B86" s="49"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49" t="str">
        <f>IFERROR(__xludf.DUMMYFUNCTION("""COMPUTED_VALUE"""),"Dragonscale Island")</f>
        <v>Dragonscale Island</v>
      </c>
      <c r="D86" s="49"/>
      <c r="E86" s="106">
        <f>IFERROR(__xludf.DUMMYFUNCTION("""COMPUTED_VALUE"""),1.0E9)</f>
        <v>1000000000</v>
      </c>
      <c r="F86" s="49" t="str">
        <f>IFERROR(__xludf.DUMMYFUNCTION("""COMPUTED_VALUE"""),"Gilder")</f>
        <v>Gilder</v>
      </c>
      <c r="G86" s="49"/>
      <c r="H86" s="49"/>
      <c r="I86" s="49"/>
      <c r="J86" s="49"/>
      <c r="K86" s="49"/>
      <c r="L86" s="49"/>
      <c r="M86" s="49"/>
      <c r="N86" s="49"/>
      <c r="O86" s="49"/>
      <c r="P86" s="49"/>
      <c r="Q86" s="49"/>
      <c r="R86" s="49"/>
      <c r="S86" s="49"/>
      <c r="T86" s="49"/>
      <c r="U86" s="49"/>
      <c r="V86" s="49"/>
      <c r="W86" s="49"/>
      <c r="X86" s="49"/>
      <c r="Y86" s="49"/>
      <c r="Z86" s="49"/>
    </row>
    <row r="87">
      <c r="A87" s="49" t="str">
        <f>IFERROR(__xludf.DUMMYFUNCTION("""COMPUTED_VALUE"""),"Shimmering Shadow Lake")</f>
        <v>Shimmering Shadow Lake</v>
      </c>
      <c r="B87" s="49"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49" t="str">
        <f>IFERROR(__xludf.DUMMYFUNCTION("""COMPUTED_VALUE"""),"Dragonscale Island")</f>
        <v>Dragonscale Island</v>
      </c>
      <c r="D87" s="49"/>
      <c r="E87" s="106">
        <f>IFERROR(__xludf.DUMMYFUNCTION("""COMPUTED_VALUE"""),1.0E9)</f>
        <v>1000000000</v>
      </c>
      <c r="F87" s="49" t="str">
        <f>IFERROR(__xludf.DUMMYFUNCTION("""COMPUTED_VALUE"""),"Gilder")</f>
        <v>Gilder</v>
      </c>
      <c r="G87" s="49"/>
      <c r="H87" s="49"/>
      <c r="I87" s="49"/>
      <c r="J87" s="49"/>
      <c r="K87" s="49"/>
      <c r="L87" s="49"/>
      <c r="M87" s="49"/>
      <c r="N87" s="49"/>
      <c r="O87" s="49"/>
      <c r="P87" s="49"/>
      <c r="Q87" s="49"/>
      <c r="R87" s="49"/>
      <c r="S87" s="49"/>
      <c r="T87" s="49"/>
      <c r="U87" s="49"/>
      <c r="V87" s="49"/>
      <c r="W87" s="49"/>
      <c r="X87" s="49"/>
      <c r="Y87" s="49"/>
      <c r="Z87" s="49"/>
    </row>
    <row r="88">
      <c r="A88" s="49" t="str">
        <f>IFERROR(__xludf.DUMMYFUNCTION("""COMPUTED_VALUE"""),"Silverwood")</f>
        <v>Silverwood</v>
      </c>
      <c r="B88" s="49"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49" t="str">
        <f>IFERROR(__xludf.DUMMYFUNCTION("""COMPUTED_VALUE"""),"Dragonscale Island")</f>
        <v>Dragonscale Island</v>
      </c>
      <c r="D88" s="49"/>
      <c r="E88" s="106">
        <f>IFERROR(__xludf.DUMMYFUNCTION("""COMPUTED_VALUE"""),1.0E9)</f>
        <v>1000000000</v>
      </c>
      <c r="F88" s="49" t="str">
        <f>IFERROR(__xludf.DUMMYFUNCTION("""COMPUTED_VALUE"""),"Gilder")</f>
        <v>Gilder</v>
      </c>
      <c r="G88" s="49"/>
      <c r="H88" s="49"/>
      <c r="I88" s="49"/>
      <c r="J88" s="49"/>
      <c r="K88" s="49"/>
      <c r="L88" s="49"/>
      <c r="M88" s="49"/>
      <c r="N88" s="49"/>
      <c r="O88" s="49"/>
      <c r="P88" s="49"/>
      <c r="Q88" s="49"/>
      <c r="R88" s="49"/>
      <c r="S88" s="49"/>
      <c r="T88" s="49"/>
      <c r="U88" s="49"/>
      <c r="V88" s="49"/>
      <c r="W88" s="49"/>
      <c r="X88" s="49"/>
      <c r="Y88" s="49"/>
      <c r="Z88" s="49"/>
    </row>
    <row r="89">
      <c r="A89" s="49" t="str">
        <f>IFERROR(__xludf.DUMMYFUNCTION("""COMPUTED_VALUE"""),"DragonSpire")</f>
        <v>DragonSpire</v>
      </c>
      <c r="B89" s="49"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49" t="str">
        <f>IFERROR(__xludf.DUMMYFUNCTION("""COMPUTED_VALUE"""),"Dragonscale Island")</f>
        <v>Dragonscale Island</v>
      </c>
      <c r="D89" s="49"/>
      <c r="E89" s="106">
        <f>IFERROR(__xludf.DUMMYFUNCTION("""COMPUTED_VALUE"""),1.0E9)</f>
        <v>1000000000</v>
      </c>
      <c r="F89" s="49" t="str">
        <f>IFERROR(__xludf.DUMMYFUNCTION("""COMPUTED_VALUE"""),"Gilder")</f>
        <v>Gilder</v>
      </c>
      <c r="G89" s="49"/>
      <c r="H89" s="49"/>
      <c r="I89" s="49"/>
      <c r="J89" s="49"/>
      <c r="K89" s="49"/>
      <c r="L89" s="49"/>
      <c r="M89" s="49"/>
      <c r="N89" s="49"/>
      <c r="O89" s="49"/>
      <c r="P89" s="49"/>
      <c r="Q89" s="49"/>
      <c r="R89" s="49"/>
      <c r="S89" s="49"/>
      <c r="T89" s="49"/>
      <c r="U89" s="49"/>
      <c r="V89" s="49"/>
      <c r="W89" s="49"/>
      <c r="X89" s="49"/>
      <c r="Y89" s="49"/>
      <c r="Z89" s="49"/>
    </row>
    <row r="90">
      <c r="A90" s="49" t="str">
        <f>IFERROR(__xludf.DUMMYFUNCTION("""COMPUTED_VALUE"""),"Watertail Fjord")</f>
        <v>Watertail Fjord</v>
      </c>
      <c r="B90" s="49"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49" t="str">
        <f>IFERROR(__xludf.DUMMYFUNCTION("""COMPUTED_VALUE"""),"Dragonscale Island")</f>
        <v>Dragonscale Island</v>
      </c>
      <c r="D90" s="49"/>
      <c r="E90" s="106">
        <f>IFERROR(__xludf.DUMMYFUNCTION("""COMPUTED_VALUE"""),1.0E9)</f>
        <v>1000000000</v>
      </c>
      <c r="F90" s="49" t="str">
        <f>IFERROR(__xludf.DUMMYFUNCTION("""COMPUTED_VALUE"""),"Gilder")</f>
        <v>Gilder</v>
      </c>
      <c r="G90" s="49"/>
      <c r="H90" s="49"/>
      <c r="I90" s="49"/>
      <c r="J90" s="49"/>
      <c r="K90" s="49"/>
      <c r="L90" s="49"/>
      <c r="M90" s="49"/>
      <c r="N90" s="49"/>
      <c r="O90" s="49"/>
      <c r="P90" s="49"/>
      <c r="Q90" s="49"/>
      <c r="R90" s="49"/>
      <c r="S90" s="49"/>
      <c r="T90" s="49"/>
      <c r="U90" s="49"/>
      <c r="V90" s="49"/>
      <c r="W90" s="49"/>
      <c r="X90" s="49"/>
      <c r="Y90" s="49"/>
      <c r="Z90" s="49"/>
    </row>
    <row r="91">
      <c r="A91" s="49" t="str">
        <f>IFERROR(__xludf.DUMMYFUNCTION("""COMPUTED_VALUE"""),"Firetail Mountain")</f>
        <v>Firetail Mountain</v>
      </c>
      <c r="B91" s="49"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49" t="str">
        <f>IFERROR(__xludf.DUMMYFUNCTION("""COMPUTED_VALUE"""),"Dragonscale Island")</f>
        <v>Dragonscale Island</v>
      </c>
      <c r="D91" s="49"/>
      <c r="E91" s="106">
        <f>IFERROR(__xludf.DUMMYFUNCTION("""COMPUTED_VALUE"""),1.0E9)</f>
        <v>1000000000</v>
      </c>
      <c r="F91" s="49" t="str">
        <f>IFERROR(__xludf.DUMMYFUNCTION("""COMPUTED_VALUE"""),"Gilder")</f>
        <v>Gilder</v>
      </c>
      <c r="G91" s="49"/>
      <c r="H91" s="49"/>
      <c r="I91" s="49"/>
      <c r="J91" s="49"/>
      <c r="K91" s="49"/>
      <c r="L91" s="49"/>
      <c r="M91" s="49"/>
      <c r="N91" s="49"/>
      <c r="O91" s="49"/>
      <c r="P91" s="49"/>
      <c r="Q91" s="49"/>
      <c r="R91" s="49"/>
      <c r="S91" s="49"/>
      <c r="T91" s="49"/>
      <c r="U91" s="49"/>
      <c r="V91" s="49"/>
      <c r="W91" s="49"/>
      <c r="X91" s="49"/>
      <c r="Y91" s="49"/>
      <c r="Z91" s="49"/>
    </row>
    <row r="92">
      <c r="A92" s="49" t="str">
        <f>IFERROR(__xludf.DUMMYFUNCTION("""COMPUTED_VALUE"""),"The Grand City of Dragonia")</f>
        <v>The Grand City of Dragonia</v>
      </c>
      <c r="B92" s="49"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49" t="str">
        <f>IFERROR(__xludf.DUMMYFUNCTION("""COMPUTED_VALUE"""),"Dragonscale Island")</f>
        <v>Dragonscale Island</v>
      </c>
      <c r="D92" s="49"/>
      <c r="E92" s="106">
        <f>IFERROR(__xludf.DUMMYFUNCTION("""COMPUTED_VALUE"""),1.0E9)</f>
        <v>1000000000</v>
      </c>
      <c r="F92" s="49" t="str">
        <f>IFERROR(__xludf.DUMMYFUNCTION("""COMPUTED_VALUE"""),"Gilder")</f>
        <v>Gilder</v>
      </c>
      <c r="G92" s="49"/>
      <c r="H92" s="49"/>
      <c r="I92" s="49"/>
      <c r="J92" s="49"/>
      <c r="K92" s="49"/>
      <c r="L92" s="49"/>
      <c r="M92" s="49"/>
      <c r="N92" s="49"/>
      <c r="O92" s="49"/>
      <c r="P92" s="49"/>
      <c r="Q92" s="49"/>
      <c r="R92" s="49"/>
      <c r="S92" s="49"/>
      <c r="T92" s="49"/>
      <c r="U92" s="49"/>
      <c r="V92" s="49"/>
      <c r="W92" s="49"/>
      <c r="X92" s="49"/>
      <c r="Y92" s="49"/>
      <c r="Z92" s="49"/>
    </row>
    <row r="93">
      <c r="A93" s="49" t="str">
        <f>IFERROR(__xludf.DUMMYFUNCTION("""COMPUTED_VALUE"""),"Fogweb Ninja Village in the Mist")</f>
        <v>Fogweb Ninja Village in the Mist</v>
      </c>
      <c r="B93" s="49"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49" t="str">
        <f>IFERROR(__xludf.DUMMYFUNCTION("""COMPUTED_VALUE"""),"Dragonscale Island")</f>
        <v>Dragonscale Island</v>
      </c>
      <c r="D93" s="49"/>
      <c r="E93" s="106">
        <f>IFERROR(__xludf.DUMMYFUNCTION("""COMPUTED_VALUE"""),1.0E9)</f>
        <v>1000000000</v>
      </c>
      <c r="F93" s="49" t="str">
        <f>IFERROR(__xludf.DUMMYFUNCTION("""COMPUTED_VALUE"""),"Gilder")</f>
        <v>Gilder</v>
      </c>
      <c r="G93" s="49"/>
      <c r="H93" s="49"/>
      <c r="I93" s="49"/>
      <c r="J93" s="49"/>
      <c r="K93" s="49"/>
      <c r="L93" s="49"/>
      <c r="M93" s="49"/>
      <c r="N93" s="49"/>
      <c r="O93" s="49"/>
      <c r="P93" s="49"/>
      <c r="Q93" s="49"/>
      <c r="R93" s="49"/>
      <c r="S93" s="49"/>
      <c r="T93" s="49"/>
      <c r="U93" s="49"/>
      <c r="V93" s="49"/>
      <c r="W93" s="49"/>
      <c r="X93" s="49"/>
      <c r="Y93" s="49"/>
      <c r="Z93" s="49"/>
    </row>
    <row r="94">
      <c r="A94" s="49" t="str">
        <f>IFERROR(__xludf.DUMMYFUNCTION("""COMPUTED_VALUE"""),"Mistpeak Ninja Village in the Mountains")</f>
        <v>Mistpeak Ninja Village in the Mountains</v>
      </c>
      <c r="B94" s="49"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49" t="str">
        <f>IFERROR(__xludf.DUMMYFUNCTION("""COMPUTED_VALUE"""),"Dragonscale Island")</f>
        <v>Dragonscale Island</v>
      </c>
      <c r="D94" s="49"/>
      <c r="E94" s="106">
        <f>IFERROR(__xludf.DUMMYFUNCTION("""COMPUTED_VALUE"""),1.0E9)</f>
        <v>1000000000</v>
      </c>
      <c r="F94" s="49" t="str">
        <f>IFERROR(__xludf.DUMMYFUNCTION("""COMPUTED_VALUE"""),"Gilder")</f>
        <v>Gilder</v>
      </c>
      <c r="G94" s="49"/>
      <c r="H94" s="49"/>
      <c r="I94" s="49"/>
      <c r="J94" s="49"/>
      <c r="K94" s="49"/>
      <c r="L94" s="49"/>
      <c r="M94" s="49"/>
      <c r="N94" s="49"/>
      <c r="O94" s="49"/>
      <c r="P94" s="49"/>
      <c r="Q94" s="49"/>
      <c r="R94" s="49"/>
      <c r="S94" s="49"/>
      <c r="T94" s="49"/>
      <c r="U94" s="49"/>
      <c r="V94" s="49"/>
      <c r="W94" s="49"/>
      <c r="X94" s="49"/>
      <c r="Y94" s="49"/>
      <c r="Z94" s="49"/>
    </row>
    <row r="95">
      <c r="A95" s="49" t="str">
        <f>IFERROR(__xludf.DUMMYFUNCTION("""COMPUTED_VALUE"""),"Ribbonton Ninja Village in the Trees")</f>
        <v>Ribbonton Ninja Village in the Trees</v>
      </c>
      <c r="B95" s="49"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49" t="str">
        <f>IFERROR(__xludf.DUMMYFUNCTION("""COMPUTED_VALUE"""),"Dragonscale Island")</f>
        <v>Dragonscale Island</v>
      </c>
      <c r="D95" s="49"/>
      <c r="E95" s="106">
        <f>IFERROR(__xludf.DUMMYFUNCTION("""COMPUTED_VALUE"""),1.0E9)</f>
        <v>1000000000</v>
      </c>
      <c r="F95" s="49" t="str">
        <f>IFERROR(__xludf.DUMMYFUNCTION("""COMPUTED_VALUE"""),"Gilder")</f>
        <v>Gilder</v>
      </c>
      <c r="G95" s="49"/>
      <c r="H95" s="49"/>
      <c r="I95" s="49"/>
      <c r="J95" s="49"/>
      <c r="K95" s="49"/>
      <c r="L95" s="49"/>
      <c r="M95" s="49"/>
      <c r="N95" s="49"/>
      <c r="O95" s="49"/>
      <c r="P95" s="49"/>
      <c r="Q95" s="49"/>
      <c r="R95" s="49"/>
      <c r="S95" s="49"/>
      <c r="T95" s="49"/>
      <c r="U95" s="49"/>
      <c r="V95" s="49"/>
      <c r="W95" s="49"/>
      <c r="X95" s="49"/>
      <c r="Y95" s="49"/>
      <c r="Z95" s="49"/>
    </row>
    <row r="96">
      <c r="A96" s="49" t="str">
        <f>IFERROR(__xludf.DUMMYFUNCTION("""COMPUTED_VALUE"""),"Sandhopper Oasis Ninja Village in the Desert")</f>
        <v>Sandhopper Oasis Ninja Village in the Desert</v>
      </c>
      <c r="B96" s="49"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49" t="str">
        <f>IFERROR(__xludf.DUMMYFUNCTION("""COMPUTED_VALUE"""),"Dragonscale Island")</f>
        <v>Dragonscale Island</v>
      </c>
      <c r="D96" s="49"/>
      <c r="E96" s="106">
        <f>IFERROR(__xludf.DUMMYFUNCTION("""COMPUTED_VALUE"""),1.0E9)</f>
        <v>1000000000</v>
      </c>
      <c r="F96" s="49" t="str">
        <f>IFERROR(__xludf.DUMMYFUNCTION("""COMPUTED_VALUE"""),"Gilder")</f>
        <v>Gilder</v>
      </c>
      <c r="G96" s="49"/>
      <c r="H96" s="49"/>
      <c r="I96" s="49"/>
      <c r="J96" s="49"/>
      <c r="K96" s="49"/>
      <c r="L96" s="49"/>
      <c r="M96" s="49"/>
      <c r="N96" s="49"/>
      <c r="O96" s="49"/>
      <c r="P96" s="49"/>
      <c r="Q96" s="49"/>
      <c r="R96" s="49"/>
      <c r="S96" s="49"/>
      <c r="T96" s="49"/>
      <c r="U96" s="49"/>
      <c r="V96" s="49"/>
      <c r="W96" s="49"/>
      <c r="X96" s="49"/>
      <c r="Y96" s="49"/>
      <c r="Z96" s="49"/>
    </row>
    <row r="97">
      <c r="A97" s="49" t="str">
        <f>IFERROR(__xludf.DUMMYFUNCTION("""COMPUTED_VALUE"""),"Stonecroak Ninja Village in the Quarry")</f>
        <v>Stonecroak Ninja Village in the Quarry</v>
      </c>
      <c r="B97" s="49"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49" t="str">
        <f>IFERROR(__xludf.DUMMYFUNCTION("""COMPUTED_VALUE"""),"Dragonscale Island")</f>
        <v>Dragonscale Island</v>
      </c>
      <c r="D97" s="49"/>
      <c r="E97" s="106">
        <f>IFERROR(__xludf.DUMMYFUNCTION("""COMPUTED_VALUE"""),1.0E9)</f>
        <v>1000000000</v>
      </c>
      <c r="F97" s="49" t="str">
        <f>IFERROR(__xludf.DUMMYFUNCTION("""COMPUTED_VALUE"""),"Gilder")</f>
        <v>Gilder</v>
      </c>
      <c r="G97" s="49"/>
      <c r="H97" s="49"/>
      <c r="I97" s="49"/>
      <c r="J97" s="49"/>
      <c r="K97" s="49"/>
      <c r="L97" s="49"/>
      <c r="M97" s="49"/>
      <c r="N97" s="49"/>
      <c r="O97" s="49"/>
      <c r="P97" s="49"/>
      <c r="Q97" s="49"/>
      <c r="R97" s="49"/>
      <c r="S97" s="49"/>
      <c r="T97" s="49"/>
      <c r="U97" s="49"/>
      <c r="V97" s="49"/>
      <c r="W97" s="49"/>
      <c r="X97" s="49"/>
      <c r="Y97" s="49"/>
      <c r="Z97" s="49"/>
    </row>
    <row r="98">
      <c r="A98" s="49" t="str">
        <f>IFERROR(__xludf.DUMMYFUNCTION("""COMPUTED_VALUE"""),"Amphibuki Hideout")</f>
        <v>Amphibuki Hideout</v>
      </c>
      <c r="B98" s="49"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49" t="str">
        <f>IFERROR(__xludf.DUMMYFUNCTION("""COMPUTED_VALUE"""),"Dragonscale Island")</f>
        <v>Dragonscale Island</v>
      </c>
      <c r="D98" s="49"/>
      <c r="E98" s="106">
        <f>IFERROR(__xludf.DUMMYFUNCTION("""COMPUTED_VALUE"""),1.0E9)</f>
        <v>1000000000</v>
      </c>
      <c r="F98" s="49" t="str">
        <f>IFERROR(__xludf.DUMMYFUNCTION("""COMPUTED_VALUE"""),"Gilder")</f>
        <v>Gilder</v>
      </c>
      <c r="G98" s="49"/>
      <c r="H98" s="49"/>
      <c r="I98" s="49"/>
      <c r="J98" s="49"/>
      <c r="K98" s="49"/>
      <c r="L98" s="49"/>
      <c r="M98" s="49"/>
      <c r="N98" s="49"/>
      <c r="O98" s="49"/>
      <c r="P98" s="49"/>
      <c r="Q98" s="49"/>
      <c r="R98" s="49"/>
      <c r="S98" s="49"/>
      <c r="T98" s="49"/>
      <c r="U98" s="49"/>
      <c r="V98" s="49"/>
      <c r="W98" s="49"/>
      <c r="X98" s="49"/>
      <c r="Y98" s="49"/>
      <c r="Z98" s="49"/>
    </row>
    <row r="99">
      <c r="A99" s="49" t="str">
        <f>IFERROR(__xludf.DUMMYFUNCTION("""COMPUTED_VALUE"""),"The Magical and Majestic Mountains")</f>
        <v>The Magical and Majestic Mountains</v>
      </c>
      <c r="B99" s="49"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49" t="str">
        <f>IFERROR(__xludf.DUMMYFUNCTION("""COMPUTED_VALUE"""),"Land of Spira")</f>
        <v>Land of Spira</v>
      </c>
      <c r="D99" s="49"/>
      <c r="E99" s="106">
        <f>IFERROR(__xludf.DUMMYFUNCTION("""COMPUTED_VALUE"""),1.0E9)</f>
        <v>1000000000</v>
      </c>
      <c r="F99" s="49" t="str">
        <f>IFERROR(__xludf.DUMMYFUNCTION("""COMPUTED_VALUE"""),"Gilder")</f>
        <v>Gilder</v>
      </c>
      <c r="G99" s="49"/>
      <c r="H99" s="49"/>
      <c r="I99" s="49"/>
      <c r="J99" s="49"/>
      <c r="K99" s="49"/>
      <c r="L99" s="49"/>
      <c r="M99" s="49"/>
      <c r="N99" s="49"/>
      <c r="O99" s="49"/>
      <c r="P99" s="49"/>
      <c r="Q99" s="49"/>
      <c r="R99" s="49"/>
      <c r="S99" s="49"/>
      <c r="T99" s="49"/>
      <c r="U99" s="49"/>
      <c r="V99" s="49"/>
      <c r="W99" s="49"/>
      <c r="X99" s="49"/>
      <c r="Y99" s="49"/>
      <c r="Z99" s="49"/>
    </row>
    <row r="100">
      <c r="A100" s="49" t="str">
        <f>IFERROR(__xludf.DUMMYFUNCTION("""COMPUTED_VALUE"""),"Magical Mountains of Manifestations")</f>
        <v>Magical Mountains of Manifestations</v>
      </c>
      <c r="B100" s="49"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49" t="str">
        <f>IFERROR(__xludf.DUMMYFUNCTION("""COMPUTED_VALUE"""),"Land of Spira")</f>
        <v>Land of Spira</v>
      </c>
      <c r="D100" s="49"/>
      <c r="E100" s="106">
        <f>IFERROR(__xludf.DUMMYFUNCTION("""COMPUTED_VALUE"""),1.0E9)</f>
        <v>1000000000</v>
      </c>
      <c r="F100" s="49" t="str">
        <f>IFERROR(__xludf.DUMMYFUNCTION("""COMPUTED_VALUE"""),"Gilder")</f>
        <v>Gilder</v>
      </c>
      <c r="G100" s="49"/>
      <c r="H100" s="49"/>
      <c r="I100" s="49"/>
      <c r="J100" s="49"/>
      <c r="K100" s="49"/>
      <c r="L100" s="49"/>
      <c r="M100" s="49"/>
      <c r="N100" s="49"/>
      <c r="O100" s="49"/>
      <c r="P100" s="49"/>
      <c r="Q100" s="49"/>
      <c r="R100" s="49"/>
      <c r="S100" s="49"/>
      <c r="T100" s="49"/>
      <c r="U100" s="49"/>
      <c r="V100" s="49"/>
      <c r="W100" s="49"/>
      <c r="X100" s="49"/>
      <c r="Y100" s="49"/>
      <c r="Z100" s="49"/>
    </row>
    <row r="101">
      <c r="A101" s="49" t="str">
        <f>IFERROR(__xludf.DUMMYFUNCTION("""COMPUTED_VALUE"""),"Mountains of War and Dishonor ")</f>
        <v>Mountains of War and Dishonor </v>
      </c>
      <c r="B101" s="49"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49" t="str">
        <f>IFERROR(__xludf.DUMMYFUNCTION("""COMPUTED_VALUE"""),"Land of Spira")</f>
        <v>Land of Spira</v>
      </c>
      <c r="D101" s="49"/>
      <c r="E101" s="106">
        <f>IFERROR(__xludf.DUMMYFUNCTION("""COMPUTED_VALUE"""),1.0E9)</f>
        <v>1000000000</v>
      </c>
      <c r="F101" s="49" t="str">
        <f>IFERROR(__xludf.DUMMYFUNCTION("""COMPUTED_VALUE"""),"Gilder")</f>
        <v>Gilder</v>
      </c>
      <c r="G101" s="49"/>
      <c r="H101" s="49"/>
      <c r="I101" s="49"/>
      <c r="J101" s="49"/>
      <c r="K101" s="49"/>
      <c r="L101" s="49"/>
      <c r="M101" s="49"/>
      <c r="N101" s="49"/>
      <c r="O101" s="49"/>
      <c r="P101" s="49"/>
      <c r="Q101" s="49"/>
      <c r="R101" s="49"/>
      <c r="S101" s="49"/>
      <c r="T101" s="49"/>
      <c r="U101" s="49"/>
      <c r="V101" s="49"/>
      <c r="W101" s="49"/>
      <c r="X101" s="49"/>
      <c r="Y101" s="49"/>
      <c r="Z101" s="49"/>
    </row>
    <row r="102">
      <c r="A102" s="49" t="str">
        <f>IFERROR(__xludf.DUMMYFUNCTION("""COMPUTED_VALUE"""),"Centraria")</f>
        <v>Centraria</v>
      </c>
      <c r="B102" s="49"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49" t="str">
        <f>IFERROR(__xludf.DUMMYFUNCTION("""COMPUTED_VALUE"""),"Land of Spira")</f>
        <v>Land of Spira</v>
      </c>
      <c r="D102" s="49"/>
      <c r="E102" s="106">
        <f>IFERROR(__xludf.DUMMYFUNCTION("""COMPUTED_VALUE"""),1.0375E9)</f>
        <v>1037500000</v>
      </c>
      <c r="F102" s="49" t="str">
        <f>IFERROR(__xludf.DUMMYFUNCTION("""COMPUTED_VALUE"""),"Gilder")</f>
        <v>Gilder</v>
      </c>
      <c r="G102" s="49"/>
      <c r="H102" s="49"/>
      <c r="I102" s="49"/>
      <c r="J102" s="49"/>
      <c r="K102" s="49"/>
      <c r="L102" s="49"/>
      <c r="M102" s="49"/>
      <c r="N102" s="49"/>
      <c r="O102" s="49"/>
      <c r="P102" s="49"/>
      <c r="Q102" s="49"/>
      <c r="R102" s="49"/>
      <c r="S102" s="49"/>
      <c r="T102" s="49"/>
      <c r="U102" s="49"/>
      <c r="V102" s="49"/>
      <c r="W102" s="49"/>
      <c r="X102" s="49"/>
      <c r="Y102" s="49"/>
      <c r="Z102" s="49"/>
    </row>
    <row r="103">
      <c r="A103" s="49" t="str">
        <f>IFERROR(__xludf.DUMMYFUNCTION("""COMPUTED_VALUE"""),"The Lost City of Knappadalr")</f>
        <v>The Lost City of Knappadalr</v>
      </c>
      <c r="B103" s="49"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49" t="str">
        <f>IFERROR(__xludf.DUMMYFUNCTION("""COMPUTED_VALUE"""),"Land of Spira")</f>
        <v>Land of Spira</v>
      </c>
      <c r="D103" s="49"/>
      <c r="E103" s="106">
        <f>IFERROR(__xludf.DUMMYFUNCTION("""COMPUTED_VALUE"""),1.0E9)</f>
        <v>1000000000</v>
      </c>
      <c r="F103" s="49" t="str">
        <f>IFERROR(__xludf.DUMMYFUNCTION("""COMPUTED_VALUE"""),"Gilder")</f>
        <v>Gilder</v>
      </c>
      <c r="G103" s="49"/>
      <c r="H103" s="49"/>
      <c r="I103" s="49"/>
      <c r="J103" s="49"/>
      <c r="K103" s="49"/>
      <c r="L103" s="49"/>
      <c r="M103" s="49"/>
      <c r="N103" s="49"/>
      <c r="O103" s="49"/>
      <c r="P103" s="49"/>
      <c r="Q103" s="49"/>
      <c r="R103" s="49"/>
      <c r="S103" s="49"/>
      <c r="T103" s="49"/>
      <c r="U103" s="49"/>
      <c r="V103" s="49"/>
      <c r="W103" s="49"/>
      <c r="X103" s="49"/>
      <c r="Y103" s="49"/>
      <c r="Z103" s="49"/>
    </row>
    <row r="104">
      <c r="A104" s="49" t="str">
        <f>IFERROR(__xludf.DUMMYFUNCTION("""COMPUTED_VALUE"""),"Paradise Island")</f>
        <v>Paradise Island</v>
      </c>
      <c r="B104" s="49"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49" t="str">
        <f>IFERROR(__xludf.DUMMYFUNCTION("""COMPUTED_VALUE"""),"Land of Spira")</f>
        <v>Land of Spira</v>
      </c>
      <c r="D104" s="49"/>
      <c r="E104" s="106">
        <f>IFERROR(__xludf.DUMMYFUNCTION("""COMPUTED_VALUE"""),1.0E9)</f>
        <v>1000000000</v>
      </c>
      <c r="F104" s="49" t="str">
        <f>IFERROR(__xludf.DUMMYFUNCTION("""COMPUTED_VALUE"""),"Gilder")</f>
        <v>Gilder</v>
      </c>
      <c r="G104" s="49"/>
      <c r="H104" s="49"/>
      <c r="I104" s="49"/>
      <c r="J104" s="49"/>
      <c r="K104" s="49"/>
      <c r="L104" s="49"/>
      <c r="M104" s="49"/>
      <c r="N104" s="49"/>
      <c r="O104" s="49"/>
      <c r="P104" s="49"/>
      <c r="Q104" s="49"/>
      <c r="R104" s="49"/>
      <c r="S104" s="49"/>
      <c r="T104" s="49"/>
      <c r="U104" s="49"/>
      <c r="V104" s="49"/>
      <c r="W104" s="49"/>
      <c r="X104" s="49"/>
      <c r="Y104" s="49"/>
      <c r="Z104" s="49"/>
    </row>
    <row r="105">
      <c r="A105" s="49" t="str">
        <f>IFERROR(__xludf.DUMMYFUNCTION("""COMPUTED_VALUE"""),"Pirate's Cove")</f>
        <v>Pirate's Cove</v>
      </c>
      <c r="B105" s="49"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49" t="str">
        <f>IFERROR(__xludf.DUMMYFUNCTION("""COMPUTED_VALUE"""),"Land of Spira")</f>
        <v>Land of Spira</v>
      </c>
      <c r="D105" s="49"/>
      <c r="E105" s="106">
        <f>IFERROR(__xludf.DUMMYFUNCTION("""COMPUTED_VALUE"""),1.0E9)</f>
        <v>1000000000</v>
      </c>
      <c r="F105" s="49" t="str">
        <f>IFERROR(__xludf.DUMMYFUNCTION("""COMPUTED_VALUE"""),"Gilder")</f>
        <v>Gilder</v>
      </c>
      <c r="G105" s="49"/>
      <c r="H105" s="49"/>
      <c r="I105" s="49"/>
      <c r="J105" s="49"/>
      <c r="K105" s="49"/>
      <c r="L105" s="49"/>
      <c r="M105" s="49"/>
      <c r="N105" s="49"/>
      <c r="O105" s="49"/>
      <c r="P105" s="49"/>
      <c r="Q105" s="49"/>
      <c r="R105" s="49"/>
      <c r="S105" s="49"/>
      <c r="T105" s="49"/>
      <c r="U105" s="49"/>
      <c r="V105" s="49"/>
      <c r="W105" s="49"/>
      <c r="X105" s="49"/>
      <c r="Y105" s="49"/>
      <c r="Z105" s="49"/>
    </row>
    <row r="106">
      <c r="A106" s="49" t="str">
        <f>IFERROR(__xludf.DUMMYFUNCTION("""COMPUTED_VALUE"""),"Candy Corn Village")</f>
        <v>Candy Corn Village</v>
      </c>
      <c r="B106" s="49"/>
      <c r="C106" s="49" t="str">
        <f>IFERROR(__xludf.DUMMYFUNCTION("""COMPUTED_VALUE"""),"Halloween Kingdom")</f>
        <v>Halloween Kingdom</v>
      </c>
      <c r="D106" s="49"/>
      <c r="E106" s="106">
        <f>IFERROR(__xludf.DUMMYFUNCTION("""COMPUTED_VALUE"""),1.0E9)</f>
        <v>1000000000</v>
      </c>
      <c r="F106" s="49" t="str">
        <f>IFERROR(__xludf.DUMMYFUNCTION("""COMPUTED_VALUE"""),"Gilder")</f>
        <v>Gilder</v>
      </c>
      <c r="G106" s="49"/>
      <c r="H106" s="49"/>
      <c r="I106" s="49"/>
      <c r="J106" s="49"/>
      <c r="K106" s="49"/>
      <c r="L106" s="49"/>
      <c r="M106" s="49"/>
      <c r="N106" s="49"/>
      <c r="O106" s="49"/>
      <c r="P106" s="49"/>
      <c r="Q106" s="49"/>
      <c r="R106" s="49"/>
      <c r="S106" s="49"/>
      <c r="T106" s="49"/>
      <c r="U106" s="49"/>
      <c r="V106" s="49"/>
      <c r="W106" s="49"/>
      <c r="X106" s="49"/>
      <c r="Y106" s="49"/>
      <c r="Z106" s="49"/>
    </row>
    <row r="107">
      <c r="A107" s="49" t="str">
        <f>IFERROR(__xludf.DUMMYFUNCTION("""COMPUTED_VALUE"""),"Atlotopia")</f>
        <v>Atlotopia</v>
      </c>
      <c r="B107" s="49" t="str">
        <f>IFERROR(__xludf.DUMMYFUNCTION("""COMPUTED_VALUE"""),"Currently Not Available, Under Development")</f>
        <v>Currently Not Available, Under Development</v>
      </c>
      <c r="C107" s="49" t="str">
        <f>IFERROR(__xludf.DUMMYFUNCTION("""COMPUTED_VALUE"""),"Dragonscale Island")</f>
        <v>Dragonscale Island</v>
      </c>
      <c r="D107" s="49"/>
      <c r="E107" s="106">
        <f>IFERROR(__xludf.DUMMYFUNCTION("""COMPUTED_VALUE"""),1.0E9)</f>
        <v>1000000000</v>
      </c>
      <c r="F107" s="49" t="str">
        <f>IFERROR(__xludf.DUMMYFUNCTION("""COMPUTED_VALUE"""),"Gilder")</f>
        <v>Gilder</v>
      </c>
      <c r="G107" s="49"/>
      <c r="H107" s="49"/>
      <c r="I107" s="49"/>
      <c r="J107" s="49"/>
      <c r="K107" s="49"/>
      <c r="L107" s="49"/>
      <c r="M107" s="49"/>
      <c r="N107" s="49"/>
      <c r="O107" s="49"/>
      <c r="P107" s="49"/>
      <c r="Q107" s="49"/>
      <c r="R107" s="49"/>
      <c r="S107" s="49"/>
      <c r="T107" s="49"/>
      <c r="U107" s="49"/>
      <c r="V107" s="49"/>
      <c r="W107" s="49"/>
      <c r="X107" s="49"/>
      <c r="Y107" s="49"/>
      <c r="Z107" s="49"/>
    </row>
    <row r="108">
      <c r="A108" s="49" t="str">
        <f>IFERROR(__xludf.DUMMYFUNCTION("""COMPUTED_VALUE"""),"Thanksgiving Island")</f>
        <v>Thanksgiving Island</v>
      </c>
      <c r="B108" s="49" t="str">
        <f>IFERROR(__xludf.DUMMYFUNCTION("""COMPUTED_VALUE"""),"Home to the Turkey Hydra and Pilgrims.")</f>
        <v>Home to the Turkey Hydra and Pilgrims.</v>
      </c>
      <c r="C108" s="49" t="str">
        <f>IFERROR(__xludf.DUMMYFUNCTION("""COMPUTED_VALUE"""),"Event Hub")</f>
        <v>Event Hub</v>
      </c>
      <c r="D108" s="49"/>
      <c r="E108" s="49"/>
      <c r="F108" s="49" t="str">
        <f>IFERROR(__xludf.DUMMYFUNCTION("""COMPUTED_VALUE"""),"Gilder")</f>
        <v>Gilder</v>
      </c>
      <c r="G108" s="49"/>
      <c r="H108" s="49"/>
      <c r="I108" s="49"/>
      <c r="J108" s="49"/>
      <c r="K108" s="49"/>
      <c r="L108" s="49"/>
      <c r="M108" s="49"/>
      <c r="N108" s="49"/>
      <c r="O108" s="49"/>
      <c r="P108" s="49"/>
      <c r="Q108" s="49"/>
      <c r="R108" s="49"/>
      <c r="S108" s="49"/>
      <c r="T108" s="49"/>
      <c r="U108" s="49"/>
      <c r="V108" s="49"/>
      <c r="W108" s="49"/>
      <c r="X108" s="49"/>
      <c r="Y108" s="49"/>
      <c r="Z108" s="49"/>
    </row>
    <row r="109">
      <c r="A109" s="49" t="str">
        <f>IFERROR(__xludf.DUMMYFUNCTION("""COMPUTED_VALUE"""),"Halloween Island")</f>
        <v>Halloween Island</v>
      </c>
      <c r="B109" s="49" t="str">
        <f>IFERROR(__xludf.DUMMYFUNCTION("""COMPUTED_VALUE"""),"Home to the Haunted Creatures of Spira")</f>
        <v>Home to the Haunted Creatures of Spira</v>
      </c>
      <c r="C109" s="49" t="str">
        <f>IFERROR(__xludf.DUMMYFUNCTION("""COMPUTED_VALUE"""),"Event Hub")</f>
        <v>Event Hub</v>
      </c>
      <c r="D109" s="49"/>
      <c r="E109" s="49"/>
      <c r="F109" s="49" t="str">
        <f>IFERROR(__xludf.DUMMYFUNCTION("""COMPUTED_VALUE"""),"Gilder")</f>
        <v>Gilder</v>
      </c>
      <c r="G109" s="49"/>
      <c r="H109" s="49"/>
      <c r="I109" s="49"/>
      <c r="J109" s="49"/>
      <c r="K109" s="49"/>
      <c r="L109" s="49"/>
      <c r="M109" s="49"/>
      <c r="N109" s="49"/>
      <c r="O109" s="49"/>
      <c r="P109" s="49"/>
      <c r="Q109" s="49"/>
      <c r="R109" s="49"/>
      <c r="S109" s="49"/>
      <c r="T109" s="49"/>
      <c r="U109" s="49"/>
      <c r="V109" s="49"/>
      <c r="W109" s="49"/>
      <c r="X109" s="49"/>
      <c r="Y109" s="49"/>
      <c r="Z109" s="49"/>
    </row>
    <row r="110">
      <c r="A110" s="49" t="str">
        <f>IFERROR(__xludf.DUMMYFUNCTION("""COMPUTED_VALUE"""),"The Frozen Island")</f>
        <v>The Frozen Island</v>
      </c>
      <c r="B110" s="49" t="str">
        <f>IFERROR(__xludf.DUMMYFUNCTION("""COMPUTED_VALUE"""),"Home to the all powerful Grand Ice Mage")</f>
        <v>Home to the all powerful Grand Ice Mage</v>
      </c>
      <c r="C110" s="49" t="str">
        <f>IFERROR(__xludf.DUMMYFUNCTION("""COMPUTED_VALUE"""),"Event Hub")</f>
        <v>Event Hub</v>
      </c>
      <c r="D110" s="49"/>
      <c r="E110" s="49"/>
      <c r="F110" s="49" t="str">
        <f>IFERROR(__xludf.DUMMYFUNCTION("""COMPUTED_VALUE"""),"Gilder")</f>
        <v>Gilder</v>
      </c>
      <c r="G110" s="49"/>
      <c r="H110" s="49"/>
      <c r="I110" s="49"/>
      <c r="J110" s="49"/>
      <c r="K110" s="49"/>
      <c r="L110" s="49"/>
      <c r="M110" s="49"/>
      <c r="N110" s="49"/>
      <c r="O110" s="49"/>
      <c r="P110" s="49"/>
      <c r="Q110" s="49"/>
      <c r="R110" s="49"/>
      <c r="S110" s="49"/>
      <c r="T110" s="49"/>
      <c r="U110" s="49"/>
      <c r="V110" s="49"/>
      <c r="W110" s="49"/>
      <c r="X110" s="49"/>
      <c r="Y110" s="49"/>
      <c r="Z110" s="49"/>
    </row>
    <row r="111">
      <c r="A111" s="49" t="str">
        <f>IFERROR(__xludf.DUMMYFUNCTION("""COMPUTED_VALUE"""),"Beltane Island")</f>
        <v>Beltane Island</v>
      </c>
      <c r="B111" s="49" t="str">
        <f>IFERROR(__xludf.DUMMYFUNCTION("""COMPUTED_VALUE"""),"Home to Faerie King Midhir.")</f>
        <v>Home to Faerie King Midhir.</v>
      </c>
      <c r="C111" s="49" t="str">
        <f>IFERROR(__xludf.DUMMYFUNCTION("""COMPUTED_VALUE"""),"Event Hub")</f>
        <v>Event Hub</v>
      </c>
      <c r="D111" s="49"/>
      <c r="E111" s="49"/>
      <c r="F111" s="49" t="str">
        <f>IFERROR(__xludf.DUMMYFUNCTION("""COMPUTED_VALUE"""),"Gilder")</f>
        <v>Gilder</v>
      </c>
      <c r="G111" s="49"/>
      <c r="H111" s="49"/>
      <c r="I111" s="49"/>
      <c r="J111" s="49"/>
      <c r="K111" s="49"/>
      <c r="L111" s="49"/>
      <c r="M111" s="49"/>
      <c r="N111" s="49"/>
      <c r="O111" s="49"/>
      <c r="P111" s="49"/>
      <c r="Q111" s="49"/>
      <c r="R111" s="49"/>
      <c r="S111" s="49"/>
      <c r="T111" s="49"/>
      <c r="U111" s="49"/>
      <c r="V111" s="49"/>
      <c r="W111" s="49"/>
      <c r="X111" s="49"/>
      <c r="Y111" s="49"/>
      <c r="Z111" s="49"/>
    </row>
    <row r="112">
      <c r="A112" s="49" t="str">
        <f>IFERROR(__xludf.DUMMYFUNCTION("""COMPUTED_VALUE"""),"Lughnasadh Island")</f>
        <v>Lughnasadh Island</v>
      </c>
      <c r="B112" s="49"/>
      <c r="C112" s="49" t="str">
        <f>IFERROR(__xludf.DUMMYFUNCTION("""COMPUTED_VALUE"""),"Event Hub")</f>
        <v>Event Hub</v>
      </c>
      <c r="D112" s="49"/>
      <c r="E112" s="49"/>
      <c r="F112" s="49" t="str">
        <f>IFERROR(__xludf.DUMMYFUNCTION("""COMPUTED_VALUE"""),"Gilder")</f>
        <v>Gilder</v>
      </c>
      <c r="G112" s="49"/>
      <c r="H112" s="49"/>
      <c r="I112" s="49"/>
      <c r="J112" s="49"/>
      <c r="K112" s="49"/>
      <c r="L112" s="49"/>
      <c r="M112" s="49"/>
      <c r="N112" s="49"/>
      <c r="O112" s="49"/>
      <c r="P112" s="49"/>
      <c r="Q112" s="49"/>
      <c r="R112" s="49"/>
      <c r="S112" s="49"/>
      <c r="T112" s="49"/>
      <c r="U112" s="49"/>
      <c r="V112" s="49"/>
      <c r="W112" s="49"/>
      <c r="X112" s="49"/>
      <c r="Y112" s="49"/>
      <c r="Z112" s="49"/>
    </row>
    <row r="113">
      <c r="A113" s="49" t="str">
        <f>IFERROR(__xludf.DUMMYFUNCTION("""COMPUTED_VALUE"""),"Stormy Island")</f>
        <v>Stormy Island</v>
      </c>
      <c r="B113" s="49" t="str">
        <f>IFERROR(__xludf.DUMMYFUNCTION("""COMPUTED_VALUE"""),"Home to the Natural Disaster Boss")</f>
        <v>Home to the Natural Disaster Boss</v>
      </c>
      <c r="C113" s="49" t="str">
        <f>IFERROR(__xludf.DUMMYFUNCTION("""COMPUTED_VALUE"""),"Event Hub")</f>
        <v>Event Hub</v>
      </c>
      <c r="D113" s="49"/>
      <c r="E113" s="49"/>
      <c r="F113" s="49" t="str">
        <f>IFERROR(__xludf.DUMMYFUNCTION("""COMPUTED_VALUE"""),"Gilder")</f>
        <v>Gilder</v>
      </c>
      <c r="G113" s="49"/>
      <c r="H113" s="49"/>
      <c r="I113" s="49"/>
      <c r="J113" s="49"/>
      <c r="K113" s="49"/>
      <c r="L113" s="49"/>
      <c r="M113" s="49"/>
      <c r="N113" s="49"/>
      <c r="O113" s="49"/>
      <c r="P113" s="49"/>
      <c r="Q113" s="49"/>
      <c r="R113" s="49"/>
      <c r="S113" s="49"/>
      <c r="T113" s="49"/>
      <c r="U113" s="49"/>
      <c r="V113" s="49"/>
      <c r="W113" s="49"/>
      <c r="X113" s="49"/>
      <c r="Y113" s="49"/>
      <c r="Z113" s="49"/>
    </row>
    <row r="114">
      <c r="A114" s="49" t="str">
        <f>IFERROR(__xludf.DUMMYFUNCTION("""COMPUTED_VALUE"""),"Swampy Island")</f>
        <v>Swampy Island</v>
      </c>
      <c r="B114" s="49" t="str">
        <f>IFERROR(__xludf.DUMMYFUNCTION("""COMPUTED_VALUE"""),"Home to Diseased and Poisonous Creatures of Spira")</f>
        <v>Home to Diseased and Poisonous Creatures of Spira</v>
      </c>
      <c r="C114" s="49" t="str">
        <f>IFERROR(__xludf.DUMMYFUNCTION("""COMPUTED_VALUE"""),"Event Hub")</f>
        <v>Event Hub</v>
      </c>
      <c r="D114" s="49"/>
      <c r="E114" s="49"/>
      <c r="F114" s="49" t="str">
        <f>IFERROR(__xludf.DUMMYFUNCTION("""COMPUTED_VALUE"""),"Gilder")</f>
        <v>Gilder</v>
      </c>
      <c r="G114" s="49"/>
      <c r="H114" s="49"/>
      <c r="I114" s="49"/>
      <c r="J114" s="49"/>
      <c r="K114" s="49"/>
      <c r="L114" s="49"/>
      <c r="M114" s="49"/>
      <c r="N114" s="49"/>
      <c r="O114" s="49"/>
      <c r="P114" s="49"/>
      <c r="Q114" s="49"/>
      <c r="R114" s="49"/>
      <c r="S114" s="49"/>
      <c r="T114" s="49"/>
      <c r="U114" s="49"/>
      <c r="V114" s="49"/>
      <c r="W114" s="49"/>
      <c r="X114" s="49"/>
      <c r="Y114" s="49"/>
      <c r="Z114" s="49"/>
    </row>
    <row r="115">
      <c r="A115" s="49" t="str">
        <f>IFERROR(__xludf.DUMMYFUNCTION("""COMPUTED_VALUE"""),"Lunar New Year Island")</f>
        <v>Lunar New Year Island</v>
      </c>
      <c r="B115" s="49" t="str">
        <f>IFERROR(__xludf.DUMMYFUNCTION("""COMPUTED_VALUE"""),"An island to celebrate asian culture")</f>
        <v>An island to celebrate asian culture</v>
      </c>
      <c r="C115" s="49" t="str">
        <f>IFERROR(__xludf.DUMMYFUNCTION("""COMPUTED_VALUE"""),"Event Hub")</f>
        <v>Event Hub</v>
      </c>
      <c r="D115" s="49"/>
      <c r="E115" s="49"/>
      <c r="F115" s="49" t="str">
        <f>IFERROR(__xludf.DUMMYFUNCTION("""COMPUTED_VALUE"""),"Gilder")</f>
        <v>Gilder</v>
      </c>
      <c r="G115" s="49"/>
      <c r="H115" s="49"/>
      <c r="I115" s="49"/>
      <c r="J115" s="49"/>
      <c r="K115" s="49"/>
      <c r="L115" s="49"/>
      <c r="M115" s="49"/>
      <c r="N115" s="49"/>
      <c r="O115" s="49"/>
      <c r="P115" s="49"/>
      <c r="Q115" s="49"/>
      <c r="R115" s="49"/>
      <c r="S115" s="49"/>
      <c r="T115" s="49"/>
      <c r="U115" s="49"/>
      <c r="V115" s="49"/>
      <c r="W115" s="49"/>
      <c r="X115" s="49"/>
      <c r="Y115" s="49"/>
      <c r="Z115" s="49"/>
    </row>
    <row r="116">
      <c r="A116" s="49" t="str">
        <f>IFERROR(__xludf.DUMMYFUNCTION("""COMPUTED_VALUE"""),"Wilderness (Spira)")</f>
        <v>Wilderness (Spira)</v>
      </c>
      <c r="B116" s="49" t="str">
        <f>IFERROR(__xludf.DUMMYFUNCTION("""COMPUTED_VALUE"""),"The less notable lands of the world.")</f>
        <v>The less notable lands of the world.</v>
      </c>
      <c r="C116" s="49" t="str">
        <f>IFERROR(__xludf.DUMMYFUNCTION("""COMPUTED_VALUE"""),"Land of Spira")</f>
        <v>Land of Spira</v>
      </c>
      <c r="D116" s="49"/>
      <c r="E116" s="49"/>
      <c r="F116" s="49" t="str">
        <f>IFERROR(__xludf.DUMMYFUNCTION("""COMPUTED_VALUE"""),"Gilder")</f>
        <v>Gilder</v>
      </c>
      <c r="G116" s="49"/>
      <c r="H116" s="49"/>
      <c r="I116" s="49"/>
      <c r="J116" s="49"/>
      <c r="K116" s="49"/>
      <c r="L116" s="49"/>
      <c r="M116" s="49"/>
      <c r="N116" s="49"/>
      <c r="O116" s="49"/>
      <c r="P116" s="49"/>
      <c r="Q116" s="49"/>
      <c r="R116" s="49"/>
      <c r="S116" s="49"/>
      <c r="T116" s="49"/>
      <c r="U116" s="49"/>
      <c r="V116" s="49"/>
      <c r="W116" s="49"/>
      <c r="X116" s="49"/>
      <c r="Y116" s="49"/>
      <c r="Z116" s="49"/>
    </row>
    <row r="117">
      <c r="A117" s="49" t="str">
        <f>IFERROR(__xludf.DUMMYFUNCTION("""COMPUTED_VALUE"""),"Wilderness (DragonScale)")</f>
        <v>Wilderness (DragonScale)</v>
      </c>
      <c r="B117" s="49" t="str">
        <f>IFERROR(__xludf.DUMMYFUNCTION("""COMPUTED_VALUE"""),"The less notable lands of the world.")</f>
        <v>The less notable lands of the world.</v>
      </c>
      <c r="C117" s="49" t="str">
        <f>IFERROR(__xludf.DUMMYFUNCTION("""COMPUTED_VALUE"""),"Dragonscale Island")</f>
        <v>Dragonscale Island</v>
      </c>
      <c r="D117" s="49"/>
      <c r="E117" s="49"/>
      <c r="F117" s="49" t="str">
        <f>IFERROR(__xludf.DUMMYFUNCTION("""COMPUTED_VALUE"""),"Gilder")</f>
        <v>Gilder</v>
      </c>
      <c r="G117" s="49"/>
      <c r="H117" s="49"/>
      <c r="I117" s="49"/>
      <c r="J117" s="49"/>
      <c r="K117" s="49"/>
      <c r="L117" s="49"/>
      <c r="M117" s="49"/>
      <c r="N117" s="49"/>
      <c r="O117" s="49"/>
      <c r="P117" s="49"/>
      <c r="Q117" s="49"/>
      <c r="R117" s="49"/>
      <c r="S117" s="49"/>
      <c r="T117" s="49"/>
      <c r="U117" s="49"/>
      <c r="V117" s="49"/>
      <c r="W117" s="49"/>
      <c r="X117" s="49"/>
      <c r="Y117" s="49"/>
      <c r="Z117" s="49"/>
    </row>
    <row r="118">
      <c r="A118" s="49" t="str">
        <f>IFERROR(__xludf.DUMMYFUNCTION("""COMPUTED_VALUE"""),"Wilderness (Abstara)")</f>
        <v>Wilderness (Abstara)</v>
      </c>
      <c r="B118" s="49" t="str">
        <f>IFERROR(__xludf.DUMMYFUNCTION("""COMPUTED_VALUE"""),"The less notable lands of the world.")</f>
        <v>The less notable lands of the world.</v>
      </c>
      <c r="C118" s="49" t="str">
        <f>IFERROR(__xludf.DUMMYFUNCTION("""COMPUTED_VALUE"""),"Abstara")</f>
        <v>Abstara</v>
      </c>
      <c r="D118" s="49"/>
      <c r="E118" s="49"/>
      <c r="F118" s="49" t="str">
        <f>IFERROR(__xludf.DUMMYFUNCTION("""COMPUTED_VALUE"""),"Gilder")</f>
        <v>Gilder</v>
      </c>
      <c r="G118" s="49"/>
      <c r="H118" s="49"/>
      <c r="I118" s="49"/>
      <c r="J118" s="49"/>
      <c r="K118" s="49"/>
      <c r="L118" s="49"/>
      <c r="M118" s="49"/>
      <c r="N118" s="49"/>
      <c r="O118" s="49"/>
      <c r="P118" s="49"/>
      <c r="Q118" s="49"/>
      <c r="R118" s="49"/>
      <c r="S118" s="49"/>
      <c r="T118" s="49"/>
      <c r="U118" s="49"/>
      <c r="V118" s="49"/>
      <c r="W118" s="49"/>
      <c r="X118" s="49"/>
      <c r="Y118" s="49"/>
      <c r="Z118" s="49"/>
    </row>
    <row r="119">
      <c r="A119" s="49" t="str">
        <f>IFERROR(__xludf.DUMMYFUNCTION("""COMPUTED_VALUE"""),"Wilderness (Solreach)")</f>
        <v>Wilderness (Solreach)</v>
      </c>
      <c r="B119" s="49" t="str">
        <f>IFERROR(__xludf.DUMMYFUNCTION("""COMPUTED_VALUE"""),"The less notable lands of the world.")</f>
        <v>The less notable lands of the world.</v>
      </c>
      <c r="C119" s="49" t="str">
        <f>IFERROR(__xludf.DUMMYFUNCTION("""COMPUTED_VALUE"""),"Solreach")</f>
        <v>Solreach</v>
      </c>
      <c r="D119" s="49"/>
      <c r="E119" s="49"/>
      <c r="F119" s="49" t="str">
        <f>IFERROR(__xludf.DUMMYFUNCTION("""COMPUTED_VALUE"""),"Gilder")</f>
        <v>Gilder</v>
      </c>
      <c r="G119" s="49"/>
      <c r="H119" s="49"/>
      <c r="I119" s="49"/>
      <c r="J119" s="49"/>
      <c r="K119" s="49"/>
      <c r="L119" s="49"/>
      <c r="M119" s="49"/>
      <c r="N119" s="49"/>
      <c r="O119" s="49"/>
      <c r="P119" s="49"/>
      <c r="Q119" s="49"/>
      <c r="R119" s="49"/>
      <c r="S119" s="49"/>
      <c r="T119" s="49"/>
      <c r="U119" s="49"/>
      <c r="V119" s="49"/>
      <c r="W119" s="49"/>
      <c r="X119" s="49"/>
      <c r="Y119" s="49"/>
      <c r="Z119" s="49"/>
    </row>
    <row r="120">
      <c r="A120" s="49" t="str">
        <f>IFERROR(__xludf.DUMMYFUNCTION("""COMPUTED_VALUE"""),"Angel Wing Village")</f>
        <v>Angel Wing Village</v>
      </c>
      <c r="B120" s="49"/>
      <c r="C120" s="49" t="str">
        <f>IFERROR(__xludf.DUMMYFUNCTION("""COMPUTED_VALUE"""),"Solreach")</f>
        <v>Solreach</v>
      </c>
      <c r="D120" s="49"/>
      <c r="E120" s="49"/>
      <c r="F120" s="49" t="str">
        <f>IFERROR(__xludf.DUMMYFUNCTION("""COMPUTED_VALUE"""),"Gilder")</f>
        <v>Gilder</v>
      </c>
      <c r="G120" s="49"/>
      <c r="H120" s="49"/>
      <c r="I120" s="49"/>
      <c r="J120" s="49"/>
      <c r="K120" s="49"/>
      <c r="L120" s="49"/>
      <c r="M120" s="49"/>
      <c r="N120" s="49"/>
      <c r="O120" s="49"/>
      <c r="P120" s="49"/>
      <c r="Q120" s="49"/>
      <c r="R120" s="49"/>
      <c r="S120" s="49"/>
      <c r="T120" s="49"/>
      <c r="U120" s="49"/>
      <c r="V120" s="49"/>
      <c r="W120" s="49"/>
      <c r="X120" s="49"/>
      <c r="Y120" s="49"/>
      <c r="Z120" s="49"/>
    </row>
    <row r="121">
      <c r="A121" s="49" t="str">
        <f>IFERROR(__xludf.DUMMYFUNCTION("""COMPUTED_VALUE"""),"Atmos")</f>
        <v>Atmos</v>
      </c>
      <c r="B121" s="49"/>
      <c r="C121" s="49" t="str">
        <f>IFERROR(__xludf.DUMMYFUNCTION("""COMPUTED_VALUE"""),"Solreach")</f>
        <v>Solreach</v>
      </c>
      <c r="D121" s="49"/>
      <c r="E121" s="49"/>
      <c r="F121" s="49" t="str">
        <f>IFERROR(__xludf.DUMMYFUNCTION("""COMPUTED_VALUE"""),"Gilder")</f>
        <v>Gilder</v>
      </c>
      <c r="G121" s="49"/>
      <c r="H121" s="49"/>
      <c r="I121" s="49"/>
      <c r="J121" s="49"/>
      <c r="K121" s="49"/>
      <c r="L121" s="49"/>
      <c r="M121" s="49"/>
      <c r="N121" s="49"/>
      <c r="O121" s="49"/>
      <c r="P121" s="49"/>
      <c r="Q121" s="49"/>
      <c r="R121" s="49"/>
      <c r="S121" s="49"/>
      <c r="T121" s="49"/>
      <c r="U121" s="49"/>
      <c r="V121" s="49"/>
      <c r="W121" s="49"/>
      <c r="X121" s="49"/>
      <c r="Y121" s="49"/>
      <c r="Z121" s="49"/>
    </row>
    <row r="122">
      <c r="A122" s="49" t="str">
        <f>IFERROR(__xludf.DUMMYFUNCTION("""COMPUTED_VALUE"""),"Council Grounds")</f>
        <v>Council Grounds</v>
      </c>
      <c r="B122" s="49"/>
      <c r="C122" s="49" t="str">
        <f>IFERROR(__xludf.DUMMYFUNCTION("""COMPUTED_VALUE"""),"Solreach")</f>
        <v>Solreach</v>
      </c>
      <c r="D122" s="49"/>
      <c r="E122" s="49"/>
      <c r="F122" s="49" t="str">
        <f>IFERROR(__xludf.DUMMYFUNCTION("""COMPUTED_VALUE"""),"Gilder")</f>
        <v>Gilder</v>
      </c>
      <c r="G122" s="49"/>
      <c r="H122" s="49"/>
      <c r="I122" s="49"/>
      <c r="J122" s="49"/>
      <c r="K122" s="49"/>
      <c r="L122" s="49"/>
      <c r="M122" s="49"/>
      <c r="N122" s="49"/>
      <c r="O122" s="49"/>
      <c r="P122" s="49"/>
      <c r="Q122" s="49"/>
      <c r="R122" s="49"/>
      <c r="S122" s="49"/>
      <c r="T122" s="49"/>
      <c r="U122" s="49"/>
      <c r="V122" s="49"/>
      <c r="W122" s="49"/>
      <c r="X122" s="49"/>
      <c r="Y122" s="49"/>
      <c r="Z122" s="49"/>
    </row>
    <row r="123">
      <c r="A123" s="49" t="str">
        <f>IFERROR(__xludf.DUMMYFUNCTION("""COMPUTED_VALUE"""),"Godsville")</f>
        <v>Godsville</v>
      </c>
      <c r="B123" s="49"/>
      <c r="C123" s="49" t="str">
        <f>IFERROR(__xludf.DUMMYFUNCTION("""COMPUTED_VALUE"""),"Solreach")</f>
        <v>Solreach</v>
      </c>
      <c r="D123" s="49"/>
      <c r="E123" s="49"/>
      <c r="F123" s="49" t="str">
        <f>IFERROR(__xludf.DUMMYFUNCTION("""COMPUTED_VALUE"""),"Gilder")</f>
        <v>Gilder</v>
      </c>
      <c r="G123" s="49"/>
      <c r="H123" s="49"/>
      <c r="I123" s="49"/>
      <c r="J123" s="49"/>
      <c r="K123" s="49"/>
      <c r="L123" s="49"/>
      <c r="M123" s="49"/>
      <c r="N123" s="49"/>
      <c r="O123" s="49"/>
      <c r="P123" s="49"/>
      <c r="Q123" s="49"/>
      <c r="R123" s="49"/>
      <c r="S123" s="49"/>
      <c r="T123" s="49"/>
      <c r="U123" s="49"/>
      <c r="V123" s="49"/>
      <c r="W123" s="49"/>
      <c r="X123" s="49"/>
      <c r="Y123" s="49"/>
      <c r="Z123" s="49"/>
    </row>
    <row r="124">
      <c r="A124" s="49" t="str">
        <f>IFERROR(__xludf.DUMMYFUNCTION("""COMPUTED_VALUE"""),"Imperos")</f>
        <v>Imperos</v>
      </c>
      <c r="B124" s="49"/>
      <c r="C124" s="49" t="str">
        <f>IFERROR(__xludf.DUMMYFUNCTION("""COMPUTED_VALUE"""),"Solreach")</f>
        <v>Solreach</v>
      </c>
      <c r="D124" s="49"/>
      <c r="E124" s="49"/>
      <c r="F124" s="49" t="str">
        <f>IFERROR(__xludf.DUMMYFUNCTION("""COMPUTED_VALUE"""),"Gilder")</f>
        <v>Gilder</v>
      </c>
      <c r="G124" s="49"/>
      <c r="H124" s="49"/>
      <c r="I124" s="49"/>
      <c r="J124" s="49"/>
      <c r="K124" s="49"/>
      <c r="L124" s="49"/>
      <c r="M124" s="49"/>
      <c r="N124" s="49"/>
      <c r="O124" s="49"/>
      <c r="P124" s="49"/>
      <c r="Q124" s="49"/>
      <c r="R124" s="49"/>
      <c r="S124" s="49"/>
      <c r="T124" s="49"/>
      <c r="U124" s="49"/>
      <c r="V124" s="49"/>
      <c r="W124" s="49"/>
      <c r="X124" s="49"/>
      <c r="Y124" s="49"/>
      <c r="Z124" s="49"/>
    </row>
    <row r="125">
      <c r="A125" s="49" t="str">
        <f>IFERROR(__xludf.DUMMYFUNCTION("""COMPUTED_VALUE"""),"Lower Fortress")</f>
        <v>Lower Fortress</v>
      </c>
      <c r="B125" s="49"/>
      <c r="C125" s="49" t="str">
        <f>IFERROR(__xludf.DUMMYFUNCTION("""COMPUTED_VALUE"""),"Solreach")</f>
        <v>Solreach</v>
      </c>
      <c r="D125" s="49"/>
      <c r="E125" s="49"/>
      <c r="F125" s="49" t="str">
        <f>IFERROR(__xludf.DUMMYFUNCTION("""COMPUTED_VALUE"""),"Gilder")</f>
        <v>Gilder</v>
      </c>
      <c r="G125" s="49"/>
      <c r="H125" s="49"/>
      <c r="I125" s="49"/>
      <c r="J125" s="49"/>
      <c r="K125" s="49"/>
      <c r="L125" s="49"/>
      <c r="M125" s="49"/>
      <c r="N125" s="49"/>
      <c r="O125" s="49"/>
      <c r="P125" s="49"/>
      <c r="Q125" s="49"/>
      <c r="R125" s="49"/>
      <c r="S125" s="49"/>
      <c r="T125" s="49"/>
      <c r="U125" s="49"/>
      <c r="V125" s="49"/>
      <c r="W125" s="49"/>
      <c r="X125" s="49"/>
      <c r="Y125" s="49"/>
      <c r="Z125" s="49"/>
    </row>
    <row r="126">
      <c r="A126" s="49" t="str">
        <f>IFERROR(__xludf.DUMMYFUNCTION("""COMPUTED_VALUE"""),"Upper Fortress")</f>
        <v>Upper Fortress</v>
      </c>
      <c r="B126" s="49"/>
      <c r="C126" s="49" t="str">
        <f>IFERROR(__xludf.DUMMYFUNCTION("""COMPUTED_VALUE"""),"Solreach")</f>
        <v>Solreach</v>
      </c>
      <c r="D126" s="49"/>
      <c r="E126" s="49"/>
      <c r="F126" s="49" t="str">
        <f>IFERROR(__xludf.DUMMYFUNCTION("""COMPUTED_VALUE"""),"Gilder")</f>
        <v>Gilder</v>
      </c>
      <c r="G126" s="49"/>
      <c r="H126" s="49"/>
      <c r="I126" s="49"/>
      <c r="J126" s="49"/>
      <c r="K126" s="49"/>
      <c r="L126" s="49"/>
      <c r="M126" s="49"/>
      <c r="N126" s="49"/>
      <c r="O126" s="49"/>
      <c r="P126" s="49"/>
      <c r="Q126" s="49"/>
      <c r="R126" s="49"/>
      <c r="S126" s="49"/>
      <c r="T126" s="49"/>
      <c r="U126" s="49"/>
      <c r="V126" s="49"/>
      <c r="W126" s="49"/>
      <c r="X126" s="49"/>
      <c r="Y126" s="49"/>
      <c r="Z126" s="49"/>
    </row>
    <row r="127">
      <c r="A127" s="49" t="str">
        <f>IFERROR(__xludf.DUMMYFUNCTION("""COMPUTED_VALUE"""),"New Circos")</f>
        <v>New Circos</v>
      </c>
      <c r="B127" s="49"/>
      <c r="C127" s="49" t="str">
        <f>IFERROR(__xludf.DUMMYFUNCTION("""COMPUTED_VALUE"""),"Solreach")</f>
        <v>Solreach</v>
      </c>
      <c r="D127" s="49"/>
      <c r="E127" s="49"/>
      <c r="F127" s="49" t="str">
        <f>IFERROR(__xludf.DUMMYFUNCTION("""COMPUTED_VALUE"""),"Gilder")</f>
        <v>Gilder</v>
      </c>
      <c r="G127" s="49"/>
      <c r="H127" s="49"/>
      <c r="I127" s="49"/>
      <c r="J127" s="49"/>
      <c r="K127" s="49"/>
      <c r="L127" s="49"/>
      <c r="M127" s="49"/>
      <c r="N127" s="49"/>
      <c r="O127" s="49"/>
      <c r="P127" s="49"/>
      <c r="Q127" s="49"/>
      <c r="R127" s="49"/>
      <c r="S127" s="49"/>
      <c r="T127" s="49"/>
      <c r="U127" s="49"/>
      <c r="V127" s="49"/>
      <c r="W127" s="49"/>
      <c r="X127" s="49"/>
      <c r="Y127" s="49"/>
      <c r="Z127" s="49"/>
    </row>
    <row r="128">
      <c r="A128" s="49" t="str">
        <f>IFERROR(__xludf.DUMMYFUNCTION("""COMPUTED_VALUE"""),"Nova Volaris")</f>
        <v>Nova Volaris</v>
      </c>
      <c r="B128" s="49"/>
      <c r="C128" s="49" t="str">
        <f>IFERROR(__xludf.DUMMYFUNCTION("""COMPUTED_VALUE"""),"Solreach")</f>
        <v>Solreach</v>
      </c>
      <c r="D128" s="49"/>
      <c r="E128" s="49"/>
      <c r="F128" s="49" t="str">
        <f>IFERROR(__xludf.DUMMYFUNCTION("""COMPUTED_VALUE"""),"Gilder")</f>
        <v>Gilder</v>
      </c>
      <c r="G128" s="49"/>
      <c r="H128" s="49"/>
      <c r="I128" s="49"/>
      <c r="J128" s="49"/>
      <c r="K128" s="49"/>
      <c r="L128" s="49"/>
      <c r="M128" s="49"/>
      <c r="N128" s="49"/>
      <c r="O128" s="49"/>
      <c r="P128" s="49"/>
      <c r="Q128" s="49"/>
      <c r="R128" s="49"/>
      <c r="S128" s="49"/>
      <c r="T128" s="49"/>
      <c r="U128" s="49"/>
      <c r="V128" s="49"/>
      <c r="W128" s="49"/>
      <c r="X128" s="49"/>
      <c r="Y128" s="49"/>
      <c r="Z128" s="49"/>
    </row>
    <row r="129">
      <c r="A129" s="49" t="str">
        <f>IFERROR(__xludf.DUMMYFUNCTION("""COMPUTED_VALUE"""),"Sonus")</f>
        <v>Sonus</v>
      </c>
      <c r="B129" s="49"/>
      <c r="C129" s="49" t="str">
        <f>IFERROR(__xludf.DUMMYFUNCTION("""COMPUTED_VALUE"""),"Solreach")</f>
        <v>Solreach</v>
      </c>
      <c r="D129" s="49"/>
      <c r="E129" s="49"/>
      <c r="F129" s="49" t="str">
        <f>IFERROR(__xludf.DUMMYFUNCTION("""COMPUTED_VALUE"""),"Gilder")</f>
        <v>Gilder</v>
      </c>
      <c r="G129" s="49"/>
      <c r="H129" s="49"/>
      <c r="I129" s="49"/>
      <c r="J129" s="49"/>
      <c r="K129" s="49"/>
      <c r="L129" s="49"/>
      <c r="M129" s="49"/>
      <c r="N129" s="49"/>
      <c r="O129" s="49"/>
      <c r="P129" s="49"/>
      <c r="Q129" s="49"/>
      <c r="R129" s="49"/>
      <c r="S129" s="49"/>
      <c r="T129" s="49"/>
      <c r="U129" s="49"/>
      <c r="V129" s="49"/>
      <c r="W129" s="49"/>
      <c r="X129" s="49"/>
      <c r="Y129" s="49"/>
      <c r="Z129" s="49"/>
    </row>
    <row r="130">
      <c r="A130" s="49" t="str">
        <f>IFERROR(__xludf.DUMMYFUNCTION("""COMPUTED_VALUE"""),"The City of Cetheoth")</f>
        <v>The City of Cetheoth</v>
      </c>
      <c r="B130" s="49"/>
      <c r="C130" s="49" t="str">
        <f>IFERROR(__xludf.DUMMYFUNCTION("""COMPUTED_VALUE"""),"Solreach")</f>
        <v>Solreach</v>
      </c>
      <c r="D130" s="49"/>
      <c r="E130" s="49"/>
      <c r="F130" s="49" t="str">
        <f>IFERROR(__xludf.DUMMYFUNCTION("""COMPUTED_VALUE"""),"Gilder")</f>
        <v>Gilder</v>
      </c>
      <c r="G130" s="49"/>
      <c r="H130" s="49"/>
      <c r="I130" s="49"/>
      <c r="J130" s="49"/>
      <c r="K130" s="49"/>
      <c r="L130" s="49"/>
      <c r="M130" s="49"/>
      <c r="N130" s="49"/>
      <c r="O130" s="49"/>
      <c r="P130" s="49"/>
      <c r="Q130" s="49"/>
      <c r="R130" s="49"/>
      <c r="S130" s="49"/>
      <c r="T130" s="49"/>
      <c r="U130" s="49"/>
      <c r="V130" s="49"/>
      <c r="W130" s="49"/>
      <c r="X130" s="49"/>
      <c r="Y130" s="49"/>
      <c r="Z130" s="49"/>
    </row>
    <row r="131">
      <c r="A131" s="49" t="str">
        <f>IFERROR(__xludf.DUMMYFUNCTION("""COMPUTED_VALUE"""),"The City of Ebain")</f>
        <v>The City of Ebain</v>
      </c>
      <c r="B131" s="49"/>
      <c r="C131" s="49" t="str">
        <f>IFERROR(__xludf.DUMMYFUNCTION("""COMPUTED_VALUE"""),"Solreach")</f>
        <v>Solreach</v>
      </c>
      <c r="D131" s="49"/>
      <c r="E131" s="49"/>
      <c r="F131" s="49" t="str">
        <f>IFERROR(__xludf.DUMMYFUNCTION("""COMPUTED_VALUE"""),"Gilder")</f>
        <v>Gilder</v>
      </c>
      <c r="G131" s="49"/>
      <c r="H131" s="49"/>
      <c r="I131" s="49"/>
      <c r="J131" s="49"/>
      <c r="K131" s="49"/>
      <c r="L131" s="49"/>
      <c r="M131" s="49"/>
      <c r="N131" s="49"/>
      <c r="O131" s="49"/>
      <c r="P131" s="49"/>
      <c r="Q131" s="49"/>
      <c r="R131" s="49"/>
      <c r="S131" s="49"/>
      <c r="T131" s="49"/>
      <c r="U131" s="49"/>
      <c r="V131" s="49"/>
      <c r="W131" s="49"/>
      <c r="X131" s="49"/>
      <c r="Y131" s="49"/>
      <c r="Z131" s="49"/>
    </row>
    <row r="132">
      <c r="A132" s="49" t="str">
        <f>IFERROR(__xludf.DUMMYFUNCTION("""COMPUTED_VALUE"""),"The City of Nonnaih")</f>
        <v>The City of Nonnaih</v>
      </c>
      <c r="B132" s="49"/>
      <c r="C132" s="49" t="str">
        <f>IFERROR(__xludf.DUMMYFUNCTION("""COMPUTED_VALUE"""),"Solreach")</f>
        <v>Solreach</v>
      </c>
      <c r="D132" s="49"/>
      <c r="E132" s="49"/>
      <c r="F132" s="49" t="str">
        <f>IFERROR(__xludf.DUMMYFUNCTION("""COMPUTED_VALUE"""),"Gilder")</f>
        <v>Gilder</v>
      </c>
      <c r="G132" s="49"/>
      <c r="H132" s="49"/>
      <c r="I132" s="49"/>
      <c r="J132" s="49"/>
      <c r="K132" s="49"/>
      <c r="L132" s="49"/>
      <c r="M132" s="49"/>
      <c r="N132" s="49"/>
      <c r="O132" s="49"/>
      <c r="P132" s="49"/>
      <c r="Q132" s="49"/>
      <c r="R132" s="49"/>
      <c r="S132" s="49"/>
      <c r="T132" s="49"/>
      <c r="U132" s="49"/>
      <c r="V132" s="49"/>
      <c r="W132" s="49"/>
      <c r="X132" s="49"/>
      <c r="Y132" s="49"/>
      <c r="Z132" s="49"/>
    </row>
    <row r="133">
      <c r="A133" s="49" t="str">
        <f>IFERROR(__xludf.DUMMYFUNCTION("""COMPUTED_VALUE"""),"The City of Sheopria")</f>
        <v>The City of Sheopria</v>
      </c>
      <c r="B133" s="49"/>
      <c r="C133" s="49" t="str">
        <f>IFERROR(__xludf.DUMMYFUNCTION("""COMPUTED_VALUE"""),"Solreach")</f>
        <v>Solreach</v>
      </c>
      <c r="D133" s="49"/>
      <c r="E133" s="49"/>
      <c r="F133" s="49" t="str">
        <f>IFERROR(__xludf.DUMMYFUNCTION("""COMPUTED_VALUE"""),"Gilder")</f>
        <v>Gilder</v>
      </c>
      <c r="G133" s="49"/>
      <c r="H133" s="49"/>
      <c r="I133" s="49"/>
      <c r="J133" s="49"/>
      <c r="K133" s="49"/>
      <c r="L133" s="49"/>
      <c r="M133" s="49"/>
      <c r="N133" s="49"/>
      <c r="O133" s="49"/>
      <c r="P133" s="49"/>
      <c r="Q133" s="49"/>
      <c r="R133" s="49"/>
      <c r="S133" s="49"/>
      <c r="T133" s="49"/>
      <c r="U133" s="49"/>
      <c r="V133" s="49"/>
      <c r="W133" s="49"/>
      <c r="X133" s="49"/>
      <c r="Y133" s="49"/>
      <c r="Z133" s="49"/>
    </row>
    <row r="134">
      <c r="A134" s="49" t="str">
        <f>IFERROR(__xludf.DUMMYFUNCTION("""COMPUTED_VALUE"""),"Ventis")</f>
        <v>Ventis</v>
      </c>
      <c r="B134" s="49"/>
      <c r="C134" s="49" t="str">
        <f>IFERROR(__xludf.DUMMYFUNCTION("""COMPUTED_VALUE"""),"Solreach")</f>
        <v>Solreach</v>
      </c>
      <c r="D134" s="49"/>
      <c r="E134" s="49"/>
      <c r="F134" s="49" t="str">
        <f>IFERROR(__xludf.DUMMYFUNCTION("""COMPUTED_VALUE"""),"Gilder")</f>
        <v>Gilder</v>
      </c>
      <c r="G134" s="49"/>
      <c r="H134" s="49"/>
      <c r="I134" s="49"/>
      <c r="J134" s="49"/>
      <c r="K134" s="49"/>
      <c r="L134" s="49"/>
      <c r="M134" s="49"/>
      <c r="N134" s="49"/>
      <c r="O134" s="49"/>
      <c r="P134" s="49"/>
      <c r="Q134" s="49"/>
      <c r="R134" s="49"/>
      <c r="S134" s="49"/>
      <c r="T134" s="49"/>
      <c r="U134" s="49"/>
      <c r="V134" s="49"/>
      <c r="W134" s="49"/>
      <c r="X134" s="49"/>
      <c r="Y134" s="49"/>
      <c r="Z134" s="49"/>
    </row>
    <row r="135">
      <c r="A135" s="49" t="str">
        <f>IFERROR(__xludf.DUMMYFUNCTION("""COMPUTED_VALUE"""),"Volance")</f>
        <v>Volance</v>
      </c>
      <c r="B135" s="49"/>
      <c r="C135" s="49" t="str">
        <f>IFERROR(__xludf.DUMMYFUNCTION("""COMPUTED_VALUE"""),"Solreach")</f>
        <v>Solreach</v>
      </c>
      <c r="D135" s="49"/>
      <c r="E135" s="49"/>
      <c r="F135" s="49" t="str">
        <f>IFERROR(__xludf.DUMMYFUNCTION("""COMPUTED_VALUE"""),"Gilder")</f>
        <v>Gilder</v>
      </c>
      <c r="G135" s="49"/>
      <c r="H135" s="49"/>
      <c r="I135" s="49"/>
      <c r="J135" s="49"/>
      <c r="K135" s="49"/>
      <c r="L135" s="49"/>
      <c r="M135" s="49"/>
      <c r="N135" s="49"/>
      <c r="O135" s="49"/>
      <c r="P135" s="49"/>
      <c r="Q135" s="49"/>
      <c r="R135" s="49"/>
      <c r="S135" s="49"/>
      <c r="T135" s="49"/>
      <c r="U135" s="49"/>
      <c r="V135" s="49"/>
      <c r="W135" s="49"/>
      <c r="X135" s="49"/>
      <c r="Y135" s="49"/>
      <c r="Z135" s="49"/>
    </row>
    <row r="136">
      <c r="A136" s="49" t="str">
        <f>IFERROR(__xludf.DUMMYFUNCTION("""COMPUTED_VALUE"""),"Easter Island")</f>
        <v>Easter Island</v>
      </c>
      <c r="B136" s="49" t="str">
        <f>IFERROR(__xludf.DUMMYFUNCTION("""COMPUTED_VALUE"""),"Home to the Easter Boss")</f>
        <v>Home to the Easter Boss</v>
      </c>
      <c r="C136" s="49" t="str">
        <f>IFERROR(__xludf.DUMMYFUNCTION("""COMPUTED_VALUE"""),"Event Hub")</f>
        <v>Event Hub</v>
      </c>
      <c r="D136" s="49"/>
      <c r="E136" s="49"/>
      <c r="F136" s="49" t="str">
        <f>IFERROR(__xludf.DUMMYFUNCTION("""COMPUTED_VALUE"""),"Gilder")</f>
        <v>Gilder</v>
      </c>
      <c r="G136" s="49"/>
      <c r="H136" s="49"/>
      <c r="I136" s="49"/>
      <c r="J136" s="49"/>
      <c r="K136" s="49"/>
      <c r="L136" s="49"/>
      <c r="M136" s="49"/>
      <c r="N136" s="49"/>
      <c r="O136" s="49"/>
      <c r="P136" s="49"/>
      <c r="Q136" s="49"/>
      <c r="R136" s="49"/>
      <c r="S136" s="49"/>
      <c r="T136" s="49"/>
      <c r="U136" s="49"/>
      <c r="V136" s="49"/>
      <c r="W136" s="49"/>
      <c r="X136" s="49"/>
      <c r="Y136" s="49"/>
      <c r="Z136" s="49"/>
    </row>
    <row r="137">
      <c r="A137" s="49"/>
      <c r="B137" s="49"/>
      <c r="C137" s="49"/>
      <c r="D137" s="49"/>
      <c r="E137" s="49"/>
      <c r="F137" s="49" t="str">
        <f>IFERROR(__xludf.DUMMYFUNCTION("""COMPUTED_VALUE"""),"Gilder")</f>
        <v>Gilder</v>
      </c>
      <c r="G137" s="49"/>
      <c r="H137" s="49"/>
      <c r="I137" s="49"/>
      <c r="J137" s="49"/>
      <c r="K137" s="49"/>
      <c r="L137" s="49"/>
      <c r="M137" s="49"/>
      <c r="N137" s="49"/>
      <c r="O137" s="49"/>
      <c r="P137" s="49"/>
      <c r="Q137" s="49"/>
      <c r="R137" s="49"/>
      <c r="S137" s="49"/>
      <c r="T137" s="49"/>
      <c r="U137" s="49"/>
      <c r="V137" s="49"/>
      <c r="W137" s="49"/>
      <c r="X137" s="49"/>
      <c r="Y137" s="49"/>
      <c r="Z137" s="49"/>
    </row>
    <row r="138">
      <c r="A138" s="49"/>
      <c r="B138" s="49"/>
      <c r="C138" s="49"/>
      <c r="D138" s="49"/>
      <c r="E138" s="49"/>
      <c r="F138" s="49" t="str">
        <f>IFERROR(__xludf.DUMMYFUNCTION("""COMPUTED_VALUE"""),"Gilder")</f>
        <v>Gilder</v>
      </c>
      <c r="G138" s="49"/>
      <c r="H138" s="49"/>
      <c r="I138" s="49"/>
      <c r="J138" s="49"/>
      <c r="K138" s="49"/>
      <c r="L138" s="49"/>
      <c r="M138" s="49"/>
      <c r="N138" s="49"/>
      <c r="O138" s="49"/>
      <c r="P138" s="49"/>
      <c r="Q138" s="49"/>
      <c r="R138" s="49"/>
      <c r="S138" s="49"/>
      <c r="T138" s="49"/>
      <c r="U138" s="49"/>
      <c r="V138" s="49"/>
      <c r="W138" s="49"/>
      <c r="X138" s="49"/>
      <c r="Y138" s="49"/>
      <c r="Z138" s="49"/>
    </row>
    <row r="139">
      <c r="A139" s="49"/>
      <c r="B139" s="49"/>
      <c r="C139" s="49"/>
      <c r="D139" s="49"/>
      <c r="E139" s="49"/>
      <c r="F139" s="49" t="str">
        <f>IFERROR(__xludf.DUMMYFUNCTION("""COMPUTED_VALUE"""),"Gilder")</f>
        <v>Gilder</v>
      </c>
      <c r="G139" s="49"/>
      <c r="H139" s="49"/>
      <c r="I139" s="49"/>
      <c r="J139" s="49"/>
      <c r="K139" s="49"/>
      <c r="L139" s="49"/>
      <c r="M139" s="49"/>
      <c r="N139" s="49"/>
      <c r="O139" s="49"/>
      <c r="P139" s="49"/>
      <c r="Q139" s="49"/>
      <c r="R139" s="49"/>
      <c r="S139" s="49"/>
      <c r="T139" s="49"/>
      <c r="U139" s="49"/>
      <c r="V139" s="49"/>
      <c r="W139" s="49"/>
      <c r="X139" s="49"/>
      <c r="Y139" s="49"/>
      <c r="Z139" s="49"/>
    </row>
    <row r="140">
      <c r="A140" s="49"/>
      <c r="B140" s="49"/>
      <c r="C140" s="49"/>
      <c r="D140" s="49"/>
      <c r="E140" s="49"/>
      <c r="F140" s="49" t="str">
        <f>IFERROR(__xludf.DUMMYFUNCTION("""COMPUTED_VALUE"""),"Gilder")</f>
        <v>Gilder</v>
      </c>
      <c r="G140" s="49"/>
      <c r="H140" s="49"/>
      <c r="I140" s="49"/>
      <c r="J140" s="49"/>
      <c r="K140" s="49"/>
      <c r="L140" s="49"/>
      <c r="M140" s="49"/>
      <c r="N140" s="49"/>
      <c r="O140" s="49"/>
      <c r="P140" s="49"/>
      <c r="Q140" s="49"/>
      <c r="R140" s="49"/>
      <c r="S140" s="49"/>
      <c r="T140" s="49"/>
      <c r="U140" s="49"/>
      <c r="V140" s="49"/>
      <c r="W140" s="49"/>
      <c r="X140" s="49"/>
      <c r="Y140" s="49"/>
      <c r="Z140" s="49"/>
    </row>
    <row r="141">
      <c r="A141" s="49"/>
      <c r="B141" s="49"/>
      <c r="C141" s="49"/>
      <c r="D141" s="49"/>
      <c r="E141" s="49"/>
      <c r="F141" s="49" t="str">
        <f>IFERROR(__xludf.DUMMYFUNCTION("""COMPUTED_VALUE"""),"Gilder")</f>
        <v>Gilder</v>
      </c>
      <c r="G141" s="49"/>
      <c r="H141" s="49"/>
      <c r="I141" s="49"/>
      <c r="J141" s="49"/>
      <c r="K141" s="49"/>
      <c r="L141" s="49"/>
      <c r="M141" s="49"/>
      <c r="N141" s="49"/>
      <c r="O141" s="49"/>
      <c r="P141" s="49"/>
      <c r="Q141" s="49"/>
      <c r="R141" s="49"/>
      <c r="S141" s="49"/>
      <c r="T141" s="49"/>
      <c r="U141" s="49"/>
      <c r="V141" s="49"/>
      <c r="W141" s="49"/>
      <c r="X141" s="49"/>
      <c r="Y141" s="49"/>
      <c r="Z141" s="49"/>
    </row>
    <row r="142">
      <c r="A142" s="49"/>
      <c r="B142" s="49"/>
      <c r="C142" s="49"/>
      <c r="D142" s="49"/>
      <c r="E142" s="49"/>
      <c r="F142" s="49" t="str">
        <f>IFERROR(__xludf.DUMMYFUNCTION("""COMPUTED_VALUE"""),"Gilder")</f>
        <v>Gilder</v>
      </c>
      <c r="G142" s="49"/>
      <c r="H142" s="49"/>
      <c r="I142" s="49"/>
      <c r="J142" s="49"/>
      <c r="K142" s="49"/>
      <c r="L142" s="49"/>
      <c r="M142" s="49"/>
      <c r="N142" s="49"/>
      <c r="O142" s="49"/>
      <c r="P142" s="49"/>
      <c r="Q142" s="49"/>
      <c r="R142" s="49"/>
      <c r="S142" s="49"/>
      <c r="T142" s="49"/>
      <c r="U142" s="49"/>
      <c r="V142" s="49"/>
      <c r="W142" s="49"/>
      <c r="X142" s="49"/>
      <c r="Y142" s="49"/>
      <c r="Z142" s="49"/>
    </row>
    <row r="143">
      <c r="A143" s="49"/>
      <c r="B143" s="49"/>
      <c r="C143" s="49"/>
      <c r="D143" s="49"/>
      <c r="E143" s="49"/>
      <c r="F143" s="49" t="str">
        <f>IFERROR(__xludf.DUMMYFUNCTION("""COMPUTED_VALUE"""),"Gilder")</f>
        <v>Gilder</v>
      </c>
      <c r="G143" s="49"/>
      <c r="H143" s="49"/>
      <c r="I143" s="49"/>
      <c r="J143" s="49"/>
      <c r="K143" s="49"/>
      <c r="L143" s="49"/>
      <c r="M143" s="49"/>
      <c r="N143" s="49"/>
      <c r="O143" s="49"/>
      <c r="P143" s="49"/>
      <c r="Q143" s="49"/>
      <c r="R143" s="49"/>
      <c r="S143" s="49"/>
      <c r="T143" s="49"/>
      <c r="U143" s="49"/>
      <c r="V143" s="49"/>
      <c r="W143" s="49"/>
      <c r="X143" s="49"/>
      <c r="Y143" s="49"/>
      <c r="Z143" s="49"/>
    </row>
    <row r="144">
      <c r="A144" s="49"/>
      <c r="B144" s="49"/>
      <c r="C144" s="49"/>
      <c r="D144" s="49"/>
      <c r="E144" s="49"/>
      <c r="F144" s="49" t="str">
        <f>IFERROR(__xludf.DUMMYFUNCTION("""COMPUTED_VALUE"""),"Gilder")</f>
        <v>Gilder</v>
      </c>
      <c r="G144" s="49"/>
      <c r="H144" s="49"/>
      <c r="I144" s="49"/>
      <c r="J144" s="49"/>
      <c r="K144" s="49"/>
      <c r="L144" s="49"/>
      <c r="M144" s="49"/>
      <c r="N144" s="49"/>
      <c r="O144" s="49"/>
      <c r="P144" s="49"/>
      <c r="Q144" s="49"/>
      <c r="R144" s="49"/>
      <c r="S144" s="49"/>
      <c r="T144" s="49"/>
      <c r="U144" s="49"/>
      <c r="V144" s="49"/>
      <c r="W144" s="49"/>
      <c r="X144" s="49"/>
      <c r="Y144" s="49"/>
      <c r="Z144" s="49"/>
    </row>
    <row r="145">
      <c r="A145" s="49"/>
      <c r="B145" s="49"/>
      <c r="C145" s="49"/>
      <c r="D145" s="49"/>
      <c r="E145" s="49"/>
      <c r="F145" s="49" t="str">
        <f>IFERROR(__xludf.DUMMYFUNCTION("""COMPUTED_VALUE"""),"Gilder")</f>
        <v>Gilder</v>
      </c>
      <c r="G145" s="49"/>
      <c r="H145" s="49"/>
      <c r="I145" s="49"/>
      <c r="J145" s="49"/>
      <c r="K145" s="49"/>
      <c r="L145" s="49"/>
      <c r="M145" s="49"/>
      <c r="N145" s="49"/>
      <c r="O145" s="49"/>
      <c r="P145" s="49"/>
      <c r="Q145" s="49"/>
      <c r="R145" s="49"/>
      <c r="S145" s="49"/>
      <c r="T145" s="49"/>
      <c r="U145" s="49"/>
      <c r="V145" s="49"/>
      <c r="W145" s="49"/>
      <c r="X145" s="49"/>
      <c r="Y145" s="49"/>
      <c r="Z145" s="49"/>
    </row>
    <row r="146">
      <c r="A146" s="49"/>
      <c r="B146" s="49"/>
      <c r="C146" s="49"/>
      <c r="D146" s="49"/>
      <c r="E146" s="49"/>
      <c r="F146" s="49" t="str">
        <f>IFERROR(__xludf.DUMMYFUNCTION("""COMPUTED_VALUE"""),"Gilder")</f>
        <v>Gilder</v>
      </c>
      <c r="G146" s="49"/>
      <c r="H146" s="49"/>
      <c r="I146" s="49"/>
      <c r="J146" s="49"/>
      <c r="K146" s="49"/>
      <c r="L146" s="49"/>
      <c r="M146" s="49"/>
      <c r="N146" s="49"/>
      <c r="O146" s="49"/>
      <c r="P146" s="49"/>
      <c r="Q146" s="49"/>
      <c r="R146" s="49"/>
      <c r="S146" s="49"/>
      <c r="T146" s="49"/>
      <c r="U146" s="49"/>
      <c r="V146" s="49"/>
      <c r="W146" s="49"/>
      <c r="X146" s="49"/>
      <c r="Y146" s="49"/>
      <c r="Z146" s="49"/>
    </row>
    <row r="147">
      <c r="A147" s="49"/>
      <c r="B147" s="49"/>
      <c r="C147" s="49"/>
      <c r="D147" s="49"/>
      <c r="E147" s="49"/>
      <c r="F147" s="49" t="str">
        <f>IFERROR(__xludf.DUMMYFUNCTION("""COMPUTED_VALUE"""),"Gilder")</f>
        <v>Gilder</v>
      </c>
      <c r="G147" s="49"/>
      <c r="H147" s="49"/>
      <c r="I147" s="49"/>
      <c r="J147" s="49"/>
      <c r="K147" s="49"/>
      <c r="L147" s="49"/>
      <c r="M147" s="49"/>
      <c r="N147" s="49"/>
      <c r="O147" s="49"/>
      <c r="P147" s="49"/>
      <c r="Q147" s="49"/>
      <c r="R147" s="49"/>
      <c r="S147" s="49"/>
      <c r="T147" s="49"/>
      <c r="U147" s="49"/>
      <c r="V147" s="49"/>
      <c r="W147" s="49"/>
      <c r="X147" s="49"/>
      <c r="Y147" s="49"/>
      <c r="Z147" s="49"/>
    </row>
    <row r="148">
      <c r="A148" s="49"/>
      <c r="B148" s="49"/>
      <c r="C148" s="49"/>
      <c r="D148" s="49"/>
      <c r="E148" s="49"/>
      <c r="F148" s="49" t="str">
        <f>IFERROR(__xludf.DUMMYFUNCTION("""COMPUTED_VALUE"""),"Gilder")</f>
        <v>Gilder</v>
      </c>
      <c r="G148" s="49"/>
      <c r="H148" s="49"/>
      <c r="I148" s="49"/>
      <c r="J148" s="49"/>
      <c r="K148" s="49"/>
      <c r="L148" s="49"/>
      <c r="M148" s="49"/>
      <c r="N148" s="49"/>
      <c r="O148" s="49"/>
      <c r="P148" s="49"/>
      <c r="Q148" s="49"/>
      <c r="R148" s="49"/>
      <c r="S148" s="49"/>
      <c r="T148" s="49"/>
      <c r="U148" s="49"/>
      <c r="V148" s="49"/>
      <c r="W148" s="49"/>
      <c r="X148" s="49"/>
      <c r="Y148" s="49"/>
      <c r="Z148" s="49"/>
    </row>
    <row r="149">
      <c r="A149" s="49"/>
      <c r="B149" s="49"/>
      <c r="C149" s="49"/>
      <c r="D149" s="49"/>
      <c r="E149" s="49"/>
      <c r="F149" s="49" t="str">
        <f>IFERROR(__xludf.DUMMYFUNCTION("""COMPUTED_VALUE"""),"Gilder")</f>
        <v>Gilder</v>
      </c>
      <c r="G149" s="49"/>
      <c r="H149" s="49"/>
      <c r="I149" s="49"/>
      <c r="J149" s="49"/>
      <c r="K149" s="49"/>
      <c r="L149" s="49"/>
      <c r="M149" s="49"/>
      <c r="N149" s="49"/>
      <c r="O149" s="49"/>
      <c r="P149" s="49"/>
      <c r="Q149" s="49"/>
      <c r="R149" s="49"/>
      <c r="S149" s="49"/>
      <c r="T149" s="49"/>
      <c r="U149" s="49"/>
      <c r="V149" s="49"/>
      <c r="W149" s="49"/>
      <c r="X149" s="49"/>
      <c r="Y149" s="49"/>
      <c r="Z149" s="49"/>
    </row>
    <row r="150">
      <c r="A150" s="49"/>
      <c r="B150" s="49"/>
      <c r="C150" s="49"/>
      <c r="D150" s="49"/>
      <c r="E150" s="49"/>
      <c r="F150" s="49" t="str">
        <f>IFERROR(__xludf.DUMMYFUNCTION("""COMPUTED_VALUE"""),"Gilder")</f>
        <v>Gilder</v>
      </c>
      <c r="G150" s="49"/>
      <c r="H150" s="49"/>
      <c r="I150" s="49"/>
      <c r="J150" s="49"/>
      <c r="K150" s="49"/>
      <c r="L150" s="49"/>
      <c r="M150" s="49"/>
      <c r="N150" s="49"/>
      <c r="O150" s="49"/>
      <c r="P150" s="49"/>
      <c r="Q150" s="49"/>
      <c r="R150" s="49"/>
      <c r="S150" s="49"/>
      <c r="T150" s="49"/>
      <c r="U150" s="49"/>
      <c r="V150" s="49"/>
      <c r="W150" s="49"/>
      <c r="X150" s="49"/>
      <c r="Y150" s="49"/>
      <c r="Z150" s="49"/>
    </row>
    <row r="151">
      <c r="A151" s="49"/>
      <c r="B151" s="49"/>
      <c r="C151" s="49"/>
      <c r="D151" s="49"/>
      <c r="E151" s="49"/>
      <c r="F151" s="49" t="str">
        <f>IFERROR(__xludf.DUMMYFUNCTION("""COMPUTED_VALUE"""),"Gilder")</f>
        <v>Gilder</v>
      </c>
      <c r="G151" s="49"/>
      <c r="H151" s="49"/>
      <c r="I151" s="49"/>
      <c r="J151" s="49"/>
      <c r="K151" s="49"/>
      <c r="L151" s="49"/>
      <c r="M151" s="49"/>
      <c r="N151" s="49"/>
      <c r="O151" s="49"/>
      <c r="P151" s="49"/>
      <c r="Q151" s="49"/>
      <c r="R151" s="49"/>
      <c r="S151" s="49"/>
      <c r="T151" s="49"/>
      <c r="U151" s="49"/>
      <c r="V151" s="49"/>
      <c r="W151" s="49"/>
      <c r="X151" s="49"/>
      <c r="Y151" s="49"/>
      <c r="Z151" s="49"/>
    </row>
    <row r="152">
      <c r="A152" s="49"/>
      <c r="B152" s="49"/>
      <c r="C152" s="49"/>
      <c r="D152" s="49"/>
      <c r="E152" s="49"/>
      <c r="F152" s="49" t="str">
        <f>IFERROR(__xludf.DUMMYFUNCTION("""COMPUTED_VALUE"""),"Gilder")</f>
        <v>Gilder</v>
      </c>
      <c r="G152" s="49"/>
      <c r="H152" s="49"/>
      <c r="I152" s="49"/>
      <c r="J152" s="49"/>
      <c r="K152" s="49"/>
      <c r="L152" s="49"/>
      <c r="M152" s="49"/>
      <c r="N152" s="49"/>
      <c r="O152" s="49"/>
      <c r="P152" s="49"/>
      <c r="Q152" s="49"/>
      <c r="R152" s="49"/>
      <c r="S152" s="49"/>
      <c r="T152" s="49"/>
      <c r="U152" s="49"/>
      <c r="V152" s="49"/>
      <c r="W152" s="49"/>
      <c r="X152" s="49"/>
      <c r="Y152" s="49"/>
      <c r="Z152" s="49"/>
    </row>
    <row r="153">
      <c r="A153" s="49"/>
      <c r="B153" s="49"/>
      <c r="C153" s="49"/>
      <c r="D153" s="49"/>
      <c r="E153" s="49"/>
      <c r="F153" s="49" t="str">
        <f>IFERROR(__xludf.DUMMYFUNCTION("""COMPUTED_VALUE"""),"Gilder")</f>
        <v>Gilder</v>
      </c>
      <c r="G153" s="49"/>
      <c r="H153" s="49"/>
      <c r="I153" s="49"/>
      <c r="J153" s="49"/>
      <c r="K153" s="49"/>
      <c r="L153" s="49"/>
      <c r="M153" s="49"/>
      <c r="N153" s="49"/>
      <c r="O153" s="49"/>
      <c r="P153" s="49"/>
      <c r="Q153" s="49"/>
      <c r="R153" s="49"/>
      <c r="S153" s="49"/>
      <c r="T153" s="49"/>
      <c r="U153" s="49"/>
      <c r="V153" s="49"/>
      <c r="W153" s="49"/>
      <c r="X153" s="49"/>
      <c r="Y153" s="49"/>
      <c r="Z153" s="49"/>
    </row>
    <row r="154">
      <c r="A154" s="49"/>
      <c r="B154" s="49"/>
      <c r="C154" s="49"/>
      <c r="D154" s="49"/>
      <c r="E154" s="49"/>
      <c r="F154" s="49" t="str">
        <f>IFERROR(__xludf.DUMMYFUNCTION("""COMPUTED_VALUE"""),"Gilder")</f>
        <v>Gilder</v>
      </c>
      <c r="G154" s="49"/>
      <c r="H154" s="49"/>
      <c r="I154" s="49"/>
      <c r="J154" s="49"/>
      <c r="K154" s="49"/>
      <c r="L154" s="49"/>
      <c r="M154" s="49"/>
      <c r="N154" s="49"/>
      <c r="O154" s="49"/>
      <c r="P154" s="49"/>
      <c r="Q154" s="49"/>
      <c r="R154" s="49"/>
      <c r="S154" s="49"/>
      <c r="T154" s="49"/>
      <c r="U154" s="49"/>
      <c r="V154" s="49"/>
      <c r="W154" s="49"/>
      <c r="X154" s="49"/>
      <c r="Y154" s="49"/>
      <c r="Z154" s="49"/>
    </row>
    <row r="155">
      <c r="A155" s="49"/>
      <c r="B155" s="49"/>
      <c r="C155" s="49"/>
      <c r="D155" s="49"/>
      <c r="E155" s="49"/>
      <c r="F155" s="49" t="str">
        <f>IFERROR(__xludf.DUMMYFUNCTION("""COMPUTED_VALUE"""),"Gilder")</f>
        <v>Gilder</v>
      </c>
      <c r="G155" s="49"/>
      <c r="H155" s="49"/>
      <c r="I155" s="49"/>
      <c r="J155" s="49"/>
      <c r="K155" s="49"/>
      <c r="L155" s="49"/>
      <c r="M155" s="49"/>
      <c r="N155" s="49"/>
      <c r="O155" s="49"/>
      <c r="P155" s="49"/>
      <c r="Q155" s="49"/>
      <c r="R155" s="49"/>
      <c r="S155" s="49"/>
      <c r="T155" s="49"/>
      <c r="U155" s="49"/>
      <c r="V155" s="49"/>
      <c r="W155" s="49"/>
      <c r="X155" s="49"/>
      <c r="Y155" s="49"/>
      <c r="Z155" s="49"/>
    </row>
    <row r="156">
      <c r="A156" s="49"/>
      <c r="B156" s="49"/>
      <c r="C156" s="49"/>
      <c r="D156" s="49"/>
      <c r="E156" s="49"/>
      <c r="F156" s="49" t="str">
        <f>IFERROR(__xludf.DUMMYFUNCTION("""COMPUTED_VALUE"""),"Gilder")</f>
        <v>Gilder</v>
      </c>
      <c r="G156" s="49"/>
      <c r="H156" s="49"/>
      <c r="I156" s="49"/>
      <c r="J156" s="49"/>
      <c r="K156" s="49"/>
      <c r="L156" s="49"/>
      <c r="M156" s="49"/>
      <c r="N156" s="49"/>
      <c r="O156" s="49"/>
      <c r="P156" s="49"/>
      <c r="Q156" s="49"/>
      <c r="R156" s="49"/>
      <c r="S156" s="49"/>
      <c r="T156" s="49"/>
      <c r="U156" s="49"/>
      <c r="V156" s="49"/>
      <c r="W156" s="49"/>
      <c r="X156" s="49"/>
      <c r="Y156" s="49"/>
      <c r="Z156" s="49"/>
    </row>
    <row r="157">
      <c r="A157" s="49"/>
      <c r="B157" s="49"/>
      <c r="C157" s="49"/>
      <c r="D157" s="49"/>
      <c r="E157" s="49"/>
      <c r="F157" s="49" t="str">
        <f>IFERROR(__xludf.DUMMYFUNCTION("""COMPUTED_VALUE"""),"Gilder")</f>
        <v>Gilder</v>
      </c>
      <c r="G157" s="49"/>
      <c r="H157" s="49"/>
      <c r="I157" s="49"/>
      <c r="J157" s="49"/>
      <c r="K157" s="49"/>
      <c r="L157" s="49"/>
      <c r="M157" s="49"/>
      <c r="N157" s="49"/>
      <c r="O157" s="49"/>
      <c r="P157" s="49"/>
      <c r="Q157" s="49"/>
      <c r="R157" s="49"/>
      <c r="S157" s="49"/>
      <c r="T157" s="49"/>
      <c r="U157" s="49"/>
      <c r="V157" s="49"/>
      <c r="W157" s="49"/>
      <c r="X157" s="49"/>
      <c r="Y157" s="49"/>
      <c r="Z157" s="49"/>
    </row>
    <row r="158">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9" t="str">
        <f>IFERROR(__xludf.DUMMYFUNCTION("QUERY(Towns!$A$2:$F1000,""Select A where C contains 'Land of Spira'"")"),"Blackhorn")</f>
        <v>Blackhorn</v>
      </c>
    </row>
    <row r="2">
      <c r="A2" s="49" t="str">
        <f>IFERROR(__xludf.DUMMYFUNCTION("""COMPUTED_VALUE"""),"Chaotic Seas")</f>
        <v>Chaotic Seas</v>
      </c>
    </row>
    <row r="3">
      <c r="A3" s="49" t="str">
        <f>IFERROR(__xludf.DUMMYFUNCTION("""COMPUTED_VALUE"""),"Civille")</f>
        <v>Civille</v>
      </c>
    </row>
    <row r="4">
      <c r="A4" s="49" t="str">
        <f>IFERROR(__xludf.DUMMYFUNCTION("""COMPUTED_VALUE"""),"Crystal Cave")</f>
        <v>Crystal Cave</v>
      </c>
    </row>
    <row r="5">
      <c r="A5" s="49" t="str">
        <f>IFERROR(__xludf.DUMMYFUNCTION("""COMPUTED_VALUE"""),"Cursed Iceland")</f>
        <v>Cursed Iceland</v>
      </c>
    </row>
    <row r="6">
      <c r="A6" s="49" t="str">
        <f>IFERROR(__xludf.DUMMYFUNCTION("""COMPUTED_VALUE"""),"Dead Forest")</f>
        <v>Dead Forest</v>
      </c>
    </row>
    <row r="7">
      <c r="A7" s="49" t="str">
        <f>IFERROR(__xludf.DUMMYFUNCTION("""COMPUTED_VALUE"""),"Desert island")</f>
        <v>Desert island</v>
      </c>
    </row>
    <row r="8">
      <c r="A8" s="49" t="str">
        <f>IFERROR(__xludf.DUMMYFUNCTION("""COMPUTED_VALUE"""),"Docile Plains")</f>
        <v>Docile Plains</v>
      </c>
    </row>
    <row r="9">
      <c r="A9" s="49" t="str">
        <f>IFERROR(__xludf.DUMMYFUNCTION("""COMPUTED_VALUE"""),"Dryland Desert")</f>
        <v>Dryland Desert</v>
      </c>
    </row>
    <row r="10">
      <c r="A10" s="49" t="str">
        <f>IFERROR(__xludf.DUMMYFUNCTION("""COMPUTED_VALUE"""),"Dryland Mesa")</f>
        <v>Dryland Mesa</v>
      </c>
    </row>
    <row r="11">
      <c r="A11" s="49" t="str">
        <f>IFERROR(__xludf.DUMMYFUNCTION("""COMPUTED_VALUE"""),"Fertile Plains")</f>
        <v>Fertile Plains</v>
      </c>
    </row>
    <row r="12">
      <c r="A12" s="49" t="str">
        <f>IFERROR(__xludf.DUMMYFUNCTION("""COMPUTED_VALUE"""),"Fire Tiki Mountain")</f>
        <v>Fire Tiki Mountain</v>
      </c>
    </row>
    <row r="13">
      <c r="A13" s="49" t="str">
        <f>IFERROR(__xludf.DUMMYFUNCTION("""COMPUTED_VALUE"""),"Forest View")</f>
        <v>Forest View</v>
      </c>
    </row>
    <row r="14">
      <c r="A14" s="49" t="str">
        <f>IFERROR(__xludf.DUMMYFUNCTION("""COMPUTED_VALUE"""),"Foul Night Swamp")</f>
        <v>Foul Night Swamp</v>
      </c>
    </row>
    <row r="15">
      <c r="A15" s="49" t="str">
        <f>IFERROR(__xludf.DUMMYFUNCTION("""COMPUTED_VALUE"""),"Northern Frozen Terrain")</f>
        <v>Northern Frozen Terrain</v>
      </c>
    </row>
    <row r="16">
      <c r="A16" s="49" t="str">
        <f>IFERROR(__xludf.DUMMYFUNCTION("""COMPUTED_VALUE"""),"Eastern Frozen Terrain")</f>
        <v>Eastern Frozen Terrain</v>
      </c>
    </row>
    <row r="17">
      <c r="A17" s="49" t="str">
        <f>IFERROR(__xludf.DUMMYFUNCTION("""COMPUTED_VALUE"""),"Western Frozen Terrain")</f>
        <v>Western Frozen Terrain</v>
      </c>
    </row>
    <row r="18">
      <c r="A18" s="49" t="str">
        <f>IFERROR(__xludf.DUMMYFUNCTION("""COMPUTED_VALUE"""),"Frozen Forest (Southern Frozen Terrain)")</f>
        <v>Frozen Forest (Southern Frozen Terrain)</v>
      </c>
    </row>
    <row r="19">
      <c r="A19" s="49" t="str">
        <f>IFERROR(__xludf.DUMMYFUNCTION("""COMPUTED_VALUE"""),"Hallowtown ")</f>
        <v>Hallowtown </v>
      </c>
    </row>
    <row r="20">
      <c r="A20" s="49" t="str">
        <f>IFERROR(__xludf.DUMMYFUNCTION("""COMPUTED_VALUE"""),"Heatmore Jungle")</f>
        <v>Heatmore Jungle</v>
      </c>
    </row>
    <row r="21">
      <c r="A21" s="49" t="str">
        <f>IFERROR(__xludf.DUMMYFUNCTION("""COMPUTED_VALUE"""),"Jungle Of Miss Direction")</f>
        <v>Jungle Of Miss Direction</v>
      </c>
    </row>
    <row r="22">
      <c r="A22" s="49" t="str">
        <f>IFERROR(__xludf.DUMMYFUNCTION("""COMPUTED_VALUE"""),"Jungle Of Shadows")</f>
        <v>Jungle Of Shadows</v>
      </c>
    </row>
    <row r="23">
      <c r="A23" s="49" t="str">
        <f>IFERROR(__xludf.DUMMYFUNCTION("""COMPUTED_VALUE"""),"Lake Town")</f>
        <v>Lake Town</v>
      </c>
    </row>
    <row r="24">
      <c r="A24" s="49" t="str">
        <f>IFERROR(__xludf.DUMMYFUNCTION("""COMPUTED_VALUE"""),"Mekana")</f>
        <v>Mekana</v>
      </c>
    </row>
    <row r="25">
      <c r="A25" s="49" t="str">
        <f>IFERROR(__xludf.DUMMYFUNCTION("""COMPUTED_VALUE"""),"Mountains Of Peace And Harmony")</f>
        <v>Mountains Of Peace And Harmony</v>
      </c>
    </row>
    <row r="26">
      <c r="A26" s="49" t="str">
        <f>IFERROR(__xludf.DUMMYFUNCTION("""COMPUTED_VALUE"""),"Mt. Fury (Locked)")</f>
        <v>Mt. Fury (Locked)</v>
      </c>
    </row>
    <row r="27">
      <c r="A27" s="49" t="str">
        <f>IFERROR(__xludf.DUMMYFUNCTION("""COMPUTED_VALUE"""),"Pond City")</f>
        <v>Pond City</v>
      </c>
    </row>
    <row r="28">
      <c r="A28" s="49" t="str">
        <f>IFERROR(__xludf.DUMMYFUNCTION("""COMPUTED_VALUE"""),"Port Fawn")</f>
        <v>Port Fawn</v>
      </c>
    </row>
    <row r="29">
      <c r="A29" s="49" t="str">
        <f>IFERROR(__xludf.DUMMYFUNCTION("""COMPUTED_VALUE"""),"Royal Woodlands")</f>
        <v>Royal Woodlands</v>
      </c>
    </row>
    <row r="30">
      <c r="A30" s="49" t="str">
        <f>IFERROR(__xludf.DUMMYFUNCTION("""COMPUTED_VALUE"""),"Ruins Of Mana")</f>
        <v>Ruins Of Mana</v>
      </c>
    </row>
    <row r="31">
      <c r="A31" s="49" t="str">
        <f>IFERROR(__xludf.DUMMYFUNCTION("""COMPUTED_VALUE"""),"Ship Graveyard")</f>
        <v>Ship Graveyard</v>
      </c>
    </row>
    <row r="32">
      <c r="A32" s="49" t="str">
        <f>IFERROR(__xludf.DUMMYFUNCTION("""COMPUTED_VALUE"""),"Silence Edge Point")</f>
        <v>Silence Edge Point</v>
      </c>
    </row>
    <row r="33">
      <c r="A33" s="49" t="str">
        <f>IFERROR(__xludf.DUMMYFUNCTION("""COMPUTED_VALUE"""),"Swampville")</f>
        <v>Swampville</v>
      </c>
    </row>
    <row r="34">
      <c r="A34" s="49" t="str">
        <f>IFERROR(__xludf.DUMMYFUNCTION("""COMPUTED_VALUE"""),"Temple Of Dawn")</f>
        <v>Temple Of Dawn</v>
      </c>
    </row>
    <row r="35">
      <c r="A35" s="49" t="str">
        <f>IFERROR(__xludf.DUMMYFUNCTION("""COMPUTED_VALUE"""),"Temple Of The Rising Sun")</f>
        <v>Temple Of The Rising Sun</v>
      </c>
    </row>
    <row r="36">
      <c r="A36" s="49" t="str">
        <f>IFERROR(__xludf.DUMMYFUNCTION("""COMPUTED_VALUE"""),"Temple Of The Rising Moon")</f>
        <v>Temple Of The Rising Moon</v>
      </c>
    </row>
    <row r="37">
      <c r="A37" s="49" t="str">
        <f>IFERROR(__xludf.DUMMYFUNCTION("""COMPUTED_VALUE"""),"Temple Of Dusk")</f>
        <v>Temple Of Dusk</v>
      </c>
    </row>
    <row r="38">
      <c r="A38" s="49" t="str">
        <f>IFERROR(__xludf.DUMMYFUNCTION("""COMPUTED_VALUE"""),"The Corrupt Forest")</f>
        <v>The Corrupt Forest</v>
      </c>
    </row>
    <row r="39">
      <c r="A39" s="49" t="str">
        <f>IFERROR(__xludf.DUMMYFUNCTION("""COMPUTED_VALUE"""),"The Hidden Forest Of Celeste")</f>
        <v>The Hidden Forest Of Celeste</v>
      </c>
    </row>
    <row r="40">
      <c r="A40" s="49" t="str">
        <f>IFERROR(__xludf.DUMMYFUNCTION("""COMPUTED_VALUE"""),"The Red Sands")</f>
        <v>The Red Sands</v>
      </c>
    </row>
    <row r="41">
      <c r="A41" s="49" t="str">
        <f>IFERROR(__xludf.DUMMYFUNCTION("""COMPUTED_VALUE"""),"The Submerged City Of Tritonoch")</f>
        <v>The Submerged City Of Tritonoch</v>
      </c>
    </row>
    <row r="42">
      <c r="A42" s="49" t="str">
        <f>IFERROR(__xludf.DUMMYFUNCTION("""COMPUTED_VALUE"""),"Tower Of Secret Mages")</f>
        <v>Tower Of Secret Mages</v>
      </c>
    </row>
    <row r="43">
      <c r="A43" s="49" t="str">
        <f>IFERROR(__xludf.DUMMYFUNCTION("""COMPUTED_VALUE"""),"WildWood")</f>
        <v>WildWood</v>
      </c>
    </row>
    <row r="44">
      <c r="A44" s="49" t="str">
        <f>IFERROR(__xludf.DUMMYFUNCTION("""COMPUTED_VALUE"""),"The World Tree of Spira")</f>
        <v>The World Tree of Spira</v>
      </c>
    </row>
    <row r="45">
      <c r="A45" s="49" t="str">
        <f>IFERROR(__xludf.DUMMYFUNCTION("""COMPUTED_VALUE"""),"Zhenmay")</f>
        <v>Zhenmay</v>
      </c>
    </row>
    <row r="46">
      <c r="A46" s="49" t="str">
        <f>IFERROR(__xludf.DUMMYFUNCTION("""COMPUTED_VALUE"""),"The Magical and Majestic Mountains")</f>
        <v>The Magical and Majestic Mountains</v>
      </c>
    </row>
    <row r="47">
      <c r="A47" s="49" t="str">
        <f>IFERROR(__xludf.DUMMYFUNCTION("""COMPUTED_VALUE"""),"Magical Mountains of Manifestations")</f>
        <v>Magical Mountains of Manifestations</v>
      </c>
    </row>
    <row r="48">
      <c r="A48" s="49" t="str">
        <f>IFERROR(__xludf.DUMMYFUNCTION("""COMPUTED_VALUE"""),"Mountains of War and Dishonor ")</f>
        <v>Mountains of War and Dishonor </v>
      </c>
    </row>
    <row r="49">
      <c r="A49" s="49" t="str">
        <f>IFERROR(__xludf.DUMMYFUNCTION("""COMPUTED_VALUE"""),"Centraria")</f>
        <v>Centraria</v>
      </c>
    </row>
    <row r="50">
      <c r="A50" s="49" t="str">
        <f>IFERROR(__xludf.DUMMYFUNCTION("""COMPUTED_VALUE"""),"The Lost City of Knappadalr")</f>
        <v>The Lost City of Knappadalr</v>
      </c>
    </row>
    <row r="51">
      <c r="A51" s="49" t="str">
        <f>IFERROR(__xludf.DUMMYFUNCTION("""COMPUTED_VALUE"""),"Paradise Island")</f>
        <v>Paradise Island</v>
      </c>
    </row>
    <row r="52">
      <c r="A52" s="49" t="str">
        <f>IFERROR(__xludf.DUMMYFUNCTION("""COMPUTED_VALUE"""),"Pirate's Cove")</f>
        <v>Pirate's Cove</v>
      </c>
    </row>
    <row r="53">
      <c r="A53" s="49" t="str">
        <f>IFERROR(__xludf.DUMMYFUNCTION("""COMPUTED_VALUE"""),"Wilderness (Spira)")</f>
        <v>Wilderness (Spira)</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9" t="str">
        <f>IFERROR(__xludf.DUMMYFUNCTION("IMPORTRANGE(""https://docs.google.com/spreadsheets/d/""&amp;Config!B1,""MoneyRates!A:B"")"),"Gilder")</f>
        <v>Gilder</v>
      </c>
      <c r="B1" s="49">
        <f>IFERROR(__xludf.DUMMYFUNCTION("""COMPUTED_VALUE"""),1.0)</f>
        <v>1</v>
      </c>
    </row>
    <row r="2">
      <c r="A2" s="49" t="str">
        <f>IFERROR(__xludf.DUMMYFUNCTION("""COMPUTED_VALUE"""),"SeaCoin")</f>
        <v>SeaCoin</v>
      </c>
      <c r="B2" s="49">
        <f>IFERROR(__xludf.DUMMYFUNCTION("""COMPUTED_VALUE"""),1.0)</f>
        <v>1</v>
      </c>
    </row>
    <row r="3">
      <c r="A3" s="49" t="str">
        <f>IFERROR(__xludf.DUMMYFUNCTION("""COMPUTED_VALUE"""),"Crystal")</f>
        <v>Crystal</v>
      </c>
      <c r="B3" s="49">
        <f>IFERROR(__xludf.DUMMYFUNCTION("""COMPUTED_VALUE"""),1.0)</f>
        <v>1</v>
      </c>
    </row>
    <row r="4">
      <c r="A4" s="49" t="str">
        <f>IFERROR(__xludf.DUMMYFUNCTION("""COMPUTED_VALUE"""),"Frost")</f>
        <v>Frost</v>
      </c>
      <c r="B4" s="49">
        <f>IFERROR(__xludf.DUMMYFUNCTION("""COMPUTED_VALUE"""),1.0)</f>
        <v>1</v>
      </c>
    </row>
    <row r="5">
      <c r="A5" s="49" t="str">
        <f>IFERROR(__xludf.DUMMYFUNCTION("""COMPUTED_VALUE"""),"UndeadCoin")</f>
        <v>UndeadCoin</v>
      </c>
      <c r="B5" s="49">
        <f>IFERROR(__xludf.DUMMYFUNCTION("""COMPUTED_VALUE"""),1.0)</f>
        <v>1</v>
      </c>
    </row>
    <row r="6">
      <c r="A6" s="49" t="str">
        <f>IFERROR(__xludf.DUMMYFUNCTION("""COMPUTED_VALUE"""),"Halloween")</f>
        <v>Halloween</v>
      </c>
      <c r="B6" s="49">
        <f>IFERROR(__xludf.DUMMYFUNCTION("""COMPUTED_VALUE"""),1.0)</f>
        <v>1</v>
      </c>
    </row>
    <row r="7">
      <c r="A7" s="49" t="str">
        <f>IFERROR(__xludf.DUMMYFUNCTION("""COMPUTED_VALUE"""),"Soul")</f>
        <v>Soul</v>
      </c>
      <c r="B7" s="49">
        <f>IFERROR(__xludf.DUMMYFUNCTION("""COMPUTED_VALUE"""),1.0)</f>
        <v>1</v>
      </c>
    </row>
    <row r="8">
      <c r="A8" s="49"/>
      <c r="B8" s="49"/>
    </row>
    <row r="9">
      <c r="A9" s="49"/>
      <c r="B9" s="49"/>
    </row>
    <row r="10">
      <c r="A10" s="49"/>
      <c r="B10" s="49"/>
    </row>
    <row r="11">
      <c r="A11" s="49"/>
      <c r="B11" s="49"/>
    </row>
    <row r="12">
      <c r="A12" s="49"/>
      <c r="B12" s="49"/>
    </row>
    <row r="13">
      <c r="A13" s="49"/>
      <c r="B13" s="49"/>
    </row>
    <row r="14">
      <c r="A14" s="49"/>
      <c r="B14" s="49"/>
    </row>
    <row r="15">
      <c r="A15" s="49"/>
      <c r="B15" s="49"/>
    </row>
    <row r="16">
      <c r="A16" s="49"/>
      <c r="B16" s="49"/>
    </row>
    <row r="17">
      <c r="A17" s="49"/>
      <c r="B17" s="49"/>
    </row>
    <row r="18">
      <c r="A18" s="49"/>
      <c r="B18" s="49"/>
    </row>
    <row r="19">
      <c r="A19" s="49"/>
      <c r="B19" s="49"/>
    </row>
    <row r="20">
      <c r="A20" s="49"/>
      <c r="B20" s="49"/>
    </row>
    <row r="21">
      <c r="A21" s="49"/>
      <c r="B21" s="49"/>
    </row>
    <row r="22">
      <c r="A22" s="49"/>
      <c r="B22" s="49"/>
    </row>
    <row r="23">
      <c r="A23" s="49"/>
      <c r="B23" s="49"/>
    </row>
    <row r="24">
      <c r="A24" s="49"/>
      <c r="B24" s="49"/>
    </row>
    <row r="25">
      <c r="A25" s="49"/>
      <c r="B25" s="49"/>
    </row>
    <row r="26">
      <c r="A26" s="49"/>
      <c r="B26" s="49"/>
    </row>
    <row r="27">
      <c r="A27" s="49"/>
      <c r="B27" s="49"/>
    </row>
    <row r="28">
      <c r="A28" s="49"/>
      <c r="B28" s="49"/>
    </row>
    <row r="29">
      <c r="A29" s="49"/>
      <c r="B29" s="49"/>
    </row>
    <row r="30">
      <c r="A30" s="49"/>
      <c r="B30" s="49"/>
    </row>
    <row r="31">
      <c r="A31" s="49"/>
      <c r="B31" s="49"/>
    </row>
    <row r="32">
      <c r="A32" s="49"/>
      <c r="B32" s="49"/>
    </row>
    <row r="33">
      <c r="A33" s="49"/>
      <c r="B33" s="49"/>
    </row>
    <row r="34">
      <c r="A34" s="49"/>
      <c r="B34" s="49"/>
    </row>
    <row r="35">
      <c r="A35" s="49"/>
      <c r="B35" s="49"/>
    </row>
    <row r="36">
      <c r="A36" s="49"/>
      <c r="B36" s="49"/>
    </row>
    <row r="37">
      <c r="A37" s="49"/>
      <c r="B37" s="49"/>
    </row>
    <row r="38">
      <c r="A38" s="49"/>
      <c r="B38" s="49"/>
    </row>
    <row r="39">
      <c r="A39" s="49"/>
      <c r="B39" s="49"/>
    </row>
    <row r="40">
      <c r="A40" s="49"/>
      <c r="B40" s="49"/>
    </row>
    <row r="41">
      <c r="A41" s="49"/>
      <c r="B41" s="49"/>
    </row>
    <row r="42">
      <c r="A42" s="49"/>
      <c r="B42" s="49"/>
    </row>
    <row r="43">
      <c r="A43" s="49"/>
      <c r="B43" s="49"/>
    </row>
    <row r="44">
      <c r="A44" s="49"/>
      <c r="B44" s="49"/>
    </row>
    <row r="45">
      <c r="A45" s="49"/>
      <c r="B45" s="49"/>
    </row>
    <row r="46">
      <c r="A46" s="49"/>
      <c r="B46" s="49"/>
    </row>
    <row r="47">
      <c r="A47" s="49"/>
      <c r="B47" s="49"/>
    </row>
    <row r="48">
      <c r="A48" s="49"/>
      <c r="B48" s="49"/>
    </row>
    <row r="49">
      <c r="A49" s="49"/>
      <c r="B49" s="49"/>
    </row>
    <row r="50">
      <c r="A50" s="49"/>
      <c r="B50" s="49"/>
    </row>
    <row r="51">
      <c r="A51" s="49"/>
      <c r="B51" s="49"/>
    </row>
    <row r="52">
      <c r="A52" s="49"/>
      <c r="B52" s="49"/>
    </row>
    <row r="53">
      <c r="A53" s="49"/>
      <c r="B53" s="49"/>
    </row>
    <row r="54">
      <c r="A54" s="49"/>
      <c r="B54" s="49"/>
    </row>
    <row r="55">
      <c r="A55" s="49"/>
      <c r="B55" s="49"/>
    </row>
    <row r="56">
      <c r="A56" s="49"/>
      <c r="B56" s="49"/>
    </row>
    <row r="57">
      <c r="A57" s="49"/>
      <c r="B57" s="49"/>
    </row>
    <row r="58">
      <c r="A58" s="49"/>
      <c r="B58" s="49"/>
    </row>
    <row r="59">
      <c r="A59" s="49"/>
      <c r="B59" s="49"/>
    </row>
    <row r="60">
      <c r="A60" s="49"/>
      <c r="B60" s="49"/>
    </row>
    <row r="61">
      <c r="A61" s="49"/>
      <c r="B61" s="49"/>
    </row>
    <row r="62">
      <c r="A62" s="49"/>
      <c r="B62" s="49"/>
    </row>
    <row r="63">
      <c r="A63" s="49"/>
      <c r="B63" s="49"/>
    </row>
    <row r="64">
      <c r="A64" s="49"/>
      <c r="B64" s="49"/>
    </row>
    <row r="65">
      <c r="A65" s="49"/>
      <c r="B65" s="49"/>
    </row>
    <row r="66">
      <c r="A66" s="49"/>
      <c r="B66" s="49"/>
    </row>
    <row r="67">
      <c r="A67" s="49"/>
      <c r="B67" s="49"/>
    </row>
    <row r="68">
      <c r="A68" s="49"/>
      <c r="B68" s="49"/>
    </row>
    <row r="69">
      <c r="A69" s="49"/>
      <c r="B69" s="49"/>
    </row>
    <row r="70">
      <c r="A70" s="49"/>
      <c r="B70" s="49"/>
    </row>
    <row r="71">
      <c r="A71" s="49"/>
      <c r="B71" s="49"/>
    </row>
    <row r="72">
      <c r="A72" s="49"/>
      <c r="B72" s="49"/>
    </row>
    <row r="73">
      <c r="A73" s="49"/>
      <c r="B73" s="49"/>
    </row>
    <row r="74">
      <c r="A74" s="49"/>
      <c r="B74" s="49"/>
    </row>
    <row r="75">
      <c r="A75" s="49"/>
      <c r="B75" s="49"/>
    </row>
    <row r="76">
      <c r="A76" s="49"/>
      <c r="B76" s="49"/>
    </row>
    <row r="77">
      <c r="A77" s="49"/>
      <c r="B77" s="49"/>
    </row>
    <row r="78">
      <c r="A78" s="49"/>
      <c r="B78" s="49"/>
    </row>
    <row r="79">
      <c r="A79" s="49"/>
      <c r="B79" s="49"/>
    </row>
    <row r="80">
      <c r="A80" s="49"/>
      <c r="B80" s="49"/>
    </row>
    <row r="81">
      <c r="A81" s="49"/>
      <c r="B81" s="49"/>
    </row>
    <row r="82">
      <c r="A82" s="49"/>
      <c r="B82" s="49"/>
    </row>
    <row r="83">
      <c r="A83" s="49"/>
      <c r="B83" s="49"/>
    </row>
    <row r="84">
      <c r="A84" s="49"/>
      <c r="B84" s="49"/>
    </row>
    <row r="85">
      <c r="A85" s="49"/>
      <c r="B85" s="49"/>
    </row>
    <row r="86">
      <c r="A86" s="49"/>
      <c r="B86" s="49"/>
    </row>
    <row r="87">
      <c r="A87" s="49"/>
      <c r="B87" s="49"/>
    </row>
    <row r="88">
      <c r="A88" s="49"/>
      <c r="B88" s="49"/>
    </row>
    <row r="89">
      <c r="A89" s="49"/>
      <c r="B89" s="49"/>
    </row>
    <row r="90">
      <c r="A90" s="49"/>
      <c r="B90" s="49"/>
    </row>
    <row r="91">
      <c r="A91" s="49"/>
      <c r="B91" s="49"/>
    </row>
    <row r="92">
      <c r="A92" s="49"/>
      <c r="B92" s="49"/>
    </row>
    <row r="93">
      <c r="A93" s="49"/>
      <c r="B93" s="49"/>
    </row>
    <row r="94">
      <c r="A94" s="49"/>
      <c r="B94" s="49"/>
    </row>
    <row r="95">
      <c r="A95" s="49"/>
      <c r="B95" s="49"/>
    </row>
    <row r="96">
      <c r="A96" s="49"/>
      <c r="B96" s="49"/>
    </row>
    <row r="97">
      <c r="A97" s="49"/>
      <c r="B97" s="49"/>
    </row>
    <row r="98">
      <c r="A98" s="49"/>
      <c r="B98" s="49"/>
    </row>
    <row r="99">
      <c r="A99" s="49"/>
      <c r="B99" s="49"/>
    </row>
    <row r="100">
      <c r="A100" s="49"/>
      <c r="B100" s="49"/>
    </row>
    <row r="101">
      <c r="A101" s="49"/>
      <c r="B101" s="49"/>
    </row>
    <row r="102">
      <c r="A102" s="49"/>
      <c r="B102" s="49"/>
    </row>
    <row r="103">
      <c r="A103" s="49"/>
      <c r="B103" s="49"/>
    </row>
    <row r="104">
      <c r="A104" s="49"/>
      <c r="B104" s="49"/>
    </row>
    <row r="105">
      <c r="A105" s="49"/>
      <c r="B105" s="49"/>
    </row>
    <row r="106">
      <c r="A106" s="49"/>
      <c r="B106" s="49"/>
    </row>
    <row r="107">
      <c r="A107" s="49"/>
      <c r="B107" s="49"/>
    </row>
    <row r="108">
      <c r="A108" s="49"/>
      <c r="B108" s="49"/>
    </row>
    <row r="109">
      <c r="A109" s="49"/>
      <c r="B109" s="49"/>
    </row>
    <row r="110">
      <c r="A110" s="49"/>
      <c r="B110" s="49"/>
    </row>
    <row r="111">
      <c r="A111" s="49"/>
      <c r="B111" s="49"/>
    </row>
    <row r="112">
      <c r="A112" s="49"/>
      <c r="B112" s="49"/>
    </row>
    <row r="113">
      <c r="A113" s="49"/>
      <c r="B113" s="49"/>
    </row>
    <row r="114">
      <c r="A114" s="49"/>
      <c r="B114" s="49"/>
    </row>
    <row r="115">
      <c r="A115" s="49"/>
      <c r="B115" s="49"/>
    </row>
    <row r="116">
      <c r="A116" s="49"/>
      <c r="B116" s="49"/>
    </row>
    <row r="117">
      <c r="A117" s="49"/>
      <c r="B117" s="49"/>
    </row>
    <row r="118">
      <c r="A118" s="49"/>
      <c r="B118" s="49"/>
    </row>
    <row r="119">
      <c r="A119" s="49"/>
      <c r="B119" s="49"/>
    </row>
    <row r="120">
      <c r="A120" s="49"/>
      <c r="B120" s="49"/>
    </row>
    <row r="121">
      <c r="A121" s="49"/>
      <c r="B121" s="49"/>
    </row>
    <row r="122">
      <c r="A122" s="49"/>
      <c r="B122" s="49"/>
    </row>
    <row r="123">
      <c r="A123" s="49"/>
      <c r="B123" s="49"/>
    </row>
    <row r="124">
      <c r="A124" s="49"/>
      <c r="B124" s="49"/>
    </row>
    <row r="125">
      <c r="A125" s="49"/>
      <c r="B125" s="49"/>
    </row>
    <row r="126">
      <c r="A126" s="49"/>
      <c r="B126" s="49"/>
    </row>
    <row r="127">
      <c r="A127" s="49"/>
      <c r="B127" s="49"/>
    </row>
    <row r="128">
      <c r="A128" s="49"/>
      <c r="B128" s="49"/>
    </row>
    <row r="129">
      <c r="A129" s="49"/>
      <c r="B129" s="49"/>
    </row>
    <row r="130">
      <c r="A130" s="49"/>
      <c r="B130" s="49"/>
    </row>
    <row r="131">
      <c r="A131" s="49"/>
      <c r="B131" s="49"/>
    </row>
    <row r="132">
      <c r="A132" s="49"/>
      <c r="B132" s="49"/>
    </row>
    <row r="133">
      <c r="A133" s="49"/>
      <c r="B133" s="49"/>
    </row>
    <row r="134">
      <c r="A134" s="49"/>
      <c r="B134" s="49"/>
    </row>
    <row r="135">
      <c r="A135" s="49"/>
      <c r="B135" s="49"/>
    </row>
    <row r="136">
      <c r="A136" s="49"/>
      <c r="B136" s="49"/>
    </row>
    <row r="137">
      <c r="A137" s="49"/>
      <c r="B137" s="49"/>
    </row>
    <row r="138">
      <c r="A138" s="49"/>
      <c r="B138" s="49"/>
    </row>
    <row r="139">
      <c r="A139" s="49"/>
      <c r="B139" s="49"/>
    </row>
    <row r="140">
      <c r="A140" s="49"/>
      <c r="B140" s="49"/>
    </row>
    <row r="141">
      <c r="A141" s="49"/>
      <c r="B141" s="49"/>
    </row>
    <row r="142">
      <c r="A142" s="49"/>
      <c r="B142" s="49"/>
    </row>
    <row r="143">
      <c r="A143" s="49"/>
      <c r="B143" s="49"/>
    </row>
    <row r="144">
      <c r="A144" s="49"/>
      <c r="B144" s="49"/>
    </row>
    <row r="145">
      <c r="A145" s="49"/>
      <c r="B145" s="49"/>
    </row>
    <row r="146">
      <c r="A146" s="49"/>
      <c r="B146" s="49"/>
    </row>
    <row r="147">
      <c r="A147" s="49"/>
      <c r="B147" s="49"/>
    </row>
    <row r="148">
      <c r="A148" s="49"/>
      <c r="B148" s="49"/>
    </row>
    <row r="149">
      <c r="A149" s="49"/>
      <c r="B149" s="49"/>
    </row>
    <row r="150">
      <c r="A150" s="49"/>
      <c r="B150" s="49"/>
    </row>
    <row r="151">
      <c r="A151" s="49"/>
      <c r="B151" s="49"/>
    </row>
    <row r="152">
      <c r="A152" s="49"/>
      <c r="B152" s="49"/>
    </row>
    <row r="153">
      <c r="A153" s="49"/>
      <c r="B153" s="49"/>
    </row>
    <row r="154">
      <c r="A154" s="49"/>
      <c r="B154" s="49"/>
    </row>
    <row r="155">
      <c r="A155" s="49"/>
      <c r="B155" s="49"/>
    </row>
    <row r="156">
      <c r="A156" s="49"/>
      <c r="B156" s="49"/>
    </row>
    <row r="157">
      <c r="A157" s="49"/>
      <c r="B157" s="49"/>
    </row>
    <row r="158">
      <c r="A158" s="49"/>
      <c r="B158" s="49"/>
    </row>
    <row r="159">
      <c r="A159" s="49"/>
      <c r="B159" s="49"/>
    </row>
    <row r="160">
      <c r="A160" s="49"/>
      <c r="B160" s="49"/>
    </row>
    <row r="161">
      <c r="A161" s="49"/>
      <c r="B161" s="49"/>
    </row>
    <row r="162">
      <c r="A162" s="49"/>
      <c r="B162" s="49"/>
    </row>
    <row r="163">
      <c r="A163" s="49"/>
      <c r="B163" s="49"/>
    </row>
    <row r="164">
      <c r="A164" s="49"/>
      <c r="B164" s="49"/>
    </row>
    <row r="165">
      <c r="A165" s="49"/>
      <c r="B165" s="49"/>
    </row>
    <row r="166">
      <c r="A166" s="49"/>
      <c r="B166" s="49"/>
    </row>
    <row r="167">
      <c r="A167" s="49"/>
      <c r="B167" s="49"/>
    </row>
    <row r="168">
      <c r="A168" s="49"/>
      <c r="B168" s="49"/>
    </row>
    <row r="169">
      <c r="A169" s="49"/>
      <c r="B169" s="49"/>
    </row>
    <row r="170">
      <c r="A170" s="49"/>
      <c r="B170" s="49"/>
    </row>
    <row r="171">
      <c r="A171" s="49"/>
      <c r="B171" s="49"/>
    </row>
    <row r="172">
      <c r="A172" s="49"/>
      <c r="B172" s="49"/>
    </row>
    <row r="173">
      <c r="A173" s="49"/>
      <c r="B173" s="49"/>
    </row>
    <row r="174">
      <c r="A174" s="49"/>
      <c r="B174" s="49"/>
    </row>
    <row r="175">
      <c r="A175" s="49"/>
      <c r="B175" s="49"/>
    </row>
    <row r="176">
      <c r="A176" s="49"/>
      <c r="B176" s="49"/>
    </row>
    <row r="177">
      <c r="A177" s="49"/>
      <c r="B177" s="49"/>
    </row>
    <row r="178">
      <c r="A178" s="49"/>
      <c r="B178" s="49"/>
    </row>
    <row r="179">
      <c r="A179" s="49"/>
      <c r="B179" s="49"/>
    </row>
    <row r="180">
      <c r="A180" s="49"/>
      <c r="B180" s="49"/>
    </row>
    <row r="181">
      <c r="A181" s="49"/>
      <c r="B181" s="49"/>
    </row>
    <row r="182">
      <c r="A182" s="49"/>
      <c r="B182" s="49"/>
    </row>
    <row r="183">
      <c r="A183" s="49"/>
      <c r="B183" s="49"/>
    </row>
    <row r="184">
      <c r="A184" s="49"/>
      <c r="B184" s="49"/>
    </row>
    <row r="185">
      <c r="A185" s="49"/>
      <c r="B185" s="49"/>
    </row>
    <row r="186">
      <c r="A186" s="49"/>
      <c r="B186" s="49"/>
    </row>
    <row r="187">
      <c r="A187" s="49"/>
      <c r="B187" s="49"/>
    </row>
    <row r="188">
      <c r="A188" s="49"/>
      <c r="B188" s="49"/>
    </row>
    <row r="189">
      <c r="A189" s="49"/>
      <c r="B189" s="49"/>
    </row>
    <row r="190">
      <c r="A190" s="49"/>
      <c r="B190" s="49"/>
    </row>
    <row r="191">
      <c r="A191" s="49"/>
      <c r="B191" s="49"/>
    </row>
    <row r="192">
      <c r="A192" s="49"/>
      <c r="B192" s="49"/>
    </row>
    <row r="193">
      <c r="A193" s="49"/>
      <c r="B193" s="49"/>
    </row>
    <row r="194">
      <c r="A194" s="49"/>
      <c r="B194" s="49"/>
    </row>
    <row r="195">
      <c r="A195" s="49"/>
      <c r="B195" s="49"/>
    </row>
    <row r="196">
      <c r="A196" s="49"/>
      <c r="B196" s="49"/>
    </row>
    <row r="197">
      <c r="A197" s="49"/>
      <c r="B197" s="49"/>
    </row>
    <row r="198">
      <c r="A198" s="49"/>
      <c r="B198" s="49"/>
    </row>
    <row r="199">
      <c r="A199" s="49"/>
      <c r="B199" s="49"/>
    </row>
    <row r="200">
      <c r="A200" s="49"/>
      <c r="B200" s="49"/>
    </row>
    <row r="201">
      <c r="A201" s="49"/>
      <c r="B201" s="49"/>
    </row>
    <row r="202">
      <c r="A202" s="49"/>
      <c r="B202" s="49"/>
    </row>
    <row r="203">
      <c r="A203" s="49"/>
      <c r="B203" s="49"/>
    </row>
    <row r="204">
      <c r="A204" s="49"/>
      <c r="B204" s="49"/>
    </row>
    <row r="205">
      <c r="A205" s="49"/>
      <c r="B205" s="49"/>
    </row>
    <row r="206">
      <c r="A206" s="49"/>
      <c r="B206" s="49"/>
    </row>
    <row r="207">
      <c r="A207" s="49"/>
      <c r="B207" s="49"/>
    </row>
    <row r="208">
      <c r="A208" s="49"/>
      <c r="B208" s="49"/>
    </row>
    <row r="209">
      <c r="A209" s="49"/>
      <c r="B209" s="49"/>
    </row>
    <row r="210">
      <c r="A210" s="49"/>
      <c r="B210" s="49"/>
    </row>
    <row r="211">
      <c r="A211" s="49"/>
      <c r="B211" s="49"/>
    </row>
    <row r="212">
      <c r="A212" s="49"/>
      <c r="B212" s="49"/>
    </row>
    <row r="213">
      <c r="A213" s="49"/>
      <c r="B213" s="49"/>
    </row>
    <row r="214">
      <c r="A214" s="49"/>
      <c r="B214" s="49"/>
    </row>
    <row r="215">
      <c r="A215" s="49"/>
      <c r="B215" s="49"/>
    </row>
    <row r="216">
      <c r="A216" s="49"/>
      <c r="B216" s="49"/>
    </row>
    <row r="217">
      <c r="A217" s="49"/>
      <c r="B217" s="49"/>
    </row>
    <row r="218">
      <c r="A218" s="49"/>
      <c r="B218" s="49"/>
    </row>
    <row r="219">
      <c r="A219" s="49"/>
      <c r="B219" s="49"/>
    </row>
    <row r="220">
      <c r="A220" s="49"/>
      <c r="B220" s="49"/>
    </row>
    <row r="221">
      <c r="A221" s="49"/>
      <c r="B221" s="49"/>
    </row>
    <row r="222">
      <c r="A222" s="49"/>
      <c r="B222" s="49"/>
    </row>
    <row r="223">
      <c r="A223" s="49"/>
      <c r="B223" s="49"/>
    </row>
    <row r="224">
      <c r="A224" s="49"/>
      <c r="B224" s="49"/>
    </row>
    <row r="225">
      <c r="A225" s="49"/>
      <c r="B225" s="49"/>
    </row>
    <row r="226">
      <c r="A226" s="49"/>
      <c r="B226" s="49"/>
    </row>
    <row r="227">
      <c r="A227" s="49"/>
      <c r="B227" s="49"/>
    </row>
    <row r="228">
      <c r="A228" s="49"/>
      <c r="B228" s="49"/>
    </row>
    <row r="229">
      <c r="A229" s="49"/>
      <c r="B229" s="49"/>
    </row>
    <row r="230">
      <c r="A230" s="49"/>
      <c r="B230" s="49"/>
    </row>
    <row r="231">
      <c r="A231" s="49"/>
      <c r="B231" s="49"/>
    </row>
    <row r="232">
      <c r="A232" s="49"/>
      <c r="B232" s="49"/>
    </row>
    <row r="233">
      <c r="A233" s="49"/>
      <c r="B233" s="49"/>
    </row>
    <row r="234">
      <c r="A234" s="49"/>
      <c r="B234" s="49"/>
    </row>
    <row r="235">
      <c r="A235" s="49"/>
      <c r="B235" s="49"/>
    </row>
    <row r="236">
      <c r="A236" s="49"/>
      <c r="B236" s="49"/>
    </row>
    <row r="237">
      <c r="A237" s="49"/>
      <c r="B237" s="49"/>
    </row>
    <row r="238">
      <c r="A238" s="49"/>
      <c r="B238" s="49"/>
    </row>
    <row r="239">
      <c r="A239" s="49"/>
      <c r="B239" s="49"/>
    </row>
    <row r="240">
      <c r="A240" s="49"/>
      <c r="B240" s="49"/>
    </row>
    <row r="241">
      <c r="A241" s="49"/>
      <c r="B241" s="49"/>
    </row>
    <row r="242">
      <c r="A242" s="49"/>
      <c r="B242" s="49"/>
    </row>
    <row r="243">
      <c r="A243" s="49"/>
      <c r="B243" s="49"/>
    </row>
    <row r="244">
      <c r="A244" s="49"/>
      <c r="B244" s="49"/>
    </row>
    <row r="245">
      <c r="A245" s="49"/>
      <c r="B245" s="49"/>
    </row>
    <row r="246">
      <c r="A246" s="49"/>
      <c r="B246" s="49"/>
    </row>
    <row r="247">
      <c r="A247" s="49"/>
      <c r="B247" s="49"/>
    </row>
    <row r="248">
      <c r="A248" s="49"/>
      <c r="B248" s="49"/>
    </row>
    <row r="249">
      <c r="A249" s="49"/>
      <c r="B249" s="49"/>
    </row>
    <row r="250">
      <c r="A250" s="49"/>
      <c r="B250" s="49"/>
    </row>
    <row r="251">
      <c r="A251" s="49"/>
      <c r="B251" s="49"/>
    </row>
    <row r="252">
      <c r="A252" s="49"/>
      <c r="B252" s="49"/>
    </row>
    <row r="253">
      <c r="A253" s="49"/>
      <c r="B253" s="49"/>
    </row>
    <row r="254">
      <c r="A254" s="49"/>
      <c r="B254" s="49"/>
    </row>
    <row r="255">
      <c r="A255" s="49"/>
      <c r="B255" s="49"/>
    </row>
    <row r="256">
      <c r="A256" s="49"/>
      <c r="B256" s="49"/>
    </row>
    <row r="257">
      <c r="A257" s="49"/>
      <c r="B257" s="49"/>
    </row>
    <row r="258">
      <c r="A258" s="49"/>
      <c r="B258" s="49"/>
    </row>
    <row r="259">
      <c r="A259" s="49"/>
      <c r="B259" s="49"/>
    </row>
    <row r="260">
      <c r="A260" s="49"/>
      <c r="B260" s="49"/>
    </row>
    <row r="261">
      <c r="A261" s="49"/>
      <c r="B261" s="49"/>
    </row>
    <row r="262">
      <c r="A262" s="49"/>
      <c r="B262" s="49"/>
    </row>
    <row r="263">
      <c r="A263" s="49"/>
      <c r="B263" s="49"/>
    </row>
    <row r="264">
      <c r="A264" s="49"/>
      <c r="B264" s="49"/>
    </row>
    <row r="265">
      <c r="A265" s="49"/>
      <c r="B265" s="49"/>
    </row>
    <row r="266">
      <c r="A266" s="49"/>
      <c r="B266" s="49"/>
    </row>
    <row r="267">
      <c r="A267" s="49"/>
      <c r="B267" s="49"/>
    </row>
    <row r="268">
      <c r="A268" s="49"/>
      <c r="B268" s="49"/>
    </row>
    <row r="269">
      <c r="A269" s="49"/>
      <c r="B269" s="49"/>
    </row>
    <row r="270">
      <c r="A270" s="49"/>
      <c r="B270" s="49"/>
    </row>
    <row r="271">
      <c r="A271" s="49"/>
      <c r="B271" s="49"/>
    </row>
    <row r="272">
      <c r="A272" s="49"/>
      <c r="B272" s="49"/>
    </row>
    <row r="273">
      <c r="A273" s="49"/>
      <c r="B273" s="49"/>
    </row>
    <row r="274">
      <c r="A274" s="49"/>
      <c r="B274" s="49"/>
    </row>
    <row r="275">
      <c r="A275" s="49"/>
      <c r="B275" s="49"/>
    </row>
    <row r="276">
      <c r="A276" s="49"/>
      <c r="B276" s="49"/>
    </row>
    <row r="277">
      <c r="A277" s="49"/>
      <c r="B277" s="49"/>
    </row>
    <row r="278">
      <c r="A278" s="49"/>
      <c r="B278" s="49"/>
    </row>
    <row r="279">
      <c r="A279" s="49"/>
      <c r="B279" s="49"/>
    </row>
    <row r="280">
      <c r="A280" s="49"/>
      <c r="B280" s="49"/>
    </row>
    <row r="281">
      <c r="A281" s="49"/>
      <c r="B281" s="49"/>
    </row>
    <row r="282">
      <c r="A282" s="49"/>
      <c r="B282" s="49"/>
    </row>
    <row r="283">
      <c r="A283" s="49"/>
      <c r="B283" s="49"/>
    </row>
    <row r="284">
      <c r="A284" s="49"/>
      <c r="B284" s="49"/>
    </row>
    <row r="285">
      <c r="A285" s="49"/>
      <c r="B285" s="49"/>
    </row>
    <row r="286">
      <c r="A286" s="49"/>
      <c r="B286" s="49"/>
    </row>
    <row r="287">
      <c r="A287" s="49"/>
      <c r="B287" s="49"/>
    </row>
    <row r="288">
      <c r="A288" s="49"/>
      <c r="B288" s="49"/>
    </row>
    <row r="289">
      <c r="A289" s="49"/>
      <c r="B289" s="49"/>
    </row>
    <row r="290">
      <c r="A290" s="49"/>
      <c r="B290" s="49"/>
    </row>
    <row r="291">
      <c r="A291" s="49"/>
      <c r="B291" s="49"/>
    </row>
    <row r="292">
      <c r="A292" s="49"/>
      <c r="B292" s="49"/>
    </row>
    <row r="293">
      <c r="A293" s="49"/>
      <c r="B293" s="49"/>
    </row>
    <row r="294">
      <c r="A294" s="49"/>
      <c r="B294" s="49"/>
    </row>
    <row r="295">
      <c r="A295" s="49"/>
      <c r="B295" s="49"/>
    </row>
    <row r="296">
      <c r="A296" s="49"/>
      <c r="B296" s="49"/>
    </row>
    <row r="297">
      <c r="A297" s="49"/>
      <c r="B297" s="49"/>
    </row>
    <row r="298">
      <c r="A298" s="49"/>
      <c r="B298" s="49"/>
    </row>
    <row r="299">
      <c r="A299" s="49"/>
      <c r="B299" s="49"/>
    </row>
    <row r="300">
      <c r="A300" s="49"/>
      <c r="B300" s="49"/>
    </row>
    <row r="301">
      <c r="A301" s="49"/>
      <c r="B301" s="49"/>
    </row>
    <row r="302">
      <c r="A302" s="49"/>
      <c r="B302" s="49"/>
    </row>
    <row r="303">
      <c r="A303" s="49"/>
      <c r="B303" s="49"/>
    </row>
    <row r="304">
      <c r="A304" s="49"/>
      <c r="B304" s="49"/>
    </row>
    <row r="305">
      <c r="A305" s="49"/>
      <c r="B305" s="49"/>
    </row>
    <row r="306">
      <c r="A306" s="49"/>
      <c r="B306" s="49"/>
    </row>
    <row r="307">
      <c r="A307" s="49"/>
      <c r="B307" s="49"/>
    </row>
    <row r="308">
      <c r="A308" s="49"/>
      <c r="B308" s="49"/>
    </row>
    <row r="309">
      <c r="A309" s="49"/>
      <c r="B309" s="49"/>
    </row>
    <row r="310">
      <c r="A310" s="49"/>
      <c r="B310" s="49"/>
    </row>
    <row r="311">
      <c r="A311" s="49"/>
      <c r="B311" s="49"/>
    </row>
    <row r="312">
      <c r="A312" s="49"/>
      <c r="B312" s="49"/>
    </row>
    <row r="313">
      <c r="A313" s="49"/>
      <c r="B313" s="49"/>
    </row>
    <row r="314">
      <c r="A314" s="49"/>
      <c r="B314" s="49"/>
    </row>
    <row r="315">
      <c r="A315" s="49"/>
      <c r="B315" s="49"/>
    </row>
    <row r="316">
      <c r="A316" s="49"/>
      <c r="B316" s="49"/>
    </row>
    <row r="317">
      <c r="A317" s="49"/>
      <c r="B317" s="49"/>
    </row>
    <row r="318">
      <c r="A318" s="49"/>
      <c r="B318" s="49"/>
    </row>
    <row r="319">
      <c r="A319" s="49"/>
      <c r="B319" s="49"/>
    </row>
    <row r="320">
      <c r="A320" s="49"/>
      <c r="B320" s="49"/>
    </row>
    <row r="321">
      <c r="A321" s="49"/>
      <c r="B321" s="49"/>
    </row>
    <row r="322">
      <c r="A322" s="49"/>
      <c r="B322" s="49"/>
    </row>
    <row r="323">
      <c r="A323" s="49"/>
      <c r="B323" s="49"/>
    </row>
    <row r="324">
      <c r="A324" s="49"/>
      <c r="B324" s="49"/>
    </row>
    <row r="325">
      <c r="A325" s="49"/>
      <c r="B325" s="49"/>
    </row>
    <row r="326">
      <c r="A326" s="49"/>
      <c r="B326" s="49"/>
    </row>
    <row r="327">
      <c r="A327" s="49"/>
      <c r="B327" s="49"/>
    </row>
    <row r="328">
      <c r="A328" s="49"/>
      <c r="B328" s="49"/>
    </row>
    <row r="329">
      <c r="A329" s="49"/>
      <c r="B329" s="49"/>
    </row>
    <row r="330">
      <c r="A330" s="49"/>
      <c r="B330" s="49"/>
    </row>
    <row r="331">
      <c r="A331" s="49"/>
      <c r="B331" s="49"/>
    </row>
    <row r="332">
      <c r="A332" s="49"/>
      <c r="B332" s="49"/>
    </row>
    <row r="333">
      <c r="A333" s="49"/>
      <c r="B333" s="49"/>
    </row>
    <row r="334">
      <c r="A334" s="49"/>
      <c r="B334" s="49"/>
    </row>
    <row r="335">
      <c r="A335" s="49"/>
      <c r="B335" s="49"/>
    </row>
    <row r="336">
      <c r="A336" s="49"/>
      <c r="B336" s="49"/>
    </row>
    <row r="337">
      <c r="A337" s="49"/>
      <c r="B337" s="49"/>
    </row>
    <row r="338">
      <c r="A338" s="49"/>
      <c r="B338" s="49"/>
    </row>
    <row r="339">
      <c r="A339" s="49"/>
      <c r="B339" s="49"/>
    </row>
    <row r="340">
      <c r="A340" s="49"/>
      <c r="B340" s="49"/>
    </row>
    <row r="341">
      <c r="A341" s="49"/>
      <c r="B341" s="49"/>
    </row>
    <row r="342">
      <c r="A342" s="49"/>
      <c r="B342" s="49"/>
    </row>
    <row r="343">
      <c r="A343" s="49"/>
      <c r="B343" s="49"/>
    </row>
    <row r="344">
      <c r="A344" s="49"/>
      <c r="B344" s="49"/>
    </row>
    <row r="345">
      <c r="A345" s="49"/>
      <c r="B345" s="49"/>
    </row>
    <row r="346">
      <c r="A346" s="49"/>
      <c r="B346" s="49"/>
    </row>
    <row r="347">
      <c r="A347" s="49"/>
      <c r="B347" s="49"/>
    </row>
    <row r="348">
      <c r="A348" s="49"/>
      <c r="B348" s="49"/>
    </row>
    <row r="349">
      <c r="A349" s="49"/>
      <c r="B349" s="49"/>
    </row>
    <row r="350">
      <c r="A350" s="49"/>
      <c r="B350" s="49"/>
    </row>
    <row r="351">
      <c r="A351" s="49"/>
      <c r="B351" s="49"/>
    </row>
    <row r="352">
      <c r="A352" s="49"/>
      <c r="B352" s="49"/>
    </row>
    <row r="353">
      <c r="A353" s="49"/>
      <c r="B353" s="49"/>
    </row>
    <row r="354">
      <c r="A354" s="49"/>
      <c r="B354" s="49"/>
    </row>
    <row r="355">
      <c r="A355" s="49"/>
      <c r="B355" s="49"/>
    </row>
    <row r="356">
      <c r="A356" s="49"/>
      <c r="B356" s="49"/>
    </row>
    <row r="357">
      <c r="A357" s="49"/>
      <c r="B357" s="49"/>
    </row>
    <row r="358">
      <c r="A358" s="49"/>
      <c r="B358" s="49"/>
    </row>
    <row r="359">
      <c r="A359" s="49"/>
      <c r="B359" s="49"/>
    </row>
    <row r="360">
      <c r="A360" s="49"/>
      <c r="B360" s="49"/>
    </row>
    <row r="361">
      <c r="A361" s="49"/>
      <c r="B361" s="49"/>
    </row>
    <row r="362">
      <c r="A362" s="49"/>
      <c r="B362" s="49"/>
    </row>
    <row r="363">
      <c r="A363" s="49"/>
      <c r="B363" s="49"/>
    </row>
    <row r="364">
      <c r="A364" s="49"/>
      <c r="B364" s="49"/>
    </row>
    <row r="365">
      <c r="A365" s="49"/>
      <c r="B365" s="49"/>
    </row>
    <row r="366">
      <c r="A366" s="49"/>
      <c r="B366" s="49"/>
    </row>
    <row r="367">
      <c r="A367" s="49"/>
      <c r="B367" s="49"/>
    </row>
    <row r="368">
      <c r="A368" s="49"/>
      <c r="B368" s="49"/>
    </row>
    <row r="369">
      <c r="A369" s="49"/>
      <c r="B369" s="49"/>
    </row>
    <row r="370">
      <c r="A370" s="49"/>
      <c r="B370" s="49"/>
    </row>
    <row r="371">
      <c r="A371" s="49"/>
      <c r="B371" s="49"/>
    </row>
    <row r="372">
      <c r="A372" s="49"/>
      <c r="B372" s="49"/>
    </row>
    <row r="373">
      <c r="A373" s="49"/>
      <c r="B373" s="49"/>
    </row>
    <row r="374">
      <c r="A374" s="49"/>
      <c r="B374" s="49"/>
    </row>
    <row r="375">
      <c r="A375" s="49"/>
      <c r="B375" s="49"/>
    </row>
    <row r="376">
      <c r="A376" s="49"/>
      <c r="B376" s="49"/>
    </row>
    <row r="377">
      <c r="A377" s="49"/>
      <c r="B377" s="49"/>
    </row>
    <row r="378">
      <c r="A378" s="49"/>
      <c r="B378" s="49"/>
    </row>
    <row r="379">
      <c r="A379" s="49"/>
      <c r="B379" s="49"/>
    </row>
    <row r="380">
      <c r="A380" s="49"/>
      <c r="B380" s="49"/>
    </row>
    <row r="381">
      <c r="A381" s="49"/>
      <c r="B381" s="49"/>
    </row>
    <row r="382">
      <c r="A382" s="49"/>
      <c r="B382" s="49"/>
    </row>
    <row r="383">
      <c r="A383" s="49"/>
      <c r="B383" s="49"/>
    </row>
    <row r="384">
      <c r="A384" s="49"/>
      <c r="B384" s="49"/>
    </row>
    <row r="385">
      <c r="A385" s="49"/>
      <c r="B385" s="49"/>
    </row>
    <row r="386">
      <c r="A386" s="49"/>
      <c r="B386" s="49"/>
    </row>
    <row r="387">
      <c r="A387" s="49"/>
      <c r="B387" s="49"/>
    </row>
    <row r="388">
      <c r="A388" s="49"/>
      <c r="B388" s="49"/>
    </row>
    <row r="389">
      <c r="A389" s="49"/>
      <c r="B389" s="49"/>
    </row>
    <row r="390">
      <c r="A390" s="49"/>
      <c r="B390" s="49"/>
    </row>
    <row r="391">
      <c r="A391" s="49"/>
      <c r="B391" s="49"/>
    </row>
    <row r="392">
      <c r="A392" s="49"/>
      <c r="B392" s="49"/>
    </row>
    <row r="393">
      <c r="A393" s="49"/>
      <c r="B393" s="49"/>
    </row>
    <row r="394">
      <c r="A394" s="49"/>
      <c r="B394" s="49"/>
    </row>
    <row r="395">
      <c r="A395" s="49"/>
      <c r="B395" s="49"/>
    </row>
    <row r="396">
      <c r="A396" s="49"/>
      <c r="B396" s="49"/>
    </row>
    <row r="397">
      <c r="A397" s="49"/>
      <c r="B397" s="49"/>
    </row>
    <row r="398">
      <c r="A398" s="49"/>
      <c r="B398" s="49"/>
    </row>
    <row r="399">
      <c r="A399" s="49"/>
      <c r="B399" s="49"/>
    </row>
    <row r="400">
      <c r="A400" s="49"/>
      <c r="B400" s="49"/>
    </row>
    <row r="401">
      <c r="A401" s="49"/>
      <c r="B401" s="49"/>
    </row>
    <row r="402">
      <c r="A402" s="49"/>
      <c r="B402" s="49"/>
    </row>
    <row r="403">
      <c r="A403" s="49"/>
      <c r="B403" s="49"/>
    </row>
    <row r="404">
      <c r="A404" s="49"/>
      <c r="B404" s="49"/>
    </row>
    <row r="405">
      <c r="A405" s="49"/>
      <c r="B405" s="49"/>
    </row>
    <row r="406">
      <c r="A406" s="49"/>
      <c r="B406" s="49"/>
    </row>
    <row r="407">
      <c r="A407" s="49"/>
      <c r="B407" s="49"/>
    </row>
    <row r="408">
      <c r="A408" s="49"/>
      <c r="B408" s="49"/>
    </row>
    <row r="409">
      <c r="A409" s="49"/>
      <c r="B409" s="49"/>
    </row>
    <row r="410">
      <c r="A410" s="49"/>
      <c r="B410" s="49"/>
    </row>
    <row r="411">
      <c r="A411" s="49"/>
      <c r="B411" s="49"/>
    </row>
    <row r="412">
      <c r="A412" s="49"/>
      <c r="B412" s="49"/>
    </row>
    <row r="413">
      <c r="A413" s="49"/>
      <c r="B413" s="49"/>
    </row>
    <row r="414">
      <c r="A414" s="49"/>
      <c r="B414" s="49"/>
    </row>
    <row r="415">
      <c r="A415" s="49"/>
      <c r="B415" s="49"/>
    </row>
    <row r="416">
      <c r="A416" s="49"/>
      <c r="B416" s="49"/>
    </row>
    <row r="417">
      <c r="A417" s="49"/>
      <c r="B417" s="49"/>
    </row>
    <row r="418">
      <c r="A418" s="49"/>
      <c r="B418" s="49"/>
    </row>
    <row r="419">
      <c r="A419" s="49"/>
      <c r="B419" s="49"/>
    </row>
    <row r="420">
      <c r="A420" s="49"/>
      <c r="B420" s="49"/>
    </row>
    <row r="421">
      <c r="A421" s="49"/>
      <c r="B421" s="49"/>
    </row>
    <row r="422">
      <c r="A422" s="49"/>
      <c r="B422" s="49"/>
    </row>
    <row r="423">
      <c r="A423" s="49"/>
      <c r="B423" s="49"/>
    </row>
    <row r="424">
      <c r="A424" s="49"/>
      <c r="B424" s="49"/>
    </row>
    <row r="425">
      <c r="A425" s="49"/>
      <c r="B425" s="49"/>
    </row>
    <row r="426">
      <c r="A426" s="49"/>
      <c r="B426" s="49"/>
    </row>
    <row r="427">
      <c r="A427" s="49"/>
      <c r="B427" s="49"/>
    </row>
    <row r="428">
      <c r="A428" s="49"/>
      <c r="B428" s="49"/>
    </row>
    <row r="429">
      <c r="A429" s="49"/>
      <c r="B429" s="49"/>
    </row>
    <row r="430">
      <c r="A430" s="49"/>
      <c r="B430" s="49"/>
    </row>
    <row r="431">
      <c r="A431" s="49"/>
      <c r="B431" s="49"/>
    </row>
    <row r="432">
      <c r="A432" s="49"/>
      <c r="B432" s="49"/>
    </row>
    <row r="433">
      <c r="A433" s="49"/>
      <c r="B433" s="49"/>
    </row>
    <row r="434">
      <c r="A434" s="49"/>
      <c r="B434" s="49"/>
    </row>
    <row r="435">
      <c r="A435" s="49"/>
      <c r="B435" s="49"/>
    </row>
    <row r="436">
      <c r="A436" s="49"/>
      <c r="B436" s="49"/>
    </row>
    <row r="437">
      <c r="A437" s="49"/>
      <c r="B437" s="49"/>
    </row>
    <row r="438">
      <c r="A438" s="49"/>
      <c r="B438" s="49"/>
    </row>
    <row r="439">
      <c r="A439" s="49"/>
      <c r="B439" s="49"/>
    </row>
    <row r="440">
      <c r="A440" s="49"/>
      <c r="B440" s="49"/>
    </row>
    <row r="441">
      <c r="A441" s="49"/>
      <c r="B441" s="49"/>
    </row>
    <row r="442">
      <c r="A442" s="49"/>
      <c r="B442" s="49"/>
    </row>
    <row r="443">
      <c r="A443" s="49"/>
      <c r="B443" s="49"/>
    </row>
    <row r="444">
      <c r="A444" s="49"/>
      <c r="B444" s="49"/>
    </row>
    <row r="445">
      <c r="A445" s="49"/>
      <c r="B445" s="49"/>
    </row>
    <row r="446">
      <c r="A446" s="49"/>
      <c r="B446" s="49"/>
    </row>
    <row r="447">
      <c r="A447" s="49"/>
      <c r="B447" s="49"/>
    </row>
    <row r="448">
      <c r="A448" s="49"/>
      <c r="B448" s="49"/>
    </row>
    <row r="449">
      <c r="A449" s="49"/>
      <c r="B449" s="49"/>
    </row>
    <row r="450">
      <c r="A450" s="49"/>
      <c r="B450" s="49"/>
    </row>
    <row r="451">
      <c r="A451" s="49"/>
      <c r="B451" s="49"/>
    </row>
    <row r="452">
      <c r="A452" s="49"/>
      <c r="B452" s="49"/>
    </row>
    <row r="453">
      <c r="A453" s="49"/>
      <c r="B453" s="49"/>
    </row>
    <row r="454">
      <c r="A454" s="49"/>
      <c r="B454" s="49"/>
    </row>
    <row r="455">
      <c r="A455" s="49"/>
      <c r="B455" s="49"/>
    </row>
    <row r="456">
      <c r="A456" s="49"/>
      <c r="B456" s="49"/>
    </row>
    <row r="457">
      <c r="A457" s="49"/>
      <c r="B457" s="49"/>
    </row>
    <row r="458">
      <c r="A458" s="49"/>
      <c r="B458" s="49"/>
    </row>
    <row r="459">
      <c r="A459" s="49"/>
      <c r="B459" s="49"/>
    </row>
    <row r="460">
      <c r="A460" s="49"/>
      <c r="B460" s="49"/>
    </row>
    <row r="461">
      <c r="A461" s="49"/>
      <c r="B461" s="49"/>
    </row>
    <row r="462">
      <c r="A462" s="49"/>
      <c r="B462" s="49"/>
    </row>
    <row r="463">
      <c r="A463" s="49"/>
      <c r="B463" s="49"/>
    </row>
    <row r="464">
      <c r="A464" s="49"/>
      <c r="B464" s="49"/>
    </row>
    <row r="465">
      <c r="A465" s="49"/>
      <c r="B465" s="49"/>
    </row>
    <row r="466">
      <c r="A466" s="49"/>
      <c r="B466" s="49"/>
    </row>
    <row r="467">
      <c r="A467" s="49"/>
      <c r="B467" s="49"/>
    </row>
    <row r="468">
      <c r="A468" s="49"/>
      <c r="B468" s="49"/>
    </row>
    <row r="469">
      <c r="A469" s="49"/>
      <c r="B469" s="49"/>
    </row>
    <row r="470">
      <c r="A470" s="49"/>
      <c r="B470" s="49"/>
    </row>
    <row r="471">
      <c r="A471" s="49"/>
      <c r="B471" s="49"/>
    </row>
    <row r="472">
      <c r="A472" s="49"/>
      <c r="B472" s="49"/>
    </row>
    <row r="473">
      <c r="A473" s="49"/>
      <c r="B473" s="49"/>
    </row>
    <row r="474">
      <c r="A474" s="49"/>
      <c r="B474" s="49"/>
    </row>
    <row r="475">
      <c r="A475" s="49"/>
      <c r="B475" s="49"/>
    </row>
    <row r="476">
      <c r="A476" s="49"/>
      <c r="B476" s="49"/>
    </row>
    <row r="477">
      <c r="A477" s="49"/>
      <c r="B477" s="49"/>
    </row>
    <row r="478">
      <c r="A478" s="49"/>
      <c r="B478" s="49"/>
    </row>
    <row r="479">
      <c r="A479" s="49"/>
      <c r="B479" s="49"/>
    </row>
    <row r="480">
      <c r="A480" s="49"/>
      <c r="B480" s="49"/>
    </row>
    <row r="481">
      <c r="A481" s="49"/>
      <c r="B481" s="49"/>
    </row>
    <row r="482">
      <c r="A482" s="49"/>
      <c r="B482" s="49"/>
    </row>
    <row r="483">
      <c r="A483" s="49"/>
      <c r="B483" s="49"/>
    </row>
    <row r="484">
      <c r="A484" s="49"/>
      <c r="B484" s="49"/>
    </row>
    <row r="485">
      <c r="A485" s="49"/>
      <c r="B485" s="49"/>
    </row>
    <row r="486">
      <c r="A486" s="49"/>
      <c r="B486" s="49"/>
    </row>
    <row r="487">
      <c r="A487" s="49"/>
      <c r="B487" s="49"/>
    </row>
    <row r="488">
      <c r="A488" s="49"/>
      <c r="B488" s="49"/>
    </row>
    <row r="489">
      <c r="A489" s="49"/>
      <c r="B489" s="49"/>
    </row>
    <row r="490">
      <c r="A490" s="49"/>
      <c r="B490" s="49"/>
    </row>
    <row r="491">
      <c r="A491" s="49"/>
      <c r="B491" s="49"/>
    </row>
    <row r="492">
      <c r="A492" s="49"/>
      <c r="B492" s="49"/>
    </row>
    <row r="493">
      <c r="A493" s="49"/>
      <c r="B493" s="49"/>
    </row>
    <row r="494">
      <c r="A494" s="49"/>
      <c r="B494" s="49"/>
    </row>
    <row r="495">
      <c r="A495" s="49"/>
      <c r="B495" s="49"/>
    </row>
    <row r="496">
      <c r="A496" s="49"/>
      <c r="B496" s="49"/>
    </row>
    <row r="497">
      <c r="A497" s="49"/>
      <c r="B497" s="49"/>
    </row>
    <row r="498">
      <c r="A498" s="49"/>
      <c r="B498" s="49"/>
    </row>
    <row r="499">
      <c r="A499" s="49"/>
      <c r="B499" s="49"/>
    </row>
    <row r="500">
      <c r="A500" s="49"/>
      <c r="B500" s="49"/>
    </row>
    <row r="501">
      <c r="A501" s="49"/>
      <c r="B501" s="49"/>
    </row>
    <row r="502">
      <c r="A502" s="49"/>
      <c r="B502" s="49"/>
    </row>
    <row r="503">
      <c r="A503" s="49"/>
      <c r="B503" s="49"/>
    </row>
    <row r="504">
      <c r="A504" s="49"/>
      <c r="B504" s="49"/>
    </row>
    <row r="505">
      <c r="A505" s="49"/>
      <c r="B505" s="49"/>
    </row>
    <row r="506">
      <c r="A506" s="49"/>
      <c r="B506" s="49"/>
    </row>
    <row r="507">
      <c r="A507" s="49"/>
      <c r="B507" s="49"/>
    </row>
    <row r="508">
      <c r="A508" s="49"/>
      <c r="B508" s="49"/>
    </row>
    <row r="509">
      <c r="A509" s="49"/>
      <c r="B509" s="49"/>
    </row>
    <row r="510">
      <c r="A510" s="49"/>
      <c r="B510" s="49"/>
    </row>
    <row r="511">
      <c r="A511" s="49"/>
      <c r="B511" s="49"/>
    </row>
    <row r="512">
      <c r="A512" s="49"/>
      <c r="B512" s="49"/>
    </row>
    <row r="513">
      <c r="A513" s="49"/>
      <c r="B513" s="49"/>
    </row>
    <row r="514">
      <c r="A514" s="49"/>
      <c r="B514" s="49"/>
    </row>
    <row r="515">
      <c r="A515" s="49"/>
      <c r="B515" s="49"/>
    </row>
    <row r="516">
      <c r="A516" s="49"/>
      <c r="B516" s="49"/>
    </row>
    <row r="517">
      <c r="A517" s="49"/>
      <c r="B517" s="49"/>
    </row>
    <row r="518">
      <c r="A518" s="49"/>
      <c r="B518" s="49"/>
    </row>
    <row r="519">
      <c r="A519" s="49"/>
      <c r="B519" s="49"/>
    </row>
    <row r="520">
      <c r="A520" s="49"/>
      <c r="B520" s="49"/>
    </row>
    <row r="521">
      <c r="A521" s="49"/>
      <c r="B521" s="49"/>
    </row>
    <row r="522">
      <c r="A522" s="49"/>
      <c r="B522" s="49"/>
    </row>
    <row r="523">
      <c r="A523" s="49"/>
      <c r="B523" s="49"/>
    </row>
    <row r="524">
      <c r="A524" s="49"/>
      <c r="B524" s="49"/>
    </row>
    <row r="525">
      <c r="A525" s="49"/>
      <c r="B525" s="49"/>
    </row>
    <row r="526">
      <c r="A526" s="49"/>
      <c r="B526" s="49"/>
    </row>
    <row r="527">
      <c r="A527" s="49"/>
      <c r="B527" s="49"/>
    </row>
    <row r="528">
      <c r="A528" s="49"/>
      <c r="B528" s="49"/>
    </row>
    <row r="529">
      <c r="A529" s="49"/>
      <c r="B529" s="49"/>
    </row>
    <row r="530">
      <c r="A530" s="49"/>
      <c r="B530" s="49"/>
    </row>
    <row r="531">
      <c r="A531" s="49"/>
      <c r="B531" s="49"/>
    </row>
    <row r="532">
      <c r="A532" s="49"/>
      <c r="B532" s="49"/>
    </row>
    <row r="533">
      <c r="A533" s="49"/>
      <c r="B533" s="49"/>
    </row>
    <row r="534">
      <c r="A534" s="49"/>
      <c r="B534" s="49"/>
    </row>
    <row r="535">
      <c r="A535" s="49"/>
      <c r="B535" s="49"/>
    </row>
    <row r="536">
      <c r="A536" s="49"/>
      <c r="B536" s="49"/>
    </row>
    <row r="537">
      <c r="A537" s="49"/>
      <c r="B537" s="49"/>
    </row>
    <row r="538">
      <c r="A538" s="49"/>
      <c r="B538" s="49"/>
    </row>
    <row r="539">
      <c r="A539" s="49"/>
      <c r="B539" s="49"/>
    </row>
    <row r="540">
      <c r="A540" s="49"/>
      <c r="B540" s="49"/>
    </row>
    <row r="541">
      <c r="A541" s="49"/>
      <c r="B541" s="49"/>
    </row>
    <row r="542">
      <c r="A542" s="49"/>
      <c r="B542" s="49"/>
    </row>
    <row r="543">
      <c r="A543" s="49"/>
      <c r="B543" s="49"/>
    </row>
    <row r="544">
      <c r="A544" s="49"/>
      <c r="B544" s="49"/>
    </row>
    <row r="545">
      <c r="A545" s="49"/>
      <c r="B545" s="49"/>
    </row>
    <row r="546">
      <c r="A546" s="49"/>
      <c r="B546" s="49"/>
    </row>
    <row r="547">
      <c r="A547" s="49"/>
      <c r="B547" s="49"/>
    </row>
    <row r="548">
      <c r="A548" s="49"/>
      <c r="B548" s="49"/>
    </row>
    <row r="549">
      <c r="A549" s="49"/>
      <c r="B549" s="49"/>
    </row>
    <row r="550">
      <c r="A550" s="49"/>
      <c r="B550" s="49"/>
    </row>
    <row r="551">
      <c r="A551" s="49"/>
      <c r="B551" s="49"/>
    </row>
    <row r="552">
      <c r="A552" s="49"/>
      <c r="B552" s="49"/>
    </row>
    <row r="553">
      <c r="A553" s="49"/>
      <c r="B553" s="49"/>
    </row>
    <row r="554">
      <c r="A554" s="49"/>
      <c r="B554" s="49"/>
    </row>
    <row r="555">
      <c r="A555" s="49"/>
      <c r="B555" s="49"/>
    </row>
    <row r="556">
      <c r="A556" s="49"/>
      <c r="B556" s="49"/>
    </row>
    <row r="557">
      <c r="A557" s="49"/>
      <c r="B557" s="49"/>
    </row>
    <row r="558">
      <c r="A558" s="49"/>
      <c r="B558" s="49"/>
    </row>
    <row r="559">
      <c r="A559" s="49"/>
      <c r="B559" s="49"/>
    </row>
    <row r="560">
      <c r="A560" s="49"/>
      <c r="B560" s="49"/>
    </row>
    <row r="561">
      <c r="A561" s="49"/>
      <c r="B561" s="49"/>
    </row>
    <row r="562">
      <c r="A562" s="49"/>
      <c r="B562" s="49"/>
    </row>
    <row r="563">
      <c r="A563" s="49"/>
      <c r="B563" s="49"/>
    </row>
    <row r="564">
      <c r="A564" s="49"/>
      <c r="B564" s="49"/>
    </row>
    <row r="565">
      <c r="A565" s="49"/>
      <c r="B565" s="49"/>
    </row>
    <row r="566">
      <c r="A566" s="49"/>
      <c r="B566" s="49"/>
    </row>
    <row r="567">
      <c r="A567" s="49"/>
      <c r="B567" s="49"/>
    </row>
    <row r="568">
      <c r="A568" s="49"/>
      <c r="B568" s="49"/>
    </row>
    <row r="569">
      <c r="A569" s="49"/>
      <c r="B569" s="49"/>
    </row>
    <row r="570">
      <c r="A570" s="49"/>
      <c r="B570" s="49"/>
    </row>
    <row r="571">
      <c r="A571" s="49"/>
      <c r="B571" s="49"/>
    </row>
    <row r="572">
      <c r="A572" s="49"/>
      <c r="B572" s="49"/>
    </row>
    <row r="573">
      <c r="A573" s="49"/>
      <c r="B573" s="49"/>
    </row>
    <row r="574">
      <c r="A574" s="49"/>
      <c r="B574" s="49"/>
    </row>
    <row r="575">
      <c r="A575" s="49"/>
      <c r="B575" s="49"/>
    </row>
    <row r="576">
      <c r="A576" s="49"/>
      <c r="B576" s="49"/>
    </row>
    <row r="577">
      <c r="A577" s="49"/>
      <c r="B577" s="49"/>
    </row>
    <row r="578">
      <c r="A578" s="49"/>
      <c r="B578" s="49"/>
    </row>
    <row r="579">
      <c r="A579" s="49"/>
      <c r="B579" s="49"/>
    </row>
    <row r="580">
      <c r="A580" s="49"/>
      <c r="B580" s="49"/>
    </row>
    <row r="581">
      <c r="A581" s="49"/>
      <c r="B581" s="49"/>
    </row>
    <row r="582">
      <c r="A582" s="49"/>
      <c r="B582" s="49"/>
    </row>
    <row r="583">
      <c r="A583" s="49"/>
      <c r="B583" s="49"/>
    </row>
    <row r="584">
      <c r="A584" s="49"/>
      <c r="B584" s="49"/>
    </row>
    <row r="585">
      <c r="A585" s="49"/>
      <c r="B585" s="49"/>
    </row>
    <row r="586">
      <c r="A586" s="49"/>
      <c r="B586" s="49"/>
    </row>
    <row r="587">
      <c r="A587" s="49"/>
      <c r="B587" s="49"/>
    </row>
    <row r="588">
      <c r="A588" s="49"/>
      <c r="B588" s="49"/>
    </row>
    <row r="589">
      <c r="A589" s="49"/>
      <c r="B589" s="49"/>
    </row>
    <row r="590">
      <c r="A590" s="49"/>
      <c r="B590" s="49"/>
    </row>
    <row r="591">
      <c r="A591" s="49"/>
      <c r="B591" s="49"/>
    </row>
    <row r="592">
      <c r="A592" s="49"/>
      <c r="B592" s="49"/>
    </row>
    <row r="593">
      <c r="A593" s="49"/>
      <c r="B593" s="49"/>
    </row>
    <row r="594">
      <c r="A594" s="49"/>
      <c r="B594" s="49"/>
    </row>
    <row r="595">
      <c r="A595" s="49"/>
      <c r="B595" s="49"/>
    </row>
    <row r="596">
      <c r="A596" s="49"/>
      <c r="B596" s="49"/>
    </row>
    <row r="597">
      <c r="A597" s="49"/>
      <c r="B597" s="49"/>
    </row>
    <row r="598">
      <c r="A598" s="49"/>
      <c r="B598" s="49"/>
    </row>
    <row r="599">
      <c r="A599" s="49"/>
      <c r="B599" s="49"/>
    </row>
    <row r="600">
      <c r="A600" s="49"/>
      <c r="B600" s="49"/>
    </row>
    <row r="601">
      <c r="A601" s="49"/>
      <c r="B601" s="49"/>
    </row>
    <row r="602">
      <c r="A602" s="49"/>
      <c r="B602" s="49"/>
    </row>
    <row r="603">
      <c r="A603" s="49"/>
      <c r="B603" s="49"/>
    </row>
    <row r="604">
      <c r="A604" s="49"/>
      <c r="B604" s="49"/>
    </row>
    <row r="605">
      <c r="A605" s="49"/>
      <c r="B605" s="49"/>
    </row>
    <row r="606">
      <c r="A606" s="49"/>
      <c r="B606" s="49"/>
    </row>
    <row r="607">
      <c r="A607" s="49"/>
      <c r="B607" s="49"/>
    </row>
    <row r="608">
      <c r="A608" s="49"/>
      <c r="B608" s="49"/>
    </row>
    <row r="609">
      <c r="A609" s="49"/>
      <c r="B609" s="49"/>
    </row>
    <row r="610">
      <c r="A610" s="49"/>
      <c r="B610" s="49"/>
    </row>
    <row r="611">
      <c r="A611" s="49"/>
      <c r="B611" s="49"/>
    </row>
    <row r="612">
      <c r="A612" s="49"/>
      <c r="B612" s="49"/>
    </row>
    <row r="613">
      <c r="A613" s="49"/>
      <c r="B613" s="49"/>
    </row>
    <row r="614">
      <c r="A614" s="49"/>
      <c r="B614" s="49"/>
    </row>
    <row r="615">
      <c r="A615" s="49"/>
      <c r="B615" s="49"/>
    </row>
    <row r="616">
      <c r="A616" s="49"/>
      <c r="B616" s="49"/>
    </row>
    <row r="617">
      <c r="A617" s="49"/>
      <c r="B617" s="49"/>
    </row>
    <row r="618">
      <c r="A618" s="49"/>
      <c r="B618" s="49"/>
    </row>
    <row r="619">
      <c r="A619" s="49"/>
      <c r="B619" s="49"/>
    </row>
    <row r="620">
      <c r="A620" s="49"/>
      <c r="B620" s="49"/>
    </row>
    <row r="621">
      <c r="A621" s="49"/>
      <c r="B621" s="49"/>
    </row>
    <row r="622">
      <c r="A622" s="49"/>
      <c r="B622" s="49"/>
    </row>
    <row r="623">
      <c r="A623" s="49"/>
      <c r="B623" s="49"/>
    </row>
    <row r="624">
      <c r="A624" s="49"/>
      <c r="B624" s="49"/>
    </row>
    <row r="625">
      <c r="A625" s="49"/>
      <c r="B625" s="49"/>
    </row>
    <row r="626">
      <c r="A626" s="49"/>
      <c r="B626" s="49"/>
    </row>
    <row r="627">
      <c r="A627" s="49"/>
      <c r="B627" s="49"/>
    </row>
    <row r="628">
      <c r="A628" s="49"/>
      <c r="B628" s="49"/>
    </row>
    <row r="629">
      <c r="A629" s="49"/>
      <c r="B629" s="49"/>
    </row>
    <row r="630">
      <c r="A630" s="49"/>
      <c r="B630" s="49"/>
    </row>
    <row r="631">
      <c r="A631" s="49"/>
      <c r="B631" s="49"/>
    </row>
    <row r="632">
      <c r="A632" s="49"/>
      <c r="B632" s="49"/>
    </row>
    <row r="633">
      <c r="A633" s="49"/>
      <c r="B633" s="49"/>
    </row>
    <row r="634">
      <c r="A634" s="49"/>
      <c r="B634" s="49"/>
    </row>
    <row r="635">
      <c r="A635" s="49"/>
      <c r="B635" s="49"/>
    </row>
    <row r="636">
      <c r="A636" s="49"/>
      <c r="B636" s="49"/>
    </row>
    <row r="637">
      <c r="A637" s="49"/>
      <c r="B637" s="49"/>
    </row>
    <row r="638">
      <c r="A638" s="49"/>
      <c r="B638" s="49"/>
    </row>
    <row r="639">
      <c r="A639" s="49"/>
      <c r="B639" s="49"/>
    </row>
    <row r="640">
      <c r="A640" s="49"/>
      <c r="B640" s="49"/>
    </row>
    <row r="641">
      <c r="A641" s="49"/>
      <c r="B641" s="49"/>
    </row>
    <row r="642">
      <c r="A642" s="49"/>
      <c r="B642" s="49"/>
    </row>
    <row r="643">
      <c r="A643" s="49"/>
      <c r="B643" s="49"/>
    </row>
    <row r="644">
      <c r="A644" s="49"/>
      <c r="B644" s="49"/>
    </row>
    <row r="645">
      <c r="A645" s="49"/>
      <c r="B645" s="49"/>
    </row>
    <row r="646">
      <c r="A646" s="49"/>
      <c r="B646" s="49"/>
    </row>
    <row r="647">
      <c r="A647" s="49"/>
      <c r="B647" s="49"/>
    </row>
    <row r="648">
      <c r="A648" s="49"/>
      <c r="B648" s="49"/>
    </row>
    <row r="649">
      <c r="A649" s="49"/>
      <c r="B649" s="49"/>
    </row>
    <row r="650">
      <c r="A650" s="49"/>
      <c r="B650" s="49"/>
    </row>
    <row r="651">
      <c r="A651" s="49"/>
      <c r="B651" s="49"/>
    </row>
    <row r="652">
      <c r="A652" s="49"/>
      <c r="B652" s="49"/>
    </row>
    <row r="653">
      <c r="A653" s="49"/>
      <c r="B653" s="49"/>
    </row>
    <row r="654">
      <c r="A654" s="49"/>
      <c r="B654" s="49"/>
    </row>
    <row r="655">
      <c r="A655" s="49"/>
      <c r="B655" s="49"/>
    </row>
    <row r="656">
      <c r="A656" s="49"/>
      <c r="B656" s="49"/>
    </row>
    <row r="657">
      <c r="A657" s="49"/>
      <c r="B657" s="49"/>
    </row>
    <row r="658">
      <c r="A658" s="49"/>
      <c r="B658" s="49"/>
    </row>
    <row r="659">
      <c r="A659" s="49"/>
      <c r="B659" s="49"/>
    </row>
    <row r="660">
      <c r="A660" s="49"/>
      <c r="B660" s="49"/>
    </row>
    <row r="661">
      <c r="A661" s="49"/>
      <c r="B661" s="49"/>
    </row>
    <row r="662">
      <c r="A662" s="49"/>
      <c r="B662" s="49"/>
    </row>
    <row r="663">
      <c r="A663" s="49"/>
      <c r="B663" s="49"/>
    </row>
    <row r="664">
      <c r="A664" s="49"/>
      <c r="B664" s="49"/>
    </row>
    <row r="665">
      <c r="A665" s="49"/>
      <c r="B665" s="49"/>
    </row>
    <row r="666">
      <c r="A666" s="49"/>
      <c r="B666" s="49"/>
    </row>
    <row r="667">
      <c r="A667" s="49"/>
      <c r="B667" s="49"/>
    </row>
    <row r="668">
      <c r="A668" s="49"/>
      <c r="B668" s="49"/>
    </row>
    <row r="669">
      <c r="A669" s="49"/>
      <c r="B669" s="49"/>
    </row>
    <row r="670">
      <c r="A670" s="49"/>
      <c r="B670" s="49"/>
    </row>
    <row r="671">
      <c r="A671" s="49"/>
      <c r="B671" s="49"/>
    </row>
    <row r="672">
      <c r="A672" s="49"/>
      <c r="B672" s="49"/>
    </row>
    <row r="673">
      <c r="A673" s="49"/>
      <c r="B673" s="49"/>
    </row>
    <row r="674">
      <c r="A674" s="49"/>
      <c r="B674" s="49"/>
    </row>
    <row r="675">
      <c r="A675" s="49"/>
      <c r="B675" s="49"/>
    </row>
    <row r="676">
      <c r="A676" s="49"/>
      <c r="B676" s="49"/>
    </row>
    <row r="677">
      <c r="A677" s="49"/>
      <c r="B677" s="49"/>
    </row>
    <row r="678">
      <c r="A678" s="49"/>
      <c r="B678" s="49"/>
    </row>
    <row r="679">
      <c r="A679" s="49"/>
      <c r="B679" s="49"/>
    </row>
    <row r="680">
      <c r="A680" s="49"/>
      <c r="B680" s="49"/>
    </row>
    <row r="681">
      <c r="A681" s="49"/>
      <c r="B681" s="49"/>
    </row>
    <row r="682">
      <c r="A682" s="49"/>
      <c r="B682" s="49"/>
    </row>
    <row r="683">
      <c r="A683" s="49"/>
      <c r="B683" s="49"/>
    </row>
    <row r="684">
      <c r="A684" s="49"/>
      <c r="B684" s="49"/>
    </row>
    <row r="685">
      <c r="A685" s="49"/>
      <c r="B685" s="49"/>
    </row>
    <row r="686">
      <c r="A686" s="49"/>
      <c r="B686" s="49"/>
    </row>
    <row r="687">
      <c r="A687" s="49"/>
      <c r="B687" s="49"/>
    </row>
    <row r="688">
      <c r="A688" s="49"/>
      <c r="B688" s="49"/>
    </row>
    <row r="689">
      <c r="A689" s="49"/>
      <c r="B689" s="49"/>
    </row>
    <row r="690">
      <c r="A690" s="49"/>
      <c r="B690" s="49"/>
    </row>
    <row r="691">
      <c r="A691" s="49"/>
      <c r="B691" s="49"/>
    </row>
    <row r="692">
      <c r="A692" s="49"/>
      <c r="B692" s="49"/>
    </row>
    <row r="693">
      <c r="A693" s="49"/>
      <c r="B693" s="49"/>
    </row>
    <row r="694">
      <c r="A694" s="49"/>
      <c r="B694" s="49"/>
    </row>
    <row r="695">
      <c r="A695" s="49"/>
      <c r="B695" s="49"/>
    </row>
    <row r="696">
      <c r="A696" s="49"/>
      <c r="B696" s="49"/>
    </row>
    <row r="697">
      <c r="A697" s="49"/>
      <c r="B697" s="49"/>
    </row>
    <row r="698">
      <c r="A698" s="49"/>
      <c r="B698" s="49"/>
    </row>
    <row r="699">
      <c r="A699" s="49"/>
      <c r="B699" s="49"/>
    </row>
    <row r="700">
      <c r="A700" s="49"/>
      <c r="B700" s="49"/>
    </row>
    <row r="701">
      <c r="A701" s="49"/>
      <c r="B701" s="49"/>
    </row>
    <row r="702">
      <c r="A702" s="49"/>
      <c r="B702" s="49"/>
    </row>
    <row r="703">
      <c r="A703" s="49"/>
      <c r="B703" s="49"/>
    </row>
    <row r="704">
      <c r="A704" s="49"/>
      <c r="B704" s="49"/>
    </row>
    <row r="705">
      <c r="A705" s="49"/>
      <c r="B705" s="49"/>
    </row>
    <row r="706">
      <c r="A706" s="49"/>
      <c r="B706" s="49"/>
    </row>
    <row r="707">
      <c r="A707" s="49"/>
      <c r="B707" s="49"/>
    </row>
    <row r="708">
      <c r="A708" s="49"/>
      <c r="B708" s="49"/>
    </row>
    <row r="709">
      <c r="A709" s="49"/>
      <c r="B709" s="49"/>
    </row>
    <row r="710">
      <c r="A710" s="49"/>
      <c r="B710" s="49"/>
    </row>
    <row r="711">
      <c r="A711" s="49"/>
      <c r="B711" s="49"/>
    </row>
    <row r="712">
      <c r="A712" s="49"/>
      <c r="B712" s="49"/>
    </row>
    <row r="713">
      <c r="A713" s="49"/>
      <c r="B713" s="49"/>
    </row>
    <row r="714">
      <c r="A714" s="49"/>
      <c r="B714" s="49"/>
    </row>
    <row r="715">
      <c r="A715" s="49"/>
      <c r="B715" s="49"/>
    </row>
    <row r="716">
      <c r="A716" s="49"/>
      <c r="B716" s="49"/>
    </row>
    <row r="717">
      <c r="A717" s="49"/>
      <c r="B717" s="49"/>
    </row>
    <row r="718">
      <c r="A718" s="49"/>
      <c r="B718" s="49"/>
    </row>
    <row r="719">
      <c r="A719" s="49"/>
      <c r="B719" s="49"/>
    </row>
    <row r="720">
      <c r="A720" s="49"/>
      <c r="B720" s="49"/>
    </row>
    <row r="721">
      <c r="A721" s="49"/>
      <c r="B721" s="49"/>
    </row>
    <row r="722">
      <c r="A722" s="49"/>
      <c r="B722" s="49"/>
    </row>
    <row r="723">
      <c r="A723" s="49"/>
      <c r="B723" s="49"/>
    </row>
    <row r="724">
      <c r="A724" s="49"/>
      <c r="B724" s="49"/>
    </row>
    <row r="725">
      <c r="A725" s="49"/>
      <c r="B725" s="49"/>
    </row>
    <row r="726">
      <c r="A726" s="49"/>
      <c r="B726" s="49"/>
    </row>
    <row r="727">
      <c r="A727" s="49"/>
      <c r="B727" s="49"/>
    </row>
    <row r="728">
      <c r="A728" s="49"/>
      <c r="B728" s="49"/>
    </row>
    <row r="729">
      <c r="A729" s="49"/>
      <c r="B729" s="49"/>
    </row>
    <row r="730">
      <c r="A730" s="49"/>
      <c r="B730" s="49"/>
    </row>
    <row r="731">
      <c r="A731" s="49"/>
      <c r="B731" s="49"/>
    </row>
    <row r="732">
      <c r="A732" s="49"/>
      <c r="B732" s="49"/>
    </row>
    <row r="733">
      <c r="A733" s="49"/>
      <c r="B733" s="49"/>
    </row>
    <row r="734">
      <c r="A734" s="49"/>
      <c r="B734" s="49"/>
    </row>
    <row r="735">
      <c r="A735" s="49"/>
      <c r="B735" s="49"/>
    </row>
    <row r="736">
      <c r="A736" s="49"/>
      <c r="B736" s="49"/>
    </row>
    <row r="737">
      <c r="A737" s="49"/>
      <c r="B737" s="49"/>
    </row>
    <row r="738">
      <c r="A738" s="49"/>
      <c r="B738" s="49"/>
    </row>
    <row r="739">
      <c r="A739" s="49"/>
      <c r="B739" s="49"/>
    </row>
    <row r="740">
      <c r="A740" s="49"/>
      <c r="B740" s="49"/>
    </row>
    <row r="741">
      <c r="A741" s="49"/>
      <c r="B741" s="49"/>
    </row>
    <row r="742">
      <c r="A742" s="49"/>
      <c r="B742" s="49"/>
    </row>
    <row r="743">
      <c r="A743" s="49"/>
      <c r="B743" s="49"/>
    </row>
    <row r="744">
      <c r="A744" s="49"/>
      <c r="B744" s="49"/>
    </row>
    <row r="745">
      <c r="A745" s="49"/>
      <c r="B745" s="49"/>
    </row>
    <row r="746">
      <c r="A746" s="49"/>
      <c r="B746" s="49"/>
    </row>
    <row r="747">
      <c r="A747" s="49"/>
      <c r="B747" s="49"/>
    </row>
    <row r="748">
      <c r="A748" s="49"/>
      <c r="B748" s="49"/>
    </row>
    <row r="749">
      <c r="A749" s="49"/>
      <c r="B749" s="49"/>
    </row>
    <row r="750">
      <c r="A750" s="49"/>
      <c r="B750" s="49"/>
    </row>
    <row r="751">
      <c r="A751" s="49"/>
      <c r="B751" s="49"/>
    </row>
    <row r="752">
      <c r="A752" s="49"/>
      <c r="B752" s="49"/>
    </row>
    <row r="753">
      <c r="A753" s="49"/>
      <c r="B753" s="49"/>
    </row>
    <row r="754">
      <c r="A754" s="49"/>
      <c r="B754" s="49"/>
    </row>
    <row r="755">
      <c r="A755" s="49"/>
      <c r="B755" s="49"/>
    </row>
    <row r="756">
      <c r="A756" s="49"/>
      <c r="B756" s="49"/>
    </row>
    <row r="757">
      <c r="A757" s="49"/>
      <c r="B757" s="49"/>
    </row>
    <row r="758">
      <c r="A758" s="49"/>
      <c r="B758" s="49"/>
    </row>
    <row r="759">
      <c r="A759" s="49"/>
      <c r="B759" s="49"/>
    </row>
    <row r="760">
      <c r="A760" s="49"/>
      <c r="B760" s="49"/>
    </row>
    <row r="761">
      <c r="A761" s="49"/>
      <c r="B761" s="49"/>
    </row>
    <row r="762">
      <c r="A762" s="49"/>
      <c r="B762" s="49"/>
    </row>
    <row r="763">
      <c r="A763" s="49"/>
      <c r="B763" s="49"/>
    </row>
    <row r="764">
      <c r="A764" s="49"/>
      <c r="B764" s="49"/>
    </row>
    <row r="765">
      <c r="A765" s="49"/>
      <c r="B765" s="49"/>
    </row>
    <row r="766">
      <c r="A766" s="49"/>
      <c r="B766" s="49"/>
    </row>
    <row r="767">
      <c r="A767" s="49"/>
      <c r="B767" s="49"/>
    </row>
    <row r="768">
      <c r="A768" s="49"/>
      <c r="B768" s="49"/>
    </row>
    <row r="769">
      <c r="A769" s="49"/>
      <c r="B769" s="49"/>
    </row>
    <row r="770">
      <c r="A770" s="49"/>
      <c r="B770" s="49"/>
    </row>
    <row r="771">
      <c r="A771" s="49"/>
      <c r="B771" s="49"/>
    </row>
    <row r="772">
      <c r="A772" s="49"/>
      <c r="B772" s="49"/>
    </row>
    <row r="773">
      <c r="A773" s="49"/>
      <c r="B773" s="49"/>
    </row>
    <row r="774">
      <c r="A774" s="49"/>
      <c r="B774" s="49"/>
    </row>
    <row r="775">
      <c r="A775" s="49"/>
      <c r="B775" s="49"/>
    </row>
    <row r="776">
      <c r="A776" s="49"/>
      <c r="B776" s="49"/>
    </row>
    <row r="777">
      <c r="A777" s="49"/>
      <c r="B777" s="49"/>
    </row>
    <row r="778">
      <c r="A778" s="49"/>
      <c r="B778" s="49"/>
    </row>
    <row r="779">
      <c r="A779" s="49"/>
      <c r="B779" s="49"/>
    </row>
    <row r="780">
      <c r="A780" s="49"/>
      <c r="B780" s="49"/>
    </row>
    <row r="781">
      <c r="A781" s="49"/>
      <c r="B781" s="49"/>
    </row>
    <row r="782">
      <c r="A782" s="49"/>
      <c r="B782" s="49"/>
    </row>
    <row r="783">
      <c r="A783" s="49"/>
      <c r="B783" s="49"/>
    </row>
    <row r="784">
      <c r="A784" s="49"/>
      <c r="B784" s="49"/>
    </row>
    <row r="785">
      <c r="A785" s="49"/>
      <c r="B785" s="49"/>
    </row>
    <row r="786">
      <c r="A786" s="49"/>
      <c r="B786" s="49"/>
    </row>
    <row r="787">
      <c r="A787" s="49"/>
      <c r="B787" s="49"/>
    </row>
    <row r="788">
      <c r="A788" s="49"/>
      <c r="B788" s="49"/>
    </row>
    <row r="789">
      <c r="A789" s="49"/>
      <c r="B789" s="49"/>
    </row>
    <row r="790">
      <c r="A790" s="49"/>
      <c r="B790" s="49"/>
    </row>
    <row r="791">
      <c r="A791" s="49"/>
      <c r="B791" s="49"/>
    </row>
    <row r="792">
      <c r="A792" s="49"/>
      <c r="B792" s="49"/>
    </row>
    <row r="793">
      <c r="A793" s="49"/>
      <c r="B793" s="49"/>
    </row>
    <row r="794">
      <c r="A794" s="49"/>
      <c r="B794" s="49"/>
    </row>
    <row r="795">
      <c r="A795" s="49"/>
      <c r="B795" s="49"/>
    </row>
    <row r="796">
      <c r="A796" s="49"/>
      <c r="B796" s="49"/>
    </row>
    <row r="797">
      <c r="A797" s="49"/>
      <c r="B797" s="49"/>
    </row>
    <row r="798">
      <c r="A798" s="49"/>
      <c r="B798" s="49"/>
    </row>
    <row r="799">
      <c r="A799" s="49"/>
      <c r="B799" s="49"/>
    </row>
    <row r="800">
      <c r="A800" s="49"/>
      <c r="B800" s="49"/>
    </row>
    <row r="801">
      <c r="A801" s="49"/>
      <c r="B801" s="49"/>
    </row>
    <row r="802">
      <c r="A802" s="49"/>
      <c r="B802" s="49"/>
    </row>
    <row r="803">
      <c r="A803" s="49"/>
      <c r="B803" s="49"/>
    </row>
    <row r="804">
      <c r="A804" s="49"/>
      <c r="B804" s="49"/>
    </row>
    <row r="805">
      <c r="A805" s="49"/>
      <c r="B805" s="49"/>
    </row>
    <row r="806">
      <c r="A806" s="49"/>
      <c r="B806" s="49"/>
    </row>
    <row r="807">
      <c r="A807" s="49"/>
      <c r="B807" s="49"/>
    </row>
    <row r="808">
      <c r="A808" s="49"/>
      <c r="B808" s="49"/>
    </row>
    <row r="809">
      <c r="A809" s="49"/>
      <c r="B809" s="49"/>
    </row>
    <row r="810">
      <c r="A810" s="49"/>
      <c r="B810" s="49"/>
    </row>
    <row r="811">
      <c r="A811" s="49"/>
      <c r="B811" s="49"/>
    </row>
    <row r="812">
      <c r="A812" s="49"/>
      <c r="B812" s="49"/>
    </row>
    <row r="813">
      <c r="A813" s="49"/>
      <c r="B813" s="49"/>
    </row>
    <row r="814">
      <c r="A814" s="49"/>
      <c r="B814" s="49"/>
    </row>
    <row r="815">
      <c r="A815" s="49"/>
      <c r="B815" s="49"/>
    </row>
    <row r="816">
      <c r="A816" s="49"/>
      <c r="B816" s="49"/>
    </row>
    <row r="817">
      <c r="A817" s="49"/>
      <c r="B817" s="49"/>
    </row>
    <row r="818">
      <c r="A818" s="49"/>
      <c r="B818" s="49"/>
    </row>
    <row r="819">
      <c r="A819" s="49"/>
      <c r="B819" s="49"/>
    </row>
    <row r="820">
      <c r="A820" s="49"/>
      <c r="B820" s="49"/>
    </row>
    <row r="821">
      <c r="A821" s="49"/>
      <c r="B821" s="49"/>
    </row>
    <row r="822">
      <c r="A822" s="49"/>
      <c r="B822" s="49"/>
    </row>
    <row r="823">
      <c r="A823" s="49"/>
      <c r="B823" s="49"/>
    </row>
    <row r="824">
      <c r="A824" s="49"/>
      <c r="B824" s="49"/>
    </row>
    <row r="825">
      <c r="A825" s="49"/>
      <c r="B825" s="49"/>
    </row>
    <row r="826">
      <c r="A826" s="49"/>
      <c r="B826" s="49"/>
    </row>
    <row r="827">
      <c r="A827" s="49"/>
      <c r="B827" s="49"/>
    </row>
    <row r="828">
      <c r="A828" s="49"/>
      <c r="B828" s="49"/>
    </row>
    <row r="829">
      <c r="A829" s="49"/>
      <c r="B829" s="49"/>
    </row>
    <row r="830">
      <c r="A830" s="49"/>
      <c r="B830" s="49"/>
    </row>
    <row r="831">
      <c r="A831" s="49"/>
      <c r="B831" s="49"/>
    </row>
    <row r="832">
      <c r="A832" s="49"/>
      <c r="B832" s="49"/>
    </row>
    <row r="833">
      <c r="A833" s="49"/>
      <c r="B833" s="49"/>
    </row>
    <row r="834">
      <c r="A834" s="49"/>
      <c r="B834" s="49"/>
    </row>
    <row r="835">
      <c r="A835" s="49"/>
      <c r="B835" s="49"/>
    </row>
    <row r="836">
      <c r="A836" s="49"/>
      <c r="B836" s="49"/>
    </row>
    <row r="837">
      <c r="A837" s="49"/>
      <c r="B837" s="49"/>
    </row>
    <row r="838">
      <c r="A838" s="49"/>
      <c r="B838" s="49"/>
    </row>
    <row r="839">
      <c r="A839" s="49"/>
      <c r="B839" s="49"/>
    </row>
    <row r="840">
      <c r="A840" s="49"/>
      <c r="B840" s="49"/>
    </row>
    <row r="841">
      <c r="A841" s="49"/>
      <c r="B841" s="49"/>
    </row>
    <row r="842">
      <c r="A842" s="49"/>
      <c r="B842" s="49"/>
    </row>
    <row r="843">
      <c r="A843" s="49"/>
      <c r="B843" s="49"/>
    </row>
    <row r="844">
      <c r="A844" s="49"/>
      <c r="B844" s="49"/>
    </row>
    <row r="845">
      <c r="A845" s="49"/>
      <c r="B845" s="49"/>
    </row>
    <row r="846">
      <c r="A846" s="49"/>
      <c r="B846" s="49"/>
    </row>
    <row r="847">
      <c r="A847" s="49"/>
      <c r="B847" s="49"/>
    </row>
    <row r="848">
      <c r="A848" s="49"/>
      <c r="B848" s="49"/>
    </row>
    <row r="849">
      <c r="A849" s="49"/>
      <c r="B849" s="49"/>
    </row>
    <row r="850">
      <c r="A850" s="49"/>
      <c r="B850" s="49"/>
    </row>
    <row r="851">
      <c r="A851" s="49"/>
      <c r="B851" s="49"/>
    </row>
    <row r="852">
      <c r="A852" s="49"/>
      <c r="B852" s="49"/>
    </row>
    <row r="853">
      <c r="A853" s="49"/>
      <c r="B853" s="49"/>
    </row>
    <row r="854">
      <c r="A854" s="49"/>
      <c r="B854" s="49"/>
    </row>
    <row r="855">
      <c r="A855" s="49"/>
      <c r="B855" s="49"/>
    </row>
    <row r="856">
      <c r="A856" s="49"/>
      <c r="B856" s="49"/>
    </row>
    <row r="857">
      <c r="A857" s="49"/>
      <c r="B857" s="49"/>
    </row>
    <row r="858">
      <c r="A858" s="49"/>
      <c r="B858" s="49"/>
    </row>
    <row r="859">
      <c r="A859" s="49"/>
      <c r="B859" s="49"/>
    </row>
    <row r="860">
      <c r="A860" s="49"/>
      <c r="B860" s="49"/>
    </row>
    <row r="861">
      <c r="A861" s="49"/>
      <c r="B861" s="49"/>
    </row>
    <row r="862">
      <c r="A862" s="49"/>
      <c r="B862" s="49"/>
    </row>
    <row r="863">
      <c r="A863" s="49"/>
      <c r="B863" s="49"/>
    </row>
    <row r="864">
      <c r="A864" s="49"/>
      <c r="B864" s="49"/>
    </row>
    <row r="865">
      <c r="A865" s="49"/>
      <c r="B865" s="49"/>
    </row>
    <row r="866">
      <c r="A866" s="49"/>
      <c r="B866" s="49"/>
    </row>
    <row r="867">
      <c r="A867" s="49"/>
      <c r="B867" s="49"/>
    </row>
    <row r="868">
      <c r="A868" s="49"/>
      <c r="B868" s="49"/>
    </row>
    <row r="869">
      <c r="A869" s="49"/>
      <c r="B869" s="49"/>
    </row>
    <row r="870">
      <c r="A870" s="49"/>
      <c r="B870" s="49"/>
    </row>
    <row r="871">
      <c r="A871" s="49"/>
      <c r="B871" s="49"/>
    </row>
    <row r="872">
      <c r="A872" s="49"/>
      <c r="B872" s="49"/>
    </row>
    <row r="873">
      <c r="A873" s="49"/>
      <c r="B873" s="49"/>
    </row>
    <row r="874">
      <c r="A874" s="49"/>
      <c r="B874" s="49"/>
    </row>
    <row r="875">
      <c r="A875" s="49"/>
      <c r="B875" s="49"/>
    </row>
    <row r="876">
      <c r="A876" s="49"/>
      <c r="B876" s="49"/>
    </row>
    <row r="877">
      <c r="A877" s="49"/>
      <c r="B877" s="49"/>
    </row>
    <row r="878">
      <c r="A878" s="49"/>
      <c r="B878" s="49"/>
    </row>
    <row r="879">
      <c r="A879" s="49"/>
      <c r="B879" s="49"/>
    </row>
    <row r="880">
      <c r="A880" s="49"/>
      <c r="B880" s="49"/>
    </row>
    <row r="881">
      <c r="A881" s="49"/>
      <c r="B881" s="49"/>
    </row>
    <row r="882">
      <c r="A882" s="49"/>
      <c r="B882" s="49"/>
    </row>
    <row r="883">
      <c r="A883" s="49"/>
      <c r="B883" s="49"/>
    </row>
    <row r="884">
      <c r="A884" s="49"/>
      <c r="B884" s="49"/>
    </row>
    <row r="885">
      <c r="A885" s="49"/>
      <c r="B885" s="49"/>
    </row>
    <row r="886">
      <c r="A886" s="49"/>
      <c r="B886" s="49"/>
    </row>
    <row r="887">
      <c r="A887" s="49"/>
      <c r="B887" s="49"/>
    </row>
    <row r="888">
      <c r="A888" s="49"/>
      <c r="B888" s="49"/>
    </row>
    <row r="889">
      <c r="A889" s="49"/>
      <c r="B889" s="49"/>
    </row>
    <row r="890">
      <c r="A890" s="49"/>
      <c r="B890" s="49"/>
    </row>
    <row r="891">
      <c r="A891" s="49"/>
      <c r="B891" s="49"/>
    </row>
    <row r="892">
      <c r="A892" s="49"/>
      <c r="B892" s="49"/>
    </row>
    <row r="893">
      <c r="A893" s="49"/>
      <c r="B893" s="49"/>
    </row>
    <row r="894">
      <c r="A894" s="49"/>
      <c r="B894" s="49"/>
    </row>
    <row r="895">
      <c r="A895" s="49"/>
      <c r="B895" s="49"/>
    </row>
    <row r="896">
      <c r="A896" s="49"/>
      <c r="B896" s="49"/>
    </row>
    <row r="897">
      <c r="A897" s="49"/>
      <c r="B897" s="49"/>
    </row>
    <row r="898">
      <c r="A898" s="49"/>
      <c r="B898" s="49"/>
    </row>
    <row r="899">
      <c r="A899" s="49"/>
      <c r="B899" s="49"/>
    </row>
    <row r="900">
      <c r="A900" s="49"/>
      <c r="B900" s="49"/>
    </row>
    <row r="901">
      <c r="A901" s="49"/>
      <c r="B901" s="49"/>
    </row>
    <row r="902">
      <c r="A902" s="49"/>
      <c r="B902" s="49"/>
    </row>
    <row r="903">
      <c r="A903" s="49"/>
      <c r="B903" s="49"/>
    </row>
    <row r="904">
      <c r="A904" s="49"/>
      <c r="B904" s="49"/>
    </row>
    <row r="905">
      <c r="A905" s="49"/>
      <c r="B905" s="49"/>
    </row>
    <row r="906">
      <c r="A906" s="49"/>
      <c r="B906" s="49"/>
    </row>
    <row r="907">
      <c r="A907" s="49"/>
      <c r="B907" s="49"/>
    </row>
    <row r="908">
      <c r="A908" s="49"/>
      <c r="B908" s="49"/>
    </row>
    <row r="909">
      <c r="A909" s="49"/>
      <c r="B909" s="49"/>
    </row>
    <row r="910">
      <c r="A910" s="49"/>
      <c r="B910" s="49"/>
    </row>
    <row r="911">
      <c r="A911" s="49"/>
      <c r="B911" s="49"/>
    </row>
    <row r="912">
      <c r="A912" s="49"/>
      <c r="B912" s="49"/>
    </row>
    <row r="913">
      <c r="A913" s="49"/>
      <c r="B913" s="49"/>
    </row>
    <row r="914">
      <c r="A914" s="49"/>
      <c r="B914" s="49"/>
    </row>
    <row r="915">
      <c r="A915" s="49"/>
      <c r="B915" s="49"/>
    </row>
    <row r="916">
      <c r="A916" s="49"/>
      <c r="B916" s="49"/>
    </row>
    <row r="917">
      <c r="A917" s="49"/>
      <c r="B917" s="49"/>
    </row>
    <row r="918">
      <c r="A918" s="49"/>
      <c r="B918" s="49"/>
    </row>
    <row r="919">
      <c r="A919" s="49"/>
      <c r="B919" s="49"/>
    </row>
    <row r="920">
      <c r="A920" s="49"/>
      <c r="B920" s="49"/>
    </row>
    <row r="921">
      <c r="A921" s="49"/>
      <c r="B921" s="49"/>
    </row>
    <row r="922">
      <c r="A922" s="49"/>
      <c r="B922" s="49"/>
    </row>
    <row r="923">
      <c r="A923" s="49"/>
      <c r="B923" s="49"/>
    </row>
    <row r="924">
      <c r="A924" s="49"/>
      <c r="B924" s="49"/>
    </row>
    <row r="925">
      <c r="A925" s="49"/>
      <c r="B925" s="49"/>
    </row>
    <row r="926">
      <c r="A926" s="49"/>
      <c r="B926" s="49"/>
    </row>
    <row r="927">
      <c r="A927" s="49"/>
      <c r="B927" s="49"/>
    </row>
    <row r="928">
      <c r="A928" s="49"/>
      <c r="B928" s="49"/>
    </row>
    <row r="929">
      <c r="A929" s="49"/>
      <c r="B929" s="49"/>
    </row>
    <row r="930">
      <c r="A930" s="49"/>
      <c r="B930" s="49"/>
    </row>
    <row r="931">
      <c r="A931" s="49"/>
      <c r="B931" s="49"/>
    </row>
    <row r="932">
      <c r="A932" s="49"/>
      <c r="B932" s="49"/>
    </row>
    <row r="933">
      <c r="A933" s="49"/>
      <c r="B933" s="49"/>
    </row>
    <row r="934">
      <c r="A934" s="49"/>
      <c r="B934" s="49"/>
    </row>
    <row r="935">
      <c r="A935" s="49"/>
      <c r="B935" s="49"/>
    </row>
    <row r="936">
      <c r="A936" s="49"/>
      <c r="B936" s="49"/>
    </row>
    <row r="937">
      <c r="A937" s="49"/>
      <c r="B937" s="49"/>
    </row>
    <row r="938">
      <c r="A938" s="49"/>
      <c r="B938" s="49"/>
    </row>
    <row r="939">
      <c r="A939" s="49"/>
      <c r="B939" s="49"/>
    </row>
    <row r="940">
      <c r="A940" s="49"/>
      <c r="B940" s="49"/>
    </row>
    <row r="941">
      <c r="A941" s="49"/>
      <c r="B941" s="49"/>
    </row>
    <row r="942">
      <c r="A942" s="49"/>
      <c r="B942" s="49"/>
    </row>
    <row r="943">
      <c r="A943" s="49"/>
      <c r="B943" s="49"/>
    </row>
    <row r="944">
      <c r="A944" s="49"/>
      <c r="B944" s="49"/>
    </row>
    <row r="945">
      <c r="A945" s="49"/>
      <c r="B945" s="49"/>
    </row>
    <row r="946">
      <c r="A946" s="49"/>
      <c r="B946" s="49"/>
    </row>
    <row r="947">
      <c r="A947" s="49"/>
      <c r="B947" s="49"/>
    </row>
    <row r="948">
      <c r="A948" s="49"/>
      <c r="B948" s="49"/>
    </row>
    <row r="949">
      <c r="A949" s="49"/>
      <c r="B949" s="49"/>
    </row>
    <row r="950">
      <c r="A950" s="49"/>
      <c r="B950" s="49"/>
    </row>
    <row r="951">
      <c r="A951" s="49"/>
      <c r="B951" s="49"/>
    </row>
    <row r="952">
      <c r="A952" s="49"/>
      <c r="B952" s="49"/>
    </row>
    <row r="953">
      <c r="A953" s="49"/>
      <c r="B953" s="49"/>
    </row>
    <row r="954">
      <c r="A954" s="49"/>
      <c r="B954" s="49"/>
    </row>
    <row r="955">
      <c r="A955" s="49"/>
      <c r="B955" s="49"/>
    </row>
    <row r="956">
      <c r="A956" s="49"/>
      <c r="B956" s="49"/>
    </row>
    <row r="957">
      <c r="A957" s="49"/>
      <c r="B957" s="49"/>
    </row>
    <row r="958">
      <c r="A958" s="49"/>
      <c r="B958" s="49"/>
    </row>
    <row r="959">
      <c r="A959" s="49"/>
      <c r="B959" s="49"/>
    </row>
    <row r="960">
      <c r="A960" s="49"/>
      <c r="B960" s="49"/>
    </row>
    <row r="961">
      <c r="A961" s="49"/>
      <c r="B961" s="49"/>
    </row>
    <row r="962">
      <c r="A962" s="49"/>
      <c r="B962" s="49"/>
    </row>
    <row r="963">
      <c r="A963" s="49"/>
      <c r="B963" s="49"/>
    </row>
    <row r="964">
      <c r="A964" s="49"/>
      <c r="B964" s="49"/>
    </row>
    <row r="965">
      <c r="A965" s="49"/>
      <c r="B965" s="49"/>
    </row>
    <row r="966">
      <c r="A966" s="49"/>
      <c r="B966" s="49"/>
    </row>
    <row r="967">
      <c r="A967" s="49"/>
      <c r="B967" s="49"/>
    </row>
    <row r="968">
      <c r="A968" s="49"/>
      <c r="B968" s="49"/>
    </row>
    <row r="969">
      <c r="A969" s="49"/>
      <c r="B969" s="49"/>
    </row>
    <row r="970">
      <c r="A970" s="49"/>
      <c r="B970" s="49"/>
    </row>
    <row r="971">
      <c r="A971" s="49"/>
      <c r="B971" s="49"/>
    </row>
    <row r="972">
      <c r="A972" s="49"/>
      <c r="B972" s="49"/>
    </row>
    <row r="973">
      <c r="A973" s="49"/>
      <c r="B973" s="49"/>
    </row>
    <row r="974">
      <c r="A974" s="49"/>
      <c r="B974" s="49"/>
    </row>
    <row r="975">
      <c r="A975" s="49"/>
      <c r="B975" s="49"/>
    </row>
    <row r="976">
      <c r="A976" s="49"/>
      <c r="B976" s="49"/>
    </row>
    <row r="977">
      <c r="A977" s="49"/>
      <c r="B977" s="49"/>
    </row>
    <row r="978">
      <c r="A978" s="49"/>
      <c r="B978" s="49"/>
    </row>
    <row r="979">
      <c r="A979" s="49"/>
      <c r="B979" s="49"/>
    </row>
    <row r="980">
      <c r="A980" s="49"/>
      <c r="B980" s="49"/>
    </row>
    <row r="981">
      <c r="A981" s="49"/>
      <c r="B981" s="49"/>
    </row>
    <row r="982">
      <c r="A982" s="49"/>
      <c r="B982" s="49"/>
    </row>
    <row r="983">
      <c r="A983" s="49"/>
      <c r="B983" s="49"/>
    </row>
    <row r="984">
      <c r="A984" s="49"/>
      <c r="B984" s="49"/>
    </row>
    <row r="985">
      <c r="A985" s="49"/>
      <c r="B985" s="49"/>
    </row>
    <row r="986">
      <c r="A986" s="49"/>
      <c r="B986" s="49"/>
    </row>
    <row r="987">
      <c r="A987" s="49"/>
      <c r="B987" s="49"/>
    </row>
    <row r="988">
      <c r="A988" s="49"/>
      <c r="B988" s="49"/>
    </row>
    <row r="989">
      <c r="A989" s="49"/>
      <c r="B989" s="49"/>
    </row>
    <row r="990">
      <c r="A990" s="49"/>
      <c r="B990" s="49"/>
    </row>
    <row r="991">
      <c r="A991" s="49"/>
      <c r="B991" s="49"/>
    </row>
  </sheetData>
  <drawing r:id="rId1"/>
</worksheet>
</file>